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AE6600E7-7A62-396C-DE95-9942FA9DD81E}"/>
  <fileSharing readOnlyRecommended="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de7329ef121c63cd/デスクトップ/"/>
    </mc:Choice>
  </mc:AlternateContent>
  <xr:revisionPtr revIDLastSave="0" documentId="8_{3FD61AA8-67CC-4DC4-A261-111026FD2BF3}" xr6:coauthVersionLast="47" xr6:coauthVersionMax="47" xr10:uidLastSave="{00000000-0000-0000-0000-000000000000}"/>
  <bookViews>
    <workbookView xWindow="-120" yWindow="-120" windowWidth="20730" windowHeight="11160" tabRatio="611" firstSheet="2" activeTab="2" xr2:uid="{00000000-000D-0000-FFFF-FFFF00000000}"/>
  </bookViews>
  <sheets>
    <sheet name="製品マスタ" sheetId="21" r:id="rId1"/>
    <sheet name="契約台帳" sheetId="20" r:id="rId2"/>
    <sheet name="S4" sheetId="33" r:id="rId3"/>
    <sheet name="S5" sheetId="35" r:id="rId4"/>
    <sheet name="原価マスタ" sheetId="36" r:id="rId5"/>
  </sheets>
  <definedNames>
    <definedName name="_xlnm._FilterDatabase" localSheetId="2" hidden="1">'S4'!$A$4:$AD$4</definedName>
    <definedName name="_xlnm._FilterDatabase" localSheetId="3" hidden="1">'S5'!$A$4:$AC$4</definedName>
    <definedName name="_xlnm._FilterDatabase" localSheetId="1" hidden="1">契約台帳!$A$2:$X$760</definedName>
    <definedName name="_xlnm._FilterDatabase" localSheetId="0" hidden="1">製品マスタ!$A$3:$WUN$214</definedName>
    <definedName name="_xlnm.Print_Area" localSheetId="2">'S4'!$A$150:$AD$1703</definedName>
    <definedName name="_xlnm.Print_Area" localSheetId="3">'S5'!$A$99:$AC$860</definedName>
    <definedName name="_xlnm.Print_Titles" localSheetId="2">'S4'!$A:$B,'S4'!$1:$4</definedName>
    <definedName name="_xlnm.Print_Titles" localSheetId="3">'S5'!$A:$B,'S5'!$1:$4</definedName>
  </definedNames>
  <calcPr calcId="191029"/>
</workbook>
</file>

<file path=xl/calcChain.xml><?xml version="1.0" encoding="utf-8"?>
<calcChain xmlns="http://schemas.openxmlformats.org/spreadsheetml/2006/main">
  <c r="AF1951" i="33" l="1"/>
  <c r="V1951" i="33"/>
  <c r="T1951" i="33"/>
  <c r="Y1951" i="33" s="1"/>
  <c r="S1951" i="33"/>
  <c r="R1951" i="33"/>
  <c r="K1951" i="33"/>
  <c r="F1951" i="33"/>
  <c r="I1951" i="33" s="1"/>
  <c r="AF1949" i="33"/>
  <c r="V1949" i="33"/>
  <c r="T1949" i="33"/>
  <c r="Z1949" i="33" s="1"/>
  <c r="S1949" i="33"/>
  <c r="R1949" i="33"/>
  <c r="K1949" i="33"/>
  <c r="F1949" i="33"/>
  <c r="I1949" i="33" s="1"/>
  <c r="AF1947" i="33"/>
  <c r="V1947" i="33"/>
  <c r="T1947" i="33"/>
  <c r="X1947" i="33" s="1"/>
  <c r="S1947" i="33"/>
  <c r="R1947" i="33"/>
  <c r="K1947" i="33"/>
  <c r="F1947" i="33"/>
  <c r="L1947" i="33" s="1"/>
  <c r="AF1945" i="33"/>
  <c r="V1945" i="33"/>
  <c r="T1945" i="33"/>
  <c r="X1945" i="33" s="1"/>
  <c r="S1945" i="33"/>
  <c r="R1945" i="33"/>
  <c r="K1945" i="33"/>
  <c r="F1945" i="33"/>
  <c r="I1945" i="33" s="1"/>
  <c r="L1945" i="33" l="1"/>
  <c r="Y1947" i="33"/>
  <c r="Z1947" i="33"/>
  <c r="L1951" i="33"/>
  <c r="AB1947" i="33"/>
  <c r="W1949" i="33"/>
  <c r="I1947" i="33"/>
  <c r="X1949" i="33"/>
  <c r="Y1945" i="33"/>
  <c r="L1949" i="33"/>
  <c r="G1951" i="33"/>
  <c r="Z1951" i="33"/>
  <c r="G1947" i="33"/>
  <c r="H1947" i="33"/>
  <c r="Z1945" i="33"/>
  <c r="H1945" i="33"/>
  <c r="AB1945" i="33"/>
  <c r="W1947" i="33"/>
  <c r="H1951" i="33"/>
  <c r="AB1951" i="33"/>
  <c r="Y1949" i="33"/>
  <c r="G1949" i="33"/>
  <c r="W1945" i="33"/>
  <c r="H1949" i="33"/>
  <c r="W1951" i="33"/>
  <c r="X1951" i="33"/>
  <c r="G1945" i="33"/>
  <c r="AF1943" i="33" l="1"/>
  <c r="V1943" i="33"/>
  <c r="T1943" i="33"/>
  <c r="Z1943" i="33" s="1"/>
  <c r="S1943" i="33"/>
  <c r="R1943" i="33"/>
  <c r="K1943" i="33"/>
  <c r="F1943" i="33"/>
  <c r="I1943" i="33" s="1"/>
  <c r="AF1906" i="33"/>
  <c r="V1906" i="33"/>
  <c r="T1906" i="33"/>
  <c r="Z1906" i="33" s="1"/>
  <c r="S1906" i="33"/>
  <c r="R1906" i="33"/>
  <c r="K1906" i="33"/>
  <c r="F1906" i="33"/>
  <c r="AB1906" i="33" s="1"/>
  <c r="AF1904" i="33"/>
  <c r="V1904" i="33"/>
  <c r="T1904" i="33"/>
  <c r="Z1904" i="33" s="1"/>
  <c r="S1904" i="33"/>
  <c r="R1904" i="33"/>
  <c r="K1904" i="33"/>
  <c r="F1904" i="33"/>
  <c r="I1904" i="33" s="1"/>
  <c r="AF1902" i="33"/>
  <c r="V1902" i="33"/>
  <c r="T1902" i="33"/>
  <c r="Z1902" i="33" s="1"/>
  <c r="S1902" i="33"/>
  <c r="R1902" i="33"/>
  <c r="K1902" i="33"/>
  <c r="F1902" i="33"/>
  <c r="AF1900" i="33"/>
  <c r="V1900" i="33"/>
  <c r="T1900" i="33"/>
  <c r="Y1900" i="33" s="1"/>
  <c r="S1900" i="33"/>
  <c r="R1900" i="33"/>
  <c r="K1900" i="33"/>
  <c r="F1900" i="33"/>
  <c r="I1900" i="33" s="1"/>
  <c r="AF1898" i="33"/>
  <c r="V1898" i="33"/>
  <c r="T1898" i="33"/>
  <c r="X1898" i="33" s="1"/>
  <c r="S1898" i="33"/>
  <c r="R1898" i="33"/>
  <c r="K1898" i="33"/>
  <c r="F1898" i="33"/>
  <c r="L1902" i="33" l="1"/>
  <c r="Y1943" i="33"/>
  <c r="W1943" i="33"/>
  <c r="X1943" i="33"/>
  <c r="G1943" i="33"/>
  <c r="L1943" i="33"/>
  <c r="H1943" i="33"/>
  <c r="AB1943" i="33"/>
  <c r="L1898" i="33"/>
  <c r="L1904" i="33"/>
  <c r="Y1906" i="33"/>
  <c r="L1906" i="33"/>
  <c r="W1906" i="33"/>
  <c r="X1906" i="33"/>
  <c r="I1906" i="33"/>
  <c r="G1906" i="33"/>
  <c r="H1906" i="33"/>
  <c r="W1902" i="33"/>
  <c r="X1902" i="33"/>
  <c r="Y1902" i="33"/>
  <c r="G1902" i="33"/>
  <c r="H1902" i="33"/>
  <c r="AB1902" i="33"/>
  <c r="W1904" i="33"/>
  <c r="I1902" i="33"/>
  <c r="X1904" i="33"/>
  <c r="Y1904" i="33"/>
  <c r="G1904" i="33"/>
  <c r="H1904" i="33"/>
  <c r="AB1904" i="33"/>
  <c r="L1900" i="33"/>
  <c r="Y1898" i="33"/>
  <c r="G1898" i="33"/>
  <c r="Z1898" i="33"/>
  <c r="H1898" i="33"/>
  <c r="AB1898" i="33"/>
  <c r="W1900" i="33"/>
  <c r="I1898" i="33"/>
  <c r="X1900" i="33"/>
  <c r="Z1900" i="33"/>
  <c r="H1900" i="33"/>
  <c r="AB1900" i="33"/>
  <c r="W1898" i="33"/>
  <c r="G1900" i="33"/>
  <c r="Y1471" i="35" l="1"/>
  <c r="X1471" i="35"/>
  <c r="W1471" i="35"/>
  <c r="V1471" i="35"/>
  <c r="U1471" i="35"/>
  <c r="S1471" i="35"/>
  <c r="R1471" i="35"/>
  <c r="Q1471" i="35"/>
  <c r="K1471" i="35"/>
  <c r="F1471" i="35"/>
  <c r="G1471" i="35" s="1"/>
  <c r="Y1469" i="35"/>
  <c r="X1469" i="35"/>
  <c r="W1469" i="35"/>
  <c r="V1469" i="35"/>
  <c r="U1469" i="35"/>
  <c r="S1469" i="35"/>
  <c r="R1469" i="35"/>
  <c r="Q1469" i="35"/>
  <c r="K1469" i="35"/>
  <c r="F1469" i="35"/>
  <c r="G1469" i="35" s="1"/>
  <c r="Y1467" i="35"/>
  <c r="X1467" i="35"/>
  <c r="W1467" i="35"/>
  <c r="V1467" i="35"/>
  <c r="U1467" i="35"/>
  <c r="S1467" i="35"/>
  <c r="R1467" i="35"/>
  <c r="Q1467" i="35"/>
  <c r="K1467" i="35"/>
  <c r="F1467" i="35"/>
  <c r="G1467" i="35" s="1"/>
  <c r="AF1955" i="33"/>
  <c r="V1955" i="33"/>
  <c r="T1955" i="33"/>
  <c r="Z1955" i="33" s="1"/>
  <c r="S1955" i="33"/>
  <c r="R1955" i="33"/>
  <c r="K1955" i="33"/>
  <c r="F1955" i="33"/>
  <c r="I1955" i="33" s="1"/>
  <c r="H1471" i="35" l="1"/>
  <c r="I1471" i="35"/>
  <c r="L1471" i="35"/>
  <c r="H1469" i="35"/>
  <c r="I1469" i="35"/>
  <c r="L1469" i="35"/>
  <c r="H1467" i="35"/>
  <c r="I1467" i="35"/>
  <c r="L1467" i="35"/>
  <c r="L1955" i="33"/>
  <c r="W1955" i="33"/>
  <c r="X1955" i="33"/>
  <c r="Y1955" i="33"/>
  <c r="G1955" i="33"/>
  <c r="AB1955" i="33"/>
  <c r="H1955" i="33"/>
  <c r="AF1941" i="33" l="1"/>
  <c r="V1941" i="33"/>
  <c r="T1941" i="33"/>
  <c r="Z1941" i="33" s="1"/>
  <c r="S1941" i="33"/>
  <c r="R1941" i="33"/>
  <c r="K1941" i="33"/>
  <c r="F1941" i="33"/>
  <c r="I1941" i="33" s="1"/>
  <c r="AF1939" i="33"/>
  <c r="V1939" i="33"/>
  <c r="T1939" i="33"/>
  <c r="Z1939" i="33" s="1"/>
  <c r="S1939" i="33"/>
  <c r="R1939" i="33"/>
  <c r="K1939" i="33"/>
  <c r="F1939" i="33"/>
  <c r="I1939" i="33" s="1"/>
  <c r="AF1937" i="33"/>
  <c r="V1937" i="33"/>
  <c r="T1937" i="33"/>
  <c r="Z1937" i="33" s="1"/>
  <c r="S1937" i="33"/>
  <c r="R1937" i="33"/>
  <c r="K1937" i="33"/>
  <c r="F1937" i="33"/>
  <c r="I1937" i="33" s="1"/>
  <c r="AF1935" i="33"/>
  <c r="V1935" i="33"/>
  <c r="T1935" i="33"/>
  <c r="Z1935" i="33" s="1"/>
  <c r="S1935" i="33"/>
  <c r="R1935" i="33"/>
  <c r="K1935" i="33"/>
  <c r="F1935" i="33"/>
  <c r="I1935" i="33" s="1"/>
  <c r="AF1933" i="33"/>
  <c r="V1933" i="33"/>
  <c r="T1933" i="33"/>
  <c r="X1933" i="33" s="1"/>
  <c r="S1933" i="33"/>
  <c r="R1933" i="33"/>
  <c r="K1933" i="33"/>
  <c r="F1933" i="33"/>
  <c r="AF1931" i="33"/>
  <c r="V1931" i="33"/>
  <c r="T1931" i="33"/>
  <c r="X1931" i="33" s="1"/>
  <c r="S1931" i="33"/>
  <c r="R1931" i="33"/>
  <c r="K1931" i="33"/>
  <c r="F1931" i="33"/>
  <c r="L1931" i="33" s="1"/>
  <c r="AF1929" i="33"/>
  <c r="V1929" i="33"/>
  <c r="T1929" i="33"/>
  <c r="Z1929" i="33" s="1"/>
  <c r="S1929" i="33"/>
  <c r="R1929" i="33"/>
  <c r="K1929" i="33"/>
  <c r="F1929" i="33"/>
  <c r="I1929" i="33" s="1"/>
  <c r="AF1927" i="33"/>
  <c r="V1927" i="33"/>
  <c r="T1927" i="33"/>
  <c r="Z1927" i="33" s="1"/>
  <c r="S1927" i="33"/>
  <c r="R1927" i="33"/>
  <c r="K1927" i="33"/>
  <c r="F1927" i="33"/>
  <c r="I1927" i="33" s="1"/>
  <c r="AB1933" i="33" l="1"/>
  <c r="W1941" i="33"/>
  <c r="X1941" i="33"/>
  <c r="Y1941" i="33"/>
  <c r="G1941" i="33"/>
  <c r="L1941" i="33"/>
  <c r="H1941" i="33"/>
  <c r="AB1941" i="33"/>
  <c r="L1939" i="33"/>
  <c r="W1939" i="33"/>
  <c r="X1939" i="33"/>
  <c r="Y1939" i="33"/>
  <c r="G1939" i="33"/>
  <c r="H1939" i="33"/>
  <c r="AB1939" i="33"/>
  <c r="L1937" i="33"/>
  <c r="Y1937" i="33"/>
  <c r="W1937" i="33"/>
  <c r="X1937" i="33"/>
  <c r="G1937" i="33"/>
  <c r="H1937" i="33"/>
  <c r="AB1937" i="33"/>
  <c r="L1935" i="33"/>
  <c r="W1935" i="33"/>
  <c r="X1935" i="33"/>
  <c r="H1935" i="33"/>
  <c r="AB1935" i="33"/>
  <c r="Y1935" i="33"/>
  <c r="G1935" i="33"/>
  <c r="Y1933" i="33"/>
  <c r="Z1933" i="33"/>
  <c r="I1933" i="33"/>
  <c r="L1933" i="33"/>
  <c r="W1933" i="33"/>
  <c r="G1933" i="33"/>
  <c r="H1933" i="33"/>
  <c r="Y1931" i="33"/>
  <c r="Z1931" i="33"/>
  <c r="G1931" i="33"/>
  <c r="H1931" i="33"/>
  <c r="I1931" i="33"/>
  <c r="W1931" i="33"/>
  <c r="L1929" i="33"/>
  <c r="W1929" i="33"/>
  <c r="X1929" i="33"/>
  <c r="Y1929" i="33"/>
  <c r="G1929" i="33"/>
  <c r="H1929" i="33"/>
  <c r="L1927" i="33"/>
  <c r="W1927" i="33"/>
  <c r="X1927" i="33"/>
  <c r="Y1927" i="33"/>
  <c r="G1927" i="33"/>
  <c r="H1927" i="33"/>
  <c r="AF1925" i="33"/>
  <c r="V1925" i="33"/>
  <c r="T1925" i="33"/>
  <c r="Z1925" i="33" s="1"/>
  <c r="S1925" i="33"/>
  <c r="R1925" i="33"/>
  <c r="K1925" i="33"/>
  <c r="F1925" i="33"/>
  <c r="I1925" i="33" s="1"/>
  <c r="AF1924" i="33"/>
  <c r="V1924" i="33"/>
  <c r="T1924" i="33"/>
  <c r="Z1924" i="33" s="1"/>
  <c r="S1924" i="33"/>
  <c r="R1924" i="33"/>
  <c r="K1924" i="33"/>
  <c r="F1924" i="33"/>
  <c r="I1924" i="33" s="1"/>
  <c r="AF1922" i="33"/>
  <c r="V1922" i="33"/>
  <c r="T1922" i="33"/>
  <c r="Z1922" i="33" s="1"/>
  <c r="S1922" i="33"/>
  <c r="R1922" i="33"/>
  <c r="K1922" i="33"/>
  <c r="F1922" i="33"/>
  <c r="I1922" i="33" s="1"/>
  <c r="W1925" i="33" l="1"/>
  <c r="X1925" i="33"/>
  <c r="Y1925" i="33"/>
  <c r="G1925" i="33"/>
  <c r="H1925" i="33"/>
  <c r="AB1925" i="33"/>
  <c r="L1925" i="33"/>
  <c r="L1924" i="33"/>
  <c r="W1924" i="33"/>
  <c r="X1924" i="33"/>
  <c r="Y1924" i="33"/>
  <c r="G1924" i="33"/>
  <c r="H1924" i="33"/>
  <c r="L1922" i="33"/>
  <c r="W1922" i="33"/>
  <c r="X1922" i="33"/>
  <c r="Y1922" i="33"/>
  <c r="G1922" i="33"/>
  <c r="H1922" i="33"/>
  <c r="AF1896" i="33"/>
  <c r="V1896" i="33"/>
  <c r="T1896" i="33"/>
  <c r="X1896" i="33" s="1"/>
  <c r="S1896" i="33"/>
  <c r="R1896" i="33"/>
  <c r="K1896" i="33"/>
  <c r="F1896" i="33"/>
  <c r="I1896" i="33" s="1"/>
  <c r="AF1920" i="33"/>
  <c r="V1920" i="33"/>
  <c r="T1920" i="33"/>
  <c r="Z1920" i="33" s="1"/>
  <c r="S1920" i="33"/>
  <c r="R1920" i="33"/>
  <c r="K1920" i="33"/>
  <c r="F1920" i="33"/>
  <c r="I1920" i="33" s="1"/>
  <c r="AF1918" i="33"/>
  <c r="V1918" i="33"/>
  <c r="T1918" i="33"/>
  <c r="Z1918" i="33" s="1"/>
  <c r="S1918" i="33"/>
  <c r="R1918" i="33"/>
  <c r="K1918" i="33"/>
  <c r="F1918" i="33"/>
  <c r="I1918" i="33" s="1"/>
  <c r="AF1908" i="33"/>
  <c r="V1908" i="33"/>
  <c r="T1908" i="33"/>
  <c r="Z1908" i="33" s="1"/>
  <c r="S1908" i="33"/>
  <c r="R1908" i="33"/>
  <c r="K1908" i="33"/>
  <c r="F1908" i="33"/>
  <c r="I1908" i="33" s="1"/>
  <c r="AF1894" i="33"/>
  <c r="V1894" i="33"/>
  <c r="T1894" i="33"/>
  <c r="Z1894" i="33" s="1"/>
  <c r="S1894" i="33"/>
  <c r="R1894" i="33"/>
  <c r="K1894" i="33"/>
  <c r="F1894" i="33"/>
  <c r="I1894" i="33" s="1"/>
  <c r="AF1892" i="33"/>
  <c r="V1892" i="33"/>
  <c r="T1892" i="33"/>
  <c r="Z1892" i="33" s="1"/>
  <c r="S1892" i="33"/>
  <c r="R1892" i="33"/>
  <c r="K1892" i="33"/>
  <c r="F1892" i="33"/>
  <c r="I1892" i="33" s="1"/>
  <c r="AF1890" i="33"/>
  <c r="V1890" i="33"/>
  <c r="T1890" i="33"/>
  <c r="Z1890" i="33" s="1"/>
  <c r="S1890" i="33"/>
  <c r="R1890" i="33"/>
  <c r="K1890" i="33"/>
  <c r="F1890" i="33"/>
  <c r="I1890" i="33" s="1"/>
  <c r="V1888" i="33"/>
  <c r="AF1888" i="33"/>
  <c r="T1888" i="33"/>
  <c r="Z1888" i="33" s="1"/>
  <c r="S1888" i="33"/>
  <c r="R1888" i="33"/>
  <c r="K1888" i="33"/>
  <c r="F1888" i="33"/>
  <c r="I1888" i="33" s="1"/>
  <c r="Y1896" i="33" l="1"/>
  <c r="Z1896" i="33"/>
  <c r="L1896" i="33"/>
  <c r="W1896" i="33"/>
  <c r="G1896" i="33"/>
  <c r="H1896" i="33"/>
  <c r="AB1896" i="33"/>
  <c r="Y1920" i="33"/>
  <c r="L1920" i="33"/>
  <c r="W1920" i="33"/>
  <c r="X1920" i="33"/>
  <c r="G1920" i="33"/>
  <c r="H1920" i="33"/>
  <c r="AB1920" i="33"/>
  <c r="W1918" i="33"/>
  <c r="X1918" i="33"/>
  <c r="Y1918" i="33"/>
  <c r="L1918" i="33"/>
  <c r="G1918" i="33"/>
  <c r="H1918" i="33"/>
  <c r="AB1918" i="33"/>
  <c r="L1908" i="33"/>
  <c r="W1908" i="33"/>
  <c r="X1908" i="33"/>
  <c r="Y1908" i="33"/>
  <c r="G1908" i="33"/>
  <c r="H1908" i="33"/>
  <c r="AB1908" i="33"/>
  <c r="L1894" i="33"/>
  <c r="W1894" i="33"/>
  <c r="X1894" i="33"/>
  <c r="Y1894" i="33"/>
  <c r="G1894" i="33"/>
  <c r="H1894" i="33"/>
  <c r="AB1894" i="33"/>
  <c r="L1892" i="33"/>
  <c r="W1892" i="33"/>
  <c r="X1892" i="33"/>
  <c r="Y1892" i="33"/>
  <c r="G1892" i="33"/>
  <c r="H1892" i="33"/>
  <c r="AB1892" i="33"/>
  <c r="L1890" i="33"/>
  <c r="X1890" i="33"/>
  <c r="W1890" i="33"/>
  <c r="Y1890" i="33"/>
  <c r="G1890" i="33"/>
  <c r="H1890" i="33"/>
  <c r="AB1890" i="33"/>
  <c r="L1888" i="33"/>
  <c r="X1888" i="33"/>
  <c r="Y1888" i="33"/>
  <c r="W1888" i="33"/>
  <c r="G1888" i="33"/>
  <c r="H1888" i="33"/>
  <c r="AB1888" i="33"/>
  <c r="V1880" i="33" l="1"/>
  <c r="T1880" i="33"/>
  <c r="Z1880" i="33" s="1"/>
  <c r="S1880" i="33"/>
  <c r="R1880" i="33"/>
  <c r="K1880" i="33"/>
  <c r="F1880" i="33"/>
  <c r="G1880" i="33" s="1"/>
  <c r="V1878" i="33"/>
  <c r="T1878" i="33"/>
  <c r="Z1878" i="33" s="1"/>
  <c r="K1878" i="33"/>
  <c r="F1878" i="33"/>
  <c r="I1878" i="33" s="1"/>
  <c r="V1877" i="33"/>
  <c r="T1877" i="33"/>
  <c r="Y1877" i="33" s="1"/>
  <c r="S1877" i="33"/>
  <c r="R1877" i="33"/>
  <c r="K1877" i="33"/>
  <c r="F1877" i="33"/>
  <c r="H1877" i="33" s="1"/>
  <c r="Y1878" i="33" l="1"/>
  <c r="Y1880" i="33"/>
  <c r="W1880" i="33"/>
  <c r="I1880" i="33"/>
  <c r="I1877" i="33"/>
  <c r="X1880" i="33"/>
  <c r="Z1877" i="33"/>
  <c r="H1880" i="33"/>
  <c r="G1878" i="33"/>
  <c r="G1877" i="33"/>
  <c r="H1878" i="33"/>
  <c r="L1880" i="33"/>
  <c r="Z1858" i="33"/>
  <c r="Y1858" i="33"/>
  <c r="X1858" i="33"/>
  <c r="W1858" i="33"/>
  <c r="V1858" i="33"/>
  <c r="T1858" i="33"/>
  <c r="S1858" i="33"/>
  <c r="R1858" i="33"/>
  <c r="L1858" i="33"/>
  <c r="K1858" i="33"/>
  <c r="I1858" i="33"/>
  <c r="H1858" i="33"/>
  <c r="G1858" i="33"/>
  <c r="F1858" i="33"/>
  <c r="V1857" i="33"/>
  <c r="T1857" i="33"/>
  <c r="Z1857" i="33" s="1"/>
  <c r="S1857" i="33"/>
  <c r="R1857" i="33"/>
  <c r="K1857" i="33"/>
  <c r="F1857" i="33"/>
  <c r="I1857" i="33" s="1"/>
  <c r="V1855" i="33"/>
  <c r="T1855" i="33"/>
  <c r="Z1855" i="33" s="1"/>
  <c r="S1855" i="33"/>
  <c r="R1855" i="33"/>
  <c r="K1855" i="33"/>
  <c r="F1855" i="33"/>
  <c r="H1855" i="33" s="1"/>
  <c r="AB1858" i="33" l="1"/>
  <c r="W1857" i="33"/>
  <c r="Y1855" i="33"/>
  <c r="X1857" i="33"/>
  <c r="Y1857" i="33"/>
  <c r="G1857" i="33"/>
  <c r="H1857" i="33"/>
  <c r="I1855" i="33"/>
  <c r="G1855" i="33"/>
  <c r="G454" i="21" l="1"/>
  <c r="G453" i="21"/>
  <c r="G452" i="21"/>
  <c r="G451" i="21"/>
  <c r="G450" i="21"/>
  <c r="G449" i="21"/>
  <c r="G448" i="21"/>
  <c r="G447" i="21"/>
  <c r="G446" i="21"/>
  <c r="G445" i="21"/>
  <c r="G444" i="21"/>
  <c r="G443" i="21"/>
  <c r="G442" i="21"/>
  <c r="G441" i="21"/>
  <c r="G440" i="21"/>
  <c r="G439" i="21"/>
  <c r="G438" i="21"/>
  <c r="G437" i="21"/>
  <c r="G436" i="21"/>
  <c r="G435" i="21"/>
  <c r="G434" i="21"/>
  <c r="G433" i="21"/>
  <c r="G432" i="21"/>
  <c r="G431" i="21"/>
  <c r="G430" i="21"/>
  <c r="G429" i="21"/>
  <c r="G428" i="21"/>
  <c r="G427" i="21"/>
  <c r="G426" i="21"/>
  <c r="G425" i="21"/>
  <c r="G424" i="21"/>
  <c r="G423" i="21"/>
  <c r="G422" i="21"/>
  <c r="G421" i="21"/>
  <c r="G420" i="21"/>
  <c r="G419" i="21"/>
  <c r="G418" i="21"/>
  <c r="G417" i="21"/>
  <c r="G416" i="21"/>
  <c r="G415" i="21"/>
  <c r="G413" i="21"/>
  <c r="G412" i="21"/>
  <c r="G411" i="21"/>
  <c r="G410" i="21"/>
  <c r="G409" i="21"/>
  <c r="G408" i="21"/>
  <c r="G407" i="21"/>
  <c r="G406" i="21"/>
  <c r="G405" i="21"/>
  <c r="G404" i="21"/>
  <c r="G403" i="21"/>
  <c r="G402" i="21"/>
  <c r="G401" i="21"/>
  <c r="G400" i="21"/>
  <c r="G399" i="21"/>
  <c r="G398" i="21"/>
  <c r="G397" i="21"/>
  <c r="G396" i="21"/>
  <c r="G395" i="21"/>
  <c r="G394" i="21"/>
  <c r="G393" i="21"/>
  <c r="G392" i="21"/>
  <c r="G391" i="21"/>
  <c r="G390" i="21"/>
  <c r="G389" i="21"/>
  <c r="G388" i="21"/>
  <c r="G387" i="21"/>
  <c r="G386" i="21"/>
  <c r="G385" i="21"/>
  <c r="G384" i="21"/>
  <c r="G383" i="21"/>
  <c r="G382" i="21"/>
  <c r="G381" i="21"/>
  <c r="G380" i="21"/>
  <c r="G379" i="21"/>
  <c r="G378" i="21"/>
  <c r="G377" i="21"/>
  <c r="G376" i="21"/>
  <c r="G375" i="21"/>
  <c r="G374" i="21"/>
  <c r="G373" i="21"/>
  <c r="G372" i="21"/>
  <c r="G371" i="21"/>
  <c r="G370" i="21"/>
  <c r="G369" i="21"/>
  <c r="G368" i="21"/>
  <c r="G367" i="21"/>
  <c r="G366" i="21"/>
  <c r="G365" i="21"/>
  <c r="G364" i="21"/>
  <c r="G363" i="21"/>
  <c r="G362" i="21"/>
  <c r="G361" i="21"/>
  <c r="G360" i="21"/>
  <c r="G359" i="21"/>
  <c r="G358" i="21"/>
  <c r="G357" i="21"/>
  <c r="G356" i="21"/>
  <c r="G355" i="21"/>
  <c r="G354" i="21"/>
  <c r="G353" i="21"/>
  <c r="G352" i="21"/>
  <c r="G351" i="21"/>
  <c r="G350" i="21"/>
  <c r="G349" i="21"/>
  <c r="G348" i="21"/>
  <c r="G347" i="21"/>
  <c r="G346" i="21"/>
  <c r="G345" i="21"/>
  <c r="G344" i="21"/>
  <c r="G343" i="21"/>
  <c r="G342" i="21"/>
  <c r="G341" i="21"/>
  <c r="G340" i="21"/>
  <c r="G339" i="21"/>
  <c r="G338" i="21"/>
  <c r="G337" i="21"/>
  <c r="G336" i="21"/>
  <c r="G335" i="21"/>
  <c r="G334" i="21"/>
  <c r="G333" i="21"/>
  <c r="G332" i="21"/>
  <c r="G331" i="21"/>
  <c r="G330" i="21"/>
  <c r="G329" i="21"/>
  <c r="G328" i="21"/>
  <c r="G327" i="21"/>
  <c r="G326" i="21"/>
  <c r="G325" i="21"/>
  <c r="G324" i="21"/>
  <c r="G323" i="21"/>
  <c r="G322" i="21"/>
  <c r="G321" i="21"/>
  <c r="G320" i="21"/>
  <c r="G319" i="21"/>
  <c r="G318" i="21"/>
  <c r="G317" i="21"/>
  <c r="G316" i="21"/>
  <c r="G315" i="21"/>
  <c r="G314" i="21"/>
  <c r="G313" i="21"/>
  <c r="G312" i="21"/>
  <c r="G311" i="21"/>
  <c r="G310" i="21"/>
  <c r="G309" i="21"/>
  <c r="G308" i="21"/>
  <c r="G307" i="21"/>
  <c r="G306" i="21"/>
  <c r="G305" i="21"/>
  <c r="G304" i="21"/>
  <c r="G303" i="21"/>
  <c r="G302" i="21"/>
  <c r="G301" i="21"/>
  <c r="G300" i="21"/>
  <c r="G299" i="21"/>
  <c r="G298" i="21"/>
  <c r="G297" i="21"/>
  <c r="G296" i="21"/>
  <c r="G295" i="21"/>
  <c r="G294" i="21"/>
  <c r="G293" i="21"/>
  <c r="G292" i="21"/>
  <c r="G291" i="21"/>
  <c r="G290" i="21"/>
  <c r="G289" i="21"/>
  <c r="G288" i="21"/>
  <c r="G287" i="21"/>
  <c r="G286" i="21"/>
  <c r="G285" i="21"/>
  <c r="G284" i="21"/>
  <c r="G283" i="21"/>
  <c r="G282" i="21"/>
  <c r="G281" i="21"/>
  <c r="G280" i="21"/>
  <c r="G279" i="21"/>
  <c r="G278" i="21"/>
  <c r="G277" i="21"/>
  <c r="G276" i="21"/>
  <c r="G275" i="21"/>
  <c r="G274" i="21"/>
  <c r="G273" i="21"/>
  <c r="G272" i="21"/>
  <c r="G271" i="21"/>
  <c r="G270" i="21"/>
  <c r="G269" i="21"/>
  <c r="G268" i="21"/>
  <c r="G267" i="21"/>
  <c r="G266" i="21"/>
  <c r="G265" i="21"/>
  <c r="G264" i="21"/>
  <c r="G263" i="21"/>
  <c r="G262" i="21"/>
  <c r="G261" i="21"/>
  <c r="G260" i="21"/>
  <c r="G259" i="21"/>
  <c r="G258" i="21"/>
  <c r="G257" i="21"/>
  <c r="G256" i="21"/>
  <c r="G255" i="21"/>
  <c r="G254" i="21"/>
  <c r="G253" i="21"/>
  <c r="G252" i="21"/>
  <c r="G251" i="21"/>
  <c r="G250" i="21"/>
  <c r="G249" i="21"/>
  <c r="G248" i="21"/>
  <c r="G247" i="21"/>
  <c r="G246" i="21"/>
  <c r="G245" i="21"/>
  <c r="G244" i="21"/>
  <c r="G243" i="21"/>
  <c r="G242" i="21"/>
  <c r="G241" i="21"/>
  <c r="G240" i="21"/>
  <c r="G239" i="21"/>
  <c r="G238" i="21"/>
  <c r="G237" i="21"/>
  <c r="G236" i="21"/>
  <c r="G235" i="21"/>
  <c r="G234" i="21"/>
  <c r="G233" i="21"/>
  <c r="G232" i="21"/>
  <c r="G231" i="21"/>
  <c r="G230" i="21"/>
  <c r="G229" i="21"/>
  <c r="G228" i="21"/>
  <c r="G227" i="21"/>
  <c r="G226" i="21"/>
  <c r="G225" i="21"/>
  <c r="G224" i="21"/>
  <c r="G223" i="21"/>
  <c r="G222" i="21"/>
  <c r="G221" i="21"/>
  <c r="G220" i="21"/>
  <c r="G219" i="21"/>
  <c r="G218" i="21"/>
  <c r="G217" i="21"/>
  <c r="G216" i="21"/>
  <c r="G215" i="21"/>
  <c r="G214" i="21"/>
  <c r="G213" i="21"/>
  <c r="G212" i="21"/>
  <c r="G211" i="21"/>
  <c r="G210" i="21"/>
  <c r="G209" i="21"/>
  <c r="G208" i="21"/>
  <c r="G207" i="21"/>
  <c r="G206" i="21"/>
  <c r="G205" i="21"/>
  <c r="G204" i="21"/>
  <c r="G203" i="21"/>
  <c r="G202" i="21"/>
  <c r="G201" i="21"/>
  <c r="G200" i="21"/>
  <c r="G199" i="21"/>
  <c r="G198" i="21"/>
  <c r="G197" i="21"/>
  <c r="G196" i="21"/>
  <c r="G195" i="21"/>
  <c r="G194" i="21"/>
  <c r="G193" i="21"/>
  <c r="G192" i="21"/>
  <c r="G191" i="21"/>
  <c r="G190" i="21"/>
  <c r="G189" i="21"/>
  <c r="G188" i="21"/>
  <c r="G187" i="21"/>
  <c r="G186" i="21"/>
  <c r="G185" i="21"/>
  <c r="G184" i="21"/>
  <c r="G183" i="21"/>
  <c r="G182" i="21"/>
  <c r="G181" i="21"/>
  <c r="G180" i="21"/>
  <c r="G179" i="21"/>
  <c r="G178" i="21"/>
  <c r="G177" i="21"/>
  <c r="G176" i="21"/>
  <c r="G175" i="21"/>
  <c r="G174" i="21"/>
  <c r="G173" i="21"/>
  <c r="G172" i="21"/>
  <c r="G171" i="21"/>
  <c r="G170" i="21"/>
  <c r="G169" i="21"/>
  <c r="G168" i="21"/>
  <c r="G167" i="21"/>
  <c r="G166" i="21"/>
  <c r="G165" i="21"/>
  <c r="G164" i="21"/>
  <c r="G163" i="21"/>
  <c r="G162" i="21"/>
  <c r="G161" i="21"/>
  <c r="G160" i="21"/>
  <c r="G159" i="21"/>
  <c r="G158" i="21"/>
  <c r="G157" i="21"/>
  <c r="G156" i="21"/>
  <c r="G155" i="21"/>
  <c r="G154" i="21"/>
  <c r="G153" i="21"/>
  <c r="G152" i="21"/>
  <c r="G151" i="21"/>
  <c r="G150" i="21"/>
  <c r="G149" i="21"/>
  <c r="G148" i="21"/>
  <c r="G147" i="21"/>
  <c r="G146" i="21"/>
  <c r="G145" i="21"/>
  <c r="G144" i="21"/>
  <c r="G143" i="21"/>
  <c r="G142" i="21"/>
  <c r="G141" i="21"/>
  <c r="G140" i="21"/>
  <c r="G139" i="21"/>
  <c r="G138" i="21"/>
  <c r="G137" i="21"/>
  <c r="G136" i="21"/>
  <c r="G135" i="21"/>
  <c r="G134" i="21"/>
  <c r="G133" i="21"/>
  <c r="G132" i="21"/>
  <c r="G131" i="21"/>
  <c r="G130" i="21"/>
  <c r="G129" i="21"/>
  <c r="G128" i="21"/>
  <c r="G127" i="21"/>
  <c r="G126" i="21"/>
  <c r="G125" i="21"/>
  <c r="G124" i="21"/>
  <c r="G123" i="21"/>
  <c r="G122" i="21"/>
  <c r="G121" i="21"/>
  <c r="G120" i="21"/>
  <c r="G119" i="21"/>
  <c r="G118" i="21"/>
  <c r="G117" i="21"/>
  <c r="G116" i="21"/>
  <c r="G115" i="21"/>
  <c r="G114" i="21"/>
  <c r="G113" i="21"/>
  <c r="G112" i="21"/>
  <c r="G111" i="21"/>
  <c r="G110" i="21"/>
  <c r="G109" i="21"/>
  <c r="G108" i="21"/>
  <c r="G107" i="21"/>
  <c r="G106" i="21"/>
  <c r="G105" i="21"/>
  <c r="G104" i="21"/>
  <c r="G103" i="21"/>
  <c r="G102" i="21"/>
  <c r="G101" i="21"/>
  <c r="G100" i="21"/>
  <c r="G99" i="21"/>
  <c r="G98" i="21"/>
  <c r="G97" i="21"/>
  <c r="G96" i="21"/>
  <c r="G95" i="21"/>
  <c r="G94" i="21"/>
  <c r="G93" i="21"/>
  <c r="G92" i="21"/>
  <c r="G91" i="21"/>
  <c r="G90" i="21"/>
  <c r="G89" i="21"/>
  <c r="G88" i="21"/>
  <c r="G87" i="21"/>
  <c r="G86" i="21"/>
  <c r="G85" i="21"/>
  <c r="G84" i="21"/>
  <c r="G83" i="21"/>
  <c r="G82" i="21"/>
  <c r="G81" i="21"/>
  <c r="G80" i="21"/>
  <c r="G79" i="21"/>
  <c r="G78" i="21"/>
  <c r="G77" i="21"/>
  <c r="G76" i="21"/>
  <c r="G75" i="21"/>
  <c r="G74" i="21"/>
  <c r="G73" i="21"/>
  <c r="G72" i="21"/>
  <c r="G71" i="21"/>
  <c r="G70" i="21"/>
  <c r="G69" i="21"/>
  <c r="G68" i="21"/>
  <c r="G67" i="21"/>
  <c r="G66" i="21"/>
  <c r="G65" i="21"/>
  <c r="G64" i="21"/>
  <c r="G63" i="21"/>
  <c r="G62" i="21"/>
  <c r="G61" i="21"/>
  <c r="G60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5" i="21"/>
  <c r="AO454" i="21"/>
  <c r="N454" i="21"/>
  <c r="AO413" i="21"/>
  <c r="N413" i="21"/>
  <c r="M454" i="21"/>
  <c r="M413" i="21"/>
  <c r="AE1453" i="35"/>
  <c r="Y1453" i="35"/>
  <c r="X1453" i="35"/>
  <c r="U1453" i="35"/>
  <c r="S1453" i="35"/>
  <c r="R1453" i="35"/>
  <c r="Q1453" i="35"/>
  <c r="K1453" i="35"/>
  <c r="F1453" i="35"/>
  <c r="AD1453" i="35" l="1"/>
  <c r="AF1453" i="35" s="1"/>
  <c r="AG1453" i="35" s="1"/>
  <c r="AE1455" i="35" l="1"/>
  <c r="Y1455" i="35"/>
  <c r="X1455" i="35"/>
  <c r="S1455" i="35"/>
  <c r="R1455" i="35"/>
  <c r="Q1455" i="35"/>
  <c r="K1455" i="35"/>
  <c r="F1455" i="35"/>
  <c r="W1455" i="35" s="1"/>
  <c r="AE1419" i="35"/>
  <c r="Y1419" i="35"/>
  <c r="X1419" i="35"/>
  <c r="U1419" i="35"/>
  <c r="S1419" i="35"/>
  <c r="R1419" i="35"/>
  <c r="Q1419" i="35"/>
  <c r="K1419" i="35"/>
  <c r="F1419" i="35"/>
  <c r="AE1417" i="35"/>
  <c r="Y1417" i="35"/>
  <c r="X1417" i="35"/>
  <c r="U1417" i="35"/>
  <c r="S1417" i="35"/>
  <c r="R1417" i="35"/>
  <c r="Q1417" i="35"/>
  <c r="K1417" i="35"/>
  <c r="F1417" i="35"/>
  <c r="AE1415" i="35"/>
  <c r="Y1415" i="35"/>
  <c r="X1415" i="35"/>
  <c r="U1415" i="35"/>
  <c r="S1415" i="35"/>
  <c r="R1415" i="35"/>
  <c r="Q1415" i="35"/>
  <c r="K1415" i="35"/>
  <c r="F1415" i="35"/>
  <c r="AE1413" i="35"/>
  <c r="Y1413" i="35"/>
  <c r="X1413" i="35"/>
  <c r="U1413" i="35"/>
  <c r="S1413" i="35"/>
  <c r="R1413" i="35"/>
  <c r="Q1413" i="35"/>
  <c r="K1413" i="35"/>
  <c r="F1413" i="35"/>
  <c r="F1421" i="35"/>
  <c r="K1421" i="35"/>
  <c r="Q1421" i="35"/>
  <c r="R1421" i="35"/>
  <c r="S1421" i="35"/>
  <c r="U1421" i="35"/>
  <c r="X1421" i="35"/>
  <c r="Y1421" i="35"/>
  <c r="AE1421" i="35"/>
  <c r="F1423" i="35"/>
  <c r="K1423" i="35"/>
  <c r="Q1423" i="35"/>
  <c r="R1423" i="35"/>
  <c r="S1423" i="35"/>
  <c r="U1423" i="35"/>
  <c r="X1423" i="35"/>
  <c r="Y1423" i="35"/>
  <c r="AE1423" i="35"/>
  <c r="F1425" i="35"/>
  <c r="K1425" i="35"/>
  <c r="Q1425" i="35"/>
  <c r="R1425" i="35"/>
  <c r="S1425" i="35"/>
  <c r="U1425" i="35"/>
  <c r="X1425" i="35"/>
  <c r="Y1425" i="35"/>
  <c r="AE1425" i="35"/>
  <c r="F1429" i="35"/>
  <c r="K1429" i="35"/>
  <c r="Q1429" i="35"/>
  <c r="R1429" i="35"/>
  <c r="S1429" i="35"/>
  <c r="U1429" i="35"/>
  <c r="X1429" i="35"/>
  <c r="Y1429" i="35"/>
  <c r="AE1429" i="35"/>
  <c r="I1455" i="35" l="1"/>
  <c r="L1455" i="35"/>
  <c r="G1455" i="35"/>
  <c r="H1455" i="35"/>
  <c r="AD1455" i="35"/>
  <c r="AF1455" i="35" s="1"/>
  <c r="AG1455" i="35" s="1"/>
  <c r="V1455" i="35"/>
  <c r="AD1423" i="35"/>
  <c r="AF1423" i="35" s="1"/>
  <c r="AG1423" i="35" s="1"/>
  <c r="AD1425" i="35"/>
  <c r="AF1425" i="35" s="1"/>
  <c r="AG1425" i="35" s="1"/>
  <c r="AD1413" i="35"/>
  <c r="AF1413" i="35" s="1"/>
  <c r="AG1413" i="35" s="1"/>
  <c r="AD1419" i="35"/>
  <c r="AF1419" i="35" s="1"/>
  <c r="AG1419" i="35" s="1"/>
  <c r="AD1417" i="35"/>
  <c r="AF1417" i="35" s="1"/>
  <c r="AG1417" i="35" s="1"/>
  <c r="AD1415" i="35"/>
  <c r="AF1415" i="35" s="1"/>
  <c r="AG1415" i="35" s="1"/>
  <c r="AD1429" i="35"/>
  <c r="AF1429" i="35" s="1"/>
  <c r="AG1429" i="35" s="1"/>
  <c r="AD1421" i="35"/>
  <c r="AF1421" i="35" s="1"/>
  <c r="AG1421" i="35" s="1"/>
  <c r="AF1816" i="33" l="1"/>
  <c r="V1816" i="33"/>
  <c r="T1816" i="33"/>
  <c r="Z1816" i="33" s="1"/>
  <c r="S1816" i="33"/>
  <c r="R1816" i="33"/>
  <c r="K1816" i="33"/>
  <c r="F1816" i="33"/>
  <c r="AF1814" i="33"/>
  <c r="V1814" i="33"/>
  <c r="T1814" i="33"/>
  <c r="Z1814" i="33" s="1"/>
  <c r="S1814" i="33"/>
  <c r="R1814" i="33"/>
  <c r="K1814" i="33"/>
  <c r="F1814" i="33"/>
  <c r="AF1812" i="33"/>
  <c r="V1812" i="33"/>
  <c r="T1812" i="33"/>
  <c r="X1812" i="33" s="1"/>
  <c r="S1812" i="33"/>
  <c r="R1812" i="33"/>
  <c r="K1812" i="33"/>
  <c r="F1812" i="33"/>
  <c r="W1816" i="33" l="1"/>
  <c r="X1816" i="33"/>
  <c r="Y1816" i="33"/>
  <c r="Y1812" i="33"/>
  <c r="W1814" i="33"/>
  <c r="X1814" i="33"/>
  <c r="Y1814" i="33"/>
  <c r="Z1812" i="33"/>
  <c r="W1812" i="33"/>
  <c r="V1875" i="33" l="1"/>
  <c r="T1875" i="33"/>
  <c r="K1875" i="33"/>
  <c r="F1875" i="33"/>
  <c r="V1874" i="33"/>
  <c r="T1874" i="33"/>
  <c r="S1874" i="33"/>
  <c r="R1874" i="33"/>
  <c r="K1874" i="33"/>
  <c r="F1874" i="33"/>
  <c r="V1872" i="33"/>
  <c r="T1872" i="33"/>
  <c r="S1872" i="33"/>
  <c r="R1872" i="33"/>
  <c r="K1872" i="33"/>
  <c r="F1872" i="33"/>
  <c r="V1870" i="33"/>
  <c r="T1870" i="33"/>
  <c r="S1870" i="33"/>
  <c r="R1870" i="33"/>
  <c r="K1870" i="33"/>
  <c r="F1870" i="33"/>
  <c r="V1868" i="33"/>
  <c r="T1868" i="33"/>
  <c r="S1868" i="33"/>
  <c r="R1868" i="33"/>
  <c r="K1868" i="33"/>
  <c r="F1868" i="33"/>
  <c r="V1866" i="33"/>
  <c r="T1866" i="33"/>
  <c r="S1866" i="33"/>
  <c r="R1866" i="33"/>
  <c r="K1866" i="33"/>
  <c r="F1866" i="33"/>
  <c r="V1864" i="33"/>
  <c r="T1864" i="33"/>
  <c r="K1864" i="33"/>
  <c r="F1864" i="33"/>
  <c r="V1863" i="33"/>
  <c r="T1863" i="33"/>
  <c r="S1863" i="33"/>
  <c r="R1863" i="33"/>
  <c r="K1863" i="33"/>
  <c r="F1863" i="33"/>
  <c r="V1861" i="33"/>
  <c r="T1861" i="33"/>
  <c r="S1861" i="33"/>
  <c r="R1861" i="33"/>
  <c r="K1861" i="33"/>
  <c r="F1861" i="33"/>
  <c r="V1859" i="33"/>
  <c r="T1859" i="33"/>
  <c r="S1859" i="33"/>
  <c r="R1859" i="33"/>
  <c r="K1859" i="33"/>
  <c r="F1859" i="33"/>
  <c r="AJ1007" i="36"/>
  <c r="AI1007" i="36"/>
  <c r="AH1007" i="36"/>
  <c r="AG1007" i="36"/>
  <c r="J1007" i="36"/>
  <c r="I1007" i="36"/>
  <c r="H1007" i="36"/>
  <c r="F1007" i="36"/>
  <c r="E1007" i="36"/>
  <c r="A1007" i="36"/>
  <c r="AI1006" i="36"/>
  <c r="AJ1006" i="36" s="1"/>
  <c r="AH1006" i="36"/>
  <c r="AG1006" i="36"/>
  <c r="J1006" i="36"/>
  <c r="I1006" i="36"/>
  <c r="H1006" i="36"/>
  <c r="F1006" i="36"/>
  <c r="E1006" i="36"/>
  <c r="A1006" i="36"/>
  <c r="AJ1005" i="36"/>
  <c r="AI1005" i="36"/>
  <c r="AH1005" i="36"/>
  <c r="AG1005" i="36"/>
  <c r="J1005" i="36"/>
  <c r="I1005" i="36"/>
  <c r="H1005" i="36"/>
  <c r="F1005" i="36"/>
  <c r="E1005" i="36"/>
  <c r="A1005" i="36"/>
  <c r="AI1004" i="36"/>
  <c r="AJ1004" i="36" s="1"/>
  <c r="AH1004" i="36"/>
  <c r="AG1004" i="36"/>
  <c r="J1004" i="36"/>
  <c r="I1004" i="36"/>
  <c r="H1004" i="36"/>
  <c r="F1004" i="36"/>
  <c r="E1004" i="36"/>
  <c r="A1004" i="36"/>
  <c r="Z1868" i="33" l="1"/>
  <c r="Z1872" i="33"/>
  <c r="Z1874" i="33"/>
  <c r="Z1866" i="33"/>
  <c r="Z1870" i="33"/>
  <c r="Y1875" i="33"/>
  <c r="Z1863" i="33"/>
  <c r="Z1864" i="33"/>
  <c r="Z1861" i="33"/>
  <c r="Z1859" i="33"/>
  <c r="Z1875" i="33"/>
  <c r="Y1874" i="33"/>
  <c r="Y1872" i="33"/>
  <c r="Y1870" i="33"/>
  <c r="Y1868" i="33"/>
  <c r="Y1866" i="33"/>
  <c r="Y1864" i="33"/>
  <c r="Y1863" i="33"/>
  <c r="Y1861" i="33"/>
  <c r="Y1859" i="33"/>
  <c r="AJ1003" i="36"/>
  <c r="AI1003" i="36"/>
  <c r="AH1003" i="36"/>
  <c r="AG1003" i="36"/>
  <c r="J1003" i="36"/>
  <c r="H1003" i="36"/>
  <c r="F1003" i="36"/>
  <c r="E1003" i="36"/>
  <c r="A1003" i="36"/>
  <c r="AI1002" i="36"/>
  <c r="AH1002" i="36"/>
  <c r="AG1002" i="36"/>
  <c r="AJ1002" i="36" s="1"/>
  <c r="J1002" i="36"/>
  <c r="H1002" i="36"/>
  <c r="F1002" i="36"/>
  <c r="A1002" i="36" s="1"/>
  <c r="E1002" i="36"/>
  <c r="AI1001" i="36"/>
  <c r="AH1001" i="36"/>
  <c r="AG1001" i="36"/>
  <c r="AJ1001" i="36" s="1"/>
  <c r="J1001" i="36"/>
  <c r="I1001" i="36"/>
  <c r="A1001" i="36" s="1"/>
  <c r="H1001" i="36"/>
  <c r="F1001" i="36"/>
  <c r="E1001" i="36"/>
  <c r="AI1000" i="36"/>
  <c r="AH1000" i="36"/>
  <c r="AG1000" i="36"/>
  <c r="AJ1000" i="36" s="1"/>
  <c r="J1000" i="36"/>
  <c r="I1000" i="36"/>
  <c r="A1000" i="36" s="1"/>
  <c r="H1000" i="36"/>
  <c r="F1000" i="36"/>
  <c r="E1000" i="36"/>
  <c r="AI999" i="36"/>
  <c r="AJ999" i="36" s="1"/>
  <c r="AH999" i="36"/>
  <c r="AG999" i="36"/>
  <c r="J999" i="36"/>
  <c r="I999" i="36"/>
  <c r="H999" i="36"/>
  <c r="F999" i="36"/>
  <c r="E999" i="36"/>
  <c r="A999" i="36"/>
  <c r="AJ998" i="36"/>
  <c r="AI998" i="36"/>
  <c r="AH998" i="36"/>
  <c r="AG998" i="36"/>
  <c r="J998" i="36"/>
  <c r="I998" i="36"/>
  <c r="H998" i="36"/>
  <c r="F998" i="36"/>
  <c r="E998" i="36"/>
  <c r="A998" i="36"/>
  <c r="AI997" i="36"/>
  <c r="AH997" i="36"/>
  <c r="AJ997" i="36" s="1"/>
  <c r="AG997" i="36"/>
  <c r="J997" i="36"/>
  <c r="I997" i="36"/>
  <c r="H997" i="36"/>
  <c r="F997" i="36"/>
  <c r="E997" i="36"/>
  <c r="A997" i="36"/>
  <c r="AI996" i="36"/>
  <c r="AH996" i="36"/>
  <c r="AG996" i="36"/>
  <c r="AJ996" i="36" s="1"/>
  <c r="J996" i="36"/>
  <c r="I996" i="36"/>
  <c r="H996" i="36"/>
  <c r="F996" i="36"/>
  <c r="A996" i="36" s="1"/>
  <c r="E996" i="36"/>
  <c r="AI992" i="36" l="1"/>
  <c r="AH992" i="36"/>
  <c r="AG992" i="36"/>
  <c r="AJ992" i="36" s="1"/>
  <c r="A992" i="36"/>
  <c r="AI995" i="36"/>
  <c r="AH995" i="36"/>
  <c r="AG995" i="36"/>
  <c r="AJ995" i="36" s="1"/>
  <c r="J995" i="36"/>
  <c r="H995" i="36"/>
  <c r="F995" i="36"/>
  <c r="E995" i="36"/>
  <c r="A995" i="36"/>
  <c r="AI994" i="36"/>
  <c r="AH994" i="36"/>
  <c r="AG994" i="36"/>
  <c r="A994" i="36"/>
  <c r="AI993" i="36"/>
  <c r="AH993" i="36"/>
  <c r="AG993" i="36"/>
  <c r="AJ993" i="36" s="1"/>
  <c r="A993" i="36"/>
  <c r="A979" i="36"/>
  <c r="AG979" i="36"/>
  <c r="AH979" i="36"/>
  <c r="AI979" i="36"/>
  <c r="A980" i="36"/>
  <c r="AG980" i="36"/>
  <c r="AJ980" i="36" s="1"/>
  <c r="AH980" i="36"/>
  <c r="AI980" i="36"/>
  <c r="A981" i="36"/>
  <c r="AG981" i="36"/>
  <c r="AH981" i="36"/>
  <c r="AI981" i="36"/>
  <c r="A982" i="36"/>
  <c r="AG982" i="36"/>
  <c r="AH982" i="36"/>
  <c r="AI982" i="36"/>
  <c r="A983" i="36"/>
  <c r="AG983" i="36"/>
  <c r="AH983" i="36"/>
  <c r="AI983" i="36"/>
  <c r="A984" i="36"/>
  <c r="AG984" i="36"/>
  <c r="AH984" i="36"/>
  <c r="AI984" i="36"/>
  <c r="A985" i="36"/>
  <c r="AG985" i="36"/>
  <c r="AH985" i="36"/>
  <c r="AI985" i="36"/>
  <c r="A986" i="36"/>
  <c r="AG986" i="36"/>
  <c r="AH986" i="36"/>
  <c r="AI986" i="36"/>
  <c r="A987" i="36"/>
  <c r="AG987" i="36"/>
  <c r="AH987" i="36"/>
  <c r="AI987" i="36"/>
  <c r="A988" i="36"/>
  <c r="AG988" i="36"/>
  <c r="AH988" i="36"/>
  <c r="AI988" i="36"/>
  <c r="A989" i="36"/>
  <c r="AG989" i="36"/>
  <c r="AH989" i="36"/>
  <c r="AI989" i="36"/>
  <c r="A990" i="36"/>
  <c r="AG990" i="36"/>
  <c r="AH990" i="36"/>
  <c r="AI990" i="36"/>
  <c r="A991" i="36"/>
  <c r="AG991" i="36"/>
  <c r="AH991" i="36"/>
  <c r="AI991" i="36"/>
  <c r="AJ991" i="36"/>
  <c r="AO391" i="21"/>
  <c r="AO250" i="21"/>
  <c r="AO249" i="21"/>
  <c r="AI978" i="36"/>
  <c r="AH978" i="36"/>
  <c r="AG978" i="36"/>
  <c r="AI977" i="36"/>
  <c r="AH977" i="36"/>
  <c r="AG977" i="36"/>
  <c r="AI976" i="36"/>
  <c r="AH976" i="36"/>
  <c r="AG976" i="36"/>
  <c r="AI975" i="36"/>
  <c r="AH975" i="36"/>
  <c r="AG975" i="36"/>
  <c r="AI974" i="36"/>
  <c r="AH974" i="36"/>
  <c r="AG974" i="36"/>
  <c r="AI973" i="36"/>
  <c r="AH973" i="36"/>
  <c r="AG973" i="36"/>
  <c r="AJ973" i="36" s="1"/>
  <c r="AI972" i="36"/>
  <c r="AH972" i="36"/>
  <c r="AG972" i="36"/>
  <c r="AI971" i="36"/>
  <c r="AH971" i="36"/>
  <c r="AG971" i="36"/>
  <c r="AI970" i="36"/>
  <c r="AH970" i="36"/>
  <c r="AG970" i="36"/>
  <c r="AI969" i="36"/>
  <c r="AH969" i="36"/>
  <c r="AG969" i="36"/>
  <c r="AI968" i="36"/>
  <c r="AH968" i="36"/>
  <c r="AG968" i="36"/>
  <c r="AI967" i="36"/>
  <c r="AH967" i="36"/>
  <c r="AG967" i="36"/>
  <c r="AI966" i="36"/>
  <c r="AH966" i="36"/>
  <c r="AG966" i="36"/>
  <c r="AI965" i="36"/>
  <c r="AH965" i="36"/>
  <c r="AG965" i="36"/>
  <c r="AJ965" i="36" s="1"/>
  <c r="AI964" i="36"/>
  <c r="AH964" i="36"/>
  <c r="AG964" i="36"/>
  <c r="AI963" i="36"/>
  <c r="AH963" i="36"/>
  <c r="AG963" i="36"/>
  <c r="AI962" i="36"/>
  <c r="AH962" i="36"/>
  <c r="AG962" i="36"/>
  <c r="AI961" i="36"/>
  <c r="AH961" i="36"/>
  <c r="AG961" i="36"/>
  <c r="AJ961" i="36" s="1"/>
  <c r="AI960" i="36"/>
  <c r="AH960" i="36"/>
  <c r="AG960" i="36"/>
  <c r="AI959" i="36"/>
  <c r="AH959" i="36"/>
  <c r="AG959" i="36"/>
  <c r="AI958" i="36"/>
  <c r="AH958" i="36"/>
  <c r="AG958" i="36"/>
  <c r="AI957" i="36"/>
  <c r="AH957" i="36"/>
  <c r="AG957" i="36"/>
  <c r="AI956" i="36"/>
  <c r="AH956" i="36"/>
  <c r="AG956" i="36"/>
  <c r="AI955" i="36"/>
  <c r="AH955" i="36"/>
  <c r="AG955" i="36"/>
  <c r="AI954" i="36"/>
  <c r="AH954" i="36"/>
  <c r="AG954" i="36"/>
  <c r="AI953" i="36"/>
  <c r="AH953" i="36"/>
  <c r="AG953" i="36"/>
  <c r="AI952" i="36"/>
  <c r="AH952" i="36"/>
  <c r="AG952" i="36"/>
  <c r="AI951" i="36"/>
  <c r="AH951" i="36"/>
  <c r="AG951" i="36"/>
  <c r="AI950" i="36"/>
  <c r="AH950" i="36"/>
  <c r="AG950" i="36"/>
  <c r="AI949" i="36"/>
  <c r="AH949" i="36"/>
  <c r="AG949" i="36"/>
  <c r="AJ949" i="36" s="1"/>
  <c r="AI948" i="36"/>
  <c r="AH948" i="36"/>
  <c r="AG948" i="36"/>
  <c r="AI947" i="36"/>
  <c r="AH947" i="36"/>
  <c r="AG947" i="36"/>
  <c r="AI946" i="36"/>
  <c r="AH946" i="36"/>
  <c r="AG946" i="36"/>
  <c r="AI945" i="36"/>
  <c r="AH945" i="36"/>
  <c r="AG945" i="36"/>
  <c r="AJ945" i="36" s="1"/>
  <c r="AI944" i="36"/>
  <c r="AH944" i="36"/>
  <c r="AG944" i="36"/>
  <c r="AI943" i="36"/>
  <c r="AH943" i="36"/>
  <c r="AG943" i="36"/>
  <c r="AI942" i="36"/>
  <c r="AH942" i="36"/>
  <c r="AG942" i="36"/>
  <c r="AI941" i="36"/>
  <c r="AH941" i="36"/>
  <c r="AG941" i="36"/>
  <c r="AJ941" i="36" s="1"/>
  <c r="AI940" i="36"/>
  <c r="AH940" i="36"/>
  <c r="AG940" i="36"/>
  <c r="AI939" i="36"/>
  <c r="AH939" i="36"/>
  <c r="AG939" i="36"/>
  <c r="AI938" i="36"/>
  <c r="AH938" i="36"/>
  <c r="AG938" i="36"/>
  <c r="AI937" i="36"/>
  <c r="AH937" i="36"/>
  <c r="AG937" i="36"/>
  <c r="AI936" i="36"/>
  <c r="AH936" i="36"/>
  <c r="AG936" i="36"/>
  <c r="AI935" i="36"/>
  <c r="AH935" i="36"/>
  <c r="AG935" i="36"/>
  <c r="AI934" i="36"/>
  <c r="AH934" i="36"/>
  <c r="AG934" i="36"/>
  <c r="AI933" i="36"/>
  <c r="AH933" i="36"/>
  <c r="AG933" i="36"/>
  <c r="AI932" i="36"/>
  <c r="AH932" i="36"/>
  <c r="AG932" i="36"/>
  <c r="AI931" i="36"/>
  <c r="AH931" i="36"/>
  <c r="AG931" i="36"/>
  <c r="AI930" i="36"/>
  <c r="AH930" i="36"/>
  <c r="AG930" i="36"/>
  <c r="AI929" i="36"/>
  <c r="AH929" i="36"/>
  <c r="AG929" i="36"/>
  <c r="AI928" i="36"/>
  <c r="AH928" i="36"/>
  <c r="AG928" i="36"/>
  <c r="AI927" i="36"/>
  <c r="AH927" i="36"/>
  <c r="AG927" i="36"/>
  <c r="AI926" i="36"/>
  <c r="AH926" i="36"/>
  <c r="AG926" i="36"/>
  <c r="AI925" i="36"/>
  <c r="AH925" i="36"/>
  <c r="AG925" i="36"/>
  <c r="AI924" i="36"/>
  <c r="AH924" i="36"/>
  <c r="AG924" i="36"/>
  <c r="AI923" i="36"/>
  <c r="AH923" i="36"/>
  <c r="AG923" i="36"/>
  <c r="AI922" i="36"/>
  <c r="AH922" i="36"/>
  <c r="AG922" i="36"/>
  <c r="AI921" i="36"/>
  <c r="AH921" i="36"/>
  <c r="AG921" i="36"/>
  <c r="AI920" i="36"/>
  <c r="AH920" i="36"/>
  <c r="AG920" i="36"/>
  <c r="AI919" i="36"/>
  <c r="AH919" i="36"/>
  <c r="AG919" i="36"/>
  <c r="AI918" i="36"/>
  <c r="AH918" i="36"/>
  <c r="AG918" i="36"/>
  <c r="AI917" i="36"/>
  <c r="AH917" i="36"/>
  <c r="AG917" i="36"/>
  <c r="AI916" i="36"/>
  <c r="AH916" i="36"/>
  <c r="AG916" i="36"/>
  <c r="AI915" i="36"/>
  <c r="AH915" i="36"/>
  <c r="AG915" i="36"/>
  <c r="AI914" i="36"/>
  <c r="AH914" i="36"/>
  <c r="AG914" i="36"/>
  <c r="AI913" i="36"/>
  <c r="AH913" i="36"/>
  <c r="AG913" i="36"/>
  <c r="AI912" i="36"/>
  <c r="AH912" i="36"/>
  <c r="AG912" i="36"/>
  <c r="AI911" i="36"/>
  <c r="AH911" i="36"/>
  <c r="AG911" i="36"/>
  <c r="AI910" i="36"/>
  <c r="AH910" i="36"/>
  <c r="AG910" i="36"/>
  <c r="AI909" i="36"/>
  <c r="AH909" i="36"/>
  <c r="AG909" i="36"/>
  <c r="AJ909" i="36" s="1"/>
  <c r="AI908" i="36"/>
  <c r="AH908" i="36"/>
  <c r="AG908" i="36"/>
  <c r="AI907" i="36"/>
  <c r="AH907" i="36"/>
  <c r="AG907" i="36"/>
  <c r="AI906" i="36"/>
  <c r="AH906" i="36"/>
  <c r="AG906" i="36"/>
  <c r="AI905" i="36"/>
  <c r="AH905" i="36"/>
  <c r="AG905" i="36"/>
  <c r="AI904" i="36"/>
  <c r="AH904" i="36"/>
  <c r="AG904" i="36"/>
  <c r="AI903" i="36"/>
  <c r="AH903" i="36"/>
  <c r="AG903" i="36"/>
  <c r="AI902" i="36"/>
  <c r="AH902" i="36"/>
  <c r="AG902" i="36"/>
  <c r="AI901" i="36"/>
  <c r="AH901" i="36"/>
  <c r="AG901" i="36"/>
  <c r="AI900" i="36"/>
  <c r="AH900" i="36"/>
  <c r="AG900" i="36"/>
  <c r="AI899" i="36"/>
  <c r="AH899" i="36"/>
  <c r="AG899" i="36"/>
  <c r="AI898" i="36"/>
  <c r="AH898" i="36"/>
  <c r="AG898" i="36"/>
  <c r="AI897" i="36"/>
  <c r="AH897" i="36"/>
  <c r="AG897" i="36"/>
  <c r="AI896" i="36"/>
  <c r="AH896" i="36"/>
  <c r="AG896" i="36"/>
  <c r="AI895" i="36"/>
  <c r="AH895" i="36"/>
  <c r="AG895" i="36"/>
  <c r="AI894" i="36"/>
  <c r="AH894" i="36"/>
  <c r="AG894" i="36"/>
  <c r="AI893" i="36"/>
  <c r="AH893" i="36"/>
  <c r="AG893" i="36"/>
  <c r="AI892" i="36"/>
  <c r="AH892" i="36"/>
  <c r="AG892" i="36"/>
  <c r="AI891" i="36"/>
  <c r="AH891" i="36"/>
  <c r="AG891" i="36"/>
  <c r="AI890" i="36"/>
  <c r="AH890" i="36"/>
  <c r="AG890" i="36"/>
  <c r="AI889" i="36"/>
  <c r="AH889" i="36"/>
  <c r="AG889" i="36"/>
  <c r="AI888" i="36"/>
  <c r="AH888" i="36"/>
  <c r="AG888" i="36"/>
  <c r="AI887" i="36"/>
  <c r="AH887" i="36"/>
  <c r="AG887" i="36"/>
  <c r="AI886" i="36"/>
  <c r="AH886" i="36"/>
  <c r="AG886" i="36"/>
  <c r="AI885" i="36"/>
  <c r="AH885" i="36"/>
  <c r="AG885" i="36"/>
  <c r="AI884" i="36"/>
  <c r="AH884" i="36"/>
  <c r="AG884" i="36"/>
  <c r="AI883" i="36"/>
  <c r="AH883" i="36"/>
  <c r="AG883" i="36"/>
  <c r="AI882" i="36"/>
  <c r="AH882" i="36"/>
  <c r="AG882" i="36"/>
  <c r="AI881" i="36"/>
  <c r="AH881" i="36"/>
  <c r="AG881" i="36"/>
  <c r="AI880" i="36"/>
  <c r="AH880" i="36"/>
  <c r="AG880" i="36"/>
  <c r="AI879" i="36"/>
  <c r="AH879" i="36"/>
  <c r="AG879" i="36"/>
  <c r="AI878" i="36"/>
  <c r="AH878" i="36"/>
  <c r="AG878" i="36"/>
  <c r="AI877" i="36"/>
  <c r="AH877" i="36"/>
  <c r="AG877" i="36"/>
  <c r="AI876" i="36"/>
  <c r="AH876" i="36"/>
  <c r="AG876" i="36"/>
  <c r="AI875" i="36"/>
  <c r="AH875" i="36"/>
  <c r="AG875" i="36"/>
  <c r="AI874" i="36"/>
  <c r="AH874" i="36"/>
  <c r="AG874" i="36"/>
  <c r="AI873" i="36"/>
  <c r="AH873" i="36"/>
  <c r="AG873" i="36"/>
  <c r="AJ873" i="36" s="1"/>
  <c r="AI872" i="36"/>
  <c r="AH872" i="36"/>
  <c r="AG872" i="36"/>
  <c r="AI871" i="36"/>
  <c r="AH871" i="36"/>
  <c r="AG871" i="36"/>
  <c r="AI870" i="36"/>
  <c r="AH870" i="36"/>
  <c r="AG870" i="36"/>
  <c r="AI869" i="36"/>
  <c r="AH869" i="36"/>
  <c r="AG869" i="36"/>
  <c r="AI868" i="36"/>
  <c r="AH868" i="36"/>
  <c r="AG868" i="36"/>
  <c r="AI867" i="36"/>
  <c r="AH867" i="36"/>
  <c r="AG867" i="36"/>
  <c r="AI866" i="36"/>
  <c r="AH866" i="36"/>
  <c r="AG866" i="36"/>
  <c r="AI865" i="36"/>
  <c r="AH865" i="36"/>
  <c r="AG865" i="36"/>
  <c r="AJ865" i="36" s="1"/>
  <c r="AI864" i="36"/>
  <c r="AH864" i="36"/>
  <c r="AG864" i="36"/>
  <c r="AI863" i="36"/>
  <c r="AH863" i="36"/>
  <c r="AG863" i="36"/>
  <c r="AI862" i="36"/>
  <c r="AH862" i="36"/>
  <c r="AG862" i="36"/>
  <c r="AI861" i="36"/>
  <c r="AH861" i="36"/>
  <c r="AG861" i="36"/>
  <c r="AI860" i="36"/>
  <c r="AH860" i="36"/>
  <c r="AG860" i="36"/>
  <c r="AI859" i="36"/>
  <c r="AH859" i="36"/>
  <c r="AG859" i="36"/>
  <c r="AI858" i="36"/>
  <c r="AH858" i="36"/>
  <c r="AG858" i="36"/>
  <c r="AI857" i="36"/>
  <c r="AH857" i="36"/>
  <c r="AG857" i="36"/>
  <c r="AI856" i="36"/>
  <c r="AH856" i="36"/>
  <c r="AG856" i="36"/>
  <c r="AI855" i="36"/>
  <c r="AH855" i="36"/>
  <c r="AG855" i="36"/>
  <c r="AI854" i="36"/>
  <c r="AH854" i="36"/>
  <c r="AG854" i="36"/>
  <c r="AI853" i="36"/>
  <c r="AH853" i="36"/>
  <c r="AG853" i="36"/>
  <c r="AI852" i="36"/>
  <c r="AH852" i="36"/>
  <c r="AG852" i="36"/>
  <c r="AI851" i="36"/>
  <c r="AH851" i="36"/>
  <c r="AG851" i="36"/>
  <c r="AI850" i="36"/>
  <c r="AH850" i="36"/>
  <c r="AG850" i="36"/>
  <c r="AI849" i="36"/>
  <c r="AH849" i="36"/>
  <c r="AG849" i="36"/>
  <c r="AJ849" i="36" s="1"/>
  <c r="AI848" i="36"/>
  <c r="AH848" i="36"/>
  <c r="AG848" i="36"/>
  <c r="AI847" i="36"/>
  <c r="AH847" i="36"/>
  <c r="AG847" i="36"/>
  <c r="AI846" i="36"/>
  <c r="AH846" i="36"/>
  <c r="AG846" i="36"/>
  <c r="AI845" i="36"/>
  <c r="AH845" i="36"/>
  <c r="AG845" i="36"/>
  <c r="AI844" i="36"/>
  <c r="AH844" i="36"/>
  <c r="AG844" i="36"/>
  <c r="AI843" i="36"/>
  <c r="AH843" i="36"/>
  <c r="AG843" i="36"/>
  <c r="AI842" i="36"/>
  <c r="AH842" i="36"/>
  <c r="AG842" i="36"/>
  <c r="AI841" i="36"/>
  <c r="AH841" i="36"/>
  <c r="AG841" i="36"/>
  <c r="AI840" i="36"/>
  <c r="AH840" i="36"/>
  <c r="AG840" i="36"/>
  <c r="AI839" i="36"/>
  <c r="AH839" i="36"/>
  <c r="AG839" i="36"/>
  <c r="AI838" i="36"/>
  <c r="AH838" i="36"/>
  <c r="AG838" i="36"/>
  <c r="AI837" i="36"/>
  <c r="AH837" i="36"/>
  <c r="AG837" i="36"/>
  <c r="AJ837" i="36" s="1"/>
  <c r="AI836" i="36"/>
  <c r="AH836" i="36"/>
  <c r="AG836" i="36"/>
  <c r="AI835" i="36"/>
  <c r="AH835" i="36"/>
  <c r="AG835" i="36"/>
  <c r="AI834" i="36"/>
  <c r="AH834" i="36"/>
  <c r="AG834" i="36"/>
  <c r="AI833" i="36"/>
  <c r="AH833" i="36"/>
  <c r="AG833" i="36"/>
  <c r="AJ833" i="36" s="1"/>
  <c r="AI832" i="36"/>
  <c r="AH832" i="36"/>
  <c r="AG832" i="36"/>
  <c r="AI831" i="36"/>
  <c r="AH831" i="36"/>
  <c r="AG831" i="36"/>
  <c r="AI830" i="36"/>
  <c r="AH830" i="36"/>
  <c r="AG830" i="36"/>
  <c r="AI829" i="36"/>
  <c r="AH829" i="36"/>
  <c r="AG829" i="36"/>
  <c r="AJ829" i="36" s="1"/>
  <c r="AI828" i="36"/>
  <c r="AH828" i="36"/>
  <c r="AG828" i="36"/>
  <c r="AI827" i="36"/>
  <c r="AH827" i="36"/>
  <c r="AG827" i="36"/>
  <c r="AI826" i="36"/>
  <c r="AH826" i="36"/>
  <c r="AG826" i="36"/>
  <c r="AI825" i="36"/>
  <c r="AH825" i="36"/>
  <c r="AG825" i="36"/>
  <c r="AI824" i="36"/>
  <c r="AH824" i="36"/>
  <c r="AG824" i="36"/>
  <c r="AI823" i="36"/>
  <c r="AH823" i="36"/>
  <c r="AG823" i="36"/>
  <c r="AI822" i="36"/>
  <c r="AH822" i="36"/>
  <c r="AG822" i="36"/>
  <c r="AI821" i="36"/>
  <c r="AH821" i="36"/>
  <c r="AG821" i="36"/>
  <c r="AJ821" i="36" s="1"/>
  <c r="AI820" i="36"/>
  <c r="AH820" i="36"/>
  <c r="AG820" i="36"/>
  <c r="AI819" i="36"/>
  <c r="AH819" i="36"/>
  <c r="AG819" i="36"/>
  <c r="AI818" i="36"/>
  <c r="AH818" i="36"/>
  <c r="AG818" i="36"/>
  <c r="AI817" i="36"/>
  <c r="AH817" i="36"/>
  <c r="AG817" i="36"/>
  <c r="AI816" i="36"/>
  <c r="AH816" i="36"/>
  <c r="AG816" i="36"/>
  <c r="AI815" i="36"/>
  <c r="AH815" i="36"/>
  <c r="AG815" i="36"/>
  <c r="AI814" i="36"/>
  <c r="AH814" i="36"/>
  <c r="AG814" i="36"/>
  <c r="AI813" i="36"/>
  <c r="AH813" i="36"/>
  <c r="AG813" i="36"/>
  <c r="AI812" i="36"/>
  <c r="AH812" i="36"/>
  <c r="AG812" i="36"/>
  <c r="AI811" i="36"/>
  <c r="AH811" i="36"/>
  <c r="AG811" i="36"/>
  <c r="AI810" i="36"/>
  <c r="AH810" i="36"/>
  <c r="AG810" i="36"/>
  <c r="AI809" i="36"/>
  <c r="AH809" i="36"/>
  <c r="AG809" i="36"/>
  <c r="AI808" i="36"/>
  <c r="AH808" i="36"/>
  <c r="AG808" i="36"/>
  <c r="AI807" i="36"/>
  <c r="AH807" i="36"/>
  <c r="AG807" i="36"/>
  <c r="AI806" i="36"/>
  <c r="AH806" i="36"/>
  <c r="AG806" i="36"/>
  <c r="AI805" i="36"/>
  <c r="AH805" i="36"/>
  <c r="AG805" i="36"/>
  <c r="AI804" i="36"/>
  <c r="AH804" i="36"/>
  <c r="AG804" i="36"/>
  <c r="AI803" i="36"/>
  <c r="AH803" i="36"/>
  <c r="AG803" i="36"/>
  <c r="AI802" i="36"/>
  <c r="AH802" i="36"/>
  <c r="AG802" i="36"/>
  <c r="AI801" i="36"/>
  <c r="AH801" i="36"/>
  <c r="AG801" i="36"/>
  <c r="AI800" i="36"/>
  <c r="AH800" i="36"/>
  <c r="AG800" i="36"/>
  <c r="AI799" i="36"/>
  <c r="AH799" i="36"/>
  <c r="AG799" i="36"/>
  <c r="AI798" i="36"/>
  <c r="AH798" i="36"/>
  <c r="AG798" i="36"/>
  <c r="AI797" i="36"/>
  <c r="AH797" i="36"/>
  <c r="AG797" i="36"/>
  <c r="AI796" i="36"/>
  <c r="AH796" i="36"/>
  <c r="AG796" i="36"/>
  <c r="AI795" i="36"/>
  <c r="AH795" i="36"/>
  <c r="AG795" i="36"/>
  <c r="AI794" i="36"/>
  <c r="AH794" i="36"/>
  <c r="AG794" i="36"/>
  <c r="AI793" i="36"/>
  <c r="AH793" i="36"/>
  <c r="AG793" i="36"/>
  <c r="AI792" i="36"/>
  <c r="AH792" i="36"/>
  <c r="AG792" i="36"/>
  <c r="AI791" i="36"/>
  <c r="AH791" i="36"/>
  <c r="AG791" i="36"/>
  <c r="AI790" i="36"/>
  <c r="AH790" i="36"/>
  <c r="AG790" i="36"/>
  <c r="AI789" i="36"/>
  <c r="AH789" i="36"/>
  <c r="AG789" i="36"/>
  <c r="AI788" i="36"/>
  <c r="AH788" i="36"/>
  <c r="AG788" i="36"/>
  <c r="AI787" i="36"/>
  <c r="AH787" i="36"/>
  <c r="AG787" i="36"/>
  <c r="AI786" i="36"/>
  <c r="AH786" i="36"/>
  <c r="AG786" i="36"/>
  <c r="AI785" i="36"/>
  <c r="AH785" i="36"/>
  <c r="AG785" i="36"/>
  <c r="AI784" i="36"/>
  <c r="AH784" i="36"/>
  <c r="AG784" i="36"/>
  <c r="AI783" i="36"/>
  <c r="AH783" i="36"/>
  <c r="AG783" i="36"/>
  <c r="AI782" i="36"/>
  <c r="AH782" i="36"/>
  <c r="AG782" i="36"/>
  <c r="AI781" i="36"/>
  <c r="AH781" i="36"/>
  <c r="AG781" i="36"/>
  <c r="AI780" i="36"/>
  <c r="AH780" i="36"/>
  <c r="AG780" i="36"/>
  <c r="AI779" i="36"/>
  <c r="AH779" i="36"/>
  <c r="AG779" i="36"/>
  <c r="AI778" i="36"/>
  <c r="AH778" i="36"/>
  <c r="AG778" i="36"/>
  <c r="AI777" i="36"/>
  <c r="AH777" i="36"/>
  <c r="AG777" i="36"/>
  <c r="AI776" i="36"/>
  <c r="AH776" i="36"/>
  <c r="AG776" i="36"/>
  <c r="AI775" i="36"/>
  <c r="AH775" i="36"/>
  <c r="AG775" i="36"/>
  <c r="AI774" i="36"/>
  <c r="AH774" i="36"/>
  <c r="AG774" i="36"/>
  <c r="AI773" i="36"/>
  <c r="AH773" i="36"/>
  <c r="AG773" i="36"/>
  <c r="AI772" i="36"/>
  <c r="AH772" i="36"/>
  <c r="AG772" i="36"/>
  <c r="AI771" i="36"/>
  <c r="AH771" i="36"/>
  <c r="AG771" i="36"/>
  <c r="AI770" i="36"/>
  <c r="AH770" i="36"/>
  <c r="AG770" i="36"/>
  <c r="AI769" i="36"/>
  <c r="AH769" i="36"/>
  <c r="AG769" i="36"/>
  <c r="AI768" i="36"/>
  <c r="AH768" i="36"/>
  <c r="AG768" i="36"/>
  <c r="AI767" i="36"/>
  <c r="AH767" i="36"/>
  <c r="AG767" i="36"/>
  <c r="AI766" i="36"/>
  <c r="AH766" i="36"/>
  <c r="AG766" i="36"/>
  <c r="AI765" i="36"/>
  <c r="AH765" i="36"/>
  <c r="AG765" i="36"/>
  <c r="AI764" i="36"/>
  <c r="AH764" i="36"/>
  <c r="AG764" i="36"/>
  <c r="AI763" i="36"/>
  <c r="AH763" i="36"/>
  <c r="AG763" i="36"/>
  <c r="AI762" i="36"/>
  <c r="AH762" i="36"/>
  <c r="AG762" i="36"/>
  <c r="AI761" i="36"/>
  <c r="AH761" i="36"/>
  <c r="AG761" i="36"/>
  <c r="AI760" i="36"/>
  <c r="AH760" i="36"/>
  <c r="AG760" i="36"/>
  <c r="AI759" i="36"/>
  <c r="AH759" i="36"/>
  <c r="AG759" i="36"/>
  <c r="AI758" i="36"/>
  <c r="AH758" i="36"/>
  <c r="AG758" i="36"/>
  <c r="AI757" i="36"/>
  <c r="AH757" i="36"/>
  <c r="AG757" i="36"/>
  <c r="AI756" i="36"/>
  <c r="AH756" i="36"/>
  <c r="AG756" i="36"/>
  <c r="AI755" i="36"/>
  <c r="AH755" i="36"/>
  <c r="AG755" i="36"/>
  <c r="AI754" i="36"/>
  <c r="AH754" i="36"/>
  <c r="AG754" i="36"/>
  <c r="AI753" i="36"/>
  <c r="AH753" i="36"/>
  <c r="AG753" i="36"/>
  <c r="AI752" i="36"/>
  <c r="AH752" i="36"/>
  <c r="AG752" i="36"/>
  <c r="AI751" i="36"/>
  <c r="AH751" i="36"/>
  <c r="AG751" i="36"/>
  <c r="AI750" i="36"/>
  <c r="AH750" i="36"/>
  <c r="AG750" i="36"/>
  <c r="AI749" i="36"/>
  <c r="AH749" i="36"/>
  <c r="AG749" i="36"/>
  <c r="AI748" i="36"/>
  <c r="AH748" i="36"/>
  <c r="AG748" i="36"/>
  <c r="AI747" i="36"/>
  <c r="AH747" i="36"/>
  <c r="AG747" i="36"/>
  <c r="AI746" i="36"/>
  <c r="AH746" i="36"/>
  <c r="AG746" i="36"/>
  <c r="AI745" i="36"/>
  <c r="AH745" i="36"/>
  <c r="AG745" i="36"/>
  <c r="AI744" i="36"/>
  <c r="AH744" i="36"/>
  <c r="AG744" i="36"/>
  <c r="AI743" i="36"/>
  <c r="AH743" i="36"/>
  <c r="AG743" i="36"/>
  <c r="AI742" i="36"/>
  <c r="AH742" i="36"/>
  <c r="AG742" i="36"/>
  <c r="AI741" i="36"/>
  <c r="AH741" i="36"/>
  <c r="AG741" i="36"/>
  <c r="AI740" i="36"/>
  <c r="AH740" i="36"/>
  <c r="AG740" i="36"/>
  <c r="AI739" i="36"/>
  <c r="AH739" i="36"/>
  <c r="AG739" i="36"/>
  <c r="AI738" i="36"/>
  <c r="AH738" i="36"/>
  <c r="AG738" i="36"/>
  <c r="AI737" i="36"/>
  <c r="AH737" i="36"/>
  <c r="AG737" i="36"/>
  <c r="AI736" i="36"/>
  <c r="AH736" i="36"/>
  <c r="AG736" i="36"/>
  <c r="AI735" i="36"/>
  <c r="AH735" i="36"/>
  <c r="AG735" i="36"/>
  <c r="AI734" i="36"/>
  <c r="AH734" i="36"/>
  <c r="AG734" i="36"/>
  <c r="AI733" i="36"/>
  <c r="AH733" i="36"/>
  <c r="AG733" i="36"/>
  <c r="AI732" i="36"/>
  <c r="AH732" i="36"/>
  <c r="AG732" i="36"/>
  <c r="AI731" i="36"/>
  <c r="AH731" i="36"/>
  <c r="AG731" i="36"/>
  <c r="AI730" i="36"/>
  <c r="AH730" i="36"/>
  <c r="AG730" i="36"/>
  <c r="AI729" i="36"/>
  <c r="AH729" i="36"/>
  <c r="AG729" i="36"/>
  <c r="AI728" i="36"/>
  <c r="AH728" i="36"/>
  <c r="AG728" i="36"/>
  <c r="AI727" i="36"/>
  <c r="AH727" i="36"/>
  <c r="AG727" i="36"/>
  <c r="AI726" i="36"/>
  <c r="AH726" i="36"/>
  <c r="AG726" i="36"/>
  <c r="AI725" i="36"/>
  <c r="AH725" i="36"/>
  <c r="AG725" i="36"/>
  <c r="AI724" i="36"/>
  <c r="AH724" i="36"/>
  <c r="AG724" i="36"/>
  <c r="AI723" i="36"/>
  <c r="AH723" i="36"/>
  <c r="AG723" i="36"/>
  <c r="AI722" i="36"/>
  <c r="AH722" i="36"/>
  <c r="AG722" i="36"/>
  <c r="AI721" i="36"/>
  <c r="AH721" i="36"/>
  <c r="AG721" i="36"/>
  <c r="AI720" i="36"/>
  <c r="AH720" i="36"/>
  <c r="AG720" i="36"/>
  <c r="AI719" i="36"/>
  <c r="AH719" i="36"/>
  <c r="AG719" i="36"/>
  <c r="AI718" i="36"/>
  <c r="AH718" i="36"/>
  <c r="AG718" i="36"/>
  <c r="AI717" i="36"/>
  <c r="AH717" i="36"/>
  <c r="AG717" i="36"/>
  <c r="AI716" i="36"/>
  <c r="AH716" i="36"/>
  <c r="AG716" i="36"/>
  <c r="AI715" i="36"/>
  <c r="AH715" i="36"/>
  <c r="AG715" i="36"/>
  <c r="AI714" i="36"/>
  <c r="AH714" i="36"/>
  <c r="AG714" i="36"/>
  <c r="AI713" i="36"/>
  <c r="AH713" i="36"/>
  <c r="AG713" i="36"/>
  <c r="AI712" i="36"/>
  <c r="AH712" i="36"/>
  <c r="AG712" i="36"/>
  <c r="AI711" i="36"/>
  <c r="AH711" i="36"/>
  <c r="AG711" i="36"/>
  <c r="AI710" i="36"/>
  <c r="AH710" i="36"/>
  <c r="AG710" i="36"/>
  <c r="AI709" i="36"/>
  <c r="AH709" i="36"/>
  <c r="AG709" i="36"/>
  <c r="AI708" i="36"/>
  <c r="AH708" i="36"/>
  <c r="AG708" i="36"/>
  <c r="AI707" i="36"/>
  <c r="AH707" i="36"/>
  <c r="AG707" i="36"/>
  <c r="AI706" i="36"/>
  <c r="AH706" i="36"/>
  <c r="AG706" i="36"/>
  <c r="AI705" i="36"/>
  <c r="AH705" i="36"/>
  <c r="AG705" i="36"/>
  <c r="AI704" i="36"/>
  <c r="AH704" i="36"/>
  <c r="AG704" i="36"/>
  <c r="AI703" i="36"/>
  <c r="AH703" i="36"/>
  <c r="AG703" i="36"/>
  <c r="AI702" i="36"/>
  <c r="AH702" i="36"/>
  <c r="AG702" i="36"/>
  <c r="AI701" i="36"/>
  <c r="AH701" i="36"/>
  <c r="AG701" i="36"/>
  <c r="AI700" i="36"/>
  <c r="AH700" i="36"/>
  <c r="AG700" i="36"/>
  <c r="AI699" i="36"/>
  <c r="AH699" i="36"/>
  <c r="AG699" i="36"/>
  <c r="AI698" i="36"/>
  <c r="AH698" i="36"/>
  <c r="AG698" i="36"/>
  <c r="AI697" i="36"/>
  <c r="AH697" i="36"/>
  <c r="AG697" i="36"/>
  <c r="AI696" i="36"/>
  <c r="AH696" i="36"/>
  <c r="AG696" i="36"/>
  <c r="AI695" i="36"/>
  <c r="AH695" i="36"/>
  <c r="AG695" i="36"/>
  <c r="AI694" i="36"/>
  <c r="AH694" i="36"/>
  <c r="AG694" i="36"/>
  <c r="AI693" i="36"/>
  <c r="AH693" i="36"/>
  <c r="AG693" i="36"/>
  <c r="AI692" i="36"/>
  <c r="AH692" i="36"/>
  <c r="AG692" i="36"/>
  <c r="AI691" i="36"/>
  <c r="AH691" i="36"/>
  <c r="AG691" i="36"/>
  <c r="AI690" i="36"/>
  <c r="AH690" i="36"/>
  <c r="AG690" i="36"/>
  <c r="AI689" i="36"/>
  <c r="AH689" i="36"/>
  <c r="AG689" i="36"/>
  <c r="AI688" i="36"/>
  <c r="AH688" i="36"/>
  <c r="AG688" i="36"/>
  <c r="AI687" i="36"/>
  <c r="AH687" i="36"/>
  <c r="AG687" i="36"/>
  <c r="AI686" i="36"/>
  <c r="AH686" i="36"/>
  <c r="AG686" i="36"/>
  <c r="AI685" i="36"/>
  <c r="AH685" i="36"/>
  <c r="AG685" i="36"/>
  <c r="AI684" i="36"/>
  <c r="AH684" i="36"/>
  <c r="AG684" i="36"/>
  <c r="AI683" i="36"/>
  <c r="AH683" i="36"/>
  <c r="AG683" i="36"/>
  <c r="AI682" i="36"/>
  <c r="AH682" i="36"/>
  <c r="AG682" i="36"/>
  <c r="AI681" i="36"/>
  <c r="AH681" i="36"/>
  <c r="AG681" i="36"/>
  <c r="AJ681" i="36" s="1"/>
  <c r="AI680" i="36"/>
  <c r="AH680" i="36"/>
  <c r="AG680" i="36"/>
  <c r="AI679" i="36"/>
  <c r="AH679" i="36"/>
  <c r="AG679" i="36"/>
  <c r="AI678" i="36"/>
  <c r="AH678" i="36"/>
  <c r="AG678" i="36"/>
  <c r="AI677" i="36"/>
  <c r="AH677" i="36"/>
  <c r="AG677" i="36"/>
  <c r="AJ677" i="36" s="1"/>
  <c r="AI676" i="36"/>
  <c r="AH676" i="36"/>
  <c r="AG676" i="36"/>
  <c r="AI675" i="36"/>
  <c r="AH675" i="36"/>
  <c r="AG675" i="36"/>
  <c r="AI674" i="36"/>
  <c r="AH674" i="36"/>
  <c r="AG674" i="36"/>
  <c r="AI673" i="36"/>
  <c r="AH673" i="36"/>
  <c r="AG673" i="36"/>
  <c r="AI672" i="36"/>
  <c r="AH672" i="36"/>
  <c r="AG672" i="36"/>
  <c r="AI671" i="36"/>
  <c r="AH671" i="36"/>
  <c r="AG671" i="36"/>
  <c r="AI670" i="36"/>
  <c r="AH670" i="36"/>
  <c r="AG670" i="36"/>
  <c r="AI669" i="36"/>
  <c r="AH669" i="36"/>
  <c r="AG669" i="36"/>
  <c r="AI668" i="36"/>
  <c r="AH668" i="36"/>
  <c r="AG668" i="36"/>
  <c r="AI667" i="36"/>
  <c r="AH667" i="36"/>
  <c r="AG667" i="36"/>
  <c r="AI666" i="36"/>
  <c r="AH666" i="36"/>
  <c r="AG666" i="36"/>
  <c r="AI665" i="36"/>
  <c r="AH665" i="36"/>
  <c r="AG665" i="36"/>
  <c r="AJ665" i="36" s="1"/>
  <c r="AI664" i="36"/>
  <c r="AH664" i="36"/>
  <c r="AG664" i="36"/>
  <c r="AI663" i="36"/>
  <c r="AH663" i="36"/>
  <c r="AG663" i="36"/>
  <c r="AI662" i="36"/>
  <c r="AH662" i="36"/>
  <c r="AG662" i="36"/>
  <c r="AI661" i="36"/>
  <c r="AH661" i="36"/>
  <c r="AG661" i="36"/>
  <c r="AI660" i="36"/>
  <c r="AH660" i="36"/>
  <c r="AG660" i="36"/>
  <c r="AI659" i="36"/>
  <c r="AH659" i="36"/>
  <c r="AG659" i="36"/>
  <c r="AI658" i="36"/>
  <c r="AH658" i="36"/>
  <c r="AG658" i="36"/>
  <c r="AI657" i="36"/>
  <c r="AH657" i="36"/>
  <c r="AG657" i="36"/>
  <c r="AJ657" i="36" s="1"/>
  <c r="AI656" i="36"/>
  <c r="AH656" i="36"/>
  <c r="AG656" i="36"/>
  <c r="AI655" i="36"/>
  <c r="AH655" i="36"/>
  <c r="AG655" i="36"/>
  <c r="AI654" i="36"/>
  <c r="AH654" i="36"/>
  <c r="AG654" i="36"/>
  <c r="AI653" i="36"/>
  <c r="AH653" i="36"/>
  <c r="AG653" i="36"/>
  <c r="AJ653" i="36" s="1"/>
  <c r="AI652" i="36"/>
  <c r="AH652" i="36"/>
  <c r="AG652" i="36"/>
  <c r="AI651" i="36"/>
  <c r="AH651" i="36"/>
  <c r="AG651" i="36"/>
  <c r="AI650" i="36"/>
  <c r="AH650" i="36"/>
  <c r="AG650" i="36"/>
  <c r="AI649" i="36"/>
  <c r="AH649" i="36"/>
  <c r="AG649" i="36"/>
  <c r="AI648" i="36"/>
  <c r="AH648" i="36"/>
  <c r="AG648" i="36"/>
  <c r="AI647" i="36"/>
  <c r="AH647" i="36"/>
  <c r="AG647" i="36"/>
  <c r="AI646" i="36"/>
  <c r="AH646" i="36"/>
  <c r="AG646" i="36"/>
  <c r="AI645" i="36"/>
  <c r="AH645" i="36"/>
  <c r="AG645" i="36"/>
  <c r="AI644" i="36"/>
  <c r="AH644" i="36"/>
  <c r="AG644" i="36"/>
  <c r="AI643" i="36"/>
  <c r="AH643" i="36"/>
  <c r="AG643" i="36"/>
  <c r="AI642" i="36"/>
  <c r="AH642" i="36"/>
  <c r="AG642" i="36"/>
  <c r="AI641" i="36"/>
  <c r="AH641" i="36"/>
  <c r="AG641" i="36"/>
  <c r="AJ641" i="36" s="1"/>
  <c r="AI640" i="36"/>
  <c r="AH640" i="36"/>
  <c r="AG640" i="36"/>
  <c r="AI639" i="36"/>
  <c r="AH639" i="36"/>
  <c r="AG639" i="36"/>
  <c r="AI638" i="36"/>
  <c r="AH638" i="36"/>
  <c r="AG638" i="36"/>
  <c r="AI637" i="36"/>
  <c r="AH637" i="36"/>
  <c r="AG637" i="36"/>
  <c r="AI636" i="36"/>
  <c r="AH636" i="36"/>
  <c r="AG636" i="36"/>
  <c r="AI635" i="36"/>
  <c r="AH635" i="36"/>
  <c r="AG635" i="36"/>
  <c r="AI634" i="36"/>
  <c r="AH634" i="36"/>
  <c r="AG634" i="36"/>
  <c r="AI633" i="36"/>
  <c r="AH633" i="36"/>
  <c r="AG633" i="36"/>
  <c r="AI632" i="36"/>
  <c r="AH632" i="36"/>
  <c r="AG632" i="36"/>
  <c r="AI631" i="36"/>
  <c r="AH631" i="36"/>
  <c r="AG631" i="36"/>
  <c r="AI630" i="36"/>
  <c r="AH630" i="36"/>
  <c r="AG630" i="36"/>
  <c r="AI629" i="36"/>
  <c r="AH629" i="36"/>
  <c r="AG629" i="36"/>
  <c r="AJ629" i="36" s="1"/>
  <c r="AI628" i="36"/>
  <c r="AH628" i="36"/>
  <c r="AG628" i="36"/>
  <c r="AI627" i="36"/>
  <c r="AH627" i="36"/>
  <c r="AG627" i="36"/>
  <c r="AI626" i="36"/>
  <c r="AH626" i="36"/>
  <c r="AG626" i="36"/>
  <c r="AI625" i="36"/>
  <c r="AH625" i="36"/>
  <c r="AG625" i="36"/>
  <c r="AI624" i="36"/>
  <c r="AH624" i="36"/>
  <c r="AG624" i="36"/>
  <c r="AI623" i="36"/>
  <c r="AH623" i="36"/>
  <c r="AG623" i="36"/>
  <c r="AI622" i="36"/>
  <c r="AH622" i="36"/>
  <c r="AG622" i="36"/>
  <c r="AI621" i="36"/>
  <c r="AH621" i="36"/>
  <c r="AG621" i="36"/>
  <c r="AI620" i="36"/>
  <c r="AH620" i="36"/>
  <c r="AG620" i="36"/>
  <c r="AI619" i="36"/>
  <c r="AH619" i="36"/>
  <c r="AG619" i="36"/>
  <c r="AI618" i="36"/>
  <c r="AH618" i="36"/>
  <c r="AG618" i="36"/>
  <c r="AI617" i="36"/>
  <c r="AH617" i="36"/>
  <c r="AG617" i="36"/>
  <c r="AJ617" i="36" s="1"/>
  <c r="AI616" i="36"/>
  <c r="AH616" i="36"/>
  <c r="AG616" i="36"/>
  <c r="AI615" i="36"/>
  <c r="AH615" i="36"/>
  <c r="AG615" i="36"/>
  <c r="AI614" i="36"/>
  <c r="AH614" i="36"/>
  <c r="AG614" i="36"/>
  <c r="AI613" i="36"/>
  <c r="AH613" i="36"/>
  <c r="AG613" i="36"/>
  <c r="AJ613" i="36" s="1"/>
  <c r="AI612" i="36"/>
  <c r="AH612" i="36"/>
  <c r="AG612" i="36"/>
  <c r="AI611" i="36"/>
  <c r="AH611" i="36"/>
  <c r="AG611" i="36"/>
  <c r="AI610" i="36"/>
  <c r="AH610" i="36"/>
  <c r="AG610" i="36"/>
  <c r="AI609" i="36"/>
  <c r="AH609" i="36"/>
  <c r="AG609" i="36"/>
  <c r="AJ609" i="36" s="1"/>
  <c r="AI608" i="36"/>
  <c r="AH608" i="36"/>
  <c r="AG608" i="36"/>
  <c r="AI607" i="36"/>
  <c r="AH607" i="36"/>
  <c r="AG607" i="36"/>
  <c r="AI606" i="36"/>
  <c r="AH606" i="36"/>
  <c r="AG606" i="36"/>
  <c r="AI605" i="36"/>
  <c r="AH605" i="36"/>
  <c r="AG605" i="36"/>
  <c r="AI604" i="36"/>
  <c r="AH604" i="36"/>
  <c r="AG604" i="36"/>
  <c r="AI603" i="36"/>
  <c r="AH603" i="36"/>
  <c r="AG603" i="36"/>
  <c r="AI602" i="36"/>
  <c r="AH602" i="36"/>
  <c r="AG602" i="36"/>
  <c r="AI601" i="36"/>
  <c r="AH601" i="36"/>
  <c r="AG601" i="36"/>
  <c r="AI600" i="36"/>
  <c r="AH600" i="36"/>
  <c r="AG600" i="36"/>
  <c r="AI599" i="36"/>
  <c r="AH599" i="36"/>
  <c r="AG599" i="36"/>
  <c r="AI598" i="36"/>
  <c r="AH598" i="36"/>
  <c r="AG598" i="36"/>
  <c r="AI597" i="36"/>
  <c r="AH597" i="36"/>
  <c r="AG597" i="36"/>
  <c r="AI596" i="36"/>
  <c r="AH596" i="36"/>
  <c r="AG596" i="36"/>
  <c r="AI595" i="36"/>
  <c r="AH595" i="36"/>
  <c r="AG595" i="36"/>
  <c r="AI594" i="36"/>
  <c r="AH594" i="36"/>
  <c r="AG594" i="36"/>
  <c r="AI593" i="36"/>
  <c r="AH593" i="36"/>
  <c r="AG593" i="36"/>
  <c r="AJ593" i="36" s="1"/>
  <c r="AI592" i="36"/>
  <c r="AH592" i="36"/>
  <c r="AG592" i="36"/>
  <c r="AI591" i="36"/>
  <c r="AH591" i="36"/>
  <c r="AG591" i="36"/>
  <c r="AI590" i="36"/>
  <c r="AH590" i="36"/>
  <c r="AG590" i="36"/>
  <c r="AI589" i="36"/>
  <c r="AH589" i="36"/>
  <c r="AG589" i="36"/>
  <c r="AI588" i="36"/>
  <c r="AH588" i="36"/>
  <c r="AG588" i="36"/>
  <c r="AI587" i="36"/>
  <c r="AH587" i="36"/>
  <c r="AG587" i="36"/>
  <c r="AI586" i="36"/>
  <c r="AH586" i="36"/>
  <c r="AG586" i="36"/>
  <c r="AI585" i="36"/>
  <c r="AH585" i="36"/>
  <c r="AG585" i="36"/>
  <c r="AJ585" i="36" s="1"/>
  <c r="AI584" i="36"/>
  <c r="AH584" i="36"/>
  <c r="AG584" i="36"/>
  <c r="AI583" i="36"/>
  <c r="AH583" i="36"/>
  <c r="AG583" i="36"/>
  <c r="AI582" i="36"/>
  <c r="AH582" i="36"/>
  <c r="AG582" i="36"/>
  <c r="AI581" i="36"/>
  <c r="AH581" i="36"/>
  <c r="AG581" i="36"/>
  <c r="AI580" i="36"/>
  <c r="AH580" i="36"/>
  <c r="AG580" i="36"/>
  <c r="AI579" i="36"/>
  <c r="AH579" i="36"/>
  <c r="AG579" i="36"/>
  <c r="AI578" i="36"/>
  <c r="AH578" i="36"/>
  <c r="AG578" i="36"/>
  <c r="AI577" i="36"/>
  <c r="AH577" i="36"/>
  <c r="AG577" i="36"/>
  <c r="AI576" i="36"/>
  <c r="AH576" i="36"/>
  <c r="AG576" i="36"/>
  <c r="AI575" i="36"/>
  <c r="AH575" i="36"/>
  <c r="AG575" i="36"/>
  <c r="AI574" i="36"/>
  <c r="AH574" i="36"/>
  <c r="AG574" i="36"/>
  <c r="AI573" i="36"/>
  <c r="AH573" i="36"/>
  <c r="AG573" i="36"/>
  <c r="AI572" i="36"/>
  <c r="AH572" i="36"/>
  <c r="AG572" i="36"/>
  <c r="AI571" i="36"/>
  <c r="AH571" i="36"/>
  <c r="AG571" i="36"/>
  <c r="AI570" i="36"/>
  <c r="AH570" i="36"/>
  <c r="AG570" i="36"/>
  <c r="AI569" i="36"/>
  <c r="AH569" i="36"/>
  <c r="AG569" i="36"/>
  <c r="AI568" i="36"/>
  <c r="AH568" i="36"/>
  <c r="AG568" i="36"/>
  <c r="AI567" i="36"/>
  <c r="AH567" i="36"/>
  <c r="AG567" i="36"/>
  <c r="AI566" i="36"/>
  <c r="AH566" i="36"/>
  <c r="AG566" i="36"/>
  <c r="AI565" i="36"/>
  <c r="AH565" i="36"/>
  <c r="AG565" i="36"/>
  <c r="AI564" i="36"/>
  <c r="AH564" i="36"/>
  <c r="AG564" i="36"/>
  <c r="AI563" i="36"/>
  <c r="AH563" i="36"/>
  <c r="AG563" i="36"/>
  <c r="AI562" i="36"/>
  <c r="AH562" i="36"/>
  <c r="AG562" i="36"/>
  <c r="AI561" i="36"/>
  <c r="AH561" i="36"/>
  <c r="AG561" i="36"/>
  <c r="AI560" i="36"/>
  <c r="AH560" i="36"/>
  <c r="AG560" i="36"/>
  <c r="AI559" i="36"/>
  <c r="AH559" i="36"/>
  <c r="AG559" i="36"/>
  <c r="AI558" i="36"/>
  <c r="AH558" i="36"/>
  <c r="AG558" i="36"/>
  <c r="AI557" i="36"/>
  <c r="AH557" i="36"/>
  <c r="AG557" i="36"/>
  <c r="AI556" i="36"/>
  <c r="AH556" i="36"/>
  <c r="AG556" i="36"/>
  <c r="AI555" i="36"/>
  <c r="AH555" i="36"/>
  <c r="AG555" i="36"/>
  <c r="AI554" i="36"/>
  <c r="AH554" i="36"/>
  <c r="AG554" i="36"/>
  <c r="AI553" i="36"/>
  <c r="AH553" i="36"/>
  <c r="AG553" i="36"/>
  <c r="AI552" i="36"/>
  <c r="AH552" i="36"/>
  <c r="AG552" i="36"/>
  <c r="AI551" i="36"/>
  <c r="AH551" i="36"/>
  <c r="AG551" i="36"/>
  <c r="AI550" i="36"/>
  <c r="AH550" i="36"/>
  <c r="AG550" i="36"/>
  <c r="AI549" i="36"/>
  <c r="AH549" i="36"/>
  <c r="AG549" i="36"/>
  <c r="AI548" i="36"/>
  <c r="AH548" i="36"/>
  <c r="AG548" i="36"/>
  <c r="AI547" i="36"/>
  <c r="AH547" i="36"/>
  <c r="AG547" i="36"/>
  <c r="AI546" i="36"/>
  <c r="AH546" i="36"/>
  <c r="AG546" i="36"/>
  <c r="AI545" i="36"/>
  <c r="AH545" i="36"/>
  <c r="AG545" i="36"/>
  <c r="AI544" i="36"/>
  <c r="AH544" i="36"/>
  <c r="AG544" i="36"/>
  <c r="AI543" i="36"/>
  <c r="AH543" i="36"/>
  <c r="AG543" i="36"/>
  <c r="AI542" i="36"/>
  <c r="AH542" i="36"/>
  <c r="AG542" i="36"/>
  <c r="AI541" i="36"/>
  <c r="AH541" i="36"/>
  <c r="AG541" i="36"/>
  <c r="AI540" i="36"/>
  <c r="AH540" i="36"/>
  <c r="AG540" i="36"/>
  <c r="AI539" i="36"/>
  <c r="AH539" i="36"/>
  <c r="AG539" i="36"/>
  <c r="AI538" i="36"/>
  <c r="AH538" i="36"/>
  <c r="AG538" i="36"/>
  <c r="AI537" i="36"/>
  <c r="AH537" i="36"/>
  <c r="AG537" i="36"/>
  <c r="AI536" i="36"/>
  <c r="AH536" i="36"/>
  <c r="AG536" i="36"/>
  <c r="AI535" i="36"/>
  <c r="AH535" i="36"/>
  <c r="AG535" i="36"/>
  <c r="AI534" i="36"/>
  <c r="AH534" i="36"/>
  <c r="AG534" i="36"/>
  <c r="AI533" i="36"/>
  <c r="AH533" i="36"/>
  <c r="AG533" i="36"/>
  <c r="AI532" i="36"/>
  <c r="AH532" i="36"/>
  <c r="AG532" i="36"/>
  <c r="AI531" i="36"/>
  <c r="AH531" i="36"/>
  <c r="AG531" i="36"/>
  <c r="AI530" i="36"/>
  <c r="AH530" i="36"/>
  <c r="AG530" i="36"/>
  <c r="AI529" i="36"/>
  <c r="AH529" i="36"/>
  <c r="AG529" i="36"/>
  <c r="AI528" i="36"/>
  <c r="AH528" i="36"/>
  <c r="AG528" i="36"/>
  <c r="AI527" i="36"/>
  <c r="AH527" i="36"/>
  <c r="AG527" i="36"/>
  <c r="AI526" i="36"/>
  <c r="AH526" i="36"/>
  <c r="AG526" i="36"/>
  <c r="AI525" i="36"/>
  <c r="AH525" i="36"/>
  <c r="AG525" i="36"/>
  <c r="AI524" i="36"/>
  <c r="AH524" i="36"/>
  <c r="AG524" i="36"/>
  <c r="AI523" i="36"/>
  <c r="AH523" i="36"/>
  <c r="AG523" i="36"/>
  <c r="AI522" i="36"/>
  <c r="AH522" i="36"/>
  <c r="AG522" i="36"/>
  <c r="AI521" i="36"/>
  <c r="AH521" i="36"/>
  <c r="AG521" i="36"/>
  <c r="AI520" i="36"/>
  <c r="AH520" i="36"/>
  <c r="AG520" i="36"/>
  <c r="AI519" i="36"/>
  <c r="AH519" i="36"/>
  <c r="AG519" i="36"/>
  <c r="AI518" i="36"/>
  <c r="AH518" i="36"/>
  <c r="AG518" i="36"/>
  <c r="AI517" i="36"/>
  <c r="AH517" i="36"/>
  <c r="AG517" i="36"/>
  <c r="AI516" i="36"/>
  <c r="AH516" i="36"/>
  <c r="AG516" i="36"/>
  <c r="AI515" i="36"/>
  <c r="AH515" i="36"/>
  <c r="AG515" i="36"/>
  <c r="AI514" i="36"/>
  <c r="AH514" i="36"/>
  <c r="AG514" i="36"/>
  <c r="AI513" i="36"/>
  <c r="AH513" i="36"/>
  <c r="AG513" i="36"/>
  <c r="AI512" i="36"/>
  <c r="AH512" i="36"/>
  <c r="AG512" i="36"/>
  <c r="AI511" i="36"/>
  <c r="AH511" i="36"/>
  <c r="AG511" i="36"/>
  <c r="AI510" i="36"/>
  <c r="AH510" i="36"/>
  <c r="AG510" i="36"/>
  <c r="AI509" i="36"/>
  <c r="AH509" i="36"/>
  <c r="AG509" i="36"/>
  <c r="AI508" i="36"/>
  <c r="AH508" i="36"/>
  <c r="AG508" i="36"/>
  <c r="AI507" i="36"/>
  <c r="AH507" i="36"/>
  <c r="AG507" i="36"/>
  <c r="AI506" i="36"/>
  <c r="AH506" i="36"/>
  <c r="AG506" i="36"/>
  <c r="AI505" i="36"/>
  <c r="AH505" i="36"/>
  <c r="AG505" i="36"/>
  <c r="AI504" i="36"/>
  <c r="AH504" i="36"/>
  <c r="AG504" i="36"/>
  <c r="AI503" i="36"/>
  <c r="AH503" i="36"/>
  <c r="AG503" i="36"/>
  <c r="AI502" i="36"/>
  <c r="AH502" i="36"/>
  <c r="AG502" i="36"/>
  <c r="AI501" i="36"/>
  <c r="AH501" i="36"/>
  <c r="AG501" i="36"/>
  <c r="AJ501" i="36" s="1"/>
  <c r="AI500" i="36"/>
  <c r="AH500" i="36"/>
  <c r="AG500" i="36"/>
  <c r="AI499" i="36"/>
  <c r="AH499" i="36"/>
  <c r="AG499" i="36"/>
  <c r="AI498" i="36"/>
  <c r="AH498" i="36"/>
  <c r="AG498" i="36"/>
  <c r="AI497" i="36"/>
  <c r="AH497" i="36"/>
  <c r="AG497" i="36"/>
  <c r="AJ497" i="36" s="1"/>
  <c r="AI496" i="36"/>
  <c r="AH496" i="36"/>
  <c r="AG496" i="36"/>
  <c r="AI495" i="36"/>
  <c r="AH495" i="36"/>
  <c r="AG495" i="36"/>
  <c r="AI494" i="36"/>
  <c r="AH494" i="36"/>
  <c r="AG494" i="36"/>
  <c r="AI493" i="36"/>
  <c r="AH493" i="36"/>
  <c r="AG493" i="36"/>
  <c r="AJ493" i="36" s="1"/>
  <c r="AI492" i="36"/>
  <c r="AH492" i="36"/>
  <c r="AG492" i="36"/>
  <c r="AI491" i="36"/>
  <c r="AH491" i="36"/>
  <c r="AG491" i="36"/>
  <c r="AI490" i="36"/>
  <c r="AH490" i="36"/>
  <c r="AG490" i="36"/>
  <c r="AI489" i="36"/>
  <c r="AH489" i="36"/>
  <c r="AG489" i="36"/>
  <c r="AI488" i="36"/>
  <c r="AH488" i="36"/>
  <c r="AG488" i="36"/>
  <c r="AI487" i="36"/>
  <c r="AH487" i="36"/>
  <c r="AG487" i="36"/>
  <c r="AI486" i="36"/>
  <c r="AH486" i="36"/>
  <c r="AG486" i="36"/>
  <c r="AI485" i="36"/>
  <c r="AH485" i="36"/>
  <c r="AG485" i="36"/>
  <c r="AJ485" i="36" s="1"/>
  <c r="AI484" i="36"/>
  <c r="AH484" i="36"/>
  <c r="AG484" i="36"/>
  <c r="AI483" i="36"/>
  <c r="AH483" i="36"/>
  <c r="AG483" i="36"/>
  <c r="AI482" i="36"/>
  <c r="AH482" i="36"/>
  <c r="AG482" i="36"/>
  <c r="AI481" i="36"/>
  <c r="AH481" i="36"/>
  <c r="AG481" i="36"/>
  <c r="AJ481" i="36" s="1"/>
  <c r="AI480" i="36"/>
  <c r="AH480" i="36"/>
  <c r="AG480" i="36"/>
  <c r="AI479" i="36"/>
  <c r="AH479" i="36"/>
  <c r="AG479" i="36"/>
  <c r="AI478" i="36"/>
  <c r="AH478" i="36"/>
  <c r="AG478" i="36"/>
  <c r="AI477" i="36"/>
  <c r="AH477" i="36"/>
  <c r="AG477" i="36"/>
  <c r="AJ477" i="36" s="1"/>
  <c r="AI476" i="36"/>
  <c r="AH476" i="36"/>
  <c r="AG476" i="36"/>
  <c r="AI475" i="36"/>
  <c r="AH475" i="36"/>
  <c r="AG475" i="36"/>
  <c r="AI474" i="36"/>
  <c r="AH474" i="36"/>
  <c r="AG474" i="36"/>
  <c r="AI473" i="36"/>
  <c r="AH473" i="36"/>
  <c r="AG473" i="36"/>
  <c r="AJ473" i="36" s="1"/>
  <c r="AI472" i="36"/>
  <c r="AH472" i="36"/>
  <c r="AG472" i="36"/>
  <c r="AI471" i="36"/>
  <c r="AH471" i="36"/>
  <c r="AG471" i="36"/>
  <c r="AI470" i="36"/>
  <c r="AH470" i="36"/>
  <c r="AG470" i="36"/>
  <c r="AI469" i="36"/>
  <c r="AH469" i="36"/>
  <c r="AG469" i="36"/>
  <c r="AJ469" i="36" s="1"/>
  <c r="AI468" i="36"/>
  <c r="AH468" i="36"/>
  <c r="AG468" i="36"/>
  <c r="AI467" i="36"/>
  <c r="AH467" i="36"/>
  <c r="AG467" i="36"/>
  <c r="AI466" i="36"/>
  <c r="AH466" i="36"/>
  <c r="AG466" i="36"/>
  <c r="AI465" i="36"/>
  <c r="AH465" i="36"/>
  <c r="AG465" i="36"/>
  <c r="AJ465" i="36" s="1"/>
  <c r="AI464" i="36"/>
  <c r="AH464" i="36"/>
  <c r="AG464" i="36"/>
  <c r="AI463" i="36"/>
  <c r="AH463" i="36"/>
  <c r="AG463" i="36"/>
  <c r="AI462" i="36"/>
  <c r="AH462" i="36"/>
  <c r="AG462" i="36"/>
  <c r="AI461" i="36"/>
  <c r="AH461" i="36"/>
  <c r="AG461" i="36"/>
  <c r="AJ461" i="36" s="1"/>
  <c r="AI460" i="36"/>
  <c r="AH460" i="36"/>
  <c r="AG460" i="36"/>
  <c r="AI459" i="36"/>
  <c r="AH459" i="36"/>
  <c r="AG459" i="36"/>
  <c r="AI458" i="36"/>
  <c r="AH458" i="36"/>
  <c r="AG458" i="36"/>
  <c r="AI457" i="36"/>
  <c r="AH457" i="36"/>
  <c r="AG457" i="36"/>
  <c r="AJ457" i="36" s="1"/>
  <c r="AI456" i="36"/>
  <c r="AH456" i="36"/>
  <c r="AG456" i="36"/>
  <c r="AI455" i="36"/>
  <c r="AH455" i="36"/>
  <c r="AG455" i="36"/>
  <c r="AI454" i="36"/>
  <c r="AH454" i="36"/>
  <c r="AG454" i="36"/>
  <c r="AI453" i="36"/>
  <c r="AH453" i="36"/>
  <c r="AG453" i="36"/>
  <c r="AI452" i="36"/>
  <c r="AH452" i="36"/>
  <c r="AG452" i="36"/>
  <c r="AI451" i="36"/>
  <c r="AH451" i="36"/>
  <c r="AG451" i="36"/>
  <c r="AI450" i="36"/>
  <c r="AH450" i="36"/>
  <c r="AG450" i="36"/>
  <c r="AI449" i="36"/>
  <c r="AH449" i="36"/>
  <c r="AG449" i="36"/>
  <c r="AJ449" i="36" s="1"/>
  <c r="AI448" i="36"/>
  <c r="AH448" i="36"/>
  <c r="AG448" i="36"/>
  <c r="AI447" i="36"/>
  <c r="AH447" i="36"/>
  <c r="AG447" i="36"/>
  <c r="AI446" i="36"/>
  <c r="AH446" i="36"/>
  <c r="AG446" i="36"/>
  <c r="AI445" i="36"/>
  <c r="AH445" i="36"/>
  <c r="AG445" i="36"/>
  <c r="AI444" i="36"/>
  <c r="AH444" i="36"/>
  <c r="AG444" i="36"/>
  <c r="AI443" i="36"/>
  <c r="AH443" i="36"/>
  <c r="AG443" i="36"/>
  <c r="AI442" i="36"/>
  <c r="AH442" i="36"/>
  <c r="AG442" i="36"/>
  <c r="AI441" i="36"/>
  <c r="AH441" i="36"/>
  <c r="AG441" i="36"/>
  <c r="AJ441" i="36" s="1"/>
  <c r="AI440" i="36"/>
  <c r="AH440" i="36"/>
  <c r="AG440" i="36"/>
  <c r="AI439" i="36"/>
  <c r="AH439" i="36"/>
  <c r="AG439" i="36"/>
  <c r="AI438" i="36"/>
  <c r="AH438" i="36"/>
  <c r="AG438" i="36"/>
  <c r="AI437" i="36"/>
  <c r="AH437" i="36"/>
  <c r="AG437" i="36"/>
  <c r="AJ437" i="36" s="1"/>
  <c r="AI436" i="36"/>
  <c r="AH436" i="36"/>
  <c r="AG436" i="36"/>
  <c r="AI435" i="36"/>
  <c r="AH435" i="36"/>
  <c r="AG435" i="36"/>
  <c r="AI434" i="36"/>
  <c r="AH434" i="36"/>
  <c r="AG434" i="36"/>
  <c r="AI433" i="36"/>
  <c r="AH433" i="36"/>
  <c r="AG433" i="36"/>
  <c r="AJ433" i="36" s="1"/>
  <c r="AI432" i="36"/>
  <c r="AH432" i="36"/>
  <c r="AG432" i="36"/>
  <c r="AI431" i="36"/>
  <c r="AH431" i="36"/>
  <c r="AG431" i="36"/>
  <c r="AI430" i="36"/>
  <c r="AH430" i="36"/>
  <c r="AG430" i="36"/>
  <c r="AI429" i="36"/>
  <c r="AH429" i="36"/>
  <c r="AG429" i="36"/>
  <c r="AJ429" i="36" s="1"/>
  <c r="AI428" i="36"/>
  <c r="AH428" i="36"/>
  <c r="AG428" i="36"/>
  <c r="AI427" i="36"/>
  <c r="AH427" i="36"/>
  <c r="AG427" i="36"/>
  <c r="AI426" i="36"/>
  <c r="AH426" i="36"/>
  <c r="AG426" i="36"/>
  <c r="AI425" i="36"/>
  <c r="AH425" i="36"/>
  <c r="AG425" i="36"/>
  <c r="AJ425" i="36" s="1"/>
  <c r="AI424" i="36"/>
  <c r="AH424" i="36"/>
  <c r="AG424" i="36"/>
  <c r="AI423" i="36"/>
  <c r="AH423" i="36"/>
  <c r="AG423" i="36"/>
  <c r="AI422" i="36"/>
  <c r="AH422" i="36"/>
  <c r="AG422" i="36"/>
  <c r="AI421" i="36"/>
  <c r="AH421" i="36"/>
  <c r="AG421" i="36"/>
  <c r="AJ421" i="36" s="1"/>
  <c r="AI420" i="36"/>
  <c r="AH420" i="36"/>
  <c r="AG420" i="36"/>
  <c r="AI419" i="36"/>
  <c r="AH419" i="36"/>
  <c r="AG419" i="36"/>
  <c r="AI418" i="36"/>
  <c r="AH418" i="36"/>
  <c r="AG418" i="36"/>
  <c r="AI417" i="36"/>
  <c r="AH417" i="36"/>
  <c r="AG417" i="36"/>
  <c r="AI416" i="36"/>
  <c r="AH416" i="36"/>
  <c r="AG416" i="36"/>
  <c r="AI415" i="36"/>
  <c r="AH415" i="36"/>
  <c r="AG415" i="36"/>
  <c r="AI414" i="36"/>
  <c r="AH414" i="36"/>
  <c r="AG414" i="36"/>
  <c r="AI413" i="36"/>
  <c r="AH413" i="36"/>
  <c r="AG413" i="36"/>
  <c r="AJ413" i="36" s="1"/>
  <c r="AI412" i="36"/>
  <c r="AH412" i="36"/>
  <c r="AG412" i="36"/>
  <c r="AI411" i="36"/>
  <c r="AH411" i="36"/>
  <c r="AG411" i="36"/>
  <c r="AI410" i="36"/>
  <c r="AH410" i="36"/>
  <c r="AG410" i="36"/>
  <c r="AI409" i="36"/>
  <c r="AH409" i="36"/>
  <c r="AG409" i="36"/>
  <c r="AJ409" i="36" s="1"/>
  <c r="AI408" i="36"/>
  <c r="AH408" i="36"/>
  <c r="AG408" i="36"/>
  <c r="AI407" i="36"/>
  <c r="AH407" i="36"/>
  <c r="AG407" i="36"/>
  <c r="AI406" i="36"/>
  <c r="AH406" i="36"/>
  <c r="AG406" i="36"/>
  <c r="AI405" i="36"/>
  <c r="AH405" i="36"/>
  <c r="AG405" i="36"/>
  <c r="AJ405" i="36" s="1"/>
  <c r="AI404" i="36"/>
  <c r="AH404" i="36"/>
  <c r="AG404" i="36"/>
  <c r="AI403" i="36"/>
  <c r="AH403" i="36"/>
  <c r="AG403" i="36"/>
  <c r="AI402" i="36"/>
  <c r="AH402" i="36"/>
  <c r="AG402" i="36"/>
  <c r="AI401" i="36"/>
  <c r="AH401" i="36"/>
  <c r="AG401" i="36"/>
  <c r="AJ401" i="36" s="1"/>
  <c r="AI400" i="36"/>
  <c r="AH400" i="36"/>
  <c r="AG400" i="36"/>
  <c r="AI399" i="36"/>
  <c r="AH399" i="36"/>
  <c r="AG399" i="36"/>
  <c r="AI398" i="36"/>
  <c r="AH398" i="36"/>
  <c r="AG398" i="36"/>
  <c r="AI397" i="36"/>
  <c r="AH397" i="36"/>
  <c r="AG397" i="36"/>
  <c r="AI396" i="36"/>
  <c r="AH396" i="36"/>
  <c r="AG396" i="36"/>
  <c r="AI395" i="36"/>
  <c r="AH395" i="36"/>
  <c r="AG395" i="36"/>
  <c r="AI394" i="36"/>
  <c r="AH394" i="36"/>
  <c r="AG394" i="36"/>
  <c r="AI393" i="36"/>
  <c r="AH393" i="36"/>
  <c r="AG393" i="36"/>
  <c r="AJ393" i="36" s="1"/>
  <c r="AI392" i="36"/>
  <c r="AH392" i="36"/>
  <c r="AG392" i="36"/>
  <c r="AI391" i="36"/>
  <c r="AH391" i="36"/>
  <c r="AG391" i="36"/>
  <c r="AI390" i="36"/>
  <c r="AH390" i="36"/>
  <c r="AG390" i="36"/>
  <c r="AI389" i="36"/>
  <c r="AH389" i="36"/>
  <c r="AG389" i="36"/>
  <c r="AJ389" i="36" s="1"/>
  <c r="AI388" i="36"/>
  <c r="AH388" i="36"/>
  <c r="AG388" i="36"/>
  <c r="AI387" i="36"/>
  <c r="AH387" i="36"/>
  <c r="AG387" i="36"/>
  <c r="AI386" i="36"/>
  <c r="AH386" i="36"/>
  <c r="AG386" i="36"/>
  <c r="AI385" i="36"/>
  <c r="AH385" i="36"/>
  <c r="AG385" i="36"/>
  <c r="AJ385" i="36" s="1"/>
  <c r="AI384" i="36"/>
  <c r="AH384" i="36"/>
  <c r="AG384" i="36"/>
  <c r="AI383" i="36"/>
  <c r="AH383" i="36"/>
  <c r="AG383" i="36"/>
  <c r="AI382" i="36"/>
  <c r="AH382" i="36"/>
  <c r="AG382" i="36"/>
  <c r="AI381" i="36"/>
  <c r="AH381" i="36"/>
  <c r="AG381" i="36"/>
  <c r="AJ381" i="36" s="1"/>
  <c r="AI380" i="36"/>
  <c r="AH380" i="36"/>
  <c r="AG380" i="36"/>
  <c r="AI379" i="36"/>
  <c r="AH379" i="36"/>
  <c r="AG379" i="36"/>
  <c r="AI378" i="36"/>
  <c r="AH378" i="36"/>
  <c r="AG378" i="36"/>
  <c r="AI377" i="36"/>
  <c r="AH377" i="36"/>
  <c r="AG377" i="36"/>
  <c r="AI376" i="36"/>
  <c r="AH376" i="36"/>
  <c r="AG376" i="36"/>
  <c r="AI375" i="36"/>
  <c r="AH375" i="36"/>
  <c r="AG375" i="36"/>
  <c r="AI374" i="36"/>
  <c r="AH374" i="36"/>
  <c r="AG374" i="36"/>
  <c r="AI373" i="36"/>
  <c r="AH373" i="36"/>
  <c r="AG373" i="36"/>
  <c r="AI372" i="36"/>
  <c r="AH372" i="36"/>
  <c r="AG372" i="36"/>
  <c r="AI371" i="36"/>
  <c r="AH371" i="36"/>
  <c r="AG371" i="36"/>
  <c r="AI370" i="36"/>
  <c r="AH370" i="36"/>
  <c r="AG370" i="36"/>
  <c r="AI369" i="36"/>
  <c r="AH369" i="36"/>
  <c r="AG369" i="36"/>
  <c r="AI368" i="36"/>
  <c r="AH368" i="36"/>
  <c r="AG368" i="36"/>
  <c r="AI367" i="36"/>
  <c r="AH367" i="36"/>
  <c r="AG367" i="36"/>
  <c r="AI366" i="36"/>
  <c r="AH366" i="36"/>
  <c r="AG366" i="36"/>
  <c r="AI365" i="36"/>
  <c r="AH365" i="36"/>
  <c r="AG365" i="36"/>
  <c r="AI364" i="36"/>
  <c r="AH364" i="36"/>
  <c r="AG364" i="36"/>
  <c r="AI363" i="36"/>
  <c r="AH363" i="36"/>
  <c r="AG363" i="36"/>
  <c r="AI362" i="36"/>
  <c r="AH362" i="36"/>
  <c r="AG362" i="36"/>
  <c r="AI361" i="36"/>
  <c r="AH361" i="36"/>
  <c r="AG361" i="36"/>
  <c r="AI360" i="36"/>
  <c r="AH360" i="36"/>
  <c r="AG360" i="36"/>
  <c r="AI359" i="36"/>
  <c r="AH359" i="36"/>
  <c r="AG359" i="36"/>
  <c r="AI358" i="36"/>
  <c r="AH358" i="36"/>
  <c r="AG358" i="36"/>
  <c r="AI357" i="36"/>
  <c r="AH357" i="36"/>
  <c r="AG357" i="36"/>
  <c r="AJ357" i="36" s="1"/>
  <c r="AI356" i="36"/>
  <c r="AH356" i="36"/>
  <c r="AG356" i="36"/>
  <c r="AI355" i="36"/>
  <c r="AH355" i="36"/>
  <c r="AG355" i="36"/>
  <c r="AI354" i="36"/>
  <c r="AH354" i="36"/>
  <c r="AG354" i="36"/>
  <c r="AI353" i="36"/>
  <c r="AH353" i="36"/>
  <c r="AG353" i="36"/>
  <c r="AI352" i="36"/>
  <c r="AH352" i="36"/>
  <c r="AG352" i="36"/>
  <c r="AI351" i="36"/>
  <c r="AH351" i="36"/>
  <c r="AG351" i="36"/>
  <c r="AI350" i="36"/>
  <c r="AH350" i="36"/>
  <c r="AG350" i="36"/>
  <c r="AI349" i="36"/>
  <c r="AH349" i="36"/>
  <c r="AG349" i="36"/>
  <c r="AI348" i="36"/>
  <c r="AH348" i="36"/>
  <c r="AG348" i="36"/>
  <c r="AI347" i="36"/>
  <c r="AH347" i="36"/>
  <c r="AG347" i="36"/>
  <c r="AI346" i="36"/>
  <c r="AH346" i="36"/>
  <c r="AG346" i="36"/>
  <c r="AI345" i="36"/>
  <c r="AH345" i="36"/>
  <c r="AG345" i="36"/>
  <c r="AI344" i="36"/>
  <c r="AH344" i="36"/>
  <c r="AG344" i="36"/>
  <c r="AI343" i="36"/>
  <c r="AH343" i="36"/>
  <c r="AG343" i="36"/>
  <c r="AI342" i="36"/>
  <c r="AH342" i="36"/>
  <c r="AG342" i="36"/>
  <c r="AI341" i="36"/>
  <c r="AH341" i="36"/>
  <c r="AG341" i="36"/>
  <c r="AJ341" i="36" s="1"/>
  <c r="AI340" i="36"/>
  <c r="AH340" i="36"/>
  <c r="AG340" i="36"/>
  <c r="AI339" i="36"/>
  <c r="AH339" i="36"/>
  <c r="AG339" i="36"/>
  <c r="AI338" i="36"/>
  <c r="AH338" i="36"/>
  <c r="AG338" i="36"/>
  <c r="AI337" i="36"/>
  <c r="AH337" i="36"/>
  <c r="AG337" i="36"/>
  <c r="AJ337" i="36" s="1"/>
  <c r="AI336" i="36"/>
  <c r="AH336" i="36"/>
  <c r="AG336" i="36"/>
  <c r="AI335" i="36"/>
  <c r="AH335" i="36"/>
  <c r="AG335" i="36"/>
  <c r="AI334" i="36"/>
  <c r="AH334" i="36"/>
  <c r="AG334" i="36"/>
  <c r="AI333" i="36"/>
  <c r="AH333" i="36"/>
  <c r="AG333" i="36"/>
  <c r="AJ333" i="36" s="1"/>
  <c r="AI332" i="36"/>
  <c r="AH332" i="36"/>
  <c r="AG332" i="36"/>
  <c r="AI331" i="36"/>
  <c r="AH331" i="36"/>
  <c r="AG331" i="36"/>
  <c r="AI330" i="36"/>
  <c r="AH330" i="36"/>
  <c r="AG330" i="36"/>
  <c r="AI329" i="36"/>
  <c r="AH329" i="36"/>
  <c r="AG329" i="36"/>
  <c r="AJ329" i="36" s="1"/>
  <c r="AI328" i="36"/>
  <c r="AH328" i="36"/>
  <c r="AG328" i="36"/>
  <c r="AI327" i="36"/>
  <c r="AH327" i="36"/>
  <c r="AG327" i="36"/>
  <c r="AI326" i="36"/>
  <c r="AH326" i="36"/>
  <c r="AG326" i="36"/>
  <c r="AI325" i="36"/>
  <c r="AH325" i="36"/>
  <c r="AG325" i="36"/>
  <c r="AI324" i="36"/>
  <c r="AH324" i="36"/>
  <c r="AG324" i="36"/>
  <c r="AI323" i="36"/>
  <c r="AH323" i="36"/>
  <c r="AG323" i="36"/>
  <c r="AI322" i="36"/>
  <c r="AH322" i="36"/>
  <c r="AG322" i="36"/>
  <c r="AI321" i="36"/>
  <c r="AH321" i="36"/>
  <c r="AG321" i="36"/>
  <c r="AJ321" i="36" s="1"/>
  <c r="AI320" i="36"/>
  <c r="AH320" i="36"/>
  <c r="AG320" i="36"/>
  <c r="AI319" i="36"/>
  <c r="AH319" i="36"/>
  <c r="AG319" i="36"/>
  <c r="AI318" i="36"/>
  <c r="AH318" i="36"/>
  <c r="AG318" i="36"/>
  <c r="AI317" i="36"/>
  <c r="AH317" i="36"/>
  <c r="AG317" i="36"/>
  <c r="AJ317" i="36" s="1"/>
  <c r="AI316" i="36"/>
  <c r="AH316" i="36"/>
  <c r="AG316" i="36"/>
  <c r="AI315" i="36"/>
  <c r="AH315" i="36"/>
  <c r="AG315" i="36"/>
  <c r="AI314" i="36"/>
  <c r="AH314" i="36"/>
  <c r="AG314" i="36"/>
  <c r="AI313" i="36"/>
  <c r="AH313" i="36"/>
  <c r="AG313" i="36"/>
  <c r="AI312" i="36"/>
  <c r="AH312" i="36"/>
  <c r="AG312" i="36"/>
  <c r="AI311" i="36"/>
  <c r="AH311" i="36"/>
  <c r="AG311" i="36"/>
  <c r="AI310" i="36"/>
  <c r="AH310" i="36"/>
  <c r="AG310" i="36"/>
  <c r="AI309" i="36"/>
  <c r="AH309" i="36"/>
  <c r="AG309" i="36"/>
  <c r="AI308" i="36"/>
  <c r="AH308" i="36"/>
  <c r="AG308" i="36"/>
  <c r="AI307" i="36"/>
  <c r="AH307" i="36"/>
  <c r="AG307" i="36"/>
  <c r="AI306" i="36"/>
  <c r="AH306" i="36"/>
  <c r="AG306" i="36"/>
  <c r="AI305" i="36"/>
  <c r="AH305" i="36"/>
  <c r="AG305" i="36"/>
  <c r="AI304" i="36"/>
  <c r="AH304" i="36"/>
  <c r="AG304" i="36"/>
  <c r="AI303" i="36"/>
  <c r="AH303" i="36"/>
  <c r="AG303" i="36"/>
  <c r="AI302" i="36"/>
  <c r="AH302" i="36"/>
  <c r="AG302" i="36"/>
  <c r="AI301" i="36"/>
  <c r="AH301" i="36"/>
  <c r="AG301" i="36"/>
  <c r="AI300" i="36"/>
  <c r="AH300" i="36"/>
  <c r="AG300" i="36"/>
  <c r="AI299" i="36"/>
  <c r="AH299" i="36"/>
  <c r="AG299" i="36"/>
  <c r="AI298" i="36"/>
  <c r="AH298" i="36"/>
  <c r="AG298" i="36"/>
  <c r="AI297" i="36"/>
  <c r="AH297" i="36"/>
  <c r="AG297" i="36"/>
  <c r="AI296" i="36"/>
  <c r="AH296" i="36"/>
  <c r="AG296" i="36"/>
  <c r="AI295" i="36"/>
  <c r="AH295" i="36"/>
  <c r="AG295" i="36"/>
  <c r="AI294" i="36"/>
  <c r="AH294" i="36"/>
  <c r="AG294" i="36"/>
  <c r="AI293" i="36"/>
  <c r="AH293" i="36"/>
  <c r="AG293" i="36"/>
  <c r="AI292" i="36"/>
  <c r="AH292" i="36"/>
  <c r="AG292" i="36"/>
  <c r="AI291" i="36"/>
  <c r="AH291" i="36"/>
  <c r="AG291" i="36"/>
  <c r="AI290" i="36"/>
  <c r="AH290" i="36"/>
  <c r="AG290" i="36"/>
  <c r="AI289" i="36"/>
  <c r="AH289" i="36"/>
  <c r="AG289" i="36"/>
  <c r="AI288" i="36"/>
  <c r="AH288" i="36"/>
  <c r="AG288" i="36"/>
  <c r="AI287" i="36"/>
  <c r="AH287" i="36"/>
  <c r="AG287" i="36"/>
  <c r="AI286" i="36"/>
  <c r="AH286" i="36"/>
  <c r="AG286" i="36"/>
  <c r="AI285" i="36"/>
  <c r="AH285" i="36"/>
  <c r="AG285" i="36"/>
  <c r="AI284" i="36"/>
  <c r="AH284" i="36"/>
  <c r="AG284" i="36"/>
  <c r="AI283" i="36"/>
  <c r="AH283" i="36"/>
  <c r="AG283" i="36"/>
  <c r="AI282" i="36"/>
  <c r="AH282" i="36"/>
  <c r="AG282" i="36"/>
  <c r="AI281" i="36"/>
  <c r="AH281" i="36"/>
  <c r="AG281" i="36"/>
  <c r="AI280" i="36"/>
  <c r="AH280" i="36"/>
  <c r="AG280" i="36"/>
  <c r="AI279" i="36"/>
  <c r="AH279" i="36"/>
  <c r="AG279" i="36"/>
  <c r="AI278" i="36"/>
  <c r="AH278" i="36"/>
  <c r="AG278" i="36"/>
  <c r="AI277" i="36"/>
  <c r="AH277" i="36"/>
  <c r="AG277" i="36"/>
  <c r="AI276" i="36"/>
  <c r="AH276" i="36"/>
  <c r="AG276" i="36"/>
  <c r="AI275" i="36"/>
  <c r="AH275" i="36"/>
  <c r="AG275" i="36"/>
  <c r="AI274" i="36"/>
  <c r="AH274" i="36"/>
  <c r="AG274" i="36"/>
  <c r="AI273" i="36"/>
  <c r="AH273" i="36"/>
  <c r="AG273" i="36"/>
  <c r="AJ273" i="36" s="1"/>
  <c r="AI272" i="36"/>
  <c r="AH272" i="36"/>
  <c r="AG272" i="36"/>
  <c r="AI271" i="36"/>
  <c r="AH271" i="36"/>
  <c r="AG271" i="36"/>
  <c r="AI270" i="36"/>
  <c r="AH270" i="36"/>
  <c r="AG270" i="36"/>
  <c r="AI269" i="36"/>
  <c r="AH269" i="36"/>
  <c r="AG269" i="36"/>
  <c r="AJ269" i="36" s="1"/>
  <c r="AI268" i="36"/>
  <c r="AH268" i="36"/>
  <c r="AG268" i="36"/>
  <c r="AI267" i="36"/>
  <c r="AH267" i="36"/>
  <c r="AG267" i="36"/>
  <c r="AI266" i="36"/>
  <c r="AH266" i="36"/>
  <c r="AG266" i="36"/>
  <c r="AI265" i="36"/>
  <c r="AH265" i="36"/>
  <c r="AG265" i="36"/>
  <c r="AI264" i="36"/>
  <c r="AH264" i="36"/>
  <c r="AG264" i="36"/>
  <c r="AI263" i="36"/>
  <c r="AH263" i="36"/>
  <c r="AG263" i="36"/>
  <c r="AI262" i="36"/>
  <c r="AH262" i="36"/>
  <c r="AG262" i="36"/>
  <c r="AI261" i="36"/>
  <c r="AH261" i="36"/>
  <c r="AG261" i="36"/>
  <c r="AJ261" i="36" s="1"/>
  <c r="AI260" i="36"/>
  <c r="AH260" i="36"/>
  <c r="AG260" i="36"/>
  <c r="AI259" i="36"/>
  <c r="AH259" i="36"/>
  <c r="AG259" i="36"/>
  <c r="AI258" i="36"/>
  <c r="AH258" i="36"/>
  <c r="AG258" i="36"/>
  <c r="AI257" i="36"/>
  <c r="AH257" i="36"/>
  <c r="AG257" i="36"/>
  <c r="AI256" i="36"/>
  <c r="AH256" i="36"/>
  <c r="AG256" i="36"/>
  <c r="AI255" i="36"/>
  <c r="AH255" i="36"/>
  <c r="AG255" i="36"/>
  <c r="AI254" i="36"/>
  <c r="AH254" i="36"/>
  <c r="AG254" i="36"/>
  <c r="AI253" i="36"/>
  <c r="AH253" i="36"/>
  <c r="AG253" i="36"/>
  <c r="AI252" i="36"/>
  <c r="AH252" i="36"/>
  <c r="AG252" i="36"/>
  <c r="AI251" i="36"/>
  <c r="AH251" i="36"/>
  <c r="AG251" i="36"/>
  <c r="AI250" i="36"/>
  <c r="AH250" i="36"/>
  <c r="AG250" i="36"/>
  <c r="AI249" i="36"/>
  <c r="AH249" i="36"/>
  <c r="AG249" i="36"/>
  <c r="AI248" i="36"/>
  <c r="AH248" i="36"/>
  <c r="AG248" i="36"/>
  <c r="AI247" i="36"/>
  <c r="AH247" i="36"/>
  <c r="AG247" i="36"/>
  <c r="AI246" i="36"/>
  <c r="AH246" i="36"/>
  <c r="AG246" i="36"/>
  <c r="AI245" i="36"/>
  <c r="AH245" i="36"/>
  <c r="AG245" i="36"/>
  <c r="AI244" i="36"/>
  <c r="AH244" i="36"/>
  <c r="AG244" i="36"/>
  <c r="AI243" i="36"/>
  <c r="AH243" i="36"/>
  <c r="AG243" i="36"/>
  <c r="AI242" i="36"/>
  <c r="AH242" i="36"/>
  <c r="AG242" i="36"/>
  <c r="AI241" i="36"/>
  <c r="AH241" i="36"/>
  <c r="AG241" i="36"/>
  <c r="AJ241" i="36" s="1"/>
  <c r="AI240" i="36"/>
  <c r="AH240" i="36"/>
  <c r="AG240" i="36"/>
  <c r="AI239" i="36"/>
  <c r="AH239" i="36"/>
  <c r="AG239" i="36"/>
  <c r="AI238" i="36"/>
  <c r="AH238" i="36"/>
  <c r="AG238" i="36"/>
  <c r="AI237" i="36"/>
  <c r="AH237" i="36"/>
  <c r="AG237" i="36"/>
  <c r="AJ237" i="36" s="1"/>
  <c r="AI236" i="36"/>
  <c r="AH236" i="36"/>
  <c r="AG236" i="36"/>
  <c r="AI235" i="36"/>
  <c r="AH235" i="36"/>
  <c r="AG235" i="36"/>
  <c r="AI234" i="36"/>
  <c r="AH234" i="36"/>
  <c r="AG234" i="36"/>
  <c r="AI233" i="36"/>
  <c r="AH233" i="36"/>
  <c r="AG233" i="36"/>
  <c r="AJ233" i="36" s="1"/>
  <c r="AI232" i="36"/>
  <c r="AH232" i="36"/>
  <c r="AG232" i="36"/>
  <c r="AI231" i="36"/>
  <c r="AH231" i="36"/>
  <c r="AG231" i="36"/>
  <c r="AI230" i="36"/>
  <c r="AH230" i="36"/>
  <c r="AG230" i="36"/>
  <c r="AI229" i="36"/>
  <c r="AH229" i="36"/>
  <c r="AG229" i="36"/>
  <c r="AI228" i="36"/>
  <c r="AH228" i="36"/>
  <c r="AG228" i="36"/>
  <c r="AI227" i="36"/>
  <c r="AH227" i="36"/>
  <c r="AG227" i="36"/>
  <c r="AI226" i="36"/>
  <c r="AH226" i="36"/>
  <c r="AG226" i="36"/>
  <c r="AI225" i="36"/>
  <c r="AH225" i="36"/>
  <c r="AG225" i="36"/>
  <c r="AJ225" i="36" s="1"/>
  <c r="AI224" i="36"/>
  <c r="AH224" i="36"/>
  <c r="AG224" i="36"/>
  <c r="AI223" i="36"/>
  <c r="AH223" i="36"/>
  <c r="AG223" i="36"/>
  <c r="AI222" i="36"/>
  <c r="AH222" i="36"/>
  <c r="AG222" i="36"/>
  <c r="AI221" i="36"/>
  <c r="AH221" i="36"/>
  <c r="AG221" i="36"/>
  <c r="AJ221" i="36" s="1"/>
  <c r="AI220" i="36"/>
  <c r="AH220" i="36"/>
  <c r="AG220" i="36"/>
  <c r="AI219" i="36"/>
  <c r="AH219" i="36"/>
  <c r="AG219" i="36"/>
  <c r="AI218" i="36"/>
  <c r="AH218" i="36"/>
  <c r="AG218" i="36"/>
  <c r="AI217" i="36"/>
  <c r="AH217" i="36"/>
  <c r="AG217" i="36"/>
  <c r="AJ217" i="36" s="1"/>
  <c r="AI216" i="36"/>
  <c r="AH216" i="36"/>
  <c r="AG216" i="36"/>
  <c r="AI215" i="36"/>
  <c r="AH215" i="36"/>
  <c r="AG215" i="36"/>
  <c r="AI214" i="36"/>
  <c r="AH214" i="36"/>
  <c r="AG214" i="36"/>
  <c r="AI213" i="36"/>
  <c r="AH213" i="36"/>
  <c r="AG213" i="36"/>
  <c r="AJ213" i="36" s="1"/>
  <c r="AI212" i="36"/>
  <c r="AH212" i="36"/>
  <c r="AG212" i="36"/>
  <c r="AI211" i="36"/>
  <c r="AH211" i="36"/>
  <c r="AG211" i="36"/>
  <c r="AI210" i="36"/>
  <c r="AH210" i="36"/>
  <c r="AG210" i="36"/>
  <c r="AI209" i="36"/>
  <c r="AH209" i="36"/>
  <c r="AG209" i="36"/>
  <c r="AJ209" i="36" s="1"/>
  <c r="AI208" i="36"/>
  <c r="AH208" i="36"/>
  <c r="AG208" i="36"/>
  <c r="AI207" i="36"/>
  <c r="AH207" i="36"/>
  <c r="AG207" i="36"/>
  <c r="AI206" i="36"/>
  <c r="AH206" i="36"/>
  <c r="AG206" i="36"/>
  <c r="AI205" i="36"/>
  <c r="AH205" i="36"/>
  <c r="AG205" i="36"/>
  <c r="AI204" i="36"/>
  <c r="AH204" i="36"/>
  <c r="AG204" i="36"/>
  <c r="AI203" i="36"/>
  <c r="AH203" i="36"/>
  <c r="AG203" i="36"/>
  <c r="AI202" i="36"/>
  <c r="AH202" i="36"/>
  <c r="AG202" i="36"/>
  <c r="AI201" i="36"/>
  <c r="AH201" i="36"/>
  <c r="AG201" i="36"/>
  <c r="AJ201" i="36" s="1"/>
  <c r="AI200" i="36"/>
  <c r="AH200" i="36"/>
  <c r="AG200" i="36"/>
  <c r="AI199" i="36"/>
  <c r="AH199" i="36"/>
  <c r="AG199" i="36"/>
  <c r="AI198" i="36"/>
  <c r="AH198" i="36"/>
  <c r="AG198" i="36"/>
  <c r="AI197" i="36"/>
  <c r="AH197" i="36"/>
  <c r="AG197" i="36"/>
  <c r="AJ197" i="36" s="1"/>
  <c r="AI196" i="36"/>
  <c r="AH196" i="36"/>
  <c r="AG196" i="36"/>
  <c r="AI195" i="36"/>
  <c r="AH195" i="36"/>
  <c r="AG195" i="36"/>
  <c r="AI194" i="36"/>
  <c r="AH194" i="36"/>
  <c r="AG194" i="36"/>
  <c r="AI193" i="36"/>
  <c r="AH193" i="36"/>
  <c r="AG193" i="36"/>
  <c r="AI192" i="36"/>
  <c r="AH192" i="36"/>
  <c r="AG192" i="36"/>
  <c r="AI191" i="36"/>
  <c r="AH191" i="36"/>
  <c r="AG191" i="36"/>
  <c r="AI190" i="36"/>
  <c r="AH190" i="36"/>
  <c r="AG190" i="36"/>
  <c r="AI189" i="36"/>
  <c r="AH189" i="36"/>
  <c r="AG189" i="36"/>
  <c r="AJ189" i="36" s="1"/>
  <c r="AI188" i="36"/>
  <c r="AH188" i="36"/>
  <c r="AG188" i="36"/>
  <c r="AI187" i="36"/>
  <c r="AH187" i="36"/>
  <c r="AG187" i="36"/>
  <c r="AI186" i="36"/>
  <c r="AH186" i="36"/>
  <c r="AG186" i="36"/>
  <c r="AI185" i="36"/>
  <c r="AH185" i="36"/>
  <c r="AG185" i="36"/>
  <c r="AI184" i="36"/>
  <c r="AH184" i="36"/>
  <c r="AG184" i="36"/>
  <c r="AI183" i="36"/>
  <c r="AH183" i="36"/>
  <c r="AG183" i="36"/>
  <c r="AI182" i="36"/>
  <c r="AH182" i="36"/>
  <c r="AG182" i="36"/>
  <c r="AI181" i="36"/>
  <c r="AH181" i="36"/>
  <c r="AG181" i="36"/>
  <c r="AJ181" i="36" s="1"/>
  <c r="AI180" i="36"/>
  <c r="AH180" i="36"/>
  <c r="AG180" i="36"/>
  <c r="AI179" i="36"/>
  <c r="AH179" i="36"/>
  <c r="AG179" i="36"/>
  <c r="AI178" i="36"/>
  <c r="AH178" i="36"/>
  <c r="AG178" i="36"/>
  <c r="AI177" i="36"/>
  <c r="AH177" i="36"/>
  <c r="AG177" i="36"/>
  <c r="AJ177" i="36" s="1"/>
  <c r="AI176" i="36"/>
  <c r="AH176" i="36"/>
  <c r="AG176" i="36"/>
  <c r="AI175" i="36"/>
  <c r="AH175" i="36"/>
  <c r="AG175" i="36"/>
  <c r="AI174" i="36"/>
  <c r="AH174" i="36"/>
  <c r="AG174" i="36"/>
  <c r="AI173" i="36"/>
  <c r="AH173" i="36"/>
  <c r="AG173" i="36"/>
  <c r="AJ173" i="36" s="1"/>
  <c r="AI172" i="36"/>
  <c r="AH172" i="36"/>
  <c r="AG172" i="36"/>
  <c r="AI171" i="36"/>
  <c r="AH171" i="36"/>
  <c r="AG171" i="36"/>
  <c r="AI170" i="36"/>
  <c r="AH170" i="36"/>
  <c r="AG170" i="36"/>
  <c r="AI169" i="36"/>
  <c r="AH169" i="36"/>
  <c r="AG169" i="36"/>
  <c r="AJ169" i="36" s="1"/>
  <c r="AI168" i="36"/>
  <c r="AH168" i="36"/>
  <c r="AG168" i="36"/>
  <c r="AI167" i="36"/>
  <c r="AH167" i="36"/>
  <c r="AG167" i="36"/>
  <c r="AI166" i="36"/>
  <c r="AH166" i="36"/>
  <c r="AG166" i="36"/>
  <c r="AI165" i="36"/>
  <c r="AH165" i="36"/>
  <c r="AG165" i="36"/>
  <c r="AJ165" i="36" s="1"/>
  <c r="AI164" i="36"/>
  <c r="AH164" i="36"/>
  <c r="AG164" i="36"/>
  <c r="AI163" i="36"/>
  <c r="AH163" i="36"/>
  <c r="AG163" i="36"/>
  <c r="AI162" i="36"/>
  <c r="AH162" i="36"/>
  <c r="AG162" i="36"/>
  <c r="AI161" i="36"/>
  <c r="AH161" i="36"/>
  <c r="AG161" i="36"/>
  <c r="AJ161" i="36" s="1"/>
  <c r="AI160" i="36"/>
  <c r="AH160" i="36"/>
  <c r="AG160" i="36"/>
  <c r="AI159" i="36"/>
  <c r="AH159" i="36"/>
  <c r="AG159" i="36"/>
  <c r="AI158" i="36"/>
  <c r="AH158" i="36"/>
  <c r="AG158" i="36"/>
  <c r="AI157" i="36"/>
  <c r="AH157" i="36"/>
  <c r="AG157" i="36"/>
  <c r="AI156" i="36"/>
  <c r="AH156" i="36"/>
  <c r="AG156" i="36"/>
  <c r="AI155" i="36"/>
  <c r="AH155" i="36"/>
  <c r="AG155" i="36"/>
  <c r="AI154" i="36"/>
  <c r="AH154" i="36"/>
  <c r="AG154" i="36"/>
  <c r="AI153" i="36"/>
  <c r="AH153" i="36"/>
  <c r="AG153" i="36"/>
  <c r="AJ153" i="36" s="1"/>
  <c r="AI152" i="36"/>
  <c r="AH152" i="36"/>
  <c r="AG152" i="36"/>
  <c r="AI151" i="36"/>
  <c r="AH151" i="36"/>
  <c r="AG151" i="36"/>
  <c r="AI150" i="36"/>
  <c r="AH150" i="36"/>
  <c r="AG150" i="36"/>
  <c r="AI149" i="36"/>
  <c r="AH149" i="36"/>
  <c r="AG149" i="36"/>
  <c r="AJ149" i="36" s="1"/>
  <c r="AI148" i="36"/>
  <c r="AH148" i="36"/>
  <c r="AG148" i="36"/>
  <c r="AI147" i="36"/>
  <c r="AH147" i="36"/>
  <c r="AG147" i="36"/>
  <c r="AI146" i="36"/>
  <c r="AH146" i="36"/>
  <c r="AG146" i="36"/>
  <c r="AI145" i="36"/>
  <c r="AH145" i="36"/>
  <c r="AG145" i="36"/>
  <c r="AJ145" i="36" s="1"/>
  <c r="AI144" i="36"/>
  <c r="AH144" i="36"/>
  <c r="AG144" i="36"/>
  <c r="AI143" i="36"/>
  <c r="AH143" i="36"/>
  <c r="AG143" i="36"/>
  <c r="AI142" i="36"/>
  <c r="AH142" i="36"/>
  <c r="AG142" i="36"/>
  <c r="AI141" i="36"/>
  <c r="AH141" i="36"/>
  <c r="AG141" i="36"/>
  <c r="AJ141" i="36" s="1"/>
  <c r="AI140" i="36"/>
  <c r="AH140" i="36"/>
  <c r="AG140" i="36"/>
  <c r="AI139" i="36"/>
  <c r="AH139" i="36"/>
  <c r="AG139" i="36"/>
  <c r="AI138" i="36"/>
  <c r="AH138" i="36"/>
  <c r="AG138" i="36"/>
  <c r="AI137" i="36"/>
  <c r="AH137" i="36"/>
  <c r="AG137" i="36"/>
  <c r="AJ137" i="36" s="1"/>
  <c r="AI136" i="36"/>
  <c r="AH136" i="36"/>
  <c r="AG136" i="36"/>
  <c r="AI135" i="36"/>
  <c r="AH135" i="36"/>
  <c r="AG135" i="36"/>
  <c r="AI134" i="36"/>
  <c r="AH134" i="36"/>
  <c r="AG134" i="36"/>
  <c r="AI133" i="36"/>
  <c r="AH133" i="36"/>
  <c r="AG133" i="36"/>
  <c r="AI132" i="36"/>
  <c r="AH132" i="36"/>
  <c r="AG132" i="36"/>
  <c r="AI131" i="36"/>
  <c r="AH131" i="36"/>
  <c r="AG131" i="36"/>
  <c r="AI130" i="36"/>
  <c r="AH130" i="36"/>
  <c r="AG130" i="36"/>
  <c r="AI129" i="36"/>
  <c r="AH129" i="36"/>
  <c r="AG129" i="36"/>
  <c r="AI128" i="36"/>
  <c r="AH128" i="36"/>
  <c r="AG128" i="36"/>
  <c r="AI127" i="36"/>
  <c r="AH127" i="36"/>
  <c r="AG127" i="36"/>
  <c r="AI126" i="36"/>
  <c r="AH126" i="36"/>
  <c r="AG126" i="36"/>
  <c r="AI125" i="36"/>
  <c r="AH125" i="36"/>
  <c r="AG125" i="36"/>
  <c r="AI124" i="36"/>
  <c r="AH124" i="36"/>
  <c r="AG124" i="36"/>
  <c r="AI123" i="36"/>
  <c r="AH123" i="36"/>
  <c r="AG123" i="36"/>
  <c r="AI122" i="36"/>
  <c r="AH122" i="36"/>
  <c r="AG122" i="36"/>
  <c r="AI121" i="36"/>
  <c r="AH121" i="36"/>
  <c r="AG121" i="36"/>
  <c r="AI120" i="36"/>
  <c r="AH120" i="36"/>
  <c r="AG120" i="36"/>
  <c r="AI119" i="36"/>
  <c r="AH119" i="36"/>
  <c r="AG119" i="36"/>
  <c r="AI118" i="36"/>
  <c r="AH118" i="36"/>
  <c r="AG118" i="36"/>
  <c r="AI117" i="36"/>
  <c r="AH117" i="36"/>
  <c r="AG117" i="36"/>
  <c r="AI116" i="36"/>
  <c r="AH116" i="36"/>
  <c r="AG116" i="36"/>
  <c r="AI115" i="36"/>
  <c r="AH115" i="36"/>
  <c r="AG115" i="36"/>
  <c r="AI114" i="36"/>
  <c r="AH114" i="36"/>
  <c r="AG114" i="36"/>
  <c r="AJ114" i="36" s="1"/>
  <c r="AI113" i="36"/>
  <c r="AH113" i="36"/>
  <c r="AG113" i="36"/>
  <c r="AJ113" i="36" s="1"/>
  <c r="AI112" i="36"/>
  <c r="AH112" i="36"/>
  <c r="AG112" i="36"/>
  <c r="AI111" i="36"/>
  <c r="AH111" i="36"/>
  <c r="AG111" i="36"/>
  <c r="AI110" i="36"/>
  <c r="AH110" i="36"/>
  <c r="AG110" i="36"/>
  <c r="AI109" i="36"/>
  <c r="AH109" i="36"/>
  <c r="AG109" i="36"/>
  <c r="AJ109" i="36" s="1"/>
  <c r="AI108" i="36"/>
  <c r="AH108" i="36"/>
  <c r="AG108" i="36"/>
  <c r="AI107" i="36"/>
  <c r="AH107" i="36"/>
  <c r="AG107" i="36"/>
  <c r="AI106" i="36"/>
  <c r="AH106" i="36"/>
  <c r="AG106" i="36"/>
  <c r="AI105" i="36"/>
  <c r="AH105" i="36"/>
  <c r="AG105" i="36"/>
  <c r="AJ105" i="36" s="1"/>
  <c r="AI104" i="36"/>
  <c r="AH104" i="36"/>
  <c r="AG104" i="36"/>
  <c r="AI103" i="36"/>
  <c r="AH103" i="36"/>
  <c r="AG103" i="36"/>
  <c r="AI102" i="36"/>
  <c r="AH102" i="36"/>
  <c r="AG102" i="36"/>
  <c r="AJ102" i="36" s="1"/>
  <c r="AI101" i="36"/>
  <c r="AH101" i="36"/>
  <c r="AG101" i="36"/>
  <c r="AJ101" i="36" s="1"/>
  <c r="AI100" i="36"/>
  <c r="AH100" i="36"/>
  <c r="AG100" i="36"/>
  <c r="AI99" i="36"/>
  <c r="AH99" i="36"/>
  <c r="AG99" i="36"/>
  <c r="AI98" i="36"/>
  <c r="AH98" i="36"/>
  <c r="AG98" i="36"/>
  <c r="AI97" i="36"/>
  <c r="AH97" i="36"/>
  <c r="AG97" i="36"/>
  <c r="AJ97" i="36" s="1"/>
  <c r="AI96" i="36"/>
  <c r="AH96" i="36"/>
  <c r="AG96" i="36"/>
  <c r="AI95" i="36"/>
  <c r="AH95" i="36"/>
  <c r="AG95" i="36"/>
  <c r="AI94" i="36"/>
  <c r="AH94" i="36"/>
  <c r="AG94" i="36"/>
  <c r="AI93" i="36"/>
  <c r="AH93" i="36"/>
  <c r="AG93" i="36"/>
  <c r="AJ93" i="36" s="1"/>
  <c r="AI92" i="36"/>
  <c r="AH92" i="36"/>
  <c r="AG92" i="36"/>
  <c r="AI91" i="36"/>
  <c r="AH91" i="36"/>
  <c r="AG91" i="36"/>
  <c r="AI90" i="36"/>
  <c r="AH90" i="36"/>
  <c r="AG90" i="36"/>
  <c r="AI89" i="36"/>
  <c r="AH89" i="36"/>
  <c r="AG89" i="36"/>
  <c r="AJ89" i="36" s="1"/>
  <c r="AI88" i="36"/>
  <c r="AH88" i="36"/>
  <c r="AG88" i="36"/>
  <c r="AI87" i="36"/>
  <c r="AH87" i="36"/>
  <c r="AG87" i="36"/>
  <c r="AI86" i="36"/>
  <c r="AH86" i="36"/>
  <c r="AG86" i="36"/>
  <c r="AI85" i="36"/>
  <c r="AH85" i="36"/>
  <c r="AG85" i="36"/>
  <c r="AI84" i="36"/>
  <c r="AH84" i="36"/>
  <c r="AG84" i="36"/>
  <c r="AI83" i="36"/>
  <c r="AH83" i="36"/>
  <c r="AG83" i="36"/>
  <c r="AI82" i="36"/>
  <c r="AH82" i="36"/>
  <c r="AG82" i="36"/>
  <c r="AI81" i="36"/>
  <c r="AH81" i="36"/>
  <c r="AG81" i="36"/>
  <c r="AJ81" i="36" s="1"/>
  <c r="AI80" i="36"/>
  <c r="AH80" i="36"/>
  <c r="AG80" i="36"/>
  <c r="AI79" i="36"/>
  <c r="AH79" i="36"/>
  <c r="AG79" i="36"/>
  <c r="AI78" i="36"/>
  <c r="AH78" i="36"/>
  <c r="AG78" i="36"/>
  <c r="AI77" i="36"/>
  <c r="AH77" i="36"/>
  <c r="AG77" i="36"/>
  <c r="AI76" i="36"/>
  <c r="AH76" i="36"/>
  <c r="AG76" i="36"/>
  <c r="AI75" i="36"/>
  <c r="AH75" i="36"/>
  <c r="AG75" i="36"/>
  <c r="AI74" i="36"/>
  <c r="AH74" i="36"/>
  <c r="AG74" i="36"/>
  <c r="AI73" i="36"/>
  <c r="AH73" i="36"/>
  <c r="AG73" i="36"/>
  <c r="AI72" i="36"/>
  <c r="AH72" i="36"/>
  <c r="AG72" i="36"/>
  <c r="AI71" i="36"/>
  <c r="AH71" i="36"/>
  <c r="AG71" i="36"/>
  <c r="AI70" i="36"/>
  <c r="AH70" i="36"/>
  <c r="AG70" i="36"/>
  <c r="AI69" i="36"/>
  <c r="AH69" i="36"/>
  <c r="AG69" i="36"/>
  <c r="AI68" i="36"/>
  <c r="AH68" i="36"/>
  <c r="AG68" i="36"/>
  <c r="AI67" i="36"/>
  <c r="AH67" i="36"/>
  <c r="AG67" i="36"/>
  <c r="AI66" i="36"/>
  <c r="AH66" i="36"/>
  <c r="AG66" i="36"/>
  <c r="AI65" i="36"/>
  <c r="AH65" i="36"/>
  <c r="AG65" i="36"/>
  <c r="AI64" i="36"/>
  <c r="AH64" i="36"/>
  <c r="AG64" i="36"/>
  <c r="AI63" i="36"/>
  <c r="AH63" i="36"/>
  <c r="AG63" i="36"/>
  <c r="AI62" i="36"/>
  <c r="AH62" i="36"/>
  <c r="AG62" i="36"/>
  <c r="AJ62" i="36" s="1"/>
  <c r="AI61" i="36"/>
  <c r="AH61" i="36"/>
  <c r="AG61" i="36"/>
  <c r="AI60" i="36"/>
  <c r="AH60" i="36"/>
  <c r="AG60" i="36"/>
  <c r="AI59" i="36"/>
  <c r="AH59" i="36"/>
  <c r="AG59" i="36"/>
  <c r="AI58" i="36"/>
  <c r="AH58" i="36"/>
  <c r="AG58" i="36"/>
  <c r="AJ58" i="36" s="1"/>
  <c r="AI57" i="36"/>
  <c r="AH57" i="36"/>
  <c r="AG57" i="36"/>
  <c r="AJ57" i="36" s="1"/>
  <c r="AI56" i="36"/>
  <c r="AH56" i="36"/>
  <c r="AG56" i="36"/>
  <c r="AI55" i="36"/>
  <c r="AH55" i="36"/>
  <c r="AG55" i="36"/>
  <c r="AI54" i="36"/>
  <c r="AH54" i="36"/>
  <c r="AG54" i="36"/>
  <c r="AI53" i="36"/>
  <c r="AH53" i="36"/>
  <c r="AG53" i="36"/>
  <c r="AJ53" i="36" s="1"/>
  <c r="AI52" i="36"/>
  <c r="AH52" i="36"/>
  <c r="AG52" i="36"/>
  <c r="AI51" i="36"/>
  <c r="AH51" i="36"/>
  <c r="AG51" i="36"/>
  <c r="AI50" i="36"/>
  <c r="AH50" i="36"/>
  <c r="AG50" i="36"/>
  <c r="AI49" i="36"/>
  <c r="AH49" i="36"/>
  <c r="AG49" i="36"/>
  <c r="AI48" i="36"/>
  <c r="AH48" i="36"/>
  <c r="AG48" i="36"/>
  <c r="AI47" i="36"/>
  <c r="AH47" i="36"/>
  <c r="AG47" i="36"/>
  <c r="AI46" i="36"/>
  <c r="AH46" i="36"/>
  <c r="AG46" i="36"/>
  <c r="AI45" i="36"/>
  <c r="AH45" i="36"/>
  <c r="AG45" i="36"/>
  <c r="AJ45" i="36" s="1"/>
  <c r="AI44" i="36"/>
  <c r="AH44" i="36"/>
  <c r="AG44" i="36"/>
  <c r="AI43" i="36"/>
  <c r="AH43" i="36"/>
  <c r="AG43" i="36"/>
  <c r="AI42" i="36"/>
  <c r="AH42" i="36"/>
  <c r="AG42" i="36"/>
  <c r="AI41" i="36"/>
  <c r="AH41" i="36"/>
  <c r="AG41" i="36"/>
  <c r="AJ41" i="36" s="1"/>
  <c r="AI40" i="36"/>
  <c r="AH40" i="36"/>
  <c r="AG40" i="36"/>
  <c r="AI39" i="36"/>
  <c r="AH39" i="36"/>
  <c r="AG39" i="36"/>
  <c r="AI38" i="36"/>
  <c r="AH38" i="36"/>
  <c r="AG38" i="36"/>
  <c r="AI37" i="36"/>
  <c r="AH37" i="36"/>
  <c r="AG37" i="36"/>
  <c r="AJ37" i="36" s="1"/>
  <c r="AI36" i="36"/>
  <c r="AH36" i="36"/>
  <c r="AG36" i="36"/>
  <c r="AI35" i="36"/>
  <c r="AH35" i="36"/>
  <c r="AG35" i="36"/>
  <c r="AI34" i="36"/>
  <c r="AH34" i="36"/>
  <c r="AG34" i="36"/>
  <c r="AI33" i="36"/>
  <c r="AH33" i="36"/>
  <c r="AG33" i="36"/>
  <c r="AJ33" i="36" s="1"/>
  <c r="AI32" i="36"/>
  <c r="AH32" i="36"/>
  <c r="AG32" i="36"/>
  <c r="AI31" i="36"/>
  <c r="AH31" i="36"/>
  <c r="AG31" i="36"/>
  <c r="AI30" i="36"/>
  <c r="AH30" i="36"/>
  <c r="AG30" i="36"/>
  <c r="AI29" i="36"/>
  <c r="AH29" i="36"/>
  <c r="AG29" i="36"/>
  <c r="AJ29" i="36" s="1"/>
  <c r="AI28" i="36"/>
  <c r="AH28" i="36"/>
  <c r="AG28" i="36"/>
  <c r="AI27" i="36"/>
  <c r="AH27" i="36"/>
  <c r="AG27" i="36"/>
  <c r="AI26" i="36"/>
  <c r="AH26" i="36"/>
  <c r="AG26" i="36"/>
  <c r="AI25" i="36"/>
  <c r="AH25" i="36"/>
  <c r="AG25" i="36"/>
  <c r="AJ25" i="36" s="1"/>
  <c r="AI24" i="36"/>
  <c r="AH24" i="36"/>
  <c r="AG24" i="36"/>
  <c r="AI23" i="36"/>
  <c r="AH23" i="36"/>
  <c r="AG23" i="36"/>
  <c r="AI22" i="36"/>
  <c r="AH22" i="36"/>
  <c r="AG22" i="36"/>
  <c r="AI21" i="36"/>
  <c r="AH21" i="36"/>
  <c r="AG21" i="36"/>
  <c r="AJ21" i="36" s="1"/>
  <c r="AI20" i="36"/>
  <c r="AH20" i="36"/>
  <c r="AG20" i="36"/>
  <c r="AI19" i="36"/>
  <c r="AH19" i="36"/>
  <c r="AG19" i="36"/>
  <c r="AI18" i="36"/>
  <c r="AH18" i="36"/>
  <c r="AG18" i="36"/>
  <c r="AI17" i="36"/>
  <c r="AH17" i="36"/>
  <c r="AG17" i="36"/>
  <c r="AJ17" i="36" s="1"/>
  <c r="AI16" i="36"/>
  <c r="AH16" i="36"/>
  <c r="AG16" i="36"/>
  <c r="AI15" i="36"/>
  <c r="AH15" i="36"/>
  <c r="AG15" i="36"/>
  <c r="AI14" i="36"/>
  <c r="AH14" i="36"/>
  <c r="AG14" i="36"/>
  <c r="AI13" i="36"/>
  <c r="AH13" i="36"/>
  <c r="AG13" i="36"/>
  <c r="AI12" i="36"/>
  <c r="AH12" i="36"/>
  <c r="AG12" i="36"/>
  <c r="AI11" i="36"/>
  <c r="AH11" i="36"/>
  <c r="AG11" i="36"/>
  <c r="AI10" i="36"/>
  <c r="AH10" i="36"/>
  <c r="AG10" i="36"/>
  <c r="AI9" i="36"/>
  <c r="AH9" i="36"/>
  <c r="AG9" i="36"/>
  <c r="AJ9" i="36" s="1"/>
  <c r="AI8" i="36"/>
  <c r="AH8" i="36"/>
  <c r="AG8" i="36"/>
  <c r="AI7" i="36"/>
  <c r="AH7" i="36"/>
  <c r="AG7" i="36"/>
  <c r="AI6" i="36"/>
  <c r="AH6" i="36"/>
  <c r="AG6" i="36"/>
  <c r="AI5" i="36"/>
  <c r="AH5" i="36"/>
  <c r="AG5" i="36"/>
  <c r="AJ5" i="36" s="1"/>
  <c r="AI4" i="36"/>
  <c r="AH4" i="36"/>
  <c r="AG4" i="36"/>
  <c r="AI3" i="36"/>
  <c r="AH3" i="36"/>
  <c r="AG3" i="36"/>
  <c r="AO22" i="21" l="1"/>
  <c r="N22" i="21"/>
  <c r="M22" i="21"/>
  <c r="N46" i="21"/>
  <c r="M46" i="21"/>
  <c r="AO46" i="21"/>
  <c r="N70" i="21"/>
  <c r="M70" i="21"/>
  <c r="AO70" i="21"/>
  <c r="AO94" i="21"/>
  <c r="N94" i="21"/>
  <c r="M94" i="21"/>
  <c r="N118" i="21"/>
  <c r="AO118" i="21"/>
  <c r="M118" i="21"/>
  <c r="AO142" i="21"/>
  <c r="N142" i="21"/>
  <c r="M142" i="21"/>
  <c r="N166" i="21"/>
  <c r="M166" i="21"/>
  <c r="AO166" i="21"/>
  <c r="M190" i="21"/>
  <c r="AO190" i="21"/>
  <c r="N190" i="21"/>
  <c r="M214" i="21"/>
  <c r="AO214" i="21"/>
  <c r="N214" i="21"/>
  <c r="N262" i="21"/>
  <c r="AO262" i="21"/>
  <c r="M262" i="21"/>
  <c r="M286" i="21"/>
  <c r="AO286" i="21"/>
  <c r="N286" i="21"/>
  <c r="AO310" i="21"/>
  <c r="N310" i="21"/>
  <c r="M310" i="21"/>
  <c r="N334" i="21"/>
  <c r="AO334" i="21"/>
  <c r="M334" i="21"/>
  <c r="N358" i="21"/>
  <c r="AO358" i="21"/>
  <c r="M358" i="21"/>
  <c r="N382" i="21"/>
  <c r="AO382" i="21"/>
  <c r="M382" i="21"/>
  <c r="M406" i="21"/>
  <c r="AO406" i="21"/>
  <c r="N406" i="21"/>
  <c r="M443" i="21"/>
  <c r="AO443" i="21"/>
  <c r="N443" i="21"/>
  <c r="N11" i="21"/>
  <c r="M11" i="21"/>
  <c r="AO11" i="21"/>
  <c r="N35" i="21"/>
  <c r="AO35" i="21"/>
  <c r="M35" i="21"/>
  <c r="N59" i="21"/>
  <c r="AO59" i="21"/>
  <c r="M59" i="21"/>
  <c r="N83" i="21"/>
  <c r="AO83" i="21"/>
  <c r="M83" i="21"/>
  <c r="N107" i="21"/>
  <c r="M107" i="21"/>
  <c r="AO107" i="21"/>
  <c r="N131" i="21"/>
  <c r="AO131" i="21"/>
  <c r="M131" i="21"/>
  <c r="N155" i="21"/>
  <c r="AO155" i="21"/>
  <c r="M155" i="21"/>
  <c r="N179" i="21"/>
  <c r="AO179" i="21"/>
  <c r="M179" i="21"/>
  <c r="AO203" i="21"/>
  <c r="N203" i="21"/>
  <c r="M203" i="21"/>
  <c r="M227" i="21"/>
  <c r="N227" i="21"/>
  <c r="AO227" i="21"/>
  <c r="N251" i="21"/>
  <c r="AO251" i="21"/>
  <c r="M251" i="21"/>
  <c r="AO275" i="21"/>
  <c r="N275" i="21"/>
  <c r="M275" i="21"/>
  <c r="AO287" i="21"/>
  <c r="M287" i="21"/>
  <c r="N287" i="21"/>
  <c r="N311" i="21"/>
  <c r="AO311" i="21"/>
  <c r="M311" i="21"/>
  <c r="AO335" i="21"/>
  <c r="M335" i="21"/>
  <c r="N335" i="21"/>
  <c r="AO359" i="21"/>
  <c r="N359" i="21"/>
  <c r="M359" i="21"/>
  <c r="N407" i="21"/>
  <c r="M407" i="21"/>
  <c r="AO407" i="21"/>
  <c r="AO420" i="21"/>
  <c r="N420" i="21"/>
  <c r="M420" i="21"/>
  <c r="AO444" i="21"/>
  <c r="N444" i="21"/>
  <c r="M444" i="21"/>
  <c r="AO24" i="21"/>
  <c r="N24" i="21"/>
  <c r="M24" i="21"/>
  <c r="M48" i="21"/>
  <c r="AO48" i="21"/>
  <c r="N48" i="21"/>
  <c r="M72" i="21"/>
  <c r="AO72" i="21"/>
  <c r="N72" i="21"/>
  <c r="N96" i="21"/>
  <c r="M96" i="21"/>
  <c r="AO96" i="21"/>
  <c r="AO120" i="21"/>
  <c r="N120" i="21"/>
  <c r="M120" i="21"/>
  <c r="AO144" i="21"/>
  <c r="M144" i="21"/>
  <c r="N144" i="21"/>
  <c r="N168" i="21"/>
  <c r="AO168" i="21"/>
  <c r="M168" i="21"/>
  <c r="N192" i="21"/>
  <c r="AO192" i="21"/>
  <c r="M192" i="21"/>
  <c r="N216" i="21"/>
  <c r="M216" i="21"/>
  <c r="AO216" i="21"/>
  <c r="N240" i="21"/>
  <c r="M240" i="21"/>
  <c r="AO240" i="21"/>
  <c r="M264" i="21"/>
  <c r="AO264" i="21"/>
  <c r="N264" i="21"/>
  <c r="AO300" i="21"/>
  <c r="M300" i="21"/>
  <c r="N300" i="21"/>
  <c r="N324" i="21"/>
  <c r="AO324" i="21"/>
  <c r="M324" i="21"/>
  <c r="AO348" i="21"/>
  <c r="N348" i="21"/>
  <c r="M348" i="21"/>
  <c r="AO372" i="21"/>
  <c r="N372" i="21"/>
  <c r="M372" i="21"/>
  <c r="N396" i="21"/>
  <c r="AO396" i="21"/>
  <c r="M396" i="21"/>
  <c r="AO421" i="21"/>
  <c r="N421" i="21"/>
  <c r="M421" i="21"/>
  <c r="N445" i="21"/>
  <c r="M445" i="21"/>
  <c r="AO445" i="21"/>
  <c r="M13" i="21"/>
  <c r="AO13" i="21"/>
  <c r="N13" i="21"/>
  <c r="N37" i="21"/>
  <c r="M37" i="21"/>
  <c r="AO37" i="21"/>
  <c r="AO61" i="21"/>
  <c r="M61" i="21"/>
  <c r="N61" i="21"/>
  <c r="AO73" i="21"/>
  <c r="M73" i="21"/>
  <c r="N73" i="21"/>
  <c r="M85" i="21"/>
  <c r="AO85" i="21"/>
  <c r="N85" i="21"/>
  <c r="AO97" i="21"/>
  <c r="M97" i="21"/>
  <c r="N97" i="21"/>
  <c r="AO109" i="21"/>
  <c r="M109" i="21"/>
  <c r="N109" i="21"/>
  <c r="N121" i="21"/>
  <c r="M121" i="21"/>
  <c r="AO121" i="21"/>
  <c r="M133" i="21"/>
  <c r="N133" i="21"/>
  <c r="AO133" i="21"/>
  <c r="AO145" i="21"/>
  <c r="N145" i="21"/>
  <c r="M145" i="21"/>
  <c r="AO157" i="21"/>
  <c r="N157" i="21"/>
  <c r="M157" i="21"/>
  <c r="AO169" i="21"/>
  <c r="N169" i="21"/>
  <c r="M169" i="21"/>
  <c r="AO181" i="21"/>
  <c r="N181" i="21"/>
  <c r="M181" i="21"/>
  <c r="N193" i="21"/>
  <c r="AO193" i="21"/>
  <c r="M193" i="21"/>
  <c r="AO205" i="21"/>
  <c r="N205" i="21"/>
  <c r="M205" i="21"/>
  <c r="AO217" i="21"/>
  <c r="M217" i="21"/>
  <c r="N217" i="21"/>
  <c r="M229" i="21"/>
  <c r="AO229" i="21"/>
  <c r="N229" i="21"/>
  <c r="AO241" i="21"/>
  <c r="N241" i="21"/>
  <c r="M241" i="21"/>
  <c r="N253" i="21"/>
  <c r="AO253" i="21"/>
  <c r="M253" i="21"/>
  <c r="N265" i="21"/>
  <c r="AO265" i="21"/>
  <c r="M265" i="21"/>
  <c r="N277" i="21"/>
  <c r="M277" i="21"/>
  <c r="AO277" i="21"/>
  <c r="N289" i="21"/>
  <c r="AO289" i="21"/>
  <c r="M289" i="21"/>
  <c r="N301" i="21"/>
  <c r="M301" i="21"/>
  <c r="AO301" i="21"/>
  <c r="N313" i="21"/>
  <c r="AO313" i="21"/>
  <c r="M313" i="21"/>
  <c r="N337" i="21"/>
  <c r="AO337" i="21"/>
  <c r="M337" i="21"/>
  <c r="N349" i="21"/>
  <c r="AO349" i="21"/>
  <c r="M349" i="21"/>
  <c r="N361" i="21"/>
  <c r="M361" i="21"/>
  <c r="AO361" i="21"/>
  <c r="N373" i="21"/>
  <c r="M373" i="21"/>
  <c r="AO373" i="21"/>
  <c r="N385" i="21"/>
  <c r="AO385" i="21"/>
  <c r="M385" i="21"/>
  <c r="AO397" i="21"/>
  <c r="N397" i="21"/>
  <c r="M397" i="21"/>
  <c r="AO409" i="21"/>
  <c r="N409" i="21"/>
  <c r="M409" i="21"/>
  <c r="AO422" i="21"/>
  <c r="M422" i="21"/>
  <c r="N422" i="21"/>
  <c r="AO434" i="21"/>
  <c r="N434" i="21"/>
  <c r="M434" i="21"/>
  <c r="AO446" i="21"/>
  <c r="M446" i="21"/>
  <c r="N446" i="21"/>
  <c r="AO38" i="21"/>
  <c r="N38" i="21"/>
  <c r="M38" i="21"/>
  <c r="M50" i="21"/>
  <c r="AO50" i="21"/>
  <c r="N50" i="21"/>
  <c r="M62" i="21"/>
  <c r="AO62" i="21"/>
  <c r="N62" i="21"/>
  <c r="AO74" i="21"/>
  <c r="N74" i="21"/>
  <c r="M74" i="21"/>
  <c r="AO86" i="21"/>
  <c r="N86" i="21"/>
  <c r="M86" i="21"/>
  <c r="M98" i="21"/>
  <c r="N98" i="21"/>
  <c r="AO98" i="21"/>
  <c r="M134" i="21"/>
  <c r="N134" i="21"/>
  <c r="AO134" i="21"/>
  <c r="N146" i="21"/>
  <c r="AO146" i="21"/>
  <c r="M146" i="21"/>
  <c r="N158" i="21"/>
  <c r="AO158" i="21"/>
  <c r="M158" i="21"/>
  <c r="AO170" i="21"/>
  <c r="N170" i="21"/>
  <c r="M170" i="21"/>
  <c r="AO182" i="21"/>
  <c r="N182" i="21"/>
  <c r="M182" i="21"/>
  <c r="AO194" i="21"/>
  <c r="N194" i="21"/>
  <c r="M194" i="21"/>
  <c r="AO206" i="21"/>
  <c r="N206" i="21"/>
  <c r="M206" i="21"/>
  <c r="AO218" i="21"/>
  <c r="M218" i="21"/>
  <c r="N218" i="21"/>
  <c r="M230" i="21"/>
  <c r="AO230" i="21"/>
  <c r="N230" i="21"/>
  <c r="M242" i="21"/>
  <c r="N242" i="21"/>
  <c r="AO242" i="21"/>
  <c r="AO254" i="21"/>
  <c r="M254" i="21"/>
  <c r="N254" i="21"/>
  <c r="M266" i="21"/>
  <c r="AO266" i="21"/>
  <c r="N266" i="21"/>
  <c r="AO278" i="21"/>
  <c r="N278" i="21"/>
  <c r="M278" i="21"/>
  <c r="AO290" i="21"/>
  <c r="N290" i="21"/>
  <c r="M290" i="21"/>
  <c r="M302" i="21"/>
  <c r="AO302" i="21"/>
  <c r="N302" i="21"/>
  <c r="N314" i="21"/>
  <c r="M314" i="21"/>
  <c r="AO314" i="21"/>
  <c r="AO326" i="21"/>
  <c r="N326" i="21"/>
  <c r="M326" i="21"/>
  <c r="N338" i="21"/>
  <c r="M338" i="21"/>
  <c r="AO338" i="21"/>
  <c r="N350" i="21"/>
  <c r="AO350" i="21"/>
  <c r="M350" i="21"/>
  <c r="M362" i="21"/>
  <c r="AO362" i="21"/>
  <c r="N362" i="21"/>
  <c r="N374" i="21"/>
  <c r="AO374" i="21"/>
  <c r="M374" i="21"/>
  <c r="AO386" i="21"/>
  <c r="N386" i="21"/>
  <c r="M386" i="21"/>
  <c r="AO398" i="21"/>
  <c r="N398" i="21"/>
  <c r="M398" i="21"/>
  <c r="AO410" i="21"/>
  <c r="N410" i="21"/>
  <c r="M410" i="21"/>
  <c r="AO423" i="21"/>
  <c r="M423" i="21"/>
  <c r="N423" i="21"/>
  <c r="M435" i="21"/>
  <c r="AO435" i="21"/>
  <c r="N435" i="21"/>
  <c r="AO447" i="21"/>
  <c r="N447" i="21"/>
  <c r="M447" i="21"/>
  <c r="N15" i="21"/>
  <c r="M15" i="21"/>
  <c r="AO15" i="21"/>
  <c r="AO27" i="21"/>
  <c r="N27" i="21"/>
  <c r="M27" i="21"/>
  <c r="N63" i="21"/>
  <c r="M63" i="21"/>
  <c r="AO63" i="21"/>
  <c r="AO75" i="21"/>
  <c r="N75" i="21"/>
  <c r="M75" i="21"/>
  <c r="AO111" i="21"/>
  <c r="N111" i="21"/>
  <c r="M111" i="21"/>
  <c r="AO123" i="21"/>
  <c r="M123" i="21"/>
  <c r="N123" i="21"/>
  <c r="N147" i="21"/>
  <c r="M147" i="21"/>
  <c r="AO147" i="21"/>
  <c r="AO171" i="21"/>
  <c r="M171" i="21"/>
  <c r="N171" i="21"/>
  <c r="AO207" i="21"/>
  <c r="N207" i="21"/>
  <c r="M207" i="21"/>
  <c r="AO231" i="21"/>
  <c r="N231" i="21"/>
  <c r="M231" i="21"/>
  <c r="N255" i="21"/>
  <c r="M255" i="21"/>
  <c r="AO255" i="21"/>
  <c r="AO267" i="21"/>
  <c r="M267" i="21"/>
  <c r="N267" i="21"/>
  <c r="AO303" i="21"/>
  <c r="N303" i="21"/>
  <c r="M303" i="21"/>
  <c r="M315" i="21"/>
  <c r="AO315" i="21"/>
  <c r="N315" i="21"/>
  <c r="N339" i="21"/>
  <c r="AO339" i="21"/>
  <c r="M339" i="21"/>
  <c r="N363" i="21"/>
  <c r="M363" i="21"/>
  <c r="AO363" i="21"/>
  <c r="N375" i="21"/>
  <c r="AO375" i="21"/>
  <c r="M375" i="21"/>
  <c r="N387" i="21"/>
  <c r="AO387" i="21"/>
  <c r="M387" i="21"/>
  <c r="AO399" i="21"/>
  <c r="N399" i="21"/>
  <c r="M399" i="21"/>
  <c r="AO411" i="21"/>
  <c r="M411" i="21"/>
  <c r="N411" i="21"/>
  <c r="AO424" i="21"/>
  <c r="N424" i="21"/>
  <c r="M424" i="21"/>
  <c r="AO436" i="21"/>
  <c r="M436" i="21"/>
  <c r="N436" i="21"/>
  <c r="AO448" i="21"/>
  <c r="M448" i="21"/>
  <c r="N448" i="21"/>
  <c r="AO16" i="21"/>
  <c r="N16" i="21"/>
  <c r="M16" i="21"/>
  <c r="AO28" i="21"/>
  <c r="N28" i="21"/>
  <c r="M28" i="21"/>
  <c r="AO40" i="21"/>
  <c r="N40" i="21"/>
  <c r="M40" i="21"/>
  <c r="AO52" i="21"/>
  <c r="N52" i="21"/>
  <c r="M52" i="21"/>
  <c r="M64" i="21"/>
  <c r="AO64" i="21"/>
  <c r="N64" i="21"/>
  <c r="AO76" i="21"/>
  <c r="N76" i="21"/>
  <c r="M76" i="21"/>
  <c r="AO88" i="21"/>
  <c r="N88" i="21"/>
  <c r="M88" i="21"/>
  <c r="AO100" i="21"/>
  <c r="N100" i="21"/>
  <c r="M100" i="21"/>
  <c r="AO112" i="21"/>
  <c r="N112" i="21"/>
  <c r="M112" i="21"/>
  <c r="N124" i="21"/>
  <c r="M124" i="21"/>
  <c r="AO124" i="21"/>
  <c r="AO136" i="21"/>
  <c r="N136" i="21"/>
  <c r="M136" i="21"/>
  <c r="AO148" i="21"/>
  <c r="M148" i="21"/>
  <c r="N148" i="21"/>
  <c r="AO160" i="21"/>
  <c r="M160" i="21"/>
  <c r="N160" i="21"/>
  <c r="AO172" i="21"/>
  <c r="N172" i="21"/>
  <c r="M172" i="21"/>
  <c r="N184" i="21"/>
  <c r="AO184" i="21"/>
  <c r="M184" i="21"/>
  <c r="AO196" i="21"/>
  <c r="N196" i="21"/>
  <c r="M196" i="21"/>
  <c r="AO208" i="21"/>
  <c r="N208" i="21"/>
  <c r="M208" i="21"/>
  <c r="M220" i="21"/>
  <c r="AO220" i="21"/>
  <c r="N220" i="21"/>
  <c r="AO232" i="21"/>
  <c r="N232" i="21"/>
  <c r="M232" i="21"/>
  <c r="AO244" i="21"/>
  <c r="M244" i="21"/>
  <c r="N244" i="21"/>
  <c r="M256" i="21"/>
  <c r="AO256" i="21"/>
  <c r="N256" i="21"/>
  <c r="M268" i="21"/>
  <c r="AO268" i="21"/>
  <c r="N268" i="21"/>
  <c r="M280" i="21"/>
  <c r="AO280" i="21"/>
  <c r="N280" i="21"/>
  <c r="M292" i="21"/>
  <c r="AO292" i="21"/>
  <c r="N292" i="21"/>
  <c r="AO304" i="21"/>
  <c r="M304" i="21"/>
  <c r="N304" i="21"/>
  <c r="M316" i="21"/>
  <c r="AO316" i="21"/>
  <c r="N316" i="21"/>
  <c r="M328" i="21"/>
  <c r="N328" i="21"/>
  <c r="AO328" i="21"/>
  <c r="AO340" i="21"/>
  <c r="M340" i="21"/>
  <c r="N340" i="21"/>
  <c r="AO352" i="21"/>
  <c r="M352" i="21"/>
  <c r="N352" i="21"/>
  <c r="AO364" i="21"/>
  <c r="N364" i="21"/>
  <c r="M364" i="21"/>
  <c r="M376" i="21"/>
  <c r="AO376" i="21"/>
  <c r="N376" i="21"/>
  <c r="AO388" i="21"/>
  <c r="N388" i="21"/>
  <c r="M388" i="21"/>
  <c r="AO400" i="21"/>
  <c r="N400" i="21"/>
  <c r="M400" i="21"/>
  <c r="AO412" i="21"/>
  <c r="M412" i="21"/>
  <c r="N412" i="21"/>
  <c r="M425" i="21"/>
  <c r="N425" i="21"/>
  <c r="AO425" i="21"/>
  <c r="AO437" i="21"/>
  <c r="M437" i="21"/>
  <c r="N437" i="21"/>
  <c r="M449" i="21"/>
  <c r="AO449" i="21"/>
  <c r="N449" i="21"/>
  <c r="M371" i="21"/>
  <c r="N371" i="21"/>
  <c r="AO371" i="21"/>
  <c r="M49" i="21"/>
  <c r="AO49" i="21"/>
  <c r="N49" i="21"/>
  <c r="AO14" i="21"/>
  <c r="M14" i="21"/>
  <c r="N14" i="21"/>
  <c r="N110" i="21"/>
  <c r="M110" i="21"/>
  <c r="AO110" i="21"/>
  <c r="AO39" i="21"/>
  <c r="N39" i="21"/>
  <c r="M39" i="21"/>
  <c r="AO87" i="21"/>
  <c r="N87" i="21"/>
  <c r="M87" i="21"/>
  <c r="M135" i="21"/>
  <c r="AO135" i="21"/>
  <c r="N135" i="21"/>
  <c r="AO183" i="21"/>
  <c r="N183" i="21"/>
  <c r="M183" i="21"/>
  <c r="N219" i="21"/>
  <c r="M219" i="21"/>
  <c r="AO219" i="21"/>
  <c r="AO279" i="21"/>
  <c r="N279" i="21"/>
  <c r="M279" i="21"/>
  <c r="N327" i="21"/>
  <c r="AO327" i="21"/>
  <c r="M327" i="21"/>
  <c r="N5" i="21"/>
  <c r="M5" i="21"/>
  <c r="AO5" i="21"/>
  <c r="I1453" i="35"/>
  <c r="G1453" i="35"/>
  <c r="H1453" i="35"/>
  <c r="I1423" i="35"/>
  <c r="I1421" i="35"/>
  <c r="G1419" i="35"/>
  <c r="G1413" i="35"/>
  <c r="I1419" i="35"/>
  <c r="I1429" i="35"/>
  <c r="G1423" i="35"/>
  <c r="G1417" i="35"/>
  <c r="H1429" i="35"/>
  <c r="H1417" i="35"/>
  <c r="H1423" i="35"/>
  <c r="H1419" i="35"/>
  <c r="H1425" i="35"/>
  <c r="H1413" i="35"/>
  <c r="H1415" i="35"/>
  <c r="I1425" i="35"/>
  <c r="G1415" i="35"/>
  <c r="G1425" i="35"/>
  <c r="I1413" i="35"/>
  <c r="I1417" i="35"/>
  <c r="H1421" i="35"/>
  <c r="I1415" i="35"/>
  <c r="G1421" i="35"/>
  <c r="G1429" i="35"/>
  <c r="I1814" i="33"/>
  <c r="H1816" i="33"/>
  <c r="G1814" i="33"/>
  <c r="H1812" i="33"/>
  <c r="I1816" i="33"/>
  <c r="H1814" i="33"/>
  <c r="G1812" i="33"/>
  <c r="I1812" i="33"/>
  <c r="G1816" i="33"/>
  <c r="I1866" i="33"/>
  <c r="H1872" i="33"/>
  <c r="H1874" i="33"/>
  <c r="H1866" i="33"/>
  <c r="H1859" i="33"/>
  <c r="I1870" i="33"/>
  <c r="I1875" i="33"/>
  <c r="I1874" i="33"/>
  <c r="G1872" i="33"/>
  <c r="H1864" i="33"/>
  <c r="I1864" i="33"/>
  <c r="H1868" i="33"/>
  <c r="I1872" i="33"/>
  <c r="G1864" i="33"/>
  <c r="G1875" i="33"/>
  <c r="G1874" i="33"/>
  <c r="G1859" i="33"/>
  <c r="I1859" i="33"/>
  <c r="I1868" i="33"/>
  <c r="H1875" i="33"/>
  <c r="G1866" i="33"/>
  <c r="I1863" i="33"/>
  <c r="G1870" i="33"/>
  <c r="G1863" i="33"/>
  <c r="H1870" i="33"/>
  <c r="H1863" i="33"/>
  <c r="G1868" i="33"/>
  <c r="H1861" i="33"/>
  <c r="G1861" i="33"/>
  <c r="I1861" i="33"/>
  <c r="N17" i="21"/>
  <c r="AO17" i="21"/>
  <c r="M17" i="21"/>
  <c r="N29" i="21"/>
  <c r="AO29" i="21"/>
  <c r="M29" i="21"/>
  <c r="N41" i="21"/>
  <c r="AO41" i="21"/>
  <c r="M41" i="21"/>
  <c r="N53" i="21"/>
  <c r="AO53" i="21"/>
  <c r="M53" i="21"/>
  <c r="N65" i="21"/>
  <c r="M65" i="21"/>
  <c r="AO65" i="21"/>
  <c r="N77" i="21"/>
  <c r="AO77" i="21"/>
  <c r="M77" i="21"/>
  <c r="N89" i="21"/>
  <c r="AO89" i="21"/>
  <c r="M89" i="21"/>
  <c r="N101" i="21"/>
  <c r="AO101" i="21"/>
  <c r="M101" i="21"/>
  <c r="N113" i="21"/>
  <c r="M113" i="21"/>
  <c r="AO113" i="21"/>
  <c r="N125" i="21"/>
  <c r="M125" i="21"/>
  <c r="AO125" i="21"/>
  <c r="N137" i="21"/>
  <c r="AO137" i="21"/>
  <c r="M137" i="21"/>
  <c r="N149" i="21"/>
  <c r="M149" i="21"/>
  <c r="AO149" i="21"/>
  <c r="N161" i="21"/>
  <c r="M161" i="21"/>
  <c r="AO161" i="21"/>
  <c r="N173" i="21"/>
  <c r="M173" i="21"/>
  <c r="AO173" i="21"/>
  <c r="AO185" i="21"/>
  <c r="M185" i="21"/>
  <c r="N185" i="21"/>
  <c r="AO197" i="21"/>
  <c r="M197" i="21"/>
  <c r="N197" i="21"/>
  <c r="N209" i="21"/>
  <c r="AO209" i="21"/>
  <c r="M209" i="21"/>
  <c r="AO221" i="21"/>
  <c r="N221" i="21"/>
  <c r="M221" i="21"/>
  <c r="M233" i="21"/>
  <c r="AO233" i="21"/>
  <c r="N233" i="21"/>
  <c r="AO245" i="21"/>
  <c r="N245" i="21"/>
  <c r="M245" i="21"/>
  <c r="AO257" i="21"/>
  <c r="M257" i="21"/>
  <c r="N257" i="21"/>
  <c r="N269" i="21"/>
  <c r="M269" i="21"/>
  <c r="AO269" i="21"/>
  <c r="N281" i="21"/>
  <c r="M281" i="21"/>
  <c r="AO281" i="21"/>
  <c r="M293" i="21"/>
  <c r="AO293" i="21"/>
  <c r="N293" i="21"/>
  <c r="N305" i="21"/>
  <c r="M305" i="21"/>
  <c r="AO305" i="21"/>
  <c r="AO317" i="21"/>
  <c r="M317" i="21"/>
  <c r="N317" i="21"/>
  <c r="N329" i="21"/>
  <c r="M329" i="21"/>
  <c r="AO329" i="21"/>
  <c r="M341" i="21"/>
  <c r="AO341" i="21"/>
  <c r="N341" i="21"/>
  <c r="AO353" i="21"/>
  <c r="N353" i="21"/>
  <c r="M353" i="21"/>
  <c r="N365" i="21"/>
  <c r="AO365" i="21"/>
  <c r="M365" i="21"/>
  <c r="M377" i="21"/>
  <c r="AO377" i="21"/>
  <c r="N377" i="21"/>
  <c r="N389" i="21"/>
  <c r="AO389" i="21"/>
  <c r="M389" i="21"/>
  <c r="AO401" i="21"/>
  <c r="N401" i="21"/>
  <c r="M401" i="21"/>
  <c r="N426" i="21"/>
  <c r="AO426" i="21"/>
  <c r="M426" i="21"/>
  <c r="AO438" i="21"/>
  <c r="N438" i="21"/>
  <c r="M438" i="21"/>
  <c r="M450" i="21"/>
  <c r="AO450" i="21"/>
  <c r="N450" i="21"/>
  <c r="N238" i="21"/>
  <c r="M238" i="21"/>
  <c r="AO238" i="21"/>
  <c r="N383" i="21"/>
  <c r="M383" i="21"/>
  <c r="AO383" i="21"/>
  <c r="M25" i="21"/>
  <c r="AO25" i="21"/>
  <c r="N25" i="21"/>
  <c r="AO26" i="21"/>
  <c r="M26" i="21"/>
  <c r="N26" i="21"/>
  <c r="AO122" i="21"/>
  <c r="M122" i="21"/>
  <c r="N122" i="21"/>
  <c r="AO51" i="21"/>
  <c r="N51" i="21"/>
  <c r="M51" i="21"/>
  <c r="AO99" i="21"/>
  <c r="N99" i="21"/>
  <c r="M99" i="21"/>
  <c r="AO159" i="21"/>
  <c r="M159" i="21"/>
  <c r="N159" i="21"/>
  <c r="AO195" i="21"/>
  <c r="N195" i="21"/>
  <c r="M195" i="21"/>
  <c r="AO243" i="21"/>
  <c r="M243" i="21"/>
  <c r="N243" i="21"/>
  <c r="AO291" i="21"/>
  <c r="N291" i="21"/>
  <c r="M291" i="21"/>
  <c r="N351" i="21"/>
  <c r="AO351" i="21"/>
  <c r="M351" i="21"/>
  <c r="M6" i="21"/>
  <c r="AO6" i="21"/>
  <c r="N6" i="21"/>
  <c r="AO18" i="21"/>
  <c r="N18" i="21"/>
  <c r="M18" i="21"/>
  <c r="M30" i="21"/>
  <c r="AO30" i="21"/>
  <c r="N30" i="21"/>
  <c r="AO42" i="21"/>
  <c r="M42" i="21"/>
  <c r="N42" i="21"/>
  <c r="N54" i="21"/>
  <c r="AO54" i="21"/>
  <c r="M54" i="21"/>
  <c r="AO66" i="21"/>
  <c r="N66" i="21"/>
  <c r="M66" i="21"/>
  <c r="N78" i="21"/>
  <c r="AO78" i="21"/>
  <c r="M78" i="21"/>
  <c r="AO90" i="21"/>
  <c r="N90" i="21"/>
  <c r="M90" i="21"/>
  <c r="AO102" i="21"/>
  <c r="N102" i="21"/>
  <c r="M102" i="21"/>
  <c r="AO114" i="21"/>
  <c r="N114" i="21"/>
  <c r="M114" i="21"/>
  <c r="N126" i="21"/>
  <c r="M126" i="21"/>
  <c r="AO126" i="21"/>
  <c r="AO138" i="21"/>
  <c r="N138" i="21"/>
  <c r="M138" i="21"/>
  <c r="AO150" i="21"/>
  <c r="M150" i="21"/>
  <c r="N150" i="21"/>
  <c r="N162" i="21"/>
  <c r="M162" i="21"/>
  <c r="AO162" i="21"/>
  <c r="N174" i="21"/>
  <c r="M174" i="21"/>
  <c r="AO174" i="21"/>
  <c r="N186" i="21"/>
  <c r="M186" i="21"/>
  <c r="AO186" i="21"/>
  <c r="N198" i="21"/>
  <c r="AO198" i="21"/>
  <c r="M198" i="21"/>
  <c r="N210" i="21"/>
  <c r="AO210" i="21"/>
  <c r="M210" i="21"/>
  <c r="N222" i="21"/>
  <c r="M222" i="21"/>
  <c r="AO222" i="21"/>
  <c r="N234" i="21"/>
  <c r="AO234" i="21"/>
  <c r="M234" i="21"/>
  <c r="N246" i="21"/>
  <c r="AO246" i="21"/>
  <c r="M246" i="21"/>
  <c r="AO258" i="21"/>
  <c r="N258" i="21"/>
  <c r="M258" i="21"/>
  <c r="AO270" i="21"/>
  <c r="N270" i="21"/>
  <c r="M270" i="21"/>
  <c r="M282" i="21"/>
  <c r="AO282" i="21"/>
  <c r="N282" i="21"/>
  <c r="N294" i="21"/>
  <c r="AO294" i="21"/>
  <c r="M294" i="21"/>
  <c r="AO306" i="21"/>
  <c r="M306" i="21"/>
  <c r="N306" i="21"/>
  <c r="AO318" i="21"/>
  <c r="N318" i="21"/>
  <c r="M318" i="21"/>
  <c r="AO330" i="21"/>
  <c r="M330" i="21"/>
  <c r="N330" i="21"/>
  <c r="M342" i="21"/>
  <c r="AO342" i="21"/>
  <c r="N342" i="21"/>
  <c r="M354" i="21"/>
  <c r="AO354" i="21"/>
  <c r="N354" i="21"/>
  <c r="AO366" i="21"/>
  <c r="M366" i="21"/>
  <c r="N366" i="21"/>
  <c r="N378" i="21"/>
  <c r="M378" i="21"/>
  <c r="AO378" i="21"/>
  <c r="AO390" i="21"/>
  <c r="M390" i="21"/>
  <c r="N390" i="21"/>
  <c r="N402" i="21"/>
  <c r="AO402" i="21"/>
  <c r="M402" i="21"/>
  <c r="AO415" i="21"/>
  <c r="N415" i="21"/>
  <c r="M415" i="21"/>
  <c r="M427" i="21"/>
  <c r="AO427" i="21"/>
  <c r="N427" i="21"/>
  <c r="N439" i="21"/>
  <c r="AO439" i="21"/>
  <c r="M439" i="21"/>
  <c r="M451" i="21"/>
  <c r="AO451" i="21"/>
  <c r="N451" i="21"/>
  <c r="N10" i="21"/>
  <c r="M10" i="21"/>
  <c r="AO10" i="21"/>
  <c r="N34" i="21"/>
  <c r="AO34" i="21"/>
  <c r="M34" i="21"/>
  <c r="AO58" i="21"/>
  <c r="M58" i="21"/>
  <c r="N58" i="21"/>
  <c r="AO82" i="21"/>
  <c r="N82" i="21"/>
  <c r="M82" i="21"/>
  <c r="N106" i="21"/>
  <c r="AO106" i="21"/>
  <c r="M106" i="21"/>
  <c r="AO130" i="21"/>
  <c r="N130" i="21"/>
  <c r="M130" i="21"/>
  <c r="AO154" i="21"/>
  <c r="N154" i="21"/>
  <c r="M154" i="21"/>
  <c r="M178" i="21"/>
  <c r="AO178" i="21"/>
  <c r="N178" i="21"/>
  <c r="M202" i="21"/>
  <c r="AO202" i="21"/>
  <c r="N202" i="21"/>
  <c r="M226" i="21"/>
  <c r="N226" i="21"/>
  <c r="AO226" i="21"/>
  <c r="M274" i="21"/>
  <c r="AO274" i="21"/>
  <c r="N274" i="21"/>
  <c r="N298" i="21"/>
  <c r="AO298" i="21"/>
  <c r="M298" i="21"/>
  <c r="M322" i="21"/>
  <c r="AO322" i="21"/>
  <c r="N322" i="21"/>
  <c r="AO346" i="21"/>
  <c r="M346" i="21"/>
  <c r="N346" i="21"/>
  <c r="AO370" i="21"/>
  <c r="M370" i="21"/>
  <c r="N370" i="21"/>
  <c r="M394" i="21"/>
  <c r="AO394" i="21"/>
  <c r="N394" i="21"/>
  <c r="M419" i="21"/>
  <c r="N419" i="21"/>
  <c r="AO419" i="21"/>
  <c r="M431" i="21"/>
  <c r="AO431" i="21"/>
  <c r="N431" i="21"/>
  <c r="N23" i="21"/>
  <c r="AO23" i="21"/>
  <c r="M23" i="21"/>
  <c r="N47" i="21"/>
  <c r="AO47" i="21"/>
  <c r="M47" i="21"/>
  <c r="N71" i="21"/>
  <c r="AO71" i="21"/>
  <c r="M71" i="21"/>
  <c r="N95" i="21"/>
  <c r="AO95" i="21"/>
  <c r="M95" i="21"/>
  <c r="N119" i="21"/>
  <c r="AO119" i="21"/>
  <c r="M119" i="21"/>
  <c r="N143" i="21"/>
  <c r="AO143" i="21"/>
  <c r="M143" i="21"/>
  <c r="AO167" i="21"/>
  <c r="N167" i="21"/>
  <c r="M167" i="21"/>
  <c r="AO191" i="21"/>
  <c r="N191" i="21"/>
  <c r="M191" i="21"/>
  <c r="AO215" i="21"/>
  <c r="M215" i="21"/>
  <c r="N215" i="21"/>
  <c r="AO239" i="21"/>
  <c r="N239" i="21"/>
  <c r="M239" i="21"/>
  <c r="AO263" i="21"/>
  <c r="M263" i="21"/>
  <c r="N263" i="21"/>
  <c r="AO299" i="21"/>
  <c r="M299" i="21"/>
  <c r="N299" i="21"/>
  <c r="AO323" i="21"/>
  <c r="M323" i="21"/>
  <c r="N323" i="21"/>
  <c r="N347" i="21"/>
  <c r="M347" i="21"/>
  <c r="AO347" i="21"/>
  <c r="M395" i="21"/>
  <c r="AO395" i="21"/>
  <c r="N395" i="21"/>
  <c r="N432" i="21"/>
  <c r="AO432" i="21"/>
  <c r="M432" i="21"/>
  <c r="N12" i="21"/>
  <c r="M12" i="21"/>
  <c r="AO12" i="21"/>
  <c r="M36" i="21"/>
  <c r="AO36" i="21"/>
  <c r="N36" i="21"/>
  <c r="AO60" i="21"/>
  <c r="N60" i="21"/>
  <c r="M60" i="21"/>
  <c r="M84" i="21"/>
  <c r="N84" i="21"/>
  <c r="AO84" i="21"/>
  <c r="M108" i="21"/>
  <c r="AO108" i="21"/>
  <c r="N108" i="21"/>
  <c r="AO132" i="21"/>
  <c r="N132" i="21"/>
  <c r="M132" i="21"/>
  <c r="N180" i="21"/>
  <c r="AO180" i="21"/>
  <c r="M180" i="21"/>
  <c r="N204" i="21"/>
  <c r="AO204" i="21"/>
  <c r="M204" i="21"/>
  <c r="N228" i="21"/>
  <c r="M228" i="21"/>
  <c r="AO228" i="21"/>
  <c r="N252" i="21"/>
  <c r="M252" i="21"/>
  <c r="AO252" i="21"/>
  <c r="N276" i="21"/>
  <c r="M276" i="21"/>
  <c r="AO276" i="21"/>
  <c r="N288" i="21"/>
  <c r="M288" i="21"/>
  <c r="AO288" i="21"/>
  <c r="N312" i="21"/>
  <c r="AO312" i="21"/>
  <c r="M312" i="21"/>
  <c r="M336" i="21"/>
  <c r="AO336" i="21"/>
  <c r="N336" i="21"/>
  <c r="AO360" i="21"/>
  <c r="M360" i="21"/>
  <c r="N360" i="21"/>
  <c r="N384" i="21"/>
  <c r="M384" i="21"/>
  <c r="AO384" i="21"/>
  <c r="M408" i="21"/>
  <c r="N408" i="21"/>
  <c r="AO408" i="21"/>
  <c r="N433" i="21"/>
  <c r="M433" i="21"/>
  <c r="AO433" i="21"/>
  <c r="N325" i="21"/>
  <c r="AO325" i="21"/>
  <c r="M325" i="21"/>
  <c r="AO7" i="21"/>
  <c r="M7" i="21"/>
  <c r="N7" i="21"/>
  <c r="AO19" i="21"/>
  <c r="N19" i="21"/>
  <c r="M19" i="21"/>
  <c r="AO31" i="21"/>
  <c r="N31" i="21"/>
  <c r="M31" i="21"/>
  <c r="AO43" i="21"/>
  <c r="N43" i="21"/>
  <c r="M43" i="21"/>
  <c r="N55" i="21"/>
  <c r="AO55" i="21"/>
  <c r="M55" i="21"/>
  <c r="N67" i="21"/>
  <c r="AO67" i="21"/>
  <c r="M67" i="21"/>
  <c r="AO79" i="21"/>
  <c r="N79" i="21"/>
  <c r="M79" i="21"/>
  <c r="AO91" i="21"/>
  <c r="N91" i="21"/>
  <c r="M91" i="21"/>
  <c r="N103" i="21"/>
  <c r="AO103" i="21"/>
  <c r="M103" i="21"/>
  <c r="AO115" i="21"/>
  <c r="N115" i="21"/>
  <c r="M115" i="21"/>
  <c r="M127" i="21"/>
  <c r="AO127" i="21"/>
  <c r="N127" i="21"/>
  <c r="N139" i="21"/>
  <c r="M139" i="21"/>
  <c r="AO139" i="21"/>
  <c r="AO151" i="21"/>
  <c r="N151" i="21"/>
  <c r="M151" i="21"/>
  <c r="AO163" i="21"/>
  <c r="M163" i="21"/>
  <c r="N163" i="21"/>
  <c r="AO175" i="21"/>
  <c r="N175" i="21"/>
  <c r="M175" i="21"/>
  <c r="M187" i="21"/>
  <c r="N187" i="21"/>
  <c r="AO187" i="21"/>
  <c r="N199" i="21"/>
  <c r="AO199" i="21"/>
  <c r="M199" i="21"/>
  <c r="N211" i="21"/>
  <c r="M211" i="21"/>
  <c r="AO211" i="21"/>
  <c r="AO223" i="21"/>
  <c r="N223" i="21"/>
  <c r="M223" i="21"/>
  <c r="AO235" i="21"/>
  <c r="N235" i="21"/>
  <c r="M235" i="21"/>
  <c r="N247" i="21"/>
  <c r="M247" i="21"/>
  <c r="AO247" i="21"/>
  <c r="N259" i="21"/>
  <c r="AO259" i="21"/>
  <c r="M259" i="21"/>
  <c r="N271" i="21"/>
  <c r="AO271" i="21"/>
  <c r="M271" i="21"/>
  <c r="N283" i="21"/>
  <c r="AO283" i="21"/>
  <c r="M283" i="21"/>
  <c r="N295" i="21"/>
  <c r="M295" i="21"/>
  <c r="AO295" i="21"/>
  <c r="N307" i="21"/>
  <c r="AO307" i="21"/>
  <c r="M307" i="21"/>
  <c r="N319" i="21"/>
  <c r="AO319" i="21"/>
  <c r="M319" i="21"/>
  <c r="N331" i="21"/>
  <c r="M331" i="21"/>
  <c r="AO331" i="21"/>
  <c r="N343" i="21"/>
  <c r="AO343" i="21"/>
  <c r="M343" i="21"/>
  <c r="N355" i="21"/>
  <c r="AO355" i="21"/>
  <c r="M355" i="21"/>
  <c r="N367" i="21"/>
  <c r="M367" i="21"/>
  <c r="AO367" i="21"/>
  <c r="N379" i="21"/>
  <c r="AO379" i="21"/>
  <c r="M379" i="21"/>
  <c r="AO403" i="21"/>
  <c r="N403" i="21"/>
  <c r="M403" i="21"/>
  <c r="AO416" i="21"/>
  <c r="M416" i="21"/>
  <c r="N416" i="21"/>
  <c r="AO428" i="21"/>
  <c r="M428" i="21"/>
  <c r="N428" i="21"/>
  <c r="AO440" i="21"/>
  <c r="N440" i="21"/>
  <c r="M440" i="21"/>
  <c r="AO452" i="21"/>
  <c r="N452" i="21"/>
  <c r="M452" i="21"/>
  <c r="N8" i="21"/>
  <c r="AO8" i="21"/>
  <c r="M8" i="21"/>
  <c r="N20" i="21"/>
  <c r="AO20" i="21"/>
  <c r="M20" i="21"/>
  <c r="M32" i="21"/>
  <c r="N32" i="21"/>
  <c r="AO32" i="21"/>
  <c r="M44" i="21"/>
  <c r="AO44" i="21"/>
  <c r="N44" i="21"/>
  <c r="M56" i="21"/>
  <c r="AO56" i="21"/>
  <c r="N56" i="21"/>
  <c r="AO68" i="21"/>
  <c r="N68" i="21"/>
  <c r="M68" i="21"/>
  <c r="N80" i="21"/>
  <c r="AO80" i="21"/>
  <c r="M80" i="21"/>
  <c r="N92" i="21"/>
  <c r="M92" i="21"/>
  <c r="AO92" i="21"/>
  <c r="N104" i="21"/>
  <c r="AO104" i="21"/>
  <c r="M104" i="21"/>
  <c r="AO116" i="21"/>
  <c r="N116" i="21"/>
  <c r="M116" i="21"/>
  <c r="AO128" i="21"/>
  <c r="N128" i="21"/>
  <c r="M128" i="21"/>
  <c r="AO140" i="21"/>
  <c r="M140" i="21"/>
  <c r="N140" i="21"/>
  <c r="N152" i="21"/>
  <c r="AO152" i="21"/>
  <c r="M152" i="21"/>
  <c r="AO164" i="21"/>
  <c r="N164" i="21"/>
  <c r="M164" i="21"/>
  <c r="N176" i="21"/>
  <c r="M176" i="21"/>
  <c r="AO176" i="21"/>
  <c r="M188" i="21"/>
  <c r="AO188" i="21"/>
  <c r="N188" i="21"/>
  <c r="M200" i="21"/>
  <c r="AO200" i="21"/>
  <c r="N200" i="21"/>
  <c r="N212" i="21"/>
  <c r="M212" i="21"/>
  <c r="AO212" i="21"/>
  <c r="AO224" i="21"/>
  <c r="N224" i="21"/>
  <c r="M224" i="21"/>
  <c r="N236" i="21"/>
  <c r="M236" i="21"/>
  <c r="AO236" i="21"/>
  <c r="N248" i="21"/>
  <c r="AO248" i="21"/>
  <c r="M248" i="21"/>
  <c r="N260" i="21"/>
  <c r="M260" i="21"/>
  <c r="AO260" i="21"/>
  <c r="N272" i="21"/>
  <c r="AO272" i="21"/>
  <c r="M272" i="21"/>
  <c r="M284" i="21"/>
  <c r="AO284" i="21"/>
  <c r="N284" i="21"/>
  <c r="AO296" i="21"/>
  <c r="N296" i="21"/>
  <c r="M296" i="21"/>
  <c r="M308" i="21"/>
  <c r="N308" i="21"/>
  <c r="AO308" i="21"/>
  <c r="N320" i="21"/>
  <c r="M320" i="21"/>
  <c r="AO320" i="21"/>
  <c r="AO332" i="21"/>
  <c r="N332" i="21"/>
  <c r="M332" i="21"/>
  <c r="M344" i="21"/>
  <c r="AO344" i="21"/>
  <c r="N344" i="21"/>
  <c r="AO356" i="21"/>
  <c r="N356" i="21"/>
  <c r="M356" i="21"/>
  <c r="AO368" i="21"/>
  <c r="N368" i="21"/>
  <c r="M368" i="21"/>
  <c r="M380" i="21"/>
  <c r="AO380" i="21"/>
  <c r="N380" i="21"/>
  <c r="M392" i="21"/>
  <c r="AO392" i="21"/>
  <c r="N392" i="21"/>
  <c r="AO404" i="21"/>
  <c r="N404" i="21"/>
  <c r="M404" i="21"/>
  <c r="AO417" i="21"/>
  <c r="N417" i="21"/>
  <c r="M417" i="21"/>
  <c r="AO429" i="21"/>
  <c r="N429" i="21"/>
  <c r="M429" i="21"/>
  <c r="AO441" i="21"/>
  <c r="N441" i="21"/>
  <c r="M441" i="21"/>
  <c r="N453" i="21"/>
  <c r="M453" i="21"/>
  <c r="AO453" i="21"/>
  <c r="AO9" i="21"/>
  <c r="N9" i="21"/>
  <c r="M9" i="21"/>
  <c r="N21" i="21"/>
  <c r="AO21" i="21"/>
  <c r="M21" i="21"/>
  <c r="AO33" i="21"/>
  <c r="M33" i="21"/>
  <c r="N33" i="21"/>
  <c r="AO45" i="21"/>
  <c r="N45" i="21"/>
  <c r="M45" i="21"/>
  <c r="M57" i="21"/>
  <c r="AO57" i="21"/>
  <c r="N57" i="21"/>
  <c r="AO69" i="21"/>
  <c r="N69" i="21"/>
  <c r="M69" i="21"/>
  <c r="AO81" i="21"/>
  <c r="N81" i="21"/>
  <c r="M81" i="21"/>
  <c r="N93" i="21"/>
  <c r="AO93" i="21"/>
  <c r="M93" i="21"/>
  <c r="AO105" i="21"/>
  <c r="N105" i="21"/>
  <c r="M105" i="21"/>
  <c r="N117" i="21"/>
  <c r="AO117" i="21"/>
  <c r="M117" i="21"/>
  <c r="M129" i="21"/>
  <c r="N129" i="21"/>
  <c r="AO129" i="21"/>
  <c r="M141" i="21"/>
  <c r="AO141" i="21"/>
  <c r="N141" i="21"/>
  <c r="N153" i="21"/>
  <c r="M153" i="21"/>
  <c r="AO153" i="21"/>
  <c r="M165" i="21"/>
  <c r="AO165" i="21"/>
  <c r="N165" i="21"/>
  <c r="M177" i="21"/>
  <c r="AO177" i="21"/>
  <c r="N177" i="21"/>
  <c r="AO189" i="21"/>
  <c r="N189" i="21"/>
  <c r="M189" i="21"/>
  <c r="N201" i="21"/>
  <c r="M201" i="21"/>
  <c r="AO201" i="21"/>
  <c r="M213" i="21"/>
  <c r="AO213" i="21"/>
  <c r="N213" i="21"/>
  <c r="N225" i="21"/>
  <c r="AO225" i="21"/>
  <c r="M225" i="21"/>
  <c r="M237" i="21"/>
  <c r="AO237" i="21"/>
  <c r="N237" i="21"/>
  <c r="AO261" i="21"/>
  <c r="N261" i="21"/>
  <c r="M261" i="21"/>
  <c r="M273" i="21"/>
  <c r="AO273" i="21"/>
  <c r="N273" i="21"/>
  <c r="N285" i="21"/>
  <c r="AO285" i="21"/>
  <c r="M285" i="21"/>
  <c r="AO297" i="21"/>
  <c r="N297" i="21"/>
  <c r="M297" i="21"/>
  <c r="AO309" i="21"/>
  <c r="N309" i="21"/>
  <c r="M309" i="21"/>
  <c r="N321" i="21"/>
  <c r="M321" i="21"/>
  <c r="AO321" i="21"/>
  <c r="N333" i="21"/>
  <c r="M333" i="21"/>
  <c r="AO333" i="21"/>
  <c r="N345" i="21"/>
  <c r="M345" i="21"/>
  <c r="AO345" i="21"/>
  <c r="N357" i="21"/>
  <c r="M357" i="21"/>
  <c r="AO357" i="21"/>
  <c r="N369" i="21"/>
  <c r="M369" i="21"/>
  <c r="AO369" i="21"/>
  <c r="N381" i="21"/>
  <c r="M381" i="21"/>
  <c r="AO381" i="21"/>
  <c r="AO393" i="21"/>
  <c r="M393" i="21"/>
  <c r="N393" i="21"/>
  <c r="AO405" i="21"/>
  <c r="N405" i="21"/>
  <c r="M405" i="21"/>
  <c r="AO418" i="21"/>
  <c r="N418" i="21"/>
  <c r="M418" i="21"/>
  <c r="AO430" i="21"/>
  <c r="N430" i="21"/>
  <c r="M430" i="21"/>
  <c r="AO442" i="21"/>
  <c r="N442" i="21"/>
  <c r="M442" i="21"/>
  <c r="AJ27" i="36"/>
  <c r="AJ47" i="36"/>
  <c r="AJ51" i="36"/>
  <c r="AJ55" i="36"/>
  <c r="AJ59" i="36"/>
  <c r="AJ63" i="36"/>
  <c r="AJ71" i="36"/>
  <c r="AJ75" i="36"/>
  <c r="AJ79" i="36"/>
  <c r="AJ83" i="36"/>
  <c r="AJ87" i="36"/>
  <c r="AJ91" i="36"/>
  <c r="AJ95" i="36"/>
  <c r="AJ99" i="36"/>
  <c r="AJ115" i="36"/>
  <c r="AJ119" i="36"/>
  <c r="AJ123" i="36"/>
  <c r="AJ127" i="36"/>
  <c r="AJ131" i="36"/>
  <c r="AJ135" i="36"/>
  <c r="AJ981" i="36"/>
  <c r="AJ994" i="36"/>
  <c r="AJ662" i="36"/>
  <c r="AJ986" i="36"/>
  <c r="AJ979" i="36"/>
  <c r="AJ560" i="36"/>
  <c r="AJ988" i="36"/>
  <c r="AJ989" i="36"/>
  <c r="AJ983" i="36"/>
  <c r="AJ584" i="36"/>
  <c r="AJ982" i="36"/>
  <c r="AJ984" i="36"/>
  <c r="AJ143" i="36"/>
  <c r="AJ147" i="36"/>
  <c r="AJ151" i="36"/>
  <c r="AJ171" i="36"/>
  <c r="AJ187" i="36"/>
  <c r="AJ227" i="36"/>
  <c r="AJ231" i="36"/>
  <c r="AJ235" i="36"/>
  <c r="AJ243" i="36"/>
  <c r="AJ259" i="36"/>
  <c r="AJ263" i="36"/>
  <c r="AJ267" i="36"/>
  <c r="AJ271" i="36"/>
  <c r="AJ279" i="36"/>
  <c r="AJ287" i="36"/>
  <c r="AJ291" i="36"/>
  <c r="AJ295" i="36"/>
  <c r="AJ299" i="36"/>
  <c r="AJ303" i="36"/>
  <c r="AJ307" i="36"/>
  <c r="AJ315" i="36"/>
  <c r="AJ475" i="36"/>
  <c r="AJ479" i="36"/>
  <c r="AJ483" i="36"/>
  <c r="AJ487" i="36"/>
  <c r="AJ491" i="36"/>
  <c r="AJ495" i="36"/>
  <c r="AJ499" i="36"/>
  <c r="AJ503" i="36"/>
  <c r="AJ511" i="36"/>
  <c r="AJ515" i="36"/>
  <c r="AJ519" i="36"/>
  <c r="AJ523" i="36"/>
  <c r="AJ531" i="36"/>
  <c r="AJ535" i="36"/>
  <c r="AJ539" i="36"/>
  <c r="AJ547" i="36"/>
  <c r="AJ551" i="36"/>
  <c r="AJ555" i="36"/>
  <c r="AJ559" i="36"/>
  <c r="AJ563" i="36"/>
  <c r="AJ591" i="36"/>
  <c r="AJ595" i="36"/>
  <c r="AJ599" i="36"/>
  <c r="AJ603" i="36"/>
  <c r="AJ607" i="36"/>
  <c r="AJ643" i="36"/>
  <c r="AJ647" i="36"/>
  <c r="AJ651" i="36"/>
  <c r="AJ655" i="36"/>
  <c r="AJ659" i="36"/>
  <c r="AJ663" i="36"/>
  <c r="AJ667" i="36"/>
  <c r="AJ671" i="36"/>
  <c r="AJ675" i="36"/>
  <c r="AJ683" i="36"/>
  <c r="AJ695" i="36"/>
  <c r="AJ699" i="36"/>
  <c r="AJ703" i="36"/>
  <c r="AJ719" i="36"/>
  <c r="AJ727" i="36"/>
  <c r="AJ731" i="36"/>
  <c r="AJ735" i="36"/>
  <c r="AJ739" i="36"/>
  <c r="AJ747" i="36"/>
  <c r="AJ755" i="36"/>
  <c r="AJ759" i="36"/>
  <c r="AJ763" i="36"/>
  <c r="AJ767" i="36"/>
  <c r="AJ775" i="36"/>
  <c r="AJ779" i="36"/>
  <c r="AJ783" i="36"/>
  <c r="AJ795" i="36"/>
  <c r="AJ851" i="36"/>
  <c r="AJ855" i="36"/>
  <c r="AJ871" i="36"/>
  <c r="AJ875" i="36"/>
  <c r="AJ879" i="36"/>
  <c r="AJ883" i="36"/>
  <c r="AJ887" i="36"/>
  <c r="AJ891" i="36"/>
  <c r="AJ903" i="36"/>
  <c r="AJ907" i="36"/>
  <c r="AJ990" i="36"/>
  <c r="AJ987" i="36"/>
  <c r="AJ960" i="36"/>
  <c r="AJ42" i="36"/>
  <c r="AJ985" i="36"/>
  <c r="AJ431" i="36"/>
  <c r="AJ28" i="36"/>
  <c r="AJ32" i="36"/>
  <c r="AJ36" i="36"/>
  <c r="AJ40" i="36"/>
  <c r="AJ44" i="36"/>
  <c r="AJ48" i="36"/>
  <c r="AJ64" i="36"/>
  <c r="AJ68" i="36"/>
  <c r="AJ72" i="36"/>
  <c r="AJ76" i="36"/>
  <c r="AJ80" i="36"/>
  <c r="AJ84" i="36"/>
  <c r="AJ100" i="36"/>
  <c r="AJ104" i="36"/>
  <c r="AJ108" i="36"/>
  <c r="AJ112" i="36"/>
  <c r="AJ120" i="36"/>
  <c r="AJ136" i="36"/>
  <c r="AJ140" i="36"/>
  <c r="AJ144" i="36"/>
  <c r="AJ148" i="36"/>
  <c r="AJ152" i="36"/>
  <c r="AJ188" i="36"/>
  <c r="AJ192" i="36"/>
  <c r="AJ208" i="36"/>
  <c r="AJ212" i="36"/>
  <c r="AJ216" i="36"/>
  <c r="AJ220" i="36"/>
  <c r="AJ224" i="36"/>
  <c r="AJ228" i="36"/>
  <c r="AJ244" i="36"/>
  <c r="AJ248" i="36"/>
  <c r="AJ252" i="36"/>
  <c r="AJ256" i="36"/>
  <c r="AJ260" i="36"/>
  <c r="AJ264" i="36"/>
  <c r="AJ300" i="36"/>
  <c r="AJ316" i="36"/>
  <c r="AJ320" i="36"/>
  <c r="AJ324" i="36"/>
  <c r="AJ332" i="36"/>
  <c r="AJ336" i="36"/>
  <c r="AJ340" i="36"/>
  <c r="AJ344" i="36"/>
  <c r="AJ352" i="36"/>
  <c r="AJ356" i="36"/>
  <c r="AJ596" i="36"/>
  <c r="AJ600" i="36"/>
  <c r="AJ608" i="36"/>
  <c r="AJ616" i="36"/>
  <c r="AJ620" i="36"/>
  <c r="AJ632" i="36"/>
  <c r="AJ636" i="36"/>
  <c r="AJ644" i="36"/>
  <c r="AJ656" i="36"/>
  <c r="AJ660" i="36"/>
  <c r="AJ668" i="36"/>
  <c r="AJ680" i="36"/>
  <c r="AJ692" i="36"/>
  <c r="AJ696" i="36"/>
  <c r="AJ708" i="36"/>
  <c r="AJ712" i="36"/>
  <c r="AJ716" i="36"/>
  <c r="AJ724" i="36"/>
  <c r="AJ732" i="36"/>
  <c r="AJ736" i="36"/>
  <c r="AJ760" i="36"/>
  <c r="AJ3" i="36"/>
  <c r="AJ7" i="36"/>
  <c r="AJ11" i="36"/>
  <c r="AJ15" i="36"/>
  <c r="AJ19" i="36"/>
  <c r="AJ258" i="36"/>
  <c r="AJ12" i="36"/>
  <c r="AJ39" i="36"/>
  <c r="AJ207" i="36"/>
  <c r="AJ645" i="36"/>
  <c r="AJ765" i="36"/>
  <c r="AJ10" i="36"/>
  <c r="AJ14" i="36"/>
  <c r="AJ18" i="36"/>
  <c r="AJ22" i="36"/>
  <c r="AJ26" i="36"/>
  <c r="AJ117" i="36"/>
  <c r="AJ297" i="36"/>
  <c r="AJ130" i="36"/>
  <c r="AJ134" i="36"/>
  <c r="AJ138" i="36"/>
  <c r="AJ154" i="36"/>
  <c r="AJ158" i="36"/>
  <c r="AJ162" i="36"/>
  <c r="AJ166" i="36"/>
  <c r="AJ170" i="36"/>
  <c r="AJ174" i="36"/>
  <c r="AJ186" i="36"/>
  <c r="AJ210" i="36"/>
  <c r="AJ226" i="36"/>
  <c r="AJ230" i="36"/>
  <c r="AJ234" i="36"/>
  <c r="AJ238" i="36"/>
  <c r="AJ242" i="36"/>
  <c r="AJ274" i="36"/>
  <c r="AJ278" i="36"/>
  <c r="AJ282" i="36"/>
  <c r="AJ298" i="36"/>
  <c r="AJ302" i="36"/>
  <c r="AJ306" i="36"/>
  <c r="AJ310" i="36"/>
  <c r="AJ314" i="36"/>
  <c r="AJ318" i="36"/>
  <c r="AJ394" i="36"/>
  <c r="AJ398" i="36"/>
  <c r="AJ402" i="36"/>
  <c r="AJ414" i="36"/>
  <c r="AJ418" i="36"/>
  <c r="AJ422" i="36"/>
  <c r="AJ430" i="36"/>
  <c r="AJ434" i="36"/>
  <c r="AJ522" i="36"/>
  <c r="AJ534" i="36"/>
  <c r="AJ542" i="36"/>
  <c r="AJ546" i="36"/>
  <c r="AJ550" i="36"/>
  <c r="AJ554" i="36"/>
  <c r="AJ562" i="36"/>
  <c r="AJ566" i="36"/>
  <c r="AJ574" i="36"/>
  <c r="AJ578" i="36"/>
  <c r="AJ582" i="36"/>
  <c r="AJ586" i="36"/>
  <c r="AJ598" i="36"/>
  <c r="AJ602" i="36"/>
  <c r="AJ606" i="36"/>
  <c r="AJ626" i="36"/>
  <c r="AJ666" i="36"/>
  <c r="AJ670" i="36"/>
  <c r="AJ674" i="36"/>
  <c r="AJ678" i="36"/>
  <c r="AJ686" i="36"/>
  <c r="AJ694" i="36"/>
  <c r="AJ698" i="36"/>
  <c r="AJ706" i="36"/>
  <c r="AJ710" i="36"/>
  <c r="AJ750" i="36"/>
  <c r="AJ754" i="36"/>
  <c r="AJ766" i="36"/>
  <c r="AJ770" i="36"/>
  <c r="AJ774" i="36"/>
  <c r="AJ778" i="36"/>
  <c r="AJ786" i="36"/>
  <c r="AJ790" i="36"/>
  <c r="AJ814" i="36"/>
  <c r="AJ822" i="36"/>
  <c r="AJ826" i="36"/>
  <c r="AJ834" i="36"/>
  <c r="AJ894" i="36"/>
  <c r="AJ898" i="36"/>
  <c r="AJ910" i="36"/>
  <c r="AJ914" i="36"/>
  <c r="AJ918" i="36"/>
  <c r="AJ922" i="36"/>
  <c r="AJ926" i="36"/>
  <c r="AJ930" i="36"/>
  <c r="AJ934" i="36"/>
  <c r="AJ946" i="36"/>
  <c r="AJ958" i="36"/>
  <c r="AJ962" i="36"/>
  <c r="AJ966" i="36"/>
  <c r="AJ970" i="36"/>
  <c r="AJ729" i="36"/>
  <c r="AJ204" i="36"/>
  <c r="AJ612" i="36"/>
  <c r="AJ726" i="36"/>
  <c r="AJ150" i="36"/>
  <c r="AJ240" i="36"/>
  <c r="AJ870" i="36"/>
  <c r="AJ96" i="36"/>
  <c r="AJ374" i="36"/>
  <c r="AJ482" i="36"/>
  <c r="AJ518" i="36"/>
  <c r="AJ648" i="36"/>
  <c r="AJ30" i="36"/>
  <c r="AJ65" i="36"/>
  <c r="AJ69" i="36"/>
  <c r="AJ73" i="36"/>
  <c r="AJ77" i="36"/>
  <c r="AJ116" i="36"/>
  <c r="AJ155" i="36"/>
  <c r="AJ159" i="36"/>
  <c r="AJ163" i="36"/>
  <c r="AJ202" i="36"/>
  <c r="AJ206" i="36"/>
  <c r="AJ245" i="36"/>
  <c r="AJ249" i="36"/>
  <c r="AJ253" i="36"/>
  <c r="AJ276" i="36"/>
  <c r="AJ280" i="36"/>
  <c r="AJ284" i="36"/>
  <c r="AJ288" i="36"/>
  <c r="AJ292" i="36"/>
  <c r="AJ296" i="36"/>
  <c r="AJ359" i="36"/>
  <c r="AJ363" i="36"/>
  <c r="AJ367" i="36"/>
  <c r="AJ375" i="36"/>
  <c r="AJ383" i="36"/>
  <c r="AJ391" i="36"/>
  <c r="AJ590" i="36"/>
  <c r="AJ610" i="36"/>
  <c r="AJ614" i="36"/>
  <c r="AJ618" i="36"/>
  <c r="AJ707" i="36"/>
  <c r="AJ911" i="36"/>
  <c r="AJ919" i="36"/>
  <c r="AJ923" i="36"/>
  <c r="AJ927" i="36"/>
  <c r="AJ931" i="36"/>
  <c r="AJ939" i="36"/>
  <c r="AJ943" i="36"/>
  <c r="AJ947" i="36"/>
  <c r="AJ951" i="36"/>
  <c r="AJ955" i="36"/>
  <c r="AJ959" i="36"/>
  <c r="AJ963" i="36"/>
  <c r="AJ377" i="36"/>
  <c r="AJ60" i="36"/>
  <c r="AJ354" i="36"/>
  <c r="AJ111" i="36"/>
  <c r="AJ6" i="36"/>
  <c r="AJ23" i="36"/>
  <c r="AJ132" i="36"/>
  <c r="AJ222" i="36"/>
  <c r="AJ312" i="36"/>
  <c r="AJ467" i="36"/>
  <c r="AJ638" i="36"/>
  <c r="AJ642" i="36"/>
  <c r="AJ820" i="36"/>
  <c r="AJ832" i="36"/>
  <c r="AJ840" i="36"/>
  <c r="AJ844" i="36"/>
  <c r="AJ856" i="36"/>
  <c r="AJ860" i="36"/>
  <c r="AJ864" i="36"/>
  <c r="AJ868" i="36"/>
  <c r="AJ876" i="36"/>
  <c r="AJ880" i="36"/>
  <c r="AJ892" i="36"/>
  <c r="AJ904" i="36"/>
  <c r="AJ908" i="36"/>
  <c r="AJ66" i="36"/>
  <c r="AJ156" i="36"/>
  <c r="AJ183" i="36"/>
  <c r="AJ191" i="36"/>
  <c r="AJ195" i="36"/>
  <c r="AJ199" i="36"/>
  <c r="AJ246" i="36"/>
  <c r="AJ281" i="36"/>
  <c r="AJ285" i="36"/>
  <c r="AJ289" i="36"/>
  <c r="AJ360" i="36"/>
  <c r="AJ368" i="36"/>
  <c r="AJ372" i="36"/>
  <c r="AJ376" i="36"/>
  <c r="AJ380" i="36"/>
  <c r="AJ416" i="36"/>
  <c r="AJ611" i="36"/>
  <c r="AJ646" i="36"/>
  <c r="AJ650" i="36"/>
  <c r="AJ704" i="36"/>
  <c r="AJ912" i="36"/>
  <c r="AJ916" i="36"/>
  <c r="AJ24" i="36"/>
  <c r="AJ654" i="36"/>
  <c r="AJ294" i="36"/>
  <c r="AJ255" i="36"/>
  <c r="AJ521" i="36"/>
  <c r="AJ605" i="36"/>
  <c r="AJ722" i="36"/>
  <c r="AJ351" i="36"/>
  <c r="AJ819" i="36"/>
  <c r="AJ4" i="36"/>
  <c r="AJ8" i="36"/>
  <c r="AJ43" i="36"/>
  <c r="AJ78" i="36"/>
  <c r="AJ82" i="36"/>
  <c r="AJ86" i="36"/>
  <c r="AJ90" i="36"/>
  <c r="AJ94" i="36"/>
  <c r="AJ98" i="36"/>
  <c r="AJ125" i="36"/>
  <c r="AJ129" i="36"/>
  <c r="AJ168" i="36"/>
  <c r="AJ172" i="36"/>
  <c r="AJ176" i="36"/>
  <c r="AJ180" i="36"/>
  <c r="AJ184" i="36"/>
  <c r="AJ215" i="36"/>
  <c r="AJ219" i="36"/>
  <c r="AJ223" i="36"/>
  <c r="AJ305" i="36"/>
  <c r="AJ309" i="36"/>
  <c r="AJ313" i="36"/>
  <c r="AJ384" i="36"/>
  <c r="AJ432" i="36"/>
  <c r="AJ436" i="36"/>
  <c r="AJ440" i="36"/>
  <c r="AJ448" i="36"/>
  <c r="AJ452" i="36"/>
  <c r="AJ468" i="36"/>
  <c r="AJ472" i="36"/>
  <c r="AJ476" i="36"/>
  <c r="AJ484" i="36"/>
  <c r="AJ488" i="36"/>
  <c r="AJ504" i="36"/>
  <c r="AJ508" i="36"/>
  <c r="AJ512" i="36"/>
  <c r="AJ520" i="36"/>
  <c r="AJ524" i="36"/>
  <c r="AJ528" i="36"/>
  <c r="AJ587" i="36"/>
  <c r="AJ623" i="36"/>
  <c r="AJ627" i="36"/>
  <c r="AJ631" i="36"/>
  <c r="AJ635" i="36"/>
  <c r="AJ639" i="36"/>
  <c r="AJ689" i="36"/>
  <c r="AJ701" i="36"/>
  <c r="AJ705" i="36"/>
  <c r="AJ713" i="36"/>
  <c r="AJ717" i="36"/>
  <c r="AJ721" i="36"/>
  <c r="AJ780" i="36"/>
  <c r="AJ687" i="36"/>
  <c r="AJ428" i="36"/>
  <c r="AJ527" i="36"/>
  <c r="AJ464" i="36"/>
  <c r="AJ867" i="36"/>
  <c r="AJ61" i="36"/>
  <c r="AJ133" i="36"/>
  <c r="AJ205" i="36"/>
  <c r="AJ277" i="36"/>
  <c r="AJ358" i="36"/>
  <c r="AJ362" i="36"/>
  <c r="AJ366" i="36"/>
  <c r="AJ576" i="36"/>
  <c r="AJ652" i="36"/>
  <c r="AJ816" i="36"/>
  <c r="AJ762" i="36"/>
  <c r="AJ530" i="36"/>
  <c r="AJ906" i="36"/>
  <c r="AJ35" i="36"/>
  <c r="AJ46" i="36"/>
  <c r="AJ50" i="36"/>
  <c r="AJ54" i="36"/>
  <c r="AJ107" i="36"/>
  <c r="AJ118" i="36"/>
  <c r="AJ122" i="36"/>
  <c r="AJ126" i="36"/>
  <c r="AJ179" i="36"/>
  <c r="AJ190" i="36"/>
  <c r="AJ194" i="36"/>
  <c r="AJ198" i="36"/>
  <c r="AJ251" i="36"/>
  <c r="AJ262" i="36"/>
  <c r="AJ266" i="36"/>
  <c r="AJ270" i="36"/>
  <c r="AJ323" i="36"/>
  <c r="AJ327" i="36"/>
  <c r="AJ339" i="36"/>
  <c r="AJ347" i="36"/>
  <c r="AJ378" i="36"/>
  <c r="AJ382" i="36"/>
  <c r="AJ386" i="36"/>
  <c r="AJ390" i="36"/>
  <c r="AJ588" i="36"/>
  <c r="AJ785" i="36"/>
  <c r="AJ789" i="36"/>
  <c r="AJ793" i="36"/>
  <c r="AJ797" i="36"/>
  <c r="AJ801" i="36"/>
  <c r="AJ813" i="36"/>
  <c r="AJ817" i="36"/>
  <c r="AJ335" i="36"/>
  <c r="AJ355" i="36"/>
  <c r="AJ545" i="36"/>
  <c r="AJ557" i="36"/>
  <c r="AJ561" i="36"/>
  <c r="AJ569" i="36"/>
  <c r="AJ573" i="36"/>
  <c r="AJ581" i="36"/>
  <c r="AJ634" i="36"/>
  <c r="AJ649" i="36"/>
  <c r="AJ691" i="36"/>
  <c r="AJ720" i="36"/>
  <c r="AJ942" i="36"/>
  <c r="AJ348" i="36"/>
  <c r="AJ167" i="36"/>
  <c r="AJ185" i="36"/>
  <c r="AJ203" i="36"/>
  <c r="AJ239" i="36"/>
  <c r="AJ257" i="36"/>
  <c r="AJ275" i="36"/>
  <c r="AJ293" i="36"/>
  <c r="AJ311" i="36"/>
  <c r="AJ345" i="36"/>
  <c r="AJ349" i="36"/>
  <c r="AJ353" i="36"/>
  <c r="AJ387" i="36"/>
  <c r="AJ395" i="36"/>
  <c r="AJ399" i="36"/>
  <c r="AJ403" i="36"/>
  <c r="AJ411" i="36"/>
  <c r="AJ446" i="36"/>
  <c r="AJ450" i="36"/>
  <c r="AJ454" i="36"/>
  <c r="AJ458" i="36"/>
  <c r="AJ466" i="36"/>
  <c r="AJ505" i="36"/>
  <c r="AJ509" i="36"/>
  <c r="AJ513" i="36"/>
  <c r="AJ517" i="36"/>
  <c r="AJ532" i="36"/>
  <c r="AJ536" i="36"/>
  <c r="AJ543" i="36"/>
  <c r="AJ567" i="36"/>
  <c r="AJ571" i="36"/>
  <c r="AJ604" i="36"/>
  <c r="AJ622" i="36"/>
  <c r="AJ640" i="36"/>
  <c r="AJ714" i="36"/>
  <c r="AJ768" i="36"/>
  <c r="AJ772" i="36"/>
  <c r="AJ811" i="36"/>
  <c r="AJ815" i="36"/>
  <c r="AJ885" i="36"/>
  <c r="AJ889" i="36"/>
  <c r="AJ928" i="36"/>
  <c r="AJ932" i="36"/>
  <c r="AJ936" i="36"/>
  <c r="AJ967" i="36"/>
  <c r="AJ975" i="36"/>
  <c r="AJ723" i="36"/>
  <c r="AJ371" i="36"/>
  <c r="AJ852" i="36"/>
  <c r="AJ570" i="36"/>
  <c r="AJ744" i="36"/>
  <c r="AJ888" i="36"/>
  <c r="AJ978" i="36"/>
  <c r="AJ16" i="36"/>
  <c r="AJ34" i="36"/>
  <c r="AJ52" i="36"/>
  <c r="AJ70" i="36"/>
  <c r="AJ88" i="36"/>
  <c r="AJ106" i="36"/>
  <c r="AJ124" i="36"/>
  <c r="AJ142" i="36"/>
  <c r="AJ160" i="36"/>
  <c r="AJ178" i="36"/>
  <c r="AJ196" i="36"/>
  <c r="AJ214" i="36"/>
  <c r="AJ232" i="36"/>
  <c r="AJ250" i="36"/>
  <c r="AJ268" i="36"/>
  <c r="AJ286" i="36"/>
  <c r="AJ304" i="36"/>
  <c r="AJ322" i="36"/>
  <c r="AJ326" i="36"/>
  <c r="AJ330" i="36"/>
  <c r="AJ334" i="36"/>
  <c r="AJ388" i="36"/>
  <c r="AJ407" i="36"/>
  <c r="AJ415" i="36"/>
  <c r="AJ419" i="36"/>
  <c r="AJ423" i="36"/>
  <c r="AJ470" i="36"/>
  <c r="AJ540" i="36"/>
  <c r="AJ544" i="36"/>
  <c r="AJ548" i="36"/>
  <c r="AJ552" i="36"/>
  <c r="AJ575" i="36"/>
  <c r="AJ583" i="36"/>
  <c r="AJ597" i="36"/>
  <c r="AJ633" i="36"/>
  <c r="AJ693" i="36"/>
  <c r="AJ718" i="36"/>
  <c r="AJ745" i="36"/>
  <c r="AJ784" i="36"/>
  <c r="AJ788" i="36"/>
  <c r="AJ792" i="36"/>
  <c r="AJ831" i="36"/>
  <c r="AJ850" i="36"/>
  <c r="AJ893" i="36"/>
  <c r="AJ901" i="36"/>
  <c r="AJ905" i="36"/>
  <c r="AJ924" i="36"/>
  <c r="AJ940" i="36"/>
  <c r="AJ944" i="36"/>
  <c r="AJ684" i="36"/>
  <c r="AJ500" i="36"/>
  <c r="AJ798" i="36"/>
  <c r="AJ410" i="36"/>
  <c r="AJ20" i="36"/>
  <c r="AJ38" i="36"/>
  <c r="AJ56" i="36"/>
  <c r="AJ74" i="36"/>
  <c r="AJ92" i="36"/>
  <c r="AJ110" i="36"/>
  <c r="AJ128" i="36"/>
  <c r="AJ146" i="36"/>
  <c r="AJ164" i="36"/>
  <c r="AJ182" i="36"/>
  <c r="AJ200" i="36"/>
  <c r="AJ218" i="36"/>
  <c r="AJ236" i="36"/>
  <c r="AJ254" i="36"/>
  <c r="AJ272" i="36"/>
  <c r="AJ290" i="36"/>
  <c r="AJ308" i="36"/>
  <c r="AJ342" i="36"/>
  <c r="AJ365" i="36"/>
  <c r="AJ369" i="36"/>
  <c r="AJ373" i="36"/>
  <c r="AJ392" i="36"/>
  <c r="AJ439" i="36"/>
  <c r="AJ443" i="36"/>
  <c r="AJ447" i="36"/>
  <c r="AJ486" i="36"/>
  <c r="AJ490" i="36"/>
  <c r="AJ494" i="36"/>
  <c r="AJ502" i="36"/>
  <c r="AJ564" i="36"/>
  <c r="AJ619" i="36"/>
  <c r="AJ679" i="36"/>
  <c r="AJ711" i="36"/>
  <c r="AJ749" i="36"/>
  <c r="AJ757" i="36"/>
  <c r="AJ761" i="36"/>
  <c r="AJ796" i="36"/>
  <c r="AJ835" i="36"/>
  <c r="AJ858" i="36"/>
  <c r="AJ862" i="36"/>
  <c r="AJ913" i="36"/>
  <c r="AJ921" i="36"/>
  <c r="AJ925" i="36"/>
  <c r="AJ948" i="36"/>
  <c r="AJ952" i="36"/>
  <c r="AJ13" i="36"/>
  <c r="AJ31" i="36"/>
  <c r="AJ49" i="36"/>
  <c r="AJ67" i="36"/>
  <c r="AJ85" i="36"/>
  <c r="AJ103" i="36"/>
  <c r="AJ121" i="36"/>
  <c r="AJ139" i="36"/>
  <c r="AJ157" i="36"/>
  <c r="AJ175" i="36"/>
  <c r="AJ193" i="36"/>
  <c r="AJ211" i="36"/>
  <c r="AJ229" i="36"/>
  <c r="AJ247" i="36"/>
  <c r="AJ265" i="36"/>
  <c r="AJ283" i="36"/>
  <c r="AJ301" i="36"/>
  <c r="AJ319" i="36"/>
  <c r="AJ338" i="36"/>
  <c r="AJ346" i="36"/>
  <c r="AJ350" i="36"/>
  <c r="AJ396" i="36"/>
  <c r="AJ404" i="36"/>
  <c r="AJ408" i="36"/>
  <c r="AJ412" i="36"/>
  <c r="AJ451" i="36"/>
  <c r="AJ455" i="36"/>
  <c r="AJ459" i="36"/>
  <c r="AJ463" i="36"/>
  <c r="AJ506" i="36"/>
  <c r="AJ533" i="36"/>
  <c r="AJ537" i="36"/>
  <c r="AJ541" i="36"/>
  <c r="AJ568" i="36"/>
  <c r="AJ572" i="36"/>
  <c r="AJ579" i="36"/>
  <c r="AJ615" i="36"/>
  <c r="AJ630" i="36"/>
  <c r="AJ669" i="36"/>
  <c r="AJ672" i="36"/>
  <c r="AJ676" i="36"/>
  <c r="AJ690" i="36"/>
  <c r="AJ715" i="36"/>
  <c r="AJ777" i="36"/>
  <c r="AJ781" i="36"/>
  <c r="AJ804" i="36"/>
  <c r="AJ808" i="36"/>
  <c r="AJ839" i="36"/>
  <c r="AJ847" i="36"/>
  <c r="AJ874" i="36"/>
  <c r="AJ886" i="36"/>
  <c r="AJ890" i="36"/>
  <c r="AJ929" i="36"/>
  <c r="AJ933" i="36"/>
  <c r="AJ937" i="36"/>
  <c r="AJ964" i="36"/>
  <c r="AJ976" i="36"/>
  <c r="AJ343" i="36"/>
  <c r="AJ379" i="36"/>
  <c r="AJ426" i="36"/>
  <c r="AJ444" i="36"/>
  <c r="AJ462" i="36"/>
  <c r="AJ480" i="36"/>
  <c r="AJ498" i="36"/>
  <c r="AJ516" i="36"/>
  <c r="AJ558" i="36"/>
  <c r="AJ370" i="36"/>
  <c r="AJ406" i="36"/>
  <c r="AJ427" i="36"/>
  <c r="AJ445" i="36"/>
  <c r="AJ331" i="36"/>
  <c r="AJ420" i="36"/>
  <c r="AJ438" i="36"/>
  <c r="AJ456" i="36"/>
  <c r="AJ474" i="36"/>
  <c r="AJ492" i="36"/>
  <c r="AJ510" i="36"/>
  <c r="AJ538" i="36"/>
  <c r="AJ624" i="36"/>
  <c r="AJ688" i="36"/>
  <c r="AJ741" i="36"/>
  <c r="AJ957" i="36"/>
  <c r="AJ328" i="36"/>
  <c r="AJ364" i="36"/>
  <c r="AJ400" i="36"/>
  <c r="AJ424" i="36"/>
  <c r="AJ442" i="36"/>
  <c r="AJ460" i="36"/>
  <c r="AJ478" i="36"/>
  <c r="AJ496" i="36"/>
  <c r="AJ514" i="36"/>
  <c r="AJ549" i="36"/>
  <c r="AJ580" i="36"/>
  <c r="AJ594" i="36"/>
  <c r="AJ658" i="36"/>
  <c r="AJ685" i="36"/>
  <c r="AJ702" i="36"/>
  <c r="AJ799" i="36"/>
  <c r="AJ853" i="36"/>
  <c r="AJ325" i="36"/>
  <c r="AJ361" i="36"/>
  <c r="AJ397" i="36"/>
  <c r="AJ417" i="36"/>
  <c r="AJ435" i="36"/>
  <c r="AJ453" i="36"/>
  <c r="AJ471" i="36"/>
  <c r="AJ489" i="36"/>
  <c r="AJ507" i="36"/>
  <c r="AJ525" i="36"/>
  <c r="AJ577" i="36"/>
  <c r="AJ621" i="36"/>
  <c r="AJ682" i="36"/>
  <c r="AJ803" i="36"/>
  <c r="AJ807" i="36"/>
  <c r="AJ838" i="36"/>
  <c r="AJ842" i="36"/>
  <c r="AJ846" i="36"/>
  <c r="AJ857" i="36"/>
  <c r="AJ861" i="36"/>
  <c r="AJ529" i="36"/>
  <c r="AJ565" i="36"/>
  <c r="AJ601" i="36"/>
  <c r="AJ637" i="36"/>
  <c r="AJ673" i="36"/>
  <c r="AJ709" i="36"/>
  <c r="AJ737" i="36"/>
  <c r="AJ748" i="36"/>
  <c r="AJ752" i="36"/>
  <c r="AJ756" i="36"/>
  <c r="AJ771" i="36"/>
  <c r="AJ824" i="36"/>
  <c r="AJ828" i="36"/>
  <c r="AJ843" i="36"/>
  <c r="AJ896" i="36"/>
  <c r="AJ900" i="36"/>
  <c r="AJ915" i="36"/>
  <c r="AJ968" i="36"/>
  <c r="AJ972" i="36"/>
  <c r="AJ526" i="36"/>
  <c r="AJ556" i="36"/>
  <c r="AJ592" i="36"/>
  <c r="AJ628" i="36"/>
  <c r="AJ664" i="36"/>
  <c r="AJ700" i="36"/>
  <c r="AJ730" i="36"/>
  <c r="AJ734" i="36"/>
  <c r="AJ738" i="36"/>
  <c r="AJ753" i="36"/>
  <c r="AJ802" i="36"/>
  <c r="AJ806" i="36"/>
  <c r="AJ810" i="36"/>
  <c r="AJ825" i="36"/>
  <c r="AJ878" i="36"/>
  <c r="AJ882" i="36"/>
  <c r="AJ897" i="36"/>
  <c r="AJ950" i="36"/>
  <c r="AJ954" i="36"/>
  <c r="AJ969" i="36"/>
  <c r="AJ553" i="36"/>
  <c r="AJ589" i="36"/>
  <c r="AJ625" i="36"/>
  <c r="AJ661" i="36"/>
  <c r="AJ697" i="36"/>
  <c r="AJ742" i="36"/>
  <c r="AJ728" i="36"/>
  <c r="AJ746" i="36"/>
  <c r="AJ764" i="36"/>
  <c r="AJ782" i="36"/>
  <c r="AJ800" i="36"/>
  <c r="AJ818" i="36"/>
  <c r="AJ836" i="36"/>
  <c r="AJ854" i="36"/>
  <c r="AJ872" i="36"/>
  <c r="AJ725" i="36"/>
  <c r="AJ743" i="36"/>
  <c r="AJ869" i="36"/>
  <c r="AJ977" i="36"/>
  <c r="AJ740" i="36"/>
  <c r="AJ758" i="36"/>
  <c r="AJ776" i="36"/>
  <c r="AJ794" i="36"/>
  <c r="AJ812" i="36"/>
  <c r="AJ830" i="36"/>
  <c r="AJ848" i="36"/>
  <c r="AJ866" i="36"/>
  <c r="AJ884" i="36"/>
  <c r="AJ902" i="36"/>
  <c r="AJ920" i="36"/>
  <c r="AJ938" i="36"/>
  <c r="AJ956" i="36"/>
  <c r="AJ974" i="36"/>
  <c r="AJ733" i="36"/>
  <c r="AJ751" i="36"/>
  <c r="AJ769" i="36"/>
  <c r="AJ787" i="36"/>
  <c r="AJ805" i="36"/>
  <c r="AJ823" i="36"/>
  <c r="AJ841" i="36"/>
  <c r="AJ859" i="36"/>
  <c r="AJ877" i="36"/>
  <c r="AJ895" i="36"/>
  <c r="AJ773" i="36"/>
  <c r="AJ791" i="36"/>
  <c r="AJ809" i="36"/>
  <c r="AJ827" i="36"/>
  <c r="AJ845" i="36"/>
  <c r="AJ863" i="36"/>
  <c r="AJ881" i="36"/>
  <c r="AJ899" i="36"/>
  <c r="AJ917" i="36"/>
  <c r="AJ935" i="36"/>
  <c r="AJ953" i="36"/>
  <c r="AJ971" i="36"/>
  <c r="L1453" i="35" l="1"/>
  <c r="L1419" i="35"/>
  <c r="L1429" i="35"/>
  <c r="L1425" i="35"/>
  <c r="L1423" i="35"/>
  <c r="L1417" i="35"/>
  <c r="L1415" i="35"/>
  <c r="L1413" i="35"/>
  <c r="L1421" i="35"/>
  <c r="L1812" i="33"/>
  <c r="L1814" i="33"/>
  <c r="L1816" i="33"/>
  <c r="V1453" i="35"/>
  <c r="W1453" i="35"/>
  <c r="W1423" i="35"/>
  <c r="V1413" i="35"/>
  <c r="W1425" i="35"/>
  <c r="V1415" i="35"/>
  <c r="V1425" i="35"/>
  <c r="V1417" i="35"/>
  <c r="V1421" i="35"/>
  <c r="V1423" i="35"/>
  <c r="W1415" i="35"/>
  <c r="W1417" i="35"/>
  <c r="V1429" i="35"/>
  <c r="V1419" i="35"/>
  <c r="W1419" i="35"/>
  <c r="W1429" i="35"/>
  <c r="W1421" i="35"/>
  <c r="W1413" i="35"/>
  <c r="AB1816" i="33"/>
  <c r="AB1814" i="33"/>
  <c r="AB1812" i="33"/>
  <c r="X1864" i="33"/>
  <c r="W1859" i="33"/>
  <c r="X1863" i="33"/>
  <c r="W1863" i="33"/>
  <c r="W1861" i="33"/>
  <c r="W1864" i="33"/>
  <c r="X1859" i="33"/>
  <c r="X1861" i="33"/>
  <c r="Y1371" i="35"/>
  <c r="X1371" i="35"/>
  <c r="W1371" i="35"/>
  <c r="V1371" i="35"/>
  <c r="U1371" i="35"/>
  <c r="S1371" i="35"/>
  <c r="R1371" i="35"/>
  <c r="Q1371" i="35"/>
  <c r="K1371" i="35"/>
  <c r="F1371" i="35"/>
  <c r="Y1369" i="35"/>
  <c r="X1369" i="35"/>
  <c r="W1369" i="35"/>
  <c r="V1369" i="35"/>
  <c r="U1369" i="35"/>
  <c r="S1369" i="35"/>
  <c r="R1369" i="35"/>
  <c r="Q1369" i="35"/>
  <c r="K1369" i="35"/>
  <c r="F1369" i="35"/>
  <c r="Y1367" i="35" l="1"/>
  <c r="X1367" i="35"/>
  <c r="W1367" i="35"/>
  <c r="V1367" i="35"/>
  <c r="U1367" i="35"/>
  <c r="S1367" i="35"/>
  <c r="R1367" i="35"/>
  <c r="Q1367" i="35"/>
  <c r="K1367" i="35"/>
  <c r="F1367" i="35"/>
  <c r="AF1835" i="33"/>
  <c r="V1835" i="33"/>
  <c r="T1835" i="33"/>
  <c r="X1835" i="33" s="1"/>
  <c r="S1835" i="33"/>
  <c r="R1835" i="33"/>
  <c r="K1835" i="33"/>
  <c r="F1835" i="33"/>
  <c r="AF1834" i="33"/>
  <c r="V1834" i="33"/>
  <c r="T1834" i="33"/>
  <c r="X1834" i="33" s="1"/>
  <c r="S1834" i="33"/>
  <c r="R1834" i="33"/>
  <c r="K1834" i="33"/>
  <c r="F1834" i="33"/>
  <c r="AF1832" i="33"/>
  <c r="V1832" i="33"/>
  <c r="T1832" i="33"/>
  <c r="Y1832" i="33" s="1"/>
  <c r="S1832" i="33"/>
  <c r="R1832" i="33"/>
  <c r="K1832" i="33"/>
  <c r="F1832" i="33"/>
  <c r="AF1830" i="33"/>
  <c r="V1830" i="33"/>
  <c r="T1830" i="33"/>
  <c r="Z1830" i="33" s="1"/>
  <c r="S1830" i="33"/>
  <c r="R1830" i="33"/>
  <c r="K1830" i="33"/>
  <c r="F1830" i="33"/>
  <c r="AF1828" i="33"/>
  <c r="V1828" i="33"/>
  <c r="T1828" i="33"/>
  <c r="Y1828" i="33" s="1"/>
  <c r="S1828" i="33"/>
  <c r="R1828" i="33"/>
  <c r="K1828" i="33"/>
  <c r="F1828" i="33"/>
  <c r="AF1826" i="33"/>
  <c r="V1826" i="33"/>
  <c r="T1826" i="33"/>
  <c r="X1826" i="33" s="1"/>
  <c r="S1826" i="33"/>
  <c r="R1826" i="33"/>
  <c r="K1826" i="33"/>
  <c r="F1826" i="33"/>
  <c r="AF1824" i="33"/>
  <c r="V1824" i="33"/>
  <c r="T1824" i="33"/>
  <c r="Y1824" i="33" s="1"/>
  <c r="S1824" i="33"/>
  <c r="R1824" i="33"/>
  <c r="K1824" i="33"/>
  <c r="F1824" i="33"/>
  <c r="AF1822" i="33"/>
  <c r="V1822" i="33"/>
  <c r="T1822" i="33"/>
  <c r="X1822" i="33" s="1"/>
  <c r="S1822" i="33"/>
  <c r="R1822" i="33"/>
  <c r="K1822" i="33"/>
  <c r="F1822" i="33"/>
  <c r="AF1820" i="33"/>
  <c r="V1820" i="33"/>
  <c r="T1820" i="33"/>
  <c r="Z1820" i="33" s="1"/>
  <c r="S1820" i="33"/>
  <c r="R1820" i="33"/>
  <c r="K1820" i="33"/>
  <c r="F1820" i="33"/>
  <c r="AF1810" i="33"/>
  <c r="V1810" i="33"/>
  <c r="T1810" i="33"/>
  <c r="Z1810" i="33" s="1"/>
  <c r="S1810" i="33"/>
  <c r="R1810" i="33"/>
  <c r="K1810" i="33"/>
  <c r="F1810" i="33"/>
  <c r="AF1809" i="33"/>
  <c r="V1809" i="33"/>
  <c r="T1809" i="33"/>
  <c r="Z1809" i="33" s="1"/>
  <c r="S1809" i="33"/>
  <c r="R1809" i="33"/>
  <c r="K1809" i="33"/>
  <c r="F1809" i="33"/>
  <c r="AF1807" i="33"/>
  <c r="V1807" i="33"/>
  <c r="T1807" i="33"/>
  <c r="X1807" i="33" s="1"/>
  <c r="S1807" i="33"/>
  <c r="R1807" i="33"/>
  <c r="K1807" i="33"/>
  <c r="F1807" i="33"/>
  <c r="Y1834" i="33" l="1"/>
  <c r="Z1834" i="33"/>
  <c r="W1835" i="33"/>
  <c r="Y1835" i="33"/>
  <c r="Z1835" i="33"/>
  <c r="W1834" i="33"/>
  <c r="W1832" i="33"/>
  <c r="X1832" i="33"/>
  <c r="Z1832" i="33"/>
  <c r="W1830" i="33"/>
  <c r="X1830" i="33"/>
  <c r="Y1830" i="33"/>
  <c r="Z1826" i="33"/>
  <c r="W1828" i="33"/>
  <c r="X1828" i="33"/>
  <c r="Z1828" i="33"/>
  <c r="Y1826" i="33"/>
  <c r="W1826" i="33"/>
  <c r="W1824" i="33"/>
  <c r="X1824" i="33"/>
  <c r="Z1824" i="33"/>
  <c r="Y1822" i="33"/>
  <c r="Z1822" i="33"/>
  <c r="W1822" i="33"/>
  <c r="W1820" i="33"/>
  <c r="X1820" i="33"/>
  <c r="Y1820" i="33"/>
  <c r="Y1810" i="33"/>
  <c r="W1810" i="33"/>
  <c r="X1810" i="33"/>
  <c r="W1809" i="33"/>
  <c r="X1809" i="33"/>
  <c r="Y1809" i="33"/>
  <c r="Y1807" i="33"/>
  <c r="Z1807" i="33"/>
  <c r="W1807" i="33"/>
  <c r="AF1805" i="33"/>
  <c r="V1805" i="33"/>
  <c r="T1805" i="33"/>
  <c r="Z1805" i="33" s="1"/>
  <c r="S1805" i="33"/>
  <c r="R1805" i="33"/>
  <c r="K1805" i="33"/>
  <c r="F1805" i="33"/>
  <c r="AF1803" i="33"/>
  <c r="V1803" i="33"/>
  <c r="T1803" i="33"/>
  <c r="Z1803" i="33" s="1"/>
  <c r="S1803" i="33"/>
  <c r="R1803" i="33"/>
  <c r="K1803" i="33"/>
  <c r="F1803" i="33"/>
  <c r="AF1797" i="33"/>
  <c r="V1797" i="33"/>
  <c r="T1797" i="33"/>
  <c r="Z1797" i="33" s="1"/>
  <c r="S1797" i="33"/>
  <c r="R1797" i="33"/>
  <c r="K1797" i="33"/>
  <c r="F1797" i="33"/>
  <c r="AF1795" i="33"/>
  <c r="V1795" i="33"/>
  <c r="T1795" i="33"/>
  <c r="Z1795" i="33" s="1"/>
  <c r="S1795" i="33"/>
  <c r="R1795" i="33"/>
  <c r="K1795" i="33"/>
  <c r="F1795" i="33"/>
  <c r="AF1793" i="33"/>
  <c r="V1793" i="33"/>
  <c r="T1793" i="33"/>
  <c r="Z1793" i="33" s="1"/>
  <c r="S1793" i="33"/>
  <c r="R1793" i="33"/>
  <c r="K1793" i="33"/>
  <c r="F1793" i="33"/>
  <c r="AF1791" i="33"/>
  <c r="V1791" i="33"/>
  <c r="T1791" i="33"/>
  <c r="Z1791" i="33" s="1"/>
  <c r="S1791" i="33"/>
  <c r="R1791" i="33"/>
  <c r="K1791" i="33"/>
  <c r="F1791" i="33"/>
  <c r="AF1789" i="33"/>
  <c r="V1789" i="33"/>
  <c r="Z1789" i="33"/>
  <c r="S1789" i="33"/>
  <c r="R1789" i="33"/>
  <c r="K1789" i="33"/>
  <c r="F1789" i="33"/>
  <c r="AF1785" i="33"/>
  <c r="V1785" i="33"/>
  <c r="T1785" i="33"/>
  <c r="Z1785" i="33" s="1"/>
  <c r="S1785" i="33"/>
  <c r="R1785" i="33"/>
  <c r="K1785" i="33"/>
  <c r="F1785" i="33"/>
  <c r="AF1783" i="33"/>
  <c r="V1783" i="33"/>
  <c r="T1783" i="33"/>
  <c r="Z1783" i="33" s="1"/>
  <c r="S1783" i="33"/>
  <c r="R1783" i="33"/>
  <c r="K1783" i="33"/>
  <c r="F1783" i="33"/>
  <c r="AF1787" i="33"/>
  <c r="V1787" i="33"/>
  <c r="T1787" i="33"/>
  <c r="X1787" i="33" s="1"/>
  <c r="S1787" i="33"/>
  <c r="R1787" i="33"/>
  <c r="K1787" i="33"/>
  <c r="F1787" i="33"/>
  <c r="AF1781" i="33"/>
  <c r="V1781" i="33"/>
  <c r="T1781" i="33"/>
  <c r="X1781" i="33" s="1"/>
  <c r="S1781" i="33"/>
  <c r="R1781" i="33"/>
  <c r="K1781" i="33"/>
  <c r="F1781" i="33"/>
  <c r="AF1779" i="33"/>
  <c r="V1779" i="33"/>
  <c r="T1779" i="33"/>
  <c r="Y1779" i="33" s="1"/>
  <c r="S1779" i="33"/>
  <c r="R1779" i="33"/>
  <c r="K1779" i="33"/>
  <c r="F1779" i="33"/>
  <c r="AF1777" i="33"/>
  <c r="V1777" i="33"/>
  <c r="T1777" i="33"/>
  <c r="Z1777" i="33" s="1"/>
  <c r="S1777" i="33"/>
  <c r="R1777" i="33"/>
  <c r="K1777" i="33"/>
  <c r="F1777" i="33"/>
  <c r="AF1775" i="33"/>
  <c r="V1775" i="33"/>
  <c r="T1775" i="33"/>
  <c r="X1775" i="33" s="1"/>
  <c r="S1775" i="33"/>
  <c r="R1775" i="33"/>
  <c r="K1775" i="33"/>
  <c r="F1775" i="33"/>
  <c r="AF1773" i="33"/>
  <c r="V1773" i="33"/>
  <c r="T1773" i="33"/>
  <c r="X1773" i="33" s="1"/>
  <c r="S1773" i="33"/>
  <c r="R1773" i="33"/>
  <c r="K1773" i="33"/>
  <c r="F1773" i="33"/>
  <c r="AF1771" i="33"/>
  <c r="V1771" i="33"/>
  <c r="T1771" i="33"/>
  <c r="Y1771" i="33" s="1"/>
  <c r="S1771" i="33"/>
  <c r="R1771" i="33"/>
  <c r="K1771" i="33"/>
  <c r="F1771" i="33"/>
  <c r="AF1769" i="33"/>
  <c r="V1769" i="33"/>
  <c r="T1769" i="33"/>
  <c r="Z1769" i="33" s="1"/>
  <c r="S1769" i="33"/>
  <c r="R1769" i="33"/>
  <c r="K1769" i="33"/>
  <c r="F1769" i="33"/>
  <c r="AF1763" i="33"/>
  <c r="V1763" i="33"/>
  <c r="T1763" i="33"/>
  <c r="Y1763" i="33" s="1"/>
  <c r="S1763" i="33"/>
  <c r="R1763" i="33"/>
  <c r="K1763" i="33"/>
  <c r="F1763" i="33"/>
  <c r="AF1761" i="33"/>
  <c r="V1761" i="33"/>
  <c r="T1761" i="33"/>
  <c r="Z1761" i="33" s="1"/>
  <c r="S1761" i="33"/>
  <c r="R1761" i="33"/>
  <c r="K1761" i="33"/>
  <c r="F1761" i="33"/>
  <c r="AF1759" i="33"/>
  <c r="V1759" i="33"/>
  <c r="T1759" i="33"/>
  <c r="Z1759" i="33" s="1"/>
  <c r="S1759" i="33"/>
  <c r="R1759" i="33"/>
  <c r="K1759" i="33"/>
  <c r="F1759" i="33"/>
  <c r="AF1757" i="33"/>
  <c r="V1757" i="33"/>
  <c r="T1757" i="33"/>
  <c r="Y1757" i="33" s="1"/>
  <c r="S1757" i="33"/>
  <c r="R1757" i="33"/>
  <c r="K1757" i="33"/>
  <c r="F1757" i="33"/>
  <c r="AF1756" i="33"/>
  <c r="V1756" i="33"/>
  <c r="T1756" i="33"/>
  <c r="Y1756" i="33" s="1"/>
  <c r="S1756" i="33"/>
  <c r="R1756" i="33"/>
  <c r="K1756" i="33"/>
  <c r="F1756" i="33"/>
  <c r="AF1754" i="33"/>
  <c r="V1754" i="33"/>
  <c r="T1754" i="33"/>
  <c r="Z1754" i="33" s="1"/>
  <c r="S1754" i="33"/>
  <c r="R1754" i="33"/>
  <c r="K1754" i="33"/>
  <c r="F1754" i="33"/>
  <c r="AF1752" i="33"/>
  <c r="V1752" i="33"/>
  <c r="T1752" i="33"/>
  <c r="W1752" i="33" s="1"/>
  <c r="S1752" i="33"/>
  <c r="R1752" i="33"/>
  <c r="K1752" i="33"/>
  <c r="F1752" i="33"/>
  <c r="W1805" i="33" l="1"/>
  <c r="X1805" i="33"/>
  <c r="Y1805" i="33"/>
  <c r="W1803" i="33"/>
  <c r="X1803" i="33"/>
  <c r="Y1803" i="33"/>
  <c r="W1797" i="33"/>
  <c r="X1797" i="33"/>
  <c r="Y1797" i="33"/>
  <c r="X1795" i="33"/>
  <c r="W1795" i="33"/>
  <c r="Y1795" i="33"/>
  <c r="W1793" i="33"/>
  <c r="X1793" i="33"/>
  <c r="Y1793" i="33"/>
  <c r="W1791" i="33"/>
  <c r="X1791" i="33"/>
  <c r="Y1791" i="33"/>
  <c r="W1789" i="33"/>
  <c r="X1789" i="33"/>
  <c r="Y1789" i="33"/>
  <c r="W1785" i="33"/>
  <c r="X1785" i="33"/>
  <c r="Y1785" i="33"/>
  <c r="W1783" i="33"/>
  <c r="X1783" i="33"/>
  <c r="Y1783" i="33"/>
  <c r="Y1787" i="33"/>
  <c r="Z1787" i="33"/>
  <c r="W1787" i="33"/>
  <c r="Y1781" i="33"/>
  <c r="W1781" i="33"/>
  <c r="Z1781" i="33"/>
  <c r="Z1779" i="33"/>
  <c r="W1777" i="33"/>
  <c r="X1777" i="33"/>
  <c r="Y1777" i="33"/>
  <c r="W1779" i="33"/>
  <c r="X1779" i="33"/>
  <c r="Z1775" i="33"/>
  <c r="Y1775" i="33"/>
  <c r="W1775" i="33"/>
  <c r="W1773" i="33"/>
  <c r="Y1773" i="33"/>
  <c r="Z1773" i="33"/>
  <c r="W1771" i="33"/>
  <c r="X1771" i="33"/>
  <c r="Z1771" i="33"/>
  <c r="W1769" i="33"/>
  <c r="X1769" i="33"/>
  <c r="Y1769" i="33"/>
  <c r="W1763" i="33"/>
  <c r="X1763" i="33"/>
  <c r="Z1763" i="33"/>
  <c r="W1761" i="33"/>
  <c r="X1761" i="33"/>
  <c r="Y1761" i="33"/>
  <c r="W1759" i="33"/>
  <c r="X1759" i="33"/>
  <c r="Y1759" i="33"/>
  <c r="Z1756" i="33"/>
  <c r="W1757" i="33"/>
  <c r="X1757" i="33"/>
  <c r="Z1757" i="33"/>
  <c r="X1756" i="33"/>
  <c r="W1756" i="33"/>
  <c r="W1754" i="33"/>
  <c r="X1754" i="33"/>
  <c r="Y1754" i="33"/>
  <c r="X1752" i="33"/>
  <c r="Y1752" i="33"/>
  <c r="Z1752" i="33"/>
  <c r="AE1345" i="35" l="1"/>
  <c r="Y1345" i="35"/>
  <c r="X1345" i="35"/>
  <c r="U1345" i="35"/>
  <c r="S1345" i="35"/>
  <c r="R1345" i="35"/>
  <c r="Q1345" i="35"/>
  <c r="K1345" i="35"/>
  <c r="F1345" i="35"/>
  <c r="AE1333" i="35"/>
  <c r="Y1333" i="35"/>
  <c r="X1333" i="35"/>
  <c r="U1333" i="35"/>
  <c r="S1333" i="35"/>
  <c r="R1333" i="35"/>
  <c r="Q1333" i="35"/>
  <c r="K1333" i="35"/>
  <c r="F1333" i="35"/>
  <c r="AE1331" i="35"/>
  <c r="Y1331" i="35"/>
  <c r="X1331" i="35"/>
  <c r="U1331" i="35"/>
  <c r="S1331" i="35"/>
  <c r="R1331" i="35"/>
  <c r="Q1331" i="35"/>
  <c r="K1331" i="35"/>
  <c r="F1331" i="35"/>
  <c r="I1369" i="35" l="1"/>
  <c r="G1369" i="35"/>
  <c r="H1369" i="35"/>
  <c r="G1371" i="35"/>
  <c r="H1371" i="35"/>
  <c r="I1371" i="35"/>
  <c r="I1809" i="33"/>
  <c r="I1807" i="33"/>
  <c r="H1835" i="33"/>
  <c r="H1832" i="33"/>
  <c r="G1807" i="33"/>
  <c r="G1809" i="33"/>
  <c r="I1834" i="33"/>
  <c r="I1810" i="33"/>
  <c r="H1807" i="33"/>
  <c r="I1822" i="33"/>
  <c r="G1835" i="33"/>
  <c r="G1832" i="33"/>
  <c r="I1824" i="33"/>
  <c r="I1835" i="33"/>
  <c r="G1828" i="33"/>
  <c r="G1820" i="33"/>
  <c r="I1832" i="33"/>
  <c r="I1830" i="33"/>
  <c r="H1826" i="33"/>
  <c r="G1810" i="33"/>
  <c r="G1367" i="35"/>
  <c r="H1367" i="35"/>
  <c r="G1824" i="33"/>
  <c r="G1822" i="33"/>
  <c r="I1820" i="33"/>
  <c r="I1828" i="33"/>
  <c r="I1367" i="35"/>
  <c r="G1834" i="33"/>
  <c r="H1820" i="33"/>
  <c r="H1810" i="33"/>
  <c r="I1826" i="33"/>
  <c r="H1834" i="33"/>
  <c r="H1828" i="33"/>
  <c r="H1824" i="33"/>
  <c r="H1809" i="33"/>
  <c r="G1830" i="33"/>
  <c r="H1830" i="33"/>
  <c r="G1826" i="33"/>
  <c r="H1822" i="33"/>
  <c r="H1805" i="33"/>
  <c r="I1791" i="33"/>
  <c r="H1791" i="33"/>
  <c r="G1785" i="33"/>
  <c r="G1787" i="33"/>
  <c r="H1763" i="33"/>
  <c r="G1754" i="33"/>
  <c r="I1797" i="33"/>
  <c r="H1785" i="33"/>
  <c r="G1773" i="33"/>
  <c r="G1759" i="33"/>
  <c r="H1757" i="33"/>
  <c r="H1754" i="33"/>
  <c r="H1787" i="33"/>
  <c r="H1779" i="33"/>
  <c r="G1757" i="33"/>
  <c r="G1789" i="33"/>
  <c r="H1783" i="33"/>
  <c r="H1775" i="33"/>
  <c r="G1803" i="33"/>
  <c r="H1803" i="33"/>
  <c r="I1805" i="33"/>
  <c r="G1795" i="33"/>
  <c r="H1781" i="33"/>
  <c r="I1757" i="33"/>
  <c r="I1771" i="33"/>
  <c r="G1779" i="33"/>
  <c r="I1754" i="33"/>
  <c r="I1756" i="33"/>
  <c r="I1763" i="33"/>
  <c r="G1763" i="33"/>
  <c r="G1791" i="33"/>
  <c r="I1783" i="33"/>
  <c r="H1795" i="33"/>
  <c r="H1773" i="33"/>
  <c r="H1759" i="33"/>
  <c r="I1761" i="33"/>
  <c r="H1797" i="33"/>
  <c r="I1775" i="33"/>
  <c r="G1805" i="33"/>
  <c r="I1779" i="33"/>
  <c r="G1769" i="33"/>
  <c r="I1759" i="33"/>
  <c r="I1803" i="33"/>
  <c r="G1793" i="33"/>
  <c r="I1787" i="33"/>
  <c r="G1781" i="33"/>
  <c r="I1781" i="33"/>
  <c r="I1752" i="33"/>
  <c r="G1797" i="33"/>
  <c r="H1793" i="33"/>
  <c r="H1789" i="33"/>
  <c r="H1769" i="33"/>
  <c r="G1761" i="33"/>
  <c r="G1756" i="33"/>
  <c r="G1752" i="33"/>
  <c r="I1773" i="33"/>
  <c r="I1769" i="33"/>
  <c r="H1761" i="33"/>
  <c r="I1777" i="33"/>
  <c r="I1793" i="33"/>
  <c r="I1795" i="33"/>
  <c r="G1783" i="33"/>
  <c r="G1775" i="33"/>
  <c r="H1752" i="33"/>
  <c r="H1756" i="33"/>
  <c r="G1771" i="33"/>
  <c r="I1789" i="33"/>
  <c r="G1777" i="33"/>
  <c r="H1771" i="33"/>
  <c r="I1785" i="33"/>
  <c r="H1777" i="33"/>
  <c r="AD1345" i="35"/>
  <c r="AD1331" i="35"/>
  <c r="AD1333" i="35"/>
  <c r="AB1810" i="33" l="1"/>
  <c r="AB1835" i="33"/>
  <c r="AB1832" i="33"/>
  <c r="AB1830" i="33"/>
  <c r="AB1826" i="33"/>
  <c r="AB1807" i="33"/>
  <c r="AB1809" i="33"/>
  <c r="AB1822" i="33"/>
  <c r="AB1820" i="33"/>
  <c r="AB1834" i="33"/>
  <c r="AB1828" i="33"/>
  <c r="AB1824" i="33"/>
  <c r="AB1795" i="33"/>
  <c r="AB1781" i="33"/>
  <c r="AB1777" i="33"/>
  <c r="AB1785" i="33"/>
  <c r="AB1787" i="33"/>
  <c r="AB1773" i="33"/>
  <c r="AB1759" i="33"/>
  <c r="AB1756" i="33"/>
  <c r="AB1752" i="33"/>
  <c r="AB1771" i="33"/>
  <c r="AB1791" i="33"/>
  <c r="AB1763" i="33"/>
  <c r="AB1783" i="33"/>
  <c r="AB1757" i="33"/>
  <c r="AB1805" i="33"/>
  <c r="AB1779" i="33"/>
  <c r="AB1797" i="33"/>
  <c r="AB1793" i="33"/>
  <c r="AB1789" i="33"/>
  <c r="AB1769" i="33"/>
  <c r="AB1754" i="33"/>
  <c r="AB1761" i="33"/>
  <c r="AB1775" i="33"/>
  <c r="AB1803" i="33"/>
  <c r="L1369" i="35"/>
  <c r="L1371" i="35"/>
  <c r="L1824" i="33"/>
  <c r="L1809" i="33"/>
  <c r="L1828" i="33"/>
  <c r="L1807" i="33"/>
  <c r="L1834" i="33"/>
  <c r="L1830" i="33"/>
  <c r="L1820" i="33"/>
  <c r="L1832" i="33"/>
  <c r="L1810" i="33"/>
  <c r="L1822" i="33"/>
  <c r="L1835" i="33"/>
  <c r="L1826" i="33"/>
  <c r="L1793" i="33"/>
  <c r="L1757" i="33"/>
  <c r="L1759" i="33"/>
  <c r="L1752" i="33"/>
  <c r="L1779" i="33"/>
  <c r="L1763" i="33"/>
  <c r="L1773" i="33"/>
  <c r="L1754" i="33"/>
  <c r="L1787" i="33"/>
  <c r="L1783" i="33"/>
  <c r="L1769" i="33"/>
  <c r="L1791" i="33"/>
  <c r="L1803" i="33"/>
  <c r="L1771" i="33"/>
  <c r="L1756" i="33"/>
  <c r="L1781" i="33"/>
  <c r="L1777" i="33"/>
  <c r="L1775" i="33"/>
  <c r="L1785" i="33"/>
  <c r="L1761" i="33"/>
  <c r="L1805" i="33"/>
  <c r="V1739" i="33"/>
  <c r="T1739" i="33"/>
  <c r="Z1739" i="33" s="1"/>
  <c r="S1739" i="33"/>
  <c r="R1739" i="33"/>
  <c r="K1739" i="33"/>
  <c r="F1739" i="33"/>
  <c r="I1331" i="35" l="1"/>
  <c r="G1333" i="35"/>
  <c r="G1345" i="35"/>
  <c r="I1333" i="35"/>
  <c r="H1345" i="35"/>
  <c r="H1333" i="35"/>
  <c r="I1345" i="35"/>
  <c r="G1331" i="35"/>
  <c r="H1331" i="35"/>
  <c r="Y1739" i="33"/>
  <c r="L1333" i="35" l="1"/>
  <c r="L1345" i="35"/>
  <c r="L1331" i="35"/>
  <c r="W1331" i="35"/>
  <c r="V1345" i="35"/>
  <c r="W1333" i="35"/>
  <c r="W1345" i="35"/>
  <c r="V1331" i="35"/>
  <c r="V1333" i="35"/>
  <c r="W1739" i="33"/>
  <c r="X1739" i="33"/>
  <c r="AE1287" i="35"/>
  <c r="Y1287" i="35"/>
  <c r="X1287" i="35"/>
  <c r="U1287" i="35"/>
  <c r="S1287" i="35"/>
  <c r="R1287" i="35"/>
  <c r="Q1287" i="35"/>
  <c r="K1287" i="35"/>
  <c r="F1287" i="35"/>
  <c r="AD1287" i="35" l="1"/>
  <c r="AF1677" i="33" l="1"/>
  <c r="V1677" i="33"/>
  <c r="T1677" i="33"/>
  <c r="Z1677" i="33" s="1"/>
  <c r="S1677" i="33"/>
  <c r="R1677" i="33"/>
  <c r="K1677" i="33"/>
  <c r="F1677" i="33"/>
  <c r="W1677" i="33" l="1"/>
  <c r="X1677" i="33"/>
  <c r="Y1677" i="33"/>
  <c r="AE1301" i="35" l="1"/>
  <c r="Y1301" i="35"/>
  <c r="X1301" i="35"/>
  <c r="U1301" i="35"/>
  <c r="S1301" i="35"/>
  <c r="R1301" i="35"/>
  <c r="Q1301" i="35"/>
  <c r="K1301" i="35"/>
  <c r="F1301" i="35"/>
  <c r="AE1299" i="35"/>
  <c r="Y1299" i="35"/>
  <c r="X1299" i="35"/>
  <c r="U1299" i="35"/>
  <c r="S1299" i="35"/>
  <c r="R1299" i="35"/>
  <c r="Q1299" i="35"/>
  <c r="K1299" i="35"/>
  <c r="F1299" i="35"/>
  <c r="AE1297" i="35"/>
  <c r="Y1297" i="35"/>
  <c r="X1297" i="35"/>
  <c r="R1297" i="35"/>
  <c r="Q1297" i="35"/>
  <c r="K1297" i="35"/>
  <c r="F1297" i="35"/>
  <c r="AD1299" i="35" l="1"/>
  <c r="AD1301" i="35"/>
  <c r="AD1297" i="35"/>
  <c r="AF1662" i="33" l="1"/>
  <c r="V1662" i="33"/>
  <c r="T1662" i="33"/>
  <c r="Z1662" i="33" s="1"/>
  <c r="S1662" i="33"/>
  <c r="R1662" i="33"/>
  <c r="K1662" i="33"/>
  <c r="F1662" i="33"/>
  <c r="W1662" i="33" l="1"/>
  <c r="X1662" i="33"/>
  <c r="Y1662" i="33"/>
  <c r="V1737" i="33" l="1"/>
  <c r="T1737" i="33"/>
  <c r="Y1737" i="33" s="1"/>
  <c r="S1737" i="33"/>
  <c r="R1737" i="33"/>
  <c r="K1737" i="33"/>
  <c r="F1737" i="33"/>
  <c r="V1735" i="33"/>
  <c r="T1735" i="33"/>
  <c r="Z1735" i="33" s="1"/>
  <c r="S1735" i="33"/>
  <c r="R1735" i="33"/>
  <c r="K1735" i="33"/>
  <c r="F1735" i="33"/>
  <c r="T1733" i="33"/>
  <c r="Y1733" i="33" s="1"/>
  <c r="S1733" i="33"/>
  <c r="R1733" i="33"/>
  <c r="K1733" i="33"/>
  <c r="F1733" i="33"/>
  <c r="Z1732" i="33"/>
  <c r="Y1732" i="33"/>
  <c r="X1732" i="33"/>
  <c r="W1732" i="33"/>
  <c r="V1732" i="33"/>
  <c r="T1732" i="33"/>
  <c r="S1732" i="33"/>
  <c r="R1732" i="33"/>
  <c r="L1732" i="33"/>
  <c r="K1732" i="33"/>
  <c r="I1732" i="33"/>
  <c r="H1732" i="33"/>
  <c r="G1732" i="33"/>
  <c r="F1732" i="33"/>
  <c r="V1731" i="33"/>
  <c r="T1731" i="33"/>
  <c r="Y1731" i="33" s="1"/>
  <c r="K1731" i="33"/>
  <c r="F1731" i="33"/>
  <c r="T1730" i="33"/>
  <c r="Y1730" i="33" s="1"/>
  <c r="S1730" i="33"/>
  <c r="R1730" i="33"/>
  <c r="K1730" i="33"/>
  <c r="F1730" i="33"/>
  <c r="T1728" i="33"/>
  <c r="Z1728" i="33" s="1"/>
  <c r="S1728" i="33"/>
  <c r="R1728" i="33"/>
  <c r="K1728" i="33"/>
  <c r="F1728" i="33"/>
  <c r="V1726" i="33"/>
  <c r="T1726" i="33"/>
  <c r="Z1726" i="33" s="1"/>
  <c r="S1726" i="33"/>
  <c r="R1726" i="33"/>
  <c r="K1726" i="33"/>
  <c r="F1726" i="33"/>
  <c r="V1724" i="33"/>
  <c r="T1724" i="33"/>
  <c r="Z1724" i="33" s="1"/>
  <c r="S1724" i="33"/>
  <c r="R1724" i="33"/>
  <c r="K1724" i="33"/>
  <c r="F1724" i="33"/>
  <c r="V1722" i="33"/>
  <c r="T1722" i="33"/>
  <c r="Z1722" i="33" s="1"/>
  <c r="S1722" i="33"/>
  <c r="R1722" i="33"/>
  <c r="K1722" i="33"/>
  <c r="F1722" i="33"/>
  <c r="T1720" i="33"/>
  <c r="Z1720" i="33" s="1"/>
  <c r="S1720" i="33"/>
  <c r="R1720" i="33"/>
  <c r="K1720" i="33"/>
  <c r="F1720" i="33"/>
  <c r="Z1719" i="33"/>
  <c r="Y1719" i="33"/>
  <c r="X1719" i="33"/>
  <c r="W1719" i="33"/>
  <c r="V1719" i="33"/>
  <c r="T1719" i="33"/>
  <c r="S1719" i="33"/>
  <c r="R1719" i="33"/>
  <c r="L1719" i="33"/>
  <c r="K1719" i="33"/>
  <c r="I1719" i="33"/>
  <c r="H1719" i="33"/>
  <c r="G1719" i="33"/>
  <c r="F1719" i="33"/>
  <c r="V1718" i="33"/>
  <c r="T1718" i="33"/>
  <c r="S1718" i="33"/>
  <c r="R1718" i="33"/>
  <c r="K1718" i="33"/>
  <c r="F1718" i="33"/>
  <c r="V1716" i="33"/>
  <c r="T1716" i="33"/>
  <c r="Z1716" i="33" s="1"/>
  <c r="S1716" i="33"/>
  <c r="R1716" i="33"/>
  <c r="K1716" i="33"/>
  <c r="F1716" i="33"/>
  <c r="V1714" i="33"/>
  <c r="T1714" i="33"/>
  <c r="Y1714" i="33" s="1"/>
  <c r="S1714" i="33"/>
  <c r="R1714" i="33"/>
  <c r="K1714" i="33"/>
  <c r="F1714" i="33"/>
  <c r="Z1737" i="33" l="1"/>
  <c r="Z1733" i="33"/>
  <c r="Y1735" i="33"/>
  <c r="Z1730" i="33"/>
  <c r="Z1731" i="33"/>
  <c r="Y1728" i="33"/>
  <c r="Y1726" i="33"/>
  <c r="Y1722" i="33"/>
  <c r="Y1724" i="33"/>
  <c r="Z1718" i="33"/>
  <c r="Y1718" i="33"/>
  <c r="Y1720" i="33"/>
  <c r="Y1716" i="33"/>
  <c r="Z1714" i="33"/>
  <c r="AE1277" i="35" l="1"/>
  <c r="AE1293" i="35"/>
  <c r="AE1339" i="35"/>
  <c r="AE1329" i="35"/>
  <c r="AE1325" i="35"/>
  <c r="AE1323" i="35"/>
  <c r="AE1321" i="35"/>
  <c r="AE1344" i="35" l="1"/>
  <c r="Y1344" i="35"/>
  <c r="X1344" i="35"/>
  <c r="W1344" i="35"/>
  <c r="V1344" i="35"/>
  <c r="U1344" i="35"/>
  <c r="S1344" i="35"/>
  <c r="R1344" i="35"/>
  <c r="Q1344" i="35"/>
  <c r="L1344" i="35"/>
  <c r="K1344" i="35"/>
  <c r="I1344" i="35"/>
  <c r="H1344" i="35"/>
  <c r="G1344" i="35"/>
  <c r="F1344" i="35"/>
  <c r="AD1344" i="35" s="1"/>
  <c r="AF1344" i="35" s="1"/>
  <c r="AG1344" i="35" s="1"/>
  <c r="AE1343" i="35"/>
  <c r="Y1343" i="35"/>
  <c r="X1343" i="35"/>
  <c r="U1343" i="35"/>
  <c r="S1343" i="35"/>
  <c r="R1343" i="35"/>
  <c r="Q1343" i="35"/>
  <c r="K1343" i="35"/>
  <c r="F1343" i="35"/>
  <c r="AE1341" i="35"/>
  <c r="Y1341" i="35"/>
  <c r="X1341" i="35"/>
  <c r="U1341" i="35"/>
  <c r="S1341" i="35"/>
  <c r="R1341" i="35"/>
  <c r="Q1341" i="35"/>
  <c r="K1341" i="35"/>
  <c r="F1341" i="35"/>
  <c r="Y1339" i="35"/>
  <c r="X1339" i="35"/>
  <c r="U1339" i="35"/>
  <c r="S1339" i="35"/>
  <c r="R1339" i="35"/>
  <c r="Q1339" i="35"/>
  <c r="K1339" i="35"/>
  <c r="F1339" i="35"/>
  <c r="AE1337" i="35"/>
  <c r="Y1337" i="35"/>
  <c r="X1337" i="35"/>
  <c r="U1337" i="35"/>
  <c r="S1337" i="35"/>
  <c r="R1337" i="35"/>
  <c r="Q1337" i="35"/>
  <c r="K1337" i="35"/>
  <c r="F1337" i="35"/>
  <c r="AE1335" i="35"/>
  <c r="Y1335" i="35"/>
  <c r="X1335" i="35"/>
  <c r="U1335" i="35"/>
  <c r="S1335" i="35"/>
  <c r="R1335" i="35"/>
  <c r="Q1335" i="35"/>
  <c r="K1335" i="35"/>
  <c r="F1335" i="35"/>
  <c r="Y1329" i="35"/>
  <c r="X1329" i="35"/>
  <c r="U1329" i="35"/>
  <c r="S1329" i="35"/>
  <c r="R1329" i="35"/>
  <c r="Q1329" i="35"/>
  <c r="K1329" i="35"/>
  <c r="F1329" i="35"/>
  <c r="AE1327" i="35"/>
  <c r="Y1327" i="35"/>
  <c r="X1327" i="35"/>
  <c r="U1327" i="35"/>
  <c r="S1327" i="35"/>
  <c r="R1327" i="35"/>
  <c r="Q1327" i="35"/>
  <c r="K1327" i="35"/>
  <c r="F1327" i="35"/>
  <c r="Y1325" i="35"/>
  <c r="X1325" i="35"/>
  <c r="U1325" i="35"/>
  <c r="S1325" i="35"/>
  <c r="R1325" i="35"/>
  <c r="Q1325" i="35"/>
  <c r="K1325" i="35"/>
  <c r="F1325" i="35"/>
  <c r="Y1323" i="35"/>
  <c r="X1323" i="35"/>
  <c r="U1323" i="35"/>
  <c r="S1323" i="35"/>
  <c r="R1323" i="35"/>
  <c r="Q1323" i="35"/>
  <c r="K1323" i="35"/>
  <c r="F1323" i="35"/>
  <c r="Y1321" i="35"/>
  <c r="X1321" i="35"/>
  <c r="U1321" i="35"/>
  <c r="S1321" i="35"/>
  <c r="R1321" i="35"/>
  <c r="Q1321" i="35"/>
  <c r="K1321" i="35"/>
  <c r="F1321" i="35"/>
  <c r="AE1319" i="35"/>
  <c r="Y1319" i="35"/>
  <c r="X1319" i="35"/>
  <c r="U1319" i="35"/>
  <c r="S1319" i="35"/>
  <c r="R1319" i="35"/>
  <c r="Q1319" i="35"/>
  <c r="K1319" i="35"/>
  <c r="F1319" i="35"/>
  <c r="AE1315" i="35"/>
  <c r="AD1315" i="35"/>
  <c r="AF1315" i="35" s="1"/>
  <c r="AG1315" i="35" s="1"/>
  <c r="AE1311" i="35"/>
  <c r="Y1311" i="35"/>
  <c r="X1311" i="35"/>
  <c r="U1311" i="35"/>
  <c r="S1311" i="35"/>
  <c r="R1311" i="35"/>
  <c r="Q1311" i="35"/>
  <c r="K1311" i="35"/>
  <c r="F1311" i="35"/>
  <c r="AE1313" i="35"/>
  <c r="Y1313" i="35"/>
  <c r="X1313" i="35"/>
  <c r="S1313" i="35"/>
  <c r="R1313" i="35"/>
  <c r="Q1313" i="35"/>
  <c r="K1313" i="35"/>
  <c r="F1313" i="35"/>
  <c r="AE1309" i="35"/>
  <c r="Y1309" i="35"/>
  <c r="X1309" i="35"/>
  <c r="U1309" i="35"/>
  <c r="S1309" i="35"/>
  <c r="R1309" i="35"/>
  <c r="Q1309" i="35"/>
  <c r="K1309" i="35"/>
  <c r="F1309" i="35"/>
  <c r="AE1307" i="35"/>
  <c r="Y1307" i="35"/>
  <c r="X1307" i="35"/>
  <c r="U1307" i="35"/>
  <c r="S1307" i="35"/>
  <c r="R1307" i="35"/>
  <c r="Q1307" i="35"/>
  <c r="K1307" i="35"/>
  <c r="F1307" i="35"/>
  <c r="AE1305" i="35"/>
  <c r="Y1305" i="35"/>
  <c r="X1305" i="35"/>
  <c r="U1305" i="35"/>
  <c r="S1305" i="35"/>
  <c r="R1305" i="35"/>
  <c r="Q1305" i="35"/>
  <c r="K1305" i="35"/>
  <c r="F1305" i="35"/>
  <c r="AE1303" i="35"/>
  <c r="Y1303" i="35"/>
  <c r="X1303" i="35"/>
  <c r="U1303" i="35"/>
  <c r="S1303" i="35"/>
  <c r="R1303" i="35"/>
  <c r="Q1303" i="35"/>
  <c r="K1303" i="35"/>
  <c r="F1303" i="35"/>
  <c r="AE1296" i="35"/>
  <c r="Y1296" i="35"/>
  <c r="X1296" i="35"/>
  <c r="W1296" i="35"/>
  <c r="V1296" i="35"/>
  <c r="U1296" i="35"/>
  <c r="S1296" i="35"/>
  <c r="R1296" i="35"/>
  <c r="Q1296" i="35"/>
  <c r="L1296" i="35"/>
  <c r="K1296" i="35"/>
  <c r="I1296" i="35"/>
  <c r="H1296" i="35"/>
  <c r="G1296" i="35"/>
  <c r="F1296" i="35"/>
  <c r="AD1296" i="35" s="1"/>
  <c r="AF1296" i="35" s="1"/>
  <c r="AG1296" i="35" s="1"/>
  <c r="AE1295" i="35"/>
  <c r="Y1295" i="35"/>
  <c r="X1295" i="35"/>
  <c r="U1295" i="35"/>
  <c r="S1295" i="35"/>
  <c r="R1295" i="35"/>
  <c r="Q1295" i="35"/>
  <c r="K1295" i="35"/>
  <c r="F1295" i="35"/>
  <c r="AE1294" i="35"/>
  <c r="Y1294" i="35"/>
  <c r="X1294" i="35"/>
  <c r="W1294" i="35"/>
  <c r="V1294" i="35"/>
  <c r="U1294" i="35"/>
  <c r="S1294" i="35"/>
  <c r="R1294" i="35"/>
  <c r="Q1294" i="35"/>
  <c r="L1294" i="35"/>
  <c r="K1294" i="35"/>
  <c r="I1294" i="35"/>
  <c r="H1294" i="35"/>
  <c r="G1294" i="35"/>
  <c r="F1294" i="35"/>
  <c r="AD1294" i="35" s="1"/>
  <c r="AF1294" i="35" s="1"/>
  <c r="AG1294" i="35" s="1"/>
  <c r="Y1293" i="35"/>
  <c r="X1293" i="35"/>
  <c r="U1293" i="35"/>
  <c r="S1293" i="35"/>
  <c r="R1293" i="35"/>
  <c r="Q1293" i="35"/>
  <c r="K1293" i="35"/>
  <c r="F1293" i="35"/>
  <c r="AD1293" i="35" l="1"/>
  <c r="AD1339" i="35"/>
  <c r="AD1321" i="35"/>
  <c r="AD1325" i="35"/>
  <c r="AD1323" i="35"/>
  <c r="AD1329" i="35"/>
  <c r="AD1343" i="35"/>
  <c r="AD1341" i="35"/>
  <c r="AD1337" i="35"/>
  <c r="AD1335" i="35"/>
  <c r="AD1327" i="35"/>
  <c r="AD1319" i="35"/>
  <c r="AD1311" i="35"/>
  <c r="AD1313" i="35"/>
  <c r="AD1309" i="35"/>
  <c r="AD1307" i="35"/>
  <c r="AD1305" i="35"/>
  <c r="AD1303" i="35"/>
  <c r="AD1295" i="35"/>
  <c r="AF1687" i="33" l="1"/>
  <c r="V1687" i="33"/>
  <c r="T1687" i="33"/>
  <c r="Z1687" i="33" s="1"/>
  <c r="S1687" i="33"/>
  <c r="R1687" i="33"/>
  <c r="K1687" i="33"/>
  <c r="F1687" i="33"/>
  <c r="AF1685" i="33"/>
  <c r="V1685" i="33"/>
  <c r="T1685" i="33"/>
  <c r="W1685" i="33" s="1"/>
  <c r="S1685" i="33"/>
  <c r="R1685" i="33"/>
  <c r="K1685" i="33"/>
  <c r="F1685" i="33"/>
  <c r="AF1683" i="33"/>
  <c r="V1683" i="33"/>
  <c r="T1683" i="33"/>
  <c r="Y1683" i="33" s="1"/>
  <c r="S1683" i="33"/>
  <c r="R1683" i="33"/>
  <c r="K1683" i="33"/>
  <c r="F1683" i="33"/>
  <c r="AF1672" i="33"/>
  <c r="V1672" i="33"/>
  <c r="T1672" i="33"/>
  <c r="W1672" i="33" s="1"/>
  <c r="S1672" i="33"/>
  <c r="R1672" i="33"/>
  <c r="K1672" i="33"/>
  <c r="F1672" i="33"/>
  <c r="AF1696" i="33"/>
  <c r="V1696" i="33"/>
  <c r="T1696" i="33"/>
  <c r="W1696" i="33" s="1"/>
  <c r="S1696" i="33"/>
  <c r="R1696" i="33"/>
  <c r="K1696" i="33"/>
  <c r="F1696" i="33"/>
  <c r="AF1695" i="33"/>
  <c r="V1695" i="33"/>
  <c r="T1695" i="33"/>
  <c r="Z1695" i="33" s="1"/>
  <c r="S1695" i="33"/>
  <c r="R1695" i="33"/>
  <c r="K1695" i="33"/>
  <c r="F1695" i="33"/>
  <c r="AF1693" i="33"/>
  <c r="V1693" i="33"/>
  <c r="T1693" i="33"/>
  <c r="W1693" i="33" s="1"/>
  <c r="S1693" i="33"/>
  <c r="R1693" i="33"/>
  <c r="K1693" i="33"/>
  <c r="F1693" i="33"/>
  <c r="AF1691" i="33"/>
  <c r="V1691" i="33"/>
  <c r="T1691" i="33"/>
  <c r="W1691" i="33" s="1"/>
  <c r="S1691" i="33"/>
  <c r="R1691" i="33"/>
  <c r="K1691" i="33"/>
  <c r="F1691" i="33"/>
  <c r="AF1689" i="33"/>
  <c r="V1689" i="33"/>
  <c r="T1689" i="33"/>
  <c r="Y1689" i="33" s="1"/>
  <c r="S1689" i="33"/>
  <c r="R1689" i="33"/>
  <c r="K1689" i="33"/>
  <c r="F1689" i="33"/>
  <c r="AF1666" i="33"/>
  <c r="V1666" i="33"/>
  <c r="T1666" i="33"/>
  <c r="X1666" i="33" s="1"/>
  <c r="S1666" i="33"/>
  <c r="R1666" i="33"/>
  <c r="K1666" i="33"/>
  <c r="F1666" i="33"/>
  <c r="AF1664" i="33"/>
  <c r="V1664" i="33"/>
  <c r="T1664" i="33"/>
  <c r="Z1664" i="33" s="1"/>
  <c r="S1664" i="33"/>
  <c r="R1664" i="33"/>
  <c r="K1664" i="33"/>
  <c r="F1664" i="33"/>
  <c r="AF1660" i="33"/>
  <c r="V1660" i="33"/>
  <c r="T1660" i="33"/>
  <c r="X1660" i="33" s="1"/>
  <c r="S1660" i="33"/>
  <c r="R1660" i="33"/>
  <c r="K1660" i="33"/>
  <c r="F1660" i="33"/>
  <c r="AF1658" i="33"/>
  <c r="V1658" i="33"/>
  <c r="T1658" i="33"/>
  <c r="Z1658" i="33" s="1"/>
  <c r="S1658" i="33"/>
  <c r="R1658" i="33"/>
  <c r="K1658" i="33"/>
  <c r="F1658" i="33"/>
  <c r="AF1656" i="33"/>
  <c r="V1656" i="33"/>
  <c r="T1656" i="33"/>
  <c r="X1656" i="33" s="1"/>
  <c r="S1656" i="33"/>
  <c r="R1656" i="33"/>
  <c r="K1656" i="33"/>
  <c r="F1656" i="33"/>
  <c r="AF1654" i="33"/>
  <c r="V1654" i="33"/>
  <c r="T1654" i="33"/>
  <c r="X1654" i="33" s="1"/>
  <c r="S1654" i="33"/>
  <c r="R1654" i="33"/>
  <c r="K1654" i="33"/>
  <c r="F1654" i="33"/>
  <c r="Y1685" i="33" l="1"/>
  <c r="Z1685" i="33"/>
  <c r="W1683" i="33"/>
  <c r="W1687" i="33"/>
  <c r="X1683" i="33"/>
  <c r="X1687" i="33"/>
  <c r="X1685" i="33"/>
  <c r="Y1687" i="33"/>
  <c r="Z1683" i="33"/>
  <c r="Y1672" i="33"/>
  <c r="X1672" i="33"/>
  <c r="X1695" i="33"/>
  <c r="Z1672" i="33"/>
  <c r="Y1691" i="33"/>
  <c r="X1691" i="33"/>
  <c r="Y1696" i="33"/>
  <c r="Z1696" i="33"/>
  <c r="Z1691" i="33"/>
  <c r="X1696" i="33"/>
  <c r="X1693" i="33"/>
  <c r="Y1693" i="33"/>
  <c r="Z1693" i="33"/>
  <c r="W1689" i="33"/>
  <c r="W1695" i="33"/>
  <c r="X1689" i="33"/>
  <c r="Y1695" i="33"/>
  <c r="Z1689" i="33"/>
  <c r="Z1666" i="33"/>
  <c r="Y1666" i="33"/>
  <c r="Y1660" i="33"/>
  <c r="Z1660" i="33"/>
  <c r="W1664" i="33"/>
  <c r="X1664" i="33"/>
  <c r="Y1664" i="33"/>
  <c r="W1666" i="33"/>
  <c r="W1660" i="33"/>
  <c r="Z1654" i="33"/>
  <c r="Y1654" i="33"/>
  <c r="Y1656" i="33"/>
  <c r="Z1656" i="33"/>
  <c r="W1658" i="33"/>
  <c r="X1658" i="33"/>
  <c r="W1656" i="33"/>
  <c r="Y1658" i="33"/>
  <c r="W1654" i="33"/>
  <c r="AF1702" i="33" l="1"/>
  <c r="V1702" i="33"/>
  <c r="T1702" i="33"/>
  <c r="X1702" i="33" s="1"/>
  <c r="S1702" i="33"/>
  <c r="R1702" i="33"/>
  <c r="K1702" i="33"/>
  <c r="F1702" i="33"/>
  <c r="V1700" i="33"/>
  <c r="V1698" i="33"/>
  <c r="Y1702" i="33" l="1"/>
  <c r="Z1702" i="33"/>
  <c r="W1702" i="33"/>
  <c r="AF1670" i="33"/>
  <c r="V1670" i="33"/>
  <c r="T1670" i="33"/>
  <c r="X1670" i="33" s="1"/>
  <c r="S1670" i="33"/>
  <c r="R1670" i="33"/>
  <c r="K1670" i="33"/>
  <c r="F1670" i="33"/>
  <c r="Y1670" i="33" l="1"/>
  <c r="Z1670" i="33"/>
  <c r="W1670" i="33"/>
  <c r="T1700" i="33" l="1"/>
  <c r="Y1700" i="33" s="1"/>
  <c r="S1700" i="33"/>
  <c r="R1700" i="33"/>
  <c r="K1700" i="33"/>
  <c r="F1700" i="33"/>
  <c r="Z1700" i="33" l="1"/>
  <c r="W1700" i="33"/>
  <c r="X1700" i="33"/>
  <c r="AF1652" i="33" l="1"/>
  <c r="V1652" i="33"/>
  <c r="T1652" i="33"/>
  <c r="X1652" i="33" s="1"/>
  <c r="S1652" i="33"/>
  <c r="R1652" i="33"/>
  <c r="K1652" i="33"/>
  <c r="F1652" i="33"/>
  <c r="Y1652" i="33" l="1"/>
  <c r="Z1652" i="33"/>
  <c r="W1652" i="33"/>
  <c r="AF1698" i="33" l="1"/>
  <c r="T1698" i="33"/>
  <c r="W1698" i="33" s="1"/>
  <c r="S1698" i="33"/>
  <c r="R1698" i="33"/>
  <c r="K1698" i="33"/>
  <c r="F1698" i="33"/>
  <c r="AF1668" i="33"/>
  <c r="V1668" i="33"/>
  <c r="T1668" i="33"/>
  <c r="W1668" i="33" s="1"/>
  <c r="S1668" i="33"/>
  <c r="R1668" i="33"/>
  <c r="K1668" i="33"/>
  <c r="F1668" i="33"/>
  <c r="AF1650" i="33"/>
  <c r="V1650" i="33"/>
  <c r="T1650" i="33"/>
  <c r="Z1650" i="33" s="1"/>
  <c r="S1650" i="33"/>
  <c r="R1650" i="33"/>
  <c r="K1650" i="33"/>
  <c r="F1650" i="33"/>
  <c r="X1698" i="33" l="1"/>
  <c r="X1668" i="33"/>
  <c r="Y1698" i="33"/>
  <c r="Y1668" i="33"/>
  <c r="Z1668" i="33"/>
  <c r="Z1698" i="33"/>
  <c r="W1650" i="33"/>
  <c r="X1650" i="33"/>
  <c r="Y1650" i="33"/>
  <c r="AE1271" i="35" l="1"/>
  <c r="Y1271" i="35"/>
  <c r="X1271" i="35"/>
  <c r="U1271" i="35"/>
  <c r="S1271" i="35"/>
  <c r="R1271" i="35"/>
  <c r="Q1271" i="35"/>
  <c r="K1271" i="35"/>
  <c r="F1271" i="35"/>
  <c r="AE1270" i="35"/>
  <c r="AG1271" i="35" s="1"/>
  <c r="Y1270" i="35"/>
  <c r="X1270" i="35"/>
  <c r="U1270" i="35"/>
  <c r="S1270" i="35"/>
  <c r="R1270" i="35"/>
  <c r="Q1270" i="35"/>
  <c r="K1270" i="35"/>
  <c r="F1270" i="35"/>
  <c r="AF1596" i="33"/>
  <c r="V1596" i="33"/>
  <c r="T1596" i="33"/>
  <c r="Z1596" i="33" s="1"/>
  <c r="S1596" i="33"/>
  <c r="R1596" i="33"/>
  <c r="K1596" i="33"/>
  <c r="F1596" i="33"/>
  <c r="AF1595" i="33"/>
  <c r="V1595" i="33"/>
  <c r="T1595" i="33"/>
  <c r="Y1595" i="33" s="1"/>
  <c r="S1595" i="33"/>
  <c r="R1595" i="33"/>
  <c r="K1595" i="33"/>
  <c r="F1595" i="33"/>
  <c r="AD1271" i="35" l="1"/>
  <c r="AD1270" i="35"/>
  <c r="W1596" i="33"/>
  <c r="X1596" i="33"/>
  <c r="Y1596" i="33"/>
  <c r="Z1595" i="33"/>
  <c r="W1595" i="33"/>
  <c r="X1595" i="33"/>
  <c r="AE1273" i="35" l="1"/>
  <c r="Y1273" i="35"/>
  <c r="X1273" i="35"/>
  <c r="U1273" i="35"/>
  <c r="S1273" i="35"/>
  <c r="R1273" i="35"/>
  <c r="Q1273" i="35"/>
  <c r="K1273" i="35"/>
  <c r="F1273" i="35"/>
  <c r="AD1273" i="35" l="1"/>
  <c r="Y1277" i="35" l="1"/>
  <c r="X1277" i="35"/>
  <c r="U1277" i="35"/>
  <c r="S1277" i="35"/>
  <c r="R1277" i="35"/>
  <c r="Q1277" i="35"/>
  <c r="K1277" i="35"/>
  <c r="F1277" i="35"/>
  <c r="AD1277" i="35" l="1"/>
  <c r="AE1268" i="35"/>
  <c r="Y1268" i="35"/>
  <c r="X1268" i="35"/>
  <c r="U1268" i="35"/>
  <c r="S1268" i="35"/>
  <c r="R1268" i="35"/>
  <c r="Q1268" i="35"/>
  <c r="K1268" i="35"/>
  <c r="F1268" i="35"/>
  <c r="AD1268" i="35" l="1"/>
  <c r="F1267" i="35" l="1"/>
  <c r="AD1267" i="35" s="1"/>
  <c r="AF1267" i="35" s="1"/>
  <c r="AG1267" i="35" s="1"/>
  <c r="G1267" i="35"/>
  <c r="H1267" i="35"/>
  <c r="I1267" i="35"/>
  <c r="K1267" i="35"/>
  <c r="L1267" i="35"/>
  <c r="Q1267" i="35"/>
  <c r="R1267" i="35"/>
  <c r="S1267" i="35"/>
  <c r="U1267" i="35"/>
  <c r="V1267" i="35"/>
  <c r="W1267" i="35"/>
  <c r="X1267" i="35"/>
  <c r="Y1267" i="35"/>
  <c r="AE1267" i="35"/>
  <c r="F1275" i="35"/>
  <c r="K1275" i="35"/>
  <c r="Q1275" i="35"/>
  <c r="R1275" i="35"/>
  <c r="S1275" i="35"/>
  <c r="U1275" i="35"/>
  <c r="X1275" i="35"/>
  <c r="Y1275" i="35"/>
  <c r="AE1275" i="35"/>
  <c r="F1279" i="35"/>
  <c r="K1279" i="35"/>
  <c r="Q1279" i="35"/>
  <c r="R1279" i="35"/>
  <c r="S1279" i="35"/>
  <c r="U1279" i="35"/>
  <c r="X1279" i="35"/>
  <c r="Y1279" i="35"/>
  <c r="AE1279" i="35"/>
  <c r="F1280" i="35"/>
  <c r="AD1280" i="35" s="1"/>
  <c r="AF1280" i="35" s="1"/>
  <c r="AG1280" i="35" s="1"/>
  <c r="G1280" i="35"/>
  <c r="H1280" i="35"/>
  <c r="I1280" i="35"/>
  <c r="K1280" i="35"/>
  <c r="L1280" i="35"/>
  <c r="Q1280" i="35"/>
  <c r="R1280" i="35"/>
  <c r="S1280" i="35"/>
  <c r="U1280" i="35"/>
  <c r="V1280" i="35"/>
  <c r="W1280" i="35"/>
  <c r="X1280" i="35"/>
  <c r="Y1280" i="35"/>
  <c r="AE1280" i="35"/>
  <c r="F1281" i="35"/>
  <c r="K1281" i="35"/>
  <c r="Q1281" i="35"/>
  <c r="R1281" i="35"/>
  <c r="S1281" i="35"/>
  <c r="U1281" i="35"/>
  <c r="X1281" i="35"/>
  <c r="Y1281" i="35"/>
  <c r="AE1281" i="35"/>
  <c r="F1282" i="35"/>
  <c r="V1282" i="35" s="1"/>
  <c r="G1282" i="35"/>
  <c r="H1282" i="35"/>
  <c r="I1282" i="35"/>
  <c r="K1282" i="35"/>
  <c r="L1282" i="35"/>
  <c r="Q1282" i="35"/>
  <c r="R1282" i="35"/>
  <c r="S1282" i="35"/>
  <c r="U1282" i="35"/>
  <c r="X1282" i="35"/>
  <c r="Y1282" i="35"/>
  <c r="AE1282" i="35"/>
  <c r="F1283" i="35"/>
  <c r="K1283" i="35"/>
  <c r="Q1283" i="35"/>
  <c r="R1283" i="35"/>
  <c r="S1283" i="35"/>
  <c r="U1283" i="35"/>
  <c r="X1283" i="35"/>
  <c r="Y1283" i="35"/>
  <c r="AE1283" i="35"/>
  <c r="F1284" i="35"/>
  <c r="AD1284" i="35" s="1"/>
  <c r="AF1284" i="35" s="1"/>
  <c r="AG1284" i="35" s="1"/>
  <c r="G1284" i="35"/>
  <c r="H1284" i="35"/>
  <c r="K1284" i="35"/>
  <c r="L1284" i="35"/>
  <c r="Q1284" i="35"/>
  <c r="R1284" i="35"/>
  <c r="S1284" i="35"/>
  <c r="U1284" i="35"/>
  <c r="V1284" i="35"/>
  <c r="W1284" i="35"/>
  <c r="X1284" i="35"/>
  <c r="Y1284" i="35"/>
  <c r="AE1284" i="35"/>
  <c r="F1285" i="35"/>
  <c r="K1285" i="35"/>
  <c r="Q1285" i="35"/>
  <c r="R1285" i="35"/>
  <c r="S1285" i="35"/>
  <c r="U1285" i="35"/>
  <c r="X1285" i="35"/>
  <c r="Y1285" i="35"/>
  <c r="AE1285" i="35"/>
  <c r="F1286" i="35"/>
  <c r="AD1286" i="35" s="1"/>
  <c r="AF1286" i="35" s="1"/>
  <c r="AG1286" i="35" s="1"/>
  <c r="G1286" i="35"/>
  <c r="H1286" i="35"/>
  <c r="K1286" i="35"/>
  <c r="L1286" i="35"/>
  <c r="Q1286" i="35"/>
  <c r="R1286" i="35"/>
  <c r="S1286" i="35"/>
  <c r="U1286" i="35"/>
  <c r="V1286" i="35"/>
  <c r="W1286" i="35"/>
  <c r="X1286" i="35"/>
  <c r="Y1286" i="35"/>
  <c r="AE1286" i="35"/>
  <c r="F1377" i="35"/>
  <c r="G1377" i="35" s="1"/>
  <c r="K1377" i="35"/>
  <c r="Q1377" i="35"/>
  <c r="R1377" i="35"/>
  <c r="S1377" i="35"/>
  <c r="U1377" i="35"/>
  <c r="X1377" i="35"/>
  <c r="Y1377" i="35"/>
  <c r="AE1377" i="35"/>
  <c r="F1379" i="35"/>
  <c r="G1379" i="35"/>
  <c r="K1379" i="35"/>
  <c r="Q1379" i="35"/>
  <c r="R1379" i="35"/>
  <c r="S1379" i="35"/>
  <c r="U1379" i="35"/>
  <c r="X1379" i="35"/>
  <c r="Y1379" i="35"/>
  <c r="AE1379" i="35"/>
  <c r="F1381" i="35"/>
  <c r="K1381" i="35"/>
  <c r="Q1381" i="35"/>
  <c r="R1381" i="35"/>
  <c r="S1381" i="35"/>
  <c r="U1381" i="35"/>
  <c r="X1381" i="35"/>
  <c r="Y1381" i="35"/>
  <c r="AE1381" i="35"/>
  <c r="F1383" i="35"/>
  <c r="K1383" i="35"/>
  <c r="Q1383" i="35"/>
  <c r="R1383" i="35"/>
  <c r="S1383" i="35"/>
  <c r="U1383" i="35"/>
  <c r="X1383" i="35"/>
  <c r="Y1383" i="35"/>
  <c r="AE1383" i="35"/>
  <c r="F1385" i="35"/>
  <c r="G1385" i="35" s="1"/>
  <c r="K1385" i="35"/>
  <c r="Q1385" i="35"/>
  <c r="R1385" i="35"/>
  <c r="S1385" i="35"/>
  <c r="U1385" i="35"/>
  <c r="X1385" i="35"/>
  <c r="Y1385" i="35"/>
  <c r="AE1385" i="35"/>
  <c r="F1391" i="35"/>
  <c r="I1391" i="35" s="1"/>
  <c r="G1391" i="35"/>
  <c r="K1391" i="35"/>
  <c r="Q1391" i="35"/>
  <c r="R1391" i="35"/>
  <c r="S1391" i="35"/>
  <c r="U1391" i="35"/>
  <c r="X1391" i="35"/>
  <c r="Y1391" i="35"/>
  <c r="AE1391" i="35"/>
  <c r="F1395" i="35"/>
  <c r="G1395" i="35" s="1"/>
  <c r="K1395" i="35"/>
  <c r="Q1395" i="35"/>
  <c r="R1395" i="35"/>
  <c r="S1395" i="35"/>
  <c r="U1395" i="35"/>
  <c r="X1395" i="35"/>
  <c r="Y1395" i="35"/>
  <c r="AE1395" i="35"/>
  <c r="F1397" i="35"/>
  <c r="K1397" i="35"/>
  <c r="Q1397" i="35"/>
  <c r="R1397" i="35"/>
  <c r="S1397" i="35"/>
  <c r="U1397" i="35"/>
  <c r="X1397" i="35"/>
  <c r="Y1397" i="35"/>
  <c r="AE1397" i="35"/>
  <c r="F1399" i="35"/>
  <c r="G1399" i="35" s="1"/>
  <c r="K1399" i="35"/>
  <c r="Q1399" i="35"/>
  <c r="R1399" i="35"/>
  <c r="S1399" i="35"/>
  <c r="U1399" i="35"/>
  <c r="X1399" i="35"/>
  <c r="Y1399" i="35"/>
  <c r="AE1399" i="35"/>
  <c r="F1401" i="35"/>
  <c r="G1401" i="35" s="1"/>
  <c r="K1401" i="35"/>
  <c r="Q1401" i="35"/>
  <c r="R1401" i="35"/>
  <c r="S1401" i="35"/>
  <c r="U1401" i="35"/>
  <c r="X1401" i="35"/>
  <c r="Y1401" i="35"/>
  <c r="AE1401" i="35"/>
  <c r="F1403" i="35"/>
  <c r="H1403" i="35" s="1"/>
  <c r="K1403" i="35"/>
  <c r="Q1403" i="35"/>
  <c r="R1403" i="35"/>
  <c r="S1403" i="35"/>
  <c r="U1403" i="35"/>
  <c r="X1403" i="35"/>
  <c r="Y1403" i="35"/>
  <c r="AE1403" i="35"/>
  <c r="F1405" i="35"/>
  <c r="H1405" i="35" s="1"/>
  <c r="K1405" i="35"/>
  <c r="Q1405" i="35"/>
  <c r="R1405" i="35"/>
  <c r="S1405" i="35"/>
  <c r="U1405" i="35"/>
  <c r="X1405" i="35"/>
  <c r="Y1405" i="35"/>
  <c r="AE1405" i="35"/>
  <c r="F1407" i="35"/>
  <c r="I1407" i="35" s="1"/>
  <c r="K1407" i="35"/>
  <c r="Q1407" i="35"/>
  <c r="R1407" i="35"/>
  <c r="S1407" i="35"/>
  <c r="U1407" i="35"/>
  <c r="X1407" i="35"/>
  <c r="Y1407" i="35"/>
  <c r="AE1407" i="35"/>
  <c r="F1431" i="35"/>
  <c r="G1431" i="35" s="1"/>
  <c r="K1431" i="35"/>
  <c r="Q1431" i="35"/>
  <c r="R1431" i="35"/>
  <c r="S1431" i="35"/>
  <c r="U1431" i="35"/>
  <c r="X1431" i="35"/>
  <c r="Y1431" i="35"/>
  <c r="AE1431" i="35"/>
  <c r="F1435" i="35"/>
  <c r="G1435" i="35" s="1"/>
  <c r="K1435" i="35"/>
  <c r="Q1435" i="35"/>
  <c r="R1435" i="35"/>
  <c r="S1435" i="35"/>
  <c r="U1435" i="35"/>
  <c r="X1435" i="35"/>
  <c r="Y1435" i="35"/>
  <c r="AE1435" i="35"/>
  <c r="F1441" i="35"/>
  <c r="G1441" i="35" s="1"/>
  <c r="K1441" i="35"/>
  <c r="Q1441" i="35"/>
  <c r="R1441" i="35"/>
  <c r="S1441" i="35"/>
  <c r="U1441" i="35"/>
  <c r="X1441" i="35"/>
  <c r="Y1441" i="35"/>
  <c r="AE1441" i="35"/>
  <c r="F1443" i="35"/>
  <c r="H1443" i="35" s="1"/>
  <c r="K1443" i="35"/>
  <c r="Q1443" i="35"/>
  <c r="R1443" i="35"/>
  <c r="S1443" i="35"/>
  <c r="U1443" i="35"/>
  <c r="X1443" i="35"/>
  <c r="Y1443" i="35"/>
  <c r="AE1443" i="35"/>
  <c r="F1445" i="35"/>
  <c r="G1445" i="35" s="1"/>
  <c r="K1445" i="35"/>
  <c r="Q1445" i="35"/>
  <c r="R1445" i="35"/>
  <c r="S1445" i="35"/>
  <c r="U1445" i="35"/>
  <c r="X1445" i="35"/>
  <c r="Y1445" i="35"/>
  <c r="AE1445" i="35"/>
  <c r="F1447" i="35"/>
  <c r="H1447" i="35" s="1"/>
  <c r="K1447" i="35"/>
  <c r="Q1447" i="35"/>
  <c r="R1447" i="35"/>
  <c r="S1447" i="35"/>
  <c r="U1447" i="35"/>
  <c r="X1447" i="35"/>
  <c r="Y1447" i="35"/>
  <c r="AE1447" i="35"/>
  <c r="F1449" i="35"/>
  <c r="G1449" i="35" s="1"/>
  <c r="K1449" i="35"/>
  <c r="Q1449" i="35"/>
  <c r="R1449" i="35"/>
  <c r="S1449" i="35"/>
  <c r="U1449" i="35"/>
  <c r="X1449" i="35"/>
  <c r="Y1449" i="35"/>
  <c r="AE1449" i="35"/>
  <c r="F1451" i="35"/>
  <c r="H1451" i="35" s="1"/>
  <c r="K1451" i="35"/>
  <c r="Q1451" i="35"/>
  <c r="R1451" i="35"/>
  <c r="S1451" i="35"/>
  <c r="U1451" i="35"/>
  <c r="X1451" i="35"/>
  <c r="Y1451" i="35"/>
  <c r="AE1451" i="35"/>
  <c r="F1501" i="35"/>
  <c r="AD1501" i="35" s="1"/>
  <c r="AF1501" i="35" s="1"/>
  <c r="AG1501" i="35" s="1"/>
  <c r="G1501" i="35"/>
  <c r="H1501" i="35"/>
  <c r="I1501" i="35"/>
  <c r="K1501" i="35"/>
  <c r="L1501" i="35"/>
  <c r="Q1501" i="35"/>
  <c r="R1501" i="35"/>
  <c r="S1501" i="35"/>
  <c r="U1501" i="35"/>
  <c r="X1501" i="35"/>
  <c r="Y1501" i="35"/>
  <c r="AE1501" i="35"/>
  <c r="F1502" i="35"/>
  <c r="G1502" i="35"/>
  <c r="H1502" i="35"/>
  <c r="I1502" i="35"/>
  <c r="K1502" i="35"/>
  <c r="L1502" i="35"/>
  <c r="Q1502" i="35"/>
  <c r="R1502" i="35"/>
  <c r="S1502" i="35"/>
  <c r="U1502" i="35"/>
  <c r="X1502" i="35"/>
  <c r="Y1502" i="35"/>
  <c r="AE1502" i="35"/>
  <c r="F1503" i="35"/>
  <c r="AD1503" i="35" s="1"/>
  <c r="AF1503" i="35" s="1"/>
  <c r="AG1503" i="35" s="1"/>
  <c r="G1503" i="35"/>
  <c r="H1503" i="35"/>
  <c r="I1503" i="35"/>
  <c r="K1503" i="35"/>
  <c r="L1503" i="35"/>
  <c r="Q1503" i="35"/>
  <c r="R1503" i="35"/>
  <c r="S1503" i="35"/>
  <c r="U1503" i="35"/>
  <c r="X1503" i="35"/>
  <c r="Y1503" i="35"/>
  <c r="AE1503" i="35"/>
  <c r="F1504" i="35"/>
  <c r="G1504" i="35"/>
  <c r="H1504" i="35"/>
  <c r="I1504" i="35"/>
  <c r="K1504" i="35"/>
  <c r="L1504" i="35"/>
  <c r="Q1504" i="35"/>
  <c r="R1504" i="35"/>
  <c r="S1504" i="35"/>
  <c r="U1504" i="35"/>
  <c r="X1504" i="35"/>
  <c r="Y1504" i="35"/>
  <c r="AE1504" i="35"/>
  <c r="F1505" i="35"/>
  <c r="AD1505" i="35" s="1"/>
  <c r="AF1505" i="35" s="1"/>
  <c r="AG1505" i="35" s="1"/>
  <c r="G1505" i="35"/>
  <c r="H1505" i="35"/>
  <c r="I1505" i="35"/>
  <c r="K1505" i="35"/>
  <c r="L1505" i="35"/>
  <c r="Q1505" i="35"/>
  <c r="R1505" i="35"/>
  <c r="S1505" i="35"/>
  <c r="U1505" i="35"/>
  <c r="X1505" i="35"/>
  <c r="Y1505" i="35"/>
  <c r="AE1505" i="35"/>
  <c r="F1506" i="35"/>
  <c r="G1506" i="35"/>
  <c r="H1506" i="35"/>
  <c r="I1506" i="35"/>
  <c r="K1506" i="35"/>
  <c r="L1506" i="35"/>
  <c r="Q1506" i="35"/>
  <c r="R1506" i="35"/>
  <c r="S1506" i="35"/>
  <c r="U1506" i="35"/>
  <c r="X1506" i="35"/>
  <c r="Y1506" i="35"/>
  <c r="AE1506" i="35"/>
  <c r="F1507" i="35"/>
  <c r="G1507" i="35"/>
  <c r="H1507" i="35"/>
  <c r="I1507" i="35"/>
  <c r="K1507" i="35"/>
  <c r="L1507" i="35"/>
  <c r="Q1507" i="35"/>
  <c r="R1507" i="35"/>
  <c r="S1507" i="35"/>
  <c r="U1507" i="35"/>
  <c r="X1507" i="35"/>
  <c r="Y1507" i="35"/>
  <c r="AE1507" i="35"/>
  <c r="F1508" i="35"/>
  <c r="AD1508" i="35" s="1"/>
  <c r="AF1508" i="35" s="1"/>
  <c r="AG1508" i="35" s="1"/>
  <c r="G1508" i="35"/>
  <c r="H1508" i="35"/>
  <c r="I1508" i="35"/>
  <c r="K1508" i="35"/>
  <c r="L1508" i="35"/>
  <c r="Q1508" i="35"/>
  <c r="R1508" i="35"/>
  <c r="S1508" i="35"/>
  <c r="U1508" i="35"/>
  <c r="X1508" i="35"/>
  <c r="Y1508" i="35"/>
  <c r="AE1508" i="35"/>
  <c r="F1509" i="35"/>
  <c r="AD1509" i="35" s="1"/>
  <c r="AF1509" i="35" s="1"/>
  <c r="AG1509" i="35" s="1"/>
  <c r="G1509" i="35"/>
  <c r="H1509" i="35"/>
  <c r="I1509" i="35"/>
  <c r="K1509" i="35"/>
  <c r="L1509" i="35"/>
  <c r="Q1509" i="35"/>
  <c r="R1509" i="35"/>
  <c r="S1509" i="35"/>
  <c r="U1509" i="35"/>
  <c r="X1509" i="35"/>
  <c r="Y1509" i="35"/>
  <c r="AE1509" i="35"/>
  <c r="F1510" i="35"/>
  <c r="AD1510" i="35" s="1"/>
  <c r="AF1510" i="35" s="1"/>
  <c r="AG1510" i="35" s="1"/>
  <c r="G1510" i="35"/>
  <c r="H1510" i="35"/>
  <c r="I1510" i="35"/>
  <c r="K1510" i="35"/>
  <c r="L1510" i="35"/>
  <c r="Q1510" i="35"/>
  <c r="R1510" i="35"/>
  <c r="S1510" i="35"/>
  <c r="U1510" i="35"/>
  <c r="X1510" i="35"/>
  <c r="Y1510" i="35"/>
  <c r="AE1510" i="35"/>
  <c r="F1511" i="35"/>
  <c r="AD1511" i="35" s="1"/>
  <c r="AF1511" i="35" s="1"/>
  <c r="AG1511" i="35" s="1"/>
  <c r="G1511" i="35"/>
  <c r="H1511" i="35"/>
  <c r="I1511" i="35"/>
  <c r="K1511" i="35"/>
  <c r="L1511" i="35"/>
  <c r="Q1511" i="35"/>
  <c r="R1511" i="35"/>
  <c r="S1511" i="35"/>
  <c r="U1511" i="35"/>
  <c r="X1511" i="35"/>
  <c r="Y1511" i="35"/>
  <c r="AE1511" i="35"/>
  <c r="F1512" i="35"/>
  <c r="AD1512" i="35" s="1"/>
  <c r="AF1512" i="35" s="1"/>
  <c r="AG1512" i="35" s="1"/>
  <c r="G1512" i="35"/>
  <c r="H1512" i="35"/>
  <c r="I1512" i="35"/>
  <c r="K1512" i="35"/>
  <c r="L1512" i="35"/>
  <c r="Q1512" i="35"/>
  <c r="R1512" i="35"/>
  <c r="S1512" i="35"/>
  <c r="U1512" i="35"/>
  <c r="X1512" i="35"/>
  <c r="Y1512" i="35"/>
  <c r="AE1512" i="35"/>
  <c r="F1513" i="35"/>
  <c r="AD1513" i="35" s="1"/>
  <c r="AF1513" i="35" s="1"/>
  <c r="AG1513" i="35" s="1"/>
  <c r="G1513" i="35"/>
  <c r="H1513" i="35"/>
  <c r="I1513" i="35"/>
  <c r="K1513" i="35"/>
  <c r="L1513" i="35"/>
  <c r="Q1513" i="35"/>
  <c r="R1513" i="35"/>
  <c r="S1513" i="35"/>
  <c r="U1513" i="35"/>
  <c r="X1513" i="35"/>
  <c r="Y1513" i="35"/>
  <c r="AE1513" i="35"/>
  <c r="F1514" i="35"/>
  <c r="AD1514" i="35" s="1"/>
  <c r="AF1514" i="35" s="1"/>
  <c r="AG1514" i="35" s="1"/>
  <c r="G1514" i="35"/>
  <c r="H1514" i="35"/>
  <c r="I1514" i="35"/>
  <c r="K1514" i="35"/>
  <c r="L1514" i="35"/>
  <c r="Q1514" i="35"/>
  <c r="R1514" i="35"/>
  <c r="S1514" i="35"/>
  <c r="U1514" i="35"/>
  <c r="X1514" i="35"/>
  <c r="Y1514" i="35"/>
  <c r="AE1514" i="35"/>
  <c r="F1515" i="35"/>
  <c r="AD1515" i="35" s="1"/>
  <c r="AF1515" i="35" s="1"/>
  <c r="AG1515" i="35" s="1"/>
  <c r="G1515" i="35"/>
  <c r="H1515" i="35"/>
  <c r="I1515" i="35"/>
  <c r="K1515" i="35"/>
  <c r="L1515" i="35"/>
  <c r="Q1515" i="35"/>
  <c r="R1515" i="35"/>
  <c r="S1515" i="35"/>
  <c r="U1515" i="35"/>
  <c r="X1515" i="35"/>
  <c r="Y1515" i="35"/>
  <c r="AE1515" i="35"/>
  <c r="F1516" i="35"/>
  <c r="AD1516" i="35" s="1"/>
  <c r="AF1516" i="35" s="1"/>
  <c r="AG1516" i="35" s="1"/>
  <c r="G1516" i="35"/>
  <c r="H1516" i="35"/>
  <c r="I1516" i="35"/>
  <c r="K1516" i="35"/>
  <c r="L1516" i="35"/>
  <c r="Q1516" i="35"/>
  <c r="R1516" i="35"/>
  <c r="S1516" i="35"/>
  <c r="U1516" i="35"/>
  <c r="X1516" i="35"/>
  <c r="Y1516" i="35"/>
  <c r="AE1516" i="35"/>
  <c r="F1517" i="35"/>
  <c r="AD1517" i="35" s="1"/>
  <c r="AF1517" i="35" s="1"/>
  <c r="AG1517" i="35" s="1"/>
  <c r="G1517" i="35"/>
  <c r="H1517" i="35"/>
  <c r="I1517" i="35"/>
  <c r="K1517" i="35"/>
  <c r="L1517" i="35"/>
  <c r="Q1517" i="35"/>
  <c r="R1517" i="35"/>
  <c r="S1517" i="35"/>
  <c r="U1517" i="35"/>
  <c r="X1517" i="35"/>
  <c r="Y1517" i="35"/>
  <c r="AE1517" i="35"/>
  <c r="F1518" i="35"/>
  <c r="AD1518" i="35" s="1"/>
  <c r="AF1518" i="35" s="1"/>
  <c r="AG1518" i="35" s="1"/>
  <c r="G1518" i="35"/>
  <c r="H1518" i="35"/>
  <c r="I1518" i="35"/>
  <c r="K1518" i="35"/>
  <c r="L1518" i="35"/>
  <c r="Q1518" i="35"/>
  <c r="R1518" i="35"/>
  <c r="S1518" i="35"/>
  <c r="U1518" i="35"/>
  <c r="X1518" i="35"/>
  <c r="Y1518" i="35"/>
  <c r="AE1518" i="35"/>
  <c r="F1519" i="35"/>
  <c r="AD1519" i="35" s="1"/>
  <c r="AF1519" i="35" s="1"/>
  <c r="AG1519" i="35" s="1"/>
  <c r="G1519" i="35"/>
  <c r="H1519" i="35"/>
  <c r="I1519" i="35"/>
  <c r="K1519" i="35"/>
  <c r="L1519" i="35"/>
  <c r="Q1519" i="35"/>
  <c r="R1519" i="35"/>
  <c r="S1519" i="35"/>
  <c r="U1519" i="35"/>
  <c r="X1519" i="35"/>
  <c r="Y1519" i="35"/>
  <c r="AE1519" i="35"/>
  <c r="F1520" i="35"/>
  <c r="AD1520" i="35" s="1"/>
  <c r="AF1520" i="35" s="1"/>
  <c r="AG1520" i="35" s="1"/>
  <c r="G1520" i="35"/>
  <c r="H1520" i="35"/>
  <c r="I1520" i="35"/>
  <c r="K1520" i="35"/>
  <c r="L1520" i="35"/>
  <c r="Q1520" i="35"/>
  <c r="R1520" i="35"/>
  <c r="S1520" i="35"/>
  <c r="U1520" i="35"/>
  <c r="X1520" i="35"/>
  <c r="Y1520" i="35"/>
  <c r="AE1520" i="35"/>
  <c r="F1521" i="35"/>
  <c r="AD1521" i="35" s="1"/>
  <c r="AF1521" i="35" s="1"/>
  <c r="AG1521" i="35" s="1"/>
  <c r="G1521" i="35"/>
  <c r="H1521" i="35"/>
  <c r="I1521" i="35"/>
  <c r="K1521" i="35"/>
  <c r="L1521" i="35"/>
  <c r="Q1521" i="35"/>
  <c r="R1521" i="35"/>
  <c r="S1521" i="35"/>
  <c r="U1521" i="35"/>
  <c r="X1521" i="35"/>
  <c r="Y1521" i="35"/>
  <c r="AE1521" i="35"/>
  <c r="F1522" i="35"/>
  <c r="AD1522" i="35" s="1"/>
  <c r="AF1522" i="35" s="1"/>
  <c r="AG1522" i="35" s="1"/>
  <c r="G1522" i="35"/>
  <c r="H1522" i="35"/>
  <c r="I1522" i="35"/>
  <c r="K1522" i="35"/>
  <c r="L1522" i="35"/>
  <c r="Q1522" i="35"/>
  <c r="R1522" i="35"/>
  <c r="S1522" i="35"/>
  <c r="U1522" i="35"/>
  <c r="X1522" i="35"/>
  <c r="Y1522" i="35"/>
  <c r="AE1522" i="35"/>
  <c r="F1523" i="35"/>
  <c r="AD1523" i="35" s="1"/>
  <c r="AF1523" i="35" s="1"/>
  <c r="AG1523" i="35" s="1"/>
  <c r="G1523" i="35"/>
  <c r="H1523" i="35"/>
  <c r="I1523" i="35"/>
  <c r="K1523" i="35"/>
  <c r="L1523" i="35"/>
  <c r="Q1523" i="35"/>
  <c r="R1523" i="35"/>
  <c r="S1523" i="35"/>
  <c r="U1523" i="35"/>
  <c r="X1523" i="35"/>
  <c r="Y1523" i="35"/>
  <c r="AE1523" i="35"/>
  <c r="F1524" i="35"/>
  <c r="AD1524" i="35" s="1"/>
  <c r="AF1524" i="35" s="1"/>
  <c r="AG1524" i="35" s="1"/>
  <c r="G1524" i="35"/>
  <c r="H1524" i="35"/>
  <c r="I1524" i="35"/>
  <c r="K1524" i="35"/>
  <c r="L1524" i="35"/>
  <c r="Q1524" i="35"/>
  <c r="R1524" i="35"/>
  <c r="S1524" i="35"/>
  <c r="U1524" i="35"/>
  <c r="X1524" i="35"/>
  <c r="Y1524" i="35"/>
  <c r="AE1524" i="35"/>
  <c r="F1525" i="35"/>
  <c r="AD1525" i="35" s="1"/>
  <c r="AF1525" i="35" s="1"/>
  <c r="AG1525" i="35" s="1"/>
  <c r="G1525" i="35"/>
  <c r="H1525" i="35"/>
  <c r="I1525" i="35"/>
  <c r="K1525" i="35"/>
  <c r="L1525" i="35"/>
  <c r="Q1525" i="35"/>
  <c r="R1525" i="35"/>
  <c r="S1525" i="35"/>
  <c r="U1525" i="35"/>
  <c r="X1525" i="35"/>
  <c r="Y1525" i="35"/>
  <c r="AE1525" i="35"/>
  <c r="F1526" i="35"/>
  <c r="AD1526" i="35" s="1"/>
  <c r="AF1526" i="35" s="1"/>
  <c r="AG1526" i="35" s="1"/>
  <c r="G1526" i="35"/>
  <c r="H1526" i="35"/>
  <c r="I1526" i="35"/>
  <c r="K1526" i="35"/>
  <c r="L1526" i="35"/>
  <c r="Q1526" i="35"/>
  <c r="R1526" i="35"/>
  <c r="S1526" i="35"/>
  <c r="U1526" i="35"/>
  <c r="X1526" i="35"/>
  <c r="Y1526" i="35"/>
  <c r="AE1526" i="35"/>
  <c r="F1527" i="35"/>
  <c r="AD1527" i="35" s="1"/>
  <c r="AF1527" i="35" s="1"/>
  <c r="AG1527" i="35" s="1"/>
  <c r="G1527" i="35"/>
  <c r="H1527" i="35"/>
  <c r="I1527" i="35"/>
  <c r="K1527" i="35"/>
  <c r="L1527" i="35"/>
  <c r="Q1527" i="35"/>
  <c r="R1527" i="35"/>
  <c r="S1527" i="35"/>
  <c r="U1527" i="35"/>
  <c r="X1527" i="35"/>
  <c r="Y1527" i="35"/>
  <c r="AE1527" i="35"/>
  <c r="F1528" i="35"/>
  <c r="AD1528" i="35" s="1"/>
  <c r="AF1528" i="35" s="1"/>
  <c r="AG1528" i="35" s="1"/>
  <c r="G1528" i="35"/>
  <c r="H1528" i="35"/>
  <c r="I1528" i="35"/>
  <c r="K1528" i="35"/>
  <c r="L1528" i="35"/>
  <c r="Q1528" i="35"/>
  <c r="R1528" i="35"/>
  <c r="S1528" i="35"/>
  <c r="U1528" i="35"/>
  <c r="X1528" i="35"/>
  <c r="Y1528" i="35"/>
  <c r="AE1528" i="35"/>
  <c r="F1529" i="35"/>
  <c r="AD1529" i="35" s="1"/>
  <c r="AF1529" i="35" s="1"/>
  <c r="AG1529" i="35" s="1"/>
  <c r="G1529" i="35"/>
  <c r="H1529" i="35"/>
  <c r="I1529" i="35"/>
  <c r="K1529" i="35"/>
  <c r="L1529" i="35"/>
  <c r="Q1529" i="35"/>
  <c r="R1529" i="35"/>
  <c r="S1529" i="35"/>
  <c r="U1529" i="35"/>
  <c r="X1529" i="35"/>
  <c r="Y1529" i="35"/>
  <c r="AE1529" i="35"/>
  <c r="F1530" i="35"/>
  <c r="AD1530" i="35" s="1"/>
  <c r="AF1530" i="35" s="1"/>
  <c r="AG1530" i="35" s="1"/>
  <c r="G1530" i="35"/>
  <c r="H1530" i="35"/>
  <c r="I1530" i="35"/>
  <c r="K1530" i="35"/>
  <c r="L1530" i="35"/>
  <c r="Q1530" i="35"/>
  <c r="R1530" i="35"/>
  <c r="S1530" i="35"/>
  <c r="U1530" i="35"/>
  <c r="X1530" i="35"/>
  <c r="Y1530" i="35"/>
  <c r="AE1530" i="35"/>
  <c r="F1531" i="35"/>
  <c r="AD1531" i="35" s="1"/>
  <c r="AF1531" i="35" s="1"/>
  <c r="AG1531" i="35" s="1"/>
  <c r="G1531" i="35"/>
  <c r="H1531" i="35"/>
  <c r="I1531" i="35"/>
  <c r="K1531" i="35"/>
  <c r="L1531" i="35"/>
  <c r="Q1531" i="35"/>
  <c r="R1531" i="35"/>
  <c r="S1531" i="35"/>
  <c r="U1531" i="35"/>
  <c r="X1531" i="35"/>
  <c r="Y1531" i="35"/>
  <c r="AE1531" i="35"/>
  <c r="F1532" i="35"/>
  <c r="AD1532" i="35" s="1"/>
  <c r="AF1532" i="35" s="1"/>
  <c r="AG1532" i="35" s="1"/>
  <c r="G1532" i="35"/>
  <c r="H1532" i="35"/>
  <c r="I1532" i="35"/>
  <c r="K1532" i="35"/>
  <c r="L1532" i="35"/>
  <c r="Q1532" i="35"/>
  <c r="R1532" i="35"/>
  <c r="S1532" i="35"/>
  <c r="U1532" i="35"/>
  <c r="X1532" i="35"/>
  <c r="Y1532" i="35"/>
  <c r="AE1532" i="35"/>
  <c r="F1533" i="35"/>
  <c r="AD1533" i="35" s="1"/>
  <c r="AF1533" i="35" s="1"/>
  <c r="AG1533" i="35" s="1"/>
  <c r="G1533" i="35"/>
  <c r="H1533" i="35"/>
  <c r="I1533" i="35"/>
  <c r="K1533" i="35"/>
  <c r="L1533" i="35"/>
  <c r="Q1533" i="35"/>
  <c r="R1533" i="35"/>
  <c r="S1533" i="35"/>
  <c r="U1533" i="35"/>
  <c r="X1533" i="35"/>
  <c r="Y1533" i="35"/>
  <c r="AE1533" i="35"/>
  <c r="F1534" i="35"/>
  <c r="AD1534" i="35" s="1"/>
  <c r="AF1534" i="35" s="1"/>
  <c r="AG1534" i="35" s="1"/>
  <c r="G1534" i="35"/>
  <c r="H1534" i="35"/>
  <c r="I1534" i="35"/>
  <c r="K1534" i="35"/>
  <c r="L1534" i="35"/>
  <c r="Q1534" i="35"/>
  <c r="R1534" i="35"/>
  <c r="S1534" i="35"/>
  <c r="U1534" i="35"/>
  <c r="X1534" i="35"/>
  <c r="Y1534" i="35"/>
  <c r="AE1534" i="35"/>
  <c r="F1535" i="35"/>
  <c r="AD1535" i="35" s="1"/>
  <c r="AF1535" i="35" s="1"/>
  <c r="AG1535" i="35" s="1"/>
  <c r="G1535" i="35"/>
  <c r="H1535" i="35"/>
  <c r="I1535" i="35"/>
  <c r="K1535" i="35"/>
  <c r="L1535" i="35"/>
  <c r="Q1535" i="35"/>
  <c r="R1535" i="35"/>
  <c r="S1535" i="35"/>
  <c r="U1535" i="35"/>
  <c r="X1535" i="35"/>
  <c r="Y1535" i="35"/>
  <c r="AE1535" i="35"/>
  <c r="F1536" i="35"/>
  <c r="AD1536" i="35" s="1"/>
  <c r="AF1536" i="35" s="1"/>
  <c r="AG1536" i="35" s="1"/>
  <c r="G1536" i="35"/>
  <c r="H1536" i="35"/>
  <c r="I1536" i="35"/>
  <c r="K1536" i="35"/>
  <c r="L1536" i="35"/>
  <c r="Q1536" i="35"/>
  <c r="R1536" i="35"/>
  <c r="S1536" i="35"/>
  <c r="U1536" i="35"/>
  <c r="X1536" i="35"/>
  <c r="Y1536" i="35"/>
  <c r="AE1536" i="35"/>
  <c r="F1537" i="35"/>
  <c r="G1537" i="35"/>
  <c r="H1537" i="35"/>
  <c r="I1537" i="35"/>
  <c r="K1537" i="35"/>
  <c r="L1537" i="35"/>
  <c r="Q1537" i="35"/>
  <c r="R1537" i="35"/>
  <c r="S1537" i="35"/>
  <c r="U1537" i="35"/>
  <c r="X1537" i="35"/>
  <c r="Y1537" i="35"/>
  <c r="AE1537" i="35"/>
  <c r="F1538" i="35"/>
  <c r="AD1538" i="35" s="1"/>
  <c r="AF1538" i="35" s="1"/>
  <c r="AG1538" i="35" s="1"/>
  <c r="G1538" i="35"/>
  <c r="H1538" i="35"/>
  <c r="I1538" i="35"/>
  <c r="K1538" i="35"/>
  <c r="L1538" i="35"/>
  <c r="Q1538" i="35"/>
  <c r="R1538" i="35"/>
  <c r="S1538" i="35"/>
  <c r="U1538" i="35"/>
  <c r="X1538" i="35"/>
  <c r="Y1538" i="35"/>
  <c r="AE1538" i="35"/>
  <c r="F1539" i="35"/>
  <c r="AD1539" i="35" s="1"/>
  <c r="AF1539" i="35" s="1"/>
  <c r="AG1539" i="35" s="1"/>
  <c r="G1539" i="35"/>
  <c r="H1539" i="35"/>
  <c r="I1539" i="35"/>
  <c r="K1539" i="35"/>
  <c r="L1539" i="35"/>
  <c r="Q1539" i="35"/>
  <c r="R1539" i="35"/>
  <c r="S1539" i="35"/>
  <c r="U1539" i="35"/>
  <c r="X1539" i="35"/>
  <c r="Y1539" i="35"/>
  <c r="AE1539" i="35"/>
  <c r="F1540" i="35"/>
  <c r="AD1540" i="35" s="1"/>
  <c r="AF1540" i="35" s="1"/>
  <c r="AG1540" i="35" s="1"/>
  <c r="G1540" i="35"/>
  <c r="H1540" i="35"/>
  <c r="I1540" i="35"/>
  <c r="K1540" i="35"/>
  <c r="L1540" i="35"/>
  <c r="Q1540" i="35"/>
  <c r="R1540" i="35"/>
  <c r="S1540" i="35"/>
  <c r="U1540" i="35"/>
  <c r="X1540" i="35"/>
  <c r="Y1540" i="35"/>
  <c r="AE1540" i="35"/>
  <c r="F1541" i="35"/>
  <c r="AD1541" i="35" s="1"/>
  <c r="AF1541" i="35" s="1"/>
  <c r="AG1541" i="35" s="1"/>
  <c r="G1541" i="35"/>
  <c r="H1541" i="35"/>
  <c r="I1541" i="35"/>
  <c r="K1541" i="35"/>
  <c r="L1541" i="35"/>
  <c r="Q1541" i="35"/>
  <c r="R1541" i="35"/>
  <c r="S1541" i="35"/>
  <c r="U1541" i="35"/>
  <c r="X1541" i="35"/>
  <c r="Y1541" i="35"/>
  <c r="AE1541" i="35"/>
  <c r="F1542" i="35"/>
  <c r="AD1542" i="35" s="1"/>
  <c r="AF1542" i="35" s="1"/>
  <c r="AG1542" i="35" s="1"/>
  <c r="G1542" i="35"/>
  <c r="H1542" i="35"/>
  <c r="I1542" i="35"/>
  <c r="K1542" i="35"/>
  <c r="L1542" i="35"/>
  <c r="Q1542" i="35"/>
  <c r="R1542" i="35"/>
  <c r="S1542" i="35"/>
  <c r="U1542" i="35"/>
  <c r="X1542" i="35"/>
  <c r="Y1542" i="35"/>
  <c r="AE1542" i="35"/>
  <c r="F1543" i="35"/>
  <c r="AD1543" i="35" s="1"/>
  <c r="AF1543" i="35" s="1"/>
  <c r="AG1543" i="35" s="1"/>
  <c r="G1543" i="35"/>
  <c r="H1543" i="35"/>
  <c r="I1543" i="35"/>
  <c r="K1543" i="35"/>
  <c r="L1543" i="35"/>
  <c r="Q1543" i="35"/>
  <c r="R1543" i="35"/>
  <c r="S1543" i="35"/>
  <c r="U1543" i="35"/>
  <c r="X1543" i="35"/>
  <c r="Y1543" i="35"/>
  <c r="AE1543" i="35"/>
  <c r="F1544" i="35"/>
  <c r="AD1544" i="35" s="1"/>
  <c r="AF1544" i="35" s="1"/>
  <c r="AG1544" i="35" s="1"/>
  <c r="G1544" i="35"/>
  <c r="H1544" i="35"/>
  <c r="I1544" i="35"/>
  <c r="K1544" i="35"/>
  <c r="L1544" i="35"/>
  <c r="Q1544" i="35"/>
  <c r="R1544" i="35"/>
  <c r="S1544" i="35"/>
  <c r="U1544" i="35"/>
  <c r="X1544" i="35"/>
  <c r="Y1544" i="35"/>
  <c r="AE1544" i="35"/>
  <c r="F1545" i="35"/>
  <c r="AD1545" i="35" s="1"/>
  <c r="AF1545" i="35" s="1"/>
  <c r="AG1545" i="35" s="1"/>
  <c r="G1545" i="35"/>
  <c r="H1545" i="35"/>
  <c r="I1545" i="35"/>
  <c r="K1545" i="35"/>
  <c r="L1545" i="35"/>
  <c r="Q1545" i="35"/>
  <c r="R1545" i="35"/>
  <c r="S1545" i="35"/>
  <c r="U1545" i="35"/>
  <c r="X1545" i="35"/>
  <c r="Y1545" i="35"/>
  <c r="AE1545" i="35"/>
  <c r="F1546" i="35"/>
  <c r="AD1546" i="35" s="1"/>
  <c r="AF1546" i="35" s="1"/>
  <c r="AG1546" i="35" s="1"/>
  <c r="G1546" i="35"/>
  <c r="H1546" i="35"/>
  <c r="I1546" i="35"/>
  <c r="K1546" i="35"/>
  <c r="L1546" i="35"/>
  <c r="Q1546" i="35"/>
  <c r="R1546" i="35"/>
  <c r="S1546" i="35"/>
  <c r="U1546" i="35"/>
  <c r="X1546" i="35"/>
  <c r="Y1546" i="35"/>
  <c r="AE1546" i="35"/>
  <c r="F1547" i="35"/>
  <c r="AD1547" i="35" s="1"/>
  <c r="AF1547" i="35" s="1"/>
  <c r="AG1547" i="35" s="1"/>
  <c r="G1547" i="35"/>
  <c r="H1547" i="35"/>
  <c r="I1547" i="35"/>
  <c r="K1547" i="35"/>
  <c r="L1547" i="35"/>
  <c r="Q1547" i="35"/>
  <c r="R1547" i="35"/>
  <c r="S1547" i="35"/>
  <c r="U1547" i="35"/>
  <c r="X1547" i="35"/>
  <c r="Y1547" i="35"/>
  <c r="AE1547" i="35"/>
  <c r="F1548" i="35"/>
  <c r="AD1548" i="35" s="1"/>
  <c r="AF1548" i="35" s="1"/>
  <c r="AG1548" i="35" s="1"/>
  <c r="G1548" i="35"/>
  <c r="H1548" i="35"/>
  <c r="I1548" i="35"/>
  <c r="K1548" i="35"/>
  <c r="L1548" i="35"/>
  <c r="Q1548" i="35"/>
  <c r="R1548" i="35"/>
  <c r="S1548" i="35"/>
  <c r="U1548" i="35"/>
  <c r="X1548" i="35"/>
  <c r="Y1548" i="35"/>
  <c r="AE1548" i="35"/>
  <c r="F1549" i="35"/>
  <c r="AD1549" i="35" s="1"/>
  <c r="AF1549" i="35" s="1"/>
  <c r="AG1549" i="35" s="1"/>
  <c r="G1549" i="35"/>
  <c r="H1549" i="35"/>
  <c r="I1549" i="35"/>
  <c r="K1549" i="35"/>
  <c r="L1549" i="35"/>
  <c r="Q1549" i="35"/>
  <c r="R1549" i="35"/>
  <c r="S1549" i="35"/>
  <c r="U1549" i="35"/>
  <c r="X1549" i="35"/>
  <c r="Y1549" i="35"/>
  <c r="AE1549" i="35"/>
  <c r="F1550" i="35"/>
  <c r="AD1550" i="35" s="1"/>
  <c r="AF1550" i="35" s="1"/>
  <c r="AG1550" i="35" s="1"/>
  <c r="G1550" i="35"/>
  <c r="H1550" i="35"/>
  <c r="I1550" i="35"/>
  <c r="K1550" i="35"/>
  <c r="L1550" i="35"/>
  <c r="Q1550" i="35"/>
  <c r="R1550" i="35"/>
  <c r="S1550" i="35"/>
  <c r="U1550" i="35"/>
  <c r="X1550" i="35"/>
  <c r="Y1550" i="35"/>
  <c r="AE1550" i="35"/>
  <c r="F1551" i="35"/>
  <c r="AD1551" i="35" s="1"/>
  <c r="AF1551" i="35" s="1"/>
  <c r="AG1551" i="35" s="1"/>
  <c r="G1551" i="35"/>
  <c r="H1551" i="35"/>
  <c r="I1551" i="35"/>
  <c r="K1551" i="35"/>
  <c r="L1551" i="35"/>
  <c r="Q1551" i="35"/>
  <c r="R1551" i="35"/>
  <c r="S1551" i="35"/>
  <c r="U1551" i="35"/>
  <c r="X1551" i="35"/>
  <c r="Y1551" i="35"/>
  <c r="AE1551" i="35"/>
  <c r="F1552" i="35"/>
  <c r="AD1552" i="35" s="1"/>
  <c r="AF1552" i="35" s="1"/>
  <c r="AG1552" i="35" s="1"/>
  <c r="G1552" i="35"/>
  <c r="H1552" i="35"/>
  <c r="I1552" i="35"/>
  <c r="K1552" i="35"/>
  <c r="L1552" i="35"/>
  <c r="Q1552" i="35"/>
  <c r="R1552" i="35"/>
  <c r="S1552" i="35"/>
  <c r="U1552" i="35"/>
  <c r="X1552" i="35"/>
  <c r="Y1552" i="35"/>
  <c r="AE1552" i="35"/>
  <c r="F1553" i="35"/>
  <c r="AD1553" i="35" s="1"/>
  <c r="AF1553" i="35" s="1"/>
  <c r="AG1553" i="35" s="1"/>
  <c r="G1553" i="35"/>
  <c r="H1553" i="35"/>
  <c r="I1553" i="35"/>
  <c r="K1553" i="35"/>
  <c r="L1553" i="35"/>
  <c r="Q1553" i="35"/>
  <c r="R1553" i="35"/>
  <c r="S1553" i="35"/>
  <c r="U1553" i="35"/>
  <c r="X1553" i="35"/>
  <c r="Y1553" i="35"/>
  <c r="AE1553" i="35"/>
  <c r="F1554" i="35"/>
  <c r="AD1554" i="35" s="1"/>
  <c r="AF1554" i="35" s="1"/>
  <c r="AG1554" i="35" s="1"/>
  <c r="G1554" i="35"/>
  <c r="H1554" i="35"/>
  <c r="I1554" i="35"/>
  <c r="K1554" i="35"/>
  <c r="L1554" i="35"/>
  <c r="Q1554" i="35"/>
  <c r="R1554" i="35"/>
  <c r="S1554" i="35"/>
  <c r="U1554" i="35"/>
  <c r="X1554" i="35"/>
  <c r="Y1554" i="35"/>
  <c r="AE1554" i="35"/>
  <c r="H1395" i="35" l="1"/>
  <c r="I1443" i="35"/>
  <c r="G1443" i="35"/>
  <c r="L1449" i="35"/>
  <c r="H1435" i="35"/>
  <c r="L1447" i="35"/>
  <c r="G1405" i="35"/>
  <c r="I1447" i="35"/>
  <c r="G1447" i="35"/>
  <c r="L1451" i="35"/>
  <c r="I1451" i="35"/>
  <c r="G1451" i="35"/>
  <c r="I1449" i="35"/>
  <c r="I1431" i="35"/>
  <c r="H1431" i="35"/>
  <c r="G1407" i="35"/>
  <c r="L1443" i="35"/>
  <c r="L1445" i="35"/>
  <c r="H1449" i="35"/>
  <c r="L1441" i="35"/>
  <c r="I1445" i="35"/>
  <c r="H1445" i="35"/>
  <c r="I1441" i="35"/>
  <c r="H1441" i="35"/>
  <c r="AD1451" i="35"/>
  <c r="AF1451" i="35" s="1"/>
  <c r="AG1451" i="35" s="1"/>
  <c r="G1403" i="35"/>
  <c r="H1391" i="35"/>
  <c r="AD1449" i="35"/>
  <c r="AF1449" i="35" s="1"/>
  <c r="AG1449" i="35" s="1"/>
  <c r="AD1447" i="35"/>
  <c r="AF1447" i="35" s="1"/>
  <c r="AG1447" i="35" s="1"/>
  <c r="AD1435" i="35"/>
  <c r="AF1435" i="35" s="1"/>
  <c r="AG1435" i="35" s="1"/>
  <c r="AD1441" i="35"/>
  <c r="AF1441" i="35" s="1"/>
  <c r="AG1441" i="35" s="1"/>
  <c r="L1431" i="35"/>
  <c r="L1435" i="35"/>
  <c r="I1435" i="35"/>
  <c r="H1401" i="35"/>
  <c r="AD1431" i="35"/>
  <c r="AF1431" i="35" s="1"/>
  <c r="AG1431" i="35" s="1"/>
  <c r="L1403" i="35"/>
  <c r="L1401" i="35"/>
  <c r="L1399" i="35"/>
  <c r="I1405" i="35"/>
  <c r="I1403" i="35"/>
  <c r="H1407" i="35"/>
  <c r="I1401" i="35"/>
  <c r="I1399" i="35"/>
  <c r="H1399" i="35"/>
  <c r="L1383" i="35"/>
  <c r="L1395" i="35"/>
  <c r="L1405" i="35"/>
  <c r="AD1381" i="35"/>
  <c r="AF1381" i="35" s="1"/>
  <c r="AG1381" i="35" s="1"/>
  <c r="G1383" i="35"/>
  <c r="L1377" i="35"/>
  <c r="L1379" i="35"/>
  <c r="I1395" i="35"/>
  <c r="I1383" i="35"/>
  <c r="I1381" i="35"/>
  <c r="I1379" i="35"/>
  <c r="I1377" i="35"/>
  <c r="L1391" i="35"/>
  <c r="H1383" i="35"/>
  <c r="H1381" i="35"/>
  <c r="H1379" i="35"/>
  <c r="H1377" i="35"/>
  <c r="G1381" i="35"/>
  <c r="L1407" i="35"/>
  <c r="AD1403" i="35"/>
  <c r="AF1403" i="35" s="1"/>
  <c r="AG1403" i="35" s="1"/>
  <c r="AD1399" i="35"/>
  <c r="AF1399" i="35" s="1"/>
  <c r="AG1399" i="35" s="1"/>
  <c r="L1397" i="35"/>
  <c r="I1397" i="35"/>
  <c r="H1397" i="35"/>
  <c r="G1397" i="35"/>
  <c r="AD1395" i="35"/>
  <c r="AF1395" i="35" s="1"/>
  <c r="AG1395" i="35" s="1"/>
  <c r="AD1391" i="35"/>
  <c r="AF1391" i="35" s="1"/>
  <c r="AG1391" i="35" s="1"/>
  <c r="AD1385" i="35"/>
  <c r="AF1385" i="35" s="1"/>
  <c r="AG1385" i="35" s="1"/>
  <c r="I1385" i="35"/>
  <c r="H1385" i="35"/>
  <c r="L1385" i="35"/>
  <c r="L1381" i="35"/>
  <c r="G1739" i="33"/>
  <c r="H1739" i="33"/>
  <c r="I1739" i="33"/>
  <c r="H1287" i="35"/>
  <c r="I1287" i="35"/>
  <c r="G1287" i="35"/>
  <c r="I1677" i="33"/>
  <c r="G1677" i="33"/>
  <c r="H1677" i="33"/>
  <c r="I1297" i="35"/>
  <c r="I1301" i="35"/>
  <c r="G1301" i="35"/>
  <c r="G1297" i="35"/>
  <c r="H1301" i="35"/>
  <c r="H1297" i="35"/>
  <c r="G1299" i="35"/>
  <c r="I1299" i="35"/>
  <c r="H1299" i="35"/>
  <c r="I1662" i="33"/>
  <c r="G1662" i="33"/>
  <c r="H1662" i="33"/>
  <c r="I1735" i="33"/>
  <c r="I1724" i="33"/>
  <c r="G1720" i="33"/>
  <c r="G1722" i="33"/>
  <c r="G1731" i="33"/>
  <c r="G1737" i="33"/>
  <c r="I1731" i="33"/>
  <c r="G1730" i="33"/>
  <c r="H1726" i="33"/>
  <c r="H1720" i="33"/>
  <c r="H1737" i="33"/>
  <c r="I1726" i="33"/>
  <c r="G1714" i="33"/>
  <c r="G1716" i="33"/>
  <c r="H1733" i="33"/>
  <c r="I1737" i="33"/>
  <c r="G1718" i="33"/>
  <c r="I1722" i="33"/>
  <c r="G1735" i="33"/>
  <c r="H1735" i="33"/>
  <c r="H1722" i="33"/>
  <c r="I1714" i="33"/>
  <c r="G1733" i="33"/>
  <c r="H1718" i="33"/>
  <c r="H1714" i="33"/>
  <c r="I1718" i="33"/>
  <c r="H1730" i="33"/>
  <c r="H1716" i="33"/>
  <c r="G1724" i="33"/>
  <c r="H1728" i="33"/>
  <c r="I1730" i="33"/>
  <c r="I1720" i="33"/>
  <c r="I1716" i="33"/>
  <c r="I1728" i="33"/>
  <c r="I1733" i="33"/>
  <c r="H1731" i="33"/>
  <c r="H1724" i="33"/>
  <c r="G1726" i="33"/>
  <c r="G1728" i="33"/>
  <c r="G1337" i="35"/>
  <c r="G1343" i="35"/>
  <c r="G1327" i="35"/>
  <c r="G1311" i="35"/>
  <c r="H1309" i="35"/>
  <c r="G1305" i="35"/>
  <c r="I1295" i="35"/>
  <c r="I1305" i="35"/>
  <c r="I1329" i="35"/>
  <c r="I1321" i="35"/>
  <c r="H1313" i="35"/>
  <c r="I1319" i="35"/>
  <c r="G1329" i="35"/>
  <c r="I1341" i="35"/>
  <c r="H1343" i="35"/>
  <c r="H1327" i="35"/>
  <c r="I1313" i="35"/>
  <c r="H1305" i="35"/>
  <c r="I1309" i="35"/>
  <c r="H1293" i="35"/>
  <c r="G1303" i="35"/>
  <c r="H1341" i="35"/>
  <c r="G1309" i="35"/>
  <c r="G1339" i="35"/>
  <c r="H1335" i="35"/>
  <c r="G1323" i="35"/>
  <c r="I1311" i="35"/>
  <c r="I1327" i="35"/>
  <c r="G1295" i="35"/>
  <c r="G1307" i="35"/>
  <c r="G1325" i="35"/>
  <c r="G1313" i="35"/>
  <c r="I1323" i="35"/>
  <c r="H1303" i="35"/>
  <c r="G1341" i="35"/>
  <c r="I1339" i="35"/>
  <c r="H1339" i="35"/>
  <c r="I1335" i="35"/>
  <c r="I1303" i="35"/>
  <c r="G1319" i="35"/>
  <c r="G1335" i="35"/>
  <c r="H1323" i="35"/>
  <c r="H1311" i="35"/>
  <c r="H1307" i="35"/>
  <c r="I1293" i="35"/>
  <c r="I1325" i="35"/>
  <c r="G1321" i="35"/>
  <c r="I1343" i="35"/>
  <c r="H1337" i="35"/>
  <c r="H1319" i="35"/>
  <c r="I1337" i="35"/>
  <c r="H1329" i="35"/>
  <c r="H1321" i="35"/>
  <c r="H1325" i="35"/>
  <c r="G1293" i="35"/>
  <c r="I1307" i="35"/>
  <c r="H1295" i="35"/>
  <c r="H1654" i="33"/>
  <c r="I1695" i="33"/>
  <c r="H1691" i="33"/>
  <c r="G1695" i="33"/>
  <c r="G1654" i="33"/>
  <c r="I1660" i="33"/>
  <c r="H1693" i="33"/>
  <c r="H1695" i="33"/>
  <c r="G1664" i="33"/>
  <c r="G1660" i="33"/>
  <c r="H1660" i="33"/>
  <c r="I1656" i="33"/>
  <c r="I1687" i="33"/>
  <c r="G1685" i="33"/>
  <c r="G1683" i="33"/>
  <c r="G1666" i="33"/>
  <c r="H1689" i="33"/>
  <c r="I1696" i="33"/>
  <c r="I1664" i="33"/>
  <c r="G1693" i="33"/>
  <c r="I1666" i="33"/>
  <c r="I1683" i="33"/>
  <c r="G1687" i="33"/>
  <c r="G1672" i="33"/>
  <c r="I1672" i="33"/>
  <c r="H1685" i="33"/>
  <c r="H1683" i="33"/>
  <c r="I1654" i="33"/>
  <c r="I1693" i="33"/>
  <c r="G1658" i="33"/>
  <c r="I1685" i="33"/>
  <c r="H1656" i="33"/>
  <c r="G1689" i="33"/>
  <c r="H1658" i="33"/>
  <c r="H1666" i="33"/>
  <c r="H1672" i="33"/>
  <c r="G1691" i="33"/>
  <c r="G1696" i="33"/>
  <c r="H1696" i="33"/>
  <c r="H1687" i="33"/>
  <c r="I1691" i="33"/>
  <c r="H1664" i="33"/>
  <c r="G1656" i="33"/>
  <c r="I1658" i="33"/>
  <c r="I1689" i="33"/>
  <c r="H1702" i="33"/>
  <c r="G1702" i="33"/>
  <c r="I1702" i="33"/>
  <c r="I1670" i="33"/>
  <c r="G1670" i="33"/>
  <c r="H1670" i="33"/>
  <c r="I1700" i="33"/>
  <c r="G1700" i="33"/>
  <c r="H1700" i="33"/>
  <c r="I1652" i="33"/>
  <c r="H1652" i="33"/>
  <c r="G1652" i="33"/>
  <c r="H1668" i="33"/>
  <c r="I1698" i="33"/>
  <c r="G1698" i="33"/>
  <c r="H1650" i="33"/>
  <c r="I1650" i="33"/>
  <c r="G1650" i="33"/>
  <c r="G1668" i="33"/>
  <c r="I1668" i="33"/>
  <c r="H1698" i="33"/>
  <c r="H1595" i="33"/>
  <c r="G1271" i="35"/>
  <c r="H1271" i="35"/>
  <c r="I1271" i="35"/>
  <c r="G1596" i="33"/>
  <c r="H1596" i="33"/>
  <c r="H1270" i="35"/>
  <c r="G1270" i="35"/>
  <c r="I1270" i="35"/>
  <c r="I1595" i="33"/>
  <c r="I1596" i="33"/>
  <c r="G1595" i="33"/>
  <c r="H1273" i="35"/>
  <c r="I1273" i="35"/>
  <c r="G1273" i="35"/>
  <c r="I1277" i="35"/>
  <c r="G1277" i="35"/>
  <c r="H1277" i="35"/>
  <c r="I1268" i="35"/>
  <c r="G1268" i="35"/>
  <c r="H1268" i="35"/>
  <c r="AD1275" i="35"/>
  <c r="I1281" i="35"/>
  <c r="G1275" i="35"/>
  <c r="G1285" i="35"/>
  <c r="AD1397" i="35"/>
  <c r="AF1397" i="35" s="1"/>
  <c r="AG1397" i="35" s="1"/>
  <c r="H1281" i="35"/>
  <c r="AD1504" i="35"/>
  <c r="AF1504" i="35" s="1"/>
  <c r="AG1504" i="35" s="1"/>
  <c r="AD1405" i="35"/>
  <c r="AF1405" i="35" s="1"/>
  <c r="AG1405" i="35" s="1"/>
  <c r="AD1379" i="35"/>
  <c r="AF1379" i="35" s="1"/>
  <c r="AG1379" i="35" s="1"/>
  <c r="H1285" i="35"/>
  <c r="G1281" i="35"/>
  <c r="AD1502" i="35"/>
  <c r="AF1502" i="35" s="1"/>
  <c r="AG1502" i="35" s="1"/>
  <c r="AD1537" i="35"/>
  <c r="AF1537" i="35" s="1"/>
  <c r="AG1537" i="35" s="1"/>
  <c r="AD1506" i="35"/>
  <c r="AF1506" i="35" s="1"/>
  <c r="AG1506" i="35" s="1"/>
  <c r="AD1445" i="35"/>
  <c r="AF1445" i="35" s="1"/>
  <c r="AG1445" i="35" s="1"/>
  <c r="AD1401" i="35"/>
  <c r="AF1401" i="35" s="1"/>
  <c r="AG1401" i="35" s="1"/>
  <c r="AD1383" i="35"/>
  <c r="AF1383" i="35" s="1"/>
  <c r="AG1383" i="35" s="1"/>
  <c r="AD1279" i="35"/>
  <c r="I1279" i="35"/>
  <c r="AD1285" i="35"/>
  <c r="H1279" i="35"/>
  <c r="I1283" i="35"/>
  <c r="H1283" i="35"/>
  <c r="W1282" i="35"/>
  <c r="I1285" i="35"/>
  <c r="G1283" i="35"/>
  <c r="AD1282" i="35"/>
  <c r="AF1282" i="35" s="1"/>
  <c r="AG1282" i="35" s="1"/>
  <c r="AD1281" i="35"/>
  <c r="G1279" i="35"/>
  <c r="I1275" i="35"/>
  <c r="H1275" i="35"/>
  <c r="AD1507" i="35"/>
  <c r="AF1507" i="35" s="1"/>
  <c r="AG1507" i="35" s="1"/>
  <c r="AD1443" i="35"/>
  <c r="AF1443" i="35" s="1"/>
  <c r="AG1443" i="35" s="1"/>
  <c r="AD1407" i="35"/>
  <c r="AF1407" i="35" s="1"/>
  <c r="AG1407" i="35" s="1"/>
  <c r="AD1377" i="35"/>
  <c r="AF1377" i="35" s="1"/>
  <c r="AG1377" i="35" s="1"/>
  <c r="AD1283" i="35"/>
  <c r="F1642" i="33"/>
  <c r="Y1254" i="35"/>
  <c r="X1254" i="35"/>
  <c r="W1254" i="35"/>
  <c r="V1254" i="35"/>
  <c r="U1254" i="35"/>
  <c r="S1254" i="35"/>
  <c r="R1254" i="35"/>
  <c r="Q1254" i="35"/>
  <c r="K1254" i="35"/>
  <c r="F1254" i="35"/>
  <c r="Y1252" i="35"/>
  <c r="X1252" i="35"/>
  <c r="W1252" i="35"/>
  <c r="V1252" i="35"/>
  <c r="U1252" i="35"/>
  <c r="S1252" i="35"/>
  <c r="R1252" i="35"/>
  <c r="Q1252" i="35"/>
  <c r="K1252" i="35"/>
  <c r="F1252" i="35"/>
  <c r="AG1457" i="35" l="1"/>
  <c r="V1287" i="35"/>
  <c r="W1287" i="35"/>
  <c r="AB1677" i="33"/>
  <c r="W1301" i="35"/>
  <c r="W1299" i="35"/>
  <c r="V1299" i="35"/>
  <c r="V1297" i="35"/>
  <c r="V1301" i="35"/>
  <c r="W1297" i="35"/>
  <c r="AB1662" i="33"/>
  <c r="AB1737" i="33"/>
  <c r="W1728" i="33"/>
  <c r="W1716" i="33"/>
  <c r="X1718" i="33"/>
  <c r="W1733" i="33"/>
  <c r="X1716" i="33"/>
  <c r="W1722" i="33"/>
  <c r="X1737" i="33"/>
  <c r="X1735" i="33"/>
  <c r="W1730" i="33"/>
  <c r="X1720" i="33"/>
  <c r="W1731" i="33"/>
  <c r="W1714" i="33"/>
  <c r="X1714" i="33"/>
  <c r="X1731" i="33"/>
  <c r="X1728" i="33"/>
  <c r="X1722" i="33"/>
  <c r="X1733" i="33"/>
  <c r="W1735" i="33"/>
  <c r="X1726" i="33"/>
  <c r="W1720" i="33"/>
  <c r="W1726" i="33"/>
  <c r="W1737" i="33"/>
  <c r="W1724" i="33"/>
  <c r="X1730" i="33"/>
  <c r="X1724" i="33"/>
  <c r="W1718" i="33"/>
  <c r="V1339" i="35"/>
  <c r="V1335" i="35"/>
  <c r="W1323" i="35"/>
  <c r="W1321" i="35"/>
  <c r="V1311" i="35"/>
  <c r="W1325" i="35"/>
  <c r="W1319" i="35"/>
  <c r="V1293" i="35"/>
  <c r="W1303" i="35"/>
  <c r="V1295" i="35"/>
  <c r="W1339" i="35"/>
  <c r="W1335" i="35"/>
  <c r="W1307" i="35"/>
  <c r="W1309" i="35"/>
  <c r="V1309" i="35"/>
  <c r="V1321" i="35"/>
  <c r="V1319" i="35"/>
  <c r="V1303" i="35"/>
  <c r="V1337" i="35"/>
  <c r="W1337" i="35"/>
  <c r="V1341" i="35"/>
  <c r="V1327" i="35"/>
  <c r="V1343" i="35"/>
  <c r="V1305" i="35"/>
  <c r="W1305" i="35"/>
  <c r="W1341" i="35"/>
  <c r="W1327" i="35"/>
  <c r="W1343" i="35"/>
  <c r="W1311" i="35"/>
  <c r="V1313" i="35"/>
  <c r="W1313" i="35"/>
  <c r="V1307" i="35"/>
  <c r="W1293" i="35"/>
  <c r="V1329" i="35"/>
  <c r="V1325" i="35"/>
  <c r="W1329" i="35"/>
  <c r="W1295" i="35"/>
  <c r="V1323" i="35"/>
  <c r="AB1660" i="33"/>
  <c r="AB1666" i="33"/>
  <c r="AB1664" i="33"/>
  <c r="AB1689" i="33"/>
  <c r="AB1695" i="33"/>
  <c r="AB1658" i="33"/>
  <c r="AB1654" i="33"/>
  <c r="AB1693" i="33"/>
  <c r="AB1691" i="33"/>
  <c r="AB1685" i="33"/>
  <c r="AB1683" i="33"/>
  <c r="AB1672" i="33"/>
  <c r="AB1687" i="33"/>
  <c r="AB1656" i="33"/>
  <c r="AB1702" i="33"/>
  <c r="AB1670" i="33"/>
  <c r="AB1700" i="33"/>
  <c r="L1739" i="33"/>
  <c r="L1287" i="35"/>
  <c r="L1677" i="33"/>
  <c r="L1301" i="35"/>
  <c r="L1297" i="35"/>
  <c r="L1299" i="35"/>
  <c r="L1662" i="33"/>
  <c r="L1733" i="33"/>
  <c r="L1728" i="33"/>
  <c r="L1731" i="33"/>
  <c r="L1724" i="33"/>
  <c r="L1722" i="33"/>
  <c r="L1737" i="33"/>
  <c r="L1726" i="33"/>
  <c r="L1735" i="33"/>
  <c r="L1720" i="33"/>
  <c r="L1730" i="33"/>
  <c r="L1718" i="33"/>
  <c r="L1716" i="33"/>
  <c r="L1714" i="33"/>
  <c r="L1323" i="35"/>
  <c r="L1319" i="35"/>
  <c r="L1341" i="35"/>
  <c r="L1293" i="35"/>
  <c r="L1313" i="35"/>
  <c r="L1329" i="35"/>
  <c r="L1307" i="35"/>
  <c r="L1311" i="35"/>
  <c r="L1295" i="35"/>
  <c r="L1305" i="35"/>
  <c r="L1327" i="35"/>
  <c r="L1325" i="35"/>
  <c r="L1343" i="35"/>
  <c r="L1339" i="35"/>
  <c r="L1337" i="35"/>
  <c r="L1335" i="35"/>
  <c r="L1303" i="35"/>
  <c r="L1321" i="35"/>
  <c r="L1309" i="35"/>
  <c r="L1696" i="33"/>
  <c r="L1664" i="33"/>
  <c r="L1660" i="33"/>
  <c r="L1691" i="33"/>
  <c r="L1666" i="33"/>
  <c r="L1672" i="33"/>
  <c r="L1654" i="33"/>
  <c r="L1695" i="33"/>
  <c r="L1689" i="33"/>
  <c r="L1693" i="33"/>
  <c r="L1685" i="33"/>
  <c r="L1687" i="33"/>
  <c r="L1656" i="33"/>
  <c r="L1658" i="33"/>
  <c r="L1683" i="33"/>
  <c r="L1702" i="33"/>
  <c r="L1670" i="33"/>
  <c r="L1700" i="33"/>
  <c r="AE1230" i="35"/>
  <c r="AF1648" i="33" l="1"/>
  <c r="V1648" i="33"/>
  <c r="T1648" i="33"/>
  <c r="Z1648" i="33" s="1"/>
  <c r="S1648" i="33"/>
  <c r="R1648" i="33"/>
  <c r="K1648" i="33"/>
  <c r="F1648" i="33"/>
  <c r="AF1646" i="33"/>
  <c r="V1646" i="33"/>
  <c r="T1646" i="33"/>
  <c r="Z1646" i="33" s="1"/>
  <c r="S1646" i="33"/>
  <c r="R1646" i="33"/>
  <c r="K1646" i="33"/>
  <c r="F1646" i="33"/>
  <c r="AF1644" i="33"/>
  <c r="V1644" i="33"/>
  <c r="T1644" i="33"/>
  <c r="Y1644" i="33" s="1"/>
  <c r="S1644" i="33"/>
  <c r="R1644" i="33"/>
  <c r="K1644" i="33"/>
  <c r="F1644" i="33"/>
  <c r="AF1642" i="33"/>
  <c r="V1642" i="33"/>
  <c r="T1642" i="33"/>
  <c r="X1642" i="33" s="1"/>
  <c r="S1642" i="33"/>
  <c r="R1642" i="33"/>
  <c r="K1642" i="33"/>
  <c r="AF1636" i="33"/>
  <c r="V1636" i="33"/>
  <c r="T1636" i="33"/>
  <c r="Z1636" i="33" s="1"/>
  <c r="S1636" i="33"/>
  <c r="R1636" i="33"/>
  <c r="K1636" i="33"/>
  <c r="F1636" i="33"/>
  <c r="AF1634" i="33"/>
  <c r="V1634" i="33"/>
  <c r="T1634" i="33"/>
  <c r="X1634" i="33" s="1"/>
  <c r="S1634" i="33"/>
  <c r="R1634" i="33"/>
  <c r="K1634" i="33"/>
  <c r="F1634" i="33"/>
  <c r="AF1630" i="33"/>
  <c r="V1630" i="33"/>
  <c r="T1630" i="33"/>
  <c r="X1630" i="33" s="1"/>
  <c r="S1630" i="33"/>
  <c r="R1630" i="33"/>
  <c r="K1630" i="33"/>
  <c r="F1630" i="33"/>
  <c r="AF1628" i="33"/>
  <c r="V1628" i="33"/>
  <c r="T1628" i="33"/>
  <c r="X1628" i="33" s="1"/>
  <c r="S1628" i="33"/>
  <c r="R1628" i="33"/>
  <c r="K1628" i="33"/>
  <c r="F1628" i="33"/>
  <c r="W1648" i="33" l="1"/>
  <c r="X1648" i="33"/>
  <c r="Y1646" i="33"/>
  <c r="X1646" i="33"/>
  <c r="Y1648" i="33"/>
  <c r="W1646" i="33"/>
  <c r="W1644" i="33"/>
  <c r="X1644" i="33"/>
  <c r="Z1644" i="33"/>
  <c r="Y1642" i="33"/>
  <c r="Z1642" i="33"/>
  <c r="W1642" i="33"/>
  <c r="Y1634" i="33"/>
  <c r="Z1634" i="33"/>
  <c r="W1636" i="33"/>
  <c r="X1636" i="33"/>
  <c r="Y1636" i="33"/>
  <c r="W1634" i="33"/>
  <c r="Y1630" i="33"/>
  <c r="Z1630" i="33"/>
  <c r="W1630" i="33"/>
  <c r="Y1628" i="33"/>
  <c r="Z1628" i="33"/>
  <c r="W1628" i="33"/>
  <c r="AF1626" i="33"/>
  <c r="V1626" i="33"/>
  <c r="T1626" i="33"/>
  <c r="Z1626" i="33" s="1"/>
  <c r="S1626" i="33"/>
  <c r="R1626" i="33"/>
  <c r="K1626" i="33"/>
  <c r="F1626" i="33"/>
  <c r="AF1624" i="33"/>
  <c r="V1624" i="33"/>
  <c r="T1624" i="33"/>
  <c r="Z1624" i="33" s="1"/>
  <c r="S1624" i="33"/>
  <c r="R1624" i="33"/>
  <c r="K1624" i="33"/>
  <c r="F1624" i="33"/>
  <c r="AF1622" i="33"/>
  <c r="V1622" i="33"/>
  <c r="T1622" i="33"/>
  <c r="Y1622" i="33" s="1"/>
  <c r="S1622" i="33"/>
  <c r="R1622" i="33"/>
  <c r="K1622" i="33"/>
  <c r="F1622" i="33"/>
  <c r="AF1614" i="33"/>
  <c r="V1614" i="33"/>
  <c r="T1614" i="33"/>
  <c r="Z1614" i="33" s="1"/>
  <c r="S1614" i="33"/>
  <c r="R1614" i="33"/>
  <c r="K1614" i="33"/>
  <c r="F1614" i="33"/>
  <c r="AF1612" i="33"/>
  <c r="V1612" i="33"/>
  <c r="T1612" i="33"/>
  <c r="W1612" i="33" s="1"/>
  <c r="S1612" i="33"/>
  <c r="R1612" i="33"/>
  <c r="K1612" i="33"/>
  <c r="F1612" i="33"/>
  <c r="AF1610" i="33"/>
  <c r="V1610" i="33"/>
  <c r="T1610" i="33"/>
  <c r="Z1610" i="33" s="1"/>
  <c r="S1610" i="33"/>
  <c r="R1610" i="33"/>
  <c r="K1610" i="33"/>
  <c r="F1610" i="33"/>
  <c r="AF1608" i="33"/>
  <c r="V1608" i="33"/>
  <c r="T1608" i="33"/>
  <c r="Z1608" i="33" s="1"/>
  <c r="S1608" i="33"/>
  <c r="R1608" i="33"/>
  <c r="K1608" i="33"/>
  <c r="F1608" i="33"/>
  <c r="AF1606" i="33"/>
  <c r="V1606" i="33"/>
  <c r="T1606" i="33"/>
  <c r="X1606" i="33" s="1"/>
  <c r="S1606" i="33"/>
  <c r="R1606" i="33"/>
  <c r="K1606" i="33"/>
  <c r="F1606" i="33"/>
  <c r="AF1604" i="33"/>
  <c r="V1604" i="33"/>
  <c r="T1604" i="33"/>
  <c r="X1604" i="33" s="1"/>
  <c r="S1604" i="33"/>
  <c r="R1604" i="33"/>
  <c r="K1604" i="33"/>
  <c r="F1604" i="33"/>
  <c r="AF1602" i="33"/>
  <c r="V1602" i="33"/>
  <c r="T1602" i="33"/>
  <c r="Z1602" i="33" s="1"/>
  <c r="S1602" i="33"/>
  <c r="R1602" i="33"/>
  <c r="K1602" i="33"/>
  <c r="F1602" i="33"/>
  <c r="AF1600" i="33"/>
  <c r="V1600" i="33"/>
  <c r="T1600" i="33"/>
  <c r="Z1600" i="33" s="1"/>
  <c r="S1600" i="33"/>
  <c r="R1600" i="33"/>
  <c r="K1600" i="33"/>
  <c r="F1600" i="33"/>
  <c r="AF1598" i="33"/>
  <c r="V1598" i="33"/>
  <c r="T1598" i="33"/>
  <c r="W1598" i="33" s="1"/>
  <c r="S1598" i="33"/>
  <c r="R1598" i="33"/>
  <c r="K1598" i="33"/>
  <c r="F1598" i="33"/>
  <c r="AE1228" i="35"/>
  <c r="AF1593" i="33"/>
  <c r="V1593" i="33"/>
  <c r="T1593" i="33"/>
  <c r="X1593" i="33" s="1"/>
  <c r="S1593" i="33"/>
  <c r="R1593" i="33"/>
  <c r="K1593" i="33"/>
  <c r="F1593" i="33"/>
  <c r="W1626" i="33" l="1"/>
  <c r="X1626" i="33"/>
  <c r="Y1626" i="33"/>
  <c r="Y1624" i="33"/>
  <c r="W1624" i="33"/>
  <c r="X1624" i="33"/>
  <c r="Z1622" i="33"/>
  <c r="W1622" i="33"/>
  <c r="X1622" i="33"/>
  <c r="W1614" i="33"/>
  <c r="X1614" i="33"/>
  <c r="Y1614" i="33"/>
  <c r="X1612" i="33"/>
  <c r="Z1612" i="33"/>
  <c r="Y1612" i="33"/>
  <c r="W1610" i="33"/>
  <c r="X1610" i="33"/>
  <c r="Y1610" i="33"/>
  <c r="W1608" i="33"/>
  <c r="X1608" i="33"/>
  <c r="Y1608" i="33"/>
  <c r="Z1606" i="33"/>
  <c r="Y1606" i="33"/>
  <c r="W1606" i="33"/>
  <c r="Y1604" i="33"/>
  <c r="Z1604" i="33"/>
  <c r="W1604" i="33"/>
  <c r="W1602" i="33"/>
  <c r="X1602" i="33"/>
  <c r="Y1602" i="33"/>
  <c r="X1600" i="33"/>
  <c r="Y1600" i="33"/>
  <c r="W1600" i="33"/>
  <c r="Y1598" i="33"/>
  <c r="Z1598" i="33"/>
  <c r="X1598" i="33"/>
  <c r="Y1593" i="33"/>
  <c r="Z1593" i="33"/>
  <c r="W1593" i="33"/>
  <c r="AE1156" i="35" l="1"/>
  <c r="X1156" i="35"/>
  <c r="U1156" i="35"/>
  <c r="S1156" i="35"/>
  <c r="R1156" i="35"/>
  <c r="Q1156" i="35"/>
  <c r="K1156" i="35"/>
  <c r="F1156" i="35"/>
  <c r="AE1154" i="35"/>
  <c r="X1154" i="35"/>
  <c r="U1154" i="35"/>
  <c r="S1154" i="35"/>
  <c r="R1154" i="35"/>
  <c r="Q1154" i="35"/>
  <c r="K1154" i="35"/>
  <c r="F1154" i="35"/>
  <c r="AE1128" i="35"/>
  <c r="Y1128" i="35"/>
  <c r="X1128" i="35"/>
  <c r="U1128" i="35"/>
  <c r="S1128" i="35"/>
  <c r="R1128" i="35"/>
  <c r="Q1128" i="35"/>
  <c r="K1128" i="35"/>
  <c r="F1128" i="35"/>
  <c r="AE1158" i="35"/>
  <c r="X1158" i="35"/>
  <c r="U1158" i="35"/>
  <c r="S1158" i="35"/>
  <c r="R1158" i="35"/>
  <c r="Q1158" i="35"/>
  <c r="K1158" i="35"/>
  <c r="F1158" i="35"/>
  <c r="AE1148" i="35"/>
  <c r="X1148" i="35"/>
  <c r="U1148" i="35"/>
  <c r="S1148" i="35"/>
  <c r="R1148" i="35"/>
  <c r="Q1148" i="35"/>
  <c r="K1148" i="35"/>
  <c r="F1148" i="35"/>
  <c r="H1254" i="35" l="1"/>
  <c r="I1642" i="33"/>
  <c r="H1642" i="33"/>
  <c r="H1252" i="35"/>
  <c r="I1252" i="35"/>
  <c r="G1254" i="35"/>
  <c r="I1254" i="35"/>
  <c r="G1642" i="33"/>
  <c r="G1252" i="35"/>
  <c r="H1634" i="33"/>
  <c r="G1648" i="33"/>
  <c r="I1634" i="33"/>
  <c r="H1630" i="33"/>
  <c r="G1636" i="33"/>
  <c r="I1636" i="33"/>
  <c r="I1644" i="33"/>
  <c r="G1634" i="33"/>
  <c r="I1628" i="33"/>
  <c r="I1630" i="33"/>
  <c r="G1630" i="33"/>
  <c r="G1646" i="33"/>
  <c r="I1648" i="33"/>
  <c r="H1648" i="33"/>
  <c r="H1646" i="33"/>
  <c r="G1628" i="33"/>
  <c r="H1636" i="33"/>
  <c r="I1646" i="33"/>
  <c r="G1644" i="33"/>
  <c r="H1628" i="33"/>
  <c r="H1644" i="33"/>
  <c r="I1604" i="33"/>
  <c r="H1608" i="33"/>
  <c r="H1614" i="33"/>
  <c r="I1598" i="33"/>
  <c r="G1614" i="33"/>
  <c r="I1593" i="33"/>
  <c r="I1610" i="33"/>
  <c r="H1610" i="33"/>
  <c r="I1602" i="33"/>
  <c r="I1624" i="33"/>
  <c r="I1626" i="33"/>
  <c r="I1608" i="33"/>
  <c r="G1610" i="33"/>
  <c r="H1606" i="33"/>
  <c r="H1626" i="33"/>
  <c r="G1626" i="33"/>
  <c r="G1624" i="33"/>
  <c r="G1593" i="33"/>
  <c r="H1624" i="33"/>
  <c r="I1612" i="33"/>
  <c r="G1606" i="33"/>
  <c r="G1598" i="33"/>
  <c r="I1614" i="33"/>
  <c r="G1602" i="33"/>
  <c r="H1593" i="33"/>
  <c r="I1606" i="33"/>
  <c r="G1622" i="33"/>
  <c r="G1612" i="33"/>
  <c r="G1608" i="33"/>
  <c r="H1602" i="33"/>
  <c r="G1600" i="33"/>
  <c r="H1622" i="33"/>
  <c r="H1612" i="33"/>
  <c r="G1604" i="33"/>
  <c r="H1600" i="33"/>
  <c r="H1598" i="33"/>
  <c r="I1622" i="33"/>
  <c r="I1600" i="33"/>
  <c r="H1604" i="33"/>
  <c r="AD1156" i="35"/>
  <c r="AD1154" i="35"/>
  <c r="AD1128" i="35"/>
  <c r="AD1158" i="35"/>
  <c r="AD1148" i="35"/>
  <c r="AB1652" i="33" l="1"/>
  <c r="L1652" i="33"/>
  <c r="AB1698" i="33"/>
  <c r="AB1650" i="33"/>
  <c r="AB1668" i="33"/>
  <c r="L1698" i="33"/>
  <c r="L1650" i="33"/>
  <c r="L1668" i="33"/>
  <c r="W1270" i="35"/>
  <c r="V1270" i="35"/>
  <c r="AB1595" i="33"/>
  <c r="V1273" i="35"/>
  <c r="W1273" i="35"/>
  <c r="L1596" i="33"/>
  <c r="L1595" i="33"/>
  <c r="L1271" i="35"/>
  <c r="L1270" i="35"/>
  <c r="L1273" i="35"/>
  <c r="V1277" i="35"/>
  <c r="W1277" i="35"/>
  <c r="L1277" i="35"/>
  <c r="W1268" i="35"/>
  <c r="V1268" i="35"/>
  <c r="L1268" i="35"/>
  <c r="V1391" i="35"/>
  <c r="V1510" i="35"/>
  <c r="W1391" i="35"/>
  <c r="V1449" i="35"/>
  <c r="V1525" i="35"/>
  <c r="V1431" i="35"/>
  <c r="V1513" i="35"/>
  <c r="W1445" i="35"/>
  <c r="W1279" i="35"/>
  <c r="W1542" i="35"/>
  <c r="W1518" i="35"/>
  <c r="W1553" i="35"/>
  <c r="W1529" i="35"/>
  <c r="V1538" i="35"/>
  <c r="W1407" i="35"/>
  <c r="V1528" i="35"/>
  <c r="V1403" i="35"/>
  <c r="V1441" i="35"/>
  <c r="W1397" i="35"/>
  <c r="W1508" i="35"/>
  <c r="W1538" i="35"/>
  <c r="W1525" i="35"/>
  <c r="W1447" i="35"/>
  <c r="V1508" i="35"/>
  <c r="V1521" i="35"/>
  <c r="W1451" i="35"/>
  <c r="W1506" i="35"/>
  <c r="W1403" i="35"/>
  <c r="V1547" i="35"/>
  <c r="W1501" i="35"/>
  <c r="W1532" i="35"/>
  <c r="W1543" i="35"/>
  <c r="W1519" i="35"/>
  <c r="V1514" i="35"/>
  <c r="V1554" i="35"/>
  <c r="W1377" i="35"/>
  <c r="W1283" i="35"/>
  <c r="W1435" i="35"/>
  <c r="V1285" i="35"/>
  <c r="V1553" i="35"/>
  <c r="V1545" i="35"/>
  <c r="V1447" i="35"/>
  <c r="W1541" i="35"/>
  <c r="V1533" i="35"/>
  <c r="W1552" i="35"/>
  <c r="W1539" i="35"/>
  <c r="V1379" i="35"/>
  <c r="W1502" i="35"/>
  <c r="V1509" i="35"/>
  <c r="V1512" i="35"/>
  <c r="W1395" i="35"/>
  <c r="W1540" i="35"/>
  <c r="W1516" i="35"/>
  <c r="W1551" i="35"/>
  <c r="W1527" i="35"/>
  <c r="V1534" i="35"/>
  <c r="V1524" i="35"/>
  <c r="W1514" i="35"/>
  <c r="W1549" i="35"/>
  <c r="V1530" i="35"/>
  <c r="V1399" i="35"/>
  <c r="V1520" i="35"/>
  <c r="V1506" i="35"/>
  <c r="W1512" i="35"/>
  <c r="V1443" i="35"/>
  <c r="V1283" i="35"/>
  <c r="W1536" i="35"/>
  <c r="W1547" i="35"/>
  <c r="W1523" i="35"/>
  <c r="V1526" i="35"/>
  <c r="W1285" i="35"/>
  <c r="V1518" i="35"/>
  <c r="W1503" i="35"/>
  <c r="W1505" i="35"/>
  <c r="W1405" i="35"/>
  <c r="V1541" i="35"/>
  <c r="V1549" i="35"/>
  <c r="V1381" i="35"/>
  <c r="W1534" i="35"/>
  <c r="W1545" i="35"/>
  <c r="W1521" i="35"/>
  <c r="V1522" i="35"/>
  <c r="V1395" i="35"/>
  <c r="V1516" i="35"/>
  <c r="V1281" i="35"/>
  <c r="V1551" i="35"/>
  <c r="W1554" i="35"/>
  <c r="W1530" i="35"/>
  <c r="W1517" i="35"/>
  <c r="W1443" i="35"/>
  <c r="V1552" i="35"/>
  <c r="V1377" i="35"/>
  <c r="V1543" i="35"/>
  <c r="W1528" i="35"/>
  <c r="W1515" i="35"/>
  <c r="V1511" i="35"/>
  <c r="V1548" i="35"/>
  <c r="W1381" i="35"/>
  <c r="V1504" i="35"/>
  <c r="W1281" i="35"/>
  <c r="W1509" i="35"/>
  <c r="W1441" i="35"/>
  <c r="V1401" i="35"/>
  <c r="V1451" i="35"/>
  <c r="V1502" i="35"/>
  <c r="V1535" i="35"/>
  <c r="V1385" i="35"/>
  <c r="W1385" i="35"/>
  <c r="V1527" i="35"/>
  <c r="V1503" i="35"/>
  <c r="V1435" i="35"/>
  <c r="W1399" i="35"/>
  <c r="V1523" i="35"/>
  <c r="V1531" i="35"/>
  <c r="V1383" i="35"/>
  <c r="V1519" i="35"/>
  <c r="W1550" i="35"/>
  <c r="W1537" i="35"/>
  <c r="V1501" i="35"/>
  <c r="V1507" i="35"/>
  <c r="W1449" i="35"/>
  <c r="V1517" i="35"/>
  <c r="V1407" i="35"/>
  <c r="W1513" i="35"/>
  <c r="W1504" i="35"/>
  <c r="W1383" i="35"/>
  <c r="W1524" i="35"/>
  <c r="V1550" i="35"/>
  <c r="V1540" i="35"/>
  <c r="V1542" i="35"/>
  <c r="V1532" i="35"/>
  <c r="W1510" i="35"/>
  <c r="W1401" i="35"/>
  <c r="V1275" i="35"/>
  <c r="W1431" i="35"/>
  <c r="V1529" i="35"/>
  <c r="W1548" i="35"/>
  <c r="W1535" i="35"/>
  <c r="V1279" i="35"/>
  <c r="V1505" i="35"/>
  <c r="V1515" i="35"/>
  <c r="W1511" i="35"/>
  <c r="W1544" i="35"/>
  <c r="W1531" i="35"/>
  <c r="W1507" i="35"/>
  <c r="V1397" i="35"/>
  <c r="V1445" i="35"/>
  <c r="W1526" i="35"/>
  <c r="V1544" i="35"/>
  <c r="V1405" i="35"/>
  <c r="V1546" i="35"/>
  <c r="V1537" i="35"/>
  <c r="W1546" i="35"/>
  <c r="W1533" i="35"/>
  <c r="W1275" i="35"/>
  <c r="W1522" i="35"/>
  <c r="V1536" i="35"/>
  <c r="V1539" i="35"/>
  <c r="W1520" i="35"/>
  <c r="L1285" i="35"/>
  <c r="L1279" i="35"/>
  <c r="L1281" i="35"/>
  <c r="L1275" i="35"/>
  <c r="L1283" i="35"/>
  <c r="AE1124" i="35"/>
  <c r="Y1124" i="35"/>
  <c r="X1124" i="35"/>
  <c r="U1124" i="35"/>
  <c r="S1124" i="35"/>
  <c r="R1124" i="35"/>
  <c r="Q1124" i="35"/>
  <c r="K1124" i="35"/>
  <c r="F1124" i="35"/>
  <c r="AD1124" i="35" l="1"/>
  <c r="G1128" i="35" l="1"/>
  <c r="G1158" i="35"/>
  <c r="H1148" i="35"/>
  <c r="H1158" i="35"/>
  <c r="H1154" i="35"/>
  <c r="G1154" i="35"/>
  <c r="I1158" i="35"/>
  <c r="I1128" i="35"/>
  <c r="I1148" i="35"/>
  <c r="H1128" i="35"/>
  <c r="G1156" i="35"/>
  <c r="G1148" i="35"/>
  <c r="I1154" i="35"/>
  <c r="H1156" i="35"/>
  <c r="I1156" i="35"/>
  <c r="I1124" i="35"/>
  <c r="G1124" i="35"/>
  <c r="H1124" i="35"/>
  <c r="AE1126" i="35"/>
  <c r="Y1126" i="35"/>
  <c r="X1126" i="35"/>
  <c r="U1126" i="35"/>
  <c r="S1126" i="35"/>
  <c r="R1126" i="35"/>
  <c r="Q1126" i="35"/>
  <c r="K1126" i="35"/>
  <c r="F1126" i="35"/>
  <c r="AE1116" i="35"/>
  <c r="Y1116" i="35"/>
  <c r="X1116" i="35"/>
  <c r="U1116" i="35"/>
  <c r="S1116" i="35"/>
  <c r="R1116" i="35"/>
  <c r="Q1116" i="35"/>
  <c r="K1116" i="35"/>
  <c r="F1116" i="35"/>
  <c r="AE1114" i="35"/>
  <c r="Y1114" i="35"/>
  <c r="X1114" i="35"/>
  <c r="U1114" i="35"/>
  <c r="S1114" i="35"/>
  <c r="R1114" i="35"/>
  <c r="Q1114" i="35"/>
  <c r="K1114" i="35"/>
  <c r="F1114" i="35"/>
  <c r="AE1112" i="35"/>
  <c r="Y1112" i="35"/>
  <c r="X1112" i="35"/>
  <c r="U1112" i="35"/>
  <c r="S1112" i="35"/>
  <c r="R1112" i="35"/>
  <c r="Q1112" i="35"/>
  <c r="K1112" i="35"/>
  <c r="F1112" i="35"/>
  <c r="AE1104" i="35"/>
  <c r="Y1104" i="35"/>
  <c r="X1104" i="35"/>
  <c r="U1104" i="35"/>
  <c r="S1104" i="35"/>
  <c r="R1104" i="35"/>
  <c r="Q1104" i="35"/>
  <c r="K1104" i="35"/>
  <c r="F1104" i="35"/>
  <c r="AE1106" i="35"/>
  <c r="Y1106" i="35"/>
  <c r="X1106" i="35"/>
  <c r="U1106" i="35"/>
  <c r="S1106" i="35"/>
  <c r="R1106" i="35"/>
  <c r="Q1106" i="35"/>
  <c r="K1106" i="35"/>
  <c r="F1106" i="35"/>
  <c r="L1252" i="35" l="1"/>
  <c r="L1254" i="35"/>
  <c r="AB1642" i="33"/>
  <c r="AB1644" i="33"/>
  <c r="AB1646" i="33"/>
  <c r="AB1636" i="33"/>
  <c r="AB1628" i="33"/>
  <c r="AB1648" i="33"/>
  <c r="AB1630" i="33"/>
  <c r="AB1634" i="33"/>
  <c r="AB1602" i="33"/>
  <c r="AB1622" i="33"/>
  <c r="AB1614" i="33"/>
  <c r="AB1604" i="33"/>
  <c r="AB1600" i="33"/>
  <c r="AA1228" i="35"/>
  <c r="AB1612" i="33"/>
  <c r="AB1610" i="33"/>
  <c r="AB1606" i="33"/>
  <c r="AB1624" i="33"/>
  <c r="AB1593" i="33"/>
  <c r="AB1598" i="33"/>
  <c r="AB1608" i="33"/>
  <c r="L1646" i="33"/>
  <c r="L1630" i="33"/>
  <c r="L1644" i="33"/>
  <c r="L1634" i="33"/>
  <c r="L1628" i="33"/>
  <c r="L1648" i="33"/>
  <c r="L1642" i="33"/>
  <c r="L1636" i="33"/>
  <c r="L1600" i="33"/>
  <c r="L1622" i="33"/>
  <c r="L1626" i="33"/>
  <c r="L1624" i="33"/>
  <c r="L1614" i="33"/>
  <c r="L1606" i="33"/>
  <c r="L1602" i="33"/>
  <c r="L1593" i="33"/>
  <c r="L1598" i="33"/>
  <c r="L1612" i="33"/>
  <c r="L1608" i="33"/>
  <c r="L1610" i="33"/>
  <c r="L1604" i="33"/>
  <c r="W1154" i="35"/>
  <c r="V1158" i="35"/>
  <c r="W1148" i="35"/>
  <c r="V1156" i="35"/>
  <c r="W1128" i="35"/>
  <c r="V1128" i="35"/>
  <c r="V1154" i="35"/>
  <c r="W1158" i="35"/>
  <c r="W1156" i="35"/>
  <c r="V1148" i="35"/>
  <c r="W1124" i="35"/>
  <c r="V1124" i="35"/>
  <c r="L1154" i="35"/>
  <c r="L1158" i="35"/>
  <c r="L1156" i="35"/>
  <c r="L1148" i="35"/>
  <c r="L1128" i="35"/>
  <c r="L1124" i="35"/>
  <c r="AD1126" i="35"/>
  <c r="AD1116" i="35"/>
  <c r="AD1114" i="35"/>
  <c r="AD1112" i="35"/>
  <c r="AD1104" i="35"/>
  <c r="AD1106" i="35"/>
  <c r="AE1084" i="35" l="1"/>
  <c r="Y1084" i="35"/>
  <c r="X1084" i="35"/>
  <c r="U1084" i="35"/>
  <c r="S1084" i="35"/>
  <c r="R1084" i="35"/>
  <c r="Q1084" i="35"/>
  <c r="K1084" i="35"/>
  <c r="F1084" i="35"/>
  <c r="AE1082" i="35"/>
  <c r="Y1082" i="35"/>
  <c r="X1082" i="35"/>
  <c r="U1082" i="35"/>
  <c r="S1082" i="35"/>
  <c r="R1082" i="35"/>
  <c r="Q1082" i="35"/>
  <c r="K1082" i="35"/>
  <c r="F1082" i="35"/>
  <c r="AD1084" i="35" l="1"/>
  <c r="AD1082" i="35"/>
  <c r="AE1098" i="35" l="1"/>
  <c r="Y1098" i="35"/>
  <c r="X1098" i="35"/>
  <c r="U1098" i="35"/>
  <c r="S1098" i="35"/>
  <c r="R1098" i="35"/>
  <c r="Q1098" i="35"/>
  <c r="K1098" i="35"/>
  <c r="F1098" i="35"/>
  <c r="AE1120" i="35"/>
  <c r="Y1120" i="35"/>
  <c r="X1120" i="35"/>
  <c r="U1120" i="35"/>
  <c r="S1120" i="35"/>
  <c r="R1120" i="35"/>
  <c r="Q1120" i="35"/>
  <c r="K1120" i="35"/>
  <c r="F1120" i="35"/>
  <c r="AE1102" i="35"/>
  <c r="Y1102" i="35"/>
  <c r="X1102" i="35"/>
  <c r="U1102" i="35"/>
  <c r="S1102" i="35"/>
  <c r="R1102" i="35"/>
  <c r="Q1102" i="35"/>
  <c r="K1102" i="35"/>
  <c r="F1102" i="35"/>
  <c r="AD1098" i="35" l="1"/>
  <c r="AD1120" i="35"/>
  <c r="AD1102" i="35"/>
  <c r="AF1433" i="33" l="1"/>
  <c r="V1433" i="33"/>
  <c r="T1433" i="33"/>
  <c r="X1433" i="33" s="1"/>
  <c r="S1433" i="33"/>
  <c r="R1433" i="33"/>
  <c r="K1433" i="33"/>
  <c r="F1433" i="33"/>
  <c r="W1433" i="33" l="1"/>
  <c r="Y1433" i="33"/>
  <c r="Z1433" i="33"/>
  <c r="I1114" i="35" l="1"/>
  <c r="I1112" i="35"/>
  <c r="I1106" i="35"/>
  <c r="I1116" i="35"/>
  <c r="G1126" i="35"/>
  <c r="G1116" i="35"/>
  <c r="G1112" i="35"/>
  <c r="H1116" i="35"/>
  <c r="H1106" i="35"/>
  <c r="H1114" i="35"/>
  <c r="G1114" i="35"/>
  <c r="I1126" i="35"/>
  <c r="H1104" i="35"/>
  <c r="H1126" i="35"/>
  <c r="G1106" i="35"/>
  <c r="G1104" i="35"/>
  <c r="I1104" i="35"/>
  <c r="H1112" i="35"/>
  <c r="I1082" i="35"/>
  <c r="G1084" i="35"/>
  <c r="H1084" i="35"/>
  <c r="G1082" i="35"/>
  <c r="H1082" i="35"/>
  <c r="I1084" i="35"/>
  <c r="G1102" i="35"/>
  <c r="I1098" i="35"/>
  <c r="G1098" i="35"/>
  <c r="H1098" i="35"/>
  <c r="H1120" i="35"/>
  <c r="I1120" i="35"/>
  <c r="H1102" i="35"/>
  <c r="G1120" i="35"/>
  <c r="I1102" i="35"/>
  <c r="I1433" i="33"/>
  <c r="G1433" i="33"/>
  <c r="H1433" i="33"/>
  <c r="V1443" i="33"/>
  <c r="T1443" i="33"/>
  <c r="Z1443" i="33" s="1"/>
  <c r="S1443" i="33"/>
  <c r="R1443" i="33"/>
  <c r="K1443" i="33"/>
  <c r="F1443" i="33"/>
  <c r="V1441" i="33"/>
  <c r="T1441" i="33"/>
  <c r="Y1441" i="33" s="1"/>
  <c r="S1441" i="33"/>
  <c r="R1441" i="33"/>
  <c r="K1441" i="33"/>
  <c r="F1441" i="33"/>
  <c r="AF1400" i="33"/>
  <c r="V1400" i="33"/>
  <c r="T1400" i="33"/>
  <c r="Y1400" i="33" s="1"/>
  <c r="S1400" i="33"/>
  <c r="R1400" i="33"/>
  <c r="K1400" i="33"/>
  <c r="F1400" i="33"/>
  <c r="AF1396" i="33"/>
  <c r="V1396" i="33"/>
  <c r="T1396" i="33"/>
  <c r="Z1396" i="33" s="1"/>
  <c r="S1396" i="33"/>
  <c r="R1396" i="33"/>
  <c r="K1396" i="33"/>
  <c r="F1396" i="33"/>
  <c r="AF1398" i="33"/>
  <c r="V1398" i="33"/>
  <c r="T1398" i="33"/>
  <c r="Z1398" i="33" s="1"/>
  <c r="S1398" i="33"/>
  <c r="R1398" i="33"/>
  <c r="K1398" i="33"/>
  <c r="F1398" i="33"/>
  <c r="AF1363" i="33"/>
  <c r="V1363" i="33"/>
  <c r="T1363" i="33"/>
  <c r="Z1363" i="33" s="1"/>
  <c r="S1363" i="33"/>
  <c r="R1363" i="33"/>
  <c r="K1363" i="33"/>
  <c r="F1363" i="33"/>
  <c r="AF1361" i="33"/>
  <c r="V1361" i="33"/>
  <c r="T1361" i="33"/>
  <c r="Y1361" i="33" s="1"/>
  <c r="S1361" i="33"/>
  <c r="R1361" i="33"/>
  <c r="K1361" i="33"/>
  <c r="F1361" i="33"/>
  <c r="AF1359" i="33"/>
  <c r="V1359" i="33"/>
  <c r="T1359" i="33"/>
  <c r="X1359" i="33" s="1"/>
  <c r="S1359" i="33"/>
  <c r="R1359" i="33"/>
  <c r="K1359" i="33"/>
  <c r="F1359" i="33"/>
  <c r="L1114" i="35" l="1"/>
  <c r="L1104" i="35"/>
  <c r="L1126" i="35"/>
  <c r="L1116" i="35"/>
  <c r="L1106" i="35"/>
  <c r="L1112" i="35"/>
  <c r="L1084" i="35"/>
  <c r="L1082" i="35"/>
  <c r="L1098" i="35"/>
  <c r="L1102" i="35"/>
  <c r="L1120" i="35"/>
  <c r="L1433" i="33"/>
  <c r="W1112" i="35"/>
  <c r="V1106" i="35"/>
  <c r="V1104" i="35"/>
  <c r="V1114" i="35"/>
  <c r="W1104" i="35"/>
  <c r="W1106" i="35"/>
  <c r="V1112" i="35"/>
  <c r="V1116" i="35"/>
  <c r="W1116" i="35"/>
  <c r="W1114" i="35"/>
  <c r="W1126" i="35"/>
  <c r="V1126" i="35"/>
  <c r="W1084" i="35"/>
  <c r="V1084" i="35"/>
  <c r="V1082" i="35"/>
  <c r="W1082" i="35"/>
  <c r="W1102" i="35"/>
  <c r="V1102" i="35"/>
  <c r="V1120" i="35"/>
  <c r="W1120" i="35"/>
  <c r="V1098" i="35"/>
  <c r="W1098" i="35"/>
  <c r="AB1433" i="33"/>
  <c r="Z1441" i="33"/>
  <c r="Y1443" i="33"/>
  <c r="W1400" i="33"/>
  <c r="X1400" i="33"/>
  <c r="Z1400" i="33"/>
  <c r="W1396" i="33"/>
  <c r="X1396" i="33"/>
  <c r="Y1396" i="33"/>
  <c r="W1398" i="33"/>
  <c r="X1398" i="33"/>
  <c r="Y1398" i="33"/>
  <c r="Y1359" i="33"/>
  <c r="Z1359" i="33"/>
  <c r="Z1361" i="33"/>
  <c r="W1363" i="33"/>
  <c r="X1363" i="33"/>
  <c r="Y1363" i="33"/>
  <c r="W1361" i="33"/>
  <c r="X1361" i="33"/>
  <c r="W1359" i="33"/>
  <c r="AE1096" i="35"/>
  <c r="Y1096" i="35"/>
  <c r="X1096" i="35"/>
  <c r="U1096" i="35"/>
  <c r="S1096" i="35"/>
  <c r="R1096" i="35"/>
  <c r="Q1096" i="35"/>
  <c r="K1096" i="35"/>
  <c r="F1096" i="35"/>
  <c r="AE1094" i="35"/>
  <c r="Y1094" i="35"/>
  <c r="X1094" i="35"/>
  <c r="U1094" i="35"/>
  <c r="S1094" i="35"/>
  <c r="R1094" i="35"/>
  <c r="Q1094" i="35"/>
  <c r="K1094" i="35"/>
  <c r="F1094" i="35"/>
  <c r="AE1092" i="35"/>
  <c r="Y1092" i="35"/>
  <c r="X1092" i="35"/>
  <c r="U1092" i="35"/>
  <c r="S1092" i="35"/>
  <c r="R1092" i="35"/>
  <c r="Q1092" i="35"/>
  <c r="K1092" i="35"/>
  <c r="F1092" i="35"/>
  <c r="AE1090" i="35"/>
  <c r="Y1090" i="35"/>
  <c r="X1090" i="35"/>
  <c r="U1090" i="35"/>
  <c r="S1090" i="35"/>
  <c r="R1090" i="35"/>
  <c r="Q1090" i="35"/>
  <c r="K1090" i="35"/>
  <c r="F1090" i="35"/>
  <c r="AE1074" i="35"/>
  <c r="Y1074" i="35"/>
  <c r="X1074" i="35"/>
  <c r="U1074" i="35"/>
  <c r="S1074" i="35"/>
  <c r="R1074" i="35"/>
  <c r="Q1074" i="35"/>
  <c r="K1074" i="35"/>
  <c r="F1074" i="35"/>
  <c r="AE1072" i="35"/>
  <c r="Y1072" i="35"/>
  <c r="X1072" i="35"/>
  <c r="U1072" i="35"/>
  <c r="S1072" i="35"/>
  <c r="R1072" i="35"/>
  <c r="Q1072" i="35"/>
  <c r="K1072" i="35"/>
  <c r="F1072" i="35"/>
  <c r="AE1070" i="35"/>
  <c r="Y1070" i="35"/>
  <c r="X1070" i="35"/>
  <c r="U1070" i="35"/>
  <c r="S1070" i="35"/>
  <c r="R1070" i="35"/>
  <c r="Q1070" i="35"/>
  <c r="K1070" i="35"/>
  <c r="F1070" i="35"/>
  <c r="AD1094" i="35" l="1"/>
  <c r="AD1096" i="35"/>
  <c r="AD1092" i="35"/>
  <c r="AD1090" i="35"/>
  <c r="AD1074" i="35"/>
  <c r="AD1072" i="35"/>
  <c r="AD1070" i="35"/>
  <c r="AF1386" i="33" l="1"/>
  <c r="V1386" i="33"/>
  <c r="T1386" i="33"/>
  <c r="Z1386" i="33" s="1"/>
  <c r="S1386" i="33"/>
  <c r="R1386" i="33"/>
  <c r="K1386" i="33"/>
  <c r="F1386" i="33"/>
  <c r="AF1429" i="33"/>
  <c r="V1429" i="33"/>
  <c r="T1429" i="33"/>
  <c r="Z1429" i="33" s="1"/>
  <c r="S1429" i="33"/>
  <c r="R1429" i="33"/>
  <c r="K1429" i="33"/>
  <c r="F1429" i="33"/>
  <c r="AF1416" i="33"/>
  <c r="V1416" i="33"/>
  <c r="T1416" i="33"/>
  <c r="Z1416" i="33" s="1"/>
  <c r="S1416" i="33"/>
  <c r="R1416" i="33"/>
  <c r="K1416" i="33"/>
  <c r="F1416" i="33"/>
  <c r="F1388" i="33"/>
  <c r="K1388" i="33"/>
  <c r="R1388" i="33"/>
  <c r="S1388" i="33"/>
  <c r="T1388" i="33"/>
  <c r="Y1388" i="33" s="1"/>
  <c r="V1388" i="33"/>
  <c r="AF1388" i="33"/>
  <c r="F1390" i="33"/>
  <c r="K1390" i="33"/>
  <c r="R1390" i="33"/>
  <c r="S1390" i="33"/>
  <c r="T1390" i="33"/>
  <c r="Y1390" i="33" s="1"/>
  <c r="V1390" i="33"/>
  <c r="AF1390" i="33"/>
  <c r="F1392" i="33"/>
  <c r="K1392" i="33"/>
  <c r="R1392" i="33"/>
  <c r="S1392" i="33"/>
  <c r="T1392" i="33"/>
  <c r="Y1392" i="33" s="1"/>
  <c r="V1392" i="33"/>
  <c r="AF1392" i="33"/>
  <c r="AF1381" i="33"/>
  <c r="V1381" i="33"/>
  <c r="T1381" i="33"/>
  <c r="Z1381" i="33" s="1"/>
  <c r="S1381" i="33"/>
  <c r="R1381" i="33"/>
  <c r="K1381" i="33"/>
  <c r="F1381" i="33"/>
  <c r="AF1379" i="33"/>
  <c r="V1379" i="33"/>
  <c r="T1379" i="33"/>
  <c r="X1379" i="33" s="1"/>
  <c r="S1379" i="33"/>
  <c r="R1379" i="33"/>
  <c r="K1379" i="33"/>
  <c r="F1379" i="33"/>
  <c r="AF1377" i="33"/>
  <c r="V1377" i="33"/>
  <c r="T1377" i="33"/>
  <c r="Z1377" i="33" s="1"/>
  <c r="S1377" i="33"/>
  <c r="R1377" i="33"/>
  <c r="K1377" i="33"/>
  <c r="F1377" i="33"/>
  <c r="AF1375" i="33"/>
  <c r="V1375" i="33"/>
  <c r="T1375" i="33"/>
  <c r="W1375" i="33" s="1"/>
  <c r="S1375" i="33"/>
  <c r="R1375" i="33"/>
  <c r="K1375" i="33"/>
  <c r="F1375" i="33"/>
  <c r="AF1373" i="33"/>
  <c r="V1373" i="33"/>
  <c r="T1373" i="33"/>
  <c r="X1373" i="33" s="1"/>
  <c r="S1373" i="33"/>
  <c r="R1373" i="33"/>
  <c r="K1373" i="33"/>
  <c r="F1373" i="33"/>
  <c r="AF1357" i="33"/>
  <c r="V1357" i="33"/>
  <c r="T1357" i="33"/>
  <c r="Z1357" i="33" s="1"/>
  <c r="S1357" i="33"/>
  <c r="R1357" i="33"/>
  <c r="K1357" i="33"/>
  <c r="F1357" i="33"/>
  <c r="AF1355" i="33"/>
  <c r="V1355" i="33"/>
  <c r="T1355" i="33"/>
  <c r="X1355" i="33" s="1"/>
  <c r="S1355" i="33"/>
  <c r="R1355" i="33"/>
  <c r="K1355" i="33"/>
  <c r="F1355" i="33"/>
  <c r="AF1343" i="33"/>
  <c r="Z1343" i="33"/>
  <c r="Y1343" i="33"/>
  <c r="X1343" i="33"/>
  <c r="W1343" i="33"/>
  <c r="V1343" i="33"/>
  <c r="S1343" i="33"/>
  <c r="R1343" i="33"/>
  <c r="K1343" i="33"/>
  <c r="F1343" i="33"/>
  <c r="I1441" i="33" l="1"/>
  <c r="H1441" i="33"/>
  <c r="I1396" i="33"/>
  <c r="G1443" i="33"/>
  <c r="H1398" i="33"/>
  <c r="H1443" i="33"/>
  <c r="I1398" i="33"/>
  <c r="G1396" i="33"/>
  <c r="G1398" i="33"/>
  <c r="I1443" i="33"/>
  <c r="H1396" i="33"/>
  <c r="I1400" i="33"/>
  <c r="G1361" i="33"/>
  <c r="G1363" i="33"/>
  <c r="G1400" i="33"/>
  <c r="H1361" i="33"/>
  <c r="I1361" i="33"/>
  <c r="H1359" i="33"/>
  <c r="G1359" i="33"/>
  <c r="I1363" i="33"/>
  <c r="H1363" i="33"/>
  <c r="H1400" i="33"/>
  <c r="G1441" i="33"/>
  <c r="I1359" i="33"/>
  <c r="H1074" i="35"/>
  <c r="G1092" i="35"/>
  <c r="G1070" i="35"/>
  <c r="H1092" i="35"/>
  <c r="H1070" i="35"/>
  <c r="I1074" i="35"/>
  <c r="H1072" i="35"/>
  <c r="H1096" i="35"/>
  <c r="G1094" i="35"/>
  <c r="G1074" i="35"/>
  <c r="G1096" i="35"/>
  <c r="I1090" i="35"/>
  <c r="G1072" i="35"/>
  <c r="I1072" i="35"/>
  <c r="I1094" i="35"/>
  <c r="I1070" i="35"/>
  <c r="I1092" i="35"/>
  <c r="I1096" i="35"/>
  <c r="H1090" i="35"/>
  <c r="G1090" i="35"/>
  <c r="H1094" i="35"/>
  <c r="W1386" i="33"/>
  <c r="X1386" i="33"/>
  <c r="Y1386" i="33"/>
  <c r="W1429" i="33"/>
  <c r="X1429" i="33"/>
  <c r="Y1429" i="33"/>
  <c r="W1416" i="33"/>
  <c r="X1416" i="33"/>
  <c r="Y1416" i="33"/>
  <c r="W1388" i="33"/>
  <c r="X1392" i="33"/>
  <c r="W1392" i="33"/>
  <c r="X1388" i="33"/>
  <c r="X1390" i="33"/>
  <c r="Z1388" i="33"/>
  <c r="W1390" i="33"/>
  <c r="Z1392" i="33"/>
  <c r="Z1390" i="33"/>
  <c r="W1379" i="33"/>
  <c r="Y1379" i="33"/>
  <c r="Z1379" i="33"/>
  <c r="W1381" i="33"/>
  <c r="X1381" i="33"/>
  <c r="Y1381" i="33"/>
  <c r="Y1373" i="33"/>
  <c r="Z1373" i="33"/>
  <c r="X1375" i="33"/>
  <c r="Y1375" i="33"/>
  <c r="Z1375" i="33"/>
  <c r="W1377" i="33"/>
  <c r="X1377" i="33"/>
  <c r="Y1377" i="33"/>
  <c r="W1373" i="33"/>
  <c r="Y1355" i="33"/>
  <c r="Z1355" i="33"/>
  <c r="W1357" i="33"/>
  <c r="X1357" i="33"/>
  <c r="W1355" i="33"/>
  <c r="Y1357" i="33"/>
  <c r="AB1361" i="33" l="1"/>
  <c r="AB1359" i="33"/>
  <c r="AB1396" i="33"/>
  <c r="AB1400" i="33"/>
  <c r="AB1363" i="33"/>
  <c r="AB1398" i="33"/>
  <c r="V1094" i="35"/>
  <c r="W1070" i="35"/>
  <c r="V1092" i="35"/>
  <c r="V1090" i="35"/>
  <c r="W1092" i="35"/>
  <c r="W1072" i="35"/>
  <c r="W1090" i="35"/>
  <c r="V1074" i="35"/>
  <c r="V1072" i="35"/>
  <c r="W1094" i="35"/>
  <c r="V1070" i="35"/>
  <c r="V1096" i="35"/>
  <c r="W1074" i="35"/>
  <c r="W1096" i="35"/>
  <c r="L1396" i="33"/>
  <c r="L1363" i="33"/>
  <c r="L1400" i="33"/>
  <c r="L1359" i="33"/>
  <c r="L1361" i="33"/>
  <c r="L1398" i="33"/>
  <c r="L1092" i="35"/>
  <c r="L1072" i="35"/>
  <c r="L1074" i="35"/>
  <c r="L1094" i="35"/>
  <c r="L1096" i="35"/>
  <c r="L1090" i="35"/>
  <c r="L1070" i="35"/>
  <c r="V1478" i="33" l="1"/>
  <c r="T1478" i="33"/>
  <c r="Z1478" i="33" s="1"/>
  <c r="S1478" i="33"/>
  <c r="R1478" i="33"/>
  <c r="K1478" i="33"/>
  <c r="F1478" i="33"/>
  <c r="V1476" i="33"/>
  <c r="T1476" i="33"/>
  <c r="Z1476" i="33" s="1"/>
  <c r="S1476" i="33"/>
  <c r="R1476" i="33"/>
  <c r="K1476" i="33"/>
  <c r="F1476" i="33"/>
  <c r="V1475" i="33"/>
  <c r="T1475" i="33"/>
  <c r="Z1475" i="33" s="1"/>
  <c r="S1475" i="33"/>
  <c r="R1475" i="33"/>
  <c r="K1475" i="33"/>
  <c r="F1475" i="33"/>
  <c r="V1471" i="33"/>
  <c r="T1471" i="33"/>
  <c r="Z1471" i="33" s="1"/>
  <c r="S1471" i="33"/>
  <c r="R1471" i="33"/>
  <c r="K1471" i="33"/>
  <c r="F1471" i="33"/>
  <c r="V1469" i="33"/>
  <c r="T1469" i="33"/>
  <c r="Z1469" i="33" s="1"/>
  <c r="S1469" i="33"/>
  <c r="R1469" i="33"/>
  <c r="K1469" i="33"/>
  <c r="F1469" i="33"/>
  <c r="V1467" i="33"/>
  <c r="T1467" i="33"/>
  <c r="Z1467" i="33" s="1"/>
  <c r="S1467" i="33"/>
  <c r="R1467" i="33"/>
  <c r="K1467" i="33"/>
  <c r="F1467" i="33"/>
  <c r="V1465" i="33"/>
  <c r="T1465" i="33"/>
  <c r="Z1465" i="33" s="1"/>
  <c r="S1465" i="33"/>
  <c r="R1465" i="33"/>
  <c r="K1465" i="33"/>
  <c r="F1465" i="33"/>
  <c r="V1463" i="33"/>
  <c r="T1463" i="33"/>
  <c r="Z1463" i="33" s="1"/>
  <c r="S1463" i="33"/>
  <c r="R1463" i="33"/>
  <c r="K1463" i="33"/>
  <c r="F1463" i="33"/>
  <c r="V1461" i="33"/>
  <c r="T1461" i="33"/>
  <c r="Z1461" i="33" s="1"/>
  <c r="S1461" i="33"/>
  <c r="R1461" i="33"/>
  <c r="K1461" i="33"/>
  <c r="F1461" i="33"/>
  <c r="V1459" i="33"/>
  <c r="T1459" i="33"/>
  <c r="Z1459" i="33" s="1"/>
  <c r="S1459" i="33"/>
  <c r="R1459" i="33"/>
  <c r="K1459" i="33"/>
  <c r="F1459" i="33"/>
  <c r="V1457" i="33"/>
  <c r="T1457" i="33"/>
  <c r="Z1457" i="33" s="1"/>
  <c r="S1457" i="33"/>
  <c r="R1457" i="33"/>
  <c r="K1457" i="33"/>
  <c r="F1457" i="33"/>
  <c r="V1455" i="33"/>
  <c r="T1455" i="33"/>
  <c r="Z1455" i="33" s="1"/>
  <c r="S1455" i="33"/>
  <c r="R1455" i="33"/>
  <c r="K1455" i="33"/>
  <c r="F1455" i="33"/>
  <c r="V1453" i="33"/>
  <c r="T1453" i="33"/>
  <c r="Z1453" i="33" s="1"/>
  <c r="S1453" i="33"/>
  <c r="R1453" i="33"/>
  <c r="K1453" i="33"/>
  <c r="F1453" i="33"/>
  <c r="V1451" i="33"/>
  <c r="T1451" i="33"/>
  <c r="Z1451" i="33" s="1"/>
  <c r="S1451" i="33"/>
  <c r="R1451" i="33"/>
  <c r="K1451" i="33"/>
  <c r="F1451" i="33"/>
  <c r="V1449" i="33"/>
  <c r="T1449" i="33"/>
  <c r="Z1449" i="33" s="1"/>
  <c r="S1449" i="33"/>
  <c r="R1449" i="33"/>
  <c r="K1449" i="33"/>
  <c r="F1449" i="33"/>
  <c r="V1447" i="33"/>
  <c r="T1447" i="33"/>
  <c r="Z1447" i="33" s="1"/>
  <c r="S1447" i="33"/>
  <c r="R1447" i="33"/>
  <c r="K1447" i="33"/>
  <c r="F1447" i="33"/>
  <c r="Y1478" i="33" l="1"/>
  <c r="Y1476" i="33"/>
  <c r="Y1475" i="33"/>
  <c r="Y1471" i="33"/>
  <c r="Y1469" i="33"/>
  <c r="Y1467" i="33"/>
  <c r="Y1465" i="33"/>
  <c r="Y1463" i="33"/>
  <c r="Y1461" i="33"/>
  <c r="Y1459" i="33"/>
  <c r="Y1457" i="33"/>
  <c r="Y1455" i="33"/>
  <c r="Y1453" i="33"/>
  <c r="Y1451" i="33"/>
  <c r="Y1449" i="33"/>
  <c r="Y1447" i="33"/>
  <c r="AE1110" i="35" l="1"/>
  <c r="X1110" i="35"/>
  <c r="U1110" i="35"/>
  <c r="S1110" i="35"/>
  <c r="R1110" i="35"/>
  <c r="Q1110" i="35"/>
  <c r="K1110" i="35"/>
  <c r="F1110" i="35"/>
  <c r="AE1108" i="35"/>
  <c r="Y1108" i="35"/>
  <c r="X1108" i="35"/>
  <c r="U1108" i="35"/>
  <c r="S1108" i="35"/>
  <c r="R1108" i="35"/>
  <c r="Q1108" i="35"/>
  <c r="K1108" i="35"/>
  <c r="F1108" i="35"/>
  <c r="A688" i="36" l="1"/>
  <c r="AD1110" i="35"/>
  <c r="AD1108" i="35"/>
  <c r="AE1080" i="35"/>
  <c r="Y1080" i="35"/>
  <c r="X1080" i="35"/>
  <c r="U1080" i="35"/>
  <c r="S1080" i="35"/>
  <c r="R1080" i="35"/>
  <c r="Q1080" i="35"/>
  <c r="K1080" i="35"/>
  <c r="F1080" i="35"/>
  <c r="AE1078" i="35"/>
  <c r="Y1078" i="35"/>
  <c r="X1078" i="35"/>
  <c r="U1078" i="35"/>
  <c r="S1078" i="35"/>
  <c r="R1078" i="35"/>
  <c r="Q1078" i="35"/>
  <c r="K1078" i="35"/>
  <c r="F1078" i="35"/>
  <c r="AE1076" i="35"/>
  <c r="Y1076" i="35"/>
  <c r="X1076" i="35"/>
  <c r="U1076" i="35"/>
  <c r="S1076" i="35"/>
  <c r="R1076" i="35"/>
  <c r="Q1076" i="35"/>
  <c r="K1076" i="35"/>
  <c r="F1076" i="35"/>
  <c r="AE1068" i="35"/>
  <c r="Y1068" i="35"/>
  <c r="X1068" i="35"/>
  <c r="U1068" i="35"/>
  <c r="S1068" i="35"/>
  <c r="R1068" i="35"/>
  <c r="Q1068" i="35"/>
  <c r="K1068" i="35"/>
  <c r="F1068" i="35"/>
  <c r="AE1066" i="35"/>
  <c r="Y1066" i="35"/>
  <c r="X1066" i="35"/>
  <c r="U1066" i="35"/>
  <c r="S1066" i="35"/>
  <c r="R1066" i="35"/>
  <c r="Q1066" i="35"/>
  <c r="K1066" i="35"/>
  <c r="F1066" i="35"/>
  <c r="AE1064" i="35"/>
  <c r="Y1064" i="35"/>
  <c r="X1064" i="35"/>
  <c r="U1064" i="35"/>
  <c r="S1064" i="35"/>
  <c r="R1064" i="35"/>
  <c r="Q1064" i="35"/>
  <c r="K1064" i="35"/>
  <c r="F1064" i="35"/>
  <c r="AE1058" i="35"/>
  <c r="Y1058" i="35"/>
  <c r="X1058" i="35"/>
  <c r="U1058" i="35"/>
  <c r="S1058" i="35"/>
  <c r="R1058" i="35"/>
  <c r="Q1058" i="35"/>
  <c r="K1058" i="35"/>
  <c r="F1058" i="35"/>
  <c r="AE1056" i="35"/>
  <c r="Y1056" i="35"/>
  <c r="X1056" i="35"/>
  <c r="U1056" i="35"/>
  <c r="S1056" i="35"/>
  <c r="R1056" i="35"/>
  <c r="Q1056" i="35"/>
  <c r="K1056" i="35"/>
  <c r="F1056" i="35"/>
  <c r="AE1054" i="35"/>
  <c r="Y1054" i="35"/>
  <c r="X1054" i="35"/>
  <c r="U1054" i="35"/>
  <c r="S1054" i="35"/>
  <c r="R1054" i="35"/>
  <c r="Q1054" i="35"/>
  <c r="K1054" i="35"/>
  <c r="F1054" i="35"/>
  <c r="AE1052" i="35"/>
  <c r="Y1052" i="35"/>
  <c r="X1052" i="35"/>
  <c r="U1052" i="35"/>
  <c r="S1052" i="35"/>
  <c r="R1052" i="35"/>
  <c r="Q1052" i="35"/>
  <c r="K1052" i="35"/>
  <c r="F1052" i="35"/>
  <c r="AE1050" i="35"/>
  <c r="Y1050" i="35"/>
  <c r="X1050" i="35"/>
  <c r="U1050" i="35"/>
  <c r="S1050" i="35"/>
  <c r="R1050" i="35"/>
  <c r="Q1050" i="35"/>
  <c r="K1050" i="35"/>
  <c r="F1050" i="35"/>
  <c r="AD1080" i="35" l="1"/>
  <c r="AD1078" i="35"/>
  <c r="AD1076" i="35"/>
  <c r="AD1068" i="35"/>
  <c r="AD1066" i="35"/>
  <c r="AD1064" i="35"/>
  <c r="AD1058" i="35"/>
  <c r="AD1056" i="35"/>
  <c r="AD1054" i="35"/>
  <c r="AD1052" i="35"/>
  <c r="AD1050" i="35"/>
  <c r="AF1431" i="33" l="1"/>
  <c r="V1431" i="33"/>
  <c r="T1431" i="33"/>
  <c r="X1431" i="33" s="1"/>
  <c r="S1431" i="33"/>
  <c r="R1431" i="33"/>
  <c r="K1431" i="33"/>
  <c r="F1431" i="33"/>
  <c r="AF1427" i="33"/>
  <c r="V1427" i="33"/>
  <c r="T1427" i="33"/>
  <c r="Y1427" i="33" s="1"/>
  <c r="S1427" i="33"/>
  <c r="R1427" i="33"/>
  <c r="K1427" i="33"/>
  <c r="F1427" i="33"/>
  <c r="V1423" i="33"/>
  <c r="V1425" i="33"/>
  <c r="AF1425" i="33"/>
  <c r="T1425" i="33"/>
  <c r="Z1425" i="33" s="1"/>
  <c r="S1425" i="33"/>
  <c r="R1425" i="33"/>
  <c r="K1425" i="33"/>
  <c r="F1425" i="33"/>
  <c r="AF1423" i="33"/>
  <c r="T1423" i="33"/>
  <c r="Z1423" i="33" s="1"/>
  <c r="S1423" i="33"/>
  <c r="R1423" i="33"/>
  <c r="K1423" i="33"/>
  <c r="F1423" i="33"/>
  <c r="AF1420" i="33"/>
  <c r="V1420" i="33"/>
  <c r="T1420" i="33"/>
  <c r="Z1420" i="33" s="1"/>
  <c r="S1420" i="33"/>
  <c r="R1420" i="33"/>
  <c r="K1420" i="33"/>
  <c r="F1420" i="33"/>
  <c r="AF1422" i="33"/>
  <c r="V1422" i="33"/>
  <c r="T1422" i="33"/>
  <c r="Z1422" i="33" s="1"/>
  <c r="S1422" i="33"/>
  <c r="R1422" i="33"/>
  <c r="K1422" i="33"/>
  <c r="F1422" i="33"/>
  <c r="AF1418" i="33"/>
  <c r="V1418" i="33"/>
  <c r="T1418" i="33"/>
  <c r="X1418" i="33" s="1"/>
  <c r="S1418" i="33"/>
  <c r="R1418" i="33"/>
  <c r="K1418" i="33"/>
  <c r="F1418" i="33"/>
  <c r="AF1414" i="33"/>
  <c r="V1414" i="33"/>
  <c r="T1414" i="33"/>
  <c r="Z1414" i="33" s="1"/>
  <c r="S1414" i="33"/>
  <c r="R1414" i="33"/>
  <c r="K1414" i="33"/>
  <c r="F1414" i="33"/>
  <c r="AF1412" i="33"/>
  <c r="V1412" i="33"/>
  <c r="T1412" i="33"/>
  <c r="X1412" i="33" s="1"/>
  <c r="S1412" i="33"/>
  <c r="R1412" i="33"/>
  <c r="K1412" i="33"/>
  <c r="F1412" i="33"/>
  <c r="AF1408" i="33"/>
  <c r="V1408" i="33"/>
  <c r="T1408" i="33"/>
  <c r="X1408" i="33" s="1"/>
  <c r="S1408" i="33"/>
  <c r="R1408" i="33"/>
  <c r="K1408" i="33"/>
  <c r="F1408" i="33"/>
  <c r="AF1410" i="33"/>
  <c r="V1410" i="33"/>
  <c r="T1410" i="33"/>
  <c r="Y1410" i="33" s="1"/>
  <c r="S1410" i="33"/>
  <c r="R1410" i="33"/>
  <c r="K1410" i="33"/>
  <c r="F1410" i="33"/>
  <c r="AF1406" i="33"/>
  <c r="V1406" i="33"/>
  <c r="T1406" i="33"/>
  <c r="Z1406" i="33" s="1"/>
  <c r="S1406" i="33"/>
  <c r="R1406" i="33"/>
  <c r="K1406" i="33"/>
  <c r="F1406" i="33"/>
  <c r="H1392" i="33" l="1"/>
  <c r="H1429" i="33"/>
  <c r="H1375" i="33"/>
  <c r="G1357" i="33"/>
  <c r="H1390" i="33"/>
  <c r="H1381" i="33"/>
  <c r="H1386" i="33"/>
  <c r="G1377" i="33"/>
  <c r="I1355" i="33"/>
  <c r="I1416" i="33"/>
  <c r="H1377" i="33"/>
  <c r="I1388" i="33"/>
  <c r="G1375" i="33"/>
  <c r="G1429" i="33"/>
  <c r="I1390" i="33"/>
  <c r="I1377" i="33"/>
  <c r="G1392" i="33"/>
  <c r="H1379" i="33"/>
  <c r="H1357" i="33"/>
  <c r="H1343" i="33"/>
  <c r="G1381" i="33"/>
  <c r="H1373" i="33"/>
  <c r="I1381" i="33"/>
  <c r="I1375" i="33"/>
  <c r="G1355" i="33"/>
  <c r="I1343" i="33"/>
  <c r="G1390" i="33"/>
  <c r="G1386" i="33"/>
  <c r="H1355" i="33"/>
  <c r="G1343" i="33"/>
  <c r="I1357" i="33"/>
  <c r="G1373" i="33"/>
  <c r="I1386" i="33"/>
  <c r="G1416" i="33"/>
  <c r="G1379" i="33"/>
  <c r="I1373" i="33"/>
  <c r="G1388" i="33"/>
  <c r="H1416" i="33"/>
  <c r="I1392" i="33"/>
  <c r="I1429" i="33"/>
  <c r="H1388" i="33"/>
  <c r="I1379" i="33"/>
  <c r="G1478" i="33"/>
  <c r="I1469" i="33"/>
  <c r="I1461" i="33"/>
  <c r="G1461" i="33"/>
  <c r="G1449" i="33"/>
  <c r="I1457" i="33"/>
  <c r="H1449" i="33"/>
  <c r="G1469" i="33"/>
  <c r="G1457" i="33"/>
  <c r="G1453" i="33"/>
  <c r="I1449" i="33"/>
  <c r="G1447" i="33"/>
  <c r="H1476" i="33"/>
  <c r="H1467" i="33"/>
  <c r="H1471" i="33"/>
  <c r="H1463" i="33"/>
  <c r="I1471" i="33"/>
  <c r="I1463" i="33"/>
  <c r="I1455" i="33"/>
  <c r="H1451" i="33"/>
  <c r="G1459" i="33"/>
  <c r="I1459" i="33"/>
  <c r="G1463" i="33"/>
  <c r="I1478" i="33"/>
  <c r="G1471" i="33"/>
  <c r="H1475" i="33"/>
  <c r="H1469" i="33"/>
  <c r="H1461" i="33"/>
  <c r="G1465" i="33"/>
  <c r="H1453" i="33"/>
  <c r="G1475" i="33"/>
  <c r="I1453" i="33"/>
  <c r="G1451" i="33"/>
  <c r="I1476" i="33"/>
  <c r="I1467" i="33"/>
  <c r="H1455" i="33"/>
  <c r="G1455" i="33"/>
  <c r="H1459" i="33"/>
  <c r="H1447" i="33"/>
  <c r="I1447" i="33"/>
  <c r="I1451" i="33"/>
  <c r="G1467" i="33"/>
  <c r="H1478" i="33"/>
  <c r="H1465" i="33"/>
  <c r="G1476" i="33"/>
  <c r="I1475" i="33"/>
  <c r="I1465" i="33"/>
  <c r="H1457" i="33"/>
  <c r="I1108" i="35"/>
  <c r="H1110" i="35"/>
  <c r="G1108" i="35"/>
  <c r="H1108" i="35"/>
  <c r="G1110" i="35"/>
  <c r="I1110" i="35"/>
  <c r="H1068" i="35"/>
  <c r="G1064" i="35"/>
  <c r="G1078" i="35"/>
  <c r="I1068" i="35"/>
  <c r="H1052" i="35"/>
  <c r="H1078" i="35"/>
  <c r="H1064" i="35"/>
  <c r="H1056" i="35"/>
  <c r="I1056" i="35"/>
  <c r="I1052" i="35"/>
  <c r="G1076" i="35"/>
  <c r="I1054" i="35"/>
  <c r="I1078" i="35"/>
  <c r="G1068" i="35"/>
  <c r="G1056" i="35"/>
  <c r="H1080" i="35"/>
  <c r="G1066" i="35"/>
  <c r="G1058" i="35"/>
  <c r="G1050" i="35"/>
  <c r="H1058" i="35"/>
  <c r="G1054" i="35"/>
  <c r="H1050" i="35"/>
  <c r="H1076" i="35"/>
  <c r="I1066" i="35"/>
  <c r="H1054" i="35"/>
  <c r="I1050" i="35"/>
  <c r="G1080" i="35"/>
  <c r="H1066" i="35"/>
  <c r="I1080" i="35"/>
  <c r="I1076" i="35"/>
  <c r="I1058" i="35"/>
  <c r="I1064" i="35"/>
  <c r="G1052" i="35"/>
  <c r="Y1431" i="33"/>
  <c r="Z1431" i="33"/>
  <c r="W1431" i="33"/>
  <c r="W1427" i="33"/>
  <c r="Z1427" i="33"/>
  <c r="X1427" i="33"/>
  <c r="W1425" i="33"/>
  <c r="X1425" i="33"/>
  <c r="Y1425" i="33"/>
  <c r="W1423" i="33"/>
  <c r="X1423" i="33"/>
  <c r="Y1423" i="33"/>
  <c r="W1420" i="33"/>
  <c r="X1420" i="33"/>
  <c r="Y1420" i="33"/>
  <c r="X1422" i="33"/>
  <c r="W1422" i="33"/>
  <c r="Y1422" i="33"/>
  <c r="Y1418" i="33"/>
  <c r="Z1418" i="33"/>
  <c r="W1418" i="33"/>
  <c r="X1414" i="33"/>
  <c r="W1414" i="33"/>
  <c r="Y1414" i="33"/>
  <c r="Y1412" i="33"/>
  <c r="Z1412" i="33"/>
  <c r="W1412" i="33"/>
  <c r="Y1408" i="33"/>
  <c r="Z1408" i="33"/>
  <c r="W1408" i="33"/>
  <c r="W1410" i="33"/>
  <c r="X1410" i="33"/>
  <c r="Z1410" i="33"/>
  <c r="W1406" i="33"/>
  <c r="X1406" i="33"/>
  <c r="Y1406" i="33"/>
  <c r="AB1416" i="33" l="1"/>
  <c r="AB1390" i="33"/>
  <c r="AB1388" i="33"/>
  <c r="AB1377" i="33"/>
  <c r="AB1429" i="33"/>
  <c r="AB1375" i="33"/>
  <c r="AB1357" i="33"/>
  <c r="AB1386" i="33"/>
  <c r="AB1373" i="33"/>
  <c r="AB1355" i="33"/>
  <c r="AB1343" i="33"/>
  <c r="AB1392" i="33"/>
  <c r="W1453" i="33"/>
  <c r="W1475" i="33"/>
  <c r="W1469" i="33"/>
  <c r="X1453" i="33"/>
  <c r="X1475" i="33"/>
  <c r="X1465" i="33"/>
  <c r="X1461" i="33"/>
  <c r="X1469" i="33"/>
  <c r="W1461" i="33"/>
  <c r="X1457" i="33"/>
  <c r="X1449" i="33"/>
  <c r="W1476" i="33"/>
  <c r="W1467" i="33"/>
  <c r="W1455" i="33"/>
  <c r="X1476" i="33"/>
  <c r="X1467" i="33"/>
  <c r="W1459" i="33"/>
  <c r="W1447" i="33"/>
  <c r="X1471" i="33"/>
  <c r="X1459" i="33"/>
  <c r="X1451" i="33"/>
  <c r="X1447" i="33"/>
  <c r="W1451" i="33"/>
  <c r="W1457" i="33"/>
  <c r="W1465" i="33"/>
  <c r="W1449" i="33"/>
  <c r="X1463" i="33"/>
  <c r="W1471" i="33"/>
  <c r="W1463" i="33"/>
  <c r="X1455" i="33"/>
  <c r="V1108" i="35"/>
  <c r="V1110" i="35"/>
  <c r="W1110" i="35"/>
  <c r="W1108" i="35"/>
  <c r="W1078" i="35"/>
  <c r="V1056" i="35"/>
  <c r="W1052" i="35"/>
  <c r="W1064" i="35"/>
  <c r="W1080" i="35"/>
  <c r="W1068" i="35"/>
  <c r="V1058" i="35"/>
  <c r="W1058" i="35"/>
  <c r="V1050" i="35"/>
  <c r="W1056" i="35"/>
  <c r="V1068" i="35"/>
  <c r="V1052" i="35"/>
  <c r="V1076" i="35"/>
  <c r="W1054" i="35"/>
  <c r="W1076" i="35"/>
  <c r="V1066" i="35"/>
  <c r="V1080" i="35"/>
  <c r="W1066" i="35"/>
  <c r="V1054" i="35"/>
  <c r="W1050" i="35"/>
  <c r="V1078" i="35"/>
  <c r="V1064" i="35"/>
  <c r="L1386" i="33"/>
  <c r="L1390" i="33"/>
  <c r="L1355" i="33"/>
  <c r="L1375" i="33"/>
  <c r="L1388" i="33"/>
  <c r="L1381" i="33"/>
  <c r="L1343" i="33"/>
  <c r="L1379" i="33"/>
  <c r="L1357" i="33"/>
  <c r="L1416" i="33"/>
  <c r="L1377" i="33"/>
  <c r="L1392" i="33"/>
  <c r="L1429" i="33"/>
  <c r="L1373" i="33"/>
  <c r="L1475" i="33"/>
  <c r="L1465" i="33"/>
  <c r="L1457" i="33"/>
  <c r="L1449" i="33"/>
  <c r="L1455" i="33"/>
  <c r="L1461" i="33"/>
  <c r="L1469" i="33"/>
  <c r="L1459" i="33"/>
  <c r="L1453" i="33"/>
  <c r="L1476" i="33"/>
  <c r="L1467" i="33"/>
  <c r="L1471" i="33"/>
  <c r="L1451" i="33"/>
  <c r="L1463" i="33"/>
  <c r="L1447" i="33"/>
  <c r="L1108" i="35"/>
  <c r="L1110" i="35"/>
  <c r="L1054" i="35"/>
  <c r="L1050" i="35"/>
  <c r="L1052" i="35"/>
  <c r="L1058" i="35"/>
  <c r="L1064" i="35"/>
  <c r="L1076" i="35"/>
  <c r="L1078" i="35"/>
  <c r="L1066" i="35"/>
  <c r="L1080" i="35"/>
  <c r="L1056" i="35"/>
  <c r="L1068" i="35"/>
  <c r="AF1394" i="33"/>
  <c r="V1394" i="33"/>
  <c r="T1394" i="33"/>
  <c r="Z1394" i="33" s="1"/>
  <c r="S1394" i="33"/>
  <c r="R1394" i="33"/>
  <c r="K1394" i="33"/>
  <c r="F1394" i="33"/>
  <c r="AF1371" i="33"/>
  <c r="V1371" i="33"/>
  <c r="T1371" i="33"/>
  <c r="Z1371" i="33" s="1"/>
  <c r="S1371" i="33"/>
  <c r="R1371" i="33"/>
  <c r="K1371" i="33"/>
  <c r="F1371" i="33"/>
  <c r="AF1369" i="33"/>
  <c r="V1369" i="33"/>
  <c r="T1369" i="33"/>
  <c r="X1369" i="33" s="1"/>
  <c r="S1369" i="33"/>
  <c r="R1369" i="33"/>
  <c r="K1369" i="33"/>
  <c r="F1369" i="33"/>
  <c r="AF1353" i="33"/>
  <c r="V1353" i="33"/>
  <c r="T1353" i="33"/>
  <c r="Z1353" i="33" s="1"/>
  <c r="S1353" i="33"/>
  <c r="R1353" i="33"/>
  <c r="K1353" i="33"/>
  <c r="F1353" i="33"/>
  <c r="AF1351" i="33"/>
  <c r="V1351" i="33"/>
  <c r="T1351" i="33"/>
  <c r="Z1351" i="33" s="1"/>
  <c r="S1351" i="33"/>
  <c r="R1351" i="33"/>
  <c r="K1351" i="33"/>
  <c r="F1351" i="33"/>
  <c r="AF1349" i="33"/>
  <c r="Z1349" i="33"/>
  <c r="Y1349" i="33"/>
  <c r="X1349" i="33"/>
  <c r="V1349" i="33"/>
  <c r="S1349" i="33"/>
  <c r="R1349" i="33"/>
  <c r="K1349" i="33"/>
  <c r="F1349" i="33"/>
  <c r="AF1347" i="33"/>
  <c r="Z1347" i="33"/>
  <c r="Y1347" i="33"/>
  <c r="X1347" i="33"/>
  <c r="W1347" i="33"/>
  <c r="V1347" i="33"/>
  <c r="S1347" i="33"/>
  <c r="R1347" i="33"/>
  <c r="K1347" i="33"/>
  <c r="F1347" i="33"/>
  <c r="W1394" i="33" l="1"/>
  <c r="X1394" i="33"/>
  <c r="Y1394" i="33"/>
  <c r="Y1371" i="33"/>
  <c r="W1371" i="33"/>
  <c r="X1371" i="33"/>
  <c r="Z1369" i="33"/>
  <c r="Y1369" i="33"/>
  <c r="W1369" i="33"/>
  <c r="W1353" i="33"/>
  <c r="X1353" i="33"/>
  <c r="Y1353" i="33"/>
  <c r="W1351" i="33"/>
  <c r="X1351" i="33"/>
  <c r="Y1351" i="33"/>
  <c r="AF1345" i="33"/>
  <c r="V1345" i="33"/>
  <c r="Y1345" i="33"/>
  <c r="S1345" i="33"/>
  <c r="R1345" i="33"/>
  <c r="K1345" i="33"/>
  <c r="F1345" i="33"/>
  <c r="AE1034" i="35"/>
  <c r="Y1034" i="35"/>
  <c r="X1034" i="35"/>
  <c r="W1034" i="35"/>
  <c r="V1034" i="35"/>
  <c r="U1034" i="35"/>
  <c r="S1034" i="35"/>
  <c r="R1034" i="35"/>
  <c r="Q1034" i="35"/>
  <c r="K1034" i="35"/>
  <c r="F1034" i="35"/>
  <c r="H1371" i="33" l="1"/>
  <c r="I1351" i="33"/>
  <c r="H1394" i="33"/>
  <c r="G1349" i="33"/>
  <c r="G1353" i="33"/>
  <c r="H1347" i="33"/>
  <c r="H1422" i="33"/>
  <c r="G1414" i="33"/>
  <c r="I1422" i="33"/>
  <c r="I1418" i="33"/>
  <c r="G1431" i="33"/>
  <c r="G1420" i="33"/>
  <c r="H1414" i="33"/>
  <c r="G1425" i="33"/>
  <c r="H1420" i="33"/>
  <c r="H1431" i="33"/>
  <c r="I1412" i="33"/>
  <c r="H1427" i="33"/>
  <c r="H1408" i="33"/>
  <c r="I1420" i="33"/>
  <c r="G1423" i="33"/>
  <c r="G1418" i="33"/>
  <c r="H1406" i="33"/>
  <c r="I1431" i="33"/>
  <c r="G1422" i="33"/>
  <c r="H1412" i="33"/>
  <c r="H1425" i="33"/>
  <c r="G1427" i="33"/>
  <c r="H1418" i="33"/>
  <c r="G1410" i="33"/>
  <c r="I1408" i="33"/>
  <c r="I1425" i="33"/>
  <c r="G1412" i="33"/>
  <c r="H1410" i="33"/>
  <c r="H1423" i="33"/>
  <c r="G1408" i="33"/>
  <c r="I1427" i="33"/>
  <c r="G1406" i="33"/>
  <c r="I1410" i="33"/>
  <c r="I1406" i="33"/>
  <c r="I1423" i="33"/>
  <c r="I1414" i="33"/>
  <c r="G1351" i="33"/>
  <c r="G1394" i="33"/>
  <c r="I1394" i="33"/>
  <c r="I1349" i="33"/>
  <c r="G1371" i="33"/>
  <c r="H1349" i="33"/>
  <c r="H1369" i="33"/>
  <c r="H1351" i="33"/>
  <c r="G1369" i="33"/>
  <c r="I1371" i="33"/>
  <c r="I1353" i="33"/>
  <c r="H1353" i="33"/>
  <c r="I1369" i="33"/>
  <c r="G1347" i="33"/>
  <c r="I1347" i="33"/>
  <c r="W1345" i="33"/>
  <c r="X1345" i="33"/>
  <c r="Z1345" i="33"/>
  <c r="L1423" i="33" l="1"/>
  <c r="L1422" i="33"/>
  <c r="L1414" i="33"/>
  <c r="L1408" i="33"/>
  <c r="L1410" i="33"/>
  <c r="L1406" i="33"/>
  <c r="L1431" i="33"/>
  <c r="L1420" i="33"/>
  <c r="L1425" i="33"/>
  <c r="L1418" i="33"/>
  <c r="L1412" i="33"/>
  <c r="L1351" i="33"/>
  <c r="L1394" i="33"/>
  <c r="L1353" i="33"/>
  <c r="L1369" i="33"/>
  <c r="L1371" i="33"/>
  <c r="AB1431" i="33"/>
  <c r="AB1406" i="33"/>
  <c r="AB1410" i="33"/>
  <c r="AB1414" i="33"/>
  <c r="AB1412" i="33"/>
  <c r="AB1420" i="33"/>
  <c r="AB1408" i="33"/>
  <c r="AB1418" i="33"/>
  <c r="AB1371" i="33"/>
  <c r="AB1353" i="33"/>
  <c r="AB1351" i="33"/>
  <c r="AB1349" i="33"/>
  <c r="AB1394" i="33"/>
  <c r="AB1369" i="33"/>
  <c r="AE1002" i="35"/>
  <c r="Y1002" i="35"/>
  <c r="X1002" i="35"/>
  <c r="U1002" i="35"/>
  <c r="S1002" i="35"/>
  <c r="R1002" i="35"/>
  <c r="Q1002" i="35"/>
  <c r="K1002" i="35"/>
  <c r="F1002" i="35"/>
  <c r="AF1297" i="33"/>
  <c r="V1297" i="33"/>
  <c r="T1297" i="33"/>
  <c r="S1297" i="33"/>
  <c r="R1297" i="33"/>
  <c r="K1297" i="33"/>
  <c r="F1297" i="33"/>
  <c r="AF1295" i="33"/>
  <c r="V1295" i="33"/>
  <c r="T1295" i="33"/>
  <c r="Z1295" i="33" s="1"/>
  <c r="S1295" i="33"/>
  <c r="R1295" i="33"/>
  <c r="K1295" i="33"/>
  <c r="F1295" i="33"/>
  <c r="AF1293" i="33"/>
  <c r="V1293" i="33"/>
  <c r="T1293" i="33"/>
  <c r="S1293" i="33"/>
  <c r="R1293" i="33"/>
  <c r="K1293" i="33"/>
  <c r="F1293" i="33"/>
  <c r="AD1002" i="35" l="1"/>
  <c r="Y1297" i="33"/>
  <c r="Z1297" i="33"/>
  <c r="AE1297" i="33"/>
  <c r="Y1295" i="33"/>
  <c r="AE1295" i="33"/>
  <c r="Y1293" i="33"/>
  <c r="Z1293" i="33"/>
  <c r="AE1293" i="33"/>
  <c r="AE1004" i="35" l="1"/>
  <c r="Y1004" i="35"/>
  <c r="X1004" i="35"/>
  <c r="U1004" i="35"/>
  <c r="S1004" i="35"/>
  <c r="R1004" i="35"/>
  <c r="Q1004" i="35"/>
  <c r="K1004" i="35"/>
  <c r="F1004" i="35"/>
  <c r="AE1006" i="35"/>
  <c r="Y1006" i="35"/>
  <c r="X1006" i="35"/>
  <c r="U1006" i="35"/>
  <c r="S1006" i="35"/>
  <c r="R1006" i="35"/>
  <c r="Q1006" i="35"/>
  <c r="K1006" i="35"/>
  <c r="F1006" i="35"/>
  <c r="AE986" i="35"/>
  <c r="AG986" i="35" s="1"/>
  <c r="Y986" i="35"/>
  <c r="X986" i="35"/>
  <c r="U986" i="35"/>
  <c r="S986" i="35"/>
  <c r="R986" i="35"/>
  <c r="K986" i="35"/>
  <c r="F986" i="35"/>
  <c r="AE983" i="35"/>
  <c r="Y983" i="35"/>
  <c r="X983" i="35"/>
  <c r="U983" i="35"/>
  <c r="S983" i="35"/>
  <c r="R983" i="35"/>
  <c r="Q983" i="35"/>
  <c r="K983" i="35"/>
  <c r="F983" i="35"/>
  <c r="AE981" i="35"/>
  <c r="Y981" i="35"/>
  <c r="X981" i="35"/>
  <c r="U981" i="35"/>
  <c r="S981" i="35"/>
  <c r="R981" i="35"/>
  <c r="Q981" i="35"/>
  <c r="K981" i="35"/>
  <c r="F981" i="35"/>
  <c r="AE979" i="35"/>
  <c r="Y979" i="35"/>
  <c r="X979" i="35"/>
  <c r="U979" i="35"/>
  <c r="S979" i="35"/>
  <c r="R979" i="35"/>
  <c r="Q979" i="35"/>
  <c r="K979" i="35"/>
  <c r="F979" i="35"/>
  <c r="AE977" i="35"/>
  <c r="Y977" i="35"/>
  <c r="X977" i="35"/>
  <c r="U977" i="35"/>
  <c r="S977" i="35"/>
  <c r="R977" i="35"/>
  <c r="Q977" i="35"/>
  <c r="K977" i="35"/>
  <c r="F977" i="35"/>
  <c r="AD1004" i="35" l="1"/>
  <c r="AD1006" i="35"/>
  <c r="AD986" i="35"/>
  <c r="AD979" i="35"/>
  <c r="AD983" i="35"/>
  <c r="AD977" i="35"/>
  <c r="AD981" i="35"/>
  <c r="V1337" i="33" l="1"/>
  <c r="T1337" i="33"/>
  <c r="Z1337" i="33" s="1"/>
  <c r="S1337" i="33"/>
  <c r="R1337" i="33"/>
  <c r="K1337" i="33"/>
  <c r="F1337" i="33"/>
  <c r="Y1337" i="33" l="1"/>
  <c r="A708" i="36" l="1"/>
  <c r="V1325" i="33"/>
  <c r="T1325" i="33"/>
  <c r="Z1325" i="33" s="1"/>
  <c r="S1325" i="33"/>
  <c r="R1325" i="33"/>
  <c r="K1325" i="33"/>
  <c r="F1325" i="33"/>
  <c r="Y1325" i="33" l="1"/>
  <c r="V1435" i="33"/>
  <c r="AF1435" i="33"/>
  <c r="T1435" i="33"/>
  <c r="Z1435" i="33" s="1"/>
  <c r="S1435" i="33"/>
  <c r="R1435" i="33"/>
  <c r="K1435" i="33"/>
  <c r="F1435" i="33"/>
  <c r="W1435" i="33" l="1"/>
  <c r="X1435" i="33"/>
  <c r="Y1435" i="33"/>
  <c r="AF1277" i="33" l="1"/>
  <c r="V1277" i="33"/>
  <c r="T1277" i="33"/>
  <c r="Z1277" i="33" s="1"/>
  <c r="S1277" i="33"/>
  <c r="R1277" i="33"/>
  <c r="K1277" i="33"/>
  <c r="F1277" i="33"/>
  <c r="AF1275" i="33"/>
  <c r="V1275" i="33"/>
  <c r="T1275" i="33"/>
  <c r="Z1275" i="33" s="1"/>
  <c r="S1275" i="33"/>
  <c r="R1275" i="33"/>
  <c r="K1275" i="33"/>
  <c r="F1275" i="33"/>
  <c r="I1277" i="33" l="1"/>
  <c r="I1345" i="33"/>
  <c r="G1034" i="35"/>
  <c r="G1345" i="33"/>
  <c r="H1345" i="33"/>
  <c r="H1034" i="35"/>
  <c r="I1034" i="35"/>
  <c r="I1297" i="33"/>
  <c r="G1295" i="33"/>
  <c r="H1295" i="33"/>
  <c r="I1002" i="35"/>
  <c r="H1297" i="33"/>
  <c r="I1293" i="33"/>
  <c r="G1297" i="33"/>
  <c r="I1295" i="33"/>
  <c r="G1293" i="33"/>
  <c r="H1293" i="33"/>
  <c r="G1002" i="35"/>
  <c r="H1002" i="35"/>
  <c r="I983" i="35"/>
  <c r="I981" i="35"/>
  <c r="H1006" i="35"/>
  <c r="H981" i="35"/>
  <c r="I977" i="35"/>
  <c r="I986" i="35"/>
  <c r="G1006" i="35"/>
  <c r="I979" i="35"/>
  <c r="G986" i="35"/>
  <c r="H979" i="35"/>
  <c r="H986" i="35"/>
  <c r="H977" i="35"/>
  <c r="G1004" i="35"/>
  <c r="H983" i="35"/>
  <c r="I1004" i="35"/>
  <c r="I1006" i="35"/>
  <c r="G979" i="35"/>
  <c r="G977" i="35"/>
  <c r="G981" i="35"/>
  <c r="G983" i="35"/>
  <c r="H1004" i="35"/>
  <c r="I1337" i="33"/>
  <c r="H1337" i="33"/>
  <c r="G1337" i="33"/>
  <c r="I1325" i="33"/>
  <c r="G1325" i="33"/>
  <c r="H1325" i="33"/>
  <c r="H1435" i="33"/>
  <c r="I1435" i="33"/>
  <c r="G1435" i="33"/>
  <c r="L1277" i="33"/>
  <c r="Y1277" i="33"/>
  <c r="H1277" i="33"/>
  <c r="W1277" i="33"/>
  <c r="X1277" i="33"/>
  <c r="G1277" i="33"/>
  <c r="W1275" i="33"/>
  <c r="X1275" i="33"/>
  <c r="Y1275" i="33"/>
  <c r="AB1347" i="33" l="1"/>
  <c r="AB1277" i="33"/>
  <c r="L1345" i="33"/>
  <c r="L1034" i="35"/>
  <c r="L1002" i="35"/>
  <c r="L1293" i="33"/>
  <c r="L1295" i="33"/>
  <c r="L1297" i="33"/>
  <c r="L1004" i="35"/>
  <c r="L981" i="35"/>
  <c r="L979" i="35"/>
  <c r="L977" i="35"/>
  <c r="L983" i="35"/>
  <c r="L1006" i="35"/>
  <c r="L986" i="35"/>
  <c r="L1337" i="33"/>
  <c r="L1325" i="33"/>
  <c r="L1435" i="33"/>
  <c r="AB1345" i="33"/>
  <c r="AA1034" i="35"/>
  <c r="AA1002" i="35"/>
  <c r="X1293" i="33"/>
  <c r="X1297" i="33"/>
  <c r="V1002" i="35"/>
  <c r="W1293" i="33"/>
  <c r="W1002" i="35"/>
  <c r="W1297" i="33"/>
  <c r="W1295" i="33"/>
  <c r="X1295" i="33"/>
  <c r="W1006" i="35"/>
  <c r="W986" i="35"/>
  <c r="W981" i="35"/>
  <c r="V1004" i="35"/>
  <c r="AA977" i="35"/>
  <c r="V981" i="35"/>
  <c r="W977" i="35"/>
  <c r="W1004" i="35"/>
  <c r="AA983" i="35"/>
  <c r="V1006" i="35"/>
  <c r="AA1006" i="35"/>
  <c r="AA979" i="35"/>
  <c r="AA986" i="35"/>
  <c r="V983" i="35"/>
  <c r="AA981" i="35"/>
  <c r="V977" i="35"/>
  <c r="W983" i="35"/>
  <c r="V986" i="35"/>
  <c r="X1337" i="33"/>
  <c r="W1337" i="33"/>
  <c r="X1325" i="33"/>
  <c r="W1325" i="33"/>
  <c r="AB1435" i="33"/>
  <c r="AE945" i="35"/>
  <c r="Y945" i="35"/>
  <c r="X945" i="35"/>
  <c r="W945" i="35"/>
  <c r="V945" i="35"/>
  <c r="U945" i="35"/>
  <c r="S945" i="35"/>
  <c r="R945" i="35"/>
  <c r="Q945" i="35"/>
  <c r="K945" i="35"/>
  <c r="F945" i="35"/>
  <c r="AE943" i="35"/>
  <c r="Y943" i="35"/>
  <c r="X943" i="35"/>
  <c r="W943" i="35"/>
  <c r="V943" i="35"/>
  <c r="U943" i="35"/>
  <c r="S943" i="35"/>
  <c r="R943" i="35"/>
  <c r="Q943" i="35"/>
  <c r="K943" i="35"/>
  <c r="F943" i="35"/>
  <c r="AE941" i="35"/>
  <c r="Y941" i="35"/>
  <c r="X941" i="35"/>
  <c r="W941" i="35"/>
  <c r="V941" i="35"/>
  <c r="U941" i="35"/>
  <c r="S941" i="35"/>
  <c r="R941" i="35"/>
  <c r="Q941" i="35"/>
  <c r="K941" i="35"/>
  <c r="F941" i="35"/>
  <c r="Y939" i="35"/>
  <c r="X939" i="35"/>
  <c r="W939" i="35"/>
  <c r="V939" i="35"/>
  <c r="U939" i="35"/>
  <c r="S939" i="35"/>
  <c r="R939" i="35"/>
  <c r="Q939" i="35"/>
  <c r="K939" i="35"/>
  <c r="F939" i="35"/>
  <c r="AE937" i="35"/>
  <c r="Y937" i="35"/>
  <c r="X937" i="35"/>
  <c r="W937" i="35"/>
  <c r="V937" i="35"/>
  <c r="U937" i="35"/>
  <c r="S937" i="35"/>
  <c r="R937" i="35"/>
  <c r="Q937" i="35"/>
  <c r="K937" i="35"/>
  <c r="F937" i="35"/>
  <c r="AF1259" i="33"/>
  <c r="V1259" i="33"/>
  <c r="T1259" i="33"/>
  <c r="Z1259" i="33" s="1"/>
  <c r="S1259" i="33"/>
  <c r="R1259" i="33"/>
  <c r="K1259" i="33"/>
  <c r="F1259" i="33"/>
  <c r="AF1257" i="33"/>
  <c r="V1257" i="33"/>
  <c r="T1257" i="33"/>
  <c r="W1257" i="33" s="1"/>
  <c r="S1257" i="33"/>
  <c r="R1257" i="33"/>
  <c r="K1257" i="33"/>
  <c r="F1257" i="33"/>
  <c r="AF1255" i="33"/>
  <c r="V1255" i="33"/>
  <c r="T1255" i="33"/>
  <c r="Z1255" i="33" s="1"/>
  <c r="S1255" i="33"/>
  <c r="R1255" i="33"/>
  <c r="K1255" i="33"/>
  <c r="F1255" i="33"/>
  <c r="AF1253" i="33"/>
  <c r="V1253" i="33"/>
  <c r="T1253" i="33"/>
  <c r="Z1253" i="33" s="1"/>
  <c r="S1253" i="33"/>
  <c r="R1253" i="33"/>
  <c r="K1253" i="33"/>
  <c r="F1253" i="33"/>
  <c r="Y1257" i="33" l="1"/>
  <c r="Z1257" i="33"/>
  <c r="W1259" i="33"/>
  <c r="X1257" i="33"/>
  <c r="X1259" i="33"/>
  <c r="Y1259" i="33"/>
  <c r="W1255" i="33"/>
  <c r="X1255" i="33"/>
  <c r="Y1255" i="33"/>
  <c r="W1253" i="33"/>
  <c r="X1253" i="33"/>
  <c r="Y1253" i="33"/>
  <c r="AF1241" i="33"/>
  <c r="V1241" i="33"/>
  <c r="T1241" i="33"/>
  <c r="Z1241" i="33" s="1"/>
  <c r="S1241" i="33"/>
  <c r="R1241" i="33"/>
  <c r="K1241" i="33"/>
  <c r="F1241" i="33"/>
  <c r="AF1239" i="33"/>
  <c r="V1239" i="33"/>
  <c r="T1239" i="33"/>
  <c r="Z1239" i="33" s="1"/>
  <c r="S1239" i="33"/>
  <c r="R1239" i="33"/>
  <c r="K1239" i="33"/>
  <c r="F1239" i="33"/>
  <c r="AF1237" i="33"/>
  <c r="V1237" i="33"/>
  <c r="T1237" i="33"/>
  <c r="X1237" i="33" s="1"/>
  <c r="S1237" i="33"/>
  <c r="R1237" i="33"/>
  <c r="K1237" i="33"/>
  <c r="F1237" i="33"/>
  <c r="Y1237" i="33" l="1"/>
  <c r="Z1237" i="33"/>
  <c r="W1239" i="33"/>
  <c r="Y1239" i="33"/>
  <c r="W1241" i="33"/>
  <c r="X1241" i="33"/>
  <c r="W1237" i="33"/>
  <c r="X1239" i="33"/>
  <c r="Y1241" i="33"/>
  <c r="Z1335" i="33" l="1"/>
  <c r="Y1335" i="33"/>
  <c r="V1335" i="33"/>
  <c r="S1335" i="33"/>
  <c r="R1335" i="33"/>
  <c r="K1335" i="33"/>
  <c r="F1335" i="33"/>
  <c r="V1333" i="33"/>
  <c r="T1333" i="33"/>
  <c r="Z1333" i="33" s="1"/>
  <c r="S1333" i="33"/>
  <c r="R1333" i="33"/>
  <c r="K1333" i="33"/>
  <c r="F1333" i="33"/>
  <c r="V1327" i="33"/>
  <c r="T1327" i="33"/>
  <c r="Z1327" i="33" s="1"/>
  <c r="S1327" i="33"/>
  <c r="R1327" i="33"/>
  <c r="K1327" i="33"/>
  <c r="F1327" i="33"/>
  <c r="V1323" i="33"/>
  <c r="T1323" i="33"/>
  <c r="Z1323" i="33" s="1"/>
  <c r="S1323" i="33"/>
  <c r="R1323" i="33"/>
  <c r="K1323" i="33"/>
  <c r="F1323" i="33"/>
  <c r="V1321" i="33"/>
  <c r="T1321" i="33"/>
  <c r="Z1321" i="33" s="1"/>
  <c r="S1321" i="33"/>
  <c r="R1321" i="33"/>
  <c r="K1321" i="33"/>
  <c r="F1321" i="33"/>
  <c r="V1319" i="33"/>
  <c r="T1319" i="33"/>
  <c r="Z1319" i="33" s="1"/>
  <c r="S1319" i="33"/>
  <c r="R1319" i="33"/>
  <c r="K1319" i="33"/>
  <c r="F1319" i="33"/>
  <c r="V1317" i="33"/>
  <c r="T1317" i="33"/>
  <c r="Z1317" i="33" s="1"/>
  <c r="S1317" i="33"/>
  <c r="R1317" i="33"/>
  <c r="K1317" i="33"/>
  <c r="F1317" i="33"/>
  <c r="V1315" i="33"/>
  <c r="T1315" i="33"/>
  <c r="Z1315" i="33" s="1"/>
  <c r="S1315" i="33"/>
  <c r="R1315" i="33"/>
  <c r="K1315" i="33"/>
  <c r="F1315" i="33"/>
  <c r="V1313" i="33"/>
  <c r="T1313" i="33"/>
  <c r="Z1313" i="33" s="1"/>
  <c r="S1313" i="33"/>
  <c r="R1313" i="33"/>
  <c r="K1313" i="33"/>
  <c r="F1313" i="33"/>
  <c r="T1311" i="33"/>
  <c r="Z1311" i="33" s="1"/>
  <c r="V1311" i="33"/>
  <c r="S1311" i="33"/>
  <c r="R1311" i="33"/>
  <c r="K1311" i="33"/>
  <c r="F1311" i="33"/>
  <c r="V1309" i="33"/>
  <c r="T1309" i="33"/>
  <c r="S1309" i="33"/>
  <c r="R1309" i="33"/>
  <c r="K1309" i="33"/>
  <c r="F1309" i="33"/>
  <c r="V1307" i="33"/>
  <c r="T1307" i="33"/>
  <c r="Z1307" i="33" s="1"/>
  <c r="S1307" i="33"/>
  <c r="R1307" i="33"/>
  <c r="K1307" i="33"/>
  <c r="F1307" i="33"/>
  <c r="V1305" i="33"/>
  <c r="T1305" i="33"/>
  <c r="Z1305" i="33" s="1"/>
  <c r="S1305" i="33"/>
  <c r="R1305" i="33"/>
  <c r="K1305" i="33"/>
  <c r="F1305" i="33"/>
  <c r="AF1291" i="33"/>
  <c r="V1291" i="33"/>
  <c r="T1291" i="33"/>
  <c r="Z1291" i="33" s="1"/>
  <c r="S1291" i="33"/>
  <c r="R1291" i="33"/>
  <c r="K1291" i="33"/>
  <c r="F1291" i="33"/>
  <c r="AF1289" i="33"/>
  <c r="V1289" i="33"/>
  <c r="T1289" i="33"/>
  <c r="Z1289" i="33" s="1"/>
  <c r="S1289" i="33"/>
  <c r="R1289" i="33"/>
  <c r="K1289" i="33"/>
  <c r="F1289" i="33"/>
  <c r="AF1287" i="33"/>
  <c r="V1287" i="33"/>
  <c r="T1287" i="33"/>
  <c r="Z1287" i="33" s="1"/>
  <c r="S1287" i="33"/>
  <c r="R1287" i="33"/>
  <c r="K1287" i="33"/>
  <c r="F1287" i="33"/>
  <c r="AE1289" i="33" l="1"/>
  <c r="Y1333" i="33"/>
  <c r="Y1327" i="33"/>
  <c r="Y1323" i="33"/>
  <c r="Y1321" i="33"/>
  <c r="Y1319" i="33"/>
  <c r="Y1317" i="33"/>
  <c r="Y1315" i="33"/>
  <c r="Y1313" i="33"/>
  <c r="Y1311" i="33"/>
  <c r="Y1309" i="33"/>
  <c r="Z1309" i="33"/>
  <c r="Y1307" i="33"/>
  <c r="Y1305" i="33"/>
  <c r="Y1291" i="33"/>
  <c r="AE1291" i="33"/>
  <c r="Y1289" i="33"/>
  <c r="Y1287" i="33"/>
  <c r="AE1287" i="33"/>
  <c r="AE1020" i="35" l="1"/>
  <c r="Y1020" i="35"/>
  <c r="X1020" i="35"/>
  <c r="U1020" i="35"/>
  <c r="S1020" i="35"/>
  <c r="R1020" i="35"/>
  <c r="Q1020" i="35"/>
  <c r="K1020" i="35"/>
  <c r="F1020" i="35"/>
  <c r="AE1018" i="35"/>
  <c r="Y1018" i="35"/>
  <c r="X1018" i="35"/>
  <c r="U1018" i="35"/>
  <c r="S1018" i="35"/>
  <c r="R1018" i="35"/>
  <c r="Q1018" i="35"/>
  <c r="K1018" i="35"/>
  <c r="F1018" i="35"/>
  <c r="AE1014" i="35"/>
  <c r="Y1014" i="35"/>
  <c r="X1014" i="35"/>
  <c r="U1014" i="35"/>
  <c r="S1014" i="35"/>
  <c r="R1014" i="35"/>
  <c r="Q1014" i="35"/>
  <c r="K1014" i="35"/>
  <c r="F1014" i="35"/>
  <c r="AE1012" i="35"/>
  <c r="Y1012" i="35"/>
  <c r="X1012" i="35"/>
  <c r="U1012" i="35"/>
  <c r="S1012" i="35"/>
  <c r="R1012" i="35"/>
  <c r="Q1012" i="35"/>
  <c r="K1012" i="35"/>
  <c r="F1012" i="35"/>
  <c r="AE1010" i="35"/>
  <c r="Y1010" i="35"/>
  <c r="X1010" i="35"/>
  <c r="U1010" i="35"/>
  <c r="S1010" i="35"/>
  <c r="R1010" i="35"/>
  <c r="Q1010" i="35"/>
  <c r="K1010" i="35"/>
  <c r="F1010" i="35"/>
  <c r="AE1008" i="35"/>
  <c r="Y1008" i="35"/>
  <c r="X1008" i="35"/>
  <c r="U1008" i="35"/>
  <c r="S1008" i="35"/>
  <c r="R1008" i="35"/>
  <c r="Q1008" i="35"/>
  <c r="K1008" i="35"/>
  <c r="F1008" i="35"/>
  <c r="AD1008" i="35" l="1"/>
  <c r="AD1020" i="35"/>
  <c r="AD1018" i="35"/>
  <c r="AD1014" i="35"/>
  <c r="AD1012" i="35"/>
  <c r="AD1010" i="35"/>
  <c r="AE996" i="35"/>
  <c r="Y996" i="35"/>
  <c r="X996" i="35"/>
  <c r="U996" i="35"/>
  <c r="S996" i="35"/>
  <c r="R996" i="35"/>
  <c r="Q996" i="35"/>
  <c r="K996" i="35"/>
  <c r="F996" i="35"/>
  <c r="AE994" i="35"/>
  <c r="Y994" i="35"/>
  <c r="X994" i="35"/>
  <c r="U994" i="35"/>
  <c r="S994" i="35"/>
  <c r="R994" i="35"/>
  <c r="Q994" i="35"/>
  <c r="K994" i="35"/>
  <c r="F994" i="35"/>
  <c r="AE992" i="35"/>
  <c r="Y992" i="35"/>
  <c r="X992" i="35"/>
  <c r="U992" i="35"/>
  <c r="S992" i="35"/>
  <c r="R992" i="35"/>
  <c r="Q992" i="35"/>
  <c r="K992" i="35"/>
  <c r="F992" i="35"/>
  <c r="AE990" i="35"/>
  <c r="Y990" i="35"/>
  <c r="X990" i="35"/>
  <c r="U990" i="35"/>
  <c r="S990" i="35"/>
  <c r="R990" i="35"/>
  <c r="Q990" i="35"/>
  <c r="K990" i="35"/>
  <c r="F990" i="35"/>
  <c r="AE988" i="35"/>
  <c r="Y988" i="35"/>
  <c r="X988" i="35"/>
  <c r="U988" i="35"/>
  <c r="S988" i="35"/>
  <c r="R988" i="35"/>
  <c r="Q988" i="35"/>
  <c r="K988" i="35"/>
  <c r="F988" i="35"/>
  <c r="AE971" i="35"/>
  <c r="Y971" i="35"/>
  <c r="X971" i="35"/>
  <c r="U971" i="35"/>
  <c r="S971" i="35"/>
  <c r="R971" i="35"/>
  <c r="Q971" i="35"/>
  <c r="K971" i="35"/>
  <c r="F971" i="35"/>
  <c r="AE969" i="35"/>
  <c r="Y969" i="35"/>
  <c r="X969" i="35"/>
  <c r="U969" i="35"/>
  <c r="S969" i="35"/>
  <c r="R969" i="35"/>
  <c r="Q969" i="35"/>
  <c r="K969" i="35"/>
  <c r="F969" i="35"/>
  <c r="AE967" i="35"/>
  <c r="Y967" i="35"/>
  <c r="X967" i="35"/>
  <c r="U967" i="35"/>
  <c r="S967" i="35"/>
  <c r="R967" i="35"/>
  <c r="Q967" i="35"/>
  <c r="K967" i="35"/>
  <c r="F967" i="35"/>
  <c r="AE965" i="35"/>
  <c r="Y965" i="35"/>
  <c r="X965" i="35"/>
  <c r="U965" i="35"/>
  <c r="S965" i="35"/>
  <c r="R965" i="35"/>
  <c r="Q965" i="35"/>
  <c r="K965" i="35"/>
  <c r="F965" i="35"/>
  <c r="AE963" i="35"/>
  <c r="Y963" i="35"/>
  <c r="X963" i="35"/>
  <c r="U963" i="35"/>
  <c r="S963" i="35"/>
  <c r="R963" i="35"/>
  <c r="Q963" i="35"/>
  <c r="K963" i="35"/>
  <c r="F963" i="35"/>
  <c r="AE959" i="35"/>
  <c r="Y959" i="35"/>
  <c r="X959" i="35"/>
  <c r="U959" i="35"/>
  <c r="S959" i="35"/>
  <c r="R959" i="35"/>
  <c r="Q959" i="35"/>
  <c r="K959" i="35"/>
  <c r="F959" i="35"/>
  <c r="AE961" i="35"/>
  <c r="Y961" i="35"/>
  <c r="X961" i="35"/>
  <c r="U961" i="35"/>
  <c r="S961" i="35"/>
  <c r="R961" i="35"/>
  <c r="Q961" i="35"/>
  <c r="K961" i="35"/>
  <c r="F961" i="35"/>
  <c r="AD996" i="35" l="1"/>
  <c r="AD994" i="35"/>
  <c r="AD992" i="35"/>
  <c r="AD990" i="35"/>
  <c r="AD988" i="35"/>
  <c r="AD971" i="35"/>
  <c r="AD969" i="35"/>
  <c r="AD967" i="35"/>
  <c r="AD965" i="35"/>
  <c r="AD963" i="35"/>
  <c r="AD959" i="35"/>
  <c r="AD961" i="35"/>
  <c r="F1233" i="33" l="1"/>
  <c r="A640" i="36"/>
  <c r="AF1227" i="33"/>
  <c r="V1227" i="33"/>
  <c r="T1227" i="33"/>
  <c r="Y1227" i="33" s="1"/>
  <c r="S1227" i="33"/>
  <c r="R1227" i="33"/>
  <c r="K1227" i="33"/>
  <c r="F1227" i="33"/>
  <c r="G1275" i="33" l="1"/>
  <c r="H1275" i="33"/>
  <c r="I1275" i="33"/>
  <c r="I943" i="35"/>
  <c r="H1257" i="33"/>
  <c r="I1253" i="33"/>
  <c r="H941" i="35"/>
  <c r="I945" i="35"/>
  <c r="I939" i="35"/>
  <c r="I1259" i="33"/>
  <c r="H945" i="35"/>
  <c r="G1255" i="33"/>
  <c r="G1259" i="33"/>
  <c r="H1259" i="33"/>
  <c r="I937" i="35"/>
  <c r="G941" i="35"/>
  <c r="G945" i="35"/>
  <c r="G1253" i="33"/>
  <c r="I941" i="35"/>
  <c r="I1257" i="33"/>
  <c r="H1253" i="33"/>
  <c r="G943" i="35"/>
  <c r="G939" i="35"/>
  <c r="H943" i="35"/>
  <c r="H939" i="35"/>
  <c r="I1255" i="33"/>
  <c r="H937" i="35"/>
  <c r="G1257" i="33"/>
  <c r="H1255" i="33"/>
  <c r="G937" i="35"/>
  <c r="I1241" i="33"/>
  <c r="I1239" i="33"/>
  <c r="H1237" i="33"/>
  <c r="G1239" i="33"/>
  <c r="G1241" i="33"/>
  <c r="G1237" i="33"/>
  <c r="H1239" i="33"/>
  <c r="H1241" i="33"/>
  <c r="I1237" i="33"/>
  <c r="G1307" i="33"/>
  <c r="H1315" i="33"/>
  <c r="H1317" i="33"/>
  <c r="G1287" i="33"/>
  <c r="H1287" i="33"/>
  <c r="I1311" i="33"/>
  <c r="H1307" i="33"/>
  <c r="G1305" i="33"/>
  <c r="G1317" i="33"/>
  <c r="G1289" i="33"/>
  <c r="G1291" i="33"/>
  <c r="G1327" i="33"/>
  <c r="H1313" i="33"/>
  <c r="I1327" i="33"/>
  <c r="I1317" i="33"/>
  <c r="I1305" i="33"/>
  <c r="G1311" i="33"/>
  <c r="H1333" i="33"/>
  <c r="H1309" i="33"/>
  <c r="H1311" i="33"/>
  <c r="I1287" i="33"/>
  <c r="G1315" i="33"/>
  <c r="I1333" i="33"/>
  <c r="G1319" i="33"/>
  <c r="I1315" i="33"/>
  <c r="I1323" i="33"/>
  <c r="I1335" i="33"/>
  <c r="G1323" i="33"/>
  <c r="H1319" i="33"/>
  <c r="I1307" i="33"/>
  <c r="H1305" i="33"/>
  <c r="I1289" i="33"/>
  <c r="G1335" i="33"/>
  <c r="H1323" i="33"/>
  <c r="I1319" i="33"/>
  <c r="H1335" i="33"/>
  <c r="G1321" i="33"/>
  <c r="G1313" i="33"/>
  <c r="H1289" i="33"/>
  <c r="H1291" i="33"/>
  <c r="G1333" i="33"/>
  <c r="H1321" i="33"/>
  <c r="I1313" i="33"/>
  <c r="I1321" i="33"/>
  <c r="I1291" i="33"/>
  <c r="G1309" i="33"/>
  <c r="H1327" i="33"/>
  <c r="I1309" i="33"/>
  <c r="G1020" i="35"/>
  <c r="H1014" i="35"/>
  <c r="H1012" i="35"/>
  <c r="H1020" i="35"/>
  <c r="H1010" i="35"/>
  <c r="G1018" i="35"/>
  <c r="I1012" i="35"/>
  <c r="I1014" i="35"/>
  <c r="I1018" i="35"/>
  <c r="I1020" i="35"/>
  <c r="G1010" i="35"/>
  <c r="I1008" i="35"/>
  <c r="I1010" i="35"/>
  <c r="G1008" i="35"/>
  <c r="G1014" i="35"/>
  <c r="H1008" i="35"/>
  <c r="H1018" i="35"/>
  <c r="G1012" i="35"/>
  <c r="G990" i="35"/>
  <c r="I965" i="35"/>
  <c r="H959" i="35"/>
  <c r="G994" i="35"/>
  <c r="G996" i="35"/>
  <c r="I994" i="35"/>
  <c r="H990" i="35"/>
  <c r="I969" i="35"/>
  <c r="H967" i="35"/>
  <c r="H988" i="35"/>
  <c r="G967" i="35"/>
  <c r="I971" i="35"/>
  <c r="I963" i="35"/>
  <c r="I988" i="35"/>
  <c r="G965" i="35"/>
  <c r="I992" i="35"/>
  <c r="H996" i="35"/>
  <c r="G963" i="35"/>
  <c r="I959" i="35"/>
  <c r="I967" i="35"/>
  <c r="H963" i="35"/>
  <c r="G961" i="35"/>
  <c r="G959" i="35"/>
  <c r="I990" i="35"/>
  <c r="H969" i="35"/>
  <c r="I996" i="35"/>
  <c r="H992" i="35"/>
  <c r="H971" i="35"/>
  <c r="H961" i="35"/>
  <c r="G971" i="35"/>
  <c r="I961" i="35"/>
  <c r="G988" i="35"/>
  <c r="G992" i="35"/>
  <c r="H965" i="35"/>
  <c r="H994" i="35"/>
  <c r="G969" i="35"/>
  <c r="W1227" i="33"/>
  <c r="X1227" i="33"/>
  <c r="Z1227" i="33"/>
  <c r="AB1275" i="33" l="1"/>
  <c r="AA937" i="35"/>
  <c r="AB1255" i="33"/>
  <c r="AB1257" i="33"/>
  <c r="AA941" i="35"/>
  <c r="AA945" i="35"/>
  <c r="AB1253" i="33"/>
  <c r="AA939" i="35"/>
  <c r="AA943" i="35"/>
  <c r="AB1259" i="33"/>
  <c r="AB1241" i="33"/>
  <c r="AB1237" i="33"/>
  <c r="AB1239" i="33"/>
  <c r="X1313" i="33"/>
  <c r="W1305" i="33"/>
  <c r="X1305" i="33"/>
  <c r="X1317" i="33"/>
  <c r="W1321" i="33"/>
  <c r="X1289" i="33"/>
  <c r="X1291" i="33"/>
  <c r="W1323" i="33"/>
  <c r="X1307" i="33"/>
  <c r="W1319" i="33"/>
  <c r="X1309" i="33"/>
  <c r="X1287" i="33"/>
  <c r="W1327" i="33"/>
  <c r="X1321" i="33"/>
  <c r="W1317" i="33"/>
  <c r="W1309" i="33"/>
  <c r="X1327" i="33"/>
  <c r="X1311" i="33"/>
  <c r="W1289" i="33"/>
  <c r="W1315" i="33"/>
  <c r="W1307" i="33"/>
  <c r="W1311" i="33"/>
  <c r="X1323" i="33"/>
  <c r="X1319" i="33"/>
  <c r="W1287" i="33"/>
  <c r="W1291" i="33"/>
  <c r="W1313" i="33"/>
  <c r="X1315" i="33"/>
  <c r="V1012" i="35"/>
  <c r="AA1008" i="35"/>
  <c r="AA1012" i="35"/>
  <c r="W1008" i="35"/>
  <c r="W1012" i="35"/>
  <c r="AA1014" i="35"/>
  <c r="W1010" i="35"/>
  <c r="AA1020" i="35"/>
  <c r="AA1010" i="35"/>
  <c r="V1008" i="35"/>
  <c r="AA1018" i="35"/>
  <c r="W1018" i="35"/>
  <c r="W1020" i="35"/>
  <c r="W1014" i="35"/>
  <c r="V1014" i="35"/>
  <c r="V1010" i="35"/>
  <c r="W994" i="35"/>
  <c r="AA969" i="35"/>
  <c r="W967" i="35"/>
  <c r="V959" i="35"/>
  <c r="W990" i="35"/>
  <c r="AA959" i="35"/>
  <c r="V971" i="35"/>
  <c r="V967" i="35"/>
  <c r="V994" i="35"/>
  <c r="AA990" i="35"/>
  <c r="AA967" i="35"/>
  <c r="V963" i="35"/>
  <c r="W963" i="35"/>
  <c r="V992" i="35"/>
  <c r="W971" i="35"/>
  <c r="AA996" i="35"/>
  <c r="W992" i="35"/>
  <c r="V969" i="35"/>
  <c r="AA971" i="35"/>
  <c r="AA961" i="35"/>
  <c r="V988" i="35"/>
  <c r="W965" i="35"/>
  <c r="W959" i="35"/>
  <c r="W969" i="35"/>
  <c r="AA963" i="35"/>
  <c r="W961" i="35"/>
  <c r="V996" i="35"/>
  <c r="AA992" i="35"/>
  <c r="V965" i="35"/>
  <c r="V961" i="35"/>
  <c r="AA994" i="35"/>
  <c r="W996" i="35"/>
  <c r="AA988" i="35"/>
  <c r="W988" i="35"/>
  <c r="V990" i="35"/>
  <c r="AA965" i="35"/>
  <c r="L1275" i="33"/>
  <c r="L1255" i="33"/>
  <c r="L937" i="35"/>
  <c r="L1253" i="33"/>
  <c r="L943" i="35"/>
  <c r="L945" i="35"/>
  <c r="L1259" i="33"/>
  <c r="L939" i="35"/>
  <c r="L941" i="35"/>
  <c r="L1257" i="33"/>
  <c r="L1241" i="33"/>
  <c r="L1239" i="33"/>
  <c r="L1237" i="33"/>
  <c r="L1327" i="33"/>
  <c r="L1321" i="33"/>
  <c r="L1309" i="33"/>
  <c r="L1311" i="33"/>
  <c r="L1305" i="33"/>
  <c r="L1313" i="33"/>
  <c r="L1315" i="33"/>
  <c r="L1307" i="33"/>
  <c r="L1323" i="33"/>
  <c r="L1319" i="33"/>
  <c r="L1287" i="33"/>
  <c r="L1289" i="33"/>
  <c r="L1317" i="33"/>
  <c r="L1291" i="33"/>
  <c r="L1018" i="35"/>
  <c r="L1008" i="35"/>
  <c r="L1012" i="35"/>
  <c r="L1020" i="35"/>
  <c r="L1014" i="35"/>
  <c r="L1010" i="35"/>
  <c r="L959" i="35"/>
  <c r="L969" i="35"/>
  <c r="L994" i="35"/>
  <c r="L996" i="35"/>
  <c r="L963" i="35"/>
  <c r="L961" i="35"/>
  <c r="L965" i="35"/>
  <c r="L971" i="35"/>
  <c r="L992" i="35"/>
  <c r="L967" i="35"/>
  <c r="L990" i="35"/>
  <c r="L988" i="35"/>
  <c r="AF1199" i="33"/>
  <c r="T1199" i="33"/>
  <c r="X1199" i="33" s="1"/>
  <c r="S1199" i="33"/>
  <c r="R1199" i="33"/>
  <c r="K1199" i="33"/>
  <c r="F1199" i="33"/>
  <c r="Y1199" i="33" l="1"/>
  <c r="Z1199" i="33"/>
  <c r="W1199" i="33"/>
  <c r="AF1283" i="33" l="1"/>
  <c r="V1283" i="33"/>
  <c r="T1283" i="33"/>
  <c r="Z1283" i="33" s="1"/>
  <c r="S1283" i="33"/>
  <c r="R1283" i="33"/>
  <c r="K1283" i="33"/>
  <c r="F1283" i="33"/>
  <c r="AF1273" i="33"/>
  <c r="V1273" i="33"/>
  <c r="T1273" i="33"/>
  <c r="Z1273" i="33" s="1"/>
  <c r="S1273" i="33"/>
  <c r="R1273" i="33"/>
  <c r="K1273" i="33"/>
  <c r="F1273" i="33"/>
  <c r="AF1271" i="33"/>
  <c r="V1271" i="33"/>
  <c r="T1271" i="33"/>
  <c r="Z1271" i="33" s="1"/>
  <c r="S1271" i="33"/>
  <c r="R1271" i="33"/>
  <c r="K1271" i="33"/>
  <c r="F1271" i="33"/>
  <c r="AF1269" i="33"/>
  <c r="V1269" i="33"/>
  <c r="T1269" i="33"/>
  <c r="Z1269" i="33" s="1"/>
  <c r="S1269" i="33"/>
  <c r="R1269" i="33"/>
  <c r="K1269" i="33"/>
  <c r="F1269" i="33"/>
  <c r="AF1267" i="33"/>
  <c r="V1267" i="33"/>
  <c r="T1267" i="33"/>
  <c r="Z1267" i="33" s="1"/>
  <c r="S1267" i="33"/>
  <c r="R1267" i="33"/>
  <c r="K1267" i="33"/>
  <c r="F1267" i="33"/>
  <c r="V1265" i="33"/>
  <c r="AF1265" i="33"/>
  <c r="T1265" i="33"/>
  <c r="Z1265" i="33" s="1"/>
  <c r="S1265" i="33"/>
  <c r="R1265" i="33"/>
  <c r="K1265" i="33"/>
  <c r="F1265" i="33"/>
  <c r="AF1263" i="33"/>
  <c r="V1263" i="33"/>
  <c r="T1263" i="33"/>
  <c r="X1263" i="33" s="1"/>
  <c r="S1263" i="33"/>
  <c r="R1263" i="33"/>
  <c r="K1263" i="33"/>
  <c r="F1263" i="33"/>
  <c r="AF1261" i="33"/>
  <c r="V1261" i="33"/>
  <c r="T1261" i="33"/>
  <c r="Z1261" i="33" s="1"/>
  <c r="S1261" i="33"/>
  <c r="R1261" i="33"/>
  <c r="K1261" i="33"/>
  <c r="F1261" i="33"/>
  <c r="AF1251" i="33"/>
  <c r="V1251" i="33"/>
  <c r="T1251" i="33"/>
  <c r="W1251" i="33" s="1"/>
  <c r="S1251" i="33"/>
  <c r="R1251" i="33"/>
  <c r="K1251" i="33"/>
  <c r="F1251" i="33"/>
  <c r="AF1249" i="33"/>
  <c r="V1249" i="33"/>
  <c r="T1249" i="33"/>
  <c r="W1249" i="33" s="1"/>
  <c r="S1249" i="33"/>
  <c r="R1249" i="33"/>
  <c r="K1249" i="33"/>
  <c r="F1249" i="33"/>
  <c r="AF1235" i="33"/>
  <c r="V1235" i="33"/>
  <c r="T1235" i="33"/>
  <c r="Z1235" i="33" s="1"/>
  <c r="S1235" i="33"/>
  <c r="R1235" i="33"/>
  <c r="K1235" i="33"/>
  <c r="F1235" i="33"/>
  <c r="AF1233" i="33"/>
  <c r="T1233" i="33"/>
  <c r="Z1233" i="33" s="1"/>
  <c r="S1233" i="33"/>
  <c r="R1233" i="33"/>
  <c r="K1233" i="33"/>
  <c r="W1283" i="33" l="1"/>
  <c r="X1283" i="33"/>
  <c r="Y1283" i="33"/>
  <c r="Y1273" i="33"/>
  <c r="W1273" i="33"/>
  <c r="X1273" i="33"/>
  <c r="W1271" i="33"/>
  <c r="X1271" i="33"/>
  <c r="Y1271" i="33"/>
  <c r="W1269" i="33"/>
  <c r="X1269" i="33"/>
  <c r="Y1269" i="33"/>
  <c r="W1267" i="33"/>
  <c r="X1267" i="33"/>
  <c r="Y1267" i="33"/>
  <c r="W1265" i="33"/>
  <c r="X1265" i="33"/>
  <c r="Y1265" i="33"/>
  <c r="Y1263" i="33"/>
  <c r="Z1263" i="33"/>
  <c r="W1263" i="33"/>
  <c r="X1261" i="33"/>
  <c r="W1261" i="33"/>
  <c r="Y1261" i="33"/>
  <c r="X1251" i="33"/>
  <c r="Y1251" i="33"/>
  <c r="Z1251" i="33"/>
  <c r="X1249" i="33"/>
  <c r="Y1249" i="33"/>
  <c r="Z1249" i="33"/>
  <c r="W1235" i="33"/>
  <c r="X1235" i="33"/>
  <c r="Y1235" i="33"/>
  <c r="W1233" i="33"/>
  <c r="X1233" i="33"/>
  <c r="Y1233" i="33"/>
  <c r="AF1223" i="33"/>
  <c r="V1223" i="33"/>
  <c r="T1223" i="33"/>
  <c r="Y1223" i="33" s="1"/>
  <c r="S1223" i="33"/>
  <c r="R1223" i="33"/>
  <c r="K1223" i="33"/>
  <c r="F1223" i="33"/>
  <c r="AF1221" i="33"/>
  <c r="V1221" i="33"/>
  <c r="T1221" i="33"/>
  <c r="Z1221" i="33" s="1"/>
  <c r="S1221" i="33"/>
  <c r="R1221" i="33"/>
  <c r="K1221" i="33"/>
  <c r="F1221" i="33"/>
  <c r="AF1219" i="33"/>
  <c r="V1219" i="33"/>
  <c r="T1219" i="33"/>
  <c r="X1219" i="33" s="1"/>
  <c r="S1219" i="33"/>
  <c r="R1219" i="33"/>
  <c r="K1219" i="33"/>
  <c r="F1219" i="33"/>
  <c r="AF1217" i="33"/>
  <c r="V1217" i="33"/>
  <c r="T1217" i="33"/>
  <c r="Z1217" i="33" s="1"/>
  <c r="S1217" i="33"/>
  <c r="R1217" i="33"/>
  <c r="K1217" i="33"/>
  <c r="F1217" i="33"/>
  <c r="V1203" i="33"/>
  <c r="T1203" i="33"/>
  <c r="X1203" i="33" s="1"/>
  <c r="S1203" i="33"/>
  <c r="R1203" i="33"/>
  <c r="K1203" i="33"/>
  <c r="F1203" i="33"/>
  <c r="V1201" i="33"/>
  <c r="T1201" i="33"/>
  <c r="Z1201" i="33" s="1"/>
  <c r="S1201" i="33"/>
  <c r="R1201" i="33"/>
  <c r="K1201" i="33"/>
  <c r="F1201" i="33"/>
  <c r="AF1231" i="33"/>
  <c r="V1231" i="33"/>
  <c r="T1231" i="33"/>
  <c r="Z1231" i="33" s="1"/>
  <c r="S1231" i="33"/>
  <c r="R1231" i="33"/>
  <c r="K1231" i="33"/>
  <c r="F1231" i="33"/>
  <c r="AF1229" i="33"/>
  <c r="V1229" i="33"/>
  <c r="T1229" i="33"/>
  <c r="Z1229" i="33" s="1"/>
  <c r="S1229" i="33"/>
  <c r="R1229" i="33"/>
  <c r="K1229" i="33"/>
  <c r="F1229" i="33"/>
  <c r="AF1225" i="33"/>
  <c r="V1225" i="33"/>
  <c r="T1225" i="33"/>
  <c r="Z1225" i="33" s="1"/>
  <c r="S1225" i="33"/>
  <c r="R1225" i="33"/>
  <c r="K1225" i="33"/>
  <c r="F1225" i="33"/>
  <c r="AF1215" i="33"/>
  <c r="V1215" i="33"/>
  <c r="T1215" i="33"/>
  <c r="Z1215" i="33" s="1"/>
  <c r="S1215" i="33"/>
  <c r="R1215" i="33"/>
  <c r="K1215" i="33"/>
  <c r="F1215" i="33"/>
  <c r="AF1213" i="33"/>
  <c r="V1213" i="33"/>
  <c r="T1213" i="33"/>
  <c r="Z1213" i="33" s="1"/>
  <c r="S1213" i="33"/>
  <c r="R1213" i="33"/>
  <c r="K1213" i="33"/>
  <c r="F1213" i="33"/>
  <c r="AF1211" i="33"/>
  <c r="V1211" i="33"/>
  <c r="T1211" i="33"/>
  <c r="X1211" i="33" s="1"/>
  <c r="S1211" i="33"/>
  <c r="R1211" i="33"/>
  <c r="K1211" i="33"/>
  <c r="F1211" i="33"/>
  <c r="L1231" i="33" l="1"/>
  <c r="Z1223" i="33"/>
  <c r="W1223" i="33"/>
  <c r="X1223" i="33"/>
  <c r="W1221" i="33"/>
  <c r="X1221" i="33"/>
  <c r="Y1221" i="33"/>
  <c r="W1219" i="33"/>
  <c r="Y1219" i="33"/>
  <c r="Z1219" i="33"/>
  <c r="W1217" i="33"/>
  <c r="Y1217" i="33"/>
  <c r="X1217" i="33"/>
  <c r="W1203" i="33"/>
  <c r="Y1203" i="33"/>
  <c r="Z1203" i="33"/>
  <c r="W1201" i="33"/>
  <c r="X1201" i="33"/>
  <c r="Y1201" i="33"/>
  <c r="Y1231" i="33"/>
  <c r="W1231" i="33"/>
  <c r="X1231" i="33"/>
  <c r="W1229" i="33"/>
  <c r="X1229" i="33"/>
  <c r="Y1229" i="33"/>
  <c r="X1225" i="33"/>
  <c r="Y1225" i="33"/>
  <c r="W1225" i="33"/>
  <c r="X1215" i="33"/>
  <c r="W1215" i="33"/>
  <c r="Y1215" i="33"/>
  <c r="Y1213" i="33"/>
  <c r="W1213" i="33"/>
  <c r="X1213" i="33"/>
  <c r="Y1211" i="33"/>
  <c r="Z1211" i="33"/>
  <c r="W1211" i="33"/>
  <c r="AF1205" i="33" l="1"/>
  <c r="V1205" i="33"/>
  <c r="T1205" i="33"/>
  <c r="X1205" i="33" s="1"/>
  <c r="S1205" i="33"/>
  <c r="R1205" i="33"/>
  <c r="K1205" i="33"/>
  <c r="F1205" i="33"/>
  <c r="Z1205" i="33" l="1"/>
  <c r="Y1205" i="33"/>
  <c r="W1205" i="33"/>
  <c r="AF1161" i="33" l="1"/>
  <c r="AF1183" i="33"/>
  <c r="AF1180" i="33"/>
  <c r="I1227" i="33" l="1"/>
  <c r="G1227" i="33"/>
  <c r="H1227" i="33"/>
  <c r="H1199" i="33"/>
  <c r="I1199" i="33"/>
  <c r="G1199" i="33"/>
  <c r="G1271" i="33"/>
  <c r="G1269" i="33"/>
  <c r="G1261" i="33"/>
  <c r="G1235" i="33"/>
  <c r="I1263" i="33"/>
  <c r="G1267" i="33"/>
  <c r="H1261" i="33"/>
  <c r="I1265" i="33"/>
  <c r="G1283" i="33"/>
  <c r="I1283" i="33"/>
  <c r="H1267" i="33"/>
  <c r="G1251" i="33"/>
  <c r="G1249" i="33"/>
  <c r="G1265" i="33"/>
  <c r="H1283" i="33"/>
  <c r="I1233" i="33"/>
  <c r="I1269" i="33"/>
  <c r="I1261" i="33"/>
  <c r="I1235" i="33"/>
  <c r="G1273" i="33"/>
  <c r="H1271" i="33"/>
  <c r="H1269" i="33"/>
  <c r="G1263" i="33"/>
  <c r="H1251" i="33"/>
  <c r="H1249" i="33"/>
  <c r="G1233" i="33"/>
  <c r="I1267" i="33"/>
  <c r="H1273" i="33"/>
  <c r="I1271" i="33"/>
  <c r="H1265" i="33"/>
  <c r="H1263" i="33"/>
  <c r="I1249" i="33"/>
  <c r="H1233" i="33"/>
  <c r="I1251" i="33"/>
  <c r="H1235" i="33"/>
  <c r="I1273" i="33"/>
  <c r="G1217" i="33"/>
  <c r="I1217" i="33"/>
  <c r="H1231" i="33"/>
  <c r="I1213" i="33"/>
  <c r="G1225" i="33"/>
  <c r="H1225" i="33"/>
  <c r="G1213" i="33"/>
  <c r="G1201" i="33"/>
  <c r="I1231" i="33"/>
  <c r="I1203" i="33"/>
  <c r="G1211" i="33"/>
  <c r="H1219" i="33"/>
  <c r="H1215" i="33"/>
  <c r="G1231" i="33"/>
  <c r="H1211" i="33"/>
  <c r="I1211" i="33"/>
  <c r="G1221" i="33"/>
  <c r="I1201" i="33"/>
  <c r="I1215" i="33"/>
  <c r="H1213" i="33"/>
  <c r="G1203" i="33"/>
  <c r="H1221" i="33"/>
  <c r="H1201" i="33"/>
  <c r="G1223" i="33"/>
  <c r="H1229" i="33"/>
  <c r="I1229" i="33"/>
  <c r="I1225" i="33"/>
  <c r="I1221" i="33"/>
  <c r="I1219" i="33"/>
  <c r="H1223" i="33"/>
  <c r="G1229" i="33"/>
  <c r="I1223" i="33"/>
  <c r="G1219" i="33"/>
  <c r="G1215" i="33"/>
  <c r="H1217" i="33"/>
  <c r="H1203" i="33"/>
  <c r="G1205" i="33"/>
  <c r="H1205" i="33"/>
  <c r="I1205" i="33"/>
  <c r="V1183" i="33"/>
  <c r="T1183" i="33"/>
  <c r="Z1183" i="33" s="1"/>
  <c r="S1183" i="33"/>
  <c r="R1183" i="33"/>
  <c r="K1183" i="33"/>
  <c r="F1183" i="33"/>
  <c r="V1181" i="33"/>
  <c r="T1181" i="33"/>
  <c r="S1181" i="33"/>
  <c r="R1181" i="33"/>
  <c r="K1181" i="33"/>
  <c r="F1181" i="33"/>
  <c r="V1180" i="33"/>
  <c r="T1180" i="33"/>
  <c r="Z1180" i="33" s="1"/>
  <c r="S1180" i="33"/>
  <c r="R1180" i="33"/>
  <c r="K1180" i="33"/>
  <c r="F1180" i="33"/>
  <c r="V1178" i="33"/>
  <c r="T1178" i="33"/>
  <c r="S1178" i="33"/>
  <c r="R1178" i="33"/>
  <c r="K1178" i="33"/>
  <c r="F1178" i="33"/>
  <c r="V1161" i="33"/>
  <c r="T1161" i="33"/>
  <c r="Z1161" i="33" s="1"/>
  <c r="S1161" i="33"/>
  <c r="R1161" i="33"/>
  <c r="K1161" i="33"/>
  <c r="F1161" i="33"/>
  <c r="AB1227" i="33" l="1"/>
  <c r="AB1199" i="33"/>
  <c r="AB1273" i="33"/>
  <c r="AB1265" i="33"/>
  <c r="AB1261" i="33"/>
  <c r="AB1235" i="33"/>
  <c r="AB1267" i="33"/>
  <c r="AB1263" i="33"/>
  <c r="AB1233" i="33"/>
  <c r="AB1251" i="33"/>
  <c r="AB1249" i="33"/>
  <c r="AB1283" i="33"/>
  <c r="AB1201" i="33"/>
  <c r="AB1211" i="33"/>
  <c r="AB1229" i="33"/>
  <c r="AB1215" i="33"/>
  <c r="AB1231" i="33"/>
  <c r="AB1217" i="33"/>
  <c r="AB1225" i="33"/>
  <c r="AB1221" i="33"/>
  <c r="AB1223" i="33"/>
  <c r="AB1203" i="33"/>
  <c r="AB1213" i="33"/>
  <c r="AB1219" i="33"/>
  <c r="AB1205" i="33"/>
  <c r="L1227" i="33"/>
  <c r="L1199" i="33"/>
  <c r="L1269" i="33"/>
  <c r="L1265" i="33"/>
  <c r="L1251" i="33"/>
  <c r="L1273" i="33"/>
  <c r="L1263" i="33"/>
  <c r="L1261" i="33"/>
  <c r="L1249" i="33"/>
  <c r="L1235" i="33"/>
  <c r="L1283" i="33"/>
  <c r="L1267" i="33"/>
  <c r="L1201" i="33"/>
  <c r="L1217" i="33"/>
  <c r="L1215" i="33"/>
  <c r="L1225" i="33"/>
  <c r="L1223" i="33"/>
  <c r="L1229" i="33"/>
  <c r="L1213" i="33"/>
  <c r="L1211" i="33"/>
  <c r="L1219" i="33"/>
  <c r="L1203" i="33"/>
  <c r="L1221" i="33"/>
  <c r="L1205" i="33"/>
  <c r="AE1161" i="33"/>
  <c r="AE1180" i="33"/>
  <c r="AE1183" i="33"/>
  <c r="Y1181" i="33"/>
  <c r="Y1178" i="33"/>
  <c r="Z1178" i="33"/>
  <c r="Z1181" i="33"/>
  <c r="Y1183" i="33"/>
  <c r="Y1180" i="33"/>
  <c r="Y1161" i="33"/>
  <c r="AE917" i="35" l="1"/>
  <c r="Y917" i="35"/>
  <c r="X917" i="35"/>
  <c r="U917" i="35"/>
  <c r="S917" i="35"/>
  <c r="R917" i="35"/>
  <c r="Q917" i="35"/>
  <c r="K917" i="35"/>
  <c r="F917" i="35"/>
  <c r="AE935" i="35"/>
  <c r="AF933" i="35"/>
  <c r="AG933" i="35" s="1"/>
  <c r="AE933" i="35"/>
  <c r="AE927" i="35"/>
  <c r="Y927" i="35"/>
  <c r="X927" i="35"/>
  <c r="U927" i="35"/>
  <c r="S927" i="35"/>
  <c r="R927" i="35"/>
  <c r="Q927" i="35"/>
  <c r="K927" i="35"/>
  <c r="F927" i="35"/>
  <c r="AE915" i="35"/>
  <c r="Y915" i="35"/>
  <c r="X915" i="35"/>
  <c r="U915" i="35"/>
  <c r="S915" i="35"/>
  <c r="R915" i="35"/>
  <c r="Q915" i="35"/>
  <c r="K915" i="35"/>
  <c r="F915" i="35"/>
  <c r="AE919" i="35"/>
  <c r="Y919" i="35"/>
  <c r="X919" i="35"/>
  <c r="U919" i="35"/>
  <c r="S919" i="35"/>
  <c r="R919" i="35"/>
  <c r="Q919" i="35"/>
  <c r="K919" i="35"/>
  <c r="F919" i="35"/>
  <c r="AE1016" i="35"/>
  <c r="Y1016" i="35"/>
  <c r="X1016" i="35"/>
  <c r="U1016" i="35"/>
  <c r="S1016" i="35"/>
  <c r="R1016" i="35"/>
  <c r="Q1016" i="35"/>
  <c r="K1016" i="35"/>
  <c r="F1016" i="35"/>
  <c r="AF1131" i="33"/>
  <c r="V1131" i="33"/>
  <c r="T1131" i="33"/>
  <c r="S1131" i="33"/>
  <c r="R1131" i="33"/>
  <c r="K1131" i="33"/>
  <c r="F1131" i="33"/>
  <c r="AF1129" i="33"/>
  <c r="V1129" i="33"/>
  <c r="T1129" i="33"/>
  <c r="S1129" i="33"/>
  <c r="R1129" i="33"/>
  <c r="K1129" i="33"/>
  <c r="F1129" i="33"/>
  <c r="AE1129" i="33" l="1"/>
  <c r="AD917" i="35"/>
  <c r="AD927" i="35"/>
  <c r="AD915" i="35"/>
  <c r="AD919" i="35"/>
  <c r="AD1016" i="35"/>
  <c r="Y1131" i="33"/>
  <c r="Z1131" i="33"/>
  <c r="AE1131" i="33"/>
  <c r="Y1129" i="33"/>
  <c r="Z1129" i="33"/>
  <c r="AE921" i="35"/>
  <c r="Y921" i="35"/>
  <c r="X921" i="35"/>
  <c r="U921" i="35"/>
  <c r="S921" i="35"/>
  <c r="R921" i="35"/>
  <c r="Q921" i="35"/>
  <c r="K921" i="35"/>
  <c r="F921" i="35"/>
  <c r="AE893" i="35"/>
  <c r="Y893" i="35"/>
  <c r="X893" i="35"/>
  <c r="U893" i="35"/>
  <c r="S893" i="35"/>
  <c r="R893" i="35"/>
  <c r="Q893" i="35"/>
  <c r="K893" i="35"/>
  <c r="F893" i="35"/>
  <c r="AD921" i="35" l="1"/>
  <c r="AD893" i="35"/>
  <c r="V1149" i="33" l="1"/>
  <c r="T1149" i="33"/>
  <c r="Z1149" i="33" s="1"/>
  <c r="S1149" i="33"/>
  <c r="R1149" i="33"/>
  <c r="K1149" i="33"/>
  <c r="F1149" i="33"/>
  <c r="V1148" i="33"/>
  <c r="T1148" i="33"/>
  <c r="X1148" i="33" s="1"/>
  <c r="S1148" i="33"/>
  <c r="R1148" i="33"/>
  <c r="K1148" i="33"/>
  <c r="F1148" i="33"/>
  <c r="V1146" i="33"/>
  <c r="T1146" i="33"/>
  <c r="W1146" i="33" s="1"/>
  <c r="S1146" i="33"/>
  <c r="R1146" i="33"/>
  <c r="K1146" i="33"/>
  <c r="F1146" i="33"/>
  <c r="W1149" i="33" l="1"/>
  <c r="X1149" i="33"/>
  <c r="Y1149" i="33"/>
  <c r="Y1148" i="33"/>
  <c r="Z1148" i="33"/>
  <c r="W1148" i="33"/>
  <c r="X1146" i="33"/>
  <c r="Y1146" i="33"/>
  <c r="Z1146" i="33"/>
  <c r="V1137" i="33" l="1"/>
  <c r="T1137" i="33"/>
  <c r="W1137" i="33" s="1"/>
  <c r="S1137" i="33"/>
  <c r="R1137" i="33"/>
  <c r="K1137" i="33"/>
  <c r="F1137" i="33"/>
  <c r="X1137" i="33" l="1"/>
  <c r="Z1137" i="33"/>
  <c r="Y1137" i="33"/>
  <c r="V1135" i="33"/>
  <c r="T1135" i="33"/>
  <c r="W1135" i="33" s="1"/>
  <c r="S1135" i="33"/>
  <c r="R1135" i="33"/>
  <c r="K1135" i="33"/>
  <c r="F1135" i="33"/>
  <c r="V1144" i="33"/>
  <c r="T1144" i="33"/>
  <c r="W1144" i="33" s="1"/>
  <c r="S1144" i="33"/>
  <c r="R1144" i="33"/>
  <c r="K1144" i="33"/>
  <c r="F1144" i="33"/>
  <c r="V1142" i="33"/>
  <c r="T1142" i="33"/>
  <c r="Z1142" i="33" s="1"/>
  <c r="S1142" i="33"/>
  <c r="R1142" i="33"/>
  <c r="K1142" i="33"/>
  <c r="F1142" i="33"/>
  <c r="V1141" i="33"/>
  <c r="T1141" i="33"/>
  <c r="Y1141" i="33" s="1"/>
  <c r="S1141" i="33"/>
  <c r="R1141" i="33"/>
  <c r="K1141" i="33"/>
  <c r="F1141" i="33"/>
  <c r="V1139" i="33"/>
  <c r="T1139" i="33"/>
  <c r="X1139" i="33" s="1"/>
  <c r="S1139" i="33"/>
  <c r="R1139" i="33"/>
  <c r="K1139" i="33"/>
  <c r="F1139" i="33"/>
  <c r="X1142" i="33" l="1"/>
  <c r="X1144" i="33"/>
  <c r="X1135" i="33"/>
  <c r="Y1135" i="33"/>
  <c r="W1141" i="33"/>
  <c r="Z1135" i="33"/>
  <c r="W1142" i="33"/>
  <c r="X1141" i="33"/>
  <c r="Z1141" i="33"/>
  <c r="Y1139" i="33"/>
  <c r="Z1139" i="33"/>
  <c r="Y1144" i="33"/>
  <c r="W1139" i="33"/>
  <c r="Y1142" i="33"/>
  <c r="Z1144" i="33"/>
  <c r="AE883" i="35" l="1"/>
  <c r="Y883" i="35"/>
  <c r="X883" i="35"/>
  <c r="U883" i="35"/>
  <c r="S883" i="35"/>
  <c r="R883" i="35"/>
  <c r="Q883" i="35"/>
  <c r="K883" i="35"/>
  <c r="F883" i="35"/>
  <c r="AD883" i="35" l="1"/>
  <c r="Z1159" i="33" l="1"/>
  <c r="Y1159" i="33"/>
  <c r="V1159" i="33"/>
  <c r="S1159" i="33"/>
  <c r="R1159" i="33"/>
  <c r="K1159" i="33"/>
  <c r="F1159" i="33"/>
  <c r="Z1157" i="33"/>
  <c r="Y1157" i="33"/>
  <c r="V1157" i="33"/>
  <c r="S1157" i="33"/>
  <c r="R1157" i="33"/>
  <c r="K1157" i="33"/>
  <c r="F1157" i="33"/>
  <c r="V1133" i="33" l="1"/>
  <c r="T1133" i="33"/>
  <c r="W1133" i="33" s="1"/>
  <c r="S1133" i="33"/>
  <c r="R1133" i="33"/>
  <c r="K1133" i="33"/>
  <c r="F1133" i="33"/>
  <c r="X1133" i="33" l="1"/>
  <c r="Y1133" i="33"/>
  <c r="Z1133" i="33"/>
  <c r="AE877" i="35" l="1"/>
  <c r="Y877" i="35"/>
  <c r="X877" i="35"/>
  <c r="U877" i="35"/>
  <c r="S877" i="35"/>
  <c r="R877" i="35"/>
  <c r="Q877" i="35"/>
  <c r="K877" i="35"/>
  <c r="F877" i="35"/>
  <c r="AE876" i="35"/>
  <c r="AD876" i="35"/>
  <c r="AF876" i="35" s="1"/>
  <c r="AG876" i="35" s="1"/>
  <c r="AE875" i="35"/>
  <c r="Y875" i="35"/>
  <c r="X875" i="35"/>
  <c r="U875" i="35"/>
  <c r="S875" i="35"/>
  <c r="R875" i="35"/>
  <c r="Q875" i="35"/>
  <c r="K875" i="35"/>
  <c r="F875" i="35"/>
  <c r="AD877" i="35" l="1"/>
  <c r="AD875" i="35"/>
  <c r="AE879" i="35"/>
  <c r="Y879" i="35"/>
  <c r="X879" i="35"/>
  <c r="U879" i="35"/>
  <c r="S879" i="35"/>
  <c r="R879" i="35"/>
  <c r="Q879" i="35"/>
  <c r="K879" i="35"/>
  <c r="F879" i="35"/>
  <c r="AD879" i="35" l="1"/>
  <c r="AF1089" i="33" l="1"/>
  <c r="AF1087" i="33"/>
  <c r="AF1085" i="33"/>
  <c r="AF1083" i="33"/>
  <c r="AF1081" i="33"/>
  <c r="AF1079" i="33"/>
  <c r="AF1077" i="33"/>
  <c r="AF1075" i="33"/>
  <c r="AF1073" i="33"/>
  <c r="AE853" i="35"/>
  <c r="AE851" i="35"/>
  <c r="AE849" i="35"/>
  <c r="AE847" i="35"/>
  <c r="AE845" i="35"/>
  <c r="AE843" i="35"/>
  <c r="AE760" i="35"/>
  <c r="AE756" i="35"/>
  <c r="AE754" i="35"/>
  <c r="AE752" i="35"/>
  <c r="AF1036" i="33"/>
  <c r="AF1034" i="33"/>
  <c r="AF1032" i="33"/>
  <c r="AF1030" i="33"/>
  <c r="AF1028" i="33"/>
  <c r="AF1024" i="33"/>
  <c r="AF1022" i="33"/>
  <c r="AF1020" i="33"/>
  <c r="AF1018" i="33"/>
  <c r="AF1016" i="33"/>
  <c r="AF1014" i="33"/>
  <c r="AF1012" i="33"/>
  <c r="AF989" i="33"/>
  <c r="AF987" i="33"/>
  <c r="AF985" i="33"/>
  <c r="AF977" i="33"/>
  <c r="AF975" i="33"/>
  <c r="AF974" i="33"/>
  <c r="AF972" i="33"/>
  <c r="AF970" i="33"/>
  <c r="AF962" i="33"/>
  <c r="AF964" i="33"/>
  <c r="I1178" i="33" l="1"/>
  <c r="G1178" i="33"/>
  <c r="I1183" i="33"/>
  <c r="G1180" i="33"/>
  <c r="G1183" i="33"/>
  <c r="I1161" i="33"/>
  <c r="H1178" i="33"/>
  <c r="H1181" i="33"/>
  <c r="G1161" i="33"/>
  <c r="I1181" i="33"/>
  <c r="G1181" i="33"/>
  <c r="I1180" i="33"/>
  <c r="H1161" i="33"/>
  <c r="H1180" i="33"/>
  <c r="H1183" i="33"/>
  <c r="G917" i="35"/>
  <c r="I927" i="35"/>
  <c r="G915" i="35"/>
  <c r="G919" i="35"/>
  <c r="G1129" i="33"/>
  <c r="I917" i="35"/>
  <c r="G1016" i="35"/>
  <c r="G1131" i="33"/>
  <c r="I1016" i="35"/>
  <c r="H1131" i="33"/>
  <c r="H927" i="35"/>
  <c r="I915" i="35"/>
  <c r="H919" i="35"/>
  <c r="H1016" i="35"/>
  <c r="I1131" i="33"/>
  <c r="I1129" i="33"/>
  <c r="H917" i="35"/>
  <c r="H915" i="35"/>
  <c r="I919" i="35"/>
  <c r="H1129" i="33"/>
  <c r="G927" i="35"/>
  <c r="I921" i="35"/>
  <c r="G893" i="35"/>
  <c r="G921" i="35"/>
  <c r="H893" i="35"/>
  <c r="I893" i="35"/>
  <c r="H921" i="35"/>
  <c r="H1149" i="33"/>
  <c r="H1148" i="33"/>
  <c r="H1146" i="33"/>
  <c r="G1148" i="33"/>
  <c r="G1149" i="33"/>
  <c r="I1149" i="33"/>
  <c r="I1146" i="33"/>
  <c r="G1146" i="33"/>
  <c r="I1148" i="33"/>
  <c r="G1137" i="33"/>
  <c r="I1137" i="33"/>
  <c r="H1137" i="33"/>
  <c r="I1135" i="33"/>
  <c r="I1144" i="33"/>
  <c r="G1139" i="33"/>
  <c r="H1139" i="33"/>
  <c r="G1144" i="33"/>
  <c r="H1144" i="33"/>
  <c r="I1139" i="33"/>
  <c r="G1142" i="33"/>
  <c r="I1141" i="33"/>
  <c r="G1141" i="33"/>
  <c r="H1141" i="33"/>
  <c r="I1142" i="33"/>
  <c r="H1135" i="33"/>
  <c r="G1135" i="33"/>
  <c r="H1142" i="33"/>
  <c r="G883" i="35"/>
  <c r="H883" i="35"/>
  <c r="I883" i="35"/>
  <c r="I1159" i="33"/>
  <c r="H1157" i="33"/>
  <c r="I1157" i="33"/>
  <c r="G1159" i="33"/>
  <c r="G1157" i="33"/>
  <c r="H1159" i="33"/>
  <c r="G1133" i="33"/>
  <c r="I1133" i="33"/>
  <c r="H1133" i="33"/>
  <c r="I875" i="35"/>
  <c r="G875" i="35"/>
  <c r="G877" i="35"/>
  <c r="H875" i="35"/>
  <c r="I877" i="35"/>
  <c r="H877" i="35"/>
  <c r="I879" i="35"/>
  <c r="G879" i="35"/>
  <c r="H879" i="35"/>
  <c r="Y865" i="35"/>
  <c r="X865" i="35"/>
  <c r="U865" i="35"/>
  <c r="S865" i="35"/>
  <c r="R865" i="35"/>
  <c r="Q865" i="35"/>
  <c r="K865" i="35"/>
  <c r="F865" i="35"/>
  <c r="L1180" i="33" l="1"/>
  <c r="L1178" i="33"/>
  <c r="L1181" i="33"/>
  <c r="L1161" i="33"/>
  <c r="L1183" i="33"/>
  <c r="L927" i="35"/>
  <c r="L917" i="35"/>
  <c r="L915" i="35"/>
  <c r="L919" i="35"/>
  <c r="L1129" i="33"/>
  <c r="L1016" i="35"/>
  <c r="L1131" i="33"/>
  <c r="L893" i="35"/>
  <c r="L921" i="35"/>
  <c r="L1146" i="33"/>
  <c r="L1149" i="33"/>
  <c r="L1148" i="33"/>
  <c r="L1137" i="33"/>
  <c r="L1135" i="33"/>
  <c r="L1141" i="33"/>
  <c r="L1139" i="33"/>
  <c r="L1144" i="33"/>
  <c r="L1142" i="33"/>
  <c r="L883" i="35"/>
  <c r="L1159" i="33"/>
  <c r="L1157" i="33"/>
  <c r="L1133" i="33"/>
  <c r="L877" i="35"/>
  <c r="L875" i="35"/>
  <c r="L879" i="35"/>
  <c r="X1157" i="33"/>
  <c r="W1159" i="33"/>
  <c r="W1157" i="33"/>
  <c r="X1159" i="33"/>
  <c r="X1178" i="33"/>
  <c r="W1183" i="33"/>
  <c r="X1180" i="33"/>
  <c r="W1161" i="33"/>
  <c r="X1183" i="33"/>
  <c r="X1161" i="33"/>
  <c r="W1181" i="33"/>
  <c r="X1181" i="33"/>
  <c r="W1178" i="33"/>
  <c r="W1180" i="33"/>
  <c r="AB1131" i="33"/>
  <c r="W1129" i="33"/>
  <c r="AA915" i="35"/>
  <c r="W1016" i="35"/>
  <c r="X1129" i="33"/>
  <c r="X1131" i="33"/>
  <c r="AB1129" i="33"/>
  <c r="AA927" i="35"/>
  <c r="W915" i="35"/>
  <c r="V919" i="35"/>
  <c r="V917" i="35"/>
  <c r="AA919" i="35"/>
  <c r="W1131" i="33"/>
  <c r="AA917" i="35"/>
  <c r="W927" i="35"/>
  <c r="AA1016" i="35"/>
  <c r="W917" i="35"/>
  <c r="V927" i="35"/>
  <c r="W919" i="35"/>
  <c r="AA893" i="35"/>
  <c r="V921" i="35"/>
  <c r="W893" i="35"/>
  <c r="V893" i="35"/>
  <c r="AA921" i="35"/>
  <c r="W921" i="35"/>
  <c r="AB1146" i="33"/>
  <c r="AB1137" i="33"/>
  <c r="AB1135" i="33"/>
  <c r="AB1141" i="33"/>
  <c r="AB1144" i="33"/>
  <c r="AB1142" i="33"/>
  <c r="AB1139" i="33"/>
  <c r="AA883" i="35"/>
  <c r="W883" i="35"/>
  <c r="V883" i="35"/>
  <c r="AB1133" i="33"/>
  <c r="W877" i="35"/>
  <c r="W875" i="35"/>
  <c r="V875" i="35"/>
  <c r="V877" i="35"/>
  <c r="W879" i="35"/>
  <c r="V879" i="35"/>
  <c r="V1121" i="33"/>
  <c r="T1121" i="33"/>
  <c r="W1121" i="33" s="1"/>
  <c r="S1121" i="33"/>
  <c r="R1121" i="33"/>
  <c r="K1121" i="33"/>
  <c r="F1121" i="33"/>
  <c r="V1119" i="33"/>
  <c r="T1119" i="33"/>
  <c r="Z1119" i="33" s="1"/>
  <c r="S1119" i="33"/>
  <c r="R1119" i="33"/>
  <c r="K1119" i="33"/>
  <c r="F1119" i="33"/>
  <c r="V1117" i="33"/>
  <c r="T1117" i="33"/>
  <c r="W1117" i="33" s="1"/>
  <c r="S1117" i="33"/>
  <c r="R1117" i="33"/>
  <c r="K1117" i="33"/>
  <c r="F1117" i="33"/>
  <c r="V1109" i="33"/>
  <c r="T1109" i="33"/>
  <c r="W1109" i="33" s="1"/>
  <c r="S1109" i="33"/>
  <c r="R1109" i="33"/>
  <c r="K1109" i="33"/>
  <c r="F1109" i="33"/>
  <c r="V1115" i="33"/>
  <c r="T1115" i="33"/>
  <c r="Z1115" i="33" s="1"/>
  <c r="S1115" i="33"/>
  <c r="R1115" i="33"/>
  <c r="K1115" i="33"/>
  <c r="F1115" i="33"/>
  <c r="V1113" i="33"/>
  <c r="T1113" i="33"/>
  <c r="Y1113" i="33" s="1"/>
  <c r="S1113" i="33"/>
  <c r="R1113" i="33"/>
  <c r="K1113" i="33"/>
  <c r="F1113" i="33"/>
  <c r="V1111" i="33"/>
  <c r="T1111" i="33"/>
  <c r="X1111" i="33" s="1"/>
  <c r="S1111" i="33"/>
  <c r="R1111" i="33"/>
  <c r="K1111" i="33"/>
  <c r="F1111" i="33"/>
  <c r="W1119" i="33" l="1"/>
  <c r="X1119" i="33"/>
  <c r="X1121" i="33"/>
  <c r="Y1119" i="33"/>
  <c r="Z1121" i="33"/>
  <c r="Y1121" i="33"/>
  <c r="X1117" i="33"/>
  <c r="Z1117" i="33"/>
  <c r="Y1117" i="33"/>
  <c r="X1109" i="33"/>
  <c r="Y1109" i="33"/>
  <c r="Z1109" i="33"/>
  <c r="Z1113" i="33"/>
  <c r="W1115" i="33"/>
  <c r="W1113" i="33"/>
  <c r="X1113" i="33"/>
  <c r="X1115" i="33"/>
  <c r="W1111" i="33"/>
  <c r="Y1115" i="33"/>
  <c r="Y1111" i="33"/>
  <c r="Z1111" i="33"/>
  <c r="V1107" i="33" l="1"/>
  <c r="T1107" i="33"/>
  <c r="W1107" i="33" s="1"/>
  <c r="S1107" i="33"/>
  <c r="R1107" i="33"/>
  <c r="K1107" i="33"/>
  <c r="F1107" i="33"/>
  <c r="X1107" i="33" l="1"/>
  <c r="Y1107" i="33"/>
  <c r="Z1107" i="33"/>
  <c r="AF1178" i="33" l="1"/>
  <c r="AF1189" i="33"/>
  <c r="V1176" i="33"/>
  <c r="T1176" i="33"/>
  <c r="Z1176" i="33" s="1"/>
  <c r="S1176" i="33"/>
  <c r="R1176" i="33"/>
  <c r="K1176" i="33"/>
  <c r="F1176" i="33"/>
  <c r="V1175" i="33"/>
  <c r="T1175" i="33"/>
  <c r="Z1175" i="33" s="1"/>
  <c r="S1175" i="33"/>
  <c r="R1175" i="33"/>
  <c r="K1175" i="33"/>
  <c r="F1175" i="33"/>
  <c r="V1173" i="33"/>
  <c r="T1173" i="33"/>
  <c r="S1173" i="33"/>
  <c r="R1173" i="33"/>
  <c r="K1173" i="33"/>
  <c r="F1173" i="33"/>
  <c r="V1171" i="33"/>
  <c r="T1171" i="33"/>
  <c r="Z1171" i="33" s="1"/>
  <c r="S1171" i="33"/>
  <c r="R1171" i="33"/>
  <c r="K1171" i="33"/>
  <c r="F1171" i="33"/>
  <c r="V1169" i="33"/>
  <c r="T1169" i="33"/>
  <c r="Z1169" i="33" s="1"/>
  <c r="S1169" i="33"/>
  <c r="R1169" i="33"/>
  <c r="K1169" i="33"/>
  <c r="F1169" i="33"/>
  <c r="V1167" i="33"/>
  <c r="T1167" i="33"/>
  <c r="S1167" i="33"/>
  <c r="R1167" i="33"/>
  <c r="K1167" i="33"/>
  <c r="F1167" i="33"/>
  <c r="F1163" i="33"/>
  <c r="V1165" i="33"/>
  <c r="T1165" i="33"/>
  <c r="S1165" i="33"/>
  <c r="R1165" i="33"/>
  <c r="K1165" i="33"/>
  <c r="F1165" i="33"/>
  <c r="V1163" i="33"/>
  <c r="T1163" i="33"/>
  <c r="Z1163" i="33" s="1"/>
  <c r="S1163" i="33"/>
  <c r="R1163" i="33"/>
  <c r="K1163" i="33"/>
  <c r="S841" i="35"/>
  <c r="AE1189" i="33" l="1"/>
  <c r="AG1189" i="33" s="1"/>
  <c r="AH1189" i="33" s="1"/>
  <c r="AE1178" i="33"/>
  <c r="Y1176" i="33"/>
  <c r="Y1175" i="33"/>
  <c r="Y1173" i="33"/>
  <c r="Y1171" i="33"/>
  <c r="Y1169" i="33"/>
  <c r="Y1167" i="33"/>
  <c r="Z1167" i="33"/>
  <c r="Y1163" i="33"/>
  <c r="Z1165" i="33"/>
  <c r="Y1165" i="33"/>
  <c r="AE923" i="35" l="1"/>
  <c r="Y923" i="35"/>
  <c r="X923" i="35"/>
  <c r="U923" i="35"/>
  <c r="S923" i="35"/>
  <c r="R923" i="35"/>
  <c r="Q923" i="35"/>
  <c r="K923" i="35"/>
  <c r="F923" i="35"/>
  <c r="AD923" i="35" l="1"/>
  <c r="AE907" i="35" l="1"/>
  <c r="Y907" i="35"/>
  <c r="X907" i="35"/>
  <c r="U907" i="35"/>
  <c r="S907" i="35"/>
  <c r="R907" i="35"/>
  <c r="Q907" i="35"/>
  <c r="K907" i="35"/>
  <c r="F907" i="35"/>
  <c r="AE905" i="35"/>
  <c r="Y905" i="35"/>
  <c r="X905" i="35"/>
  <c r="U905" i="35"/>
  <c r="S905" i="35"/>
  <c r="R905" i="35"/>
  <c r="Q905" i="35"/>
  <c r="K905" i="35"/>
  <c r="F905" i="35"/>
  <c r="S881" i="35"/>
  <c r="S887" i="35"/>
  <c r="AE903" i="35"/>
  <c r="Y903" i="35"/>
  <c r="X903" i="35"/>
  <c r="U903" i="35"/>
  <c r="S903" i="35"/>
  <c r="R903" i="35"/>
  <c r="Q903" i="35"/>
  <c r="K903" i="35"/>
  <c r="F903" i="35"/>
  <c r="AE901" i="35"/>
  <c r="Y901" i="35"/>
  <c r="X901" i="35"/>
  <c r="U901" i="35"/>
  <c r="S901" i="35"/>
  <c r="R901" i="35"/>
  <c r="Q901" i="35"/>
  <c r="K901" i="35"/>
  <c r="F901" i="35"/>
  <c r="AE899" i="35"/>
  <c r="Y899" i="35"/>
  <c r="X899" i="35"/>
  <c r="U899" i="35"/>
  <c r="S899" i="35"/>
  <c r="R899" i="35"/>
  <c r="Q899" i="35"/>
  <c r="K899" i="35"/>
  <c r="F899" i="35"/>
  <c r="AE897" i="35"/>
  <c r="Y897" i="35"/>
  <c r="X897" i="35"/>
  <c r="U897" i="35"/>
  <c r="S897" i="35"/>
  <c r="R897" i="35"/>
  <c r="Q897" i="35"/>
  <c r="K897" i="35"/>
  <c r="F897" i="35"/>
  <c r="AE895" i="35"/>
  <c r="Y895" i="35"/>
  <c r="X895" i="35"/>
  <c r="U895" i="35"/>
  <c r="S895" i="35"/>
  <c r="R895" i="35"/>
  <c r="Q895" i="35"/>
  <c r="K895" i="35"/>
  <c r="F895" i="35"/>
  <c r="AE889" i="35"/>
  <c r="Y889" i="35"/>
  <c r="X889" i="35"/>
  <c r="U889" i="35"/>
  <c r="S889" i="35"/>
  <c r="R889" i="35"/>
  <c r="Q889" i="35"/>
  <c r="K889" i="35"/>
  <c r="F889" i="35"/>
  <c r="AD907" i="35" l="1"/>
  <c r="AD905" i="35"/>
  <c r="AD903" i="35"/>
  <c r="AD901" i="35"/>
  <c r="AD899" i="35"/>
  <c r="AD897" i="35"/>
  <c r="AD895" i="35"/>
  <c r="AD889" i="35"/>
  <c r="S885" i="35" l="1"/>
  <c r="S867" i="35"/>
  <c r="S863" i="35"/>
  <c r="S853" i="35"/>
  <c r="S851" i="35"/>
  <c r="S849" i="35"/>
  <c r="S847" i="35"/>
  <c r="S845" i="35"/>
  <c r="S843" i="35"/>
  <c r="S837" i="35"/>
  <c r="S833" i="35"/>
  <c r="S831" i="35"/>
  <c r="S829" i="35"/>
  <c r="S827" i="35"/>
  <c r="S825" i="35"/>
  <c r="S823" i="35"/>
  <c r="S821" i="35"/>
  <c r="S819" i="35"/>
  <c r="S817" i="35"/>
  <c r="S815" i="35"/>
  <c r="S813" i="35"/>
  <c r="S811" i="35"/>
  <c r="S809" i="35"/>
  <c r="S807" i="35"/>
  <c r="S805" i="35"/>
  <c r="S797" i="35"/>
  <c r="S795" i="35"/>
  <c r="S793" i="35"/>
  <c r="S791" i="35"/>
  <c r="S789" i="35"/>
  <c r="S787" i="35"/>
  <c r="S786" i="35"/>
  <c r="S784" i="35"/>
  <c r="S774" i="35"/>
  <c r="S772" i="35"/>
  <c r="S770" i="35"/>
  <c r="S764" i="35"/>
  <c r="S762" i="35"/>
  <c r="S760" i="35"/>
  <c r="U887" i="35"/>
  <c r="U885" i="35"/>
  <c r="U881" i="35"/>
  <c r="U867" i="35"/>
  <c r="U863" i="35"/>
  <c r="U853" i="35"/>
  <c r="U851" i="35"/>
  <c r="U849" i="35"/>
  <c r="U847" i="35"/>
  <c r="U845" i="35"/>
  <c r="U843" i="35"/>
  <c r="U841" i="35"/>
  <c r="U837" i="35"/>
  <c r="U833" i="35"/>
  <c r="U831" i="35"/>
  <c r="U829" i="35"/>
  <c r="U827" i="35"/>
  <c r="U823" i="35"/>
  <c r="U825" i="35"/>
  <c r="U821" i="35"/>
  <c r="U819" i="35"/>
  <c r="U817" i="35"/>
  <c r="U815" i="35"/>
  <c r="U813" i="35"/>
  <c r="U811" i="35"/>
  <c r="U809" i="35"/>
  <c r="U807" i="35"/>
  <c r="U805" i="35"/>
  <c r="U797" i="35"/>
  <c r="U795" i="35"/>
  <c r="U793" i="35"/>
  <c r="U791" i="35"/>
  <c r="U789" i="35"/>
  <c r="U786" i="35"/>
  <c r="U787" i="35"/>
  <c r="U784" i="35"/>
  <c r="U780" i="35"/>
  <c r="U778" i="35"/>
  <c r="U774" i="35"/>
  <c r="U772" i="35"/>
  <c r="U770" i="35"/>
  <c r="U764" i="35"/>
  <c r="U762" i="35"/>
  <c r="U760" i="35"/>
  <c r="AE887" i="35"/>
  <c r="Y887" i="35"/>
  <c r="X887" i="35"/>
  <c r="R887" i="35"/>
  <c r="Q887" i="35"/>
  <c r="K887" i="35"/>
  <c r="F887" i="35"/>
  <c r="AE885" i="35"/>
  <c r="Y885" i="35"/>
  <c r="X885" i="35"/>
  <c r="R885" i="35"/>
  <c r="Q885" i="35"/>
  <c r="K885" i="35"/>
  <c r="F885" i="35"/>
  <c r="AE881" i="35"/>
  <c r="Y881" i="35"/>
  <c r="X881" i="35"/>
  <c r="R881" i="35"/>
  <c r="Q881" i="35"/>
  <c r="K881" i="35"/>
  <c r="F881" i="35"/>
  <c r="AE867" i="35"/>
  <c r="Y867" i="35"/>
  <c r="X867" i="35"/>
  <c r="R867" i="35"/>
  <c r="Q867" i="35"/>
  <c r="K867" i="35"/>
  <c r="F867" i="35"/>
  <c r="AE865" i="35"/>
  <c r="Y863" i="35"/>
  <c r="X863" i="35"/>
  <c r="R863" i="35"/>
  <c r="Q863" i="35"/>
  <c r="K863" i="35"/>
  <c r="F863" i="35"/>
  <c r="AE863" i="35"/>
  <c r="AD887" i="35" l="1"/>
  <c r="AD885" i="35"/>
  <c r="AD881" i="35"/>
  <c r="AD867" i="35"/>
  <c r="AD865" i="35"/>
  <c r="AD863" i="35"/>
  <c r="A165" i="36" l="1"/>
  <c r="A611" i="36" l="1"/>
  <c r="A954" i="36"/>
  <c r="A608" i="36"/>
  <c r="A614" i="36"/>
  <c r="A917" i="36"/>
  <c r="A920" i="36"/>
  <c r="A923" i="36"/>
  <c r="A302" i="36"/>
  <c r="A830" i="36"/>
  <c r="A483" i="36"/>
  <c r="A750" i="36"/>
  <c r="A241" i="36"/>
  <c r="A265" i="36"/>
  <c r="A286" i="36"/>
  <c r="A12" i="36"/>
  <c r="A477" i="36"/>
  <c r="A489" i="36"/>
  <c r="A741" i="36"/>
  <c r="A790" i="36"/>
  <c r="A909" i="36"/>
  <c r="A157" i="36"/>
  <c r="A208" i="36"/>
  <c r="A123" i="36"/>
  <c r="A135" i="36"/>
  <c r="A138" i="36"/>
  <c r="A144" i="36"/>
  <c r="A296" i="36"/>
  <c r="A317" i="36"/>
  <c r="A468" i="36"/>
  <c r="A492" i="36"/>
  <c r="A747" i="36"/>
  <c r="A787" i="36"/>
  <c r="A211" i="36"/>
  <c r="A283" i="36"/>
  <c r="A299" i="36"/>
  <c r="A842" i="36"/>
  <c r="A480" i="36"/>
  <c r="A744" i="36"/>
  <c r="A214" i="36"/>
  <c r="A244" i="36"/>
  <c r="A696" i="36"/>
  <c r="A921" i="36"/>
  <c r="A953" i="36"/>
  <c r="A147" i="36"/>
  <c r="A693" i="36"/>
  <c r="A327" i="36"/>
  <c r="A94" i="36"/>
  <c r="A106" i="36"/>
  <c r="A893" i="36"/>
  <c r="A908" i="36"/>
  <c r="A911" i="36"/>
  <c r="A156" i="36"/>
  <c r="A690" i="36"/>
  <c r="A263" i="36"/>
  <c r="A266" i="36"/>
  <c r="A284" i="36"/>
  <c r="A487" i="36"/>
  <c r="A490" i="36"/>
  <c r="A526" i="36"/>
  <c r="A529" i="36"/>
  <c r="A532" i="36"/>
  <c r="A535" i="36"/>
  <c r="A538" i="36"/>
  <c r="A541" i="36"/>
  <c r="A544" i="36"/>
  <c r="A547" i="36"/>
  <c r="A550" i="36"/>
  <c r="A553" i="36"/>
  <c r="A938" i="36"/>
  <c r="A788" i="36"/>
  <c r="A671" i="36"/>
  <c r="A330" i="36"/>
  <c r="A41" i="36"/>
  <c r="A680" i="36"/>
  <c r="A702" i="36"/>
  <c r="A705" i="36"/>
  <c r="A918" i="36"/>
  <c r="A936" i="36"/>
  <c r="A939" i="36"/>
  <c r="A956" i="36"/>
  <c r="A333" i="36"/>
  <c r="A169" i="36"/>
  <c r="A172" i="36"/>
  <c r="A175" i="36"/>
  <c r="A178" i="36"/>
  <c r="A181" i="36"/>
  <c r="A435" i="36"/>
  <c r="A444" i="36"/>
  <c r="A447" i="36"/>
  <c r="A450" i="36"/>
  <c r="A97" i="36"/>
  <c r="A329" i="36"/>
  <c r="A332" i="36"/>
  <c r="A360" i="36"/>
  <c r="A15" i="36"/>
  <c r="A56" i="36"/>
  <c r="A682" i="36"/>
  <c r="A692" i="36"/>
  <c r="A695" i="36"/>
  <c r="A701" i="36"/>
  <c r="A704" i="36"/>
  <c r="A53" i="36"/>
  <c r="A743" i="36"/>
  <c r="A749" i="36"/>
  <c r="A132" i="36"/>
  <c r="A168" i="36"/>
  <c r="A171" i="36"/>
  <c r="A174" i="36"/>
  <c r="A177" i="36"/>
  <c r="A180" i="36"/>
  <c r="A446" i="36"/>
  <c r="A449" i="36"/>
  <c r="A829" i="36"/>
  <c r="A832" i="36"/>
  <c r="A916" i="36"/>
  <c r="A919" i="36"/>
  <c r="A922" i="36"/>
  <c r="A895" i="36"/>
  <c r="A207" i="36"/>
  <c r="A295" i="36"/>
  <c r="A301" i="36"/>
  <c r="A534" i="36"/>
  <c r="A543" i="36"/>
  <c r="A549" i="36"/>
  <c r="A146" i="36"/>
  <c r="A71" i="36"/>
  <c r="A155" i="36"/>
  <c r="A167" i="36"/>
  <c r="A170" i="36"/>
  <c r="A173" i="36"/>
  <c r="A264" i="36"/>
  <c r="A328" i="36"/>
  <c r="A331" i="36"/>
  <c r="A334" i="36"/>
  <c r="A445" i="36"/>
  <c r="A448" i="36"/>
  <c r="A451" i="36"/>
  <c r="A488" i="36"/>
  <c r="A491" i="36"/>
  <c r="A681" i="36"/>
  <c r="A742" i="36"/>
  <c r="A745" i="36"/>
  <c r="A841" i="36"/>
  <c r="A937" i="36"/>
  <c r="A952" i="36"/>
  <c r="A125" i="36"/>
  <c r="A210" i="36"/>
  <c r="A531" i="36"/>
  <c r="A540" i="36"/>
  <c r="A546" i="36"/>
  <c r="A610" i="36"/>
  <c r="A243" i="36"/>
  <c r="A316" i="36"/>
  <c r="A479" i="36"/>
  <c r="A117" i="36"/>
  <c r="A164" i="36"/>
  <c r="A176" i="36"/>
  <c r="A179" i="36"/>
  <c r="A182" i="36"/>
  <c r="A285" i="36"/>
  <c r="A460" i="36"/>
  <c r="A500" i="36"/>
  <c r="A691" i="36"/>
  <c r="A694" i="36"/>
  <c r="A700" i="36"/>
  <c r="A703" i="36"/>
  <c r="A748" i="36"/>
  <c r="A751" i="36"/>
  <c r="A894" i="36"/>
  <c r="A892" i="36"/>
  <c r="A525" i="36"/>
  <c r="A555" i="36"/>
  <c r="A910" i="36"/>
  <c r="A137" i="36"/>
  <c r="A143" i="36"/>
  <c r="A246" i="36"/>
  <c r="A482" i="36"/>
  <c r="A789" i="36"/>
  <c r="A88" i="36"/>
  <c r="A124" i="36"/>
  <c r="A133" i="36"/>
  <c r="A209" i="36"/>
  <c r="A212" i="36"/>
  <c r="A297" i="36"/>
  <c r="A300" i="36"/>
  <c r="A350" i="36"/>
  <c r="A466" i="36"/>
  <c r="A524" i="36"/>
  <c r="A527" i="36"/>
  <c r="A530" i="36"/>
  <c r="A533" i="36"/>
  <c r="A536" i="36"/>
  <c r="A539" i="36"/>
  <c r="A542" i="36"/>
  <c r="A545" i="36"/>
  <c r="A548" i="36"/>
  <c r="A551" i="36"/>
  <c r="A554" i="36"/>
  <c r="A606" i="36"/>
  <c r="A609" i="36"/>
  <c r="A612" i="36"/>
  <c r="A615" i="36"/>
  <c r="A955" i="36"/>
  <c r="A213" i="36"/>
  <c r="A298" i="36"/>
  <c r="A467" i="36"/>
  <c r="A528" i="36"/>
  <c r="A537" i="36"/>
  <c r="A552" i="36"/>
  <c r="A607" i="36"/>
  <c r="A613" i="36"/>
  <c r="A134" i="36"/>
  <c r="A240" i="36"/>
  <c r="A59" i="36"/>
  <c r="A62" i="36"/>
  <c r="A74" i="36"/>
  <c r="A103" i="36"/>
  <c r="A136" i="36"/>
  <c r="A142" i="36"/>
  <c r="A145" i="36"/>
  <c r="A239" i="36"/>
  <c r="A242" i="36"/>
  <c r="A245" i="36"/>
  <c r="A315" i="36"/>
  <c r="A318" i="36"/>
  <c r="A478" i="36"/>
  <c r="A481" i="36"/>
  <c r="A831" i="36"/>
  <c r="A18" i="36"/>
  <c r="A25" i="36"/>
  <c r="A31" i="36"/>
  <c r="A85" i="36"/>
  <c r="A91" i="36"/>
  <c r="A3" i="36"/>
  <c r="A6" i="36"/>
  <c r="A13" i="36"/>
  <c r="A16" i="36"/>
  <c r="A19" i="36"/>
  <c r="A22" i="36"/>
  <c r="A29" i="36"/>
  <c r="A32" i="36"/>
  <c r="A35" i="36"/>
  <c r="A38" i="36"/>
  <c r="A45" i="36"/>
  <c r="A48" i="36"/>
  <c r="A51" i="36"/>
  <c r="A54" i="36"/>
  <c r="A57" i="36"/>
  <c r="A60" i="36"/>
  <c r="A63" i="36"/>
  <c r="A66" i="36"/>
  <c r="A77" i="36"/>
  <c r="A80" i="36"/>
  <c r="A83" i="36"/>
  <c r="A86" i="36"/>
  <c r="A89" i="36"/>
  <c r="A92" i="36"/>
  <c r="A95" i="36"/>
  <c r="A98" i="36"/>
  <c r="A109" i="36"/>
  <c r="A112" i="36"/>
  <c r="A115" i="36"/>
  <c r="A118" i="36"/>
  <c r="A121" i="36"/>
  <c r="A126" i="36"/>
  <c r="A127" i="36"/>
  <c r="A128" i="36"/>
  <c r="A129" i="36"/>
  <c r="A130" i="36"/>
  <c r="A139" i="36"/>
  <c r="A148" i="36"/>
  <c r="A149" i="36"/>
  <c r="A158" i="36"/>
  <c r="A159" i="36"/>
  <c r="A160" i="36"/>
  <c r="A161" i="36"/>
  <c r="A162" i="36"/>
  <c r="A183" i="36"/>
  <c r="A184" i="36"/>
  <c r="A185" i="36"/>
  <c r="A186" i="36"/>
  <c r="A187" i="36"/>
  <c r="A188" i="36"/>
  <c r="A189" i="36"/>
  <c r="A190" i="36"/>
  <c r="A215" i="36"/>
  <c r="A216" i="36"/>
  <c r="A217" i="36"/>
  <c r="A218" i="36"/>
  <c r="A219" i="36"/>
  <c r="A220" i="36"/>
  <c r="A221" i="36"/>
  <c r="A222" i="36"/>
  <c r="A247" i="36"/>
  <c r="A248" i="36"/>
  <c r="A249" i="36"/>
  <c r="A250" i="36"/>
  <c r="A251" i="36"/>
  <c r="A252" i="36"/>
  <c r="A253" i="36"/>
  <c r="A254" i="36"/>
  <c r="A267" i="36"/>
  <c r="A268" i="36"/>
  <c r="A269" i="36"/>
  <c r="A270" i="36"/>
  <c r="A347" i="36"/>
  <c r="A351" i="36"/>
  <c r="A354" i="36"/>
  <c r="A361" i="36"/>
  <c r="A379" i="36"/>
  <c r="A383" i="36"/>
  <c r="A386" i="36"/>
  <c r="A393" i="36"/>
  <c r="A411" i="36"/>
  <c r="A415" i="36"/>
  <c r="A418" i="36"/>
  <c r="A425" i="36"/>
  <c r="A604" i="36"/>
  <c r="A669" i="36"/>
  <c r="A759" i="36"/>
  <c r="A763" i="36"/>
  <c r="A767" i="36"/>
  <c r="A771" i="36"/>
  <c r="A775" i="36"/>
  <c r="A782" i="36"/>
  <c r="A786" i="36"/>
  <c r="A813" i="36"/>
  <c r="A820" i="36"/>
  <c r="A824" i="36"/>
  <c r="A852" i="36"/>
  <c r="A867" i="36"/>
  <c r="A941" i="36"/>
  <c r="A945" i="36"/>
  <c r="A9" i="36"/>
  <c r="A28" i="36"/>
  <c r="A34" i="36"/>
  <c r="A44" i="36"/>
  <c r="A65" i="36"/>
  <c r="A68" i="36"/>
  <c r="A100" i="36"/>
  <c r="A120" i="36"/>
  <c r="A357" i="36"/>
  <c r="A364" i="36"/>
  <c r="A382" i="36"/>
  <c r="A389" i="36"/>
  <c r="A392" i="36"/>
  <c r="A396" i="36"/>
  <c r="A414" i="36"/>
  <c r="A421" i="36"/>
  <c r="A424" i="36"/>
  <c r="A428" i="36"/>
  <c r="A643" i="36"/>
  <c r="A647" i="36"/>
  <c r="A653" i="36"/>
  <c r="A657" i="36"/>
  <c r="A793" i="36"/>
  <c r="A797" i="36"/>
  <c r="A870" i="36"/>
  <c r="A874" i="36"/>
  <c r="A877" i="36"/>
  <c r="A4" i="36"/>
  <c r="A7" i="36"/>
  <c r="A10" i="36"/>
  <c r="A17" i="36"/>
  <c r="A20" i="36"/>
  <c r="A23" i="36"/>
  <c r="A26" i="36"/>
  <c r="A33" i="36"/>
  <c r="A36" i="36"/>
  <c r="A39" i="36"/>
  <c r="A42" i="36"/>
  <c r="A46" i="36"/>
  <c r="A49" i="36"/>
  <c r="A52" i="36"/>
  <c r="A55" i="36"/>
  <c r="A58" i="36"/>
  <c r="A69" i="36"/>
  <c r="A72" i="36"/>
  <c r="A75" i="36"/>
  <c r="A78" i="36"/>
  <c r="A81" i="36"/>
  <c r="A84" i="36"/>
  <c r="A87" i="36"/>
  <c r="A90" i="36"/>
  <c r="A101" i="36"/>
  <c r="A104" i="36"/>
  <c r="A107" i="36"/>
  <c r="A110" i="36"/>
  <c r="A113" i="36"/>
  <c r="A116" i="36"/>
  <c r="A119" i="36"/>
  <c r="A122" i="36"/>
  <c r="A131" i="36"/>
  <c r="A140" i="36"/>
  <c r="A141" i="36"/>
  <c r="A150" i="36"/>
  <c r="A151" i="36"/>
  <c r="A152" i="36"/>
  <c r="A153" i="36"/>
  <c r="A154" i="36"/>
  <c r="A163" i="36"/>
  <c r="A166" i="36"/>
  <c r="A191" i="36"/>
  <c r="A192" i="36"/>
  <c r="A193" i="36"/>
  <c r="A194" i="36"/>
  <c r="A195" i="36"/>
  <c r="A196" i="36"/>
  <c r="A197" i="36"/>
  <c r="A198" i="36"/>
  <c r="A223" i="36"/>
  <c r="A224" i="36"/>
  <c r="A225" i="36"/>
  <c r="A226" i="36"/>
  <c r="A227" i="36"/>
  <c r="A228" i="36"/>
  <c r="A229" i="36"/>
  <c r="A230" i="36"/>
  <c r="A255" i="36"/>
  <c r="A256" i="36"/>
  <c r="A257" i="36"/>
  <c r="A258" i="36"/>
  <c r="A279" i="36"/>
  <c r="A280" i="36"/>
  <c r="A281" i="36"/>
  <c r="A282" i="36"/>
  <c r="A311" i="36"/>
  <c r="A312" i="36"/>
  <c r="A313" i="36"/>
  <c r="A314" i="36"/>
  <c r="A343" i="36"/>
  <c r="A344" i="36"/>
  <c r="A348" i="36"/>
  <c r="A366" i="36"/>
  <c r="A373" i="36"/>
  <c r="A376" i="36"/>
  <c r="A380" i="36"/>
  <c r="A398" i="36"/>
  <c r="A405" i="36"/>
  <c r="A408" i="36"/>
  <c r="A412" i="36"/>
  <c r="A430" i="36"/>
  <c r="A455" i="36"/>
  <c r="A456" i="36"/>
  <c r="A457" i="36"/>
  <c r="A458" i="36"/>
  <c r="A459" i="36"/>
  <c r="A476" i="36"/>
  <c r="A498" i="36"/>
  <c r="A499" i="36"/>
  <c r="A588" i="36"/>
  <c r="A589" i="36"/>
  <c r="A590" i="36"/>
  <c r="A591" i="36"/>
  <c r="A592" i="36"/>
  <c r="A593" i="36"/>
  <c r="A594" i="36"/>
  <c r="A595" i="36"/>
  <c r="A596" i="36"/>
  <c r="A597" i="36"/>
  <c r="A598" i="36"/>
  <c r="A599" i="36"/>
  <c r="A600" i="36"/>
  <c r="A601" i="36"/>
  <c r="A605" i="36"/>
  <c r="A662" i="36"/>
  <c r="A666" i="36"/>
  <c r="A670" i="36"/>
  <c r="A713" i="36"/>
  <c r="A717" i="36"/>
  <c r="A720" i="36"/>
  <c r="A724" i="36"/>
  <c r="A728" i="36"/>
  <c r="A732" i="36"/>
  <c r="A736" i="36"/>
  <c r="A810" i="36"/>
  <c r="A814" i="36"/>
  <c r="A817" i="36"/>
  <c r="A821" i="36"/>
  <c r="A825" i="36"/>
  <c r="A853" i="36"/>
  <c r="A857" i="36"/>
  <c r="A864" i="36"/>
  <c r="A888" i="36"/>
  <c r="A889" i="36"/>
  <c r="A890" i="36"/>
  <c r="A891" i="36"/>
  <c r="A932" i="36"/>
  <c r="A933" i="36"/>
  <c r="A934" i="36"/>
  <c r="A935" i="36"/>
  <c r="A942" i="36"/>
  <c r="A946" i="36"/>
  <c r="A5" i="36"/>
  <c r="A8" i="36"/>
  <c r="A11" i="36"/>
  <c r="A14" i="36"/>
  <c r="A21" i="36"/>
  <c r="A24" i="36"/>
  <c r="A27" i="36"/>
  <c r="A30" i="36"/>
  <c r="A37" i="36"/>
  <c r="A40" i="36"/>
  <c r="A43" i="36"/>
  <c r="A47" i="36"/>
  <c r="A50" i="36"/>
  <c r="A61" i="36"/>
  <c r="A64" i="36"/>
  <c r="A67" i="36"/>
  <c r="A70" i="36"/>
  <c r="A73" i="36"/>
  <c r="A76" i="36"/>
  <c r="A79" i="36"/>
  <c r="A82" i="36"/>
  <c r="A93" i="36"/>
  <c r="A96" i="36"/>
  <c r="A99" i="36"/>
  <c r="A102" i="36"/>
  <c r="A105" i="36"/>
  <c r="A108" i="36"/>
  <c r="A111" i="36"/>
  <c r="A114" i="36"/>
  <c r="A199" i="36"/>
  <c r="A200" i="36"/>
  <c r="A201" i="36"/>
  <c r="A202" i="36"/>
  <c r="A203" i="36"/>
  <c r="A204" i="36"/>
  <c r="A205" i="36"/>
  <c r="A206" i="36"/>
  <c r="A231" i="36"/>
  <c r="A232" i="36"/>
  <c r="A233" i="36"/>
  <c r="A234" i="36"/>
  <c r="A235" i="36"/>
  <c r="A236" i="36"/>
  <c r="A237" i="36"/>
  <c r="A238" i="36"/>
  <c r="A259" i="36"/>
  <c r="A260" i="36"/>
  <c r="A261" i="36"/>
  <c r="A262" i="36"/>
  <c r="A345" i="36"/>
  <c r="A363" i="36"/>
  <c r="A367" i="36"/>
  <c r="A370" i="36"/>
  <c r="A377" i="36"/>
  <c r="A395" i="36"/>
  <c r="A399" i="36"/>
  <c r="A402" i="36"/>
  <c r="A409" i="36"/>
  <c r="A427" i="36"/>
  <c r="A431" i="36"/>
  <c r="A434" i="36"/>
  <c r="A602" i="36"/>
  <c r="A646" i="36"/>
  <c r="A650" i="36"/>
  <c r="A656" i="36"/>
  <c r="A659" i="36"/>
  <c r="A663" i="36"/>
  <c r="A667" i="36"/>
  <c r="A714" i="36"/>
  <c r="A721" i="36"/>
  <c r="A725" i="36"/>
  <c r="A729" i="36"/>
  <c r="A733" i="36"/>
  <c r="A803" i="36"/>
  <c r="A807" i="36"/>
  <c r="A811" i="36"/>
  <c r="A839" i="36"/>
  <c r="A840" i="36"/>
  <c r="A873" i="36"/>
  <c r="A271" i="36"/>
  <c r="A272" i="36"/>
  <c r="A273" i="36"/>
  <c r="A274" i="36"/>
  <c r="A287" i="36"/>
  <c r="A288" i="36"/>
  <c r="A289" i="36"/>
  <c r="A290" i="36"/>
  <c r="A303" i="36"/>
  <c r="A304" i="36"/>
  <c r="A305" i="36"/>
  <c r="A306" i="36"/>
  <c r="A319" i="36"/>
  <c r="A320" i="36"/>
  <c r="A321" i="36"/>
  <c r="A322" i="36"/>
  <c r="A335" i="36"/>
  <c r="A336" i="36"/>
  <c r="A337" i="36"/>
  <c r="A338" i="36"/>
  <c r="A349" i="36"/>
  <c r="A352" i="36"/>
  <c r="A355" i="36"/>
  <c r="A358" i="36"/>
  <c r="A365" i="36"/>
  <c r="A368" i="36"/>
  <c r="A371" i="36"/>
  <c r="A374" i="36"/>
  <c r="A381" i="36"/>
  <c r="A384" i="36"/>
  <c r="A387" i="36"/>
  <c r="A390" i="36"/>
  <c r="A397" i="36"/>
  <c r="A400" i="36"/>
  <c r="A403" i="36"/>
  <c r="A406" i="36"/>
  <c r="A413" i="36"/>
  <c r="A416" i="36"/>
  <c r="A419" i="36"/>
  <c r="A422" i="36"/>
  <c r="A429" i="36"/>
  <c r="A432" i="36"/>
  <c r="A436" i="36"/>
  <c r="A437" i="36"/>
  <c r="A438" i="36"/>
  <c r="A439" i="36"/>
  <c r="A452" i="36"/>
  <c r="A461" i="36"/>
  <c r="A462" i="36"/>
  <c r="A469" i="36"/>
  <c r="A470" i="36"/>
  <c r="A484" i="36"/>
  <c r="A493" i="36"/>
  <c r="A494" i="36"/>
  <c r="A501" i="36"/>
  <c r="A502" i="36"/>
  <c r="A503" i="36"/>
  <c r="A504" i="36"/>
  <c r="A505" i="36"/>
  <c r="A506" i="36"/>
  <c r="A507" i="36"/>
  <c r="A556" i="36"/>
  <c r="A557" i="36"/>
  <c r="A558" i="36"/>
  <c r="A559" i="36"/>
  <c r="A560" i="36"/>
  <c r="A561" i="36"/>
  <c r="A562" i="36"/>
  <c r="A563" i="36"/>
  <c r="A564" i="36"/>
  <c r="A565" i="36"/>
  <c r="A566" i="36"/>
  <c r="A567" i="36"/>
  <c r="A568" i="36"/>
  <c r="A569" i="36"/>
  <c r="A570" i="36"/>
  <c r="A571" i="36"/>
  <c r="A616" i="36"/>
  <c r="A617" i="36"/>
  <c r="A618" i="36"/>
  <c r="A619" i="36"/>
  <c r="A620" i="36"/>
  <c r="A621" i="36"/>
  <c r="A622" i="36"/>
  <c r="A623" i="36"/>
  <c r="A624" i="36"/>
  <c r="A625" i="36"/>
  <c r="A626" i="36"/>
  <c r="A627" i="36"/>
  <c r="A628" i="36"/>
  <c r="A629" i="36"/>
  <c r="A630" i="36"/>
  <c r="A631" i="36"/>
  <c r="A644" i="36"/>
  <c r="A648" i="36"/>
  <c r="A651" i="36"/>
  <c r="A654" i="36"/>
  <c r="A660" i="36"/>
  <c r="A664" i="36"/>
  <c r="A668" i="36"/>
  <c r="A672" i="36"/>
  <c r="A683" i="36"/>
  <c r="A684" i="36"/>
  <c r="A685" i="36"/>
  <c r="A686" i="36"/>
  <c r="A687" i="36"/>
  <c r="A697" i="36"/>
  <c r="A706" i="36"/>
  <c r="A707" i="36"/>
  <c r="A709" i="36"/>
  <c r="A710" i="36"/>
  <c r="A711" i="36"/>
  <c r="A715" i="36"/>
  <c r="A718" i="36"/>
  <c r="A734" i="36"/>
  <c r="A738" i="36"/>
  <c r="A760" i="36"/>
  <c r="A764" i="36"/>
  <c r="A768" i="36"/>
  <c r="A772" i="36"/>
  <c r="A776" i="36"/>
  <c r="A779" i="36"/>
  <c r="A783" i="36"/>
  <c r="A794" i="36"/>
  <c r="A798" i="36"/>
  <c r="A801" i="36"/>
  <c r="A804" i="36"/>
  <c r="A808" i="36"/>
  <c r="A815" i="36"/>
  <c r="A818" i="36"/>
  <c r="A822" i="36"/>
  <c r="A826" i="36"/>
  <c r="A833" i="36"/>
  <c r="A834" i="36"/>
  <c r="A845" i="36"/>
  <c r="A846" i="36"/>
  <c r="A850" i="36"/>
  <c r="A854" i="36"/>
  <c r="A858" i="36"/>
  <c r="A861" i="36"/>
  <c r="A868" i="36"/>
  <c r="A871" i="36"/>
  <c r="A875" i="36"/>
  <c r="A878" i="36"/>
  <c r="A879" i="36"/>
  <c r="A900" i="36"/>
  <c r="A901" i="36"/>
  <c r="A902" i="36"/>
  <c r="A903" i="36"/>
  <c r="A943" i="36"/>
  <c r="A275" i="36"/>
  <c r="A276" i="36"/>
  <c r="A277" i="36"/>
  <c r="A278" i="36"/>
  <c r="A291" i="36"/>
  <c r="A292" i="36"/>
  <c r="A293" i="36"/>
  <c r="A294" i="36"/>
  <c r="A307" i="36"/>
  <c r="A308" i="36"/>
  <c r="A309" i="36"/>
  <c r="A310" i="36"/>
  <c r="A323" i="36"/>
  <c r="A324" i="36"/>
  <c r="A325" i="36"/>
  <c r="A326" i="36"/>
  <c r="A339" i="36"/>
  <c r="A340" i="36"/>
  <c r="A341" i="36"/>
  <c r="A342" i="36"/>
  <c r="A346" i="36"/>
  <c r="A353" i="36"/>
  <c r="A356" i="36"/>
  <c r="A359" i="36"/>
  <c r="A362" i="36"/>
  <c r="A369" i="36"/>
  <c r="A372" i="36"/>
  <c r="A375" i="36"/>
  <c r="A378" i="36"/>
  <c r="A385" i="36"/>
  <c r="A388" i="36"/>
  <c r="A391" i="36"/>
  <c r="A394" i="36"/>
  <c r="A401" i="36"/>
  <c r="A404" i="36"/>
  <c r="A407" i="36"/>
  <c r="A410" i="36"/>
  <c r="A417" i="36"/>
  <c r="A420" i="36"/>
  <c r="A423" i="36"/>
  <c r="A426" i="36"/>
  <c r="A433" i="36"/>
  <c r="A440" i="36"/>
  <c r="A441" i="36"/>
  <c r="A442" i="36"/>
  <c r="A443" i="36"/>
  <c r="A453" i="36"/>
  <c r="A454" i="36"/>
  <c r="A463" i="36"/>
  <c r="A464" i="36"/>
  <c r="A465" i="36"/>
  <c r="A471" i="36"/>
  <c r="A472" i="36"/>
  <c r="A473" i="36"/>
  <c r="A474" i="36"/>
  <c r="A475" i="36"/>
  <c r="A485" i="36"/>
  <c r="A486" i="36"/>
  <c r="A495" i="36"/>
  <c r="A496" i="36"/>
  <c r="A497" i="36"/>
  <c r="A508" i="36"/>
  <c r="A509" i="36"/>
  <c r="A510" i="36"/>
  <c r="A511" i="36"/>
  <c r="A512" i="36"/>
  <c r="A513" i="36"/>
  <c r="A514" i="36"/>
  <c r="A515" i="36"/>
  <c r="A516" i="36"/>
  <c r="A517" i="36"/>
  <c r="A518" i="36"/>
  <c r="A519" i="36"/>
  <c r="A520" i="36"/>
  <c r="A521" i="36"/>
  <c r="A522" i="36"/>
  <c r="A523" i="36"/>
  <c r="A572" i="36"/>
  <c r="A573" i="36"/>
  <c r="A574" i="36"/>
  <c r="A575" i="36"/>
  <c r="A576" i="36"/>
  <c r="A577" i="36"/>
  <c r="A578" i="36"/>
  <c r="A579" i="36"/>
  <c r="A580" i="36"/>
  <c r="A581" i="36"/>
  <c r="A582" i="36"/>
  <c r="A583" i="36"/>
  <c r="A584" i="36"/>
  <c r="A585" i="36"/>
  <c r="A586" i="36"/>
  <c r="A587" i="36"/>
  <c r="A603" i="36"/>
  <c r="A632" i="36"/>
  <c r="A633" i="36"/>
  <c r="A634" i="36"/>
  <c r="A635" i="36"/>
  <c r="A636" i="36"/>
  <c r="A637" i="36"/>
  <c r="A638" i="36"/>
  <c r="A639" i="36"/>
  <c r="A641" i="36"/>
  <c r="A642" i="36"/>
  <c r="A645" i="36"/>
  <c r="A649" i="36"/>
  <c r="A652" i="36"/>
  <c r="A655" i="36"/>
  <c r="A658" i="36"/>
  <c r="A661" i="36"/>
  <c r="A665" i="36"/>
  <c r="A673" i="36"/>
  <c r="A674" i="36"/>
  <c r="A675" i="36"/>
  <c r="A676" i="36"/>
  <c r="A677" i="36"/>
  <c r="A678" i="36"/>
  <c r="A679" i="36"/>
  <c r="A689" i="36"/>
  <c r="A698" i="36"/>
  <c r="A699" i="36"/>
  <c r="A712" i="36"/>
  <c r="A716" i="36"/>
  <c r="A719" i="36"/>
  <c r="A723" i="36"/>
  <c r="A727" i="36"/>
  <c r="A731" i="36"/>
  <c r="A735" i="36"/>
  <c r="A739" i="36"/>
  <c r="A740" i="36"/>
  <c r="A752" i="36"/>
  <c r="A753" i="36"/>
  <c r="A754" i="36"/>
  <c r="A755" i="36"/>
  <c r="A756" i="36"/>
  <c r="A757" i="36"/>
  <c r="A761" i="36"/>
  <c r="A765" i="36"/>
  <c r="A769" i="36"/>
  <c r="A773" i="36"/>
  <c r="A777" i="36"/>
  <c r="A780" i="36"/>
  <c r="A784" i="36"/>
  <c r="A791" i="36"/>
  <c r="A795" i="36"/>
  <c r="A799" i="36"/>
  <c r="A805" i="36"/>
  <c r="A809" i="36"/>
  <c r="A837" i="36"/>
  <c r="A838" i="36"/>
  <c r="A847" i="36"/>
  <c r="A848" i="36"/>
  <c r="A851" i="36"/>
  <c r="A855" i="36"/>
  <c r="A859" i="36"/>
  <c r="A862" i="36"/>
  <c r="A865" i="36"/>
  <c r="A872" i="36"/>
  <c r="A884" i="36"/>
  <c r="A885" i="36"/>
  <c r="A886" i="36"/>
  <c r="A887" i="36"/>
  <c r="A904" i="36"/>
  <c r="A905" i="36"/>
  <c r="A906" i="36"/>
  <c r="A907" i="36"/>
  <c r="A924" i="36"/>
  <c r="A925" i="36"/>
  <c r="A926" i="36"/>
  <c r="A927" i="36"/>
  <c r="A944" i="36"/>
  <c r="A948" i="36"/>
  <c r="A949" i="36"/>
  <c r="A950" i="36"/>
  <c r="A951" i="36"/>
  <c r="A722" i="36"/>
  <c r="A726" i="36"/>
  <c r="A730" i="36"/>
  <c r="A737" i="36"/>
  <c r="A746" i="36"/>
  <c r="A758" i="36"/>
  <c r="A762" i="36"/>
  <c r="A766" i="36"/>
  <c r="A770" i="36"/>
  <c r="A774" i="36"/>
  <c r="A778" i="36"/>
  <c r="A781" i="36"/>
  <c r="A785" i="36"/>
  <c r="A792" i="36"/>
  <c r="A796" i="36"/>
  <c r="A800" i="36"/>
  <c r="A802" i="36"/>
  <c r="A806" i="36"/>
  <c r="A812" i="36"/>
  <c r="A816" i="36"/>
  <c r="A819" i="36"/>
  <c r="A823" i="36"/>
  <c r="A827" i="36"/>
  <c r="A828" i="36"/>
  <c r="A835" i="36"/>
  <c r="A836" i="36"/>
  <c r="A843" i="36"/>
  <c r="A844" i="36"/>
  <c r="A849" i="36"/>
  <c r="A856" i="36"/>
  <c r="A860" i="36"/>
  <c r="A863" i="36"/>
  <c r="A866" i="36"/>
  <c r="A869" i="36"/>
  <c r="A876" i="36"/>
  <c r="A880" i="36"/>
  <c r="A881" i="36"/>
  <c r="A882" i="36"/>
  <c r="A883" i="36"/>
  <c r="A896" i="36"/>
  <c r="A897" i="36"/>
  <c r="A898" i="36"/>
  <c r="A899" i="36"/>
  <c r="A912" i="36"/>
  <c r="A913" i="36"/>
  <c r="A914" i="36"/>
  <c r="A915" i="36"/>
  <c r="A928" i="36"/>
  <c r="A929" i="36"/>
  <c r="A930" i="36"/>
  <c r="A931" i="36"/>
  <c r="A940" i="36"/>
  <c r="A947" i="36"/>
  <c r="A957" i="36"/>
  <c r="A958" i="36"/>
  <c r="A959" i="36"/>
  <c r="A960" i="36"/>
  <c r="A961" i="36"/>
  <c r="A962" i="36"/>
  <c r="A963" i="36"/>
  <c r="A964" i="36"/>
  <c r="A965" i="36"/>
  <c r="A966" i="36"/>
  <c r="A967" i="36"/>
  <c r="A968" i="36"/>
  <c r="A969" i="36"/>
  <c r="A970" i="36"/>
  <c r="A971" i="36"/>
  <c r="A972" i="36"/>
  <c r="A973" i="36"/>
  <c r="A974" i="36"/>
  <c r="A975" i="36"/>
  <c r="A976" i="36"/>
  <c r="A977" i="36"/>
  <c r="A978" i="36"/>
  <c r="AF1333" i="35" l="1"/>
  <c r="AG1333" i="35" s="1"/>
  <c r="AF1345" i="35"/>
  <c r="AG1345" i="35" s="1"/>
  <c r="AF1331" i="35"/>
  <c r="AG1331" i="35" s="1"/>
  <c r="AF1287" i="35"/>
  <c r="AG1287" i="35" s="1"/>
  <c r="AF1301" i="35"/>
  <c r="AG1301" i="35" s="1"/>
  <c r="AF1299" i="35"/>
  <c r="AG1299" i="35" s="1"/>
  <c r="AF1327" i="35"/>
  <c r="AG1327" i="35" s="1"/>
  <c r="AF1307" i="35"/>
  <c r="AG1307" i="35" s="1"/>
  <c r="AF1343" i="35"/>
  <c r="AG1343" i="35" s="1"/>
  <c r="AF1325" i="35"/>
  <c r="AG1325" i="35" s="1"/>
  <c r="AF1303" i="35"/>
  <c r="AG1303" i="35" s="1"/>
  <c r="AF1329" i="35"/>
  <c r="AG1329" i="35" s="1"/>
  <c r="AF1323" i="35"/>
  <c r="AG1323" i="35" s="1"/>
  <c r="AF1337" i="35"/>
  <c r="AG1337" i="35" s="1"/>
  <c r="AF1321" i="35"/>
  <c r="AG1321" i="35" s="1"/>
  <c r="AF1295" i="35"/>
  <c r="AG1295" i="35" s="1"/>
  <c r="AF1313" i="35"/>
  <c r="AG1313" i="35" s="1"/>
  <c r="AF1339" i="35"/>
  <c r="AG1339" i="35" s="1"/>
  <c r="AF1319" i="35"/>
  <c r="AG1319" i="35" s="1"/>
  <c r="AF1311" i="35"/>
  <c r="AG1311" i="35" s="1"/>
  <c r="AF1335" i="35"/>
  <c r="AG1335" i="35" s="1"/>
  <c r="AF1293" i="35"/>
  <c r="AG1293" i="35" s="1"/>
  <c r="AF1341" i="35"/>
  <c r="AG1341" i="35" s="1"/>
  <c r="AF1305" i="35"/>
  <c r="AG1305" i="35" s="1"/>
  <c r="AF1277" i="35"/>
  <c r="AG1277" i="35" s="1"/>
  <c r="AF1270" i="35"/>
  <c r="AG1270" i="35" s="1"/>
  <c r="AF1273" i="35"/>
  <c r="AG1273" i="35" s="1"/>
  <c r="AF1268" i="35"/>
  <c r="AG1268" i="35" s="1"/>
  <c r="AF1275" i="35"/>
  <c r="AG1275" i="35" s="1"/>
  <c r="AF1283" i="35"/>
  <c r="AG1283" i="35" s="1"/>
  <c r="AF1285" i="35"/>
  <c r="AG1285" i="35" s="1"/>
  <c r="AF1281" i="35"/>
  <c r="AG1281" i="35" s="1"/>
  <c r="AF1279" i="35"/>
  <c r="AG1279" i="35" s="1"/>
  <c r="AF1128" i="35"/>
  <c r="AG1128" i="35" s="1"/>
  <c r="AF1124" i="35"/>
  <c r="AG1124" i="35" s="1"/>
  <c r="AF1126" i="35"/>
  <c r="AG1126" i="35" s="1"/>
  <c r="AF1116" i="35"/>
  <c r="AG1116" i="35" s="1"/>
  <c r="AF1104" i="35"/>
  <c r="AG1104" i="35" s="1"/>
  <c r="AF1082" i="35"/>
  <c r="AG1082" i="35" s="1"/>
  <c r="AF1084" i="35"/>
  <c r="AG1084" i="35" s="1"/>
  <c r="AF1102" i="35"/>
  <c r="AG1102" i="35" s="1"/>
  <c r="AF1074" i="35"/>
  <c r="AG1074" i="35" s="1"/>
  <c r="AF1096" i="35"/>
  <c r="AG1096" i="35" s="1"/>
  <c r="AF1072" i="35"/>
  <c r="AG1072" i="35" s="1"/>
  <c r="AF1070" i="35"/>
  <c r="AG1070" i="35" s="1"/>
  <c r="AF1092" i="35"/>
  <c r="AG1092" i="35" s="1"/>
  <c r="AF1094" i="35"/>
  <c r="AG1094" i="35" s="1"/>
  <c r="AF1090" i="35"/>
  <c r="AG1090" i="35" s="1"/>
  <c r="AF1064" i="35"/>
  <c r="AG1064" i="35" s="1"/>
  <c r="AF1052" i="35"/>
  <c r="AG1052" i="35" s="1"/>
  <c r="AF1076" i="35"/>
  <c r="AG1076" i="35" s="1"/>
  <c r="AF1056" i="35"/>
  <c r="AG1056" i="35" s="1"/>
  <c r="AG1078" i="35"/>
  <c r="AF1050" i="35"/>
  <c r="AG1050" i="35" s="1"/>
  <c r="AF1080" i="35"/>
  <c r="AG1080" i="35" s="1"/>
  <c r="AF1058" i="35"/>
  <c r="AG1058" i="35" s="1"/>
  <c r="AF1066" i="35"/>
  <c r="AG1066" i="35" s="1"/>
  <c r="AF1068" i="35"/>
  <c r="AG1068" i="35" s="1"/>
  <c r="AG1297" i="33"/>
  <c r="AH1297" i="33" s="1"/>
  <c r="AF1002" i="35"/>
  <c r="AG1002" i="35" s="1"/>
  <c r="AG1295" i="33"/>
  <c r="AH1295" i="33" s="1"/>
  <c r="AG1293" i="33"/>
  <c r="AH1293" i="33" s="1"/>
  <c r="AF981" i="35"/>
  <c r="AG981" i="35" s="1"/>
  <c r="AF983" i="35"/>
  <c r="AG983" i="35" s="1"/>
  <c r="AF977" i="35"/>
  <c r="AG977" i="35" s="1"/>
  <c r="AF1006" i="35"/>
  <c r="AG1006" i="35" s="1"/>
  <c r="AF1004" i="35"/>
  <c r="AG1004" i="35" s="1"/>
  <c r="AG1287" i="33"/>
  <c r="AH1287" i="33" s="1"/>
  <c r="AG1291" i="33"/>
  <c r="AH1291" i="33" s="1"/>
  <c r="AG1289" i="33"/>
  <c r="AH1289" i="33" s="1"/>
  <c r="AF1008" i="35"/>
  <c r="AG1008" i="35" s="1"/>
  <c r="AF1010" i="35"/>
  <c r="AG1010" i="35" s="1"/>
  <c r="AF1012" i="35"/>
  <c r="AG1012" i="35" s="1"/>
  <c r="AF1020" i="35"/>
  <c r="AG1020" i="35" s="1"/>
  <c r="AF1018" i="35"/>
  <c r="AG1018" i="35" s="1"/>
  <c r="AF1014" i="35"/>
  <c r="AG1014" i="35" s="1"/>
  <c r="AF969" i="35"/>
  <c r="AG969" i="35" s="1"/>
  <c r="AF988" i="35"/>
  <c r="AG988" i="35" s="1"/>
  <c r="AF971" i="35"/>
  <c r="AG971" i="35" s="1"/>
  <c r="AF992" i="35"/>
  <c r="AG992" i="35" s="1"/>
  <c r="AF994" i="35"/>
  <c r="AG994" i="35" s="1"/>
  <c r="AF990" i="35"/>
  <c r="AG990" i="35" s="1"/>
  <c r="AF959" i="35"/>
  <c r="AG959" i="35" s="1"/>
  <c r="AF965" i="35"/>
  <c r="AG965" i="35" s="1"/>
  <c r="AF996" i="35"/>
  <c r="AG996" i="35" s="1"/>
  <c r="AF967" i="35"/>
  <c r="AG967" i="35" s="1"/>
  <c r="AG1183" i="33"/>
  <c r="AH1183" i="33" s="1"/>
  <c r="AG1180" i="33"/>
  <c r="AH1180" i="33" s="1"/>
  <c r="AG1161" i="33"/>
  <c r="AH1161" i="33" s="1"/>
  <c r="AF1016" i="35"/>
  <c r="AG1016" i="35" s="1"/>
  <c r="AF919" i="35"/>
  <c r="AG919" i="35" s="1"/>
  <c r="AF915" i="35"/>
  <c r="AG915" i="35" s="1"/>
  <c r="AF927" i="35"/>
  <c r="AG927" i="35" s="1"/>
  <c r="AF917" i="35"/>
  <c r="AG917" i="35" s="1"/>
  <c r="AG1129" i="33"/>
  <c r="AH1129" i="33" s="1"/>
  <c r="AG1131" i="33"/>
  <c r="AH1131" i="33" s="1"/>
  <c r="AF893" i="35"/>
  <c r="AG893" i="35" s="1"/>
  <c r="AF921" i="35"/>
  <c r="AG921" i="35" s="1"/>
  <c r="AF883" i="35"/>
  <c r="AG883" i="35" s="1"/>
  <c r="AF875" i="35"/>
  <c r="AG875" i="35" s="1"/>
  <c r="AF877" i="35"/>
  <c r="AG877" i="35" s="1"/>
  <c r="AF879" i="35"/>
  <c r="AG879" i="35" s="1"/>
  <c r="AG1178" i="33"/>
  <c r="AH1178" i="33" s="1"/>
  <c r="AF923" i="35"/>
  <c r="AG923" i="35" s="1"/>
  <c r="AF903" i="35"/>
  <c r="AG903" i="35" s="1"/>
  <c r="AF905" i="35"/>
  <c r="AG905" i="35" s="1"/>
  <c r="AF897" i="35"/>
  <c r="AG897" i="35" s="1"/>
  <c r="AF907" i="35"/>
  <c r="AG907" i="35" s="1"/>
  <c r="AF899" i="35"/>
  <c r="AG899" i="35" s="1"/>
  <c r="AF889" i="35"/>
  <c r="AG889" i="35" s="1"/>
  <c r="AF895" i="35"/>
  <c r="AG895" i="35" s="1"/>
  <c r="AF901" i="35"/>
  <c r="AG901" i="35" s="1"/>
  <c r="AF863" i="35"/>
  <c r="AG863" i="35" s="1"/>
  <c r="AF865" i="35"/>
  <c r="AG865" i="35" s="1"/>
  <c r="AF867" i="35"/>
  <c r="AG867" i="35" s="1"/>
  <c r="AF881" i="35"/>
  <c r="AG881" i="35" s="1"/>
  <c r="AF885" i="35"/>
  <c r="AG885" i="35" s="1"/>
  <c r="AF887" i="35"/>
  <c r="AG887" i="35" s="1"/>
  <c r="H865" i="35"/>
  <c r="G865" i="35"/>
  <c r="I865" i="35"/>
  <c r="I1113" i="33"/>
  <c r="I1119" i="33"/>
  <c r="I1111" i="33"/>
  <c r="I1121" i="33"/>
  <c r="I1117" i="33"/>
  <c r="G1119" i="33"/>
  <c r="G1117" i="33"/>
  <c r="G1115" i="33"/>
  <c r="H1119" i="33"/>
  <c r="H1121" i="33"/>
  <c r="I1115" i="33"/>
  <c r="G1109" i="33"/>
  <c r="H1109" i="33"/>
  <c r="G1111" i="33"/>
  <c r="G1113" i="33"/>
  <c r="H1115" i="33"/>
  <c r="G1121" i="33"/>
  <c r="H1117" i="33"/>
  <c r="I1109" i="33"/>
  <c r="H1113" i="33"/>
  <c r="H1111" i="33"/>
  <c r="H1107" i="33"/>
  <c r="G1107" i="33"/>
  <c r="I1107" i="33"/>
  <c r="G1175" i="33"/>
  <c r="I1169" i="33"/>
  <c r="G1169" i="33"/>
  <c r="H1167" i="33"/>
  <c r="I1163" i="33"/>
  <c r="I1167" i="33"/>
  <c r="G1167" i="33"/>
  <c r="I1165" i="33"/>
  <c r="H1176" i="33"/>
  <c r="I1175" i="33"/>
  <c r="H1173" i="33"/>
  <c r="H1165" i="33"/>
  <c r="I1176" i="33"/>
  <c r="H1175" i="33"/>
  <c r="I1173" i="33"/>
  <c r="I1171" i="33"/>
  <c r="H1171" i="33"/>
  <c r="G1176" i="33"/>
  <c r="G1173" i="33"/>
  <c r="H1169" i="33"/>
  <c r="G1171" i="33"/>
  <c r="H1163" i="33"/>
  <c r="G1165" i="33"/>
  <c r="G1163" i="33"/>
  <c r="I923" i="35"/>
  <c r="H923" i="35"/>
  <c r="G923" i="35"/>
  <c r="I907" i="35"/>
  <c r="H905" i="35"/>
  <c r="G903" i="35"/>
  <c r="I899" i="35"/>
  <c r="H897" i="35"/>
  <c r="G889" i="35"/>
  <c r="H907" i="35"/>
  <c r="I905" i="35"/>
  <c r="G901" i="35"/>
  <c r="G895" i="35"/>
  <c r="I889" i="35"/>
  <c r="H899" i="35"/>
  <c r="G905" i="35"/>
  <c r="I903" i="35"/>
  <c r="H901" i="35"/>
  <c r="H889" i="35"/>
  <c r="G907" i="35"/>
  <c r="H903" i="35"/>
  <c r="I901" i="35"/>
  <c r="G899" i="35"/>
  <c r="I897" i="35"/>
  <c r="G897" i="35"/>
  <c r="I895" i="35"/>
  <c r="H895" i="35"/>
  <c r="H887" i="35"/>
  <c r="G887" i="35"/>
  <c r="I881" i="35"/>
  <c r="H867" i="35"/>
  <c r="G867" i="35"/>
  <c r="H863" i="35"/>
  <c r="I887" i="35"/>
  <c r="G863" i="35"/>
  <c r="G885" i="35"/>
  <c r="I867" i="35"/>
  <c r="I885" i="35"/>
  <c r="H881" i="35"/>
  <c r="G881" i="35"/>
  <c r="I863" i="35"/>
  <c r="H885" i="35"/>
  <c r="X788" i="20"/>
  <c r="W788" i="20"/>
  <c r="V788" i="20"/>
  <c r="S788" i="20"/>
  <c r="Q788" i="20"/>
  <c r="M788" i="20"/>
  <c r="K788" i="20"/>
  <c r="J788" i="20"/>
  <c r="I788" i="20"/>
  <c r="H788" i="20"/>
  <c r="G788" i="20"/>
  <c r="F788" i="20"/>
  <c r="E788" i="20"/>
  <c r="D788" i="20"/>
  <c r="C788" i="20"/>
  <c r="B788" i="20"/>
  <c r="A788" i="20"/>
  <c r="X572" i="20"/>
  <c r="W572" i="20"/>
  <c r="V572" i="20"/>
  <c r="S572" i="20"/>
  <c r="M572" i="20"/>
  <c r="J572" i="20"/>
  <c r="E572" i="20"/>
  <c r="D572" i="20"/>
  <c r="C572" i="20"/>
  <c r="B572" i="20"/>
  <c r="X571" i="20"/>
  <c r="W571" i="20"/>
  <c r="V571" i="20"/>
  <c r="S571" i="20"/>
  <c r="M571" i="20"/>
  <c r="J571" i="20"/>
  <c r="E571" i="20"/>
  <c r="D571" i="20"/>
  <c r="C571" i="20"/>
  <c r="B571" i="20"/>
  <c r="X570" i="20"/>
  <c r="W570" i="20"/>
  <c r="V570" i="20"/>
  <c r="S570" i="20"/>
  <c r="M570" i="20"/>
  <c r="J570" i="20"/>
  <c r="E570" i="20"/>
  <c r="Z1173" i="33" s="1"/>
  <c r="D570" i="20"/>
  <c r="C570" i="20"/>
  <c r="B570" i="20"/>
  <c r="AG1194" i="35" l="1"/>
  <c r="F933" i="35"/>
  <c r="F935" i="35"/>
  <c r="S782" i="35"/>
  <c r="U782" i="35"/>
  <c r="AH1339" i="33"/>
  <c r="AH1191" i="33"/>
  <c r="AG925" i="35"/>
  <c r="W865" i="35"/>
  <c r="V865" i="35"/>
  <c r="AB1117" i="33"/>
  <c r="AB1109" i="33"/>
  <c r="AB1121" i="33"/>
  <c r="AB1119" i="33"/>
  <c r="AB1113" i="33"/>
  <c r="AB1111" i="33"/>
  <c r="AB1107" i="33"/>
  <c r="AB1167" i="33"/>
  <c r="X1176" i="33"/>
  <c r="W1175" i="33"/>
  <c r="X1173" i="33"/>
  <c r="AB1165" i="33"/>
  <c r="X1171" i="33"/>
  <c r="AB1163" i="33"/>
  <c r="W1163" i="33"/>
  <c r="AB1159" i="33"/>
  <c r="X1169" i="33"/>
  <c r="X1167" i="33"/>
  <c r="X1165" i="33"/>
  <c r="X1163" i="33"/>
  <c r="W1169" i="33"/>
  <c r="W1176" i="33"/>
  <c r="X1175" i="33"/>
  <c r="W1173" i="33"/>
  <c r="W1171" i="33"/>
  <c r="W1167" i="33"/>
  <c r="W1165" i="33"/>
  <c r="V923" i="35"/>
  <c r="AA923" i="35"/>
  <c r="W923" i="35"/>
  <c r="AA895" i="35"/>
  <c r="AA899" i="35"/>
  <c r="V903" i="35"/>
  <c r="W901" i="35"/>
  <c r="W895" i="35"/>
  <c r="V895" i="35"/>
  <c r="AA901" i="35"/>
  <c r="V905" i="35"/>
  <c r="W899" i="35"/>
  <c r="W897" i="35"/>
  <c r="V897" i="35"/>
  <c r="AA903" i="35"/>
  <c r="W907" i="35"/>
  <c r="AA907" i="35"/>
  <c r="V907" i="35"/>
  <c r="AA905" i="35"/>
  <c r="W903" i="35"/>
  <c r="V899" i="35"/>
  <c r="W889" i="35"/>
  <c r="AA897" i="35"/>
  <c r="AA889" i="35"/>
  <c r="W905" i="35"/>
  <c r="V901" i="35"/>
  <c r="V889" i="35"/>
  <c r="AA881" i="35"/>
  <c r="W885" i="35"/>
  <c r="W863" i="35"/>
  <c r="V881" i="35"/>
  <c r="AA867" i="35"/>
  <c r="AA863" i="35"/>
  <c r="W887" i="35"/>
  <c r="V885" i="35"/>
  <c r="AA887" i="35"/>
  <c r="V887" i="35"/>
  <c r="V863" i="35"/>
  <c r="W867" i="35"/>
  <c r="AA885" i="35"/>
  <c r="W881" i="35"/>
  <c r="V867" i="35"/>
  <c r="L865" i="35"/>
  <c r="L1109" i="33"/>
  <c r="L1113" i="33"/>
  <c r="L1115" i="33"/>
  <c r="L1121" i="33"/>
  <c r="L1117" i="33"/>
  <c r="L1111" i="33"/>
  <c r="L1119" i="33"/>
  <c r="L1107" i="33"/>
  <c r="L1169" i="33"/>
  <c r="L1171" i="33"/>
  <c r="L1173" i="33"/>
  <c r="L1165" i="33"/>
  <c r="L1175" i="33"/>
  <c r="L1176" i="33"/>
  <c r="L1167" i="33"/>
  <c r="L1163" i="33"/>
  <c r="L923" i="35"/>
  <c r="L907" i="35"/>
  <c r="L899" i="35"/>
  <c r="L897" i="35"/>
  <c r="L903" i="35"/>
  <c r="L889" i="35"/>
  <c r="L901" i="35"/>
  <c r="L895" i="35"/>
  <c r="L905" i="35"/>
  <c r="L885" i="35"/>
  <c r="L881" i="35"/>
  <c r="L863" i="35"/>
  <c r="L887" i="35"/>
  <c r="L867" i="35"/>
  <c r="Y853" i="35"/>
  <c r="X853" i="35"/>
  <c r="W853" i="35"/>
  <c r="V853" i="35"/>
  <c r="R853" i="35"/>
  <c r="Q853" i="35"/>
  <c r="K853" i="35"/>
  <c r="F853" i="35"/>
  <c r="Y851" i="35"/>
  <c r="X851" i="35"/>
  <c r="W851" i="35"/>
  <c r="V851" i="35"/>
  <c r="R851" i="35"/>
  <c r="Q851" i="35"/>
  <c r="K851" i="35"/>
  <c r="F851" i="35"/>
  <c r="Y849" i="35"/>
  <c r="X849" i="35"/>
  <c r="W849" i="35"/>
  <c r="V849" i="35"/>
  <c r="R849" i="35"/>
  <c r="Q849" i="35"/>
  <c r="K849" i="35"/>
  <c r="F849" i="35"/>
  <c r="Y847" i="35"/>
  <c r="X847" i="35"/>
  <c r="W847" i="35"/>
  <c r="V847" i="35"/>
  <c r="R847" i="35"/>
  <c r="Q847" i="35"/>
  <c r="K847" i="35"/>
  <c r="F847" i="35"/>
  <c r="AA1230" i="35" l="1"/>
  <c r="AA847" i="35"/>
  <c r="AA849" i="35"/>
  <c r="AA851" i="35"/>
  <c r="AA853" i="35"/>
  <c r="I847" i="35"/>
  <c r="H853" i="35"/>
  <c r="G847" i="35"/>
  <c r="H847" i="35"/>
  <c r="G849" i="35"/>
  <c r="I851" i="35"/>
  <c r="I853" i="35"/>
  <c r="H851" i="35"/>
  <c r="G851" i="35"/>
  <c r="I849" i="35"/>
  <c r="G853" i="35"/>
  <c r="H849" i="35"/>
  <c r="AE837" i="35"/>
  <c r="AE833" i="35"/>
  <c r="AE831" i="35"/>
  <c r="AE829" i="35"/>
  <c r="AE827" i="35"/>
  <c r="AE825" i="35"/>
  <c r="AA825" i="35" l="1"/>
  <c r="AA833" i="35"/>
  <c r="AA827" i="35"/>
  <c r="AA829" i="35"/>
  <c r="AA837" i="35"/>
  <c r="AA831" i="35"/>
  <c r="L847" i="35"/>
  <c r="L849" i="35"/>
  <c r="L853" i="35"/>
  <c r="L851" i="35"/>
  <c r="AD837" i="35"/>
  <c r="AF837" i="35" s="1"/>
  <c r="AG837" i="35" s="1"/>
  <c r="AD833" i="35"/>
  <c r="AF833" i="35" s="1"/>
  <c r="AG833" i="35" s="1"/>
  <c r="AD829" i="35"/>
  <c r="AF829" i="35" s="1"/>
  <c r="AG829" i="35" s="1"/>
  <c r="AD831" i="35"/>
  <c r="AF831" i="35" s="1"/>
  <c r="AG831" i="35" s="1"/>
  <c r="AD825" i="35"/>
  <c r="AF825" i="35" s="1"/>
  <c r="AG825" i="35" s="1"/>
  <c r="AD827" i="35"/>
  <c r="AF827" i="35" s="1"/>
  <c r="AG827" i="35" s="1"/>
  <c r="AE793" i="35" l="1"/>
  <c r="AE772" i="35"/>
  <c r="V1099" i="33" l="1"/>
  <c r="T1099" i="33"/>
  <c r="W1099" i="33" s="1"/>
  <c r="S1099" i="33"/>
  <c r="R1099" i="33"/>
  <c r="K1099" i="33"/>
  <c r="F1099" i="33"/>
  <c r="X1099" i="33" l="1"/>
  <c r="Y1099" i="33"/>
  <c r="Z1099" i="33"/>
  <c r="V1105" i="33" l="1"/>
  <c r="T1105" i="33"/>
  <c r="W1105" i="33" s="1"/>
  <c r="S1105" i="33"/>
  <c r="R1105" i="33"/>
  <c r="K1105" i="33"/>
  <c r="F1105" i="33"/>
  <c r="V1103" i="33"/>
  <c r="T1103" i="33"/>
  <c r="W1103" i="33" s="1"/>
  <c r="S1103" i="33"/>
  <c r="R1103" i="33"/>
  <c r="K1103" i="33"/>
  <c r="F1103" i="33"/>
  <c r="V1101" i="33"/>
  <c r="T1101" i="33"/>
  <c r="W1101" i="33" s="1"/>
  <c r="S1101" i="33"/>
  <c r="R1101" i="33"/>
  <c r="K1101" i="33"/>
  <c r="F1101" i="33"/>
  <c r="V1097" i="33"/>
  <c r="T1097" i="33"/>
  <c r="W1097" i="33" s="1"/>
  <c r="S1097" i="33"/>
  <c r="R1097" i="33"/>
  <c r="K1097" i="33"/>
  <c r="F1097" i="33"/>
  <c r="V1095" i="33"/>
  <c r="T1095" i="33"/>
  <c r="W1095" i="33" s="1"/>
  <c r="S1095" i="33"/>
  <c r="R1095" i="33"/>
  <c r="K1095" i="33"/>
  <c r="F1095" i="33"/>
  <c r="V1089" i="33"/>
  <c r="T1089" i="33"/>
  <c r="Y1089" i="33" s="1"/>
  <c r="S1089" i="33"/>
  <c r="R1089" i="33"/>
  <c r="K1089" i="33"/>
  <c r="F1089" i="33"/>
  <c r="V1087" i="33"/>
  <c r="T1087" i="33"/>
  <c r="W1087" i="33" s="1"/>
  <c r="S1087" i="33"/>
  <c r="R1087" i="33"/>
  <c r="K1087" i="33"/>
  <c r="F1087" i="33"/>
  <c r="V1081" i="33"/>
  <c r="T1081" i="33"/>
  <c r="W1081" i="33" s="1"/>
  <c r="S1081" i="33"/>
  <c r="R1081" i="33"/>
  <c r="K1081" i="33"/>
  <c r="F1081" i="33"/>
  <c r="V1079" i="33"/>
  <c r="T1079" i="33"/>
  <c r="W1079" i="33" s="1"/>
  <c r="S1079" i="33"/>
  <c r="R1079" i="33"/>
  <c r="K1079" i="33"/>
  <c r="F1079" i="33"/>
  <c r="V1075" i="33"/>
  <c r="T1075" i="33"/>
  <c r="W1075" i="33" s="1"/>
  <c r="S1075" i="33"/>
  <c r="R1075" i="33"/>
  <c r="K1075" i="33"/>
  <c r="F1075" i="33"/>
  <c r="X1105" i="33" l="1"/>
  <c r="Y1105" i="33"/>
  <c r="Z1105" i="33"/>
  <c r="X1103" i="33"/>
  <c r="Z1103" i="33"/>
  <c r="Y1103" i="33"/>
  <c r="X1101" i="33"/>
  <c r="Z1101" i="33"/>
  <c r="Y1101" i="33"/>
  <c r="X1097" i="33"/>
  <c r="Y1097" i="33"/>
  <c r="Z1097" i="33"/>
  <c r="X1095" i="33"/>
  <c r="Z1095" i="33"/>
  <c r="Y1095" i="33"/>
  <c r="W1089" i="33"/>
  <c r="Z1089" i="33"/>
  <c r="X1089" i="33"/>
  <c r="X1087" i="33"/>
  <c r="Z1087" i="33"/>
  <c r="Y1087" i="33"/>
  <c r="X1081" i="33"/>
  <c r="Y1081" i="33"/>
  <c r="Z1081" i="33"/>
  <c r="X1079" i="33"/>
  <c r="Z1079" i="33"/>
  <c r="Y1079" i="33"/>
  <c r="X1075" i="33"/>
  <c r="Y1075" i="33"/>
  <c r="Z1075" i="33"/>
  <c r="V1073" i="33" l="1"/>
  <c r="T1073" i="33"/>
  <c r="W1073" i="33" s="1"/>
  <c r="S1073" i="33"/>
  <c r="R1073" i="33"/>
  <c r="K1073" i="33"/>
  <c r="F1073" i="33"/>
  <c r="X1073" i="33" l="1"/>
  <c r="Z1073" i="33"/>
  <c r="Y1073" i="33"/>
  <c r="V1085" i="33" l="1"/>
  <c r="T1085" i="33"/>
  <c r="W1085" i="33" s="1"/>
  <c r="S1085" i="33"/>
  <c r="R1085" i="33"/>
  <c r="K1085" i="33"/>
  <c r="F1085" i="33"/>
  <c r="V1083" i="33"/>
  <c r="T1083" i="33"/>
  <c r="W1083" i="33" s="1"/>
  <c r="S1083" i="33"/>
  <c r="R1083" i="33"/>
  <c r="K1083" i="33"/>
  <c r="F1083" i="33"/>
  <c r="V1077" i="33"/>
  <c r="T1077" i="33"/>
  <c r="Z1077" i="33" s="1"/>
  <c r="S1077" i="33"/>
  <c r="R1077" i="33"/>
  <c r="K1077" i="33"/>
  <c r="F1077" i="33"/>
  <c r="X1077" i="33" l="1"/>
  <c r="X1085" i="33"/>
  <c r="Z1085" i="33"/>
  <c r="Y1085" i="33"/>
  <c r="W1077" i="33"/>
  <c r="X1083" i="33"/>
  <c r="Z1083" i="33"/>
  <c r="Y1083" i="33"/>
  <c r="Y1077" i="33"/>
  <c r="AE795" i="35" l="1"/>
  <c r="AA795" i="35" l="1"/>
  <c r="AD795" i="35"/>
  <c r="AF795" i="35" s="1"/>
  <c r="AG795" i="35" s="1"/>
  <c r="AA793" i="35" l="1"/>
  <c r="AD793" i="35"/>
  <c r="AF793" i="35" s="1"/>
  <c r="AG793" i="35" s="1"/>
  <c r="AE841" i="35" l="1"/>
  <c r="AE823" i="35"/>
  <c r="AE821" i="35"/>
  <c r="AE819" i="35"/>
  <c r="AE817" i="35"/>
  <c r="AE815" i="35"/>
  <c r="AE813" i="35"/>
  <c r="AE811" i="35"/>
  <c r="AE809" i="35"/>
  <c r="AE807" i="35"/>
  <c r="AE805" i="35"/>
  <c r="AE797" i="35"/>
  <c r="AE791" i="35"/>
  <c r="AE789" i="35"/>
  <c r="AG787" i="35"/>
  <c r="AE786" i="35"/>
  <c r="AE784" i="35"/>
  <c r="AE770" i="35"/>
  <c r="AE764" i="35"/>
  <c r="AE762" i="35"/>
  <c r="AA797" i="35" l="1"/>
  <c r="AA819" i="35"/>
  <c r="AA815" i="35"/>
  <c r="AA823" i="35"/>
  <c r="AA772" i="35"/>
  <c r="AA786" i="35"/>
  <c r="AA811" i="35"/>
  <c r="AA764" i="35"/>
  <c r="AA805" i="35"/>
  <c r="AA813" i="35"/>
  <c r="AA821" i="35"/>
  <c r="AA762" i="35"/>
  <c r="AA770" i="35"/>
  <c r="AA789" i="35"/>
  <c r="AA807" i="35"/>
  <c r="AA784" i="35"/>
  <c r="AA791" i="35"/>
  <c r="AA809" i="35"/>
  <c r="AA817" i="35"/>
  <c r="AA841" i="35"/>
  <c r="AD772" i="35"/>
  <c r="AF772" i="35" s="1"/>
  <c r="AG772" i="35" s="1"/>
  <c r="AD809" i="35"/>
  <c r="AF809" i="35" s="1"/>
  <c r="AG809" i="35" s="1"/>
  <c r="AD817" i="35"/>
  <c r="AF817" i="35" s="1"/>
  <c r="AG817" i="35" s="1"/>
  <c r="AD823" i="35"/>
  <c r="AF823" i="35" s="1"/>
  <c r="AG823" i="35" s="1"/>
  <c r="AD791" i="35"/>
  <c r="AF791" i="35" s="1"/>
  <c r="AG791" i="35" s="1"/>
  <c r="AD762" i="35"/>
  <c r="AF762" i="35" s="1"/>
  <c r="AG762" i="35" s="1"/>
  <c r="AD784" i="35"/>
  <c r="AF784" i="35" s="1"/>
  <c r="AG784" i="35" s="1"/>
  <c r="AD815" i="35"/>
  <c r="AF815" i="35" s="1"/>
  <c r="AG815" i="35" s="1"/>
  <c r="AD764" i="35"/>
  <c r="AF764" i="35" s="1"/>
  <c r="AG764" i="35" s="1"/>
  <c r="AD841" i="35"/>
  <c r="AF841" i="35" s="1"/>
  <c r="AG841" i="35" s="1"/>
  <c r="AD807" i="35"/>
  <c r="AF807" i="35" s="1"/>
  <c r="AG807" i="35" s="1"/>
  <c r="AD821" i="35"/>
  <c r="AF821" i="35" s="1"/>
  <c r="AG821" i="35" s="1"/>
  <c r="AD811" i="35"/>
  <c r="AF811" i="35" s="1"/>
  <c r="AG811" i="35" s="1"/>
  <c r="AD819" i="35"/>
  <c r="AF819" i="35" s="1"/>
  <c r="AG819" i="35" s="1"/>
  <c r="AD805" i="35"/>
  <c r="AF805" i="35" s="1"/>
  <c r="AG805" i="35" s="1"/>
  <c r="AD786" i="35"/>
  <c r="AF786" i="35" s="1"/>
  <c r="AG786" i="35" s="1"/>
  <c r="AD770" i="35"/>
  <c r="AD789" i="35"/>
  <c r="AF789" i="35" s="1"/>
  <c r="AG789" i="35" s="1"/>
  <c r="AD797" i="35"/>
  <c r="AF797" i="35" s="1"/>
  <c r="AG797" i="35" s="1"/>
  <c r="AD813" i="35"/>
  <c r="AF813" i="35" s="1"/>
  <c r="AG813" i="35" s="1"/>
  <c r="AF770" i="35" l="1"/>
  <c r="AG770" i="35" s="1"/>
  <c r="AG839" i="35" s="1"/>
  <c r="V1036" i="33"/>
  <c r="T1036" i="33"/>
  <c r="W1036" i="33" s="1"/>
  <c r="S1036" i="33"/>
  <c r="R1036" i="33"/>
  <c r="K1036" i="33"/>
  <c r="F1036" i="33"/>
  <c r="AF1002" i="33"/>
  <c r="V1002" i="33"/>
  <c r="T1002" i="33"/>
  <c r="X1002" i="33" s="1"/>
  <c r="S1002" i="33"/>
  <c r="R1002" i="33"/>
  <c r="K1002" i="33"/>
  <c r="F1002" i="33"/>
  <c r="AF1026" i="33"/>
  <c r="V1026" i="33"/>
  <c r="T1026" i="33"/>
  <c r="X1026" i="33" s="1"/>
  <c r="S1026" i="33"/>
  <c r="R1026" i="33"/>
  <c r="K1026" i="33"/>
  <c r="F1026" i="33"/>
  <c r="X1036" i="33" l="1"/>
  <c r="Y1036" i="33"/>
  <c r="Z1036" i="33"/>
  <c r="Z1002" i="33"/>
  <c r="W1002" i="33"/>
  <c r="Y1002" i="33"/>
  <c r="Y1026" i="33"/>
  <c r="Z1026" i="33"/>
  <c r="W1026" i="33"/>
  <c r="V989" i="33" l="1"/>
  <c r="T989" i="33"/>
  <c r="W989" i="33" s="1"/>
  <c r="S989" i="33"/>
  <c r="R989" i="33"/>
  <c r="K989" i="33"/>
  <c r="F989" i="33"/>
  <c r="AF991" i="33"/>
  <c r="V991" i="33"/>
  <c r="T991" i="33"/>
  <c r="Z991" i="33" s="1"/>
  <c r="S991" i="33"/>
  <c r="R991" i="33"/>
  <c r="K991" i="33"/>
  <c r="F991" i="33"/>
  <c r="X989" i="33" l="1"/>
  <c r="Y989" i="33"/>
  <c r="Z989" i="33"/>
  <c r="X991" i="33"/>
  <c r="W991" i="33"/>
  <c r="Y991" i="33"/>
  <c r="V1020" i="33" l="1"/>
  <c r="T1020" i="33"/>
  <c r="W1020" i="33" s="1"/>
  <c r="S1020" i="33"/>
  <c r="R1020" i="33"/>
  <c r="K1020" i="33"/>
  <c r="F1020" i="33"/>
  <c r="AF1000" i="33"/>
  <c r="V1000" i="33"/>
  <c r="T1000" i="33"/>
  <c r="X1000" i="33" s="1"/>
  <c r="S1000" i="33"/>
  <c r="R1000" i="33"/>
  <c r="K1000" i="33"/>
  <c r="F1000" i="33"/>
  <c r="AF998" i="33"/>
  <c r="V998" i="33"/>
  <c r="T998" i="33"/>
  <c r="X998" i="33" s="1"/>
  <c r="S998" i="33"/>
  <c r="R998" i="33"/>
  <c r="K998" i="33"/>
  <c r="F998" i="33"/>
  <c r="AF996" i="33"/>
  <c r="V996" i="33"/>
  <c r="T996" i="33"/>
  <c r="W996" i="33" s="1"/>
  <c r="S996" i="33"/>
  <c r="R996" i="33"/>
  <c r="K996" i="33"/>
  <c r="F996" i="33"/>
  <c r="AF994" i="33"/>
  <c r="V994" i="33"/>
  <c r="T994" i="33"/>
  <c r="Y994" i="33" s="1"/>
  <c r="S994" i="33"/>
  <c r="R994" i="33"/>
  <c r="K994" i="33"/>
  <c r="F994" i="33"/>
  <c r="AF993" i="33"/>
  <c r="V993" i="33"/>
  <c r="T993" i="33"/>
  <c r="Z993" i="33" s="1"/>
  <c r="S993" i="33"/>
  <c r="R993" i="33"/>
  <c r="K993" i="33"/>
  <c r="F993" i="33"/>
  <c r="V987" i="33"/>
  <c r="T987" i="33"/>
  <c r="W987" i="33" s="1"/>
  <c r="S987" i="33"/>
  <c r="R987" i="33"/>
  <c r="K987" i="33"/>
  <c r="F987" i="33"/>
  <c r="V985" i="33"/>
  <c r="T985" i="33"/>
  <c r="Y985" i="33" s="1"/>
  <c r="S985" i="33"/>
  <c r="R985" i="33"/>
  <c r="K985" i="33"/>
  <c r="F985" i="33"/>
  <c r="X1020" i="33" l="1"/>
  <c r="Y1020" i="33"/>
  <c r="Z1020" i="33"/>
  <c r="Y1000" i="33"/>
  <c r="Z998" i="33"/>
  <c r="Z1000" i="33"/>
  <c r="W998" i="33"/>
  <c r="W1000" i="33"/>
  <c r="Y998" i="33"/>
  <c r="X994" i="33"/>
  <c r="X993" i="33"/>
  <c r="W994" i="33"/>
  <c r="W993" i="33"/>
  <c r="Z994" i="33"/>
  <c r="X996" i="33"/>
  <c r="Y996" i="33"/>
  <c r="Y993" i="33"/>
  <c r="Z996" i="33"/>
  <c r="Z985" i="33"/>
  <c r="W985" i="33"/>
  <c r="X985" i="33"/>
  <c r="X987" i="33"/>
  <c r="Y987" i="33"/>
  <c r="Z987" i="33"/>
  <c r="AF983" i="33"/>
  <c r="V983" i="33"/>
  <c r="T983" i="33"/>
  <c r="X983" i="33" s="1"/>
  <c r="S983" i="33"/>
  <c r="R983" i="33"/>
  <c r="K983" i="33"/>
  <c r="F983" i="33"/>
  <c r="AF981" i="33"/>
  <c r="V981" i="33"/>
  <c r="T981" i="33"/>
  <c r="X981" i="33" s="1"/>
  <c r="S981" i="33"/>
  <c r="R981" i="33"/>
  <c r="K981" i="33"/>
  <c r="F981" i="33"/>
  <c r="AF979" i="33"/>
  <c r="V979" i="33"/>
  <c r="T979" i="33"/>
  <c r="X979" i="33" s="1"/>
  <c r="S979" i="33"/>
  <c r="R979" i="33"/>
  <c r="K979" i="33"/>
  <c r="F979" i="33"/>
  <c r="V977" i="33"/>
  <c r="T977" i="33"/>
  <c r="Y977" i="33" s="1"/>
  <c r="S977" i="33"/>
  <c r="R977" i="33"/>
  <c r="K977" i="33"/>
  <c r="F977" i="33"/>
  <c r="V975" i="33"/>
  <c r="T975" i="33"/>
  <c r="Z975" i="33" s="1"/>
  <c r="S975" i="33"/>
  <c r="R975" i="33"/>
  <c r="K975" i="33"/>
  <c r="F975" i="33"/>
  <c r="V974" i="33"/>
  <c r="T974" i="33"/>
  <c r="Y974" i="33" s="1"/>
  <c r="S974" i="33"/>
  <c r="R974" i="33"/>
  <c r="K974" i="33"/>
  <c r="F974" i="33"/>
  <c r="V972" i="33"/>
  <c r="T972" i="33"/>
  <c r="Y972" i="33" s="1"/>
  <c r="S972" i="33"/>
  <c r="R972" i="33"/>
  <c r="K972" i="33"/>
  <c r="F972" i="33"/>
  <c r="W972" i="33" l="1"/>
  <c r="X972" i="33"/>
  <c r="Y979" i="33"/>
  <c r="Y983" i="33"/>
  <c r="W979" i="33"/>
  <c r="W981" i="33"/>
  <c r="W983" i="33"/>
  <c r="Y981" i="33"/>
  <c r="Z979" i="33"/>
  <c r="Z981" i="33"/>
  <c r="Z983" i="33"/>
  <c r="X974" i="33"/>
  <c r="Z972" i="33"/>
  <c r="W977" i="33"/>
  <c r="W974" i="33"/>
  <c r="X975" i="33"/>
  <c r="Z977" i="33"/>
  <c r="Z974" i="33"/>
  <c r="W975" i="33"/>
  <c r="X977" i="33"/>
  <c r="Y975" i="33"/>
  <c r="T1061" i="33" l="1"/>
  <c r="G1099" i="33" l="1"/>
  <c r="H1099" i="33"/>
  <c r="I1099" i="33"/>
  <c r="G1081" i="33"/>
  <c r="G1079" i="33"/>
  <c r="I1081" i="33"/>
  <c r="I1079" i="33"/>
  <c r="H1081" i="33"/>
  <c r="H1079" i="33"/>
  <c r="H1077" i="33"/>
  <c r="G1077" i="33"/>
  <c r="I1077" i="33"/>
  <c r="H1083" i="33"/>
  <c r="I1083" i="33"/>
  <c r="G1083" i="33"/>
  <c r="G989" i="33"/>
  <c r="H989" i="33"/>
  <c r="I989" i="33"/>
  <c r="G1020" i="33"/>
  <c r="I1020" i="33"/>
  <c r="I993" i="33"/>
  <c r="H1020" i="33"/>
  <c r="H993" i="33"/>
  <c r="G993" i="33"/>
  <c r="I981" i="33"/>
  <c r="H981" i="33"/>
  <c r="I979" i="33"/>
  <c r="H979" i="33"/>
  <c r="I983" i="33"/>
  <c r="G981" i="33"/>
  <c r="H983" i="33"/>
  <c r="G979" i="33"/>
  <c r="G983" i="33"/>
  <c r="I1101" i="33"/>
  <c r="I1097" i="33"/>
  <c r="H1095" i="33"/>
  <c r="I1089" i="33"/>
  <c r="G1075" i="33"/>
  <c r="G1103" i="33"/>
  <c r="G1095" i="33"/>
  <c r="H1089" i="33"/>
  <c r="H1075" i="33"/>
  <c r="I1105" i="33"/>
  <c r="G1101" i="33"/>
  <c r="G1097" i="33"/>
  <c r="H1097" i="33"/>
  <c r="I1087" i="33"/>
  <c r="I1075" i="33"/>
  <c r="G1105" i="33"/>
  <c r="H1105" i="33"/>
  <c r="I1103" i="33"/>
  <c r="H1101" i="33"/>
  <c r="I1095" i="33"/>
  <c r="G1087" i="33"/>
  <c r="H1087" i="33"/>
  <c r="H1103" i="33"/>
  <c r="G1089" i="33"/>
  <c r="H1073" i="33"/>
  <c r="G1073" i="33"/>
  <c r="I1073" i="33"/>
  <c r="G1085" i="33"/>
  <c r="I1085" i="33"/>
  <c r="H1085" i="33"/>
  <c r="I1026" i="33"/>
  <c r="I1036" i="33"/>
  <c r="H1002" i="33"/>
  <c r="I1002" i="33"/>
  <c r="G1036" i="33"/>
  <c r="H1036" i="33"/>
  <c r="H1026" i="33"/>
  <c r="G1002" i="33"/>
  <c r="G1026" i="33"/>
  <c r="H991" i="33"/>
  <c r="G991" i="33"/>
  <c r="I991" i="33"/>
  <c r="I998" i="33"/>
  <c r="G1000" i="33"/>
  <c r="I994" i="33"/>
  <c r="G994" i="33"/>
  <c r="H996" i="33"/>
  <c r="G998" i="33"/>
  <c r="I996" i="33"/>
  <c r="H987" i="33"/>
  <c r="I985" i="33"/>
  <c r="H1000" i="33"/>
  <c r="G985" i="33"/>
  <c r="H994" i="33"/>
  <c r="G987" i="33"/>
  <c r="I1000" i="33"/>
  <c r="H998" i="33"/>
  <c r="H985" i="33"/>
  <c r="I987" i="33"/>
  <c r="G996" i="33"/>
  <c r="I972" i="33"/>
  <c r="I977" i="33"/>
  <c r="H977" i="33"/>
  <c r="G972" i="33"/>
  <c r="H975" i="33"/>
  <c r="G977" i="33"/>
  <c r="G975" i="33"/>
  <c r="H972" i="33"/>
  <c r="G974" i="33"/>
  <c r="H974" i="33"/>
  <c r="I975" i="33"/>
  <c r="I974" i="33"/>
  <c r="AB1099" i="33" l="1"/>
  <c r="AB1083" i="33"/>
  <c r="AB1077" i="33"/>
  <c r="AB989" i="33"/>
  <c r="AB1020" i="33"/>
  <c r="AB993" i="33"/>
  <c r="AB983" i="33"/>
  <c r="AB981" i="33"/>
  <c r="AB979" i="33"/>
  <c r="L1099" i="33"/>
  <c r="L1079" i="33"/>
  <c r="L1081" i="33"/>
  <c r="L1077" i="33"/>
  <c r="L1083" i="33"/>
  <c r="L989" i="33"/>
  <c r="L1020" i="33"/>
  <c r="L993" i="33"/>
  <c r="L981" i="33"/>
  <c r="L979" i="33"/>
  <c r="L983" i="33"/>
  <c r="AB1101" i="33"/>
  <c r="AB1103" i="33"/>
  <c r="AB1095" i="33"/>
  <c r="AB1079" i="33"/>
  <c r="AB1105" i="33"/>
  <c r="AB1089" i="33"/>
  <c r="AB1087" i="33"/>
  <c r="AB1075" i="33"/>
  <c r="AB1081" i="33"/>
  <c r="AB1097" i="33"/>
  <c r="AB1073" i="33"/>
  <c r="AB1085" i="33"/>
  <c r="AB1026" i="33"/>
  <c r="AB1036" i="33"/>
  <c r="AB1002" i="33"/>
  <c r="AB1000" i="33"/>
  <c r="AB998" i="33"/>
  <c r="AB987" i="33"/>
  <c r="AB985" i="33"/>
  <c r="AB974" i="33"/>
  <c r="AB977" i="33"/>
  <c r="AB972" i="33"/>
  <c r="AB975" i="33"/>
  <c r="L1103" i="33"/>
  <c r="L1095" i="33"/>
  <c r="L1105" i="33"/>
  <c r="L1075" i="33"/>
  <c r="L1101" i="33"/>
  <c r="L1097" i="33"/>
  <c r="L1089" i="33"/>
  <c r="L1087" i="33"/>
  <c r="L1073" i="33"/>
  <c r="L1085" i="33"/>
  <c r="L1036" i="33"/>
  <c r="L1002" i="33"/>
  <c r="L1026" i="33"/>
  <c r="L991" i="33"/>
  <c r="L994" i="33"/>
  <c r="L996" i="33"/>
  <c r="L1000" i="33"/>
  <c r="L998" i="33"/>
  <c r="L987" i="33"/>
  <c r="L985" i="33"/>
  <c r="L972" i="33"/>
  <c r="L977" i="33"/>
  <c r="L975" i="33"/>
  <c r="L974" i="33"/>
  <c r="V1034" i="33"/>
  <c r="T1034" i="33"/>
  <c r="W1034" i="33" s="1"/>
  <c r="S1034" i="33"/>
  <c r="R1034" i="33"/>
  <c r="K1034" i="33"/>
  <c r="F1034" i="33"/>
  <c r="V1032" i="33"/>
  <c r="T1032" i="33"/>
  <c r="W1032" i="33" s="1"/>
  <c r="S1032" i="33"/>
  <c r="R1032" i="33"/>
  <c r="K1032" i="33"/>
  <c r="F1032" i="33"/>
  <c r="V1030" i="33"/>
  <c r="T1030" i="33"/>
  <c r="W1030" i="33" s="1"/>
  <c r="S1030" i="33"/>
  <c r="R1030" i="33"/>
  <c r="K1030" i="33"/>
  <c r="F1030" i="33"/>
  <c r="X1034" i="33" l="1"/>
  <c r="Z1034" i="33"/>
  <c r="Y1034" i="33"/>
  <c r="X1032" i="33"/>
  <c r="Y1032" i="33"/>
  <c r="Z1032" i="33"/>
  <c r="X1030" i="33"/>
  <c r="Y1030" i="33"/>
  <c r="Z1030" i="33"/>
  <c r="V1028" i="33"/>
  <c r="T1028" i="33"/>
  <c r="Z1028" i="33" s="1"/>
  <c r="S1028" i="33"/>
  <c r="R1028" i="33"/>
  <c r="K1028" i="33"/>
  <c r="F1028" i="33"/>
  <c r="W1028" i="33" l="1"/>
  <c r="X1028" i="33"/>
  <c r="Y1028" i="33"/>
  <c r="V1063" i="33" l="1"/>
  <c r="T1063" i="33"/>
  <c r="S1063" i="33"/>
  <c r="R1063" i="33"/>
  <c r="K1063" i="33"/>
  <c r="F1063" i="33"/>
  <c r="V1061" i="33"/>
  <c r="Z1061" i="33"/>
  <c r="S1061" i="33"/>
  <c r="R1061" i="33"/>
  <c r="K1061" i="33"/>
  <c r="F1061" i="33"/>
  <c r="V1060" i="33"/>
  <c r="T1060" i="33"/>
  <c r="Y1060" i="33" s="1"/>
  <c r="S1060" i="33"/>
  <c r="R1060" i="33"/>
  <c r="K1060" i="33"/>
  <c r="F1060" i="33"/>
  <c r="V1058" i="33"/>
  <c r="T1058" i="33"/>
  <c r="Z1058" i="33" s="1"/>
  <c r="S1058" i="33"/>
  <c r="R1058" i="33"/>
  <c r="K1058" i="33"/>
  <c r="F1058" i="33"/>
  <c r="V1056" i="33"/>
  <c r="T1056" i="33"/>
  <c r="Z1056" i="33" s="1"/>
  <c r="S1056" i="33"/>
  <c r="R1056" i="33"/>
  <c r="K1056" i="33"/>
  <c r="F1056" i="33"/>
  <c r="V1054" i="33"/>
  <c r="T1054" i="33"/>
  <c r="S1054" i="33"/>
  <c r="R1054" i="33"/>
  <c r="K1054" i="33"/>
  <c r="F1054" i="33"/>
  <c r="Y1063" i="33" l="1"/>
  <c r="Z1063" i="33"/>
  <c r="Z1060" i="33"/>
  <c r="Y1061" i="33"/>
  <c r="Y1058" i="33"/>
  <c r="Y1054" i="33"/>
  <c r="Z1054" i="33"/>
  <c r="Y1056" i="33"/>
  <c r="V1052" i="33"/>
  <c r="T1052" i="33"/>
  <c r="S1052" i="33"/>
  <c r="R1052" i="33"/>
  <c r="K1052" i="33"/>
  <c r="F1052" i="33"/>
  <c r="Z1052" i="33" l="1"/>
  <c r="Y1052" i="33"/>
  <c r="V1050" i="33"/>
  <c r="T1050" i="33"/>
  <c r="S1050" i="33"/>
  <c r="R1050" i="33"/>
  <c r="K1050" i="33"/>
  <c r="F1050" i="33"/>
  <c r="V1048" i="33"/>
  <c r="T1048" i="33"/>
  <c r="S1048" i="33"/>
  <c r="R1048" i="33"/>
  <c r="K1048" i="33"/>
  <c r="F1048" i="33"/>
  <c r="V1046" i="33"/>
  <c r="T1046" i="33"/>
  <c r="S1046" i="33"/>
  <c r="R1046" i="33"/>
  <c r="K1046" i="33"/>
  <c r="F1046" i="33"/>
  <c r="Z1050" i="33" l="1"/>
  <c r="Y1050" i="33"/>
  <c r="Y1048" i="33"/>
  <c r="Z1048" i="33"/>
  <c r="Z1046" i="33"/>
  <c r="Y1046" i="33"/>
  <c r="V964" i="33" l="1"/>
  <c r="T964" i="33"/>
  <c r="X964" i="33" s="1"/>
  <c r="S964" i="33"/>
  <c r="R964" i="33"/>
  <c r="K964" i="33"/>
  <c r="F964" i="33"/>
  <c r="V962" i="33"/>
  <c r="T962" i="33"/>
  <c r="Y962" i="33" s="1"/>
  <c r="S962" i="33"/>
  <c r="R962" i="33"/>
  <c r="K962" i="33"/>
  <c r="F962" i="33"/>
  <c r="Y964" i="33" l="1"/>
  <c r="Z964" i="33"/>
  <c r="W964" i="33"/>
  <c r="W962" i="33"/>
  <c r="X962" i="33"/>
  <c r="Z962" i="33"/>
  <c r="G962" i="33"/>
  <c r="I962" i="33" l="1"/>
  <c r="I964" i="33"/>
  <c r="H962" i="33"/>
  <c r="G964" i="33"/>
  <c r="G1034" i="33"/>
  <c r="H1032" i="33"/>
  <c r="H1034" i="33"/>
  <c r="G1032" i="33"/>
  <c r="I1030" i="33"/>
  <c r="I1034" i="33"/>
  <c r="I1032" i="33"/>
  <c r="G1030" i="33"/>
  <c r="H1030" i="33"/>
  <c r="G1028" i="33"/>
  <c r="I1028" i="33"/>
  <c r="H1028" i="33"/>
  <c r="H1063" i="33"/>
  <c r="G1054" i="33"/>
  <c r="G1056" i="33"/>
  <c r="I1054" i="33"/>
  <c r="I1063" i="33"/>
  <c r="G1063" i="33"/>
  <c r="I1061" i="33"/>
  <c r="H1060" i="33"/>
  <c r="G1061" i="33"/>
  <c r="I1058" i="33"/>
  <c r="H1054" i="33"/>
  <c r="H1061" i="33"/>
  <c r="G1058" i="33"/>
  <c r="I1056" i="33"/>
  <c r="I1060" i="33"/>
  <c r="G1060" i="33"/>
  <c r="H1058" i="33"/>
  <c r="H1056" i="33"/>
  <c r="H1052" i="33"/>
  <c r="G1052" i="33"/>
  <c r="I1052" i="33"/>
  <c r="I1046" i="33"/>
  <c r="I1048" i="33"/>
  <c r="G1046" i="33"/>
  <c r="G1050" i="33"/>
  <c r="H1050" i="33"/>
  <c r="G1048" i="33"/>
  <c r="H1048" i="33"/>
  <c r="H1046" i="33"/>
  <c r="I1050" i="33"/>
  <c r="H964" i="33"/>
  <c r="L1030" i="33" l="1"/>
  <c r="L1034" i="33"/>
  <c r="L1032" i="33"/>
  <c r="L1028" i="33"/>
  <c r="L1056" i="33"/>
  <c r="L1058" i="33"/>
  <c r="L1054" i="33"/>
  <c r="L1061" i="33"/>
  <c r="L1063" i="33"/>
  <c r="L1060" i="33"/>
  <c r="L1052" i="33"/>
  <c r="L1046" i="33"/>
  <c r="L1050" i="33"/>
  <c r="L1048" i="33"/>
  <c r="L962" i="33"/>
  <c r="L964" i="33"/>
  <c r="AB1030" i="33"/>
  <c r="AB1034" i="33"/>
  <c r="AB1032" i="33"/>
  <c r="AB1028" i="33"/>
  <c r="X1061" i="33"/>
  <c r="AB1060" i="33"/>
  <c r="X1054" i="33"/>
  <c r="X1056" i="33"/>
  <c r="W1056" i="33"/>
  <c r="X1063" i="33"/>
  <c r="X1060" i="33"/>
  <c r="W1063" i="33"/>
  <c r="W1061" i="33"/>
  <c r="W1060" i="33"/>
  <c r="X1058" i="33"/>
  <c r="W1058" i="33"/>
  <c r="W1054" i="33"/>
  <c r="AB1052" i="33"/>
  <c r="W1052" i="33"/>
  <c r="X1052" i="33"/>
  <c r="AB1046" i="33"/>
  <c r="W1050" i="33"/>
  <c r="AB1048" i="33"/>
  <c r="X1050" i="33"/>
  <c r="X1048" i="33"/>
  <c r="X1046" i="33"/>
  <c r="W1046" i="33"/>
  <c r="AB1050" i="33"/>
  <c r="W1048" i="33"/>
  <c r="AB964" i="33"/>
  <c r="AB962" i="33"/>
  <c r="AE736" i="35" l="1"/>
  <c r="Y736" i="35"/>
  <c r="X736" i="35"/>
  <c r="U736" i="35"/>
  <c r="S736" i="35"/>
  <c r="R736" i="35"/>
  <c r="Q736" i="35"/>
  <c r="K736" i="35"/>
  <c r="F736" i="35"/>
  <c r="AD736" i="35" l="1"/>
  <c r="AF736" i="35" s="1"/>
  <c r="AG736" i="35" s="1"/>
  <c r="AE720" i="35"/>
  <c r="Y720" i="35"/>
  <c r="X720" i="35"/>
  <c r="U720" i="35"/>
  <c r="S720" i="35"/>
  <c r="R720" i="35"/>
  <c r="Q720" i="35"/>
  <c r="K720" i="35"/>
  <c r="F720" i="35"/>
  <c r="AE718" i="35"/>
  <c r="Y718" i="35"/>
  <c r="X718" i="35"/>
  <c r="U718" i="35"/>
  <c r="S718" i="35"/>
  <c r="R718" i="35"/>
  <c r="Q718" i="35"/>
  <c r="K718" i="35"/>
  <c r="F718" i="35"/>
  <c r="AE716" i="35"/>
  <c r="Y716" i="35"/>
  <c r="X716" i="35"/>
  <c r="U716" i="35"/>
  <c r="S716" i="35"/>
  <c r="R716" i="35"/>
  <c r="Q716" i="35"/>
  <c r="K716" i="35"/>
  <c r="F716" i="35"/>
  <c r="AD720" i="35" l="1"/>
  <c r="AF720" i="35" s="1"/>
  <c r="AG720" i="35" s="1"/>
  <c r="AD718" i="35"/>
  <c r="AF718" i="35" s="1"/>
  <c r="AG718" i="35" s="1"/>
  <c r="AD716" i="35"/>
  <c r="AF716" i="35" s="1"/>
  <c r="AG716" i="35" s="1"/>
  <c r="V1024" i="33"/>
  <c r="T1024" i="33"/>
  <c r="Z1024" i="33" s="1"/>
  <c r="S1024" i="33"/>
  <c r="R1024" i="33"/>
  <c r="K1024" i="33"/>
  <c r="F1024" i="33"/>
  <c r="W1024" i="33" l="1"/>
  <c r="X1024" i="33"/>
  <c r="Y1024" i="33"/>
  <c r="V1022" i="33"/>
  <c r="T1022" i="33"/>
  <c r="W1022" i="33" s="1"/>
  <c r="S1022" i="33"/>
  <c r="R1022" i="33"/>
  <c r="K1022" i="33"/>
  <c r="F1022" i="33"/>
  <c r="V1018" i="33"/>
  <c r="T1018" i="33"/>
  <c r="W1018" i="33" s="1"/>
  <c r="S1018" i="33"/>
  <c r="R1018" i="33"/>
  <c r="K1018" i="33"/>
  <c r="F1018" i="33"/>
  <c r="X1022" i="33" l="1"/>
  <c r="Y1022" i="33"/>
  <c r="Z1022" i="33"/>
  <c r="X1018" i="33"/>
  <c r="Y1018" i="33"/>
  <c r="Z1018" i="33"/>
  <c r="V1016" i="33" l="1"/>
  <c r="T1016" i="33"/>
  <c r="W1016" i="33" s="1"/>
  <c r="S1016" i="33"/>
  <c r="R1016" i="33"/>
  <c r="K1016" i="33"/>
  <c r="F1016" i="33"/>
  <c r="X1016" i="33" l="1"/>
  <c r="Z1016" i="33"/>
  <c r="Y1016" i="33"/>
  <c r="Y756" i="35" l="1"/>
  <c r="X756" i="35"/>
  <c r="W756" i="35"/>
  <c r="V756" i="35"/>
  <c r="U756" i="35"/>
  <c r="S756" i="35"/>
  <c r="R756" i="35"/>
  <c r="Q756" i="35"/>
  <c r="K756" i="35"/>
  <c r="F756" i="35"/>
  <c r="V1014" i="33"/>
  <c r="T1014" i="33"/>
  <c r="W1014" i="33" s="1"/>
  <c r="S1014" i="33"/>
  <c r="R1014" i="33"/>
  <c r="K1014" i="33"/>
  <c r="F1014" i="33"/>
  <c r="V1012" i="33"/>
  <c r="T1012" i="33"/>
  <c r="W1012" i="33" s="1"/>
  <c r="S1012" i="33"/>
  <c r="R1012" i="33"/>
  <c r="K1012" i="33"/>
  <c r="F1012" i="33"/>
  <c r="Y754" i="35"/>
  <c r="X754" i="35"/>
  <c r="W754" i="35"/>
  <c r="V754" i="35"/>
  <c r="U754" i="35"/>
  <c r="S754" i="35"/>
  <c r="R754" i="35"/>
  <c r="Q754" i="35"/>
  <c r="K754" i="35"/>
  <c r="F754" i="35"/>
  <c r="Y752" i="35"/>
  <c r="X752" i="35"/>
  <c r="W752" i="35"/>
  <c r="V752" i="35"/>
  <c r="U752" i="35"/>
  <c r="S752" i="35"/>
  <c r="R752" i="35"/>
  <c r="Q752" i="35"/>
  <c r="K752" i="35"/>
  <c r="F752" i="35"/>
  <c r="AF1006" i="33"/>
  <c r="V1006" i="33"/>
  <c r="T1006" i="33"/>
  <c r="X1006" i="33" s="1"/>
  <c r="S1006" i="33"/>
  <c r="R1006" i="33"/>
  <c r="K1006" i="33"/>
  <c r="F1006" i="33"/>
  <c r="AF1004" i="33"/>
  <c r="V1004" i="33"/>
  <c r="T1004" i="33"/>
  <c r="X1004" i="33" s="1"/>
  <c r="S1004" i="33"/>
  <c r="R1004" i="33"/>
  <c r="K1004" i="33"/>
  <c r="F1004" i="33"/>
  <c r="V970" i="33"/>
  <c r="T970" i="33"/>
  <c r="W970" i="33" s="1"/>
  <c r="S970" i="33"/>
  <c r="R970" i="33"/>
  <c r="K970" i="33"/>
  <c r="F970" i="33"/>
  <c r="X1014" i="33" l="1"/>
  <c r="Y1014" i="33"/>
  <c r="Z1014" i="33"/>
  <c r="X1012" i="33"/>
  <c r="Y1012" i="33"/>
  <c r="Z1012" i="33"/>
  <c r="Z1006" i="33"/>
  <c r="Y1006" i="33"/>
  <c r="W1006" i="33"/>
  <c r="Y1004" i="33"/>
  <c r="Z1004" i="33"/>
  <c r="W1004" i="33"/>
  <c r="X970" i="33"/>
  <c r="Z970" i="33"/>
  <c r="Y970" i="33"/>
  <c r="T948" i="33" l="1"/>
  <c r="Z948" i="33" s="1"/>
  <c r="F948" i="33"/>
  <c r="H948" i="33" s="1"/>
  <c r="K948" i="33"/>
  <c r="V948" i="33"/>
  <c r="S948" i="33"/>
  <c r="R948" i="33"/>
  <c r="T946" i="33"/>
  <c r="Y946" i="33" s="1"/>
  <c r="F946" i="33"/>
  <c r="K946" i="33"/>
  <c r="V946" i="33"/>
  <c r="S946" i="33"/>
  <c r="R946" i="33"/>
  <c r="T944" i="33"/>
  <c r="Z944" i="33" s="1"/>
  <c r="F944" i="33"/>
  <c r="H944" i="33" s="1"/>
  <c r="K944" i="33"/>
  <c r="V944" i="33"/>
  <c r="S944" i="33"/>
  <c r="R944" i="33"/>
  <c r="T942" i="33"/>
  <c r="Y942" i="33" s="1"/>
  <c r="F942" i="33"/>
  <c r="G942" i="33" s="1"/>
  <c r="K942" i="33"/>
  <c r="R942" i="33"/>
  <c r="V942" i="33"/>
  <c r="S942" i="33"/>
  <c r="F940" i="33"/>
  <c r="H940" i="33" s="1"/>
  <c r="K940" i="33"/>
  <c r="T940" i="33"/>
  <c r="Z940" i="33" s="1"/>
  <c r="V940" i="33"/>
  <c r="S940" i="33"/>
  <c r="R940" i="33"/>
  <c r="F938" i="33"/>
  <c r="K938" i="33"/>
  <c r="T938" i="33"/>
  <c r="Y938" i="33" s="1"/>
  <c r="V938" i="33"/>
  <c r="S938" i="33"/>
  <c r="R938" i="33"/>
  <c r="F936" i="33"/>
  <c r="I936" i="33" s="1"/>
  <c r="K936" i="33"/>
  <c r="T936" i="33"/>
  <c r="V936" i="33"/>
  <c r="S936" i="33"/>
  <c r="R936" i="33"/>
  <c r="F934" i="33"/>
  <c r="H934" i="33" s="1"/>
  <c r="K934" i="33"/>
  <c r="T934" i="33"/>
  <c r="Z934" i="33" s="1"/>
  <c r="V934" i="33"/>
  <c r="S934" i="33"/>
  <c r="R934" i="33"/>
  <c r="F932" i="33"/>
  <c r="H932" i="33" s="1"/>
  <c r="K932" i="33"/>
  <c r="T932" i="33"/>
  <c r="Z932" i="33" s="1"/>
  <c r="V932" i="33"/>
  <c r="S932" i="33"/>
  <c r="R932" i="33"/>
  <c r="F630" i="35"/>
  <c r="I630" i="35" s="1"/>
  <c r="K630" i="35"/>
  <c r="AE630" i="35"/>
  <c r="F632" i="35"/>
  <c r="H632" i="35" s="1"/>
  <c r="K632" i="35"/>
  <c r="AE632" i="35"/>
  <c r="F634" i="35"/>
  <c r="H634" i="35" s="1"/>
  <c r="K634" i="35"/>
  <c r="AE634" i="35"/>
  <c r="AE643" i="35"/>
  <c r="AG643" i="35" s="1"/>
  <c r="F661" i="35"/>
  <c r="G661" i="35" s="1"/>
  <c r="K661" i="35"/>
  <c r="AE661" i="35"/>
  <c r="F663" i="35"/>
  <c r="I663" i="35" s="1"/>
  <c r="K663" i="35"/>
  <c r="AE663" i="35"/>
  <c r="F665" i="35"/>
  <c r="K665" i="35"/>
  <c r="AE665" i="35"/>
  <c r="F667" i="35"/>
  <c r="K667" i="35"/>
  <c r="AE667" i="35"/>
  <c r="AG668" i="35"/>
  <c r="F670" i="35"/>
  <c r="K670" i="35"/>
  <c r="AE670" i="35"/>
  <c r="F672" i="35"/>
  <c r="I672" i="35" s="1"/>
  <c r="K672" i="35"/>
  <c r="AE672" i="35"/>
  <c r="F674" i="35"/>
  <c r="I674" i="35" s="1"/>
  <c r="K674" i="35"/>
  <c r="AE674" i="35"/>
  <c r="F676" i="35"/>
  <c r="I676" i="35" s="1"/>
  <c r="K676" i="35"/>
  <c r="AE676" i="35"/>
  <c r="F688" i="35"/>
  <c r="K688" i="35"/>
  <c r="AE688" i="35"/>
  <c r="F690" i="35"/>
  <c r="G690" i="35" s="1"/>
  <c r="K690" i="35"/>
  <c r="AE690" i="35"/>
  <c r="AG691" i="35"/>
  <c r="F693" i="35"/>
  <c r="I693" i="35" s="1"/>
  <c r="K693" i="35"/>
  <c r="AE693" i="35"/>
  <c r="F695" i="35"/>
  <c r="H695" i="35" s="1"/>
  <c r="K695" i="35"/>
  <c r="AE695" i="35"/>
  <c r="AG696" i="35"/>
  <c r="F698" i="35"/>
  <c r="I698" i="35" s="1"/>
  <c r="K698" i="35"/>
  <c r="AE698" i="35"/>
  <c r="F700" i="35"/>
  <c r="K700" i="35"/>
  <c r="AE700" i="35"/>
  <c r="F702" i="35"/>
  <c r="K702" i="35"/>
  <c r="AE702" i="35"/>
  <c r="F704" i="35"/>
  <c r="H704" i="35" s="1"/>
  <c r="K704" i="35"/>
  <c r="AE704" i="35"/>
  <c r="F708" i="35"/>
  <c r="H708" i="35" s="1"/>
  <c r="K708" i="35"/>
  <c r="AE708" i="35"/>
  <c r="F710" i="35"/>
  <c r="I710" i="35" s="1"/>
  <c r="K710" i="35"/>
  <c r="AE710" i="35"/>
  <c r="F712" i="35"/>
  <c r="K712" i="35"/>
  <c r="AE712" i="35"/>
  <c r="F714" i="35"/>
  <c r="H714" i="35" s="1"/>
  <c r="K714" i="35"/>
  <c r="AE714" i="35"/>
  <c r="F722" i="35"/>
  <c r="G722" i="35" s="1"/>
  <c r="K722" i="35"/>
  <c r="AE722" i="35"/>
  <c r="F724" i="35"/>
  <c r="I724" i="35" s="1"/>
  <c r="K724" i="35"/>
  <c r="AE724" i="35"/>
  <c r="F726" i="35"/>
  <c r="K726" i="35"/>
  <c r="AE726" i="35"/>
  <c r="F728" i="35"/>
  <c r="I728" i="35" s="1"/>
  <c r="K728" i="35"/>
  <c r="AE728" i="35"/>
  <c r="F730" i="35"/>
  <c r="G730" i="35" s="1"/>
  <c r="K730" i="35"/>
  <c r="AE730" i="35"/>
  <c r="Y710" i="35"/>
  <c r="X710" i="35"/>
  <c r="U710" i="35"/>
  <c r="S710" i="35"/>
  <c r="R710" i="35"/>
  <c r="Q710" i="35"/>
  <c r="Y708" i="35"/>
  <c r="X708" i="35"/>
  <c r="U708" i="35"/>
  <c r="S708" i="35"/>
  <c r="R708" i="35"/>
  <c r="Q708" i="35"/>
  <c r="Y688" i="35"/>
  <c r="X688" i="35"/>
  <c r="U688" i="35"/>
  <c r="S688" i="35"/>
  <c r="R688" i="35"/>
  <c r="Q688" i="35"/>
  <c r="Y672" i="35"/>
  <c r="X672" i="35"/>
  <c r="U672" i="35"/>
  <c r="S672" i="35"/>
  <c r="R672" i="35"/>
  <c r="Q672" i="35"/>
  <c r="Y659" i="35"/>
  <c r="X659" i="35"/>
  <c r="F659" i="35"/>
  <c r="I659" i="35" s="1"/>
  <c r="K659" i="35"/>
  <c r="U659" i="35"/>
  <c r="S659" i="35"/>
  <c r="R659" i="35"/>
  <c r="Q659" i="35"/>
  <c r="F626" i="35"/>
  <c r="K626" i="35"/>
  <c r="AE626" i="35"/>
  <c r="Y626" i="35"/>
  <c r="X626" i="35"/>
  <c r="U626" i="35"/>
  <c r="S626" i="35"/>
  <c r="R626" i="35"/>
  <c r="Q626" i="35"/>
  <c r="Y730" i="35"/>
  <c r="X730" i="35"/>
  <c r="U730" i="35"/>
  <c r="S730" i="35"/>
  <c r="R730" i="35"/>
  <c r="Q730" i="35"/>
  <c r="Y728" i="35"/>
  <c r="X728" i="35"/>
  <c r="U728" i="35"/>
  <c r="S728" i="35"/>
  <c r="R728" i="35"/>
  <c r="Q728" i="35"/>
  <c r="Y726" i="35"/>
  <c r="X726" i="35"/>
  <c r="U726" i="35"/>
  <c r="S726" i="35"/>
  <c r="R726" i="35"/>
  <c r="Q726" i="35"/>
  <c r="Y724" i="35"/>
  <c r="X724" i="35"/>
  <c r="U724" i="35"/>
  <c r="S724" i="35"/>
  <c r="R724" i="35"/>
  <c r="Q724" i="35"/>
  <c r="Y722" i="35"/>
  <c r="X722" i="35"/>
  <c r="U722" i="35"/>
  <c r="S722" i="35"/>
  <c r="R722" i="35"/>
  <c r="Q722" i="35"/>
  <c r="Y714" i="35"/>
  <c r="X714" i="35"/>
  <c r="U714" i="35"/>
  <c r="S714" i="35"/>
  <c r="R714" i="35"/>
  <c r="Q714" i="35"/>
  <c r="Y712" i="35"/>
  <c r="X712" i="35"/>
  <c r="U712" i="35"/>
  <c r="S712" i="35"/>
  <c r="R712" i="35"/>
  <c r="Q712" i="35"/>
  <c r="Y704" i="35"/>
  <c r="X704" i="35"/>
  <c r="U704" i="35"/>
  <c r="S704" i="35"/>
  <c r="R704" i="35"/>
  <c r="Q704" i="35"/>
  <c r="Y702" i="35"/>
  <c r="X702" i="35"/>
  <c r="U702" i="35"/>
  <c r="S702" i="35"/>
  <c r="R702" i="35"/>
  <c r="Q702" i="35"/>
  <c r="Y700" i="35"/>
  <c r="X700" i="35"/>
  <c r="U700" i="35"/>
  <c r="S700" i="35"/>
  <c r="R700" i="35"/>
  <c r="Q700" i="35"/>
  <c r="Y698" i="35"/>
  <c r="X698" i="35"/>
  <c r="U698" i="35"/>
  <c r="S698" i="35"/>
  <c r="R698" i="35"/>
  <c r="Q698" i="35"/>
  <c r="F696" i="35"/>
  <c r="H696" i="35" s="1"/>
  <c r="K696" i="35"/>
  <c r="Y696" i="35"/>
  <c r="X696" i="35"/>
  <c r="U696" i="35"/>
  <c r="S696" i="35"/>
  <c r="R696" i="35"/>
  <c r="Q696" i="35"/>
  <c r="Y695" i="35"/>
  <c r="X695" i="35"/>
  <c r="U695" i="35"/>
  <c r="S695" i="35"/>
  <c r="R695" i="35"/>
  <c r="Q695" i="35"/>
  <c r="Y693" i="35"/>
  <c r="X693" i="35"/>
  <c r="U693" i="35"/>
  <c r="S693" i="35"/>
  <c r="R693" i="35"/>
  <c r="Q693" i="35"/>
  <c r="F691" i="35"/>
  <c r="I691" i="35" s="1"/>
  <c r="K691" i="35"/>
  <c r="Y691" i="35"/>
  <c r="X691" i="35"/>
  <c r="U691" i="35"/>
  <c r="S691" i="35"/>
  <c r="R691" i="35"/>
  <c r="Q691" i="35"/>
  <c r="Y690" i="35"/>
  <c r="X690" i="35"/>
  <c r="U690" i="35"/>
  <c r="S690" i="35"/>
  <c r="R690" i="35"/>
  <c r="Q690" i="35"/>
  <c r="Y663" i="35"/>
  <c r="X663" i="35"/>
  <c r="U663" i="35"/>
  <c r="S663" i="35"/>
  <c r="R663" i="35"/>
  <c r="Q663" i="35"/>
  <c r="Y676" i="35"/>
  <c r="X676" i="35"/>
  <c r="U676" i="35"/>
  <c r="S676" i="35"/>
  <c r="R676" i="35"/>
  <c r="Q676" i="35"/>
  <c r="Y674" i="35"/>
  <c r="X674" i="35"/>
  <c r="U674" i="35"/>
  <c r="S674" i="35"/>
  <c r="R674" i="35"/>
  <c r="Q674" i="35"/>
  <c r="Y670" i="35"/>
  <c r="X670" i="35"/>
  <c r="U670" i="35"/>
  <c r="S670" i="35"/>
  <c r="R670" i="35"/>
  <c r="Q670" i="35"/>
  <c r="F668" i="35"/>
  <c r="I668" i="35" s="1"/>
  <c r="K668" i="35"/>
  <c r="Y668" i="35"/>
  <c r="X668" i="35"/>
  <c r="U668" i="35"/>
  <c r="S668" i="35"/>
  <c r="R668" i="35"/>
  <c r="Q668" i="35"/>
  <c r="Y667" i="35"/>
  <c r="X667" i="35"/>
  <c r="U667" i="35"/>
  <c r="S667" i="35"/>
  <c r="R667" i="35"/>
  <c r="Q667" i="35"/>
  <c r="Y665" i="35"/>
  <c r="X665" i="35"/>
  <c r="U665" i="35"/>
  <c r="S665" i="35"/>
  <c r="R665" i="35"/>
  <c r="Q665" i="35"/>
  <c r="Y661" i="35"/>
  <c r="X661" i="35"/>
  <c r="U661" i="35"/>
  <c r="S661" i="35"/>
  <c r="R661" i="35"/>
  <c r="Q661" i="35"/>
  <c r="F643" i="35"/>
  <c r="G643" i="35" s="1"/>
  <c r="K643" i="35"/>
  <c r="Y643" i="35"/>
  <c r="X643" i="35"/>
  <c r="U643" i="35"/>
  <c r="S643" i="35"/>
  <c r="R643" i="35"/>
  <c r="Q643" i="35"/>
  <c r="Y651" i="35"/>
  <c r="X651" i="35"/>
  <c r="W651" i="35"/>
  <c r="V651" i="35"/>
  <c r="U651" i="35"/>
  <c r="S651" i="35"/>
  <c r="R651" i="35"/>
  <c r="Q651" i="35"/>
  <c r="F651" i="35"/>
  <c r="I651" i="35" s="1"/>
  <c r="K651" i="35"/>
  <c r="Y649" i="35"/>
  <c r="X649" i="35"/>
  <c r="W649" i="35"/>
  <c r="V649" i="35"/>
  <c r="U649" i="35"/>
  <c r="S649" i="35"/>
  <c r="R649" i="35"/>
  <c r="Q649" i="35"/>
  <c r="F649" i="35"/>
  <c r="I649" i="35" s="1"/>
  <c r="K649" i="35"/>
  <c r="T910" i="33"/>
  <c r="Z910" i="33" s="1"/>
  <c r="V910" i="33"/>
  <c r="S910" i="33"/>
  <c r="R910" i="33"/>
  <c r="F910" i="33"/>
  <c r="H910" i="33" s="1"/>
  <c r="K910" i="33"/>
  <c r="T908" i="33"/>
  <c r="X908" i="33" s="1"/>
  <c r="V908" i="33"/>
  <c r="S908" i="33"/>
  <c r="R908" i="33"/>
  <c r="F908" i="33"/>
  <c r="I908" i="33" s="1"/>
  <c r="K908" i="33"/>
  <c r="T906" i="33"/>
  <c r="Z906" i="33" s="1"/>
  <c r="V906" i="33"/>
  <c r="S906" i="33"/>
  <c r="R906" i="33"/>
  <c r="F906" i="33"/>
  <c r="K906" i="33"/>
  <c r="F902" i="33"/>
  <c r="K902" i="33"/>
  <c r="T902" i="33"/>
  <c r="X902" i="33" s="1"/>
  <c r="V902" i="33"/>
  <c r="S902" i="33"/>
  <c r="R902" i="33"/>
  <c r="F900" i="33"/>
  <c r="H900" i="33" s="1"/>
  <c r="K900" i="33"/>
  <c r="T900" i="33"/>
  <c r="Z900" i="33" s="1"/>
  <c r="V900" i="33"/>
  <c r="S900" i="33"/>
  <c r="R900" i="33"/>
  <c r="F898" i="33"/>
  <c r="K898" i="33"/>
  <c r="T898" i="33"/>
  <c r="Y898" i="33" s="1"/>
  <c r="V898" i="33"/>
  <c r="S898" i="33"/>
  <c r="R898" i="33"/>
  <c r="AF894" i="33"/>
  <c r="F894" i="33"/>
  <c r="I894" i="33" s="1"/>
  <c r="K894" i="33"/>
  <c r="T894" i="33"/>
  <c r="Y894" i="33" s="1"/>
  <c r="V894" i="33"/>
  <c r="S894" i="33"/>
  <c r="R894" i="33"/>
  <c r="AF888" i="33"/>
  <c r="F888" i="33"/>
  <c r="K888" i="33"/>
  <c r="T888" i="33"/>
  <c r="Y888" i="33" s="1"/>
  <c r="V888" i="33"/>
  <c r="S888" i="33"/>
  <c r="R888" i="33"/>
  <c r="AF896" i="33"/>
  <c r="F896" i="33"/>
  <c r="I896" i="33" s="1"/>
  <c r="K896" i="33"/>
  <c r="T896" i="33"/>
  <c r="Y896" i="33" s="1"/>
  <c r="V896" i="33"/>
  <c r="S896" i="33"/>
  <c r="R896" i="33"/>
  <c r="AF886" i="33"/>
  <c r="F886" i="33"/>
  <c r="H886" i="33" s="1"/>
  <c r="K886" i="33"/>
  <c r="T886" i="33"/>
  <c r="Y886" i="33" s="1"/>
  <c r="V886" i="33"/>
  <c r="S886" i="33"/>
  <c r="R886" i="33"/>
  <c r="AF884" i="33"/>
  <c r="F884" i="33"/>
  <c r="H884" i="33" s="1"/>
  <c r="K884" i="33"/>
  <c r="T884" i="33"/>
  <c r="Y884" i="33" s="1"/>
  <c r="V884" i="33"/>
  <c r="S884" i="33"/>
  <c r="R884" i="33"/>
  <c r="AF880" i="33"/>
  <c r="F880" i="33"/>
  <c r="H880" i="33" s="1"/>
  <c r="K880" i="33"/>
  <c r="T880" i="33"/>
  <c r="Y880" i="33" s="1"/>
  <c r="V880" i="33"/>
  <c r="S880" i="33"/>
  <c r="R880" i="33"/>
  <c r="AF882" i="33"/>
  <c r="F882" i="33"/>
  <c r="H882" i="33" s="1"/>
  <c r="K882" i="33"/>
  <c r="T882" i="33"/>
  <c r="Y882" i="33" s="1"/>
  <c r="V882" i="33"/>
  <c r="S882" i="33"/>
  <c r="R882" i="33"/>
  <c r="AF878" i="33"/>
  <c r="F878" i="33"/>
  <c r="H878" i="33" s="1"/>
  <c r="K878" i="33"/>
  <c r="T878" i="33"/>
  <c r="Y878" i="33" s="1"/>
  <c r="V878" i="33"/>
  <c r="S878" i="33"/>
  <c r="R878" i="33"/>
  <c r="T876" i="33"/>
  <c r="X876" i="33" s="1"/>
  <c r="F876" i="33"/>
  <c r="H876" i="33" s="1"/>
  <c r="K876" i="33"/>
  <c r="V876" i="33"/>
  <c r="S876" i="33"/>
  <c r="R876" i="33"/>
  <c r="F875" i="33"/>
  <c r="K875" i="33"/>
  <c r="Z875" i="33"/>
  <c r="Y875" i="33"/>
  <c r="X875" i="33"/>
  <c r="W875" i="33"/>
  <c r="V875" i="33"/>
  <c r="T875" i="33"/>
  <c r="S875" i="33"/>
  <c r="R875" i="33"/>
  <c r="L875" i="33"/>
  <c r="I875" i="33"/>
  <c r="H875" i="33"/>
  <c r="G875" i="33"/>
  <c r="F874" i="33"/>
  <c r="I874" i="33" s="1"/>
  <c r="K874" i="33"/>
  <c r="T874" i="33"/>
  <c r="Z874" i="33" s="1"/>
  <c r="V874" i="33"/>
  <c r="S874" i="33"/>
  <c r="R874" i="33"/>
  <c r="F870" i="33"/>
  <c r="I870" i="33" s="1"/>
  <c r="K870" i="33"/>
  <c r="T870" i="33"/>
  <c r="Y870" i="33" s="1"/>
  <c r="V870" i="33"/>
  <c r="S870" i="33"/>
  <c r="R870" i="33"/>
  <c r="F872" i="33"/>
  <c r="H872" i="33" s="1"/>
  <c r="K872" i="33"/>
  <c r="T872" i="33"/>
  <c r="X872" i="33" s="1"/>
  <c r="V872" i="33"/>
  <c r="S872" i="33"/>
  <c r="R872" i="33"/>
  <c r="F868" i="33"/>
  <c r="H868" i="33" s="1"/>
  <c r="K868" i="33"/>
  <c r="T868" i="33"/>
  <c r="Z868" i="33" s="1"/>
  <c r="V868" i="33"/>
  <c r="S868" i="33"/>
  <c r="R868" i="33"/>
  <c r="F866" i="33"/>
  <c r="K866" i="33"/>
  <c r="T866" i="33"/>
  <c r="Z866" i="33" s="1"/>
  <c r="V866" i="33"/>
  <c r="S866" i="33"/>
  <c r="R866" i="33"/>
  <c r="F864" i="33"/>
  <c r="H864" i="33" s="1"/>
  <c r="K864" i="33"/>
  <c r="T864" i="33"/>
  <c r="Y864" i="33" s="1"/>
  <c r="V864" i="33"/>
  <c r="S864" i="33"/>
  <c r="R864" i="33"/>
  <c r="F858" i="33"/>
  <c r="H858" i="33" s="1"/>
  <c r="K858" i="33"/>
  <c r="T858" i="33"/>
  <c r="X858" i="33" s="1"/>
  <c r="V858" i="33"/>
  <c r="S858" i="33"/>
  <c r="R858" i="33"/>
  <c r="AF856" i="33"/>
  <c r="F856" i="33"/>
  <c r="H856" i="33" s="1"/>
  <c r="K856" i="33"/>
  <c r="T856" i="33"/>
  <c r="X856" i="33" s="1"/>
  <c r="V856" i="33"/>
  <c r="S856" i="33"/>
  <c r="R856" i="33"/>
  <c r="AF854" i="33"/>
  <c r="F854" i="33"/>
  <c r="I854" i="33" s="1"/>
  <c r="K854" i="33"/>
  <c r="T854" i="33"/>
  <c r="X854" i="33" s="1"/>
  <c r="V854" i="33"/>
  <c r="S854" i="33"/>
  <c r="R854" i="33"/>
  <c r="AF853" i="33"/>
  <c r="T853" i="33"/>
  <c r="Y853" i="33" s="1"/>
  <c r="V853" i="33"/>
  <c r="S853" i="33"/>
  <c r="R853" i="33"/>
  <c r="F853" i="33"/>
  <c r="I853" i="33" s="1"/>
  <c r="K853" i="33"/>
  <c r="AF851" i="33"/>
  <c r="F851" i="33"/>
  <c r="K851" i="33"/>
  <c r="T851" i="33"/>
  <c r="Y851" i="33" s="1"/>
  <c r="V851" i="33"/>
  <c r="S851" i="33"/>
  <c r="R851" i="33"/>
  <c r="AF842" i="33"/>
  <c r="F842" i="33"/>
  <c r="K842" i="33"/>
  <c r="T842" i="33"/>
  <c r="Y842" i="33" s="1"/>
  <c r="V842" i="33"/>
  <c r="S842" i="33"/>
  <c r="R842" i="33"/>
  <c r="AF849" i="33"/>
  <c r="F849" i="33"/>
  <c r="H849" i="33" s="1"/>
  <c r="K849" i="33"/>
  <c r="T849" i="33"/>
  <c r="Y849" i="33" s="1"/>
  <c r="V849" i="33"/>
  <c r="S849" i="33"/>
  <c r="R849" i="33"/>
  <c r="AF848" i="33"/>
  <c r="F848" i="33"/>
  <c r="H848" i="33" s="1"/>
  <c r="K848" i="33"/>
  <c r="T848" i="33"/>
  <c r="Y848" i="33" s="1"/>
  <c r="V848" i="33"/>
  <c r="S848" i="33"/>
  <c r="R848" i="33"/>
  <c r="AF846" i="33"/>
  <c r="F846" i="33"/>
  <c r="I846" i="33" s="1"/>
  <c r="K846" i="33"/>
  <c r="T846" i="33"/>
  <c r="Y846" i="33" s="1"/>
  <c r="V846" i="33"/>
  <c r="S846" i="33"/>
  <c r="R846" i="33"/>
  <c r="AF844" i="33"/>
  <c r="F844" i="33"/>
  <c r="K844" i="33"/>
  <c r="T844" i="33"/>
  <c r="Y844" i="33" s="1"/>
  <c r="V844" i="33"/>
  <c r="S844" i="33"/>
  <c r="R844" i="33"/>
  <c r="AF840" i="33"/>
  <c r="F840" i="33"/>
  <c r="H840" i="33" s="1"/>
  <c r="K840" i="33"/>
  <c r="T840" i="33"/>
  <c r="X840" i="33" s="1"/>
  <c r="V840" i="33"/>
  <c r="S840" i="33"/>
  <c r="R840" i="33"/>
  <c r="AF838" i="33"/>
  <c r="F838" i="33"/>
  <c r="K838" i="33"/>
  <c r="T838" i="33"/>
  <c r="Y838" i="33" s="1"/>
  <c r="V838" i="33"/>
  <c r="S838" i="33"/>
  <c r="R838" i="33"/>
  <c r="AF837" i="33"/>
  <c r="F837" i="33"/>
  <c r="I837" i="33" s="1"/>
  <c r="K837" i="33"/>
  <c r="T837" i="33"/>
  <c r="Y837" i="33" s="1"/>
  <c r="V837" i="33"/>
  <c r="S837" i="33"/>
  <c r="R837" i="33"/>
  <c r="AF835" i="33"/>
  <c r="F835" i="33"/>
  <c r="I835" i="33" s="1"/>
  <c r="K835" i="33"/>
  <c r="T835" i="33"/>
  <c r="Z835" i="33" s="1"/>
  <c r="V835" i="33"/>
  <c r="S835" i="33"/>
  <c r="R835" i="33"/>
  <c r="AE562" i="35"/>
  <c r="F538" i="35"/>
  <c r="I538" i="35" s="1"/>
  <c r="K538" i="35"/>
  <c r="AE538" i="35"/>
  <c r="F540" i="35"/>
  <c r="I540" i="35" s="1"/>
  <c r="K540" i="35"/>
  <c r="AE540" i="35"/>
  <c r="F542" i="35"/>
  <c r="I542" i="35" s="1"/>
  <c r="K542" i="35"/>
  <c r="AE542" i="35"/>
  <c r="F545" i="35"/>
  <c r="G545" i="35" s="1"/>
  <c r="K545" i="35"/>
  <c r="AE545" i="35"/>
  <c r="F547" i="35"/>
  <c r="H547" i="35" s="1"/>
  <c r="K547" i="35"/>
  <c r="AE547" i="35"/>
  <c r="F553" i="35"/>
  <c r="H553" i="35" s="1"/>
  <c r="K553" i="35"/>
  <c r="AE553" i="35"/>
  <c r="F555" i="35"/>
  <c r="H555" i="35" s="1"/>
  <c r="K555" i="35"/>
  <c r="AE555" i="35"/>
  <c r="F558" i="35"/>
  <c r="G558" i="35" s="1"/>
  <c r="K558" i="35"/>
  <c r="AE558" i="35"/>
  <c r="F560" i="35"/>
  <c r="G560" i="35" s="1"/>
  <c r="K560" i="35"/>
  <c r="AE560" i="35"/>
  <c r="F562" i="35"/>
  <c r="H562" i="35" s="1"/>
  <c r="K562" i="35"/>
  <c r="F578" i="35"/>
  <c r="K578" i="35"/>
  <c r="AE578" i="35"/>
  <c r="F580" i="35"/>
  <c r="G580" i="35" s="1"/>
  <c r="K580" i="35"/>
  <c r="AE580" i="35"/>
  <c r="F582" i="35"/>
  <c r="G582" i="35" s="1"/>
  <c r="K582" i="35"/>
  <c r="AE582" i="35"/>
  <c r="F584" i="35"/>
  <c r="G584" i="35" s="1"/>
  <c r="K584" i="35"/>
  <c r="AE584" i="35"/>
  <c r="F586" i="35"/>
  <c r="I586" i="35" s="1"/>
  <c r="K586" i="35"/>
  <c r="AE586" i="35"/>
  <c r="F588" i="35"/>
  <c r="G588" i="35" s="1"/>
  <c r="K588" i="35"/>
  <c r="AE588" i="35"/>
  <c r="F591" i="35"/>
  <c r="I591" i="35" s="1"/>
  <c r="K591" i="35"/>
  <c r="AE591" i="35"/>
  <c r="F593" i="35"/>
  <c r="G593" i="35" s="1"/>
  <c r="K593" i="35"/>
  <c r="AE593" i="35"/>
  <c r="F595" i="35"/>
  <c r="K595" i="35"/>
  <c r="AE595" i="35"/>
  <c r="F597" i="35"/>
  <c r="I597" i="35" s="1"/>
  <c r="K597" i="35"/>
  <c r="AE597" i="35"/>
  <c r="F599" i="35"/>
  <c r="K599" i="35"/>
  <c r="AE599" i="35"/>
  <c r="F601" i="35"/>
  <c r="K601" i="35"/>
  <c r="AE601" i="35"/>
  <c r="F603" i="35"/>
  <c r="K603" i="35"/>
  <c r="AE603" i="35"/>
  <c r="F607" i="35"/>
  <c r="I607" i="35" s="1"/>
  <c r="K607" i="35"/>
  <c r="AE607" i="35"/>
  <c r="F609" i="35"/>
  <c r="I609" i="35" s="1"/>
  <c r="K609" i="35"/>
  <c r="AE609" i="35"/>
  <c r="F611" i="35"/>
  <c r="G611" i="35" s="1"/>
  <c r="K611" i="35"/>
  <c r="AE611" i="35"/>
  <c r="F614" i="35"/>
  <c r="H614" i="35" s="1"/>
  <c r="K614" i="35"/>
  <c r="AE614" i="35"/>
  <c r="F616" i="35"/>
  <c r="K616" i="35"/>
  <c r="AE616" i="35"/>
  <c r="F618" i="35"/>
  <c r="G618" i="35" s="1"/>
  <c r="K618" i="35"/>
  <c r="AE618" i="35"/>
  <c r="F620" i="35"/>
  <c r="I620" i="35" s="1"/>
  <c r="K620" i="35"/>
  <c r="AE620" i="35"/>
  <c r="F622" i="35"/>
  <c r="I622" i="35" s="1"/>
  <c r="K622" i="35"/>
  <c r="AE622" i="35"/>
  <c r="F624" i="35"/>
  <c r="K624" i="35"/>
  <c r="AE624" i="35"/>
  <c r="AG543" i="35"/>
  <c r="AG556" i="35"/>
  <c r="AG589" i="35"/>
  <c r="AG612" i="35"/>
  <c r="Y624" i="35"/>
  <c r="X624" i="35"/>
  <c r="U624" i="35"/>
  <c r="S624" i="35"/>
  <c r="R624" i="35"/>
  <c r="Q624" i="35"/>
  <c r="Y622" i="35"/>
  <c r="X622" i="35"/>
  <c r="U622" i="35"/>
  <c r="S622" i="35"/>
  <c r="R622" i="35"/>
  <c r="Q622" i="35"/>
  <c r="Y620" i="35"/>
  <c r="X620" i="35"/>
  <c r="U620" i="35"/>
  <c r="S620" i="35"/>
  <c r="R620" i="35"/>
  <c r="Q620" i="35"/>
  <c r="Y618" i="35"/>
  <c r="X618" i="35"/>
  <c r="U618" i="35"/>
  <c r="S618" i="35"/>
  <c r="R618" i="35"/>
  <c r="Q618" i="35"/>
  <c r="Y616" i="35"/>
  <c r="X616" i="35"/>
  <c r="U616" i="35"/>
  <c r="S616" i="35"/>
  <c r="R616" i="35"/>
  <c r="Q616" i="35"/>
  <c r="Y603" i="35"/>
  <c r="X603" i="35"/>
  <c r="U603" i="35"/>
  <c r="S603" i="35"/>
  <c r="R603" i="35"/>
  <c r="Q603" i="35"/>
  <c r="Y601" i="35"/>
  <c r="X601" i="35"/>
  <c r="U601" i="35"/>
  <c r="S601" i="35"/>
  <c r="R601" i="35"/>
  <c r="Q601" i="35"/>
  <c r="Y599" i="35"/>
  <c r="X599" i="35"/>
  <c r="U599" i="35"/>
  <c r="S599" i="35"/>
  <c r="R599" i="35"/>
  <c r="Q599" i="35"/>
  <c r="Y597" i="35"/>
  <c r="X597" i="35"/>
  <c r="U597" i="35"/>
  <c r="S597" i="35"/>
  <c r="R597" i="35"/>
  <c r="Q597" i="35"/>
  <c r="Y595" i="35"/>
  <c r="X595" i="35"/>
  <c r="U595" i="35"/>
  <c r="S595" i="35"/>
  <c r="R595" i="35"/>
  <c r="Q595" i="35"/>
  <c r="Y578" i="35"/>
  <c r="X578" i="35"/>
  <c r="U578" i="35"/>
  <c r="S578" i="35"/>
  <c r="R578" i="35"/>
  <c r="Q578" i="35"/>
  <c r="F576" i="35"/>
  <c r="H576" i="35" s="1"/>
  <c r="K576" i="35"/>
  <c r="Y634" i="35"/>
  <c r="X634" i="35"/>
  <c r="U634" i="35"/>
  <c r="S634" i="35"/>
  <c r="R634" i="35"/>
  <c r="Q634" i="35"/>
  <c r="Y632" i="35"/>
  <c r="X632" i="35"/>
  <c r="U632" i="35"/>
  <c r="S632" i="35"/>
  <c r="R632" i="35"/>
  <c r="Q632" i="35"/>
  <c r="Y630" i="35"/>
  <c r="X630" i="35"/>
  <c r="U630" i="35"/>
  <c r="S630" i="35"/>
  <c r="R630" i="35"/>
  <c r="Q630" i="35"/>
  <c r="Y576" i="35"/>
  <c r="X576" i="35"/>
  <c r="U576" i="35"/>
  <c r="S576" i="35"/>
  <c r="R576" i="35"/>
  <c r="Q576" i="35"/>
  <c r="F802" i="33"/>
  <c r="H802" i="33" s="1"/>
  <c r="K802" i="33"/>
  <c r="T802" i="33"/>
  <c r="Z802" i="33" s="1"/>
  <c r="R802" i="33"/>
  <c r="V802" i="33"/>
  <c r="S802" i="33"/>
  <c r="AF615" i="33"/>
  <c r="AF708" i="33"/>
  <c r="AF715" i="33"/>
  <c r="AF728" i="33"/>
  <c r="AF727" i="33"/>
  <c r="AF730" i="33"/>
  <c r="AF725" i="33"/>
  <c r="AF723" i="33"/>
  <c r="AF721" i="33"/>
  <c r="AF719" i="33"/>
  <c r="AF717" i="33"/>
  <c r="AF714" i="33"/>
  <c r="AF712" i="33"/>
  <c r="AF710" i="33"/>
  <c r="AF707" i="33"/>
  <c r="AF705" i="33"/>
  <c r="AF703" i="33"/>
  <c r="AF643" i="33"/>
  <c r="AF639" i="33"/>
  <c r="AF637" i="33"/>
  <c r="AF629" i="33"/>
  <c r="AF627" i="33"/>
  <c r="AF625" i="33"/>
  <c r="AF623" i="33"/>
  <c r="AF621" i="33"/>
  <c r="AF619" i="33"/>
  <c r="AF617" i="33"/>
  <c r="AF614" i="33"/>
  <c r="AF612" i="33"/>
  <c r="Y591" i="35"/>
  <c r="X591" i="35"/>
  <c r="U591" i="35"/>
  <c r="S591" i="35"/>
  <c r="R591" i="35"/>
  <c r="Q591" i="35"/>
  <c r="Y589" i="35"/>
  <c r="X589" i="35"/>
  <c r="U589" i="35"/>
  <c r="S589" i="35"/>
  <c r="R589" i="35"/>
  <c r="Q589" i="35"/>
  <c r="K589" i="35"/>
  <c r="F589" i="35"/>
  <c r="I589" i="35" s="1"/>
  <c r="Y588" i="35"/>
  <c r="X588" i="35"/>
  <c r="U588" i="35"/>
  <c r="S588" i="35"/>
  <c r="R588" i="35"/>
  <c r="Q588" i="35"/>
  <c r="S553" i="35"/>
  <c r="Y545" i="35"/>
  <c r="X545" i="35"/>
  <c r="U545" i="35"/>
  <c r="S545" i="35"/>
  <c r="R545" i="35"/>
  <c r="Q545" i="35"/>
  <c r="V819" i="33"/>
  <c r="T819" i="33"/>
  <c r="S819" i="33"/>
  <c r="R819" i="33"/>
  <c r="K819" i="33"/>
  <c r="F819" i="33"/>
  <c r="G819" i="33" s="1"/>
  <c r="V817" i="33"/>
  <c r="T817" i="33"/>
  <c r="Y817" i="33" s="1"/>
  <c r="S817" i="33"/>
  <c r="R817" i="33"/>
  <c r="K817" i="33"/>
  <c r="F817" i="33"/>
  <c r="H817" i="33" s="1"/>
  <c r="V816" i="33"/>
  <c r="T816" i="33"/>
  <c r="Z816" i="33" s="1"/>
  <c r="S816" i="33"/>
  <c r="R816" i="33"/>
  <c r="K816" i="33"/>
  <c r="F816" i="33"/>
  <c r="H816" i="33" s="1"/>
  <c r="V814" i="33"/>
  <c r="T814" i="33"/>
  <c r="Z814" i="33" s="1"/>
  <c r="S814" i="33"/>
  <c r="R814" i="33"/>
  <c r="K814" i="33"/>
  <c r="F814" i="33"/>
  <c r="H814" i="33" s="1"/>
  <c r="V812" i="33"/>
  <c r="T812" i="33"/>
  <c r="S812" i="33"/>
  <c r="R812" i="33"/>
  <c r="K812" i="33"/>
  <c r="F812" i="33"/>
  <c r="H812" i="33" s="1"/>
  <c r="V810" i="33"/>
  <c r="T810" i="33"/>
  <c r="Y810" i="33" s="1"/>
  <c r="S810" i="33"/>
  <c r="R810" i="33"/>
  <c r="K810" i="33"/>
  <c r="F810" i="33"/>
  <c r="H810" i="33" s="1"/>
  <c r="V808" i="33"/>
  <c r="T808" i="33"/>
  <c r="Y808" i="33" s="1"/>
  <c r="S808" i="33"/>
  <c r="R808" i="33"/>
  <c r="K808" i="33"/>
  <c r="F808" i="33"/>
  <c r="G808" i="33" s="1"/>
  <c r="V806" i="33"/>
  <c r="T806" i="33"/>
  <c r="S806" i="33"/>
  <c r="R806" i="33"/>
  <c r="K806" i="33"/>
  <c r="F806" i="33"/>
  <c r="G806" i="33" s="1"/>
  <c r="V804" i="33"/>
  <c r="T804" i="33"/>
  <c r="Z804" i="33" s="1"/>
  <c r="S804" i="33"/>
  <c r="R804" i="33"/>
  <c r="K804" i="33"/>
  <c r="F804" i="33"/>
  <c r="I804" i="33" s="1"/>
  <c r="Y614" i="35"/>
  <c r="X614" i="35"/>
  <c r="U614" i="35"/>
  <c r="S614" i="35"/>
  <c r="R614" i="35"/>
  <c r="Q614" i="35"/>
  <c r="Y612" i="35"/>
  <c r="X612" i="35"/>
  <c r="U612" i="35"/>
  <c r="S612" i="35"/>
  <c r="R612" i="35"/>
  <c r="Q612" i="35"/>
  <c r="K612" i="35"/>
  <c r="F612" i="35"/>
  <c r="I612" i="35" s="1"/>
  <c r="Y611" i="35"/>
  <c r="X611" i="35"/>
  <c r="U611" i="35"/>
  <c r="S611" i="35"/>
  <c r="R611" i="35"/>
  <c r="Q611" i="35"/>
  <c r="Y609" i="35"/>
  <c r="X609" i="35"/>
  <c r="U609" i="35"/>
  <c r="S609" i="35"/>
  <c r="R609" i="35"/>
  <c r="Q609" i="35"/>
  <c r="Y607" i="35"/>
  <c r="X607" i="35"/>
  <c r="U607" i="35"/>
  <c r="S607" i="35"/>
  <c r="R607" i="35"/>
  <c r="Q607" i="35"/>
  <c r="Y593" i="35"/>
  <c r="X593" i="35"/>
  <c r="U593" i="35"/>
  <c r="S593" i="35"/>
  <c r="R593" i="35"/>
  <c r="Q593" i="35"/>
  <c r="Y586" i="35"/>
  <c r="X586" i="35"/>
  <c r="U586" i="35"/>
  <c r="S586" i="35"/>
  <c r="R586" i="35"/>
  <c r="Q586" i="35"/>
  <c r="Y584" i="35"/>
  <c r="X584" i="35"/>
  <c r="U584" i="35"/>
  <c r="S584" i="35"/>
  <c r="R584" i="35"/>
  <c r="Q584" i="35"/>
  <c r="Y582" i="35"/>
  <c r="X582" i="35"/>
  <c r="U582" i="35"/>
  <c r="S582" i="35"/>
  <c r="R582" i="35"/>
  <c r="Q582" i="35"/>
  <c r="Y580" i="35"/>
  <c r="X580" i="35"/>
  <c r="U580" i="35"/>
  <c r="S580" i="35"/>
  <c r="R580" i="35"/>
  <c r="Q580" i="35"/>
  <c r="Y562" i="35"/>
  <c r="X562" i="35"/>
  <c r="U562" i="35"/>
  <c r="S562" i="35"/>
  <c r="R562" i="35"/>
  <c r="Q562" i="35"/>
  <c r="Y560" i="35"/>
  <c r="X560" i="35"/>
  <c r="U560" i="35"/>
  <c r="S560" i="35"/>
  <c r="R560" i="35"/>
  <c r="Q560" i="35"/>
  <c r="Y558" i="35"/>
  <c r="X558" i="35"/>
  <c r="U558" i="35"/>
  <c r="S558" i="35"/>
  <c r="R558" i="35"/>
  <c r="Q558" i="35"/>
  <c r="Y556" i="35"/>
  <c r="X556" i="35"/>
  <c r="U556" i="35"/>
  <c r="S556" i="35"/>
  <c r="R556" i="35"/>
  <c r="Q556" i="35"/>
  <c r="K556" i="35"/>
  <c r="F556" i="35"/>
  <c r="H556" i="35" s="1"/>
  <c r="Y555" i="35"/>
  <c r="X555" i="35"/>
  <c r="U555" i="35"/>
  <c r="S555" i="35"/>
  <c r="R555" i="35"/>
  <c r="Q555" i="35"/>
  <c r="Y553" i="35"/>
  <c r="X553" i="35"/>
  <c r="U553" i="35"/>
  <c r="R553" i="35"/>
  <c r="Q553" i="35"/>
  <c r="Y547" i="35"/>
  <c r="X547" i="35"/>
  <c r="U547" i="35"/>
  <c r="S547" i="35"/>
  <c r="R547" i="35"/>
  <c r="Q547" i="35"/>
  <c r="Y543" i="35"/>
  <c r="X543" i="35"/>
  <c r="U543" i="35"/>
  <c r="S543" i="35"/>
  <c r="R543" i="35"/>
  <c r="Q543" i="35"/>
  <c r="K543" i="35"/>
  <c r="F543" i="35"/>
  <c r="G543" i="35" s="1"/>
  <c r="Y542" i="35"/>
  <c r="X542" i="35"/>
  <c r="U542" i="35"/>
  <c r="S542" i="35"/>
  <c r="R542" i="35"/>
  <c r="Q542" i="35"/>
  <c r="Y540" i="35"/>
  <c r="X540" i="35"/>
  <c r="U540" i="35"/>
  <c r="S540" i="35"/>
  <c r="R540" i="35"/>
  <c r="Q540" i="35"/>
  <c r="Y538" i="35"/>
  <c r="X538" i="35"/>
  <c r="U538" i="35"/>
  <c r="S538" i="35"/>
  <c r="R538" i="35"/>
  <c r="Q538" i="35"/>
  <c r="V790" i="33"/>
  <c r="T790" i="33"/>
  <c r="Y790" i="33" s="1"/>
  <c r="S790" i="33"/>
  <c r="R790" i="33"/>
  <c r="K790" i="33"/>
  <c r="F790" i="33"/>
  <c r="I790" i="33" s="1"/>
  <c r="V776" i="33"/>
  <c r="T776" i="33"/>
  <c r="W776" i="33" s="1"/>
  <c r="S776" i="33"/>
  <c r="R776" i="33"/>
  <c r="K776" i="33"/>
  <c r="F776" i="33"/>
  <c r="I776" i="33" s="1"/>
  <c r="V778" i="33"/>
  <c r="T778" i="33"/>
  <c r="Z778" i="33" s="1"/>
  <c r="S778" i="33"/>
  <c r="R778" i="33"/>
  <c r="K778" i="33"/>
  <c r="F778" i="33"/>
  <c r="I778" i="33" s="1"/>
  <c r="V774" i="33"/>
  <c r="T774" i="33"/>
  <c r="Z774" i="33" s="1"/>
  <c r="S774" i="33"/>
  <c r="R774" i="33"/>
  <c r="K774" i="33"/>
  <c r="F774" i="33"/>
  <c r="G774" i="33" s="1"/>
  <c r="V773" i="33"/>
  <c r="T773" i="33"/>
  <c r="X773" i="33" s="1"/>
  <c r="S773" i="33"/>
  <c r="R773" i="33"/>
  <c r="K773" i="33"/>
  <c r="F773" i="33"/>
  <c r="H773" i="33" s="1"/>
  <c r="Y534" i="35"/>
  <c r="X534" i="35"/>
  <c r="W534" i="35"/>
  <c r="V534" i="35"/>
  <c r="U534" i="35"/>
  <c r="S534" i="35"/>
  <c r="R534" i="35"/>
  <c r="Q534" i="35"/>
  <c r="K534" i="35"/>
  <c r="F534" i="35"/>
  <c r="G534" i="35" s="1"/>
  <c r="Y532" i="35"/>
  <c r="X532" i="35"/>
  <c r="W532" i="35"/>
  <c r="V532" i="35"/>
  <c r="U532" i="35"/>
  <c r="S532" i="35"/>
  <c r="R532" i="35"/>
  <c r="Q532" i="35"/>
  <c r="K532" i="35"/>
  <c r="F532" i="35"/>
  <c r="H532" i="35" s="1"/>
  <c r="Y524" i="35"/>
  <c r="X524" i="35"/>
  <c r="W524" i="35"/>
  <c r="V524" i="35"/>
  <c r="U524" i="35"/>
  <c r="S524" i="35"/>
  <c r="R524" i="35"/>
  <c r="Q524" i="35"/>
  <c r="K524" i="35"/>
  <c r="F524" i="35"/>
  <c r="I524" i="35" s="1"/>
  <c r="Y522" i="35"/>
  <c r="X522" i="35"/>
  <c r="W522" i="35"/>
  <c r="V522" i="35"/>
  <c r="U522" i="35"/>
  <c r="S522" i="35"/>
  <c r="R522" i="35"/>
  <c r="Q522" i="35"/>
  <c r="K522" i="35"/>
  <c r="F522" i="35"/>
  <c r="I522" i="35" s="1"/>
  <c r="V788" i="33"/>
  <c r="T788" i="33"/>
  <c r="X788" i="33" s="1"/>
  <c r="S788" i="33"/>
  <c r="R788" i="33"/>
  <c r="K788" i="33"/>
  <c r="F788" i="33"/>
  <c r="H788" i="33" s="1"/>
  <c r="V786" i="33"/>
  <c r="T786" i="33"/>
  <c r="X786" i="33" s="1"/>
  <c r="S786" i="33"/>
  <c r="R786" i="33"/>
  <c r="K786" i="33"/>
  <c r="F786" i="33"/>
  <c r="H786" i="33" s="1"/>
  <c r="V771" i="33"/>
  <c r="T771" i="33"/>
  <c r="W771" i="33" s="1"/>
  <c r="S771" i="33"/>
  <c r="R771" i="33"/>
  <c r="K771" i="33"/>
  <c r="F771" i="33"/>
  <c r="I771" i="33" s="1"/>
  <c r="V769" i="33"/>
  <c r="T769" i="33"/>
  <c r="Z769" i="33" s="1"/>
  <c r="S769" i="33"/>
  <c r="R769" i="33"/>
  <c r="K769" i="33"/>
  <c r="F769" i="33"/>
  <c r="H769" i="33" s="1"/>
  <c r="V763" i="33"/>
  <c r="T763" i="33"/>
  <c r="X763" i="33" s="1"/>
  <c r="S763" i="33"/>
  <c r="R763" i="33"/>
  <c r="K763" i="33"/>
  <c r="F763" i="33"/>
  <c r="I763" i="33" s="1"/>
  <c r="V759" i="33"/>
  <c r="T759" i="33"/>
  <c r="W759" i="33" s="1"/>
  <c r="S759" i="33"/>
  <c r="R759" i="33"/>
  <c r="K759" i="33"/>
  <c r="F759" i="33"/>
  <c r="G759" i="33" s="1"/>
  <c r="V757" i="33"/>
  <c r="T757" i="33"/>
  <c r="Y757" i="33" s="1"/>
  <c r="S757" i="33"/>
  <c r="R757" i="33"/>
  <c r="K757" i="33"/>
  <c r="F757" i="33"/>
  <c r="H757" i="33" s="1"/>
  <c r="T755" i="33"/>
  <c r="Z755" i="33" s="1"/>
  <c r="V755" i="33"/>
  <c r="S755" i="33"/>
  <c r="R755" i="33"/>
  <c r="K755" i="33"/>
  <c r="F755" i="33"/>
  <c r="H755" i="33" s="1"/>
  <c r="V753" i="33"/>
  <c r="Y753" i="33"/>
  <c r="S753" i="33"/>
  <c r="R753" i="33"/>
  <c r="K753" i="33"/>
  <c r="F753" i="33"/>
  <c r="H753" i="33" s="1"/>
  <c r="V752" i="33"/>
  <c r="T752" i="33"/>
  <c r="Y752" i="33" s="1"/>
  <c r="S752" i="33"/>
  <c r="R752" i="33"/>
  <c r="K752" i="33"/>
  <c r="F752" i="33"/>
  <c r="G752" i="33" s="1"/>
  <c r="V750" i="33"/>
  <c r="T750" i="33"/>
  <c r="W750" i="33" s="1"/>
  <c r="S750" i="33"/>
  <c r="R750" i="33"/>
  <c r="K750" i="33"/>
  <c r="F750" i="33"/>
  <c r="H750" i="33" s="1"/>
  <c r="V748" i="33"/>
  <c r="T748" i="33"/>
  <c r="Z748" i="33" s="1"/>
  <c r="S748" i="33"/>
  <c r="R748" i="33"/>
  <c r="K748" i="33"/>
  <c r="F748" i="33"/>
  <c r="I748" i="33" s="1"/>
  <c r="V746" i="33"/>
  <c r="T746" i="33"/>
  <c r="Z746" i="33" s="1"/>
  <c r="S746" i="33"/>
  <c r="R746" i="33"/>
  <c r="K746" i="33"/>
  <c r="F746" i="33"/>
  <c r="I746" i="33" s="1"/>
  <c r="V744" i="33"/>
  <c r="T744" i="33"/>
  <c r="W744" i="33" s="1"/>
  <c r="S744" i="33"/>
  <c r="R744" i="33"/>
  <c r="K744" i="33"/>
  <c r="F744" i="33"/>
  <c r="I744" i="33" s="1"/>
  <c r="V742" i="33"/>
  <c r="T742" i="33"/>
  <c r="W742" i="33" s="1"/>
  <c r="S742" i="33"/>
  <c r="R742" i="33"/>
  <c r="K742" i="33"/>
  <c r="F742" i="33"/>
  <c r="G742" i="33" s="1"/>
  <c r="V740" i="33"/>
  <c r="T740" i="33"/>
  <c r="Y740" i="33" s="1"/>
  <c r="S740" i="33"/>
  <c r="R740" i="33"/>
  <c r="K740" i="33"/>
  <c r="F740" i="33"/>
  <c r="H740" i="33" s="1"/>
  <c r="W753" i="33"/>
  <c r="X753" i="33"/>
  <c r="Z753" i="33"/>
  <c r="V736" i="33"/>
  <c r="T736" i="33"/>
  <c r="Z736" i="33" s="1"/>
  <c r="S736" i="33"/>
  <c r="R736" i="33"/>
  <c r="K736" i="33"/>
  <c r="F736" i="33"/>
  <c r="I736" i="33" s="1"/>
  <c r="V730" i="33"/>
  <c r="T730" i="33"/>
  <c r="Z730" i="33" s="1"/>
  <c r="S730" i="33"/>
  <c r="R730" i="33"/>
  <c r="K730" i="33"/>
  <c r="F730" i="33"/>
  <c r="G730" i="33" s="1"/>
  <c r="V728" i="33"/>
  <c r="T728" i="33"/>
  <c r="X728" i="33" s="1"/>
  <c r="S728" i="33"/>
  <c r="R728" i="33"/>
  <c r="K728" i="33"/>
  <c r="F728" i="33"/>
  <c r="H728" i="33" s="1"/>
  <c r="V727" i="33"/>
  <c r="T727" i="33"/>
  <c r="Y727" i="33" s="1"/>
  <c r="S727" i="33"/>
  <c r="R727" i="33"/>
  <c r="K727" i="33"/>
  <c r="F727" i="33"/>
  <c r="G727" i="33" s="1"/>
  <c r="V725" i="33"/>
  <c r="T725" i="33"/>
  <c r="W725" i="33" s="1"/>
  <c r="S725" i="33"/>
  <c r="R725" i="33"/>
  <c r="K725" i="33"/>
  <c r="F725" i="33"/>
  <c r="H725" i="33" s="1"/>
  <c r="V723" i="33"/>
  <c r="T723" i="33"/>
  <c r="X723" i="33" s="1"/>
  <c r="S723" i="33"/>
  <c r="R723" i="33"/>
  <c r="K723" i="33"/>
  <c r="F723" i="33"/>
  <c r="G723" i="33" s="1"/>
  <c r="V721" i="33"/>
  <c r="T721" i="33"/>
  <c r="Y721" i="33" s="1"/>
  <c r="S721" i="33"/>
  <c r="R721" i="33"/>
  <c r="K721" i="33"/>
  <c r="F721" i="33"/>
  <c r="H721" i="33" s="1"/>
  <c r="V719" i="33"/>
  <c r="T719" i="33"/>
  <c r="W719" i="33" s="1"/>
  <c r="S719" i="33"/>
  <c r="R719" i="33"/>
  <c r="K719" i="33"/>
  <c r="F719" i="33"/>
  <c r="I719" i="33" s="1"/>
  <c r="V717" i="33"/>
  <c r="T717" i="33"/>
  <c r="W717" i="33" s="1"/>
  <c r="S717" i="33"/>
  <c r="R717" i="33"/>
  <c r="K717" i="33"/>
  <c r="F717" i="33"/>
  <c r="H717" i="33" s="1"/>
  <c r="V715" i="33"/>
  <c r="T715" i="33"/>
  <c r="W715" i="33" s="1"/>
  <c r="S715" i="33"/>
  <c r="R715" i="33"/>
  <c r="K715" i="33"/>
  <c r="F715" i="33"/>
  <c r="I715" i="33" s="1"/>
  <c r="V714" i="33"/>
  <c r="T714" i="33"/>
  <c r="X714" i="33" s="1"/>
  <c r="S714" i="33"/>
  <c r="R714" i="33"/>
  <c r="K714" i="33"/>
  <c r="F714" i="33"/>
  <c r="G714" i="33" s="1"/>
  <c r="V712" i="33"/>
  <c r="T712" i="33"/>
  <c r="W712" i="33" s="1"/>
  <c r="S712" i="33"/>
  <c r="R712" i="33"/>
  <c r="K712" i="33"/>
  <c r="F712" i="33"/>
  <c r="G712" i="33" s="1"/>
  <c r="V710" i="33"/>
  <c r="T710" i="33"/>
  <c r="W710" i="33" s="1"/>
  <c r="S710" i="33"/>
  <c r="R710" i="33"/>
  <c r="K710" i="33"/>
  <c r="F710" i="33"/>
  <c r="H710" i="33" s="1"/>
  <c r="V708" i="33"/>
  <c r="T708" i="33"/>
  <c r="X708" i="33" s="1"/>
  <c r="S708" i="33"/>
  <c r="R708" i="33"/>
  <c r="K708" i="33"/>
  <c r="F708" i="33"/>
  <c r="G708" i="33" s="1"/>
  <c r="V707" i="33"/>
  <c r="T707" i="33"/>
  <c r="W707" i="33" s="1"/>
  <c r="S707" i="33"/>
  <c r="R707" i="33"/>
  <c r="K707" i="33"/>
  <c r="F707" i="33"/>
  <c r="I707" i="33" s="1"/>
  <c r="V705" i="33"/>
  <c r="T705" i="33"/>
  <c r="W705" i="33" s="1"/>
  <c r="S705" i="33"/>
  <c r="R705" i="33"/>
  <c r="K705" i="33"/>
  <c r="F705" i="33"/>
  <c r="H705" i="33" s="1"/>
  <c r="V703" i="33"/>
  <c r="T703" i="33"/>
  <c r="X703" i="33" s="1"/>
  <c r="S703" i="33"/>
  <c r="R703" i="33"/>
  <c r="K703" i="33"/>
  <c r="F703" i="33"/>
  <c r="H703" i="33" s="1"/>
  <c r="V761" i="33"/>
  <c r="T761" i="33"/>
  <c r="Z761" i="33" s="1"/>
  <c r="S761" i="33"/>
  <c r="R761" i="33"/>
  <c r="K761" i="33"/>
  <c r="F761" i="33"/>
  <c r="H761" i="33" s="1"/>
  <c r="V682" i="33"/>
  <c r="T682" i="33"/>
  <c r="Y682" i="33" s="1"/>
  <c r="S682" i="33"/>
  <c r="R682" i="33"/>
  <c r="K682" i="33"/>
  <c r="F682" i="33"/>
  <c r="G682" i="33" s="1"/>
  <c r="V689" i="33"/>
  <c r="T689" i="33"/>
  <c r="Y689" i="33" s="1"/>
  <c r="S689" i="33"/>
  <c r="R689" i="33"/>
  <c r="K689" i="33"/>
  <c r="F689" i="33"/>
  <c r="H689" i="33" s="1"/>
  <c r="V686" i="33"/>
  <c r="T686" i="33"/>
  <c r="Y686" i="33" s="1"/>
  <c r="S686" i="33"/>
  <c r="R686" i="33"/>
  <c r="K686" i="33"/>
  <c r="F686" i="33"/>
  <c r="I686" i="33" s="1"/>
  <c r="V684" i="33"/>
  <c r="T684" i="33"/>
  <c r="Z684" i="33" s="1"/>
  <c r="S684" i="33"/>
  <c r="R684" i="33"/>
  <c r="K684" i="33"/>
  <c r="F684" i="33"/>
  <c r="G684" i="33" s="1"/>
  <c r="V680" i="33"/>
  <c r="T680" i="33"/>
  <c r="Y680" i="33" s="1"/>
  <c r="S680" i="33"/>
  <c r="R680" i="33"/>
  <c r="K680" i="33"/>
  <c r="F680" i="33"/>
  <c r="AE494" i="35"/>
  <c r="Y494" i="35"/>
  <c r="X494" i="35"/>
  <c r="U494" i="35"/>
  <c r="S494" i="35"/>
  <c r="R494" i="35"/>
  <c r="Q494" i="35"/>
  <c r="K494" i="35"/>
  <c r="F494" i="35"/>
  <c r="G494" i="35" s="1"/>
  <c r="AE492" i="35"/>
  <c r="Y492" i="35"/>
  <c r="X492" i="35"/>
  <c r="U492" i="35"/>
  <c r="S492" i="35"/>
  <c r="R492" i="35"/>
  <c r="Q492" i="35"/>
  <c r="K492" i="35"/>
  <c r="F492" i="35"/>
  <c r="G492" i="35" s="1"/>
  <c r="V669" i="33"/>
  <c r="T669" i="33"/>
  <c r="S669" i="33"/>
  <c r="R669" i="33"/>
  <c r="K669" i="33"/>
  <c r="F669" i="33"/>
  <c r="I669" i="33" s="1"/>
  <c r="V674" i="33"/>
  <c r="T674" i="33"/>
  <c r="S674" i="33"/>
  <c r="R674" i="33"/>
  <c r="K674" i="33"/>
  <c r="F674" i="33"/>
  <c r="H674" i="33" s="1"/>
  <c r="V672" i="33"/>
  <c r="T672" i="33"/>
  <c r="Z672" i="33" s="1"/>
  <c r="S672" i="33"/>
  <c r="R672" i="33"/>
  <c r="K672" i="33"/>
  <c r="F672" i="33"/>
  <c r="H672" i="33" s="1"/>
  <c r="V671" i="33"/>
  <c r="T671" i="33"/>
  <c r="Z671" i="33" s="1"/>
  <c r="S671" i="33"/>
  <c r="R671" i="33"/>
  <c r="K671" i="33"/>
  <c r="F671" i="33"/>
  <c r="I671" i="33" s="1"/>
  <c r="V667" i="33"/>
  <c r="T667" i="33"/>
  <c r="Y667" i="33" s="1"/>
  <c r="S667" i="33"/>
  <c r="R667" i="33"/>
  <c r="K667" i="33"/>
  <c r="F667" i="33"/>
  <c r="G667" i="33" s="1"/>
  <c r="V665" i="33"/>
  <c r="T665" i="33"/>
  <c r="Z665" i="33" s="1"/>
  <c r="S665" i="33"/>
  <c r="R665" i="33"/>
  <c r="K665" i="33"/>
  <c r="F665" i="33"/>
  <c r="H665" i="33" s="1"/>
  <c r="V663" i="33"/>
  <c r="T663" i="33"/>
  <c r="Z663" i="33" s="1"/>
  <c r="S663" i="33"/>
  <c r="R663" i="33"/>
  <c r="K663" i="33"/>
  <c r="F663" i="33"/>
  <c r="G663" i="33" s="1"/>
  <c r="V661" i="33"/>
  <c r="T661" i="33"/>
  <c r="Z661" i="33" s="1"/>
  <c r="S661" i="33"/>
  <c r="R661" i="33"/>
  <c r="K661" i="33"/>
  <c r="F661" i="33"/>
  <c r="I661" i="33" s="1"/>
  <c r="V659" i="33"/>
  <c r="T659" i="33"/>
  <c r="S659" i="33"/>
  <c r="R659" i="33"/>
  <c r="K659" i="33"/>
  <c r="F659" i="33"/>
  <c r="V657" i="33"/>
  <c r="T657" i="33"/>
  <c r="Y657" i="33" s="1"/>
  <c r="S657" i="33"/>
  <c r="R657" i="33"/>
  <c r="K657" i="33"/>
  <c r="F657" i="33"/>
  <c r="I657" i="33" s="1"/>
  <c r="V655" i="33"/>
  <c r="T655" i="33"/>
  <c r="Z655" i="33" s="1"/>
  <c r="S655" i="33"/>
  <c r="R655" i="33"/>
  <c r="K655" i="33"/>
  <c r="F655" i="33"/>
  <c r="G655" i="33" s="1"/>
  <c r="V653" i="33"/>
  <c r="T653" i="33"/>
  <c r="Y653" i="33" s="1"/>
  <c r="S653" i="33"/>
  <c r="R653" i="33"/>
  <c r="K653" i="33"/>
  <c r="F653" i="33"/>
  <c r="I653" i="33" s="1"/>
  <c r="AE506" i="35"/>
  <c r="Y506" i="35"/>
  <c r="X506" i="35"/>
  <c r="U506" i="35"/>
  <c r="S506" i="35"/>
  <c r="R506" i="35"/>
  <c r="Q506" i="35"/>
  <c r="K506" i="35"/>
  <c r="F506" i="35"/>
  <c r="AE508" i="35"/>
  <c r="Y508" i="35"/>
  <c r="X508" i="35"/>
  <c r="U508" i="35"/>
  <c r="S508" i="35"/>
  <c r="R508" i="35"/>
  <c r="Q508" i="35"/>
  <c r="K508" i="35"/>
  <c r="F508" i="35"/>
  <c r="H508" i="35" s="1"/>
  <c r="AE502" i="35"/>
  <c r="Y502" i="35"/>
  <c r="X502" i="35"/>
  <c r="U502" i="35"/>
  <c r="S502" i="35"/>
  <c r="R502" i="35"/>
  <c r="Q502" i="35"/>
  <c r="K502" i="35"/>
  <c r="F502" i="35"/>
  <c r="G502" i="35" s="1"/>
  <c r="AE500" i="35"/>
  <c r="Y500" i="35"/>
  <c r="X500" i="35"/>
  <c r="U500" i="35"/>
  <c r="S500" i="35"/>
  <c r="R500" i="35"/>
  <c r="Q500" i="35"/>
  <c r="K500" i="35"/>
  <c r="F500" i="35"/>
  <c r="G500" i="35" s="1"/>
  <c r="AE486" i="35"/>
  <c r="Y486" i="35"/>
  <c r="X486" i="35"/>
  <c r="U486" i="35"/>
  <c r="S486" i="35"/>
  <c r="R486" i="35"/>
  <c r="Q486" i="35"/>
  <c r="K486" i="35"/>
  <c r="F486" i="35"/>
  <c r="AE484" i="35"/>
  <c r="Y484" i="35"/>
  <c r="X484" i="35"/>
  <c r="U484" i="35"/>
  <c r="S484" i="35"/>
  <c r="R484" i="35"/>
  <c r="Q484" i="35"/>
  <c r="K484" i="35"/>
  <c r="F484" i="35"/>
  <c r="I484" i="35" s="1"/>
  <c r="AE468" i="35"/>
  <c r="Y468" i="35"/>
  <c r="X468" i="35"/>
  <c r="U468" i="35"/>
  <c r="S468" i="35"/>
  <c r="R468" i="35"/>
  <c r="Q468" i="35"/>
  <c r="K468" i="35"/>
  <c r="F468" i="35"/>
  <c r="I468" i="35" s="1"/>
  <c r="AE467" i="35"/>
  <c r="Y467" i="35"/>
  <c r="X467" i="35"/>
  <c r="U467" i="35"/>
  <c r="S467" i="35"/>
  <c r="R467" i="35"/>
  <c r="Q467" i="35"/>
  <c r="K467" i="35"/>
  <c r="F467" i="35"/>
  <c r="AE463" i="35"/>
  <c r="Y463" i="35"/>
  <c r="X463" i="35"/>
  <c r="U463" i="35"/>
  <c r="S463" i="35"/>
  <c r="R463" i="35"/>
  <c r="Q463" i="35"/>
  <c r="K463" i="35"/>
  <c r="F463" i="35"/>
  <c r="G463" i="35" s="1"/>
  <c r="V637" i="33"/>
  <c r="T637" i="33"/>
  <c r="Y637" i="33" s="1"/>
  <c r="S637" i="33"/>
  <c r="R637" i="33"/>
  <c r="K637" i="33"/>
  <c r="F637" i="33"/>
  <c r="V639" i="33"/>
  <c r="T639" i="33"/>
  <c r="Y639" i="33" s="1"/>
  <c r="S639" i="33"/>
  <c r="R639" i="33"/>
  <c r="K639" i="33"/>
  <c r="F639" i="33"/>
  <c r="I639" i="33" s="1"/>
  <c r="V643" i="33"/>
  <c r="T643" i="33"/>
  <c r="Z643" i="33" s="1"/>
  <c r="S643" i="33"/>
  <c r="R643" i="33"/>
  <c r="K643" i="33"/>
  <c r="F643" i="33"/>
  <c r="H643" i="33" s="1"/>
  <c r="V629" i="33"/>
  <c r="T629" i="33"/>
  <c r="W629" i="33" s="1"/>
  <c r="S629" i="33"/>
  <c r="R629" i="33"/>
  <c r="K629" i="33"/>
  <c r="F629" i="33"/>
  <c r="H629" i="33" s="1"/>
  <c r="AE504" i="35"/>
  <c r="Y504" i="35"/>
  <c r="X504" i="35"/>
  <c r="U504" i="35"/>
  <c r="S504" i="35"/>
  <c r="R504" i="35"/>
  <c r="Q504" i="35"/>
  <c r="K504" i="35"/>
  <c r="F504" i="35"/>
  <c r="AE475" i="35"/>
  <c r="Y475" i="35"/>
  <c r="X475" i="35"/>
  <c r="U475" i="35"/>
  <c r="S475" i="35"/>
  <c r="R475" i="35"/>
  <c r="Q475" i="35"/>
  <c r="K475" i="35"/>
  <c r="F475" i="35"/>
  <c r="AE473" i="35"/>
  <c r="Y473" i="35"/>
  <c r="X473" i="35"/>
  <c r="U473" i="35"/>
  <c r="S473" i="35"/>
  <c r="R473" i="35"/>
  <c r="Q473" i="35"/>
  <c r="K473" i="35"/>
  <c r="F473" i="35"/>
  <c r="AE465" i="35"/>
  <c r="Y465" i="35"/>
  <c r="X465" i="35"/>
  <c r="U465" i="35"/>
  <c r="S465" i="35"/>
  <c r="R465" i="35"/>
  <c r="Q465" i="35"/>
  <c r="K465" i="35"/>
  <c r="F465" i="35"/>
  <c r="AE498" i="35"/>
  <c r="Y498" i="35"/>
  <c r="X498" i="35"/>
  <c r="U498" i="35"/>
  <c r="S498" i="35"/>
  <c r="R498" i="35"/>
  <c r="Q498" i="35"/>
  <c r="K498" i="35"/>
  <c r="F498" i="35"/>
  <c r="G498" i="35" s="1"/>
  <c r="AE496" i="35"/>
  <c r="Y496" i="35"/>
  <c r="X496" i="35"/>
  <c r="U496" i="35"/>
  <c r="S496" i="35"/>
  <c r="R496" i="35"/>
  <c r="Q496" i="35"/>
  <c r="K496" i="35"/>
  <c r="F496" i="35"/>
  <c r="I496" i="35" s="1"/>
  <c r="AE482" i="35"/>
  <c r="Y482" i="35"/>
  <c r="X482" i="35"/>
  <c r="U482" i="35"/>
  <c r="S482" i="35"/>
  <c r="R482" i="35"/>
  <c r="Q482" i="35"/>
  <c r="K482" i="35"/>
  <c r="F482" i="35"/>
  <c r="H482" i="35" s="1"/>
  <c r="AE481" i="35"/>
  <c r="Y481" i="35"/>
  <c r="X481" i="35"/>
  <c r="U481" i="35"/>
  <c r="S481" i="35"/>
  <c r="R481" i="35"/>
  <c r="Q481" i="35"/>
  <c r="K481" i="35"/>
  <c r="F481" i="35"/>
  <c r="H481" i="35" s="1"/>
  <c r="AE479" i="35"/>
  <c r="Y479" i="35"/>
  <c r="X479" i="35"/>
  <c r="U479" i="35"/>
  <c r="S479" i="35"/>
  <c r="R479" i="35"/>
  <c r="Q479" i="35"/>
  <c r="K479" i="35"/>
  <c r="F479" i="35"/>
  <c r="AE477" i="35"/>
  <c r="Y477" i="35"/>
  <c r="X477" i="35"/>
  <c r="U477" i="35"/>
  <c r="S477" i="35"/>
  <c r="R477" i="35"/>
  <c r="Q477" i="35"/>
  <c r="K477" i="35"/>
  <c r="F477" i="35"/>
  <c r="I477" i="35" s="1"/>
  <c r="Y447" i="35"/>
  <c r="X447" i="35"/>
  <c r="W447" i="35"/>
  <c r="V447" i="35"/>
  <c r="U447" i="35"/>
  <c r="S447" i="35"/>
  <c r="R447" i="35"/>
  <c r="Q447" i="35"/>
  <c r="K447" i="35"/>
  <c r="F447" i="35"/>
  <c r="I447" i="35" s="1"/>
  <c r="Y445" i="35"/>
  <c r="X445" i="35"/>
  <c r="W445" i="35"/>
  <c r="V445" i="35"/>
  <c r="U445" i="35"/>
  <c r="S445" i="35"/>
  <c r="R445" i="35"/>
  <c r="Q445" i="35"/>
  <c r="K445" i="35"/>
  <c r="F445" i="35"/>
  <c r="I445" i="35" s="1"/>
  <c r="Y443" i="35"/>
  <c r="X443" i="35"/>
  <c r="W443" i="35"/>
  <c r="V443" i="35"/>
  <c r="U443" i="35"/>
  <c r="S443" i="35"/>
  <c r="R443" i="35"/>
  <c r="Q443" i="35"/>
  <c r="K443" i="35"/>
  <c r="F443" i="35"/>
  <c r="I443" i="35" s="1"/>
  <c r="V651" i="33"/>
  <c r="T651" i="33"/>
  <c r="Y651" i="33" s="1"/>
  <c r="S651" i="33"/>
  <c r="R651" i="33"/>
  <c r="K651" i="33"/>
  <c r="F651" i="33"/>
  <c r="I651" i="33" s="1"/>
  <c r="Z650" i="33"/>
  <c r="Y650" i="33"/>
  <c r="X650" i="33"/>
  <c r="W650" i="33"/>
  <c r="V650" i="33"/>
  <c r="T650" i="33"/>
  <c r="S650" i="33"/>
  <c r="R650" i="33"/>
  <c r="L650" i="33"/>
  <c r="K650" i="33"/>
  <c r="I650" i="33"/>
  <c r="H650" i="33"/>
  <c r="G650" i="33"/>
  <c r="F650" i="33"/>
  <c r="V649" i="33"/>
  <c r="T649" i="33"/>
  <c r="S649" i="33"/>
  <c r="R649" i="33"/>
  <c r="K649" i="33"/>
  <c r="F649" i="33"/>
  <c r="H649" i="33" s="1"/>
  <c r="V627" i="33"/>
  <c r="T627" i="33"/>
  <c r="W627" i="33" s="1"/>
  <c r="S627" i="33"/>
  <c r="R627" i="33"/>
  <c r="K627" i="33"/>
  <c r="F627" i="33"/>
  <c r="G627" i="33" s="1"/>
  <c r="V625" i="33"/>
  <c r="T625" i="33"/>
  <c r="X625" i="33" s="1"/>
  <c r="S625" i="33"/>
  <c r="R625" i="33"/>
  <c r="K625" i="33"/>
  <c r="F625" i="33"/>
  <c r="V619" i="33"/>
  <c r="T619" i="33"/>
  <c r="Z619" i="33" s="1"/>
  <c r="S619" i="33"/>
  <c r="R619" i="33"/>
  <c r="K619" i="33"/>
  <c r="F619" i="33"/>
  <c r="G619" i="33" s="1"/>
  <c r="V623" i="33"/>
  <c r="T623" i="33"/>
  <c r="W623" i="33" s="1"/>
  <c r="S623" i="33"/>
  <c r="R623" i="33"/>
  <c r="K623" i="33"/>
  <c r="F623" i="33"/>
  <c r="H623" i="33" s="1"/>
  <c r="V621" i="33"/>
  <c r="T621" i="33"/>
  <c r="W621" i="33" s="1"/>
  <c r="S621" i="33"/>
  <c r="R621" i="33"/>
  <c r="K621" i="33"/>
  <c r="F621" i="33"/>
  <c r="H621" i="33" s="1"/>
  <c r="V617" i="33"/>
  <c r="T617" i="33"/>
  <c r="Z617" i="33" s="1"/>
  <c r="S617" i="33"/>
  <c r="R617" i="33"/>
  <c r="K617" i="33"/>
  <c r="F617" i="33"/>
  <c r="V615" i="33"/>
  <c r="T615" i="33"/>
  <c r="X615" i="33" s="1"/>
  <c r="S615" i="33"/>
  <c r="R615" i="33"/>
  <c r="K615" i="33"/>
  <c r="F615" i="33"/>
  <c r="G615" i="33" s="1"/>
  <c r="V614" i="33"/>
  <c r="T614" i="33"/>
  <c r="Y614" i="33" s="1"/>
  <c r="S614" i="33"/>
  <c r="R614" i="33"/>
  <c r="K614" i="33"/>
  <c r="F614" i="33"/>
  <c r="G614" i="33" s="1"/>
  <c r="V612" i="33"/>
  <c r="T612" i="33"/>
  <c r="X612" i="33" s="1"/>
  <c r="S612" i="33"/>
  <c r="R612" i="33"/>
  <c r="K612" i="33"/>
  <c r="F612" i="33"/>
  <c r="G612" i="33" s="1"/>
  <c r="V610" i="33"/>
  <c r="T610" i="33"/>
  <c r="Y610" i="33" s="1"/>
  <c r="S610" i="33"/>
  <c r="R610" i="33"/>
  <c r="K610" i="33"/>
  <c r="F610" i="33"/>
  <c r="T607" i="33"/>
  <c r="X607" i="33" s="1"/>
  <c r="V608" i="33"/>
  <c r="T608" i="33"/>
  <c r="X608" i="33" s="1"/>
  <c r="S608" i="33"/>
  <c r="R608" i="33"/>
  <c r="K608" i="33"/>
  <c r="F608" i="33"/>
  <c r="I608" i="33" s="1"/>
  <c r="V607" i="33"/>
  <c r="S607" i="33"/>
  <c r="R607" i="33"/>
  <c r="K607" i="33"/>
  <c r="F607" i="33"/>
  <c r="I607" i="33" s="1"/>
  <c r="V605" i="33"/>
  <c r="T605" i="33"/>
  <c r="W605" i="33" s="1"/>
  <c r="S605" i="33"/>
  <c r="R605" i="33"/>
  <c r="K605" i="33"/>
  <c r="F605" i="33"/>
  <c r="G605" i="33" s="1"/>
  <c r="V603" i="33"/>
  <c r="T603" i="33"/>
  <c r="Y603" i="33" s="1"/>
  <c r="S603" i="33"/>
  <c r="R603" i="33"/>
  <c r="K603" i="33"/>
  <c r="F603" i="33"/>
  <c r="V601" i="33"/>
  <c r="T601" i="33"/>
  <c r="W601" i="33" s="1"/>
  <c r="S601" i="33"/>
  <c r="R601" i="33"/>
  <c r="K601" i="33"/>
  <c r="F601" i="33"/>
  <c r="G601" i="33" s="1"/>
  <c r="V599" i="33"/>
  <c r="T599" i="33"/>
  <c r="W599" i="33" s="1"/>
  <c r="S599" i="33"/>
  <c r="R599" i="33"/>
  <c r="K599" i="33"/>
  <c r="F599" i="33"/>
  <c r="G599" i="33" s="1"/>
  <c r="Y428" i="35"/>
  <c r="X428" i="35"/>
  <c r="W428" i="35"/>
  <c r="V428" i="35"/>
  <c r="U428" i="35"/>
  <c r="S428" i="35"/>
  <c r="R428" i="35"/>
  <c r="Q428" i="35"/>
  <c r="L428" i="35"/>
  <c r="K428" i="35"/>
  <c r="I428" i="35"/>
  <c r="H428" i="35"/>
  <c r="G428" i="35"/>
  <c r="F428" i="35"/>
  <c r="AE427" i="35"/>
  <c r="Y427" i="35"/>
  <c r="X427" i="35"/>
  <c r="U427" i="35"/>
  <c r="S427" i="35"/>
  <c r="R427" i="35"/>
  <c r="Q427" i="35"/>
  <c r="K427" i="35"/>
  <c r="F427" i="35"/>
  <c r="Y426" i="35"/>
  <c r="X426" i="35"/>
  <c r="W426" i="35"/>
  <c r="V426" i="35"/>
  <c r="U426" i="35"/>
  <c r="S426" i="35"/>
  <c r="R426" i="35"/>
  <c r="Q426" i="35"/>
  <c r="L426" i="35"/>
  <c r="K426" i="35"/>
  <c r="I426" i="35"/>
  <c r="H426" i="35"/>
  <c r="G426" i="35"/>
  <c r="F426" i="35"/>
  <c r="AE425" i="35"/>
  <c r="Y425" i="35"/>
  <c r="X425" i="35"/>
  <c r="U425" i="35"/>
  <c r="S425" i="35"/>
  <c r="R425" i="35"/>
  <c r="Q425" i="35"/>
  <c r="K425" i="35"/>
  <c r="F425" i="35"/>
  <c r="Y424" i="35"/>
  <c r="X424" i="35"/>
  <c r="W424" i="35"/>
  <c r="V424" i="35"/>
  <c r="U424" i="35"/>
  <c r="S424" i="35"/>
  <c r="R424" i="35"/>
  <c r="Q424" i="35"/>
  <c r="L424" i="35"/>
  <c r="K424" i="35"/>
  <c r="H424" i="35"/>
  <c r="G424" i="35"/>
  <c r="F424" i="35"/>
  <c r="AE423" i="35"/>
  <c r="Y423" i="35"/>
  <c r="X423" i="35"/>
  <c r="U423" i="35"/>
  <c r="S423" i="35"/>
  <c r="R423" i="35"/>
  <c r="Q423" i="35"/>
  <c r="K423" i="35"/>
  <c r="F423" i="35"/>
  <c r="Y421" i="35"/>
  <c r="X421" i="35"/>
  <c r="U421" i="35"/>
  <c r="S421" i="35"/>
  <c r="R421" i="35"/>
  <c r="Q421" i="35"/>
  <c r="K421" i="35"/>
  <c r="F421" i="35"/>
  <c r="AE420" i="35"/>
  <c r="Y420" i="35"/>
  <c r="X420" i="35"/>
  <c r="U420" i="35"/>
  <c r="S420" i="35"/>
  <c r="R420" i="35"/>
  <c r="Q420" i="35"/>
  <c r="K420" i="35"/>
  <c r="F420" i="35"/>
  <c r="I420" i="35" s="1"/>
  <c r="Y419" i="35"/>
  <c r="X419" i="35"/>
  <c r="W419" i="35"/>
  <c r="V419" i="35"/>
  <c r="U419" i="35"/>
  <c r="S419" i="35"/>
  <c r="R419" i="35"/>
  <c r="Q419" i="35"/>
  <c r="L419" i="35"/>
  <c r="K419" i="35"/>
  <c r="I419" i="35"/>
  <c r="H419" i="35"/>
  <c r="G419" i="35"/>
  <c r="F419" i="35"/>
  <c r="AE418" i="35"/>
  <c r="Y418" i="35"/>
  <c r="X418" i="35"/>
  <c r="U418" i="35"/>
  <c r="S418" i="35"/>
  <c r="R418" i="35"/>
  <c r="Q418" i="35"/>
  <c r="K418" i="35"/>
  <c r="F418" i="35"/>
  <c r="I418" i="35" s="1"/>
  <c r="AE402" i="35"/>
  <c r="Y402" i="35"/>
  <c r="X402" i="35"/>
  <c r="U402" i="35"/>
  <c r="S402" i="35"/>
  <c r="R402" i="35"/>
  <c r="Q402" i="35"/>
  <c r="K402" i="35"/>
  <c r="F402" i="35"/>
  <c r="H402" i="35" s="1"/>
  <c r="Y401" i="35"/>
  <c r="X401" i="35"/>
  <c r="W401" i="35"/>
  <c r="V401" i="35"/>
  <c r="U401" i="35"/>
  <c r="S401" i="35"/>
  <c r="R401" i="35"/>
  <c r="Q401" i="35"/>
  <c r="L401" i="35"/>
  <c r="K401" i="35"/>
  <c r="I401" i="35"/>
  <c r="H401" i="35"/>
  <c r="G401" i="35"/>
  <c r="F401" i="35"/>
  <c r="AE400" i="35"/>
  <c r="Y400" i="35"/>
  <c r="X400" i="35"/>
  <c r="U400" i="35"/>
  <c r="S400" i="35"/>
  <c r="R400" i="35"/>
  <c r="Q400" i="35"/>
  <c r="K400" i="35"/>
  <c r="F400" i="35"/>
  <c r="G400" i="35" s="1"/>
  <c r="Y399" i="35"/>
  <c r="X399" i="35"/>
  <c r="W399" i="35"/>
  <c r="V399" i="35"/>
  <c r="U399" i="35"/>
  <c r="S399" i="35"/>
  <c r="R399" i="35"/>
  <c r="Q399" i="35"/>
  <c r="L399" i="35"/>
  <c r="K399" i="35"/>
  <c r="I399" i="35"/>
  <c r="H399" i="35"/>
  <c r="G399" i="35"/>
  <c r="F399" i="35"/>
  <c r="AE398" i="35"/>
  <c r="Y398" i="35"/>
  <c r="X398" i="35"/>
  <c r="U398" i="35"/>
  <c r="S398" i="35"/>
  <c r="R398" i="35"/>
  <c r="Q398" i="35"/>
  <c r="K398" i="35"/>
  <c r="F398" i="35"/>
  <c r="Z573" i="33"/>
  <c r="Y573" i="33"/>
  <c r="X573" i="33"/>
  <c r="W573" i="33"/>
  <c r="V573" i="33"/>
  <c r="T573" i="33"/>
  <c r="S573" i="33"/>
  <c r="R573" i="33"/>
  <c r="L573" i="33"/>
  <c r="K573" i="33"/>
  <c r="I573" i="33"/>
  <c r="H573" i="33"/>
  <c r="G573" i="33"/>
  <c r="F573" i="33"/>
  <c r="V572" i="33"/>
  <c r="T572" i="33"/>
  <c r="W572" i="33" s="1"/>
  <c r="S572" i="33"/>
  <c r="R572" i="33"/>
  <c r="K572" i="33"/>
  <c r="F572" i="33"/>
  <c r="H572" i="33" s="1"/>
  <c r="Z571" i="33"/>
  <c r="Y571" i="33"/>
  <c r="X571" i="33"/>
  <c r="W571" i="33"/>
  <c r="V571" i="33"/>
  <c r="T571" i="33"/>
  <c r="S571" i="33"/>
  <c r="R571" i="33"/>
  <c r="L571" i="33"/>
  <c r="K571" i="33"/>
  <c r="I571" i="33"/>
  <c r="H571" i="33"/>
  <c r="G571" i="33"/>
  <c r="F571" i="33"/>
  <c r="V570" i="33"/>
  <c r="T570" i="33"/>
  <c r="X570" i="33" s="1"/>
  <c r="S570" i="33"/>
  <c r="R570" i="33"/>
  <c r="K570" i="33"/>
  <c r="F570" i="33"/>
  <c r="H570" i="33" s="1"/>
  <c r="Z569" i="33"/>
  <c r="Y569" i="33"/>
  <c r="X569" i="33"/>
  <c r="W569" i="33"/>
  <c r="V569" i="33"/>
  <c r="T569" i="33"/>
  <c r="S569" i="33"/>
  <c r="R569" i="33"/>
  <c r="L569" i="33"/>
  <c r="K569" i="33"/>
  <c r="I569" i="33"/>
  <c r="H569" i="33"/>
  <c r="G569" i="33"/>
  <c r="F569" i="33"/>
  <c r="V568" i="33"/>
  <c r="T568" i="33"/>
  <c r="X568" i="33" s="1"/>
  <c r="S568" i="33"/>
  <c r="R568" i="33"/>
  <c r="K568" i="33"/>
  <c r="F568" i="33"/>
  <c r="H568" i="33" s="1"/>
  <c r="Z567" i="33"/>
  <c r="Y567" i="33"/>
  <c r="X567" i="33"/>
  <c r="W567" i="33"/>
  <c r="V567" i="33"/>
  <c r="T567" i="33"/>
  <c r="S567" i="33"/>
  <c r="R567" i="33"/>
  <c r="L567" i="33"/>
  <c r="K567" i="33"/>
  <c r="I567" i="33"/>
  <c r="H567" i="33"/>
  <c r="G567" i="33"/>
  <c r="F567" i="33"/>
  <c r="V566" i="33"/>
  <c r="T566" i="33"/>
  <c r="W566" i="33" s="1"/>
  <c r="S566" i="33"/>
  <c r="R566" i="33"/>
  <c r="K566" i="33"/>
  <c r="F566" i="33"/>
  <c r="I566" i="33" s="1"/>
  <c r="AE410" i="35"/>
  <c r="Y411" i="35"/>
  <c r="X411" i="35"/>
  <c r="W411" i="35"/>
  <c r="V411" i="35"/>
  <c r="U411" i="35"/>
  <c r="S411" i="35"/>
  <c r="R411" i="35"/>
  <c r="Q411" i="35"/>
  <c r="L411" i="35"/>
  <c r="K411" i="35"/>
  <c r="H411" i="35"/>
  <c r="G411" i="35"/>
  <c r="F411" i="35"/>
  <c r="Y410" i="35"/>
  <c r="X410" i="35"/>
  <c r="U410" i="35"/>
  <c r="S410" i="35"/>
  <c r="R410" i="35"/>
  <c r="Q410" i="35"/>
  <c r="K410" i="35"/>
  <c r="F410" i="35"/>
  <c r="Y405" i="35"/>
  <c r="X405" i="35"/>
  <c r="W405" i="35"/>
  <c r="V405" i="35"/>
  <c r="U405" i="35"/>
  <c r="S405" i="35"/>
  <c r="R405" i="35"/>
  <c r="Q405" i="35"/>
  <c r="L405" i="35"/>
  <c r="K405" i="35"/>
  <c r="I405" i="35"/>
  <c r="H405" i="35"/>
  <c r="G405" i="35"/>
  <c r="F405" i="35"/>
  <c r="AE404" i="35"/>
  <c r="Y404" i="35"/>
  <c r="X404" i="35"/>
  <c r="U404" i="35"/>
  <c r="S404" i="35"/>
  <c r="R404" i="35"/>
  <c r="Q404" i="35"/>
  <c r="K404" i="35"/>
  <c r="F404" i="35"/>
  <c r="Y409" i="35"/>
  <c r="X409" i="35"/>
  <c r="W409" i="35"/>
  <c r="V409" i="35"/>
  <c r="U409" i="35"/>
  <c r="S409" i="35"/>
  <c r="R409" i="35"/>
  <c r="Q409" i="35"/>
  <c r="L409" i="35"/>
  <c r="K409" i="35"/>
  <c r="I409" i="35"/>
  <c r="H409" i="35"/>
  <c r="G409" i="35"/>
  <c r="F409" i="35"/>
  <c r="AE408" i="35"/>
  <c r="Y408" i="35"/>
  <c r="X408" i="35"/>
  <c r="U408" i="35"/>
  <c r="S408" i="35"/>
  <c r="R408" i="35"/>
  <c r="Q408" i="35"/>
  <c r="K408" i="35"/>
  <c r="F408" i="35"/>
  <c r="Z543" i="33"/>
  <c r="Y543" i="33"/>
  <c r="X543" i="33"/>
  <c r="W543" i="33"/>
  <c r="V543" i="33"/>
  <c r="T543" i="33"/>
  <c r="S543" i="33"/>
  <c r="R543" i="33"/>
  <c r="L543" i="33"/>
  <c r="K543" i="33"/>
  <c r="I543" i="33"/>
  <c r="H543" i="33"/>
  <c r="G543" i="33"/>
  <c r="F543" i="33"/>
  <c r="V542" i="33"/>
  <c r="T542" i="33"/>
  <c r="W542" i="33" s="1"/>
  <c r="S542" i="33"/>
  <c r="R542" i="33"/>
  <c r="K542" i="33"/>
  <c r="F542" i="33"/>
  <c r="H542" i="33" s="1"/>
  <c r="Y386" i="35"/>
  <c r="X386" i="35"/>
  <c r="W386" i="35"/>
  <c r="V386" i="35"/>
  <c r="U386" i="35"/>
  <c r="S386" i="35"/>
  <c r="R386" i="35"/>
  <c r="Q386" i="35"/>
  <c r="K386" i="35"/>
  <c r="F386" i="35"/>
  <c r="H386" i="35" s="1"/>
  <c r="Z517" i="33"/>
  <c r="Y517" i="33"/>
  <c r="X517" i="33"/>
  <c r="W517" i="33"/>
  <c r="V517" i="33"/>
  <c r="T517" i="33"/>
  <c r="S517" i="33"/>
  <c r="R517" i="33"/>
  <c r="L517" i="33"/>
  <c r="K517" i="33"/>
  <c r="I517" i="33"/>
  <c r="H517" i="33"/>
  <c r="G517" i="33"/>
  <c r="F517" i="33"/>
  <c r="Z516" i="33"/>
  <c r="Y516" i="33"/>
  <c r="X516" i="33"/>
  <c r="W516" i="33"/>
  <c r="V516" i="33"/>
  <c r="S516" i="33"/>
  <c r="R516" i="33"/>
  <c r="K516" i="33"/>
  <c r="F516" i="33"/>
  <c r="G516" i="33" s="1"/>
  <c r="V515" i="33"/>
  <c r="T515" i="33"/>
  <c r="Y515" i="33" s="1"/>
  <c r="S515" i="33"/>
  <c r="R515" i="33"/>
  <c r="K515" i="33"/>
  <c r="F515" i="33"/>
  <c r="I515" i="33" s="1"/>
  <c r="AE394" i="35"/>
  <c r="Y362" i="35"/>
  <c r="X362" i="35"/>
  <c r="W362" i="35"/>
  <c r="V362" i="35"/>
  <c r="U362" i="35"/>
  <c r="S362" i="35"/>
  <c r="R362" i="35"/>
  <c r="Q362" i="35"/>
  <c r="K362" i="35"/>
  <c r="F362" i="35"/>
  <c r="I362" i="35" s="1"/>
  <c r="Z561" i="33"/>
  <c r="Y561" i="33"/>
  <c r="X561" i="33"/>
  <c r="W561" i="33"/>
  <c r="V561" i="33"/>
  <c r="T561" i="33"/>
  <c r="S561" i="33"/>
  <c r="R561" i="33"/>
  <c r="L561" i="33"/>
  <c r="K561" i="33"/>
  <c r="I561" i="33"/>
  <c r="H561" i="33"/>
  <c r="G561" i="33"/>
  <c r="F561" i="33"/>
  <c r="V560" i="33"/>
  <c r="T560" i="33"/>
  <c r="S560" i="33"/>
  <c r="R560" i="33"/>
  <c r="K560" i="33"/>
  <c r="F560" i="33"/>
  <c r="G560" i="33" s="1"/>
  <c r="AE412" i="35"/>
  <c r="AE406" i="35"/>
  <c r="AE392" i="35"/>
  <c r="AE390" i="35"/>
  <c r="V582" i="33"/>
  <c r="T582" i="33"/>
  <c r="Z582" i="33" s="1"/>
  <c r="S582" i="33"/>
  <c r="R582" i="33"/>
  <c r="K582" i="33"/>
  <c r="F582" i="33"/>
  <c r="I582" i="33" s="1"/>
  <c r="Y413" i="35"/>
  <c r="X413" i="35"/>
  <c r="W413" i="35"/>
  <c r="V413" i="35"/>
  <c r="U413" i="35"/>
  <c r="S413" i="35"/>
  <c r="R413" i="35"/>
  <c r="Q413" i="35"/>
  <c r="L413" i="35"/>
  <c r="K413" i="35"/>
  <c r="I413" i="35"/>
  <c r="H413" i="35"/>
  <c r="G413" i="35"/>
  <c r="F413" i="35"/>
  <c r="Y412" i="35"/>
  <c r="X412" i="35"/>
  <c r="U412" i="35"/>
  <c r="S412" i="35"/>
  <c r="R412" i="35"/>
  <c r="Q412" i="35"/>
  <c r="K412" i="35"/>
  <c r="F412" i="35"/>
  <c r="H412" i="35" s="1"/>
  <c r="S406" i="35"/>
  <c r="Y407" i="35"/>
  <c r="X407" i="35"/>
  <c r="W407" i="35"/>
  <c r="V407" i="35"/>
  <c r="U407" i="35"/>
  <c r="S407" i="35"/>
  <c r="R407" i="35"/>
  <c r="Q407" i="35"/>
  <c r="L407" i="35"/>
  <c r="K407" i="35"/>
  <c r="I407" i="35"/>
  <c r="H407" i="35"/>
  <c r="G407" i="35"/>
  <c r="F407" i="35"/>
  <c r="Y406" i="35"/>
  <c r="X406" i="35"/>
  <c r="U406" i="35"/>
  <c r="R406" i="35"/>
  <c r="Q406" i="35"/>
  <c r="K406" i="35"/>
  <c r="F406" i="35"/>
  <c r="H406" i="35" s="1"/>
  <c r="Y359" i="35"/>
  <c r="X359" i="35"/>
  <c r="W359" i="35"/>
  <c r="V359" i="35"/>
  <c r="U359" i="35"/>
  <c r="S359" i="35"/>
  <c r="R359" i="35"/>
  <c r="Q359" i="35"/>
  <c r="L359" i="35"/>
  <c r="K359" i="35"/>
  <c r="I359" i="35"/>
  <c r="H359" i="35"/>
  <c r="G359" i="35"/>
  <c r="F359" i="35"/>
  <c r="Y358" i="35"/>
  <c r="X358" i="35"/>
  <c r="W358" i="35"/>
  <c r="V358" i="35"/>
  <c r="U358" i="35"/>
  <c r="S358" i="35"/>
  <c r="R358" i="35"/>
  <c r="Q358" i="35"/>
  <c r="K358" i="35"/>
  <c r="F358" i="35"/>
  <c r="H358" i="35" s="1"/>
  <c r="V552" i="33"/>
  <c r="T552" i="33"/>
  <c r="Y552" i="33" s="1"/>
  <c r="S552" i="33"/>
  <c r="R552" i="33"/>
  <c r="K552" i="33"/>
  <c r="F552" i="33"/>
  <c r="K505" i="33"/>
  <c r="V503" i="33"/>
  <c r="T503" i="33"/>
  <c r="Y503" i="33" s="1"/>
  <c r="S503" i="33"/>
  <c r="R503" i="33"/>
  <c r="K503" i="33"/>
  <c r="F503" i="33"/>
  <c r="H503" i="33" s="1"/>
  <c r="Z474" i="33"/>
  <c r="Y474" i="33"/>
  <c r="X474" i="33"/>
  <c r="W474" i="33"/>
  <c r="V474" i="33"/>
  <c r="T474" i="33"/>
  <c r="S474" i="33"/>
  <c r="R474" i="33"/>
  <c r="L474" i="33"/>
  <c r="K474" i="33"/>
  <c r="I474" i="33"/>
  <c r="H474" i="33"/>
  <c r="G474" i="33"/>
  <c r="F474" i="33"/>
  <c r="V473" i="33"/>
  <c r="T473" i="33"/>
  <c r="Y473" i="33" s="1"/>
  <c r="S473" i="33"/>
  <c r="R473" i="33"/>
  <c r="K473" i="33"/>
  <c r="F473" i="33"/>
  <c r="H473" i="33" s="1"/>
  <c r="H353" i="35"/>
  <c r="Y345" i="35"/>
  <c r="X345" i="35"/>
  <c r="W345" i="35"/>
  <c r="V345" i="35"/>
  <c r="U345" i="35"/>
  <c r="S345" i="35"/>
  <c r="R345" i="35"/>
  <c r="Q345" i="35"/>
  <c r="L345" i="35"/>
  <c r="K345" i="35"/>
  <c r="I345" i="35"/>
  <c r="H345" i="35"/>
  <c r="G345" i="35"/>
  <c r="F345" i="35"/>
  <c r="Y344" i="35"/>
  <c r="X344" i="35"/>
  <c r="W344" i="35"/>
  <c r="V344" i="35"/>
  <c r="U344" i="35"/>
  <c r="S344" i="35"/>
  <c r="R344" i="35"/>
  <c r="Q344" i="35"/>
  <c r="L344" i="35"/>
  <c r="K344" i="35"/>
  <c r="I344" i="35"/>
  <c r="H344" i="35"/>
  <c r="G344" i="35"/>
  <c r="F344" i="35"/>
  <c r="Y343" i="35"/>
  <c r="X343" i="35"/>
  <c r="W343" i="35"/>
  <c r="V343" i="35"/>
  <c r="U343" i="35"/>
  <c r="S343" i="35"/>
  <c r="R343" i="35"/>
  <c r="Q343" i="35"/>
  <c r="L343" i="35"/>
  <c r="K343" i="35"/>
  <c r="I343" i="35"/>
  <c r="H343" i="35"/>
  <c r="G343" i="35"/>
  <c r="F343" i="35"/>
  <c r="Y342" i="35"/>
  <c r="X342" i="35"/>
  <c r="W342" i="35"/>
  <c r="V342" i="35"/>
  <c r="U342" i="35"/>
  <c r="S342" i="35"/>
  <c r="R342" i="35"/>
  <c r="Q342" i="35"/>
  <c r="L342" i="35"/>
  <c r="K342" i="35"/>
  <c r="I342" i="35"/>
  <c r="H342" i="35"/>
  <c r="G342" i="35"/>
  <c r="F342" i="35"/>
  <c r="Y331" i="35"/>
  <c r="X331" i="35"/>
  <c r="W331" i="35"/>
  <c r="V331" i="35"/>
  <c r="U331" i="35"/>
  <c r="S331" i="35"/>
  <c r="R331" i="35"/>
  <c r="Q331" i="35"/>
  <c r="L331" i="35"/>
  <c r="K331" i="35"/>
  <c r="I331" i="35"/>
  <c r="H331" i="35"/>
  <c r="G331" i="35"/>
  <c r="F331" i="35"/>
  <c r="AE330" i="35"/>
  <c r="Y330" i="35"/>
  <c r="X330" i="35"/>
  <c r="U330" i="35"/>
  <c r="S330" i="35"/>
  <c r="R330" i="35"/>
  <c r="Q330" i="35"/>
  <c r="K330" i="35"/>
  <c r="F330" i="35"/>
  <c r="Y329" i="35"/>
  <c r="X329" i="35"/>
  <c r="W329" i="35"/>
  <c r="V329" i="35"/>
  <c r="U329" i="35"/>
  <c r="S329" i="35"/>
  <c r="R329" i="35"/>
  <c r="Q329" i="35"/>
  <c r="L329" i="35"/>
  <c r="K329" i="35"/>
  <c r="I329" i="35"/>
  <c r="H329" i="35"/>
  <c r="G329" i="35"/>
  <c r="F329" i="35"/>
  <c r="AE328" i="35"/>
  <c r="Y328" i="35"/>
  <c r="X328" i="35"/>
  <c r="U328" i="35"/>
  <c r="S328" i="35"/>
  <c r="R328" i="35"/>
  <c r="Q328" i="35"/>
  <c r="K328" i="35"/>
  <c r="F328" i="35"/>
  <c r="G328" i="35" s="1"/>
  <c r="Y327" i="35"/>
  <c r="X327" i="35"/>
  <c r="W327" i="35"/>
  <c r="V327" i="35"/>
  <c r="U327" i="35"/>
  <c r="S327" i="35"/>
  <c r="R327" i="35"/>
  <c r="Q327" i="35"/>
  <c r="L327" i="35"/>
  <c r="K327" i="35"/>
  <c r="I327" i="35"/>
  <c r="H327" i="35"/>
  <c r="G327" i="35"/>
  <c r="F327" i="35"/>
  <c r="AE326" i="35"/>
  <c r="Y326" i="35"/>
  <c r="X326" i="35"/>
  <c r="U326" i="35"/>
  <c r="S326" i="35"/>
  <c r="R326" i="35"/>
  <c r="Q326" i="35"/>
  <c r="K326" i="35"/>
  <c r="F326" i="35"/>
  <c r="H326" i="35" s="1"/>
  <c r="Y320" i="35"/>
  <c r="X320" i="35"/>
  <c r="W320" i="35"/>
  <c r="V320" i="35"/>
  <c r="U320" i="35"/>
  <c r="S320" i="35"/>
  <c r="R320" i="35"/>
  <c r="Q320" i="35"/>
  <c r="L320" i="35"/>
  <c r="K320" i="35"/>
  <c r="I320" i="35"/>
  <c r="H320" i="35"/>
  <c r="G320" i="35"/>
  <c r="F320" i="35"/>
  <c r="Y319" i="35"/>
  <c r="X319" i="35"/>
  <c r="W319" i="35"/>
  <c r="V319" i="35"/>
  <c r="U319" i="35"/>
  <c r="S319" i="35"/>
  <c r="R319" i="35"/>
  <c r="Q319" i="35"/>
  <c r="L319" i="35"/>
  <c r="K319" i="35"/>
  <c r="I319" i="35"/>
  <c r="H319" i="35"/>
  <c r="G319" i="35"/>
  <c r="F319" i="35"/>
  <c r="Y318" i="35"/>
  <c r="X318" i="35"/>
  <c r="W318" i="35"/>
  <c r="V318" i="35"/>
  <c r="U318" i="35"/>
  <c r="S318" i="35"/>
  <c r="R318" i="35"/>
  <c r="Q318" i="35"/>
  <c r="L318" i="35"/>
  <c r="K318" i="35"/>
  <c r="I318" i="35"/>
  <c r="H318" i="35"/>
  <c r="G318" i="35"/>
  <c r="F318" i="35"/>
  <c r="AE322" i="35"/>
  <c r="Y322" i="35"/>
  <c r="X322" i="35"/>
  <c r="U322" i="35"/>
  <c r="S322" i="35"/>
  <c r="R322" i="35"/>
  <c r="Q322" i="35"/>
  <c r="K322" i="35"/>
  <c r="F322" i="35"/>
  <c r="G322" i="35" s="1"/>
  <c r="AE314" i="35"/>
  <c r="Y314" i="35"/>
  <c r="X314" i="35"/>
  <c r="U314" i="35"/>
  <c r="S314" i="35"/>
  <c r="R314" i="35"/>
  <c r="Q314" i="35"/>
  <c r="K314" i="35"/>
  <c r="F314" i="35"/>
  <c r="AE310" i="35"/>
  <c r="Y310" i="35"/>
  <c r="X310" i="35"/>
  <c r="U310" i="35"/>
  <c r="S310" i="35"/>
  <c r="R310" i="35"/>
  <c r="Q310" i="35"/>
  <c r="K310" i="35"/>
  <c r="F310" i="35"/>
  <c r="H310" i="35" s="1"/>
  <c r="Z478" i="33"/>
  <c r="Y478" i="33"/>
  <c r="X478" i="33"/>
  <c r="W478" i="33"/>
  <c r="V478" i="33"/>
  <c r="T478" i="33"/>
  <c r="S478" i="33"/>
  <c r="R478" i="33"/>
  <c r="L478" i="33"/>
  <c r="K478" i="33"/>
  <c r="I478" i="33"/>
  <c r="H478" i="33"/>
  <c r="G478" i="33"/>
  <c r="F478" i="33"/>
  <c r="V477" i="33"/>
  <c r="T477" i="33"/>
  <c r="Y477" i="33" s="1"/>
  <c r="S477" i="33"/>
  <c r="R477" i="33"/>
  <c r="K477" i="33"/>
  <c r="F477" i="33"/>
  <c r="H477" i="33" s="1"/>
  <c r="Z454" i="33"/>
  <c r="Y454" i="33"/>
  <c r="X454" i="33"/>
  <c r="W454" i="33"/>
  <c r="V454" i="33"/>
  <c r="T454" i="33"/>
  <c r="S454" i="33"/>
  <c r="R454" i="33"/>
  <c r="L454" i="33"/>
  <c r="K454" i="33"/>
  <c r="I454" i="33"/>
  <c r="H454" i="33"/>
  <c r="G454" i="33"/>
  <c r="F454" i="33"/>
  <c r="V453" i="33"/>
  <c r="T453" i="33"/>
  <c r="Y453" i="33" s="1"/>
  <c r="S453" i="33"/>
  <c r="R453" i="33"/>
  <c r="K453" i="33"/>
  <c r="F453" i="33"/>
  <c r="H453" i="33" s="1"/>
  <c r="AE334" i="35"/>
  <c r="Y334" i="35"/>
  <c r="X334" i="35"/>
  <c r="U334" i="35"/>
  <c r="S334" i="35"/>
  <c r="R334" i="35"/>
  <c r="Q334" i="35"/>
  <c r="K334" i="35"/>
  <c r="F334" i="35"/>
  <c r="H334" i="35" s="1"/>
  <c r="AE332" i="35"/>
  <c r="Y332" i="35"/>
  <c r="X332" i="35"/>
  <c r="U332" i="35"/>
  <c r="S332" i="35"/>
  <c r="R332" i="35"/>
  <c r="Q332" i="35"/>
  <c r="K332" i="35"/>
  <c r="F332" i="35"/>
  <c r="G332" i="35" s="1"/>
  <c r="Y325" i="35"/>
  <c r="X325" i="35"/>
  <c r="W325" i="35"/>
  <c r="V325" i="35"/>
  <c r="U325" i="35"/>
  <c r="S325" i="35"/>
  <c r="R325" i="35"/>
  <c r="Q325" i="35"/>
  <c r="L325" i="35"/>
  <c r="K325" i="35"/>
  <c r="I325" i="35"/>
  <c r="H325" i="35"/>
  <c r="G325" i="35"/>
  <c r="F325" i="35"/>
  <c r="AE324" i="35"/>
  <c r="Y324" i="35"/>
  <c r="X324" i="35"/>
  <c r="U324" i="35"/>
  <c r="S324" i="35"/>
  <c r="R324" i="35"/>
  <c r="Q324" i="35"/>
  <c r="K324" i="35"/>
  <c r="F324" i="35"/>
  <c r="I324" i="35" s="1"/>
  <c r="AE348" i="35"/>
  <c r="Y349" i="35"/>
  <c r="X349" i="35"/>
  <c r="W349" i="35"/>
  <c r="V349" i="35"/>
  <c r="U349" i="35"/>
  <c r="S349" i="35"/>
  <c r="R349" i="35"/>
  <c r="Q349" i="35"/>
  <c r="L349" i="35"/>
  <c r="K349" i="35"/>
  <c r="I349" i="35"/>
  <c r="H349" i="35"/>
  <c r="G349" i="35"/>
  <c r="F349" i="35"/>
  <c r="Y348" i="35"/>
  <c r="X348" i="35"/>
  <c r="U348" i="35"/>
  <c r="S348" i="35"/>
  <c r="R348" i="35"/>
  <c r="Q348" i="35"/>
  <c r="K348" i="35"/>
  <c r="F348" i="35"/>
  <c r="I348" i="35" s="1"/>
  <c r="Y347" i="35"/>
  <c r="X347" i="35"/>
  <c r="W347" i="35"/>
  <c r="V347" i="35"/>
  <c r="U347" i="35"/>
  <c r="S347" i="35"/>
  <c r="R347" i="35"/>
  <c r="Q347" i="35"/>
  <c r="L347" i="35"/>
  <c r="K347" i="35"/>
  <c r="I347" i="35"/>
  <c r="H347" i="35"/>
  <c r="G347" i="35"/>
  <c r="F347" i="35"/>
  <c r="AE346" i="35"/>
  <c r="Y346" i="35"/>
  <c r="X346" i="35"/>
  <c r="U346" i="35"/>
  <c r="S346" i="35"/>
  <c r="R346" i="35"/>
  <c r="Q346" i="35"/>
  <c r="K346" i="35"/>
  <c r="F346" i="35"/>
  <c r="G346" i="35" s="1"/>
  <c r="Z440" i="33"/>
  <c r="Y440" i="33"/>
  <c r="X440" i="33"/>
  <c r="W440" i="33"/>
  <c r="V440" i="33"/>
  <c r="T440" i="33"/>
  <c r="S440" i="33"/>
  <c r="R440" i="33"/>
  <c r="L440" i="33"/>
  <c r="K440" i="33"/>
  <c r="I440" i="33"/>
  <c r="H440" i="33"/>
  <c r="G440" i="33"/>
  <c r="F440" i="33"/>
  <c r="Z439" i="33"/>
  <c r="Y439" i="33"/>
  <c r="X439" i="33"/>
  <c r="W439" i="33"/>
  <c r="V439" i="33"/>
  <c r="T439" i="33"/>
  <c r="S439" i="33"/>
  <c r="R439" i="33"/>
  <c r="L439" i="33"/>
  <c r="K439" i="33"/>
  <c r="I439" i="33"/>
  <c r="H439" i="33"/>
  <c r="G439" i="33"/>
  <c r="F439" i="33"/>
  <c r="V437" i="33"/>
  <c r="T437" i="33"/>
  <c r="W437" i="33" s="1"/>
  <c r="S437" i="33"/>
  <c r="R437" i="33"/>
  <c r="K437" i="33"/>
  <c r="F437" i="33"/>
  <c r="G437" i="33" s="1"/>
  <c r="V435" i="33"/>
  <c r="T435" i="33"/>
  <c r="Z435" i="33" s="1"/>
  <c r="S435" i="33"/>
  <c r="R435" i="33"/>
  <c r="K435" i="33"/>
  <c r="F435" i="33"/>
  <c r="H435" i="33" s="1"/>
  <c r="V425" i="33"/>
  <c r="T425" i="33"/>
  <c r="W425" i="33" s="1"/>
  <c r="S425" i="33"/>
  <c r="R425" i="33"/>
  <c r="K425" i="33"/>
  <c r="F425" i="33"/>
  <c r="H425" i="33" s="1"/>
  <c r="AF337" i="35"/>
  <c r="AE340" i="35"/>
  <c r="AE338" i="35"/>
  <c r="AE336" i="35"/>
  <c r="AE316" i="35"/>
  <c r="AE312" i="35"/>
  <c r="AE308" i="35"/>
  <c r="V469" i="33"/>
  <c r="T469" i="33"/>
  <c r="Y469" i="33" s="1"/>
  <c r="S469" i="33"/>
  <c r="R469" i="33"/>
  <c r="K469" i="33"/>
  <c r="F469" i="33"/>
  <c r="G469" i="33" s="1"/>
  <c r="Z468" i="33"/>
  <c r="Y468" i="33"/>
  <c r="X468" i="33"/>
  <c r="W468" i="33"/>
  <c r="V468" i="33"/>
  <c r="T468" i="33"/>
  <c r="S468" i="33"/>
  <c r="R468" i="33"/>
  <c r="L468" i="33"/>
  <c r="K468" i="33"/>
  <c r="I468" i="33"/>
  <c r="H468" i="33"/>
  <c r="G468" i="33"/>
  <c r="F468" i="33"/>
  <c r="V467" i="33"/>
  <c r="T467" i="33"/>
  <c r="S467" i="33"/>
  <c r="R467" i="33"/>
  <c r="K467" i="33"/>
  <c r="F467" i="33"/>
  <c r="G467" i="33" s="1"/>
  <c r="Y351" i="35"/>
  <c r="X351" i="35"/>
  <c r="W351" i="35"/>
  <c r="V351" i="35"/>
  <c r="U351" i="35"/>
  <c r="S351" i="35"/>
  <c r="R351" i="35"/>
  <c r="Q351" i="35"/>
  <c r="L351" i="35"/>
  <c r="K351" i="35"/>
  <c r="I351" i="35"/>
  <c r="H351" i="35"/>
  <c r="G351" i="35"/>
  <c r="F351" i="35"/>
  <c r="Y350" i="35"/>
  <c r="X350" i="35"/>
  <c r="U350" i="35"/>
  <c r="S350" i="35"/>
  <c r="R350" i="35"/>
  <c r="Q350" i="35"/>
  <c r="K350" i="35"/>
  <c r="F350" i="35"/>
  <c r="H350" i="35" s="1"/>
  <c r="F308" i="35"/>
  <c r="I308" i="35" s="1"/>
  <c r="K308" i="35"/>
  <c r="Q308" i="35"/>
  <c r="R308" i="35"/>
  <c r="S308" i="35"/>
  <c r="U308" i="35"/>
  <c r="X308" i="35"/>
  <c r="Y308" i="35"/>
  <c r="F309" i="35"/>
  <c r="G309" i="35"/>
  <c r="H309" i="35"/>
  <c r="I309" i="35"/>
  <c r="K309" i="35"/>
  <c r="L309" i="35"/>
  <c r="Q309" i="35"/>
  <c r="R309" i="35"/>
  <c r="S309" i="35"/>
  <c r="U309" i="35"/>
  <c r="V309" i="35"/>
  <c r="W309" i="35"/>
  <c r="X309" i="35"/>
  <c r="Y309" i="35"/>
  <c r="F312" i="35"/>
  <c r="G312" i="35" s="1"/>
  <c r="K312" i="35"/>
  <c r="Q312" i="35"/>
  <c r="R312" i="35"/>
  <c r="S312" i="35"/>
  <c r="U312" i="35"/>
  <c r="X312" i="35"/>
  <c r="Y312" i="35"/>
  <c r="F313" i="35"/>
  <c r="G313" i="35"/>
  <c r="H313" i="35"/>
  <c r="I313" i="35"/>
  <c r="K313" i="35"/>
  <c r="L313" i="35"/>
  <c r="Q313" i="35"/>
  <c r="R313" i="35"/>
  <c r="S313" i="35"/>
  <c r="U313" i="35"/>
  <c r="V313" i="35"/>
  <c r="W313" i="35"/>
  <c r="X313" i="35"/>
  <c r="Y313" i="35"/>
  <c r="F316" i="35"/>
  <c r="I316" i="35" s="1"/>
  <c r="K316" i="35"/>
  <c r="Q316" i="35"/>
  <c r="R316" i="35"/>
  <c r="S316" i="35"/>
  <c r="U316" i="35"/>
  <c r="X316" i="35"/>
  <c r="Y316" i="35"/>
  <c r="F317" i="35"/>
  <c r="G317" i="35"/>
  <c r="H317" i="35"/>
  <c r="I317" i="35"/>
  <c r="K317" i="35"/>
  <c r="L317" i="35"/>
  <c r="Q317" i="35"/>
  <c r="R317" i="35"/>
  <c r="S317" i="35"/>
  <c r="U317" i="35"/>
  <c r="V317" i="35"/>
  <c r="W317" i="35"/>
  <c r="X317" i="35"/>
  <c r="Y317" i="35"/>
  <c r="F336" i="35"/>
  <c r="G336" i="35" s="1"/>
  <c r="K336" i="35"/>
  <c r="Q336" i="35"/>
  <c r="R336" i="35"/>
  <c r="S336" i="35"/>
  <c r="U336" i="35"/>
  <c r="X336" i="35"/>
  <c r="Y336" i="35"/>
  <c r="F337" i="35"/>
  <c r="G337" i="35"/>
  <c r="H337" i="35"/>
  <c r="I337" i="35"/>
  <c r="K337" i="35"/>
  <c r="L337" i="35"/>
  <c r="Q337" i="35"/>
  <c r="R337" i="35"/>
  <c r="S337" i="35"/>
  <c r="U337" i="35"/>
  <c r="V337" i="35"/>
  <c r="W337" i="35"/>
  <c r="X337" i="35"/>
  <c r="Y337" i="35"/>
  <c r="F338" i="35"/>
  <c r="H338" i="35" s="1"/>
  <c r="K338" i="35"/>
  <c r="Q338" i="35"/>
  <c r="R338" i="35"/>
  <c r="S338" i="35"/>
  <c r="U338" i="35"/>
  <c r="X338" i="35"/>
  <c r="Y338" i="35"/>
  <c r="F339" i="35"/>
  <c r="G339" i="35"/>
  <c r="H339" i="35"/>
  <c r="I339" i="35"/>
  <c r="K339" i="35"/>
  <c r="L339" i="35"/>
  <c r="Q339" i="35"/>
  <c r="R339" i="35"/>
  <c r="S339" i="35"/>
  <c r="U339" i="35"/>
  <c r="V339" i="35"/>
  <c r="W339" i="35"/>
  <c r="X339" i="35"/>
  <c r="Y339" i="35"/>
  <c r="F340" i="35"/>
  <c r="I340" i="35" s="1"/>
  <c r="K340" i="35"/>
  <c r="Q340" i="35"/>
  <c r="R340" i="35"/>
  <c r="S340" i="35"/>
  <c r="U340" i="35"/>
  <c r="X340" i="35"/>
  <c r="Y340" i="35"/>
  <c r="F341" i="35"/>
  <c r="G341" i="35"/>
  <c r="H341" i="35"/>
  <c r="I341" i="35"/>
  <c r="K341" i="35"/>
  <c r="L341" i="35"/>
  <c r="Q341" i="35"/>
  <c r="R341" i="35"/>
  <c r="S341" i="35"/>
  <c r="U341" i="35"/>
  <c r="V341" i="35"/>
  <c r="W341" i="35"/>
  <c r="X341" i="35"/>
  <c r="Y341" i="35"/>
  <c r="F352" i="35"/>
  <c r="G352" i="35"/>
  <c r="H352" i="35"/>
  <c r="I352" i="35"/>
  <c r="K352" i="35"/>
  <c r="L352" i="35"/>
  <c r="Q352" i="35"/>
  <c r="R352" i="35"/>
  <c r="S352" i="35"/>
  <c r="U352" i="35"/>
  <c r="V352" i="35"/>
  <c r="W352" i="35"/>
  <c r="X352" i="35"/>
  <c r="Y352" i="35"/>
  <c r="F353" i="35"/>
  <c r="G353" i="35"/>
  <c r="I353" i="35"/>
  <c r="K353" i="35"/>
  <c r="L353" i="35"/>
  <c r="Q353" i="35"/>
  <c r="R353" i="35"/>
  <c r="S353" i="35"/>
  <c r="U353" i="35"/>
  <c r="V353" i="35"/>
  <c r="W353" i="35"/>
  <c r="X353" i="35"/>
  <c r="Y353" i="35"/>
  <c r="F354" i="35"/>
  <c r="G354" i="35"/>
  <c r="H354" i="35"/>
  <c r="I354" i="35"/>
  <c r="K354" i="35"/>
  <c r="L354" i="35"/>
  <c r="Q354" i="35"/>
  <c r="R354" i="35"/>
  <c r="S354" i="35"/>
  <c r="U354" i="35"/>
  <c r="V354" i="35"/>
  <c r="W354" i="35"/>
  <c r="X354" i="35"/>
  <c r="Y354" i="35"/>
  <c r="F355" i="35"/>
  <c r="G355" i="35"/>
  <c r="H355" i="35"/>
  <c r="I355" i="35"/>
  <c r="K355" i="35"/>
  <c r="L355" i="35"/>
  <c r="Q355" i="35"/>
  <c r="R355" i="35"/>
  <c r="S355" i="35"/>
  <c r="U355" i="35"/>
  <c r="V355" i="35"/>
  <c r="W355" i="35"/>
  <c r="X355" i="35"/>
  <c r="Y355" i="35"/>
  <c r="F360" i="35"/>
  <c r="I360" i="35" s="1"/>
  <c r="K360" i="35"/>
  <c r="Q360" i="35"/>
  <c r="R360" i="35"/>
  <c r="S360" i="35"/>
  <c r="U360" i="35"/>
  <c r="V360" i="35"/>
  <c r="W360" i="35"/>
  <c r="X360" i="35"/>
  <c r="Y360" i="35"/>
  <c r="F361" i="35"/>
  <c r="G361" i="35"/>
  <c r="H361" i="35"/>
  <c r="I361" i="35"/>
  <c r="K361" i="35"/>
  <c r="L361" i="35"/>
  <c r="Q361" i="35"/>
  <c r="R361" i="35"/>
  <c r="S361" i="35"/>
  <c r="U361" i="35"/>
  <c r="V361" i="35"/>
  <c r="W361" i="35"/>
  <c r="X361" i="35"/>
  <c r="Y361" i="35"/>
  <c r="F364" i="35"/>
  <c r="G364" i="35"/>
  <c r="H364" i="35"/>
  <c r="I364" i="35"/>
  <c r="K364" i="35"/>
  <c r="L364" i="35"/>
  <c r="Q364" i="35"/>
  <c r="R364" i="35"/>
  <c r="S364" i="35"/>
  <c r="U364" i="35"/>
  <c r="V364" i="35"/>
  <c r="W364" i="35"/>
  <c r="X364" i="35"/>
  <c r="Y364" i="35"/>
  <c r="F365" i="35"/>
  <c r="G365" i="35"/>
  <c r="H365" i="35"/>
  <c r="I365" i="35"/>
  <c r="K365" i="35"/>
  <c r="L365" i="35"/>
  <c r="Q365" i="35"/>
  <c r="R365" i="35"/>
  <c r="S365" i="35"/>
  <c r="U365" i="35"/>
  <c r="V365" i="35"/>
  <c r="W365" i="35"/>
  <c r="X365" i="35"/>
  <c r="Y365" i="35"/>
  <c r="F366" i="35"/>
  <c r="G366" i="35"/>
  <c r="H366" i="35"/>
  <c r="I366" i="35"/>
  <c r="K366" i="35"/>
  <c r="L366" i="35"/>
  <c r="Q366" i="35"/>
  <c r="R366" i="35"/>
  <c r="S366" i="35"/>
  <c r="U366" i="35"/>
  <c r="V366" i="35"/>
  <c r="W366" i="35"/>
  <c r="X366" i="35"/>
  <c r="Y366" i="35"/>
  <c r="F367" i="35"/>
  <c r="G367" i="35"/>
  <c r="H367" i="35"/>
  <c r="I367" i="35"/>
  <c r="K367" i="35"/>
  <c r="L367" i="35"/>
  <c r="Q367" i="35"/>
  <c r="R367" i="35"/>
  <c r="S367" i="35"/>
  <c r="U367" i="35"/>
  <c r="V367" i="35"/>
  <c r="W367" i="35"/>
  <c r="X367" i="35"/>
  <c r="Y367" i="35"/>
  <c r="F368" i="35"/>
  <c r="G368" i="35"/>
  <c r="H368" i="35"/>
  <c r="I368" i="35"/>
  <c r="K368" i="35"/>
  <c r="L368" i="35"/>
  <c r="Q368" i="35"/>
  <c r="R368" i="35"/>
  <c r="S368" i="35"/>
  <c r="U368" i="35"/>
  <c r="V368" i="35"/>
  <c r="W368" i="35"/>
  <c r="X368" i="35"/>
  <c r="Y368" i="35"/>
  <c r="F369" i="35"/>
  <c r="G369" i="35"/>
  <c r="H369" i="35"/>
  <c r="I369" i="35"/>
  <c r="K369" i="35"/>
  <c r="L369" i="35"/>
  <c r="Q369" i="35"/>
  <c r="R369" i="35"/>
  <c r="S369" i="35"/>
  <c r="U369" i="35"/>
  <c r="V369" i="35"/>
  <c r="W369" i="35"/>
  <c r="X369" i="35"/>
  <c r="Y369" i="35"/>
  <c r="F370" i="35"/>
  <c r="G370" i="35"/>
  <c r="H370" i="35"/>
  <c r="I370" i="35"/>
  <c r="K370" i="35"/>
  <c r="L370" i="35"/>
  <c r="Q370" i="35"/>
  <c r="R370" i="35"/>
  <c r="S370" i="35"/>
  <c r="U370" i="35"/>
  <c r="V370" i="35"/>
  <c r="W370" i="35"/>
  <c r="X370" i="35"/>
  <c r="Y370" i="35"/>
  <c r="F371" i="35"/>
  <c r="G371" i="35"/>
  <c r="H371" i="35"/>
  <c r="I371" i="35"/>
  <c r="K371" i="35"/>
  <c r="L371" i="35"/>
  <c r="Q371" i="35"/>
  <c r="R371" i="35"/>
  <c r="S371" i="35"/>
  <c r="U371" i="35"/>
  <c r="V371" i="35"/>
  <c r="W371" i="35"/>
  <c r="X371" i="35"/>
  <c r="Y371" i="35"/>
  <c r="F372" i="35"/>
  <c r="G372" i="35"/>
  <c r="H372" i="35"/>
  <c r="I372" i="35"/>
  <c r="K372" i="35"/>
  <c r="L372" i="35"/>
  <c r="Q372" i="35"/>
  <c r="R372" i="35"/>
  <c r="S372" i="35"/>
  <c r="U372" i="35"/>
  <c r="V372" i="35"/>
  <c r="W372" i="35"/>
  <c r="X372" i="35"/>
  <c r="Y372" i="35"/>
  <c r="F373" i="35"/>
  <c r="G373" i="35"/>
  <c r="H373" i="35"/>
  <c r="I373" i="35"/>
  <c r="K373" i="35"/>
  <c r="L373" i="35"/>
  <c r="Q373" i="35"/>
  <c r="R373" i="35"/>
  <c r="S373" i="35"/>
  <c r="U373" i="35"/>
  <c r="V373" i="35"/>
  <c r="W373" i="35"/>
  <c r="X373" i="35"/>
  <c r="Y373" i="35"/>
  <c r="F374" i="35"/>
  <c r="G374" i="35"/>
  <c r="H374" i="35"/>
  <c r="I374" i="35"/>
  <c r="K374" i="35"/>
  <c r="L374" i="35"/>
  <c r="Q374" i="35"/>
  <c r="R374" i="35"/>
  <c r="S374" i="35"/>
  <c r="U374" i="35"/>
  <c r="V374" i="35"/>
  <c r="W374" i="35"/>
  <c r="X374" i="35"/>
  <c r="Y374" i="35"/>
  <c r="F375" i="35"/>
  <c r="G375" i="35"/>
  <c r="H375" i="35"/>
  <c r="I375" i="35"/>
  <c r="K375" i="35"/>
  <c r="L375" i="35"/>
  <c r="Q375" i="35"/>
  <c r="R375" i="35"/>
  <c r="S375" i="35"/>
  <c r="U375" i="35"/>
  <c r="V375" i="35"/>
  <c r="W375" i="35"/>
  <c r="X375" i="35"/>
  <c r="Y375" i="35"/>
  <c r="F376" i="35"/>
  <c r="G376" i="35"/>
  <c r="H376" i="35"/>
  <c r="I376" i="35"/>
  <c r="K376" i="35"/>
  <c r="L376" i="35"/>
  <c r="Q376" i="35"/>
  <c r="R376" i="35"/>
  <c r="S376" i="35"/>
  <c r="U376" i="35"/>
  <c r="V376" i="35"/>
  <c r="W376" i="35"/>
  <c r="X376" i="35"/>
  <c r="Y376" i="35"/>
  <c r="F377" i="35"/>
  <c r="G377" i="35"/>
  <c r="H377" i="35"/>
  <c r="I377" i="35"/>
  <c r="K377" i="35"/>
  <c r="L377" i="35"/>
  <c r="Q377" i="35"/>
  <c r="R377" i="35"/>
  <c r="S377" i="35"/>
  <c r="U377" i="35"/>
  <c r="V377" i="35"/>
  <c r="W377" i="35"/>
  <c r="X377" i="35"/>
  <c r="Y377" i="35"/>
  <c r="F378" i="35"/>
  <c r="G378" i="35"/>
  <c r="H378" i="35"/>
  <c r="I378" i="35"/>
  <c r="K378" i="35"/>
  <c r="L378" i="35"/>
  <c r="Q378" i="35"/>
  <c r="R378" i="35"/>
  <c r="S378" i="35"/>
  <c r="U378" i="35"/>
  <c r="V378" i="35"/>
  <c r="W378" i="35"/>
  <c r="X378" i="35"/>
  <c r="Y378" i="35"/>
  <c r="F379" i="35"/>
  <c r="G379" i="35"/>
  <c r="H379" i="35"/>
  <c r="I379" i="35"/>
  <c r="K379" i="35"/>
  <c r="L379" i="35"/>
  <c r="Q379" i="35"/>
  <c r="R379" i="35"/>
  <c r="S379" i="35"/>
  <c r="U379" i="35"/>
  <c r="V379" i="35"/>
  <c r="W379" i="35"/>
  <c r="X379" i="35"/>
  <c r="Y379" i="35"/>
  <c r="F380" i="35"/>
  <c r="G380" i="35"/>
  <c r="H380" i="35"/>
  <c r="I380" i="35"/>
  <c r="K380" i="35"/>
  <c r="L380" i="35"/>
  <c r="Q380" i="35"/>
  <c r="R380" i="35"/>
  <c r="S380" i="35"/>
  <c r="U380" i="35"/>
  <c r="V380" i="35"/>
  <c r="W380" i="35"/>
  <c r="X380" i="35"/>
  <c r="Y380" i="35"/>
  <c r="F381" i="35"/>
  <c r="G381" i="35"/>
  <c r="H381" i="35"/>
  <c r="I381" i="35"/>
  <c r="K381" i="35"/>
  <c r="L381" i="35"/>
  <c r="Q381" i="35"/>
  <c r="R381" i="35"/>
  <c r="S381" i="35"/>
  <c r="U381" i="35"/>
  <c r="V381" i="35"/>
  <c r="W381" i="35"/>
  <c r="X381" i="35"/>
  <c r="Y381" i="35"/>
  <c r="F382" i="35"/>
  <c r="G382" i="35"/>
  <c r="H382" i="35"/>
  <c r="I382" i="35"/>
  <c r="K382" i="35"/>
  <c r="L382" i="35"/>
  <c r="Q382" i="35"/>
  <c r="R382" i="35"/>
  <c r="S382" i="35"/>
  <c r="U382" i="35"/>
  <c r="V382" i="35"/>
  <c r="W382" i="35"/>
  <c r="X382" i="35"/>
  <c r="Y382" i="35"/>
  <c r="F383" i="35"/>
  <c r="G383" i="35"/>
  <c r="H383" i="35"/>
  <c r="I383" i="35"/>
  <c r="K383" i="35"/>
  <c r="L383" i="35"/>
  <c r="Q383" i="35"/>
  <c r="R383" i="35"/>
  <c r="S383" i="35"/>
  <c r="U383" i="35"/>
  <c r="V383" i="35"/>
  <c r="W383" i="35"/>
  <c r="X383" i="35"/>
  <c r="Y383" i="35"/>
  <c r="F384" i="35"/>
  <c r="G384" i="35"/>
  <c r="H384" i="35"/>
  <c r="I384" i="35"/>
  <c r="K384" i="35"/>
  <c r="L384" i="35"/>
  <c r="Q384" i="35"/>
  <c r="R384" i="35"/>
  <c r="S384" i="35"/>
  <c r="U384" i="35"/>
  <c r="V384" i="35"/>
  <c r="W384" i="35"/>
  <c r="X384" i="35"/>
  <c r="Y384" i="35"/>
  <c r="F385" i="35"/>
  <c r="G385" i="35"/>
  <c r="H385" i="35"/>
  <c r="I385" i="35"/>
  <c r="K385" i="35"/>
  <c r="L385" i="35"/>
  <c r="Q385" i="35"/>
  <c r="R385" i="35"/>
  <c r="S385" i="35"/>
  <c r="U385" i="35"/>
  <c r="V385" i="35"/>
  <c r="W385" i="35"/>
  <c r="X385" i="35"/>
  <c r="Y385" i="35"/>
  <c r="F387" i="35"/>
  <c r="G387" i="35"/>
  <c r="H387" i="35"/>
  <c r="I387" i="35"/>
  <c r="K387" i="35"/>
  <c r="L387" i="35"/>
  <c r="Q387" i="35"/>
  <c r="R387" i="35"/>
  <c r="S387" i="35"/>
  <c r="U387" i="35"/>
  <c r="V387" i="35"/>
  <c r="W387" i="35"/>
  <c r="X387" i="35"/>
  <c r="Y387" i="35"/>
  <c r="F390" i="35"/>
  <c r="K390" i="35"/>
  <c r="Q390" i="35"/>
  <c r="R390" i="35"/>
  <c r="S390" i="35"/>
  <c r="U390" i="35"/>
  <c r="X390" i="35"/>
  <c r="Y390" i="35"/>
  <c r="F391" i="35"/>
  <c r="G391" i="35"/>
  <c r="H391" i="35"/>
  <c r="I391" i="35"/>
  <c r="K391" i="35"/>
  <c r="L391" i="35"/>
  <c r="Q391" i="35"/>
  <c r="R391" i="35"/>
  <c r="S391" i="35"/>
  <c r="U391" i="35"/>
  <c r="V391" i="35"/>
  <c r="W391" i="35"/>
  <c r="X391" i="35"/>
  <c r="Y391" i="35"/>
  <c r="F392" i="35"/>
  <c r="K392" i="35"/>
  <c r="Q392" i="35"/>
  <c r="R392" i="35"/>
  <c r="S392" i="35"/>
  <c r="U392" i="35"/>
  <c r="X392" i="35"/>
  <c r="Y392" i="35"/>
  <c r="F393" i="35"/>
  <c r="G393" i="35"/>
  <c r="H393" i="35"/>
  <c r="I393" i="35"/>
  <c r="K393" i="35"/>
  <c r="L393" i="35"/>
  <c r="Q393" i="35"/>
  <c r="R393" i="35"/>
  <c r="S393" i="35"/>
  <c r="U393" i="35"/>
  <c r="V393" i="35"/>
  <c r="W393" i="35"/>
  <c r="X393" i="35"/>
  <c r="Y393" i="35"/>
  <c r="F394" i="35"/>
  <c r="H394" i="35" s="1"/>
  <c r="K394" i="35"/>
  <c r="Q394" i="35"/>
  <c r="R394" i="35"/>
  <c r="S394" i="35"/>
  <c r="U394" i="35"/>
  <c r="X394" i="35"/>
  <c r="Y394" i="35"/>
  <c r="F395" i="35"/>
  <c r="G395" i="35"/>
  <c r="H395" i="35"/>
  <c r="I395" i="35"/>
  <c r="K395" i="35"/>
  <c r="L395" i="35"/>
  <c r="Q395" i="35"/>
  <c r="R395" i="35"/>
  <c r="S395" i="35"/>
  <c r="U395" i="35"/>
  <c r="V395" i="35"/>
  <c r="W395" i="35"/>
  <c r="X395" i="35"/>
  <c r="Y395" i="35"/>
  <c r="F396" i="35"/>
  <c r="G396" i="35"/>
  <c r="H396" i="35"/>
  <c r="I396" i="35"/>
  <c r="K396" i="35"/>
  <c r="L396" i="35"/>
  <c r="Q396" i="35"/>
  <c r="R396" i="35"/>
  <c r="S396" i="35"/>
  <c r="U396" i="35"/>
  <c r="V396" i="35"/>
  <c r="W396" i="35"/>
  <c r="X396" i="35"/>
  <c r="Y396" i="35"/>
  <c r="F397" i="35"/>
  <c r="G397" i="35"/>
  <c r="H397" i="35"/>
  <c r="I397" i="35"/>
  <c r="K397" i="35"/>
  <c r="L397" i="35"/>
  <c r="Q397" i="35"/>
  <c r="R397" i="35"/>
  <c r="S397" i="35"/>
  <c r="U397" i="35"/>
  <c r="V397" i="35"/>
  <c r="W397" i="35"/>
  <c r="X397" i="35"/>
  <c r="Y397" i="35"/>
  <c r="V417" i="33"/>
  <c r="T417" i="33"/>
  <c r="X417" i="33" s="1"/>
  <c r="S417" i="33"/>
  <c r="R417" i="33"/>
  <c r="K417" i="33"/>
  <c r="F417" i="33"/>
  <c r="I417" i="33" s="1"/>
  <c r="F291" i="35"/>
  <c r="G291" i="35"/>
  <c r="H291" i="35"/>
  <c r="I291" i="35"/>
  <c r="K291" i="35"/>
  <c r="L291" i="35"/>
  <c r="Q291" i="35"/>
  <c r="R291" i="35"/>
  <c r="S291" i="35"/>
  <c r="U291" i="35"/>
  <c r="V291" i="35"/>
  <c r="W291" i="35"/>
  <c r="X291" i="35"/>
  <c r="Y291" i="35"/>
  <c r="F292" i="35"/>
  <c r="G292" i="35" s="1"/>
  <c r="K292" i="35"/>
  <c r="Q292" i="35"/>
  <c r="R292" i="35"/>
  <c r="S292" i="35"/>
  <c r="U292" i="35"/>
  <c r="V292" i="35"/>
  <c r="W292" i="35"/>
  <c r="X292" i="35"/>
  <c r="Y292" i="35"/>
  <c r="F293" i="35"/>
  <c r="G293" i="35"/>
  <c r="H293" i="35"/>
  <c r="I293" i="35"/>
  <c r="K293" i="35"/>
  <c r="L293" i="35"/>
  <c r="Q293" i="35"/>
  <c r="R293" i="35"/>
  <c r="S293" i="35"/>
  <c r="U293" i="35"/>
  <c r="V293" i="35"/>
  <c r="W293" i="35"/>
  <c r="X293" i="35"/>
  <c r="Y293" i="35"/>
  <c r="F294" i="35"/>
  <c r="G294" i="35" s="1"/>
  <c r="K294" i="35"/>
  <c r="Q294" i="35"/>
  <c r="R294" i="35"/>
  <c r="S294" i="35"/>
  <c r="U294" i="35"/>
  <c r="V294" i="35"/>
  <c r="W294" i="35"/>
  <c r="X294" i="35"/>
  <c r="Y294" i="35"/>
  <c r="F295" i="35"/>
  <c r="G295" i="35"/>
  <c r="H295" i="35"/>
  <c r="I295" i="35"/>
  <c r="K295" i="35"/>
  <c r="L295" i="35"/>
  <c r="Q295" i="35"/>
  <c r="R295" i="35"/>
  <c r="S295" i="35"/>
  <c r="U295" i="35"/>
  <c r="V295" i="35"/>
  <c r="W295" i="35"/>
  <c r="X295" i="35"/>
  <c r="Y295" i="35"/>
  <c r="T385" i="33"/>
  <c r="F385" i="33"/>
  <c r="G385" i="33" s="1"/>
  <c r="K385" i="33"/>
  <c r="V385" i="33"/>
  <c r="S385" i="33"/>
  <c r="R385" i="33"/>
  <c r="F383" i="33"/>
  <c r="H383" i="33" s="1"/>
  <c r="K383" i="33"/>
  <c r="T383" i="33"/>
  <c r="Z383" i="33" s="1"/>
  <c r="V383" i="33"/>
  <c r="S383" i="33"/>
  <c r="R383" i="33"/>
  <c r="F258" i="35"/>
  <c r="K258" i="35"/>
  <c r="AE258" i="35"/>
  <c r="Y258" i="35"/>
  <c r="X258" i="35"/>
  <c r="U258" i="35"/>
  <c r="S258" i="35"/>
  <c r="R258" i="35"/>
  <c r="Q258" i="35"/>
  <c r="F358" i="33"/>
  <c r="K358" i="33"/>
  <c r="Z358" i="33"/>
  <c r="Y358" i="33"/>
  <c r="X358" i="33"/>
  <c r="W358" i="33"/>
  <c r="V358" i="33"/>
  <c r="T358" i="33"/>
  <c r="S358" i="33"/>
  <c r="R358" i="33"/>
  <c r="L358" i="33"/>
  <c r="I358" i="33"/>
  <c r="H358" i="33"/>
  <c r="G358" i="33"/>
  <c r="F357" i="33"/>
  <c r="I357" i="33" s="1"/>
  <c r="K357" i="33"/>
  <c r="T357" i="33"/>
  <c r="V357" i="33"/>
  <c r="S357" i="33"/>
  <c r="R357" i="33"/>
  <c r="F356" i="33"/>
  <c r="K356" i="33"/>
  <c r="Z356" i="33"/>
  <c r="Y356" i="33"/>
  <c r="X356" i="33"/>
  <c r="W356" i="33"/>
  <c r="V356" i="33"/>
  <c r="T356" i="33"/>
  <c r="S356" i="33"/>
  <c r="R356" i="33"/>
  <c r="L356" i="33"/>
  <c r="I356" i="33"/>
  <c r="H356" i="33"/>
  <c r="G356" i="33"/>
  <c r="F355" i="33"/>
  <c r="G355" i="33" s="1"/>
  <c r="K355" i="33"/>
  <c r="T355" i="33"/>
  <c r="Y355" i="33" s="1"/>
  <c r="V355" i="33"/>
  <c r="S355" i="33"/>
  <c r="R355" i="33"/>
  <c r="F353" i="33"/>
  <c r="H353" i="33" s="1"/>
  <c r="K353" i="33"/>
  <c r="T353" i="33"/>
  <c r="Z353" i="33" s="1"/>
  <c r="V353" i="33"/>
  <c r="S353" i="33"/>
  <c r="R353" i="33"/>
  <c r="F352" i="33"/>
  <c r="K352" i="33"/>
  <c r="Z352" i="33"/>
  <c r="Y352" i="33"/>
  <c r="X352" i="33"/>
  <c r="W352" i="33"/>
  <c r="V352" i="33"/>
  <c r="T352" i="33"/>
  <c r="S352" i="33"/>
  <c r="R352" i="33"/>
  <c r="L352" i="33"/>
  <c r="I352" i="33"/>
  <c r="H352" i="33"/>
  <c r="G352" i="33"/>
  <c r="F351" i="33"/>
  <c r="I351" i="33" s="1"/>
  <c r="K351" i="33"/>
  <c r="T351" i="33"/>
  <c r="V351" i="33"/>
  <c r="S351" i="33"/>
  <c r="R351" i="33"/>
  <c r="F266" i="35"/>
  <c r="I266" i="35" s="1"/>
  <c r="K266" i="35"/>
  <c r="AE266" i="35"/>
  <c r="AG266" i="35" s="1"/>
  <c r="Y266" i="35"/>
  <c r="X266" i="35"/>
  <c r="U266" i="35"/>
  <c r="S266" i="35"/>
  <c r="R266" i="35"/>
  <c r="Q266" i="35"/>
  <c r="F343" i="33"/>
  <c r="H343" i="33" s="1"/>
  <c r="Z343" i="33"/>
  <c r="Y343" i="33"/>
  <c r="X343" i="33"/>
  <c r="W343" i="33"/>
  <c r="V343" i="33"/>
  <c r="K343" i="33"/>
  <c r="F250" i="35"/>
  <c r="K250" i="35"/>
  <c r="AE250" i="35"/>
  <c r="Y250" i="35"/>
  <c r="X250" i="35"/>
  <c r="S250" i="35"/>
  <c r="R250" i="35"/>
  <c r="Q250" i="35"/>
  <c r="F249" i="35"/>
  <c r="K249" i="35"/>
  <c r="Y249" i="35"/>
  <c r="X249" i="35"/>
  <c r="W249" i="35"/>
  <c r="V249" i="35"/>
  <c r="U249" i="35"/>
  <c r="S249" i="35"/>
  <c r="R249" i="35"/>
  <c r="Q249" i="35"/>
  <c r="L249" i="35"/>
  <c r="I249" i="35"/>
  <c r="H249" i="35"/>
  <c r="G249" i="35"/>
  <c r="F248" i="35"/>
  <c r="K248" i="35"/>
  <c r="Y248" i="35"/>
  <c r="X248" i="35"/>
  <c r="W248" i="35"/>
  <c r="V248" i="35"/>
  <c r="U248" i="35"/>
  <c r="S248" i="35"/>
  <c r="R248" i="35"/>
  <c r="Q248" i="35"/>
  <c r="L248" i="35"/>
  <c r="I248" i="35"/>
  <c r="H248" i="35"/>
  <c r="G248" i="35"/>
  <c r="F247" i="35"/>
  <c r="K247" i="35"/>
  <c r="Y247" i="35"/>
  <c r="X247" i="35"/>
  <c r="W247" i="35"/>
  <c r="V247" i="35"/>
  <c r="U247" i="35"/>
  <c r="S247" i="35"/>
  <c r="R247" i="35"/>
  <c r="Q247" i="35"/>
  <c r="L247" i="35"/>
  <c r="I247" i="35"/>
  <c r="H247" i="35"/>
  <c r="G247" i="35"/>
  <c r="F246" i="35"/>
  <c r="K246" i="35"/>
  <c r="Y246" i="35"/>
  <c r="X246" i="35"/>
  <c r="W246" i="35"/>
  <c r="V246" i="35"/>
  <c r="U246" i="35"/>
  <c r="S246" i="35"/>
  <c r="R246" i="35"/>
  <c r="Q246" i="35"/>
  <c r="L246" i="35"/>
  <c r="I246" i="35"/>
  <c r="H246" i="35"/>
  <c r="G246" i="35"/>
  <c r="F244" i="35"/>
  <c r="G244" i="35" s="1"/>
  <c r="K244" i="35"/>
  <c r="AE244" i="35"/>
  <c r="Y244" i="35"/>
  <c r="X244" i="35"/>
  <c r="U244" i="35"/>
  <c r="S244" i="35"/>
  <c r="R244" i="35"/>
  <c r="Q244" i="35"/>
  <c r="F228" i="35"/>
  <c r="H228" i="35" s="1"/>
  <c r="K228" i="35"/>
  <c r="AE228" i="35"/>
  <c r="Y228" i="35"/>
  <c r="X228" i="35"/>
  <c r="U228" i="35"/>
  <c r="S228" i="35"/>
  <c r="R228" i="35"/>
  <c r="Q228" i="35"/>
  <c r="F227" i="35"/>
  <c r="K227" i="35"/>
  <c r="Y227" i="35"/>
  <c r="X227" i="35"/>
  <c r="W227" i="35"/>
  <c r="V227" i="35"/>
  <c r="U227" i="35"/>
  <c r="S227" i="35"/>
  <c r="R227" i="35"/>
  <c r="Q227" i="35"/>
  <c r="L227" i="35"/>
  <c r="I227" i="35"/>
  <c r="H227" i="35"/>
  <c r="G227" i="35"/>
  <c r="F226" i="35"/>
  <c r="I226" i="35" s="1"/>
  <c r="K226" i="35"/>
  <c r="AE226" i="35"/>
  <c r="Y226" i="35"/>
  <c r="X226" i="35"/>
  <c r="U226" i="35"/>
  <c r="S226" i="35"/>
  <c r="R226" i="35"/>
  <c r="Q226" i="35"/>
  <c r="F222" i="35"/>
  <c r="K222" i="35"/>
  <c r="Y222" i="35"/>
  <c r="X222" i="35"/>
  <c r="W222" i="35"/>
  <c r="V222" i="35"/>
  <c r="U222" i="35"/>
  <c r="S222" i="35"/>
  <c r="R222" i="35"/>
  <c r="Q222" i="35"/>
  <c r="L222" i="35"/>
  <c r="I222" i="35"/>
  <c r="H222" i="35"/>
  <c r="G222" i="35"/>
  <c r="F378" i="33"/>
  <c r="K378" i="33"/>
  <c r="Z378" i="33"/>
  <c r="Y378" i="33"/>
  <c r="X378" i="33"/>
  <c r="W378" i="33"/>
  <c r="V378" i="33"/>
  <c r="T378" i="33"/>
  <c r="S378" i="33"/>
  <c r="R378" i="33"/>
  <c r="L378" i="33"/>
  <c r="I378" i="33"/>
  <c r="H378" i="33"/>
  <c r="G378" i="33"/>
  <c r="F377" i="33"/>
  <c r="G377" i="33" s="1"/>
  <c r="K377" i="33"/>
  <c r="T377" i="33"/>
  <c r="Z377" i="33" s="1"/>
  <c r="V377" i="33"/>
  <c r="S377" i="33"/>
  <c r="R377" i="33"/>
  <c r="F376" i="33"/>
  <c r="K376" i="33"/>
  <c r="Z376" i="33"/>
  <c r="Y376" i="33"/>
  <c r="X376" i="33"/>
  <c r="W376" i="33"/>
  <c r="V376" i="33"/>
  <c r="T376" i="33"/>
  <c r="S376" i="33"/>
  <c r="R376" i="33"/>
  <c r="L376" i="33"/>
  <c r="I376" i="33"/>
  <c r="H376" i="33"/>
  <c r="G376" i="33"/>
  <c r="F375" i="33"/>
  <c r="H375" i="33" s="1"/>
  <c r="K375" i="33"/>
  <c r="T375" i="33"/>
  <c r="Y375" i="33" s="1"/>
  <c r="V375" i="33"/>
  <c r="S375" i="33"/>
  <c r="R375" i="33"/>
  <c r="F374" i="33"/>
  <c r="K374" i="33"/>
  <c r="Z374" i="33"/>
  <c r="Y374" i="33"/>
  <c r="X374" i="33"/>
  <c r="W374" i="33"/>
  <c r="V374" i="33"/>
  <c r="T374" i="33"/>
  <c r="S374" i="33"/>
  <c r="R374" i="33"/>
  <c r="L374" i="33"/>
  <c r="I374" i="33"/>
  <c r="H374" i="33"/>
  <c r="G374" i="33"/>
  <c r="F373" i="33"/>
  <c r="G373" i="33" s="1"/>
  <c r="K373" i="33"/>
  <c r="T373" i="33"/>
  <c r="Y373" i="33" s="1"/>
  <c r="V373" i="33"/>
  <c r="S373" i="33"/>
  <c r="R373" i="33"/>
  <c r="F372" i="33"/>
  <c r="K372" i="33"/>
  <c r="Z372" i="33"/>
  <c r="Y372" i="33"/>
  <c r="X372" i="33"/>
  <c r="W372" i="33"/>
  <c r="V372" i="33"/>
  <c r="T372" i="33"/>
  <c r="S372" i="33"/>
  <c r="R372" i="33"/>
  <c r="L372" i="33"/>
  <c r="I372" i="33"/>
  <c r="H372" i="33"/>
  <c r="G372" i="33"/>
  <c r="F371" i="33"/>
  <c r="I371" i="33" s="1"/>
  <c r="K371" i="33"/>
  <c r="T371" i="33"/>
  <c r="V371" i="33"/>
  <c r="S371" i="33"/>
  <c r="R371" i="33"/>
  <c r="F370" i="33"/>
  <c r="K370" i="33"/>
  <c r="Z370" i="33"/>
  <c r="Y370" i="33"/>
  <c r="X370" i="33"/>
  <c r="W370" i="33"/>
  <c r="V370" i="33"/>
  <c r="T370" i="33"/>
  <c r="S370" i="33"/>
  <c r="R370" i="33"/>
  <c r="L370" i="33"/>
  <c r="I370" i="33"/>
  <c r="H370" i="33"/>
  <c r="G370" i="33"/>
  <c r="F369" i="33"/>
  <c r="G369" i="33" s="1"/>
  <c r="K369" i="33"/>
  <c r="T369" i="33"/>
  <c r="Z369" i="33" s="1"/>
  <c r="V369" i="33"/>
  <c r="S369" i="33"/>
  <c r="R369" i="33"/>
  <c r="F366" i="33"/>
  <c r="G366" i="33"/>
  <c r="H366" i="33"/>
  <c r="I366" i="33"/>
  <c r="K366" i="33"/>
  <c r="L366" i="33"/>
  <c r="R366" i="33"/>
  <c r="S366" i="33"/>
  <c r="T366" i="33"/>
  <c r="V366" i="33"/>
  <c r="W366" i="33"/>
  <c r="X366" i="33"/>
  <c r="Y366" i="33"/>
  <c r="Z366" i="33"/>
  <c r="F367" i="33"/>
  <c r="K367" i="33"/>
  <c r="G367" i="33"/>
  <c r="H367" i="33"/>
  <c r="I367" i="33"/>
  <c r="L367" i="33"/>
  <c r="R367" i="33"/>
  <c r="S367" i="33"/>
  <c r="T367" i="33"/>
  <c r="V367" i="33"/>
  <c r="W367" i="33"/>
  <c r="X367" i="33"/>
  <c r="Y367" i="33"/>
  <c r="Z367" i="33"/>
  <c r="F368" i="33"/>
  <c r="K368" i="33"/>
  <c r="G368" i="33"/>
  <c r="H368" i="33"/>
  <c r="I368" i="33"/>
  <c r="L368" i="33"/>
  <c r="R368" i="33"/>
  <c r="S368" i="33"/>
  <c r="T368" i="33"/>
  <c r="V368" i="33"/>
  <c r="W368" i="33"/>
  <c r="X368" i="33"/>
  <c r="Y368" i="33"/>
  <c r="Z368" i="33"/>
  <c r="F379" i="33"/>
  <c r="G379" i="33" s="1"/>
  <c r="K379" i="33"/>
  <c r="R379" i="33"/>
  <c r="S379" i="33"/>
  <c r="T379" i="33"/>
  <c r="V379" i="33"/>
  <c r="F380" i="33"/>
  <c r="K380" i="33"/>
  <c r="G380" i="33"/>
  <c r="H380" i="33"/>
  <c r="I380" i="33"/>
  <c r="L380" i="33"/>
  <c r="R380" i="33"/>
  <c r="S380" i="33"/>
  <c r="T380" i="33"/>
  <c r="V380" i="33"/>
  <c r="W380" i="33"/>
  <c r="X380" i="33"/>
  <c r="Y380" i="33"/>
  <c r="Z380" i="33"/>
  <c r="F381" i="33"/>
  <c r="H381" i="33" s="1"/>
  <c r="K381" i="33"/>
  <c r="R381" i="33"/>
  <c r="S381" i="33"/>
  <c r="T381" i="33"/>
  <c r="Z381" i="33" s="1"/>
  <c r="V381" i="33"/>
  <c r="F382" i="33"/>
  <c r="G382" i="33"/>
  <c r="H382" i="33"/>
  <c r="I382" i="33"/>
  <c r="K382" i="33"/>
  <c r="L382" i="33"/>
  <c r="R382" i="33"/>
  <c r="S382" i="33"/>
  <c r="T382" i="33"/>
  <c r="V382" i="33"/>
  <c r="W382" i="33"/>
  <c r="X382" i="33"/>
  <c r="Y382" i="33"/>
  <c r="Z382" i="33"/>
  <c r="F387" i="33"/>
  <c r="I387" i="33" s="1"/>
  <c r="K387" i="33"/>
  <c r="R387" i="33"/>
  <c r="S387" i="33"/>
  <c r="T387" i="33"/>
  <c r="Z387" i="33" s="1"/>
  <c r="V387" i="33"/>
  <c r="F388" i="33"/>
  <c r="K388" i="33"/>
  <c r="G388" i="33"/>
  <c r="H388" i="33"/>
  <c r="I388" i="33"/>
  <c r="L388" i="33"/>
  <c r="R388" i="33"/>
  <c r="S388" i="33"/>
  <c r="T388" i="33"/>
  <c r="V388" i="33"/>
  <c r="W388" i="33"/>
  <c r="X388" i="33"/>
  <c r="Y388" i="33"/>
  <c r="Z388" i="33"/>
  <c r="F389" i="33"/>
  <c r="I389" i="33" s="1"/>
  <c r="K389" i="33"/>
  <c r="R389" i="33"/>
  <c r="S389" i="33"/>
  <c r="T389" i="33"/>
  <c r="Y389" i="33" s="1"/>
  <c r="V389" i="33"/>
  <c r="F390" i="33"/>
  <c r="G390" i="33"/>
  <c r="H390" i="33"/>
  <c r="I390" i="33"/>
  <c r="K390" i="33"/>
  <c r="L390" i="33"/>
  <c r="R390" i="33"/>
  <c r="S390" i="33"/>
  <c r="T390" i="33"/>
  <c r="V390" i="33"/>
  <c r="W390" i="33"/>
  <c r="X390" i="33"/>
  <c r="Y390" i="33"/>
  <c r="Z390" i="33"/>
  <c r="F395" i="33"/>
  <c r="G395" i="33"/>
  <c r="H395" i="33"/>
  <c r="I395" i="33"/>
  <c r="K395" i="33"/>
  <c r="L395" i="33"/>
  <c r="R395" i="33"/>
  <c r="S395" i="33"/>
  <c r="T395" i="33"/>
  <c r="V395" i="33"/>
  <c r="W395" i="33"/>
  <c r="X395" i="33"/>
  <c r="Y395" i="33"/>
  <c r="Z395" i="33"/>
  <c r="F396" i="33"/>
  <c r="G396" i="33"/>
  <c r="H396" i="33"/>
  <c r="I396" i="33"/>
  <c r="K396" i="33"/>
  <c r="L396" i="33"/>
  <c r="R396" i="33"/>
  <c r="S396" i="33"/>
  <c r="T396" i="33"/>
  <c r="V396" i="33"/>
  <c r="W396" i="33"/>
  <c r="X396" i="33"/>
  <c r="Y396" i="33"/>
  <c r="Z396" i="33"/>
  <c r="F397" i="33"/>
  <c r="K397" i="33"/>
  <c r="G397" i="33"/>
  <c r="H397" i="33"/>
  <c r="I397" i="33"/>
  <c r="L397" i="33"/>
  <c r="R397" i="33"/>
  <c r="S397" i="33"/>
  <c r="T397" i="33"/>
  <c r="V397" i="33"/>
  <c r="W397" i="33"/>
  <c r="X397" i="33"/>
  <c r="Y397" i="33"/>
  <c r="Z397" i="33"/>
  <c r="F398" i="33"/>
  <c r="K398" i="33"/>
  <c r="G398" i="33"/>
  <c r="H398" i="33"/>
  <c r="I398" i="33"/>
  <c r="L398" i="33"/>
  <c r="R398" i="33"/>
  <c r="S398" i="33"/>
  <c r="T398" i="33"/>
  <c r="V398" i="33"/>
  <c r="W398" i="33"/>
  <c r="X398" i="33"/>
  <c r="Y398" i="33"/>
  <c r="Z398" i="33"/>
  <c r="F399" i="33"/>
  <c r="G399" i="33"/>
  <c r="H399" i="33"/>
  <c r="I399" i="33"/>
  <c r="K399" i="33"/>
  <c r="L399" i="33"/>
  <c r="R399" i="33"/>
  <c r="S399" i="33"/>
  <c r="T399" i="33"/>
  <c r="V399" i="33"/>
  <c r="W399" i="33"/>
  <c r="X399" i="33"/>
  <c r="Y399" i="33"/>
  <c r="Z399" i="33"/>
  <c r="F400" i="33"/>
  <c r="G400" i="33"/>
  <c r="H400" i="33"/>
  <c r="I400" i="33"/>
  <c r="K400" i="33"/>
  <c r="L400" i="33"/>
  <c r="R400" i="33"/>
  <c r="S400" i="33"/>
  <c r="T400" i="33"/>
  <c r="V400" i="33"/>
  <c r="W400" i="33"/>
  <c r="X400" i="33"/>
  <c r="Y400" i="33"/>
  <c r="Z400" i="33"/>
  <c r="F401" i="33"/>
  <c r="K401" i="33"/>
  <c r="G401" i="33"/>
  <c r="H401" i="33"/>
  <c r="I401" i="33"/>
  <c r="L401" i="33"/>
  <c r="R401" i="33"/>
  <c r="S401" i="33"/>
  <c r="T401" i="33"/>
  <c r="V401" i="33"/>
  <c r="W401" i="33"/>
  <c r="X401" i="33"/>
  <c r="Y401" i="33"/>
  <c r="Z401" i="33"/>
  <c r="F402" i="33"/>
  <c r="K402" i="33"/>
  <c r="G402" i="33"/>
  <c r="H402" i="33"/>
  <c r="I402" i="33"/>
  <c r="L402" i="33"/>
  <c r="R402" i="33"/>
  <c r="S402" i="33"/>
  <c r="T402" i="33"/>
  <c r="V402" i="33"/>
  <c r="W402" i="33"/>
  <c r="X402" i="33"/>
  <c r="Y402" i="33"/>
  <c r="Z402" i="33"/>
  <c r="F403" i="33"/>
  <c r="G403" i="33"/>
  <c r="H403" i="33"/>
  <c r="I403" i="33"/>
  <c r="K403" i="33"/>
  <c r="L403" i="33"/>
  <c r="R403" i="33"/>
  <c r="S403" i="33"/>
  <c r="T403" i="33"/>
  <c r="V403" i="33"/>
  <c r="W403" i="33"/>
  <c r="X403" i="33"/>
  <c r="Y403" i="33"/>
  <c r="Z403" i="33"/>
  <c r="F404" i="33"/>
  <c r="G404" i="33"/>
  <c r="H404" i="33"/>
  <c r="I404" i="33"/>
  <c r="K404" i="33"/>
  <c r="L404" i="33"/>
  <c r="R404" i="33"/>
  <c r="S404" i="33"/>
  <c r="T404" i="33"/>
  <c r="V404" i="33"/>
  <c r="W404" i="33"/>
  <c r="X404" i="33"/>
  <c r="Y404" i="33"/>
  <c r="Z404" i="33"/>
  <c r="F405" i="33"/>
  <c r="K405" i="33"/>
  <c r="G405" i="33"/>
  <c r="H405" i="33"/>
  <c r="I405" i="33"/>
  <c r="L405" i="33"/>
  <c r="R405" i="33"/>
  <c r="S405" i="33"/>
  <c r="T405" i="33"/>
  <c r="V405" i="33"/>
  <c r="W405" i="33"/>
  <c r="X405" i="33"/>
  <c r="Y405" i="33"/>
  <c r="Z405" i="33"/>
  <c r="F406" i="33"/>
  <c r="K406" i="33"/>
  <c r="G406" i="33"/>
  <c r="H406" i="33"/>
  <c r="I406" i="33"/>
  <c r="L406" i="33"/>
  <c r="R406" i="33"/>
  <c r="S406" i="33"/>
  <c r="T406" i="33"/>
  <c r="V406" i="33"/>
  <c r="W406" i="33"/>
  <c r="X406" i="33"/>
  <c r="Y406" i="33"/>
  <c r="Z406" i="33"/>
  <c r="F407" i="33"/>
  <c r="G407" i="33"/>
  <c r="H407" i="33"/>
  <c r="I407" i="33"/>
  <c r="K407" i="33"/>
  <c r="L407" i="33"/>
  <c r="R407" i="33"/>
  <c r="S407" i="33"/>
  <c r="T407" i="33"/>
  <c r="V407" i="33"/>
  <c r="W407" i="33"/>
  <c r="X407" i="33"/>
  <c r="Y407" i="33"/>
  <c r="Z407" i="33"/>
  <c r="F408" i="33"/>
  <c r="G408" i="33"/>
  <c r="H408" i="33"/>
  <c r="I408" i="33"/>
  <c r="K408" i="33"/>
  <c r="L408" i="33"/>
  <c r="R408" i="33"/>
  <c r="S408" i="33"/>
  <c r="T408" i="33"/>
  <c r="V408" i="33"/>
  <c r="W408" i="33"/>
  <c r="X408" i="33"/>
  <c r="Y408" i="33"/>
  <c r="Z408" i="33"/>
  <c r="F409" i="33"/>
  <c r="K409" i="33"/>
  <c r="G409" i="33"/>
  <c r="H409" i="33"/>
  <c r="I409" i="33"/>
  <c r="L409" i="33"/>
  <c r="R409" i="33"/>
  <c r="S409" i="33"/>
  <c r="T409" i="33"/>
  <c r="V409" i="33"/>
  <c r="W409" i="33"/>
  <c r="X409" i="33"/>
  <c r="Y409" i="33"/>
  <c r="Z409" i="33"/>
  <c r="F410" i="33"/>
  <c r="K410" i="33"/>
  <c r="G410" i="33"/>
  <c r="H410" i="33"/>
  <c r="I410" i="33"/>
  <c r="L410" i="33"/>
  <c r="R410" i="33"/>
  <c r="S410" i="33"/>
  <c r="T410" i="33"/>
  <c r="V410" i="33"/>
  <c r="W410" i="33"/>
  <c r="X410" i="33"/>
  <c r="Y410" i="33"/>
  <c r="Z410" i="33"/>
  <c r="F411" i="33"/>
  <c r="G411" i="33"/>
  <c r="H411" i="33"/>
  <c r="I411" i="33"/>
  <c r="K411" i="33"/>
  <c r="L411" i="33"/>
  <c r="R411" i="33"/>
  <c r="S411" i="33"/>
  <c r="T411" i="33"/>
  <c r="V411" i="33"/>
  <c r="W411" i="33"/>
  <c r="X411" i="33"/>
  <c r="Y411" i="33"/>
  <c r="Z411" i="33"/>
  <c r="F412" i="33"/>
  <c r="G412" i="33"/>
  <c r="H412" i="33"/>
  <c r="I412" i="33"/>
  <c r="K412" i="33"/>
  <c r="L412" i="33"/>
  <c r="R412" i="33"/>
  <c r="S412" i="33"/>
  <c r="T412" i="33"/>
  <c r="V412" i="33"/>
  <c r="W412" i="33"/>
  <c r="X412" i="33"/>
  <c r="Y412" i="33"/>
  <c r="Z412" i="33"/>
  <c r="F415" i="33"/>
  <c r="H415" i="33" s="1"/>
  <c r="K415" i="33"/>
  <c r="R415" i="33"/>
  <c r="S415" i="33"/>
  <c r="T415" i="33"/>
  <c r="W415" i="33" s="1"/>
  <c r="V415" i="33"/>
  <c r="F416" i="33"/>
  <c r="K416" i="33"/>
  <c r="G416" i="33"/>
  <c r="H416" i="33"/>
  <c r="I416" i="33"/>
  <c r="L416" i="33"/>
  <c r="R416" i="33"/>
  <c r="S416" i="33"/>
  <c r="T416" i="33"/>
  <c r="V416" i="33"/>
  <c r="W416" i="33"/>
  <c r="X416" i="33"/>
  <c r="Y416" i="33"/>
  <c r="Z416" i="33"/>
  <c r="F419" i="33"/>
  <c r="G419" i="33" s="1"/>
  <c r="K419" i="33"/>
  <c r="R419" i="33"/>
  <c r="S419" i="33"/>
  <c r="T419" i="33"/>
  <c r="Y419" i="33" s="1"/>
  <c r="V419" i="33"/>
  <c r="F420" i="33"/>
  <c r="G420" i="33"/>
  <c r="H420" i="33"/>
  <c r="I420" i="33"/>
  <c r="K420" i="33"/>
  <c r="L420" i="33"/>
  <c r="R420" i="33"/>
  <c r="S420" i="33"/>
  <c r="T420" i="33"/>
  <c r="V420" i="33"/>
  <c r="W420" i="33"/>
  <c r="X420" i="33"/>
  <c r="Y420" i="33"/>
  <c r="Z420" i="33"/>
  <c r="F421" i="33"/>
  <c r="H421" i="33" s="1"/>
  <c r="K421" i="33"/>
  <c r="R421" i="33"/>
  <c r="S421" i="33"/>
  <c r="T421" i="33"/>
  <c r="Y421" i="33" s="1"/>
  <c r="V421" i="33"/>
  <c r="F422" i="33"/>
  <c r="K422" i="33"/>
  <c r="G422" i="33"/>
  <c r="H422" i="33"/>
  <c r="I422" i="33"/>
  <c r="L422" i="33"/>
  <c r="R422" i="33"/>
  <c r="S422" i="33"/>
  <c r="T422" i="33"/>
  <c r="V422" i="33"/>
  <c r="W422" i="33"/>
  <c r="X422" i="33"/>
  <c r="Y422" i="33"/>
  <c r="Z422" i="33"/>
  <c r="F423" i="33"/>
  <c r="G423" i="33" s="1"/>
  <c r="K423" i="33"/>
  <c r="R423" i="33"/>
  <c r="S423" i="33"/>
  <c r="T423" i="33"/>
  <c r="Y423" i="33" s="1"/>
  <c r="V423" i="33"/>
  <c r="F424" i="33"/>
  <c r="G424" i="33"/>
  <c r="H424" i="33"/>
  <c r="I424" i="33"/>
  <c r="K424" i="33"/>
  <c r="L424" i="33"/>
  <c r="R424" i="33"/>
  <c r="S424" i="33"/>
  <c r="T424" i="33"/>
  <c r="V424" i="33"/>
  <c r="W424" i="33"/>
  <c r="X424" i="33"/>
  <c r="Y424" i="33"/>
  <c r="Z424" i="33"/>
  <c r="F427" i="33"/>
  <c r="I427" i="33" s="1"/>
  <c r="K427" i="33"/>
  <c r="R427" i="33"/>
  <c r="S427" i="33"/>
  <c r="T427" i="33"/>
  <c r="W427" i="33" s="1"/>
  <c r="V427" i="33"/>
  <c r="F428" i="33"/>
  <c r="K428" i="33"/>
  <c r="G428" i="33"/>
  <c r="H428" i="33"/>
  <c r="I428" i="33"/>
  <c r="L428" i="33"/>
  <c r="R428" i="33"/>
  <c r="S428" i="33"/>
  <c r="T428" i="33"/>
  <c r="V428" i="33"/>
  <c r="W428" i="33"/>
  <c r="X428" i="33"/>
  <c r="Y428" i="33"/>
  <c r="Z428" i="33"/>
  <c r="F429" i="33"/>
  <c r="G429" i="33" s="1"/>
  <c r="K429" i="33"/>
  <c r="R429" i="33"/>
  <c r="S429" i="33"/>
  <c r="T429" i="33"/>
  <c r="W429" i="33" s="1"/>
  <c r="V429" i="33"/>
  <c r="F430" i="33"/>
  <c r="G430" i="33"/>
  <c r="H430" i="33"/>
  <c r="I430" i="33"/>
  <c r="K430" i="33"/>
  <c r="L430" i="33"/>
  <c r="R430" i="33"/>
  <c r="S430" i="33"/>
  <c r="T430" i="33"/>
  <c r="V430" i="33"/>
  <c r="W430" i="33"/>
  <c r="X430" i="33"/>
  <c r="Y430" i="33"/>
  <c r="Z430" i="33"/>
  <c r="F431" i="33"/>
  <c r="I431" i="33" s="1"/>
  <c r="K431" i="33"/>
  <c r="R431" i="33"/>
  <c r="S431" i="33"/>
  <c r="T431" i="33"/>
  <c r="X431" i="33" s="1"/>
  <c r="V431" i="33"/>
  <c r="F432" i="33"/>
  <c r="K432" i="33"/>
  <c r="G432" i="33"/>
  <c r="H432" i="33"/>
  <c r="I432" i="33"/>
  <c r="L432" i="33"/>
  <c r="R432" i="33"/>
  <c r="S432" i="33"/>
  <c r="T432" i="33"/>
  <c r="V432" i="33"/>
  <c r="W432" i="33"/>
  <c r="X432" i="33"/>
  <c r="Y432" i="33"/>
  <c r="Z432" i="33"/>
  <c r="F433" i="33"/>
  <c r="I433" i="33" s="1"/>
  <c r="K433" i="33"/>
  <c r="R433" i="33"/>
  <c r="S433" i="33"/>
  <c r="T433" i="33"/>
  <c r="Y433" i="33" s="1"/>
  <c r="V433" i="33"/>
  <c r="F434" i="33"/>
  <c r="G434" i="33"/>
  <c r="H434" i="33"/>
  <c r="I434" i="33"/>
  <c r="K434" i="33"/>
  <c r="L434" i="33"/>
  <c r="R434" i="33"/>
  <c r="S434" i="33"/>
  <c r="T434" i="33"/>
  <c r="V434" i="33"/>
  <c r="W434" i="33"/>
  <c r="X434" i="33"/>
  <c r="Y434" i="33"/>
  <c r="Z434" i="33"/>
  <c r="F441" i="33"/>
  <c r="I441" i="33" s="1"/>
  <c r="K441" i="33"/>
  <c r="R441" i="33"/>
  <c r="S441" i="33"/>
  <c r="T441" i="33"/>
  <c r="W441" i="33" s="1"/>
  <c r="V441" i="33"/>
  <c r="F442" i="33"/>
  <c r="K442" i="33"/>
  <c r="G442" i="33"/>
  <c r="H442" i="33"/>
  <c r="I442" i="33"/>
  <c r="L442" i="33"/>
  <c r="R442" i="33"/>
  <c r="S442" i="33"/>
  <c r="T442" i="33"/>
  <c r="V442" i="33"/>
  <c r="W442" i="33"/>
  <c r="X442" i="33"/>
  <c r="Y442" i="33"/>
  <c r="Z442" i="33"/>
  <c r="F443" i="33"/>
  <c r="I443" i="33" s="1"/>
  <c r="K443" i="33"/>
  <c r="R443" i="33"/>
  <c r="S443" i="33"/>
  <c r="T443" i="33"/>
  <c r="Y443" i="33" s="1"/>
  <c r="V443" i="33"/>
  <c r="F444" i="33"/>
  <c r="G444" i="33"/>
  <c r="H444" i="33"/>
  <c r="I444" i="33"/>
  <c r="K444" i="33"/>
  <c r="L444" i="33"/>
  <c r="R444" i="33"/>
  <c r="S444" i="33"/>
  <c r="T444" i="33"/>
  <c r="V444" i="33"/>
  <c r="W444" i="33"/>
  <c r="X444" i="33"/>
  <c r="Y444" i="33"/>
  <c r="Z444" i="33"/>
  <c r="F445" i="33"/>
  <c r="I445" i="33" s="1"/>
  <c r="K445" i="33"/>
  <c r="R445" i="33"/>
  <c r="S445" i="33"/>
  <c r="T445" i="33"/>
  <c r="Y445" i="33" s="1"/>
  <c r="V445" i="33"/>
  <c r="F446" i="33"/>
  <c r="K446" i="33"/>
  <c r="G446" i="33"/>
  <c r="H446" i="33"/>
  <c r="I446" i="33"/>
  <c r="L446" i="33"/>
  <c r="R446" i="33"/>
  <c r="S446" i="33"/>
  <c r="T446" i="33"/>
  <c r="V446" i="33"/>
  <c r="W446" i="33"/>
  <c r="X446" i="33"/>
  <c r="Y446" i="33"/>
  <c r="Z446" i="33"/>
  <c r="F447" i="33"/>
  <c r="I447" i="33" s="1"/>
  <c r="K447" i="33"/>
  <c r="R447" i="33"/>
  <c r="S447" i="33"/>
  <c r="T447" i="33"/>
  <c r="Y447" i="33" s="1"/>
  <c r="V447" i="33"/>
  <c r="F448" i="33"/>
  <c r="G448" i="33"/>
  <c r="H448" i="33"/>
  <c r="I448" i="33"/>
  <c r="K448" i="33"/>
  <c r="L448" i="33"/>
  <c r="R448" i="33"/>
  <c r="S448" i="33"/>
  <c r="T448" i="33"/>
  <c r="V448" i="33"/>
  <c r="W448" i="33"/>
  <c r="X448" i="33"/>
  <c r="Y448" i="33"/>
  <c r="Z448" i="33"/>
  <c r="F449" i="33"/>
  <c r="H449" i="33" s="1"/>
  <c r="K449" i="33"/>
  <c r="R449" i="33"/>
  <c r="S449" i="33"/>
  <c r="T449" i="33"/>
  <c r="Y449" i="33" s="1"/>
  <c r="V449" i="33"/>
  <c r="F450" i="33"/>
  <c r="K450" i="33"/>
  <c r="G450" i="33"/>
  <c r="H450" i="33"/>
  <c r="I450" i="33"/>
  <c r="L450" i="33"/>
  <c r="R450" i="33"/>
  <c r="S450" i="33"/>
  <c r="T450" i="33"/>
  <c r="V450" i="33"/>
  <c r="W450" i="33"/>
  <c r="X450" i="33"/>
  <c r="Y450" i="33"/>
  <c r="Z450" i="33"/>
  <c r="F451" i="33"/>
  <c r="I451" i="33" s="1"/>
  <c r="K451" i="33"/>
  <c r="R451" i="33"/>
  <c r="S451" i="33"/>
  <c r="T451" i="33"/>
  <c r="Y451" i="33" s="1"/>
  <c r="V451" i="33"/>
  <c r="F452" i="33"/>
  <c r="G452" i="33"/>
  <c r="H452" i="33"/>
  <c r="I452" i="33"/>
  <c r="K452" i="33"/>
  <c r="L452" i="33"/>
  <c r="R452" i="33"/>
  <c r="S452" i="33"/>
  <c r="T452" i="33"/>
  <c r="V452" i="33"/>
  <c r="W452" i="33"/>
  <c r="X452" i="33"/>
  <c r="Y452" i="33"/>
  <c r="Z452" i="33"/>
  <c r="F455" i="33"/>
  <c r="K455" i="33"/>
  <c r="G455" i="33"/>
  <c r="H455" i="33"/>
  <c r="I455" i="33"/>
  <c r="L455" i="33"/>
  <c r="R455" i="33"/>
  <c r="S455" i="33"/>
  <c r="T455" i="33"/>
  <c r="V455" i="33"/>
  <c r="W455" i="33"/>
  <c r="X455" i="33"/>
  <c r="Y455" i="33"/>
  <c r="Z455" i="33"/>
  <c r="F456" i="33"/>
  <c r="G456" i="33"/>
  <c r="H456" i="33"/>
  <c r="I456" i="33"/>
  <c r="K456" i="33"/>
  <c r="L456" i="33"/>
  <c r="R456" i="33"/>
  <c r="S456" i="33"/>
  <c r="T456" i="33"/>
  <c r="V456" i="33"/>
  <c r="W456" i="33"/>
  <c r="X456" i="33"/>
  <c r="Y456" i="33"/>
  <c r="Z456" i="33"/>
  <c r="F457" i="33"/>
  <c r="G457" i="33"/>
  <c r="H457" i="33"/>
  <c r="I457" i="33"/>
  <c r="K457" i="33"/>
  <c r="L457" i="33"/>
  <c r="R457" i="33"/>
  <c r="S457" i="33"/>
  <c r="T457" i="33"/>
  <c r="V457" i="33"/>
  <c r="W457" i="33"/>
  <c r="X457" i="33"/>
  <c r="Y457" i="33"/>
  <c r="Z457" i="33"/>
  <c r="F458" i="33"/>
  <c r="K458" i="33"/>
  <c r="G458" i="33"/>
  <c r="H458" i="33"/>
  <c r="I458" i="33"/>
  <c r="L458" i="33"/>
  <c r="R458" i="33"/>
  <c r="S458" i="33"/>
  <c r="T458" i="33"/>
  <c r="V458" i="33"/>
  <c r="W458" i="33"/>
  <c r="X458" i="33"/>
  <c r="Y458" i="33"/>
  <c r="Z458" i="33"/>
  <c r="F459" i="33"/>
  <c r="K459" i="33"/>
  <c r="G459" i="33"/>
  <c r="H459" i="33"/>
  <c r="I459" i="33"/>
  <c r="L459" i="33"/>
  <c r="R459" i="33"/>
  <c r="S459" i="33"/>
  <c r="T459" i="33"/>
  <c r="V459" i="33"/>
  <c r="W459" i="33"/>
  <c r="X459" i="33"/>
  <c r="Y459" i="33"/>
  <c r="Z459" i="33"/>
  <c r="F460" i="33"/>
  <c r="G460" i="33"/>
  <c r="H460" i="33"/>
  <c r="I460" i="33"/>
  <c r="K460" i="33"/>
  <c r="L460" i="33"/>
  <c r="R460" i="33"/>
  <c r="S460" i="33"/>
  <c r="T460" i="33"/>
  <c r="V460" i="33"/>
  <c r="W460" i="33"/>
  <c r="X460" i="33"/>
  <c r="Y460" i="33"/>
  <c r="Z460" i="33"/>
  <c r="F461" i="33"/>
  <c r="G461" i="33"/>
  <c r="H461" i="33"/>
  <c r="I461" i="33"/>
  <c r="K461" i="33"/>
  <c r="L461" i="33"/>
  <c r="R461" i="33"/>
  <c r="S461" i="33"/>
  <c r="T461" i="33"/>
  <c r="V461" i="33"/>
  <c r="W461" i="33"/>
  <c r="X461" i="33"/>
  <c r="Y461" i="33"/>
  <c r="Z461" i="33"/>
  <c r="F462" i="33"/>
  <c r="K462" i="33"/>
  <c r="G462" i="33"/>
  <c r="H462" i="33"/>
  <c r="I462" i="33"/>
  <c r="L462" i="33"/>
  <c r="R462" i="33"/>
  <c r="S462" i="33"/>
  <c r="T462" i="33"/>
  <c r="V462" i="33"/>
  <c r="W462" i="33"/>
  <c r="X462" i="33"/>
  <c r="Y462" i="33"/>
  <c r="Z462" i="33"/>
  <c r="F463" i="33"/>
  <c r="K463" i="33"/>
  <c r="G463" i="33"/>
  <c r="H463" i="33"/>
  <c r="I463" i="33"/>
  <c r="L463" i="33"/>
  <c r="R463" i="33"/>
  <c r="S463" i="33"/>
  <c r="T463" i="33"/>
  <c r="V463" i="33"/>
  <c r="W463" i="33"/>
  <c r="X463" i="33"/>
  <c r="Y463" i="33"/>
  <c r="Z463" i="33"/>
  <c r="F464" i="33"/>
  <c r="G464" i="33"/>
  <c r="H464" i="33"/>
  <c r="I464" i="33"/>
  <c r="K464" i="33"/>
  <c r="L464" i="33"/>
  <c r="R464" i="33"/>
  <c r="S464" i="33"/>
  <c r="T464" i="33"/>
  <c r="V464" i="33"/>
  <c r="W464" i="33"/>
  <c r="X464" i="33"/>
  <c r="Y464" i="33"/>
  <c r="Z464" i="33"/>
  <c r="F475" i="33"/>
  <c r="H475" i="33" s="1"/>
  <c r="K475" i="33"/>
  <c r="R475" i="33"/>
  <c r="S475" i="33"/>
  <c r="T475" i="33"/>
  <c r="Y475" i="33" s="1"/>
  <c r="V475" i="33"/>
  <c r="F476" i="33"/>
  <c r="K476" i="33"/>
  <c r="G476" i="33"/>
  <c r="H476" i="33"/>
  <c r="I476" i="33"/>
  <c r="L476" i="33"/>
  <c r="R476" i="33"/>
  <c r="S476" i="33"/>
  <c r="T476" i="33"/>
  <c r="V476" i="33"/>
  <c r="W476" i="33"/>
  <c r="X476" i="33"/>
  <c r="Y476" i="33"/>
  <c r="Z476" i="33"/>
  <c r="F479" i="33"/>
  <c r="G479" i="33" s="1"/>
  <c r="K479" i="33"/>
  <c r="R479" i="33"/>
  <c r="S479" i="33"/>
  <c r="T479" i="33"/>
  <c r="Z479" i="33" s="1"/>
  <c r="V479" i="33"/>
  <c r="F480" i="33"/>
  <c r="G480" i="33"/>
  <c r="H480" i="33"/>
  <c r="I480" i="33"/>
  <c r="K480" i="33"/>
  <c r="L480" i="33"/>
  <c r="R480" i="33"/>
  <c r="S480" i="33"/>
  <c r="T480" i="33"/>
  <c r="V480" i="33"/>
  <c r="W480" i="33"/>
  <c r="X480" i="33"/>
  <c r="Y480" i="33"/>
  <c r="Z480" i="33"/>
  <c r="F481" i="33"/>
  <c r="G481" i="33" s="1"/>
  <c r="K481" i="33"/>
  <c r="R481" i="33"/>
  <c r="S481" i="33"/>
  <c r="T481" i="33"/>
  <c r="Z481" i="33" s="1"/>
  <c r="V481" i="33"/>
  <c r="F482" i="33"/>
  <c r="K482" i="33"/>
  <c r="G482" i="33"/>
  <c r="H482" i="33"/>
  <c r="I482" i="33"/>
  <c r="L482" i="33"/>
  <c r="R482" i="33"/>
  <c r="S482" i="33"/>
  <c r="T482" i="33"/>
  <c r="V482" i="33"/>
  <c r="W482" i="33"/>
  <c r="X482" i="33"/>
  <c r="Y482" i="33"/>
  <c r="Z482" i="33"/>
  <c r="F483" i="33"/>
  <c r="H483" i="33" s="1"/>
  <c r="K483" i="33"/>
  <c r="R483" i="33"/>
  <c r="S483" i="33"/>
  <c r="T483" i="33"/>
  <c r="Y483" i="33" s="1"/>
  <c r="V483" i="33"/>
  <c r="F484" i="33"/>
  <c r="G484" i="33"/>
  <c r="H484" i="33"/>
  <c r="I484" i="33"/>
  <c r="K484" i="33"/>
  <c r="L484" i="33"/>
  <c r="R484" i="33"/>
  <c r="S484" i="33"/>
  <c r="T484" i="33"/>
  <c r="V484" i="33"/>
  <c r="W484" i="33"/>
  <c r="X484" i="33"/>
  <c r="Y484" i="33"/>
  <c r="Z484" i="33"/>
  <c r="F485" i="33"/>
  <c r="H485" i="33" s="1"/>
  <c r="K485" i="33"/>
  <c r="R485" i="33"/>
  <c r="S485" i="33"/>
  <c r="T485" i="33"/>
  <c r="Z485" i="33" s="1"/>
  <c r="V485" i="33"/>
  <c r="F486" i="33"/>
  <c r="K486" i="33"/>
  <c r="G486" i="33"/>
  <c r="H486" i="33"/>
  <c r="I486" i="33"/>
  <c r="L486" i="33"/>
  <c r="R486" i="33"/>
  <c r="S486" i="33"/>
  <c r="T486" i="33"/>
  <c r="V486" i="33"/>
  <c r="W486" i="33"/>
  <c r="X486" i="33"/>
  <c r="Y486" i="33"/>
  <c r="Z486" i="33"/>
  <c r="F487" i="33"/>
  <c r="H487" i="33" s="1"/>
  <c r="K487" i="33"/>
  <c r="R487" i="33"/>
  <c r="S487" i="33"/>
  <c r="T487" i="33"/>
  <c r="Z487" i="33" s="1"/>
  <c r="V487" i="33"/>
  <c r="F488" i="33"/>
  <c r="G488" i="33"/>
  <c r="H488" i="33"/>
  <c r="I488" i="33"/>
  <c r="K488" i="33"/>
  <c r="L488" i="33"/>
  <c r="R488" i="33"/>
  <c r="S488" i="33"/>
  <c r="T488" i="33"/>
  <c r="V488" i="33"/>
  <c r="W488" i="33"/>
  <c r="X488" i="33"/>
  <c r="Y488" i="33"/>
  <c r="Z488" i="33"/>
  <c r="F489" i="33"/>
  <c r="K489" i="33"/>
  <c r="G489" i="33"/>
  <c r="H489" i="33"/>
  <c r="I489" i="33"/>
  <c r="L489" i="33"/>
  <c r="R489" i="33"/>
  <c r="S489" i="33"/>
  <c r="T489" i="33"/>
  <c r="V489" i="33"/>
  <c r="W489" i="33"/>
  <c r="X489" i="33"/>
  <c r="Y489" i="33"/>
  <c r="Z489" i="33"/>
  <c r="F490" i="33"/>
  <c r="G490" i="33"/>
  <c r="H490" i="33"/>
  <c r="I490" i="33"/>
  <c r="K490" i="33"/>
  <c r="L490" i="33"/>
  <c r="R490" i="33"/>
  <c r="S490" i="33"/>
  <c r="T490" i="33"/>
  <c r="V490" i="33"/>
  <c r="W490" i="33"/>
  <c r="X490" i="33"/>
  <c r="Y490" i="33"/>
  <c r="Z490" i="33"/>
  <c r="F493" i="33"/>
  <c r="G493" i="33"/>
  <c r="H493" i="33"/>
  <c r="I493" i="33"/>
  <c r="K493" i="33"/>
  <c r="L493" i="33"/>
  <c r="R493" i="33"/>
  <c r="S493" i="33"/>
  <c r="T493" i="33"/>
  <c r="V493" i="33"/>
  <c r="W493" i="33"/>
  <c r="X493" i="33"/>
  <c r="Y493" i="33"/>
  <c r="Z493" i="33"/>
  <c r="F494" i="33"/>
  <c r="K494" i="33"/>
  <c r="G494" i="33"/>
  <c r="H494" i="33"/>
  <c r="I494" i="33"/>
  <c r="L494" i="33"/>
  <c r="R494" i="33"/>
  <c r="S494" i="33"/>
  <c r="T494" i="33"/>
  <c r="V494" i="33"/>
  <c r="W494" i="33"/>
  <c r="X494" i="33"/>
  <c r="Y494" i="33"/>
  <c r="Z494" i="33"/>
  <c r="F495" i="33"/>
  <c r="K495" i="33"/>
  <c r="G495" i="33"/>
  <c r="H495" i="33"/>
  <c r="I495" i="33"/>
  <c r="L495" i="33"/>
  <c r="R495" i="33"/>
  <c r="S495" i="33"/>
  <c r="T495" i="33"/>
  <c r="V495" i="33"/>
  <c r="W495" i="33"/>
  <c r="X495" i="33"/>
  <c r="Y495" i="33"/>
  <c r="Z495" i="33"/>
  <c r="F496" i="33"/>
  <c r="G496" i="33"/>
  <c r="H496" i="33"/>
  <c r="I496" i="33"/>
  <c r="K496" i="33"/>
  <c r="L496" i="33"/>
  <c r="R496" i="33"/>
  <c r="S496" i="33"/>
  <c r="T496" i="33"/>
  <c r="V496" i="33"/>
  <c r="W496" i="33"/>
  <c r="X496" i="33"/>
  <c r="Y496" i="33"/>
  <c r="Z496" i="33"/>
  <c r="F497" i="33"/>
  <c r="G497" i="33"/>
  <c r="H497" i="33"/>
  <c r="I497" i="33"/>
  <c r="K497" i="33"/>
  <c r="L497" i="33"/>
  <c r="R497" i="33"/>
  <c r="S497" i="33"/>
  <c r="T497" i="33"/>
  <c r="V497" i="33"/>
  <c r="W497" i="33"/>
  <c r="X497" i="33"/>
  <c r="Y497" i="33"/>
  <c r="Z497" i="33"/>
  <c r="F498" i="33"/>
  <c r="K498" i="33"/>
  <c r="G498" i="33"/>
  <c r="H498" i="33"/>
  <c r="I498" i="33"/>
  <c r="L498" i="33"/>
  <c r="R498" i="33"/>
  <c r="S498" i="33"/>
  <c r="T498" i="33"/>
  <c r="V498" i="33"/>
  <c r="W498" i="33"/>
  <c r="X498" i="33"/>
  <c r="Y498" i="33"/>
  <c r="Z498" i="33"/>
  <c r="F499" i="33"/>
  <c r="I499" i="33" s="1"/>
  <c r="K499" i="33"/>
  <c r="R499" i="33"/>
  <c r="S499" i="33"/>
  <c r="T499" i="33"/>
  <c r="Z499" i="33" s="1"/>
  <c r="V499" i="33"/>
  <c r="F500" i="33"/>
  <c r="G500" i="33"/>
  <c r="H500" i="33"/>
  <c r="I500" i="33"/>
  <c r="K500" i="33"/>
  <c r="L500" i="33"/>
  <c r="R500" i="33"/>
  <c r="S500" i="33"/>
  <c r="T500" i="33"/>
  <c r="V500" i="33"/>
  <c r="W500" i="33"/>
  <c r="X500" i="33"/>
  <c r="Y500" i="33"/>
  <c r="Z500" i="33"/>
  <c r="F501" i="33"/>
  <c r="I501" i="33" s="1"/>
  <c r="K501" i="33"/>
  <c r="R501" i="33"/>
  <c r="S501" i="33"/>
  <c r="T501" i="33"/>
  <c r="W501" i="33" s="1"/>
  <c r="V501" i="33"/>
  <c r="F502" i="33"/>
  <c r="K502" i="33"/>
  <c r="G502" i="33"/>
  <c r="H502" i="33"/>
  <c r="I502" i="33"/>
  <c r="L502" i="33"/>
  <c r="R502" i="33"/>
  <c r="S502" i="33"/>
  <c r="T502" i="33"/>
  <c r="V502" i="33"/>
  <c r="W502" i="33"/>
  <c r="X502" i="33"/>
  <c r="Y502" i="33"/>
  <c r="Z502" i="33"/>
  <c r="F504" i="33"/>
  <c r="G504" i="33"/>
  <c r="H504" i="33"/>
  <c r="I504" i="33"/>
  <c r="K504" i="33"/>
  <c r="L504" i="33"/>
  <c r="R504" i="33"/>
  <c r="S504" i="33"/>
  <c r="T504" i="33"/>
  <c r="V504" i="33"/>
  <c r="W504" i="33"/>
  <c r="X504" i="33"/>
  <c r="Y504" i="33"/>
  <c r="Z504" i="33"/>
  <c r="F505" i="33"/>
  <c r="G505" i="33" s="1"/>
  <c r="R505" i="33"/>
  <c r="S505" i="33"/>
  <c r="T505" i="33"/>
  <c r="X505" i="33" s="1"/>
  <c r="V505" i="33"/>
  <c r="F506" i="33"/>
  <c r="K506" i="33"/>
  <c r="G506" i="33"/>
  <c r="H506" i="33"/>
  <c r="I506" i="33"/>
  <c r="L506" i="33"/>
  <c r="R506" i="33"/>
  <c r="S506" i="33"/>
  <c r="T506" i="33"/>
  <c r="V506" i="33"/>
  <c r="W506" i="33"/>
  <c r="X506" i="33"/>
  <c r="Y506" i="33"/>
  <c r="Z506" i="33"/>
  <c r="F507" i="33"/>
  <c r="G507" i="33" s="1"/>
  <c r="K507" i="33"/>
  <c r="R507" i="33"/>
  <c r="S507" i="33"/>
  <c r="T507" i="33"/>
  <c r="X507" i="33" s="1"/>
  <c r="V507" i="33"/>
  <c r="F508" i="33"/>
  <c r="G508" i="33"/>
  <c r="H508" i="33"/>
  <c r="I508" i="33"/>
  <c r="K508" i="33"/>
  <c r="L508" i="33"/>
  <c r="R508" i="33"/>
  <c r="S508" i="33"/>
  <c r="T508" i="33"/>
  <c r="V508" i="33"/>
  <c r="W508" i="33"/>
  <c r="X508" i="33"/>
  <c r="Y508" i="33"/>
  <c r="Z508" i="33"/>
  <c r="F509" i="33"/>
  <c r="I509" i="33" s="1"/>
  <c r="K509" i="33"/>
  <c r="R509" i="33"/>
  <c r="S509" i="33"/>
  <c r="T509" i="33"/>
  <c r="Z509" i="33" s="1"/>
  <c r="V509" i="33"/>
  <c r="F510" i="33"/>
  <c r="K510" i="33"/>
  <c r="G510" i="33"/>
  <c r="H510" i="33"/>
  <c r="I510" i="33"/>
  <c r="L510" i="33"/>
  <c r="R510" i="33"/>
  <c r="S510" i="33"/>
  <c r="T510" i="33"/>
  <c r="V510" i="33"/>
  <c r="W510" i="33"/>
  <c r="X510" i="33"/>
  <c r="Y510" i="33"/>
  <c r="Z510" i="33"/>
  <c r="F511" i="33"/>
  <c r="I511" i="33" s="1"/>
  <c r="K511" i="33"/>
  <c r="R511" i="33"/>
  <c r="S511" i="33"/>
  <c r="T511" i="33"/>
  <c r="X511" i="33" s="1"/>
  <c r="V511" i="33"/>
  <c r="F512" i="33"/>
  <c r="G512" i="33"/>
  <c r="H512" i="33"/>
  <c r="I512" i="33"/>
  <c r="K512" i="33"/>
  <c r="L512" i="33"/>
  <c r="R512" i="33"/>
  <c r="S512" i="33"/>
  <c r="T512" i="33"/>
  <c r="V512" i="33"/>
  <c r="W512" i="33"/>
  <c r="X512" i="33"/>
  <c r="Y512" i="33"/>
  <c r="Z512" i="33"/>
  <c r="F513" i="33"/>
  <c r="G513" i="33" s="1"/>
  <c r="K513" i="33"/>
  <c r="R513" i="33"/>
  <c r="S513" i="33"/>
  <c r="T513" i="33"/>
  <c r="Z513" i="33" s="1"/>
  <c r="V513" i="33"/>
  <c r="F514" i="33"/>
  <c r="K514" i="33"/>
  <c r="G514" i="33"/>
  <c r="H514" i="33"/>
  <c r="I514" i="33"/>
  <c r="L514" i="33"/>
  <c r="R514" i="33"/>
  <c r="S514" i="33"/>
  <c r="T514" i="33"/>
  <c r="V514" i="33"/>
  <c r="W514" i="33"/>
  <c r="X514" i="33"/>
  <c r="Y514" i="33"/>
  <c r="Z514" i="33"/>
  <c r="F518" i="33"/>
  <c r="G518" i="33"/>
  <c r="H518" i="33"/>
  <c r="I518" i="33"/>
  <c r="K518" i="33"/>
  <c r="L518" i="33"/>
  <c r="R518" i="33"/>
  <c r="S518" i="33"/>
  <c r="T518" i="33"/>
  <c r="V518" i="33"/>
  <c r="W518" i="33"/>
  <c r="X518" i="33"/>
  <c r="Y518" i="33"/>
  <c r="Z518" i="33"/>
  <c r="F519" i="33"/>
  <c r="G519" i="33"/>
  <c r="H519" i="33"/>
  <c r="I519" i="33"/>
  <c r="K519" i="33"/>
  <c r="L519" i="33"/>
  <c r="R519" i="33"/>
  <c r="S519" i="33"/>
  <c r="T519" i="33"/>
  <c r="V519" i="33"/>
  <c r="W519" i="33"/>
  <c r="X519" i="33"/>
  <c r="Y519" i="33"/>
  <c r="Z519" i="33"/>
  <c r="F520" i="33"/>
  <c r="K520" i="33"/>
  <c r="G520" i="33"/>
  <c r="H520" i="33"/>
  <c r="I520" i="33"/>
  <c r="L520" i="33"/>
  <c r="R520" i="33"/>
  <c r="S520" i="33"/>
  <c r="T520" i="33"/>
  <c r="V520" i="33"/>
  <c r="W520" i="33"/>
  <c r="X520" i="33"/>
  <c r="Y520" i="33"/>
  <c r="Z520" i="33"/>
  <c r="F521" i="33"/>
  <c r="K521" i="33"/>
  <c r="G521" i="33"/>
  <c r="H521" i="33"/>
  <c r="I521" i="33"/>
  <c r="L521" i="33"/>
  <c r="R521" i="33"/>
  <c r="S521" i="33"/>
  <c r="T521" i="33"/>
  <c r="V521" i="33"/>
  <c r="W521" i="33"/>
  <c r="X521" i="33"/>
  <c r="Y521" i="33"/>
  <c r="Z521" i="33"/>
  <c r="F524" i="33"/>
  <c r="G524" i="33"/>
  <c r="H524" i="33"/>
  <c r="I524" i="33"/>
  <c r="K524" i="33"/>
  <c r="L524" i="33"/>
  <c r="R524" i="33"/>
  <c r="S524" i="33"/>
  <c r="T524" i="33"/>
  <c r="V524" i="33"/>
  <c r="W524" i="33"/>
  <c r="X524" i="33"/>
  <c r="Y524" i="33"/>
  <c r="Z524" i="33"/>
  <c r="F525" i="33"/>
  <c r="K525" i="33"/>
  <c r="G525" i="33"/>
  <c r="H525" i="33"/>
  <c r="I525" i="33"/>
  <c r="L525" i="33"/>
  <c r="R525" i="33"/>
  <c r="S525" i="33"/>
  <c r="T525" i="33"/>
  <c r="V525" i="33"/>
  <c r="W525" i="33"/>
  <c r="X525" i="33"/>
  <c r="Y525" i="33"/>
  <c r="Z525" i="33"/>
  <c r="F526" i="33"/>
  <c r="K526" i="33"/>
  <c r="G526" i="33"/>
  <c r="H526" i="33"/>
  <c r="I526" i="33"/>
  <c r="L526" i="33"/>
  <c r="R526" i="33"/>
  <c r="S526" i="33"/>
  <c r="T526" i="33"/>
  <c r="V526" i="33"/>
  <c r="W526" i="33"/>
  <c r="X526" i="33"/>
  <c r="Y526" i="33"/>
  <c r="Z526" i="33"/>
  <c r="F527" i="33"/>
  <c r="G527" i="33"/>
  <c r="H527" i="33"/>
  <c r="I527" i="33"/>
  <c r="K527" i="33"/>
  <c r="L527" i="33"/>
  <c r="R527" i="33"/>
  <c r="S527" i="33"/>
  <c r="T527" i="33"/>
  <c r="V527" i="33"/>
  <c r="W527" i="33"/>
  <c r="X527" i="33"/>
  <c r="Y527" i="33"/>
  <c r="Z527" i="33"/>
  <c r="F528" i="33"/>
  <c r="G528" i="33"/>
  <c r="H528" i="33"/>
  <c r="I528" i="33"/>
  <c r="K528" i="33"/>
  <c r="L528" i="33"/>
  <c r="R528" i="33"/>
  <c r="S528" i="33"/>
  <c r="T528" i="33"/>
  <c r="V528" i="33"/>
  <c r="W528" i="33"/>
  <c r="X528" i="33"/>
  <c r="Y528" i="33"/>
  <c r="Z528" i="33"/>
  <c r="F529" i="33"/>
  <c r="K529" i="33"/>
  <c r="G529" i="33"/>
  <c r="H529" i="33"/>
  <c r="I529" i="33"/>
  <c r="L529" i="33"/>
  <c r="R529" i="33"/>
  <c r="S529" i="33"/>
  <c r="T529" i="33"/>
  <c r="V529" i="33"/>
  <c r="W529" i="33"/>
  <c r="X529" i="33"/>
  <c r="Y529" i="33"/>
  <c r="Z529" i="33"/>
  <c r="F530" i="33"/>
  <c r="K530" i="33"/>
  <c r="G530" i="33"/>
  <c r="H530" i="33"/>
  <c r="I530" i="33"/>
  <c r="L530" i="33"/>
  <c r="R530" i="33"/>
  <c r="S530" i="33"/>
  <c r="T530" i="33"/>
  <c r="V530" i="33"/>
  <c r="W530" i="33"/>
  <c r="X530" i="33"/>
  <c r="Y530" i="33"/>
  <c r="Z530" i="33"/>
  <c r="F531" i="33"/>
  <c r="G531" i="33"/>
  <c r="H531" i="33"/>
  <c r="I531" i="33"/>
  <c r="K531" i="33"/>
  <c r="L531" i="33"/>
  <c r="R531" i="33"/>
  <c r="S531" i="33"/>
  <c r="T531" i="33"/>
  <c r="V531" i="33"/>
  <c r="W531" i="33"/>
  <c r="X531" i="33"/>
  <c r="Y531" i="33"/>
  <c r="Z531" i="33"/>
  <c r="F532" i="33"/>
  <c r="G532" i="33"/>
  <c r="H532" i="33"/>
  <c r="I532" i="33"/>
  <c r="K532" i="33"/>
  <c r="L532" i="33"/>
  <c r="R532" i="33"/>
  <c r="S532" i="33"/>
  <c r="T532" i="33"/>
  <c r="V532" i="33"/>
  <c r="W532" i="33"/>
  <c r="X532" i="33"/>
  <c r="Y532" i="33"/>
  <c r="Z532" i="33"/>
  <c r="F533" i="33"/>
  <c r="K533" i="33"/>
  <c r="G533" i="33"/>
  <c r="H533" i="33"/>
  <c r="I533" i="33"/>
  <c r="L533" i="33"/>
  <c r="R533" i="33"/>
  <c r="S533" i="33"/>
  <c r="T533" i="33"/>
  <c r="V533" i="33"/>
  <c r="W533" i="33"/>
  <c r="X533" i="33"/>
  <c r="Y533" i="33"/>
  <c r="Z533" i="33"/>
  <c r="F534" i="33"/>
  <c r="K534" i="33"/>
  <c r="G534" i="33"/>
  <c r="H534" i="33"/>
  <c r="I534" i="33"/>
  <c r="L534" i="33"/>
  <c r="R534" i="33"/>
  <c r="S534" i="33"/>
  <c r="T534" i="33"/>
  <c r="V534" i="33"/>
  <c r="W534" i="33"/>
  <c r="X534" i="33"/>
  <c r="Y534" i="33"/>
  <c r="Z534" i="33"/>
  <c r="F535" i="33"/>
  <c r="G535" i="33"/>
  <c r="H535" i="33"/>
  <c r="I535" i="33"/>
  <c r="K535" i="33"/>
  <c r="L535" i="33"/>
  <c r="R535" i="33"/>
  <c r="S535" i="33"/>
  <c r="T535" i="33"/>
  <c r="V535" i="33"/>
  <c r="W535" i="33"/>
  <c r="X535" i="33"/>
  <c r="Y535" i="33"/>
  <c r="Z535" i="33"/>
  <c r="F538" i="33"/>
  <c r="G538" i="33" s="1"/>
  <c r="K538" i="33"/>
  <c r="R538" i="33"/>
  <c r="S538" i="33"/>
  <c r="T538" i="33"/>
  <c r="Z538" i="33" s="1"/>
  <c r="V538" i="33"/>
  <c r="F539" i="33"/>
  <c r="K539" i="33"/>
  <c r="G539" i="33"/>
  <c r="H539" i="33"/>
  <c r="I539" i="33"/>
  <c r="L539" i="33"/>
  <c r="R539" i="33"/>
  <c r="S539" i="33"/>
  <c r="T539" i="33"/>
  <c r="V539" i="33"/>
  <c r="W539" i="33"/>
  <c r="X539" i="33"/>
  <c r="Y539" i="33"/>
  <c r="Z539" i="33"/>
  <c r="F540" i="33"/>
  <c r="I540" i="33" s="1"/>
  <c r="K540" i="33"/>
  <c r="R540" i="33"/>
  <c r="S540" i="33"/>
  <c r="T540" i="33"/>
  <c r="Z540" i="33" s="1"/>
  <c r="V540" i="33"/>
  <c r="F541" i="33"/>
  <c r="G541" i="33"/>
  <c r="H541" i="33"/>
  <c r="I541" i="33"/>
  <c r="K541" i="33"/>
  <c r="L541" i="33"/>
  <c r="R541" i="33"/>
  <c r="S541" i="33"/>
  <c r="T541" i="33"/>
  <c r="V541" i="33"/>
  <c r="W541" i="33"/>
  <c r="X541" i="33"/>
  <c r="Y541" i="33"/>
  <c r="Z541" i="33"/>
  <c r="F544" i="33"/>
  <c r="H544" i="33" s="1"/>
  <c r="K544" i="33"/>
  <c r="R544" i="33"/>
  <c r="S544" i="33"/>
  <c r="T544" i="33"/>
  <c r="X544" i="33" s="1"/>
  <c r="V544" i="33"/>
  <c r="F545" i="33"/>
  <c r="K545" i="33"/>
  <c r="G545" i="33"/>
  <c r="H545" i="33"/>
  <c r="I545" i="33"/>
  <c r="L545" i="33"/>
  <c r="R545" i="33"/>
  <c r="S545" i="33"/>
  <c r="T545" i="33"/>
  <c r="V545" i="33"/>
  <c r="W545" i="33"/>
  <c r="X545" i="33"/>
  <c r="Y545" i="33"/>
  <c r="Z545" i="33"/>
  <c r="F546" i="33"/>
  <c r="G546" i="33" s="1"/>
  <c r="K546" i="33"/>
  <c r="R546" i="33"/>
  <c r="S546" i="33"/>
  <c r="T546" i="33"/>
  <c r="X546" i="33" s="1"/>
  <c r="V546" i="33"/>
  <c r="F547" i="33"/>
  <c r="G547" i="33"/>
  <c r="H547" i="33"/>
  <c r="I547" i="33"/>
  <c r="K547" i="33"/>
  <c r="L547" i="33"/>
  <c r="R547" i="33"/>
  <c r="S547" i="33"/>
  <c r="T547" i="33"/>
  <c r="V547" i="33"/>
  <c r="W547" i="33"/>
  <c r="X547" i="33"/>
  <c r="Y547" i="33"/>
  <c r="Z547" i="33"/>
  <c r="F548" i="33"/>
  <c r="G548" i="33" s="1"/>
  <c r="K548" i="33"/>
  <c r="R548" i="33"/>
  <c r="S548" i="33"/>
  <c r="T548" i="33"/>
  <c r="X548" i="33" s="1"/>
  <c r="V548" i="33"/>
  <c r="F549" i="33"/>
  <c r="K549" i="33"/>
  <c r="G549" i="33"/>
  <c r="H549" i="33"/>
  <c r="I549" i="33"/>
  <c r="L549" i="33"/>
  <c r="R549" i="33"/>
  <c r="S549" i="33"/>
  <c r="T549" i="33"/>
  <c r="V549" i="33"/>
  <c r="W549" i="33"/>
  <c r="X549" i="33"/>
  <c r="Y549" i="33"/>
  <c r="Z549" i="33"/>
  <c r="F550" i="33"/>
  <c r="H550" i="33" s="1"/>
  <c r="K550" i="33"/>
  <c r="R550" i="33"/>
  <c r="S550" i="33"/>
  <c r="T550" i="33"/>
  <c r="Y550" i="33" s="1"/>
  <c r="V550" i="33"/>
  <c r="F551" i="33"/>
  <c r="G551" i="33"/>
  <c r="H551" i="33"/>
  <c r="I551" i="33"/>
  <c r="K551" i="33"/>
  <c r="L551" i="33"/>
  <c r="R551" i="33"/>
  <c r="S551" i="33"/>
  <c r="T551" i="33"/>
  <c r="V551" i="33"/>
  <c r="W551" i="33"/>
  <c r="X551" i="33"/>
  <c r="Y551" i="33"/>
  <c r="Z551" i="33"/>
  <c r="F553" i="33"/>
  <c r="K553" i="33"/>
  <c r="G553" i="33"/>
  <c r="H553" i="33"/>
  <c r="I553" i="33"/>
  <c r="L553" i="33"/>
  <c r="R553" i="33"/>
  <c r="S553" i="33"/>
  <c r="T553" i="33"/>
  <c r="V553" i="33"/>
  <c r="W553" i="33"/>
  <c r="X553" i="33"/>
  <c r="Y553" i="33"/>
  <c r="Z553" i="33"/>
  <c r="F554" i="33"/>
  <c r="K554" i="33"/>
  <c r="G554" i="33"/>
  <c r="H554" i="33"/>
  <c r="I554" i="33"/>
  <c r="L554" i="33"/>
  <c r="R554" i="33"/>
  <c r="S554" i="33"/>
  <c r="T554" i="33"/>
  <c r="V554" i="33"/>
  <c r="W554" i="33"/>
  <c r="X554" i="33"/>
  <c r="Y554" i="33"/>
  <c r="Z554" i="33"/>
  <c r="F555" i="33"/>
  <c r="G555" i="33"/>
  <c r="H555" i="33"/>
  <c r="I555" i="33"/>
  <c r="K555" i="33"/>
  <c r="L555" i="33"/>
  <c r="R555" i="33"/>
  <c r="S555" i="33"/>
  <c r="T555" i="33"/>
  <c r="V555" i="33"/>
  <c r="W555" i="33"/>
  <c r="X555" i="33"/>
  <c r="Y555" i="33"/>
  <c r="Z555" i="33"/>
  <c r="F556" i="33"/>
  <c r="G556" i="33"/>
  <c r="H556" i="33"/>
  <c r="I556" i="33"/>
  <c r="K556" i="33"/>
  <c r="L556" i="33"/>
  <c r="R556" i="33"/>
  <c r="S556" i="33"/>
  <c r="T556" i="33"/>
  <c r="V556" i="33"/>
  <c r="W556" i="33"/>
  <c r="X556" i="33"/>
  <c r="Y556" i="33"/>
  <c r="Z556" i="33"/>
  <c r="F557" i="33"/>
  <c r="K557" i="33"/>
  <c r="G557" i="33"/>
  <c r="H557" i="33"/>
  <c r="I557" i="33"/>
  <c r="L557" i="33"/>
  <c r="R557" i="33"/>
  <c r="S557" i="33"/>
  <c r="T557" i="33"/>
  <c r="V557" i="33"/>
  <c r="W557" i="33"/>
  <c r="X557" i="33"/>
  <c r="Y557" i="33"/>
  <c r="Z557" i="33"/>
  <c r="F558" i="33"/>
  <c r="K558" i="33"/>
  <c r="G558" i="33"/>
  <c r="H558" i="33"/>
  <c r="I558" i="33"/>
  <c r="L558" i="33"/>
  <c r="R558" i="33"/>
  <c r="S558" i="33"/>
  <c r="T558" i="33"/>
  <c r="V558" i="33"/>
  <c r="W558" i="33"/>
  <c r="X558" i="33"/>
  <c r="Y558" i="33"/>
  <c r="Z558" i="33"/>
  <c r="F559" i="33"/>
  <c r="G559" i="33"/>
  <c r="H559" i="33"/>
  <c r="I559" i="33"/>
  <c r="K559" i="33"/>
  <c r="L559" i="33"/>
  <c r="R559" i="33"/>
  <c r="S559" i="33"/>
  <c r="T559" i="33"/>
  <c r="V559" i="33"/>
  <c r="W559" i="33"/>
  <c r="X559" i="33"/>
  <c r="Y559" i="33"/>
  <c r="Z559" i="33"/>
  <c r="F562" i="33"/>
  <c r="H562" i="33" s="1"/>
  <c r="K562" i="33"/>
  <c r="R562" i="33"/>
  <c r="S562" i="33"/>
  <c r="T562" i="33"/>
  <c r="Z562" i="33" s="1"/>
  <c r="V562" i="33"/>
  <c r="F563" i="33"/>
  <c r="K563" i="33"/>
  <c r="G563" i="33"/>
  <c r="H563" i="33"/>
  <c r="I563" i="33"/>
  <c r="L563" i="33"/>
  <c r="R563" i="33"/>
  <c r="S563" i="33"/>
  <c r="T563" i="33"/>
  <c r="V563" i="33"/>
  <c r="W563" i="33"/>
  <c r="X563" i="33"/>
  <c r="Y563" i="33"/>
  <c r="Z563" i="33"/>
  <c r="F564" i="33"/>
  <c r="G564" i="33" s="1"/>
  <c r="K564" i="33"/>
  <c r="R564" i="33"/>
  <c r="S564" i="33"/>
  <c r="T564" i="33"/>
  <c r="Y564" i="33" s="1"/>
  <c r="V564" i="33"/>
  <c r="F565" i="33"/>
  <c r="G565" i="33"/>
  <c r="H565" i="33"/>
  <c r="I565" i="33"/>
  <c r="K565" i="33"/>
  <c r="L565" i="33"/>
  <c r="R565" i="33"/>
  <c r="S565" i="33"/>
  <c r="T565" i="33"/>
  <c r="V565" i="33"/>
  <c r="W565" i="33"/>
  <c r="X565" i="33"/>
  <c r="Y565" i="33"/>
  <c r="Z565" i="33"/>
  <c r="F574" i="33"/>
  <c r="G574" i="33"/>
  <c r="H574" i="33"/>
  <c r="I574" i="33"/>
  <c r="K574" i="33"/>
  <c r="L574" i="33"/>
  <c r="R574" i="33"/>
  <c r="S574" i="33"/>
  <c r="T574" i="33"/>
  <c r="V574" i="33"/>
  <c r="W574" i="33"/>
  <c r="X574" i="33"/>
  <c r="Y574" i="33"/>
  <c r="Z574" i="33"/>
  <c r="F575" i="33"/>
  <c r="G575" i="33"/>
  <c r="H575" i="33"/>
  <c r="I575" i="33"/>
  <c r="K575" i="33"/>
  <c r="L575" i="33"/>
  <c r="R575" i="33"/>
  <c r="S575" i="33"/>
  <c r="T575" i="33"/>
  <c r="V575" i="33"/>
  <c r="W575" i="33"/>
  <c r="X575" i="33"/>
  <c r="Y575" i="33"/>
  <c r="Z575" i="33"/>
  <c r="F577" i="33"/>
  <c r="K577" i="33"/>
  <c r="G577" i="33"/>
  <c r="H577" i="33"/>
  <c r="I577" i="33"/>
  <c r="L577" i="33"/>
  <c r="R577" i="33"/>
  <c r="S577" i="33"/>
  <c r="T577" i="33"/>
  <c r="V577" i="33"/>
  <c r="W577" i="33"/>
  <c r="X577" i="33"/>
  <c r="Y577" i="33"/>
  <c r="Z577" i="33"/>
  <c r="F578" i="33"/>
  <c r="G578" i="33"/>
  <c r="H578" i="33"/>
  <c r="I578" i="33"/>
  <c r="K578" i="33"/>
  <c r="L578" i="33"/>
  <c r="R578" i="33"/>
  <c r="S578" i="33"/>
  <c r="T578" i="33"/>
  <c r="V578" i="33"/>
  <c r="W578" i="33"/>
  <c r="X578" i="33"/>
  <c r="Y578" i="33"/>
  <c r="Z578" i="33"/>
  <c r="F579" i="33"/>
  <c r="G579" i="33"/>
  <c r="H579" i="33"/>
  <c r="I579" i="33"/>
  <c r="K579" i="33"/>
  <c r="L579" i="33"/>
  <c r="R579" i="33"/>
  <c r="S579" i="33"/>
  <c r="T579" i="33"/>
  <c r="V579" i="33"/>
  <c r="W579" i="33"/>
  <c r="X579" i="33"/>
  <c r="Y579" i="33"/>
  <c r="Z579" i="33"/>
  <c r="F580" i="33"/>
  <c r="K580" i="33"/>
  <c r="G580" i="33"/>
  <c r="H580" i="33"/>
  <c r="I580" i="33"/>
  <c r="L580" i="33"/>
  <c r="R580" i="33"/>
  <c r="S580" i="33"/>
  <c r="T580" i="33"/>
  <c r="V580" i="33"/>
  <c r="W580" i="33"/>
  <c r="X580" i="33"/>
  <c r="Y580" i="33"/>
  <c r="Z580" i="33"/>
  <c r="F581" i="33"/>
  <c r="K581" i="33"/>
  <c r="G581" i="33"/>
  <c r="H581" i="33"/>
  <c r="I581" i="33"/>
  <c r="L581" i="33"/>
  <c r="R581" i="33"/>
  <c r="S581" i="33"/>
  <c r="T581" i="33"/>
  <c r="V581" i="33"/>
  <c r="W581" i="33"/>
  <c r="X581" i="33"/>
  <c r="Y581" i="33"/>
  <c r="Z581" i="33"/>
  <c r="F583" i="33"/>
  <c r="G583" i="33"/>
  <c r="H583" i="33"/>
  <c r="I583" i="33"/>
  <c r="K583" i="33"/>
  <c r="L583" i="33"/>
  <c r="R583" i="33"/>
  <c r="S583" i="33"/>
  <c r="T583" i="33"/>
  <c r="V583" i="33"/>
  <c r="W583" i="33"/>
  <c r="X583" i="33"/>
  <c r="Y583" i="33"/>
  <c r="Z583" i="33"/>
  <c r="F584" i="33"/>
  <c r="G584" i="33" s="1"/>
  <c r="K584" i="33"/>
  <c r="R584" i="33"/>
  <c r="S584" i="33"/>
  <c r="T584" i="33"/>
  <c r="W584" i="33" s="1"/>
  <c r="V584" i="33"/>
  <c r="F585" i="33"/>
  <c r="G585" i="33" s="1"/>
  <c r="K585" i="33"/>
  <c r="R585" i="33"/>
  <c r="S585" i="33"/>
  <c r="W585" i="33"/>
  <c r="F586" i="33"/>
  <c r="G586" i="33"/>
  <c r="H586" i="33"/>
  <c r="I586" i="33"/>
  <c r="K586" i="33"/>
  <c r="L586" i="33"/>
  <c r="R586" i="33"/>
  <c r="S586" i="33"/>
  <c r="T586" i="33"/>
  <c r="V586" i="33"/>
  <c r="W586" i="33"/>
  <c r="X586" i="33"/>
  <c r="Y586" i="33"/>
  <c r="Z586" i="33"/>
  <c r="F587" i="33"/>
  <c r="H587" i="33" s="1"/>
  <c r="K587" i="33"/>
  <c r="R587" i="33"/>
  <c r="S587" i="33"/>
  <c r="T587" i="33"/>
  <c r="W587" i="33" s="1"/>
  <c r="V587" i="33"/>
  <c r="F588" i="33"/>
  <c r="K588" i="33"/>
  <c r="G588" i="33"/>
  <c r="H588" i="33"/>
  <c r="I588" i="33"/>
  <c r="L588" i="33"/>
  <c r="R588" i="33"/>
  <c r="S588" i="33"/>
  <c r="T588" i="33"/>
  <c r="V588" i="33"/>
  <c r="W588" i="33"/>
  <c r="X588" i="33"/>
  <c r="Y588" i="33"/>
  <c r="Z588" i="33"/>
  <c r="F589" i="33"/>
  <c r="I589" i="33" s="1"/>
  <c r="K589" i="33"/>
  <c r="R589" i="33"/>
  <c r="S589" i="33"/>
  <c r="T589" i="33"/>
  <c r="Z589" i="33" s="1"/>
  <c r="V589" i="33"/>
  <c r="F590" i="33"/>
  <c r="G590" i="33"/>
  <c r="H590" i="33"/>
  <c r="I590" i="33"/>
  <c r="K590" i="33"/>
  <c r="L590" i="33"/>
  <c r="R590" i="33"/>
  <c r="S590" i="33"/>
  <c r="T590" i="33"/>
  <c r="V590" i="33"/>
  <c r="W590" i="33"/>
  <c r="X590" i="33"/>
  <c r="Y590" i="33"/>
  <c r="Z590" i="33"/>
  <c r="F591" i="33"/>
  <c r="G591" i="33" s="1"/>
  <c r="K591" i="33"/>
  <c r="R591" i="33"/>
  <c r="S591" i="33"/>
  <c r="T591" i="33"/>
  <c r="Z591" i="33" s="1"/>
  <c r="V591" i="33"/>
  <c r="F592" i="33"/>
  <c r="K592" i="33"/>
  <c r="G592" i="33"/>
  <c r="H592" i="33"/>
  <c r="I592" i="33"/>
  <c r="L592" i="33"/>
  <c r="R592" i="33"/>
  <c r="S592" i="33"/>
  <c r="T592" i="33"/>
  <c r="V592" i="33"/>
  <c r="W592" i="33"/>
  <c r="X592" i="33"/>
  <c r="Y592" i="33"/>
  <c r="Z592" i="33"/>
  <c r="F593" i="33"/>
  <c r="K593" i="33"/>
  <c r="G593" i="33"/>
  <c r="H593" i="33"/>
  <c r="I593" i="33"/>
  <c r="L593" i="33"/>
  <c r="R593" i="33"/>
  <c r="S593" i="33"/>
  <c r="T593" i="33"/>
  <c r="V593" i="33"/>
  <c r="W593" i="33"/>
  <c r="X593" i="33"/>
  <c r="Y593" i="33"/>
  <c r="Z593" i="33"/>
  <c r="F594" i="33"/>
  <c r="G594" i="33"/>
  <c r="H594" i="33"/>
  <c r="I594" i="33"/>
  <c r="K594" i="33"/>
  <c r="L594" i="33"/>
  <c r="R594" i="33"/>
  <c r="S594" i="33"/>
  <c r="T594" i="33"/>
  <c r="V594" i="33"/>
  <c r="W594" i="33"/>
  <c r="X594" i="33"/>
  <c r="Y594" i="33"/>
  <c r="Z594" i="33"/>
  <c r="F595" i="33"/>
  <c r="G595" i="33"/>
  <c r="H595" i="33"/>
  <c r="I595" i="33"/>
  <c r="K595" i="33"/>
  <c r="L595" i="33"/>
  <c r="R595" i="33"/>
  <c r="S595" i="33"/>
  <c r="T595" i="33"/>
  <c r="V595" i="33"/>
  <c r="W595" i="33"/>
  <c r="X595" i="33"/>
  <c r="Y595" i="33"/>
  <c r="Z595" i="33"/>
  <c r="F596" i="33"/>
  <c r="K596" i="33"/>
  <c r="G596" i="33"/>
  <c r="H596" i="33"/>
  <c r="I596" i="33"/>
  <c r="L596" i="33"/>
  <c r="R596" i="33"/>
  <c r="S596" i="33"/>
  <c r="T596" i="33"/>
  <c r="V596" i="33"/>
  <c r="W596" i="33"/>
  <c r="X596" i="33"/>
  <c r="Y596" i="33"/>
  <c r="Z596" i="33"/>
  <c r="F597" i="33"/>
  <c r="K597" i="33"/>
  <c r="G597" i="33"/>
  <c r="H597" i="33"/>
  <c r="I597" i="33"/>
  <c r="L597" i="33"/>
  <c r="R597" i="33"/>
  <c r="S597" i="33"/>
  <c r="T597" i="33"/>
  <c r="V597" i="33"/>
  <c r="W597" i="33"/>
  <c r="X597" i="33"/>
  <c r="Y597" i="33"/>
  <c r="Z597" i="33"/>
  <c r="F598" i="33"/>
  <c r="G598" i="33"/>
  <c r="H598" i="33"/>
  <c r="I598" i="33"/>
  <c r="K598" i="33"/>
  <c r="L598" i="33"/>
  <c r="R598" i="33"/>
  <c r="S598" i="33"/>
  <c r="T598" i="33"/>
  <c r="V598" i="33"/>
  <c r="W598" i="33"/>
  <c r="X598" i="33"/>
  <c r="Y598" i="33"/>
  <c r="Z598" i="33"/>
  <c r="F600" i="33"/>
  <c r="K600" i="33"/>
  <c r="G600" i="33"/>
  <c r="H600" i="33"/>
  <c r="I600" i="33"/>
  <c r="L600" i="33"/>
  <c r="R600" i="33"/>
  <c r="S600" i="33"/>
  <c r="T600" i="33"/>
  <c r="V600" i="33"/>
  <c r="W600" i="33"/>
  <c r="X600" i="33"/>
  <c r="Y600" i="33"/>
  <c r="Z600" i="33"/>
  <c r="F602" i="33"/>
  <c r="G602" i="33"/>
  <c r="H602" i="33"/>
  <c r="I602" i="33"/>
  <c r="K602" i="33"/>
  <c r="L602" i="33"/>
  <c r="R602" i="33"/>
  <c r="S602" i="33"/>
  <c r="T602" i="33"/>
  <c r="V602" i="33"/>
  <c r="W602" i="33"/>
  <c r="X602" i="33"/>
  <c r="Y602" i="33"/>
  <c r="Z602" i="33"/>
  <c r="F604" i="33"/>
  <c r="K604" i="33"/>
  <c r="G604" i="33"/>
  <c r="H604" i="33"/>
  <c r="I604" i="33"/>
  <c r="L604" i="33"/>
  <c r="R604" i="33"/>
  <c r="S604" i="33"/>
  <c r="T604" i="33"/>
  <c r="V604" i="33"/>
  <c r="W604" i="33"/>
  <c r="X604" i="33"/>
  <c r="Y604" i="33"/>
  <c r="Z604" i="33"/>
  <c r="F606" i="33"/>
  <c r="G606" i="33"/>
  <c r="H606" i="33"/>
  <c r="I606" i="33"/>
  <c r="K606" i="33"/>
  <c r="L606" i="33"/>
  <c r="R606" i="33"/>
  <c r="S606" i="33"/>
  <c r="T606" i="33"/>
  <c r="V606" i="33"/>
  <c r="W606" i="33"/>
  <c r="X606" i="33"/>
  <c r="Y606" i="33"/>
  <c r="Z606" i="33"/>
  <c r="F865" i="33"/>
  <c r="K865" i="33"/>
  <c r="G865" i="33"/>
  <c r="H865" i="33"/>
  <c r="I865" i="33"/>
  <c r="L865" i="33"/>
  <c r="R865" i="33"/>
  <c r="S865" i="33"/>
  <c r="T865" i="33"/>
  <c r="V865" i="33"/>
  <c r="W865" i="33"/>
  <c r="X865" i="33"/>
  <c r="Y865" i="33"/>
  <c r="Z865" i="33"/>
  <c r="AE262" i="35"/>
  <c r="AE260" i="35"/>
  <c r="AE256" i="35"/>
  <c r="AE254" i="35"/>
  <c r="AE252" i="35"/>
  <c r="AE242" i="35"/>
  <c r="AE240" i="35"/>
  <c r="AE238" i="35"/>
  <c r="AE236" i="35"/>
  <c r="AE234" i="35"/>
  <c r="AE232" i="35"/>
  <c r="AE230" i="35"/>
  <c r="AE224" i="35"/>
  <c r="AE220" i="35"/>
  <c r="AE218" i="35"/>
  <c r="AE216" i="35"/>
  <c r="F252" i="35"/>
  <c r="K252" i="35"/>
  <c r="Q252" i="35"/>
  <c r="R252" i="35"/>
  <c r="S252" i="35"/>
  <c r="U252" i="35"/>
  <c r="X252" i="35"/>
  <c r="Y252" i="35"/>
  <c r="F253" i="35"/>
  <c r="G253" i="35"/>
  <c r="H253" i="35"/>
  <c r="I253" i="35"/>
  <c r="K253" i="35"/>
  <c r="L253" i="35"/>
  <c r="Q253" i="35"/>
  <c r="R253" i="35"/>
  <c r="S253" i="35"/>
  <c r="U253" i="35"/>
  <c r="V253" i="35"/>
  <c r="W253" i="35"/>
  <c r="X253" i="35"/>
  <c r="Y253" i="35"/>
  <c r="F254" i="35"/>
  <c r="I254" i="35" s="1"/>
  <c r="K254" i="35"/>
  <c r="Q254" i="35"/>
  <c r="R254" i="35"/>
  <c r="S254" i="35"/>
  <c r="U254" i="35"/>
  <c r="X254" i="35"/>
  <c r="Y254" i="35"/>
  <c r="F255" i="35"/>
  <c r="G255" i="35"/>
  <c r="H255" i="35"/>
  <c r="I255" i="35"/>
  <c r="K255" i="35"/>
  <c r="L255" i="35"/>
  <c r="Q255" i="35"/>
  <c r="R255" i="35"/>
  <c r="S255" i="35"/>
  <c r="U255" i="35"/>
  <c r="V255" i="35"/>
  <c r="W255" i="35"/>
  <c r="X255" i="35"/>
  <c r="Y255" i="35"/>
  <c r="F256" i="35"/>
  <c r="K256" i="35"/>
  <c r="Q256" i="35"/>
  <c r="R256" i="35"/>
  <c r="S256" i="35"/>
  <c r="U256" i="35"/>
  <c r="X256" i="35"/>
  <c r="Y256" i="35"/>
  <c r="F257" i="35"/>
  <c r="G257" i="35"/>
  <c r="H257" i="35"/>
  <c r="I257" i="35"/>
  <c r="K257" i="35"/>
  <c r="L257" i="35"/>
  <c r="Q257" i="35"/>
  <c r="R257" i="35"/>
  <c r="S257" i="35"/>
  <c r="U257" i="35"/>
  <c r="V257" i="35"/>
  <c r="W257" i="35"/>
  <c r="X257" i="35"/>
  <c r="Y257" i="35"/>
  <c r="F260" i="35"/>
  <c r="K260" i="35"/>
  <c r="Q260" i="35"/>
  <c r="R260" i="35"/>
  <c r="S260" i="35"/>
  <c r="U260" i="35"/>
  <c r="X260" i="35"/>
  <c r="Y260" i="35"/>
  <c r="F261" i="35"/>
  <c r="G261" i="35"/>
  <c r="H261" i="35"/>
  <c r="I261" i="35"/>
  <c r="K261" i="35"/>
  <c r="L261" i="35"/>
  <c r="Q261" i="35"/>
  <c r="R261" i="35"/>
  <c r="S261" i="35"/>
  <c r="U261" i="35"/>
  <c r="V261" i="35"/>
  <c r="W261" i="35"/>
  <c r="X261" i="35"/>
  <c r="Y261" i="35"/>
  <c r="F262" i="35"/>
  <c r="G262" i="35" s="1"/>
  <c r="K262" i="35"/>
  <c r="Q262" i="35"/>
  <c r="R262" i="35"/>
  <c r="S262" i="35"/>
  <c r="U262" i="35"/>
  <c r="X262" i="35"/>
  <c r="Y262" i="35"/>
  <c r="F263" i="35"/>
  <c r="G263" i="35"/>
  <c r="H263" i="35"/>
  <c r="I263" i="35"/>
  <c r="K263" i="35"/>
  <c r="L263" i="35"/>
  <c r="Q263" i="35"/>
  <c r="R263" i="35"/>
  <c r="S263" i="35"/>
  <c r="U263" i="35"/>
  <c r="V263" i="35"/>
  <c r="W263" i="35"/>
  <c r="X263" i="35"/>
  <c r="Y263" i="35"/>
  <c r="F264" i="35"/>
  <c r="I264" i="35" s="1"/>
  <c r="K264" i="35"/>
  <c r="Q264" i="35"/>
  <c r="R264" i="35"/>
  <c r="S264" i="35"/>
  <c r="U264" i="35"/>
  <c r="X264" i="35"/>
  <c r="Y264" i="35"/>
  <c r="F265" i="35"/>
  <c r="G265" i="35"/>
  <c r="H265" i="35"/>
  <c r="I265" i="35"/>
  <c r="K265" i="35"/>
  <c r="L265" i="35"/>
  <c r="Q265" i="35"/>
  <c r="R265" i="35"/>
  <c r="S265" i="35"/>
  <c r="U265" i="35"/>
  <c r="V265" i="35"/>
  <c r="W265" i="35"/>
  <c r="X265" i="35"/>
  <c r="Y265" i="35"/>
  <c r="F268" i="35"/>
  <c r="G268" i="35"/>
  <c r="H268" i="35"/>
  <c r="I268" i="35"/>
  <c r="K268" i="35"/>
  <c r="L268" i="35"/>
  <c r="Q268" i="35"/>
  <c r="R268" i="35"/>
  <c r="S268" i="35"/>
  <c r="U268" i="35"/>
  <c r="V268" i="35"/>
  <c r="W268" i="35"/>
  <c r="X268" i="35"/>
  <c r="Y268" i="35"/>
  <c r="F269" i="35"/>
  <c r="G269" i="35"/>
  <c r="H269" i="35"/>
  <c r="I269" i="35"/>
  <c r="K269" i="35"/>
  <c r="L269" i="35"/>
  <c r="Q269" i="35"/>
  <c r="R269" i="35"/>
  <c r="S269" i="35"/>
  <c r="U269" i="35"/>
  <c r="V269" i="35"/>
  <c r="W269" i="35"/>
  <c r="X269" i="35"/>
  <c r="Y269" i="35"/>
  <c r="F270" i="35"/>
  <c r="G270" i="35"/>
  <c r="H270" i="35"/>
  <c r="I270" i="35"/>
  <c r="K270" i="35"/>
  <c r="L270" i="35"/>
  <c r="Q270" i="35"/>
  <c r="R270" i="35"/>
  <c r="S270" i="35"/>
  <c r="U270" i="35"/>
  <c r="V270" i="35"/>
  <c r="W270" i="35"/>
  <c r="X270" i="35"/>
  <c r="Y270" i="35"/>
  <c r="F271" i="35"/>
  <c r="G271" i="35"/>
  <c r="H271" i="35"/>
  <c r="I271" i="35"/>
  <c r="K271" i="35"/>
  <c r="L271" i="35"/>
  <c r="Q271" i="35"/>
  <c r="R271" i="35"/>
  <c r="S271" i="35"/>
  <c r="U271" i="35"/>
  <c r="V271" i="35"/>
  <c r="W271" i="35"/>
  <c r="X271" i="35"/>
  <c r="Y271" i="35"/>
  <c r="F272" i="35"/>
  <c r="G272" i="35"/>
  <c r="H272" i="35"/>
  <c r="I272" i="35"/>
  <c r="K272" i="35"/>
  <c r="L272" i="35"/>
  <c r="Q272" i="35"/>
  <c r="R272" i="35"/>
  <c r="S272" i="35"/>
  <c r="U272" i="35"/>
  <c r="V272" i="35"/>
  <c r="W272" i="35"/>
  <c r="X272" i="35"/>
  <c r="Y272" i="35"/>
  <c r="F273" i="35"/>
  <c r="G273" i="35"/>
  <c r="H273" i="35"/>
  <c r="I273" i="35"/>
  <c r="K273" i="35"/>
  <c r="L273" i="35"/>
  <c r="Q273" i="35"/>
  <c r="R273" i="35"/>
  <c r="S273" i="35"/>
  <c r="U273" i="35"/>
  <c r="V273" i="35"/>
  <c r="W273" i="35"/>
  <c r="X273" i="35"/>
  <c r="Y273" i="35"/>
  <c r="F274" i="35"/>
  <c r="G274" i="35"/>
  <c r="H274" i="35"/>
  <c r="I274" i="35"/>
  <c r="K274" i="35"/>
  <c r="L274" i="35"/>
  <c r="Q274" i="35"/>
  <c r="R274" i="35"/>
  <c r="S274" i="35"/>
  <c r="U274" i="35"/>
  <c r="V274" i="35"/>
  <c r="W274" i="35"/>
  <c r="X274" i="35"/>
  <c r="Y274" i="35"/>
  <c r="F275" i="35"/>
  <c r="G275" i="35"/>
  <c r="H275" i="35"/>
  <c r="I275" i="35"/>
  <c r="K275" i="35"/>
  <c r="L275" i="35"/>
  <c r="Q275" i="35"/>
  <c r="R275" i="35"/>
  <c r="S275" i="35"/>
  <c r="U275" i="35"/>
  <c r="V275" i="35"/>
  <c r="W275" i="35"/>
  <c r="X275" i="35"/>
  <c r="Y275" i="35"/>
  <c r="F276" i="35"/>
  <c r="G276" i="35"/>
  <c r="H276" i="35"/>
  <c r="I276" i="35"/>
  <c r="K276" i="35"/>
  <c r="L276" i="35"/>
  <c r="Q276" i="35"/>
  <c r="R276" i="35"/>
  <c r="S276" i="35"/>
  <c r="U276" i="35"/>
  <c r="V276" i="35"/>
  <c r="W276" i="35"/>
  <c r="X276" i="35"/>
  <c r="Y276" i="35"/>
  <c r="F277" i="35"/>
  <c r="G277" i="35"/>
  <c r="H277" i="35"/>
  <c r="I277" i="35"/>
  <c r="K277" i="35"/>
  <c r="L277" i="35"/>
  <c r="Q277" i="35"/>
  <c r="R277" i="35"/>
  <c r="S277" i="35"/>
  <c r="U277" i="35"/>
  <c r="V277" i="35"/>
  <c r="W277" i="35"/>
  <c r="X277" i="35"/>
  <c r="Y277" i="35"/>
  <c r="F278" i="35"/>
  <c r="G278" i="35"/>
  <c r="H278" i="35"/>
  <c r="I278" i="35"/>
  <c r="K278" i="35"/>
  <c r="L278" i="35"/>
  <c r="Q278" i="35"/>
  <c r="R278" i="35"/>
  <c r="S278" i="35"/>
  <c r="U278" i="35"/>
  <c r="V278" i="35"/>
  <c r="W278" i="35"/>
  <c r="X278" i="35"/>
  <c r="Y278" i="35"/>
  <c r="F279" i="35"/>
  <c r="G279" i="35"/>
  <c r="H279" i="35"/>
  <c r="I279" i="35"/>
  <c r="K279" i="35"/>
  <c r="L279" i="35"/>
  <c r="Q279" i="35"/>
  <c r="R279" i="35"/>
  <c r="S279" i="35"/>
  <c r="U279" i="35"/>
  <c r="V279" i="35"/>
  <c r="W279" i="35"/>
  <c r="X279" i="35"/>
  <c r="Y279" i="35"/>
  <c r="F282" i="35"/>
  <c r="K282" i="35"/>
  <c r="G282" i="35"/>
  <c r="H282" i="35"/>
  <c r="I282" i="35"/>
  <c r="L282" i="35"/>
  <c r="Q282" i="35"/>
  <c r="R282" i="35"/>
  <c r="S282" i="35"/>
  <c r="U282" i="35"/>
  <c r="V282" i="35"/>
  <c r="W282" i="35"/>
  <c r="X282" i="35"/>
  <c r="Y282" i="35"/>
  <c r="F283" i="35"/>
  <c r="G283" i="35"/>
  <c r="H283" i="35"/>
  <c r="I283" i="35"/>
  <c r="K283" i="35"/>
  <c r="L283" i="35"/>
  <c r="Q283" i="35"/>
  <c r="R283" i="35"/>
  <c r="S283" i="35"/>
  <c r="U283" i="35"/>
  <c r="V283" i="35"/>
  <c r="W283" i="35"/>
  <c r="X283" i="35"/>
  <c r="Y283" i="35"/>
  <c r="F284" i="35"/>
  <c r="G284" i="35"/>
  <c r="H284" i="35"/>
  <c r="I284" i="35"/>
  <c r="K284" i="35"/>
  <c r="L284" i="35"/>
  <c r="Q284" i="35"/>
  <c r="R284" i="35"/>
  <c r="S284" i="35"/>
  <c r="U284" i="35"/>
  <c r="V284" i="35"/>
  <c r="W284" i="35"/>
  <c r="X284" i="35"/>
  <c r="Y284" i="35"/>
  <c r="F285" i="35"/>
  <c r="G285" i="35"/>
  <c r="H285" i="35"/>
  <c r="I285" i="35"/>
  <c r="K285" i="35"/>
  <c r="L285" i="35"/>
  <c r="Q285" i="35"/>
  <c r="R285" i="35"/>
  <c r="S285" i="35"/>
  <c r="U285" i="35"/>
  <c r="V285" i="35"/>
  <c r="W285" i="35"/>
  <c r="X285" i="35"/>
  <c r="Y285" i="35"/>
  <c r="F286" i="35"/>
  <c r="G286" i="35"/>
  <c r="H286" i="35"/>
  <c r="I286" i="35"/>
  <c r="K286" i="35"/>
  <c r="L286" i="35"/>
  <c r="Q286" i="35"/>
  <c r="R286" i="35"/>
  <c r="S286" i="35"/>
  <c r="U286" i="35"/>
  <c r="V286" i="35"/>
  <c r="W286" i="35"/>
  <c r="X286" i="35"/>
  <c r="Y286" i="35"/>
  <c r="F287" i="35"/>
  <c r="G287" i="35"/>
  <c r="H287" i="35"/>
  <c r="I287" i="35"/>
  <c r="K287" i="35"/>
  <c r="L287" i="35"/>
  <c r="Q287" i="35"/>
  <c r="R287" i="35"/>
  <c r="S287" i="35"/>
  <c r="U287" i="35"/>
  <c r="V287" i="35"/>
  <c r="W287" i="35"/>
  <c r="X287" i="35"/>
  <c r="Y287" i="35"/>
  <c r="F288" i="35"/>
  <c r="G288" i="35"/>
  <c r="H288" i="35"/>
  <c r="I288" i="35"/>
  <c r="K288" i="35"/>
  <c r="L288" i="35"/>
  <c r="Q288" i="35"/>
  <c r="R288" i="35"/>
  <c r="S288" i="35"/>
  <c r="U288" i="35"/>
  <c r="V288" i="35"/>
  <c r="W288" i="35"/>
  <c r="X288" i="35"/>
  <c r="Y288" i="35"/>
  <c r="F289" i="35"/>
  <c r="G289" i="35"/>
  <c r="H289" i="35"/>
  <c r="I289" i="35"/>
  <c r="K289" i="35"/>
  <c r="L289" i="35"/>
  <c r="Q289" i="35"/>
  <c r="R289" i="35"/>
  <c r="S289" i="35"/>
  <c r="U289" i="35"/>
  <c r="V289" i="35"/>
  <c r="W289" i="35"/>
  <c r="X289" i="35"/>
  <c r="Y289" i="35"/>
  <c r="F290" i="35"/>
  <c r="G290" i="35"/>
  <c r="H290" i="35"/>
  <c r="I290" i="35"/>
  <c r="K290" i="35"/>
  <c r="L290" i="35"/>
  <c r="Q290" i="35"/>
  <c r="R290" i="35"/>
  <c r="S290" i="35"/>
  <c r="U290" i="35"/>
  <c r="V290" i="35"/>
  <c r="W290" i="35"/>
  <c r="X290" i="35"/>
  <c r="Y290" i="35"/>
  <c r="F478" i="35"/>
  <c r="G478" i="35"/>
  <c r="H478" i="35"/>
  <c r="I478" i="35"/>
  <c r="K478" i="35"/>
  <c r="L478" i="35"/>
  <c r="Q478" i="35"/>
  <c r="R478" i="35"/>
  <c r="S478" i="35"/>
  <c r="U478" i="35"/>
  <c r="V478" i="35"/>
  <c r="W478" i="35"/>
  <c r="X478" i="35"/>
  <c r="Y478" i="35"/>
  <c r="F744" i="35"/>
  <c r="G744" i="35"/>
  <c r="H744" i="35"/>
  <c r="I744" i="35"/>
  <c r="K744" i="35"/>
  <c r="L744" i="35"/>
  <c r="Q744" i="35"/>
  <c r="R744" i="35"/>
  <c r="S744" i="35"/>
  <c r="U744" i="35"/>
  <c r="V744" i="35"/>
  <c r="W744" i="35"/>
  <c r="X744" i="35"/>
  <c r="Y744" i="35"/>
  <c r="F745" i="35"/>
  <c r="G745" i="35"/>
  <c r="H745" i="35"/>
  <c r="I745" i="35"/>
  <c r="K745" i="35"/>
  <c r="L745" i="35"/>
  <c r="Q745" i="35"/>
  <c r="R745" i="35"/>
  <c r="S745" i="35"/>
  <c r="U745" i="35"/>
  <c r="V745" i="35"/>
  <c r="W745" i="35"/>
  <c r="X745" i="35"/>
  <c r="Y745" i="35"/>
  <c r="F328" i="33"/>
  <c r="G328" i="33"/>
  <c r="H328" i="33"/>
  <c r="I328" i="33"/>
  <c r="K328" i="33"/>
  <c r="L328" i="33"/>
  <c r="R328" i="33"/>
  <c r="S328" i="33"/>
  <c r="T328" i="33"/>
  <c r="V328" i="33"/>
  <c r="W328" i="33"/>
  <c r="X328" i="33"/>
  <c r="Y328" i="33"/>
  <c r="Z328" i="33"/>
  <c r="F329" i="33"/>
  <c r="H329" i="33" s="1"/>
  <c r="K329" i="33"/>
  <c r="R329" i="33"/>
  <c r="S329" i="33"/>
  <c r="T329" i="33"/>
  <c r="X329" i="33" s="1"/>
  <c r="V329" i="33"/>
  <c r="F330" i="33"/>
  <c r="G330" i="33"/>
  <c r="H330" i="33"/>
  <c r="I330" i="33"/>
  <c r="K330" i="33"/>
  <c r="L330" i="33"/>
  <c r="R330" i="33"/>
  <c r="S330" i="33"/>
  <c r="T330" i="33"/>
  <c r="V330" i="33"/>
  <c r="W330" i="33"/>
  <c r="X330" i="33"/>
  <c r="Y330" i="33"/>
  <c r="Z330" i="33"/>
  <c r="F331" i="33"/>
  <c r="G331" i="33" s="1"/>
  <c r="K331" i="33"/>
  <c r="R331" i="33"/>
  <c r="S331" i="33"/>
  <c r="T331" i="33"/>
  <c r="Z331" i="33" s="1"/>
  <c r="V331" i="33"/>
  <c r="F332" i="33"/>
  <c r="G332" i="33"/>
  <c r="H332" i="33"/>
  <c r="I332" i="33"/>
  <c r="K332" i="33"/>
  <c r="L332" i="33"/>
  <c r="R332" i="33"/>
  <c r="S332" i="33"/>
  <c r="T332" i="33"/>
  <c r="V332" i="33"/>
  <c r="W332" i="33"/>
  <c r="X332" i="33"/>
  <c r="Y332" i="33"/>
  <c r="Z332" i="33"/>
  <c r="F333" i="33"/>
  <c r="H333" i="33" s="1"/>
  <c r="K333" i="33"/>
  <c r="R333" i="33"/>
  <c r="S333" i="33"/>
  <c r="T333" i="33"/>
  <c r="Z333" i="33" s="1"/>
  <c r="V333" i="33"/>
  <c r="F334" i="33"/>
  <c r="G334" i="33"/>
  <c r="H334" i="33"/>
  <c r="I334" i="33"/>
  <c r="K334" i="33"/>
  <c r="L334" i="33"/>
  <c r="R334" i="33"/>
  <c r="S334" i="33"/>
  <c r="T334" i="33"/>
  <c r="V334" i="33"/>
  <c r="W334" i="33"/>
  <c r="X334" i="33"/>
  <c r="Y334" i="33"/>
  <c r="Z334" i="33"/>
  <c r="F335" i="33"/>
  <c r="G335" i="33" s="1"/>
  <c r="K335" i="33"/>
  <c r="R335" i="33"/>
  <c r="S335" i="33"/>
  <c r="T335" i="33"/>
  <c r="Z335" i="33" s="1"/>
  <c r="V335" i="33"/>
  <c r="F336" i="33"/>
  <c r="G336" i="33"/>
  <c r="H336" i="33"/>
  <c r="I336" i="33"/>
  <c r="K336" i="33"/>
  <c r="L336" i="33"/>
  <c r="R336" i="33"/>
  <c r="S336" i="33"/>
  <c r="T336" i="33"/>
  <c r="V336" i="33"/>
  <c r="W336" i="33"/>
  <c r="X336" i="33"/>
  <c r="Y336" i="33"/>
  <c r="Z336" i="33"/>
  <c r="F337" i="33"/>
  <c r="I337" i="33" s="1"/>
  <c r="K337" i="33"/>
  <c r="R337" i="33"/>
  <c r="S337" i="33"/>
  <c r="T337" i="33"/>
  <c r="X337" i="33" s="1"/>
  <c r="V337" i="33"/>
  <c r="F338" i="33"/>
  <c r="G338" i="33"/>
  <c r="H338" i="33"/>
  <c r="I338" i="33"/>
  <c r="K338" i="33"/>
  <c r="L338" i="33"/>
  <c r="R338" i="33"/>
  <c r="S338" i="33"/>
  <c r="T338" i="33"/>
  <c r="V338" i="33"/>
  <c r="W338" i="33"/>
  <c r="X338" i="33"/>
  <c r="Y338" i="33"/>
  <c r="Z338" i="33"/>
  <c r="F339" i="33"/>
  <c r="G339" i="33"/>
  <c r="H339" i="33"/>
  <c r="I339" i="33"/>
  <c r="K339" i="33"/>
  <c r="L339" i="33"/>
  <c r="R339" i="33"/>
  <c r="S339" i="33"/>
  <c r="T339" i="33"/>
  <c r="V339" i="33"/>
  <c r="W339" i="33"/>
  <c r="X339" i="33"/>
  <c r="Y339" i="33"/>
  <c r="Z339" i="33"/>
  <c r="F340" i="33"/>
  <c r="G340" i="33"/>
  <c r="H340" i="33"/>
  <c r="I340" i="33"/>
  <c r="K340" i="33"/>
  <c r="L340" i="33"/>
  <c r="R340" i="33"/>
  <c r="S340" i="33"/>
  <c r="T340" i="33"/>
  <c r="V340" i="33"/>
  <c r="W340" i="33"/>
  <c r="X340" i="33"/>
  <c r="Y340" i="33"/>
  <c r="Z340" i="33"/>
  <c r="F341" i="33"/>
  <c r="I341" i="33" s="1"/>
  <c r="K341" i="33"/>
  <c r="R341" i="33"/>
  <c r="S341" i="33"/>
  <c r="T341" i="33"/>
  <c r="Y341" i="33" s="1"/>
  <c r="V341" i="33"/>
  <c r="F342" i="33"/>
  <c r="G342" i="33"/>
  <c r="H342" i="33"/>
  <c r="I342" i="33"/>
  <c r="K342" i="33"/>
  <c r="L342" i="33"/>
  <c r="R342" i="33"/>
  <c r="S342" i="33"/>
  <c r="T342" i="33"/>
  <c r="V342" i="33"/>
  <c r="W342" i="33"/>
  <c r="X342" i="33"/>
  <c r="Y342" i="33"/>
  <c r="Z342" i="33"/>
  <c r="F345" i="33"/>
  <c r="G345" i="33" s="1"/>
  <c r="K345" i="33"/>
  <c r="R345" i="33"/>
  <c r="S345" i="33"/>
  <c r="T345" i="33"/>
  <c r="Y345" i="33" s="1"/>
  <c r="V345" i="33"/>
  <c r="F346" i="33"/>
  <c r="G346" i="33"/>
  <c r="H346" i="33"/>
  <c r="I346" i="33"/>
  <c r="K346" i="33"/>
  <c r="L346" i="33"/>
  <c r="R346" i="33"/>
  <c r="S346" i="33"/>
  <c r="T346" i="33"/>
  <c r="V346" i="33"/>
  <c r="W346" i="33"/>
  <c r="X346" i="33"/>
  <c r="Y346" i="33"/>
  <c r="Z346" i="33"/>
  <c r="F347" i="33"/>
  <c r="I347" i="33" s="1"/>
  <c r="K347" i="33"/>
  <c r="R347" i="33"/>
  <c r="S347" i="33"/>
  <c r="T347" i="33"/>
  <c r="Y347" i="33" s="1"/>
  <c r="V347" i="33"/>
  <c r="F348" i="33"/>
  <c r="G348" i="33"/>
  <c r="H348" i="33"/>
  <c r="I348" i="33"/>
  <c r="K348" i="33"/>
  <c r="L348" i="33"/>
  <c r="R348" i="33"/>
  <c r="S348" i="33"/>
  <c r="T348" i="33"/>
  <c r="V348" i="33"/>
  <c r="W348" i="33"/>
  <c r="X348" i="33"/>
  <c r="Y348" i="33"/>
  <c r="Z348" i="33"/>
  <c r="F365" i="33"/>
  <c r="G365" i="33"/>
  <c r="H365" i="33"/>
  <c r="I365" i="33"/>
  <c r="K365" i="33"/>
  <c r="L365" i="33"/>
  <c r="R365" i="33"/>
  <c r="S365" i="33"/>
  <c r="T365" i="33"/>
  <c r="V365" i="33"/>
  <c r="W365" i="33"/>
  <c r="X365" i="33"/>
  <c r="Y365" i="33"/>
  <c r="Z365" i="33"/>
  <c r="F1921" i="33"/>
  <c r="G1921" i="33"/>
  <c r="H1921" i="33"/>
  <c r="I1921" i="33"/>
  <c r="K1921" i="33"/>
  <c r="L1921" i="33"/>
  <c r="R1921" i="33"/>
  <c r="S1921" i="33"/>
  <c r="T1921" i="33"/>
  <c r="V1921" i="33"/>
  <c r="W1921" i="33"/>
  <c r="X1921" i="33"/>
  <c r="Y1921" i="33"/>
  <c r="Z1921" i="33"/>
  <c r="V299" i="33"/>
  <c r="T299" i="33"/>
  <c r="W299" i="33" s="1"/>
  <c r="S299" i="33"/>
  <c r="R299" i="33"/>
  <c r="K299" i="33"/>
  <c r="F299" i="33"/>
  <c r="I299" i="33" s="1"/>
  <c r="Z298" i="33"/>
  <c r="Y298" i="33"/>
  <c r="X298" i="33"/>
  <c r="W298" i="33"/>
  <c r="V298" i="33"/>
  <c r="T298" i="33"/>
  <c r="S298" i="33"/>
  <c r="R298" i="33"/>
  <c r="L298" i="33"/>
  <c r="K298" i="33"/>
  <c r="I298" i="33"/>
  <c r="H298" i="33"/>
  <c r="G298" i="33"/>
  <c r="F298" i="33"/>
  <c r="V297" i="33"/>
  <c r="T297" i="33"/>
  <c r="X297" i="33" s="1"/>
  <c r="S297" i="33"/>
  <c r="R297" i="33"/>
  <c r="K297" i="33"/>
  <c r="F297" i="33"/>
  <c r="G297" i="33" s="1"/>
  <c r="Z255" i="33"/>
  <c r="Y255" i="33"/>
  <c r="X255" i="33"/>
  <c r="W255" i="33"/>
  <c r="V255" i="33"/>
  <c r="T255" i="33"/>
  <c r="S255" i="33"/>
  <c r="R255" i="33"/>
  <c r="L255" i="33"/>
  <c r="K255" i="33"/>
  <c r="I255" i="33"/>
  <c r="H255" i="33"/>
  <c r="G255" i="33"/>
  <c r="F255" i="33"/>
  <c r="Z254" i="33"/>
  <c r="Y254" i="33"/>
  <c r="X254" i="33"/>
  <c r="W254" i="33"/>
  <c r="V254" i="33"/>
  <c r="T254" i="33"/>
  <c r="S254" i="33"/>
  <c r="R254" i="33"/>
  <c r="L254" i="33"/>
  <c r="K254" i="33"/>
  <c r="I254" i="33"/>
  <c r="H254" i="33"/>
  <c r="G254" i="33"/>
  <c r="F254" i="33"/>
  <c r="Z253" i="33"/>
  <c r="Y253" i="33"/>
  <c r="X253" i="33"/>
  <c r="W253" i="33"/>
  <c r="V253" i="33"/>
  <c r="T253" i="33"/>
  <c r="S253" i="33"/>
  <c r="R253" i="33"/>
  <c r="L253" i="33"/>
  <c r="K253" i="33"/>
  <c r="I253" i="33"/>
  <c r="H253" i="33"/>
  <c r="G253" i="33"/>
  <c r="F253" i="33"/>
  <c r="Z252" i="33"/>
  <c r="Y252" i="33"/>
  <c r="X252" i="33"/>
  <c r="W252" i="33"/>
  <c r="V252" i="33"/>
  <c r="T252" i="33"/>
  <c r="S252" i="33"/>
  <c r="R252" i="33"/>
  <c r="L252" i="33"/>
  <c r="K252" i="33"/>
  <c r="I252" i="33"/>
  <c r="H252" i="33"/>
  <c r="G252" i="33"/>
  <c r="F252" i="33"/>
  <c r="V251" i="33"/>
  <c r="T251" i="33"/>
  <c r="Y251" i="33" s="1"/>
  <c r="K251" i="33"/>
  <c r="F251" i="33"/>
  <c r="I251" i="33" s="1"/>
  <c r="V250" i="33"/>
  <c r="T250" i="33"/>
  <c r="Z250" i="33" s="1"/>
  <c r="S250" i="33"/>
  <c r="R250" i="33"/>
  <c r="K250" i="33"/>
  <c r="F250" i="33"/>
  <c r="G250" i="33" s="1"/>
  <c r="Z249" i="33"/>
  <c r="Y249" i="33"/>
  <c r="X249" i="33"/>
  <c r="W249" i="33"/>
  <c r="V249" i="33"/>
  <c r="T249" i="33"/>
  <c r="S249" i="33"/>
  <c r="R249" i="33"/>
  <c r="L249" i="33"/>
  <c r="K249" i="33"/>
  <c r="I249" i="33"/>
  <c r="H249" i="33"/>
  <c r="G249" i="33"/>
  <c r="F249" i="33"/>
  <c r="V248" i="33"/>
  <c r="T248" i="33"/>
  <c r="Z248" i="33" s="1"/>
  <c r="S248" i="33"/>
  <c r="R248" i="33"/>
  <c r="K248" i="33"/>
  <c r="F248" i="33"/>
  <c r="H248" i="33" s="1"/>
  <c r="V267" i="33"/>
  <c r="T267" i="33"/>
  <c r="X267" i="33" s="1"/>
  <c r="S267" i="33"/>
  <c r="R267" i="33"/>
  <c r="K267" i="33"/>
  <c r="F267" i="33"/>
  <c r="I267" i="33" s="1"/>
  <c r="V265" i="33"/>
  <c r="T265" i="33"/>
  <c r="W265" i="33" s="1"/>
  <c r="S265" i="33"/>
  <c r="R265" i="33"/>
  <c r="K265" i="33"/>
  <c r="F265" i="33"/>
  <c r="G265" i="33" s="1"/>
  <c r="AF261" i="33"/>
  <c r="Y184" i="35"/>
  <c r="X184" i="35"/>
  <c r="U184" i="35"/>
  <c r="S184" i="35"/>
  <c r="R184" i="35"/>
  <c r="Q184" i="35"/>
  <c r="K184" i="35"/>
  <c r="F184" i="35"/>
  <c r="H184" i="35" s="1"/>
  <c r="F261" i="33"/>
  <c r="H261" i="33" s="1"/>
  <c r="K261" i="33"/>
  <c r="R261" i="33"/>
  <c r="S261" i="33"/>
  <c r="T261" i="33"/>
  <c r="Z261" i="33" s="1"/>
  <c r="V261" i="33"/>
  <c r="AE166" i="35"/>
  <c r="Y166" i="35"/>
  <c r="X166" i="35"/>
  <c r="U166" i="35"/>
  <c r="S166" i="35"/>
  <c r="R166" i="35"/>
  <c r="Q166" i="35"/>
  <c r="K166" i="35"/>
  <c r="F166" i="35"/>
  <c r="Y177" i="35"/>
  <c r="X177" i="35"/>
  <c r="W177" i="35"/>
  <c r="V177" i="35"/>
  <c r="U177" i="35"/>
  <c r="S177" i="35"/>
  <c r="R177" i="35"/>
  <c r="Q177" i="35"/>
  <c r="L177" i="35"/>
  <c r="K177" i="35"/>
  <c r="I177" i="35"/>
  <c r="H177" i="35"/>
  <c r="G177" i="35"/>
  <c r="F177" i="35"/>
  <c r="AE176" i="35"/>
  <c r="Y176" i="35"/>
  <c r="X176" i="35"/>
  <c r="U176" i="35"/>
  <c r="S176" i="35"/>
  <c r="R176" i="35"/>
  <c r="Q176" i="35"/>
  <c r="K176" i="35"/>
  <c r="F176" i="35"/>
  <c r="I176" i="35" s="1"/>
  <c r="AE174" i="35"/>
  <c r="Y174" i="35"/>
  <c r="X174" i="35"/>
  <c r="U174" i="35"/>
  <c r="S174" i="35"/>
  <c r="R174" i="35"/>
  <c r="Q174" i="35"/>
  <c r="K174" i="35"/>
  <c r="F174" i="35"/>
  <c r="I174" i="35" s="1"/>
  <c r="Y168" i="35"/>
  <c r="X168" i="35"/>
  <c r="U168" i="35"/>
  <c r="S168" i="35"/>
  <c r="R168" i="35"/>
  <c r="Q168" i="35"/>
  <c r="K168" i="35"/>
  <c r="F168" i="35"/>
  <c r="H168" i="35" s="1"/>
  <c r="Y165" i="35"/>
  <c r="X165" i="35"/>
  <c r="W165" i="35"/>
  <c r="V165" i="35"/>
  <c r="U165" i="35"/>
  <c r="S165" i="35"/>
  <c r="R165" i="35"/>
  <c r="Q165" i="35"/>
  <c r="L165" i="35"/>
  <c r="K165" i="35"/>
  <c r="I165" i="35"/>
  <c r="H165" i="35"/>
  <c r="G165" i="35"/>
  <c r="F165" i="35"/>
  <c r="AE164" i="35"/>
  <c r="AG164" i="35" s="1"/>
  <c r="Y164" i="35"/>
  <c r="X164" i="35"/>
  <c r="U164" i="35"/>
  <c r="S164" i="35"/>
  <c r="R164" i="35"/>
  <c r="Q164" i="35"/>
  <c r="K164" i="35"/>
  <c r="F164" i="35"/>
  <c r="F162" i="35"/>
  <c r="H162" i="35" s="1"/>
  <c r="K162" i="35"/>
  <c r="Q162" i="35"/>
  <c r="R162" i="35"/>
  <c r="S162" i="35"/>
  <c r="U162" i="35"/>
  <c r="X162" i="35"/>
  <c r="Y162" i="35"/>
  <c r="AE162" i="35"/>
  <c r="AE145" i="35"/>
  <c r="Y145" i="35"/>
  <c r="X145" i="35"/>
  <c r="U145" i="35"/>
  <c r="S145" i="35"/>
  <c r="R145" i="35"/>
  <c r="Q145" i="35"/>
  <c r="K145" i="35"/>
  <c r="F145" i="35"/>
  <c r="AE139" i="35"/>
  <c r="Y139" i="35"/>
  <c r="X139" i="35"/>
  <c r="U139" i="35"/>
  <c r="S139" i="35"/>
  <c r="R139" i="35"/>
  <c r="Q139" i="35"/>
  <c r="K139" i="35"/>
  <c r="F139" i="35"/>
  <c r="I139" i="35" s="1"/>
  <c r="AE137" i="35"/>
  <c r="Y137" i="35"/>
  <c r="X137" i="35"/>
  <c r="U137" i="35"/>
  <c r="S137" i="35"/>
  <c r="R137" i="35"/>
  <c r="Q137" i="35"/>
  <c r="K137" i="35"/>
  <c r="F137" i="35"/>
  <c r="V229" i="33"/>
  <c r="T229" i="33"/>
  <c r="Y229" i="33" s="1"/>
  <c r="S229" i="33"/>
  <c r="R229" i="33"/>
  <c r="K229" i="33"/>
  <c r="F229" i="33"/>
  <c r="H229" i="33" s="1"/>
  <c r="Y186" i="35"/>
  <c r="X186" i="35"/>
  <c r="W186" i="35"/>
  <c r="V186" i="35"/>
  <c r="U186" i="35"/>
  <c r="S186" i="35"/>
  <c r="R186" i="35"/>
  <c r="Q186" i="35"/>
  <c r="L186" i="35"/>
  <c r="K186" i="35"/>
  <c r="I186" i="35"/>
  <c r="H186" i="35"/>
  <c r="G186" i="35"/>
  <c r="F186" i="35"/>
  <c r="AE180" i="35"/>
  <c r="Y180" i="35"/>
  <c r="X180" i="35"/>
  <c r="U180" i="35"/>
  <c r="S180" i="35"/>
  <c r="R180" i="35"/>
  <c r="Q180" i="35"/>
  <c r="K180" i="35"/>
  <c r="F180" i="35"/>
  <c r="G180" i="35" s="1"/>
  <c r="Y179" i="35"/>
  <c r="X179" i="35"/>
  <c r="W179" i="35"/>
  <c r="V179" i="35"/>
  <c r="U179" i="35"/>
  <c r="S179" i="35"/>
  <c r="R179" i="35"/>
  <c r="Q179" i="35"/>
  <c r="L179" i="35"/>
  <c r="K179" i="35"/>
  <c r="I179" i="35"/>
  <c r="H179" i="35"/>
  <c r="G179" i="35"/>
  <c r="F179" i="35"/>
  <c r="AE178" i="35"/>
  <c r="Y178" i="35"/>
  <c r="X178" i="35"/>
  <c r="U178" i="35"/>
  <c r="S178" i="35"/>
  <c r="R178" i="35"/>
  <c r="Q178" i="35"/>
  <c r="K178" i="35"/>
  <c r="F178" i="35"/>
  <c r="Y172" i="35"/>
  <c r="X172" i="35"/>
  <c r="W172" i="35"/>
  <c r="V172" i="35"/>
  <c r="U172" i="35"/>
  <c r="S172" i="35"/>
  <c r="R172" i="35"/>
  <c r="Q172" i="35"/>
  <c r="L172" i="35"/>
  <c r="K172" i="35"/>
  <c r="I172" i="35"/>
  <c r="H172" i="35"/>
  <c r="G172" i="35"/>
  <c r="F172" i="35"/>
  <c r="Y171" i="35"/>
  <c r="X171" i="35"/>
  <c r="W171" i="35"/>
  <c r="V171" i="35"/>
  <c r="U171" i="35"/>
  <c r="S171" i="35"/>
  <c r="R171" i="35"/>
  <c r="Q171" i="35"/>
  <c r="L171" i="35"/>
  <c r="K171" i="35"/>
  <c r="I171" i="35"/>
  <c r="H171" i="35"/>
  <c r="G171" i="35"/>
  <c r="F171" i="35"/>
  <c r="Y170" i="35"/>
  <c r="X170" i="35"/>
  <c r="W170" i="35"/>
  <c r="V170" i="35"/>
  <c r="U170" i="35"/>
  <c r="S170" i="35"/>
  <c r="R170" i="35"/>
  <c r="Q170" i="35"/>
  <c r="L170" i="35"/>
  <c r="K170" i="35"/>
  <c r="I170" i="35"/>
  <c r="H170" i="35"/>
  <c r="G170" i="35"/>
  <c r="F170" i="35"/>
  <c r="AE158" i="35"/>
  <c r="Y158" i="35"/>
  <c r="X158" i="35"/>
  <c r="U158" i="35"/>
  <c r="S158" i="35"/>
  <c r="R158" i="35"/>
  <c r="Q158" i="35"/>
  <c r="K158" i="35"/>
  <c r="F158" i="35"/>
  <c r="G158" i="35" s="1"/>
  <c r="Y156" i="35"/>
  <c r="X156" i="35"/>
  <c r="W156" i="35"/>
  <c r="V156" i="35"/>
  <c r="U156" i="35"/>
  <c r="S156" i="35"/>
  <c r="R156" i="35"/>
  <c r="Q156" i="35"/>
  <c r="K156" i="35"/>
  <c r="F156" i="35"/>
  <c r="H156" i="35" s="1"/>
  <c r="AE155" i="35"/>
  <c r="Y155" i="35"/>
  <c r="X155" i="35"/>
  <c r="U155" i="35"/>
  <c r="S155" i="35"/>
  <c r="R155" i="35"/>
  <c r="Q155" i="35"/>
  <c r="K155" i="35"/>
  <c r="F155" i="35"/>
  <c r="AE153" i="35"/>
  <c r="Y153" i="35"/>
  <c r="X153" i="35"/>
  <c r="U153" i="35"/>
  <c r="S153" i="35"/>
  <c r="R153" i="35"/>
  <c r="Q153" i="35"/>
  <c r="K153" i="35"/>
  <c r="F153" i="35"/>
  <c r="G153" i="35" s="1"/>
  <c r="AE151" i="35"/>
  <c r="Y151" i="35"/>
  <c r="X151" i="35"/>
  <c r="U151" i="35"/>
  <c r="S151" i="35"/>
  <c r="R151" i="35"/>
  <c r="Q151" i="35"/>
  <c r="K151" i="35"/>
  <c r="F151" i="35"/>
  <c r="AE135" i="35"/>
  <c r="Y135" i="35"/>
  <c r="X135" i="35"/>
  <c r="U135" i="35"/>
  <c r="S135" i="35"/>
  <c r="R135" i="35"/>
  <c r="Q135" i="35"/>
  <c r="K135" i="35"/>
  <c r="F135" i="35"/>
  <c r="AE147" i="35"/>
  <c r="Y147" i="35"/>
  <c r="X147" i="35"/>
  <c r="U147" i="35"/>
  <c r="S147" i="35"/>
  <c r="R147" i="35"/>
  <c r="Q147" i="35"/>
  <c r="K147" i="35"/>
  <c r="F147" i="35"/>
  <c r="H147" i="35" s="1"/>
  <c r="AE131" i="35"/>
  <c r="Y131" i="35"/>
  <c r="X131" i="35"/>
  <c r="U131" i="35"/>
  <c r="S131" i="35"/>
  <c r="R131" i="35"/>
  <c r="Q131" i="35"/>
  <c r="K131" i="35"/>
  <c r="F131" i="35"/>
  <c r="G131" i="35" s="1"/>
  <c r="AE127" i="35"/>
  <c r="Y127" i="35"/>
  <c r="X127" i="35"/>
  <c r="U127" i="35"/>
  <c r="S127" i="35"/>
  <c r="R127" i="35"/>
  <c r="Q127" i="35"/>
  <c r="K127" i="35"/>
  <c r="F127" i="35"/>
  <c r="AE123" i="35"/>
  <c r="Y123" i="35"/>
  <c r="X123" i="35"/>
  <c r="U123" i="35"/>
  <c r="S123" i="35"/>
  <c r="R123" i="35"/>
  <c r="Q123" i="35"/>
  <c r="K123" i="35"/>
  <c r="F123" i="35"/>
  <c r="Z195" i="33"/>
  <c r="Y195" i="33"/>
  <c r="X195" i="33"/>
  <c r="W195" i="33"/>
  <c r="V195" i="33"/>
  <c r="T195" i="33"/>
  <c r="S195" i="33"/>
  <c r="R195" i="33"/>
  <c r="L195" i="33"/>
  <c r="K195" i="33"/>
  <c r="I195" i="33"/>
  <c r="H195" i="33"/>
  <c r="G195" i="33"/>
  <c r="F195" i="33"/>
  <c r="V194" i="33"/>
  <c r="T194" i="33"/>
  <c r="Z194" i="33" s="1"/>
  <c r="S194" i="33"/>
  <c r="R194" i="33"/>
  <c r="K194" i="33"/>
  <c r="F194" i="33"/>
  <c r="G194" i="33" s="1"/>
  <c r="AE160" i="35"/>
  <c r="AE149" i="35"/>
  <c r="AE133" i="35"/>
  <c r="AE129" i="35"/>
  <c r="AE125" i="35"/>
  <c r="V199" i="33"/>
  <c r="W199" i="33"/>
  <c r="S199" i="33"/>
  <c r="R199" i="33"/>
  <c r="K199" i="33"/>
  <c r="F199" i="33"/>
  <c r="H199" i="33" s="1"/>
  <c r="V198" i="33"/>
  <c r="T198" i="33"/>
  <c r="W198" i="33" s="1"/>
  <c r="S198" i="33"/>
  <c r="R198" i="33"/>
  <c r="K198" i="33"/>
  <c r="F198" i="33"/>
  <c r="H198" i="33" s="1"/>
  <c r="X199" i="33"/>
  <c r="Y199" i="33"/>
  <c r="Z199" i="33"/>
  <c r="Z220" i="33"/>
  <c r="Y220" i="33"/>
  <c r="X220" i="33"/>
  <c r="W220" i="33"/>
  <c r="V220" i="33"/>
  <c r="T220" i="33"/>
  <c r="S220" i="33"/>
  <c r="R220" i="33"/>
  <c r="L220" i="33"/>
  <c r="K220" i="33"/>
  <c r="I220" i="33"/>
  <c r="H220" i="33"/>
  <c r="G220" i="33"/>
  <c r="F220" i="33"/>
  <c r="V219" i="33"/>
  <c r="T219" i="33"/>
  <c r="W219" i="33" s="1"/>
  <c r="S219" i="33"/>
  <c r="R219" i="33"/>
  <c r="K219" i="33"/>
  <c r="F219" i="33"/>
  <c r="H219" i="33" s="1"/>
  <c r="Y105" i="35"/>
  <c r="X105" i="35"/>
  <c r="W105" i="35"/>
  <c r="V105" i="35"/>
  <c r="U105" i="35"/>
  <c r="S105" i="35"/>
  <c r="R105" i="35"/>
  <c r="Q105" i="35"/>
  <c r="K105" i="35"/>
  <c r="F105" i="35"/>
  <c r="I105" i="35" s="1"/>
  <c r="Z145" i="33"/>
  <c r="Y145" i="33"/>
  <c r="X145" i="33"/>
  <c r="W145" i="33"/>
  <c r="V145" i="33"/>
  <c r="T145" i="33"/>
  <c r="S145" i="33"/>
  <c r="R145" i="33"/>
  <c r="L145" i="33"/>
  <c r="K145" i="33"/>
  <c r="I145" i="33"/>
  <c r="H145" i="33"/>
  <c r="G145" i="33"/>
  <c r="F145" i="33"/>
  <c r="F144" i="33"/>
  <c r="V109" i="33"/>
  <c r="T109" i="33"/>
  <c r="Y109" i="33" s="1"/>
  <c r="S109" i="33"/>
  <c r="R109" i="33"/>
  <c r="K109" i="33"/>
  <c r="F109" i="33"/>
  <c r="H109" i="33" s="1"/>
  <c r="Z108" i="33"/>
  <c r="Y108" i="33"/>
  <c r="X108" i="33"/>
  <c r="W108" i="33"/>
  <c r="V108" i="33"/>
  <c r="T108" i="33"/>
  <c r="S108" i="33"/>
  <c r="R108" i="33"/>
  <c r="L108" i="33"/>
  <c r="K108" i="33"/>
  <c r="I108" i="33"/>
  <c r="H108" i="33"/>
  <c r="G108" i="33"/>
  <c r="F108" i="33"/>
  <c r="V107" i="33"/>
  <c r="T107" i="33"/>
  <c r="Z107" i="33" s="1"/>
  <c r="S107" i="33"/>
  <c r="R107" i="33"/>
  <c r="K107" i="33"/>
  <c r="F107" i="33"/>
  <c r="G107" i="33" s="1"/>
  <c r="Z106" i="33"/>
  <c r="Y106" i="33"/>
  <c r="X106" i="33"/>
  <c r="W106" i="33"/>
  <c r="V106" i="33"/>
  <c r="T106" i="33"/>
  <c r="S106" i="33"/>
  <c r="R106" i="33"/>
  <c r="L106" i="33"/>
  <c r="K106" i="33"/>
  <c r="I106" i="33"/>
  <c r="H106" i="33"/>
  <c r="G106" i="33"/>
  <c r="F106" i="33"/>
  <c r="V105" i="33"/>
  <c r="T105" i="33"/>
  <c r="Y105" i="33" s="1"/>
  <c r="S105" i="33"/>
  <c r="R105" i="33"/>
  <c r="K105" i="33"/>
  <c r="F105" i="33"/>
  <c r="H105" i="33" s="1"/>
  <c r="Z104" i="33"/>
  <c r="Y104" i="33"/>
  <c r="X104" i="33"/>
  <c r="W104" i="33"/>
  <c r="V104" i="33"/>
  <c r="T104" i="33"/>
  <c r="S104" i="33"/>
  <c r="R104" i="33"/>
  <c r="L104" i="33"/>
  <c r="K104" i="33"/>
  <c r="I104" i="33"/>
  <c r="H104" i="33"/>
  <c r="G104" i="33"/>
  <c r="F104" i="33"/>
  <c r="V103" i="33"/>
  <c r="T103" i="33"/>
  <c r="Y103" i="33" s="1"/>
  <c r="S103" i="33"/>
  <c r="R103" i="33"/>
  <c r="K103" i="33"/>
  <c r="F103" i="33"/>
  <c r="H103" i="33" s="1"/>
  <c r="V101" i="33"/>
  <c r="T101" i="33"/>
  <c r="Y101" i="33" s="1"/>
  <c r="S101" i="33"/>
  <c r="R101" i="33"/>
  <c r="K101" i="33"/>
  <c r="F101" i="33"/>
  <c r="H101" i="33" s="1"/>
  <c r="Z100" i="33"/>
  <c r="Y100" i="33"/>
  <c r="X100" i="33"/>
  <c r="W100" i="33"/>
  <c r="V100" i="33"/>
  <c r="T100" i="33"/>
  <c r="S100" i="33"/>
  <c r="R100" i="33"/>
  <c r="L100" i="33"/>
  <c r="K100" i="33"/>
  <c r="I100" i="33"/>
  <c r="H100" i="33"/>
  <c r="G100" i="33"/>
  <c r="F100" i="33"/>
  <c r="V99" i="33"/>
  <c r="T99" i="33"/>
  <c r="Z99" i="33" s="1"/>
  <c r="S99" i="33"/>
  <c r="R99" i="33"/>
  <c r="K99" i="33"/>
  <c r="F99" i="33"/>
  <c r="H99" i="33" s="1"/>
  <c r="AF142" i="33"/>
  <c r="AF140" i="33"/>
  <c r="AF136" i="33"/>
  <c r="AF134" i="33"/>
  <c r="AF132" i="33"/>
  <c r="AH136" i="33"/>
  <c r="AE87" i="35"/>
  <c r="AE85" i="35"/>
  <c r="AE83" i="35"/>
  <c r="AE81" i="35"/>
  <c r="AE79" i="35"/>
  <c r="AE77" i="35"/>
  <c r="AE75" i="35"/>
  <c r="AE73" i="35"/>
  <c r="AE71" i="35"/>
  <c r="AE69" i="35"/>
  <c r="AE67" i="35"/>
  <c r="AE61" i="35"/>
  <c r="AE53" i="35"/>
  <c r="AE51" i="35"/>
  <c r="AE49" i="35"/>
  <c r="AE47" i="35"/>
  <c r="AE43" i="35"/>
  <c r="AE41" i="35"/>
  <c r="AE37" i="35"/>
  <c r="V142" i="33"/>
  <c r="T142" i="33"/>
  <c r="Z142" i="33" s="1"/>
  <c r="S142" i="33"/>
  <c r="R142" i="33"/>
  <c r="K142" i="33"/>
  <c r="F142" i="33"/>
  <c r="H142" i="33" s="1"/>
  <c r="Y59" i="35"/>
  <c r="X59" i="35"/>
  <c r="W59" i="35"/>
  <c r="V59" i="35"/>
  <c r="U59" i="35"/>
  <c r="S59" i="35"/>
  <c r="R59" i="35"/>
  <c r="Q59" i="35"/>
  <c r="L59" i="35"/>
  <c r="K59" i="35"/>
  <c r="I59" i="35"/>
  <c r="H59" i="35"/>
  <c r="G59" i="35"/>
  <c r="F59" i="35"/>
  <c r="Y58" i="35"/>
  <c r="X58" i="35"/>
  <c r="W58" i="35"/>
  <c r="V58" i="35"/>
  <c r="U58" i="35"/>
  <c r="S58" i="35"/>
  <c r="R58" i="35"/>
  <c r="Q58" i="35"/>
  <c r="L58" i="35"/>
  <c r="K58" i="35"/>
  <c r="I58" i="35"/>
  <c r="H58" i="35"/>
  <c r="G58" i="35"/>
  <c r="F58" i="35"/>
  <c r="Y43" i="35"/>
  <c r="X43" i="35"/>
  <c r="U43" i="35"/>
  <c r="S43" i="35"/>
  <c r="R43" i="35"/>
  <c r="Q43" i="35"/>
  <c r="K43" i="35"/>
  <c r="F43" i="35"/>
  <c r="Y42" i="35"/>
  <c r="X42" i="35"/>
  <c r="W42" i="35"/>
  <c r="V42" i="35"/>
  <c r="U42" i="35"/>
  <c r="S42" i="35"/>
  <c r="R42" i="35"/>
  <c r="Q42" i="35"/>
  <c r="L42" i="35"/>
  <c r="K42" i="35"/>
  <c r="I42" i="35"/>
  <c r="H42" i="35"/>
  <c r="G42" i="35"/>
  <c r="F42" i="35"/>
  <c r="F5" i="35"/>
  <c r="K5" i="35"/>
  <c r="F6" i="35"/>
  <c r="K6" i="35"/>
  <c r="F7" i="35"/>
  <c r="K7" i="35"/>
  <c r="F8" i="35"/>
  <c r="K8" i="35"/>
  <c r="F9" i="35"/>
  <c r="K9" i="35"/>
  <c r="F10" i="35"/>
  <c r="K10" i="35"/>
  <c r="F11" i="35"/>
  <c r="K11" i="35"/>
  <c r="F12" i="35"/>
  <c r="K12" i="35"/>
  <c r="F13" i="35"/>
  <c r="K13" i="35"/>
  <c r="F14" i="35"/>
  <c r="K14" i="35"/>
  <c r="F15" i="35"/>
  <c r="G15" i="35" s="1"/>
  <c r="K15" i="35"/>
  <c r="F16" i="35"/>
  <c r="K16" i="35"/>
  <c r="F17" i="35"/>
  <c r="H17" i="35" s="1"/>
  <c r="K17" i="35"/>
  <c r="F18" i="35"/>
  <c r="K18" i="35"/>
  <c r="F19" i="35"/>
  <c r="H19" i="35" s="1"/>
  <c r="K19" i="35"/>
  <c r="F20" i="35"/>
  <c r="K20" i="35"/>
  <c r="F21" i="35"/>
  <c r="K21" i="35"/>
  <c r="F22" i="35"/>
  <c r="K22" i="35"/>
  <c r="F23" i="35"/>
  <c r="K23" i="35"/>
  <c r="F24" i="35"/>
  <c r="K24" i="35"/>
  <c r="F25" i="35"/>
  <c r="K25" i="35"/>
  <c r="F26" i="35"/>
  <c r="K26" i="35"/>
  <c r="F27" i="35"/>
  <c r="K27" i="35"/>
  <c r="F28" i="35"/>
  <c r="K28" i="35"/>
  <c r="F29" i="35"/>
  <c r="K29" i="35"/>
  <c r="F30" i="35"/>
  <c r="K30" i="35"/>
  <c r="F31" i="35"/>
  <c r="K31" i="35"/>
  <c r="F32" i="35"/>
  <c r="K32" i="35"/>
  <c r="F33" i="35"/>
  <c r="K33" i="35"/>
  <c r="F34" i="35"/>
  <c r="K34" i="35"/>
  <c r="F35" i="35"/>
  <c r="K35" i="35"/>
  <c r="F36" i="35"/>
  <c r="K36" i="35"/>
  <c r="F37" i="35"/>
  <c r="I37" i="35" s="1"/>
  <c r="K37" i="35"/>
  <c r="F38" i="35"/>
  <c r="K38" i="35"/>
  <c r="F39" i="35"/>
  <c r="K39" i="35"/>
  <c r="L39" i="35"/>
  <c r="F40" i="35"/>
  <c r="K40" i="35"/>
  <c r="F41" i="35"/>
  <c r="G41" i="35" s="1"/>
  <c r="K41" i="35"/>
  <c r="F44" i="35"/>
  <c r="K44" i="35"/>
  <c r="F45" i="35"/>
  <c r="K45" i="35"/>
  <c r="F46" i="35"/>
  <c r="K46" i="35"/>
  <c r="F47" i="35"/>
  <c r="I47" i="35" s="1"/>
  <c r="K47" i="35"/>
  <c r="F48" i="35"/>
  <c r="K48" i="35"/>
  <c r="F49" i="35"/>
  <c r="G49" i="35" s="1"/>
  <c r="K49" i="35"/>
  <c r="F50" i="35"/>
  <c r="K50" i="35"/>
  <c r="F51" i="35"/>
  <c r="H51" i="35" s="1"/>
  <c r="K51" i="35"/>
  <c r="F52" i="35"/>
  <c r="K52" i="35"/>
  <c r="F53" i="35"/>
  <c r="H53" i="35" s="1"/>
  <c r="K53" i="35"/>
  <c r="F54" i="35"/>
  <c r="K54" i="35"/>
  <c r="F55" i="35"/>
  <c r="K55" i="35"/>
  <c r="F56" i="35"/>
  <c r="K56" i="35"/>
  <c r="F57" i="35"/>
  <c r="K57" i="35"/>
  <c r="F60" i="35"/>
  <c r="K60" i="35"/>
  <c r="F61" i="35"/>
  <c r="H61" i="35" s="1"/>
  <c r="K61" i="35"/>
  <c r="F62" i="35"/>
  <c r="K62" i="35"/>
  <c r="F67" i="35"/>
  <c r="I67" i="35" s="1"/>
  <c r="K67" i="35"/>
  <c r="F68" i="35"/>
  <c r="K68" i="35"/>
  <c r="F69" i="35"/>
  <c r="I69" i="35" s="1"/>
  <c r="K69" i="35"/>
  <c r="F70" i="35"/>
  <c r="K70" i="35"/>
  <c r="F71" i="35"/>
  <c r="H71" i="35" s="1"/>
  <c r="K71" i="35"/>
  <c r="F72" i="35"/>
  <c r="K72" i="35"/>
  <c r="F73" i="35"/>
  <c r="I73" i="35" s="1"/>
  <c r="K73" i="35"/>
  <c r="F74" i="35"/>
  <c r="K74" i="35"/>
  <c r="F63" i="35"/>
  <c r="K63" i="35"/>
  <c r="F64" i="35"/>
  <c r="K64" i="35"/>
  <c r="F65" i="35"/>
  <c r="K65" i="35"/>
  <c r="F66" i="35"/>
  <c r="K66" i="35"/>
  <c r="F75" i="35"/>
  <c r="G75" i="35" s="1"/>
  <c r="K75" i="35"/>
  <c r="F76" i="35"/>
  <c r="K76" i="35"/>
  <c r="F77" i="35"/>
  <c r="I77" i="35" s="1"/>
  <c r="K77" i="35"/>
  <c r="F78" i="35"/>
  <c r="K78" i="35"/>
  <c r="F79" i="35"/>
  <c r="G79" i="35" s="1"/>
  <c r="K79" i="35"/>
  <c r="F80" i="35"/>
  <c r="K80" i="35"/>
  <c r="F81" i="35"/>
  <c r="G81" i="35" s="1"/>
  <c r="K81" i="35"/>
  <c r="F82" i="35"/>
  <c r="K82" i="35"/>
  <c r="F83" i="35"/>
  <c r="H83" i="35" s="1"/>
  <c r="K83" i="35"/>
  <c r="F84" i="35"/>
  <c r="K84" i="35"/>
  <c r="F85" i="35"/>
  <c r="I85" i="35" s="1"/>
  <c r="K85" i="35"/>
  <c r="F86" i="35"/>
  <c r="K86" i="35"/>
  <c r="F87" i="35"/>
  <c r="H87" i="35" s="1"/>
  <c r="K87" i="35"/>
  <c r="F88" i="35"/>
  <c r="K88" i="35"/>
  <c r="F89" i="35"/>
  <c r="F90" i="35"/>
  <c r="K90" i="35"/>
  <c r="F91" i="35"/>
  <c r="K91" i="35"/>
  <c r="F92" i="35"/>
  <c r="K92" i="35"/>
  <c r="F93" i="35"/>
  <c r="K93" i="35"/>
  <c r="F94" i="35"/>
  <c r="K94" i="35"/>
  <c r="F95" i="35"/>
  <c r="G95" i="35"/>
  <c r="K95" i="35"/>
  <c r="F96" i="35"/>
  <c r="K96" i="35"/>
  <c r="F97" i="35"/>
  <c r="W97" i="35"/>
  <c r="K97" i="35"/>
  <c r="F98" i="35"/>
  <c r="K98" i="35"/>
  <c r="F101" i="35"/>
  <c r="I101" i="35" s="1"/>
  <c r="K101" i="35"/>
  <c r="F102" i="35"/>
  <c r="K102" i="35"/>
  <c r="F103" i="35"/>
  <c r="I103" i="35" s="1"/>
  <c r="K103" i="35"/>
  <c r="F104" i="35"/>
  <c r="K104" i="35"/>
  <c r="F107" i="35"/>
  <c r="G107" i="35" s="1"/>
  <c r="K107" i="35"/>
  <c r="F108" i="35"/>
  <c r="K108" i="35"/>
  <c r="F111" i="35"/>
  <c r="K111" i="35"/>
  <c r="F112" i="35"/>
  <c r="K112" i="35"/>
  <c r="F113" i="35"/>
  <c r="I113" i="35" s="1"/>
  <c r="K113" i="35"/>
  <c r="F114" i="35"/>
  <c r="K114" i="35"/>
  <c r="F115" i="35"/>
  <c r="K115" i="35"/>
  <c r="F116" i="35"/>
  <c r="K116" i="35"/>
  <c r="F117" i="35"/>
  <c r="K117" i="35"/>
  <c r="F118" i="35"/>
  <c r="K118" i="35"/>
  <c r="F119" i="35"/>
  <c r="K119" i="35"/>
  <c r="F120" i="35"/>
  <c r="K120" i="35"/>
  <c r="F121" i="35"/>
  <c r="K121" i="35"/>
  <c r="F122" i="35"/>
  <c r="K122" i="35"/>
  <c r="F125" i="35"/>
  <c r="K125" i="35"/>
  <c r="F126" i="35"/>
  <c r="K126" i="35"/>
  <c r="F129" i="35"/>
  <c r="G129" i="35" s="1"/>
  <c r="K129" i="35"/>
  <c r="F130" i="35"/>
  <c r="K130" i="35"/>
  <c r="F133" i="35"/>
  <c r="K133" i="35"/>
  <c r="F134" i="35"/>
  <c r="K134" i="35"/>
  <c r="F136" i="35"/>
  <c r="K136" i="35"/>
  <c r="F141" i="35"/>
  <c r="K141" i="35"/>
  <c r="F142" i="35"/>
  <c r="K142" i="35"/>
  <c r="F143" i="35"/>
  <c r="K143" i="35"/>
  <c r="F144" i="35"/>
  <c r="K144" i="35"/>
  <c r="F149" i="35"/>
  <c r="H149" i="35" s="1"/>
  <c r="K149" i="35"/>
  <c r="F150" i="35"/>
  <c r="K150" i="35"/>
  <c r="F160" i="35"/>
  <c r="G160" i="35" s="1"/>
  <c r="K160" i="35"/>
  <c r="F161" i="35"/>
  <c r="K161" i="35"/>
  <c r="F192" i="35"/>
  <c r="K192" i="35"/>
  <c r="F193" i="35"/>
  <c r="K193" i="35"/>
  <c r="F194" i="35"/>
  <c r="K194" i="35"/>
  <c r="F195" i="35"/>
  <c r="K195" i="35"/>
  <c r="F196" i="35"/>
  <c r="K196" i="35"/>
  <c r="F197" i="35"/>
  <c r="K197" i="35"/>
  <c r="F198" i="35"/>
  <c r="K198" i="35"/>
  <c r="F199" i="35"/>
  <c r="K199" i="35"/>
  <c r="F200" i="35"/>
  <c r="I200" i="35" s="1"/>
  <c r="K200" i="35"/>
  <c r="F201" i="35"/>
  <c r="K201" i="35"/>
  <c r="F202" i="35"/>
  <c r="K202" i="35"/>
  <c r="F203" i="35"/>
  <c r="K203" i="35"/>
  <c r="F204" i="35"/>
  <c r="K204" i="35"/>
  <c r="F205" i="35"/>
  <c r="K205" i="35"/>
  <c r="F206" i="35"/>
  <c r="K206" i="35"/>
  <c r="F207" i="35"/>
  <c r="K207" i="35"/>
  <c r="F208" i="35"/>
  <c r="K208" i="35"/>
  <c r="F209" i="35"/>
  <c r="K209" i="35"/>
  <c r="F210" i="35"/>
  <c r="K210" i="35"/>
  <c r="F211" i="35"/>
  <c r="K211" i="35"/>
  <c r="F212" i="35"/>
  <c r="K212" i="35"/>
  <c r="F213" i="35"/>
  <c r="K213" i="35"/>
  <c r="F216" i="35"/>
  <c r="H216" i="35" s="1"/>
  <c r="K216" i="35"/>
  <c r="F217" i="35"/>
  <c r="K217" i="35"/>
  <c r="F218" i="35"/>
  <c r="I218" i="35" s="1"/>
  <c r="K218" i="35"/>
  <c r="F219" i="35"/>
  <c r="K219" i="35"/>
  <c r="F220" i="35"/>
  <c r="G220" i="35" s="1"/>
  <c r="K220" i="35"/>
  <c r="F221" i="35"/>
  <c r="K221" i="35"/>
  <c r="F224" i="35"/>
  <c r="I224" i="35" s="1"/>
  <c r="K224" i="35"/>
  <c r="F225" i="35"/>
  <c r="K225" i="35"/>
  <c r="F230" i="35"/>
  <c r="G230" i="35" s="1"/>
  <c r="K230" i="35"/>
  <c r="F231" i="35"/>
  <c r="K231" i="35"/>
  <c r="F232" i="35"/>
  <c r="G232" i="35" s="1"/>
  <c r="K232" i="35"/>
  <c r="F233" i="35"/>
  <c r="K233" i="35"/>
  <c r="F234" i="35"/>
  <c r="H234" i="35" s="1"/>
  <c r="K234" i="35"/>
  <c r="F235" i="35"/>
  <c r="K235" i="35"/>
  <c r="F236" i="35"/>
  <c r="I236" i="35" s="1"/>
  <c r="K236" i="35"/>
  <c r="F237" i="35"/>
  <c r="K237" i="35"/>
  <c r="F238" i="35"/>
  <c r="H238" i="35" s="1"/>
  <c r="K238" i="35"/>
  <c r="F239" i="35"/>
  <c r="K239" i="35"/>
  <c r="F240" i="35"/>
  <c r="G240" i="35" s="1"/>
  <c r="K240" i="35"/>
  <c r="F241" i="35"/>
  <c r="K241" i="35"/>
  <c r="F242" i="35"/>
  <c r="G242" i="35" s="1"/>
  <c r="K242" i="35"/>
  <c r="F243" i="35"/>
  <c r="K243" i="35"/>
  <c r="F1609" i="35"/>
  <c r="K1609" i="35"/>
  <c r="Y5" i="35"/>
  <c r="Y6" i="35"/>
  <c r="Y7" i="35"/>
  <c r="Y8" i="35"/>
  <c r="Y9" i="35"/>
  <c r="Y10" i="35"/>
  <c r="Y11" i="35"/>
  <c r="Y12" i="35"/>
  <c r="Y13" i="35"/>
  <c r="Y14" i="35"/>
  <c r="Y15" i="35"/>
  <c r="Y16" i="35"/>
  <c r="Y17" i="35"/>
  <c r="Y18" i="35"/>
  <c r="Y19" i="35"/>
  <c r="Y20" i="35"/>
  <c r="Y21" i="35"/>
  <c r="Y22" i="35"/>
  <c r="Y23" i="35"/>
  <c r="Y24" i="35"/>
  <c r="Y25" i="35"/>
  <c r="Y26" i="35"/>
  <c r="Y27" i="35"/>
  <c r="Y28" i="35"/>
  <c r="Y29" i="35"/>
  <c r="Y30" i="35"/>
  <c r="Y31" i="35"/>
  <c r="Y32" i="35"/>
  <c r="Y33" i="35"/>
  <c r="Y34" i="35"/>
  <c r="Y35" i="35"/>
  <c r="Y36" i="35"/>
  <c r="Y37" i="35"/>
  <c r="Y38" i="35"/>
  <c r="Y39" i="35"/>
  <c r="Y40" i="35"/>
  <c r="Y41" i="35"/>
  <c r="Y44" i="35"/>
  <c r="Y45" i="35"/>
  <c r="Y46" i="35"/>
  <c r="Y47" i="35"/>
  <c r="Y48" i="35"/>
  <c r="Y49" i="35"/>
  <c r="Y50" i="35"/>
  <c r="Y51" i="35"/>
  <c r="Y52" i="35"/>
  <c r="Y53" i="35"/>
  <c r="Y54" i="35"/>
  <c r="Y55" i="35"/>
  <c r="Y56" i="35"/>
  <c r="Y57" i="35"/>
  <c r="Y60" i="35"/>
  <c r="Y61" i="35"/>
  <c r="Y62" i="35"/>
  <c r="Y67" i="35"/>
  <c r="Y68" i="35"/>
  <c r="Y69" i="35"/>
  <c r="Y70" i="35"/>
  <c r="Y71" i="35"/>
  <c r="Y72" i="35"/>
  <c r="Y73" i="35"/>
  <c r="Y74" i="35"/>
  <c r="Y63" i="35"/>
  <c r="Y64" i="35"/>
  <c r="Y65" i="35"/>
  <c r="Y66" i="35"/>
  <c r="Y75" i="35"/>
  <c r="Y76" i="35"/>
  <c r="Y77" i="35"/>
  <c r="Y78" i="35"/>
  <c r="Y79" i="35"/>
  <c r="Y80" i="35"/>
  <c r="Y81" i="35"/>
  <c r="Y82" i="35"/>
  <c r="Y83" i="35"/>
  <c r="Y84" i="35"/>
  <c r="Y85" i="35"/>
  <c r="Y86" i="35"/>
  <c r="Y87" i="35"/>
  <c r="Y88" i="35"/>
  <c r="Y90" i="35"/>
  <c r="Y91" i="35"/>
  <c r="Y92" i="35"/>
  <c r="Y93" i="35"/>
  <c r="Y94" i="35"/>
  <c r="Y95" i="35"/>
  <c r="Y96" i="35"/>
  <c r="Y97" i="35"/>
  <c r="Y98" i="35"/>
  <c r="Y101" i="35"/>
  <c r="Y102" i="35"/>
  <c r="Y103" i="35"/>
  <c r="Y104" i="35"/>
  <c r="Y107" i="35"/>
  <c r="Y108" i="35"/>
  <c r="Y111" i="35"/>
  <c r="Y112" i="35"/>
  <c r="Y113" i="35"/>
  <c r="Y114" i="35"/>
  <c r="Y115" i="35"/>
  <c r="Y116" i="35"/>
  <c r="Y117" i="35"/>
  <c r="Y118" i="35"/>
  <c r="Y119" i="35"/>
  <c r="Y120" i="35"/>
  <c r="Y121" i="35"/>
  <c r="Y122" i="35"/>
  <c r="Y125" i="35"/>
  <c r="Y126" i="35"/>
  <c r="Y129" i="35"/>
  <c r="Y130" i="35"/>
  <c r="Y133" i="35"/>
  <c r="Y134" i="35"/>
  <c r="Y136" i="35"/>
  <c r="Y141" i="35"/>
  <c r="Y142" i="35"/>
  <c r="Y143" i="35"/>
  <c r="Y144" i="35"/>
  <c r="Y149" i="35"/>
  <c r="Y150" i="35"/>
  <c r="Y160" i="35"/>
  <c r="Y161" i="35"/>
  <c r="Y192" i="35"/>
  <c r="Y193" i="35"/>
  <c r="Y194" i="35"/>
  <c r="Y195" i="35"/>
  <c r="Y196" i="35"/>
  <c r="Y197" i="35"/>
  <c r="Y198" i="35"/>
  <c r="Y199" i="35"/>
  <c r="Y200" i="35"/>
  <c r="Y201" i="35"/>
  <c r="Y202" i="35"/>
  <c r="Y203" i="35"/>
  <c r="Y204" i="35"/>
  <c r="Y205" i="35"/>
  <c r="Y206" i="35"/>
  <c r="Y207" i="35"/>
  <c r="Y208" i="35"/>
  <c r="Y209" i="35"/>
  <c r="Y210" i="35"/>
  <c r="Y211" i="35"/>
  <c r="Y212" i="35"/>
  <c r="Y213" i="35"/>
  <c r="Y216" i="35"/>
  <c r="Y217" i="35"/>
  <c r="Y218" i="35"/>
  <c r="Y219" i="35"/>
  <c r="Y220" i="35"/>
  <c r="Y221" i="35"/>
  <c r="Y224" i="35"/>
  <c r="Y225" i="35"/>
  <c r="Y230" i="35"/>
  <c r="Y231" i="35"/>
  <c r="Y232" i="35"/>
  <c r="Y233" i="35"/>
  <c r="Y234" i="35"/>
  <c r="Y235" i="35"/>
  <c r="Y236" i="35"/>
  <c r="Y237" i="35"/>
  <c r="Y238" i="35"/>
  <c r="Y239" i="35"/>
  <c r="Y240" i="35"/>
  <c r="Y241" i="35"/>
  <c r="Y242" i="35"/>
  <c r="Y243" i="35"/>
  <c r="Y1609" i="35"/>
  <c r="X5" i="35"/>
  <c r="X6" i="35"/>
  <c r="X7" i="35"/>
  <c r="X8" i="35"/>
  <c r="X9" i="35"/>
  <c r="X10" i="35"/>
  <c r="X11" i="35"/>
  <c r="X12" i="35"/>
  <c r="X13" i="35"/>
  <c r="X14" i="35"/>
  <c r="X15" i="35"/>
  <c r="X16" i="35"/>
  <c r="X17" i="35"/>
  <c r="X18" i="35"/>
  <c r="X19" i="35"/>
  <c r="X20" i="35"/>
  <c r="X21" i="35"/>
  <c r="X22" i="35"/>
  <c r="X23" i="35"/>
  <c r="X24" i="35"/>
  <c r="X25" i="35"/>
  <c r="X26" i="35"/>
  <c r="X27" i="35"/>
  <c r="X28" i="35"/>
  <c r="X29" i="35"/>
  <c r="X30" i="35"/>
  <c r="X31" i="35"/>
  <c r="X32" i="35"/>
  <c r="X33" i="35"/>
  <c r="X34" i="35"/>
  <c r="X35" i="35"/>
  <c r="X36" i="35"/>
  <c r="X37" i="35"/>
  <c r="X38" i="35"/>
  <c r="X39" i="35"/>
  <c r="X40" i="35"/>
  <c r="X41" i="35"/>
  <c r="X44" i="35"/>
  <c r="X45" i="35"/>
  <c r="X46" i="35"/>
  <c r="X47" i="35"/>
  <c r="X48" i="35"/>
  <c r="X49" i="35"/>
  <c r="X50" i="35"/>
  <c r="X51" i="35"/>
  <c r="X52" i="35"/>
  <c r="X53" i="35"/>
  <c r="X54" i="35"/>
  <c r="X55" i="35"/>
  <c r="X56" i="35"/>
  <c r="X57" i="35"/>
  <c r="X60" i="35"/>
  <c r="X61" i="35"/>
  <c r="X62" i="35"/>
  <c r="X67" i="35"/>
  <c r="X68" i="35"/>
  <c r="X69" i="35"/>
  <c r="X70" i="35"/>
  <c r="X71" i="35"/>
  <c r="X72" i="35"/>
  <c r="X73" i="35"/>
  <c r="X74" i="35"/>
  <c r="X63" i="35"/>
  <c r="X64" i="35"/>
  <c r="X65" i="35"/>
  <c r="X66" i="35"/>
  <c r="X75" i="35"/>
  <c r="X76" i="35"/>
  <c r="X77" i="35"/>
  <c r="X78" i="35"/>
  <c r="X79" i="35"/>
  <c r="X80" i="35"/>
  <c r="X81" i="35"/>
  <c r="X82" i="35"/>
  <c r="X83" i="35"/>
  <c r="X84" i="35"/>
  <c r="X85" i="35"/>
  <c r="X86" i="35"/>
  <c r="X87" i="35"/>
  <c r="X88" i="35"/>
  <c r="X89" i="35"/>
  <c r="X90" i="35"/>
  <c r="X91" i="35"/>
  <c r="X92" i="35"/>
  <c r="X93" i="35"/>
  <c r="X94" i="35"/>
  <c r="X95" i="35"/>
  <c r="X96" i="35"/>
  <c r="X97" i="35"/>
  <c r="X98" i="35"/>
  <c r="X101" i="35"/>
  <c r="X102" i="35"/>
  <c r="X103" i="35"/>
  <c r="X104" i="35"/>
  <c r="X107" i="35"/>
  <c r="X108" i="35"/>
  <c r="X111" i="35"/>
  <c r="X112" i="35"/>
  <c r="X113" i="35"/>
  <c r="X114" i="35"/>
  <c r="X115" i="35"/>
  <c r="X116" i="35"/>
  <c r="X117" i="35"/>
  <c r="X118" i="35"/>
  <c r="X119" i="35"/>
  <c r="X120" i="35"/>
  <c r="X121" i="35"/>
  <c r="X122" i="35"/>
  <c r="X125" i="35"/>
  <c r="X126" i="35"/>
  <c r="X129" i="35"/>
  <c r="X130" i="35"/>
  <c r="X133" i="35"/>
  <c r="X134" i="35"/>
  <c r="X136" i="35"/>
  <c r="X141" i="35"/>
  <c r="X142" i="35"/>
  <c r="X143" i="35"/>
  <c r="X144" i="35"/>
  <c r="X149" i="35"/>
  <c r="X150" i="35"/>
  <c r="X160" i="35"/>
  <c r="X161" i="35"/>
  <c r="X192" i="35"/>
  <c r="X193" i="35"/>
  <c r="X194" i="35"/>
  <c r="X195" i="35"/>
  <c r="X196" i="35"/>
  <c r="X197" i="35"/>
  <c r="X198" i="35"/>
  <c r="X199" i="35"/>
  <c r="X200" i="35"/>
  <c r="X201" i="35"/>
  <c r="X202" i="35"/>
  <c r="X203" i="35"/>
  <c r="X204" i="35"/>
  <c r="X205" i="35"/>
  <c r="X206" i="35"/>
  <c r="X207" i="35"/>
  <c r="X208" i="35"/>
  <c r="X209" i="35"/>
  <c r="X210" i="35"/>
  <c r="X211" i="35"/>
  <c r="X212" i="35"/>
  <c r="X213" i="35"/>
  <c r="X216" i="35"/>
  <c r="X217" i="35"/>
  <c r="X218" i="35"/>
  <c r="X219" i="35"/>
  <c r="X220" i="35"/>
  <c r="X221" i="35"/>
  <c r="X224" i="35"/>
  <c r="X225" i="35"/>
  <c r="X230" i="35"/>
  <c r="X231" i="35"/>
  <c r="X232" i="35"/>
  <c r="X233" i="35"/>
  <c r="X234" i="35"/>
  <c r="X235" i="35"/>
  <c r="X236" i="35"/>
  <c r="X237" i="35"/>
  <c r="X238" i="35"/>
  <c r="X239" i="35"/>
  <c r="X240" i="35"/>
  <c r="X241" i="35"/>
  <c r="X242" i="35"/>
  <c r="X243" i="35"/>
  <c r="X1609" i="35"/>
  <c r="W5" i="35"/>
  <c r="W6" i="35"/>
  <c r="W7" i="35"/>
  <c r="W8" i="35"/>
  <c r="W9" i="35"/>
  <c r="W10" i="35"/>
  <c r="W11" i="35"/>
  <c r="W12" i="35"/>
  <c r="W13" i="35"/>
  <c r="W14" i="35"/>
  <c r="W15" i="35"/>
  <c r="W16" i="35"/>
  <c r="W17" i="35"/>
  <c r="W18" i="35"/>
  <c r="W19" i="35"/>
  <c r="W20" i="35"/>
  <c r="W21" i="35"/>
  <c r="W22" i="35"/>
  <c r="W23" i="35"/>
  <c r="W24" i="35"/>
  <c r="W25" i="35"/>
  <c r="W26" i="35"/>
  <c r="W27" i="35"/>
  <c r="W28" i="35"/>
  <c r="W29" i="35"/>
  <c r="W30" i="35"/>
  <c r="W31" i="35"/>
  <c r="W32" i="35"/>
  <c r="W33" i="35"/>
  <c r="W34" i="35"/>
  <c r="W35" i="35"/>
  <c r="W36" i="35"/>
  <c r="W38" i="35"/>
  <c r="W39" i="35"/>
  <c r="W40" i="35"/>
  <c r="W44" i="35"/>
  <c r="W45" i="35"/>
  <c r="W46" i="35"/>
  <c r="W48" i="35"/>
  <c r="W50" i="35"/>
  <c r="W52" i="35"/>
  <c r="W54" i="35"/>
  <c r="W55" i="35"/>
  <c r="W56" i="35"/>
  <c r="W57" i="35"/>
  <c r="W60" i="35"/>
  <c r="W62" i="35"/>
  <c r="W68" i="35"/>
  <c r="W70" i="35"/>
  <c r="W72" i="35"/>
  <c r="W74" i="35"/>
  <c r="W63" i="35"/>
  <c r="W64" i="35"/>
  <c r="W65" i="35"/>
  <c r="W66" i="35"/>
  <c r="W76" i="35"/>
  <c r="W78" i="35"/>
  <c r="W80" i="35"/>
  <c r="W82" i="35"/>
  <c r="W84" i="35"/>
  <c r="W86" i="35"/>
  <c r="W88" i="35"/>
  <c r="W90" i="35"/>
  <c r="W92" i="35"/>
  <c r="W94" i="35"/>
  <c r="W95" i="35"/>
  <c r="W96" i="35"/>
  <c r="W98" i="35"/>
  <c r="W101" i="35"/>
  <c r="W102" i="35"/>
  <c r="W103" i="35"/>
  <c r="W104" i="35"/>
  <c r="W107" i="35"/>
  <c r="W108" i="35"/>
  <c r="W111" i="35"/>
  <c r="W112" i="35"/>
  <c r="W113" i="35"/>
  <c r="W114" i="35"/>
  <c r="W115" i="35"/>
  <c r="W116" i="35"/>
  <c r="W117" i="35"/>
  <c r="W118" i="35"/>
  <c r="W119" i="35"/>
  <c r="W120" i="35"/>
  <c r="W121" i="35"/>
  <c r="W122" i="35"/>
  <c r="W126" i="35"/>
  <c r="W130" i="35"/>
  <c r="W134" i="35"/>
  <c r="W136" i="35"/>
  <c r="W141" i="35"/>
  <c r="W142" i="35"/>
  <c r="W143" i="35"/>
  <c r="W144" i="35"/>
  <c r="W150" i="35"/>
  <c r="W161" i="35"/>
  <c r="W192" i="35"/>
  <c r="W193" i="35"/>
  <c r="W194" i="35"/>
  <c r="W195" i="35"/>
  <c r="W196" i="35"/>
  <c r="W197" i="35"/>
  <c r="W198" i="35"/>
  <c r="W199" i="35"/>
  <c r="W200" i="35"/>
  <c r="W201" i="35"/>
  <c r="W202" i="35"/>
  <c r="W203" i="35"/>
  <c r="W204" i="35"/>
  <c r="W205" i="35"/>
  <c r="W206" i="35"/>
  <c r="W207" i="35"/>
  <c r="W208" i="35"/>
  <c r="W209" i="35"/>
  <c r="W210" i="35"/>
  <c r="W211" i="35"/>
  <c r="W212" i="35"/>
  <c r="W213" i="35"/>
  <c r="W217" i="35"/>
  <c r="W219" i="35"/>
  <c r="W221" i="35"/>
  <c r="W225" i="35"/>
  <c r="W231" i="35"/>
  <c r="W233" i="35"/>
  <c r="W235" i="35"/>
  <c r="W237" i="35"/>
  <c r="W239" i="35"/>
  <c r="W241" i="35"/>
  <c r="W243" i="35"/>
  <c r="W1609" i="35"/>
  <c r="V5" i="35"/>
  <c r="V6" i="35"/>
  <c r="V7" i="35"/>
  <c r="V8" i="35"/>
  <c r="V9" i="35"/>
  <c r="V10" i="35"/>
  <c r="V11" i="35"/>
  <c r="V12" i="35"/>
  <c r="V13" i="35"/>
  <c r="V14" i="35"/>
  <c r="V15" i="35"/>
  <c r="V16" i="35"/>
  <c r="V17" i="35"/>
  <c r="V18" i="35"/>
  <c r="V19" i="35"/>
  <c r="V20" i="35"/>
  <c r="V21" i="35"/>
  <c r="V22" i="35"/>
  <c r="V23" i="35"/>
  <c r="V24" i="35"/>
  <c r="V25" i="35"/>
  <c r="V26" i="35"/>
  <c r="V27" i="35"/>
  <c r="V28" i="35"/>
  <c r="V29" i="35"/>
  <c r="V30" i="35"/>
  <c r="V31" i="35"/>
  <c r="V32" i="35"/>
  <c r="V33" i="35"/>
  <c r="V34" i="35"/>
  <c r="V35" i="35"/>
  <c r="V36" i="35"/>
  <c r="V38" i="35"/>
  <c r="V39" i="35"/>
  <c r="V40" i="35"/>
  <c r="V44" i="35"/>
  <c r="V45" i="35"/>
  <c r="V46" i="35"/>
  <c r="V48" i="35"/>
  <c r="V50" i="35"/>
  <c r="V52" i="35"/>
  <c r="V54" i="35"/>
  <c r="V55" i="35"/>
  <c r="V56" i="35"/>
  <c r="V57" i="35"/>
  <c r="V60" i="35"/>
  <c r="V62" i="35"/>
  <c r="V68" i="35"/>
  <c r="V70" i="35"/>
  <c r="V72" i="35"/>
  <c r="V74" i="35"/>
  <c r="V63" i="35"/>
  <c r="V64" i="35"/>
  <c r="V65" i="35"/>
  <c r="V66" i="35"/>
  <c r="V76" i="35"/>
  <c r="V78" i="35"/>
  <c r="V80" i="35"/>
  <c r="V82" i="35"/>
  <c r="V84" i="35"/>
  <c r="V86" i="35"/>
  <c r="V88" i="35"/>
  <c r="V90" i="35"/>
  <c r="V92" i="35"/>
  <c r="V94" i="35"/>
  <c r="V96" i="35"/>
  <c r="V98" i="35"/>
  <c r="V101" i="35"/>
  <c r="V102" i="35"/>
  <c r="V103" i="35"/>
  <c r="V104" i="35"/>
  <c r="V107" i="35"/>
  <c r="V108" i="35"/>
  <c r="V111" i="35"/>
  <c r="V112" i="35"/>
  <c r="V113" i="35"/>
  <c r="V114" i="35"/>
  <c r="V115" i="35"/>
  <c r="V116" i="35"/>
  <c r="V117" i="35"/>
  <c r="V118" i="35"/>
  <c r="V119" i="35"/>
  <c r="V120" i="35"/>
  <c r="V121" i="35"/>
  <c r="V122" i="35"/>
  <c r="V126" i="35"/>
  <c r="V130" i="35"/>
  <c r="V134" i="35"/>
  <c r="V136" i="35"/>
  <c r="V141" i="35"/>
  <c r="V142" i="35"/>
  <c r="V143" i="35"/>
  <c r="V144" i="35"/>
  <c r="V150" i="35"/>
  <c r="V161" i="35"/>
  <c r="V192" i="35"/>
  <c r="V193" i="35"/>
  <c r="V194" i="35"/>
  <c r="V195" i="35"/>
  <c r="V196" i="35"/>
  <c r="V197" i="35"/>
  <c r="V198" i="35"/>
  <c r="V199" i="35"/>
  <c r="V200" i="35"/>
  <c r="V201" i="35"/>
  <c r="V202" i="35"/>
  <c r="V203" i="35"/>
  <c r="V204" i="35"/>
  <c r="V205" i="35"/>
  <c r="V206" i="35"/>
  <c r="V207" i="35"/>
  <c r="V208" i="35"/>
  <c r="V209" i="35"/>
  <c r="V210" i="35"/>
  <c r="V211" i="35"/>
  <c r="V212" i="35"/>
  <c r="V213" i="35"/>
  <c r="V217" i="35"/>
  <c r="V219" i="35"/>
  <c r="V221" i="35"/>
  <c r="V225" i="35"/>
  <c r="V231" i="35"/>
  <c r="V233" i="35"/>
  <c r="V235" i="35"/>
  <c r="V237" i="35"/>
  <c r="V239" i="35"/>
  <c r="V241" i="35"/>
  <c r="V243" i="35"/>
  <c r="V1609" i="35"/>
  <c r="U5" i="35"/>
  <c r="U6" i="35"/>
  <c r="U7" i="35"/>
  <c r="U8" i="35"/>
  <c r="U9" i="35"/>
  <c r="U10" i="35"/>
  <c r="U11" i="35"/>
  <c r="U12" i="35"/>
  <c r="U13" i="35"/>
  <c r="U14" i="35"/>
  <c r="U15" i="35"/>
  <c r="U16" i="35"/>
  <c r="U17" i="35"/>
  <c r="U18" i="35"/>
  <c r="U19" i="35"/>
  <c r="U20" i="35"/>
  <c r="U21" i="35"/>
  <c r="U22" i="35"/>
  <c r="U23" i="35"/>
  <c r="U24" i="35"/>
  <c r="U25" i="35"/>
  <c r="U26" i="35"/>
  <c r="U27" i="35"/>
  <c r="U28" i="35"/>
  <c r="U29" i="35"/>
  <c r="U30" i="35"/>
  <c r="U31" i="35"/>
  <c r="U32" i="35"/>
  <c r="U33" i="35"/>
  <c r="U34" i="35"/>
  <c r="U35" i="35"/>
  <c r="U36" i="35"/>
  <c r="U37" i="35"/>
  <c r="U38" i="35"/>
  <c r="U39" i="35"/>
  <c r="U40" i="35"/>
  <c r="U41" i="35"/>
  <c r="U44" i="35"/>
  <c r="U45" i="35"/>
  <c r="U46" i="35"/>
  <c r="U47" i="35"/>
  <c r="U48" i="35"/>
  <c r="U49" i="35"/>
  <c r="U50" i="35"/>
  <c r="U51" i="35"/>
  <c r="U52" i="35"/>
  <c r="U53" i="35"/>
  <c r="U54" i="35"/>
  <c r="U55" i="35"/>
  <c r="U56" i="35"/>
  <c r="U57" i="35"/>
  <c r="U60" i="35"/>
  <c r="U61" i="35"/>
  <c r="U62" i="35"/>
  <c r="U67" i="35"/>
  <c r="U68" i="35"/>
  <c r="U69" i="35"/>
  <c r="U70" i="35"/>
  <c r="U71" i="35"/>
  <c r="U72" i="35"/>
  <c r="U73" i="35"/>
  <c r="U74" i="35"/>
  <c r="U63" i="35"/>
  <c r="U64" i="35"/>
  <c r="U65" i="35"/>
  <c r="U66" i="35"/>
  <c r="U75" i="35"/>
  <c r="U76" i="35"/>
  <c r="U77" i="35"/>
  <c r="U78" i="35"/>
  <c r="U79" i="35"/>
  <c r="U80" i="35"/>
  <c r="U81" i="35"/>
  <c r="U82" i="35"/>
  <c r="U83" i="35"/>
  <c r="U84" i="35"/>
  <c r="U85" i="35"/>
  <c r="U86" i="35"/>
  <c r="U87" i="35"/>
  <c r="U88" i="35"/>
  <c r="U90" i="35"/>
  <c r="U91" i="35"/>
  <c r="U92" i="35"/>
  <c r="U93" i="35"/>
  <c r="U94" i="35"/>
  <c r="U95" i="35"/>
  <c r="U96" i="35"/>
  <c r="U97" i="35"/>
  <c r="U98" i="35"/>
  <c r="U101" i="35"/>
  <c r="U102" i="35"/>
  <c r="U103" i="35"/>
  <c r="U104" i="35"/>
  <c r="U107" i="35"/>
  <c r="U108" i="35"/>
  <c r="U111" i="35"/>
  <c r="U112" i="35"/>
  <c r="U113" i="35"/>
  <c r="U114" i="35"/>
  <c r="U115" i="35"/>
  <c r="U116" i="35"/>
  <c r="U117" i="35"/>
  <c r="U118" i="35"/>
  <c r="U119" i="35"/>
  <c r="U120" i="35"/>
  <c r="U121" i="35"/>
  <c r="U122" i="35"/>
  <c r="U125" i="35"/>
  <c r="U126" i="35"/>
  <c r="U129" i="35"/>
  <c r="U130" i="35"/>
  <c r="U133" i="35"/>
  <c r="U134" i="35"/>
  <c r="U136" i="35"/>
  <c r="U141" i="35"/>
  <c r="U142" i="35"/>
  <c r="U143" i="35"/>
  <c r="U144" i="35"/>
  <c r="U149" i="35"/>
  <c r="U150" i="35"/>
  <c r="U160" i="35"/>
  <c r="U161" i="35"/>
  <c r="U192" i="35"/>
  <c r="U193" i="35"/>
  <c r="U194" i="35"/>
  <c r="U195" i="35"/>
  <c r="U196" i="35"/>
  <c r="U197" i="35"/>
  <c r="U198" i="35"/>
  <c r="U199" i="35"/>
  <c r="U200" i="35"/>
  <c r="U201" i="35"/>
  <c r="U202" i="35"/>
  <c r="U203" i="35"/>
  <c r="U204" i="35"/>
  <c r="U205" i="35"/>
  <c r="U206" i="35"/>
  <c r="U207" i="35"/>
  <c r="U208" i="35"/>
  <c r="U209" i="35"/>
  <c r="U210" i="35"/>
  <c r="U211" i="35"/>
  <c r="U212" i="35"/>
  <c r="U213" i="35"/>
  <c r="U216" i="35"/>
  <c r="U217" i="35"/>
  <c r="U218" i="35"/>
  <c r="U219" i="35"/>
  <c r="U220" i="35"/>
  <c r="U221" i="35"/>
  <c r="U224" i="35"/>
  <c r="U225" i="35"/>
  <c r="U230" i="35"/>
  <c r="U231" i="35"/>
  <c r="U232" i="35"/>
  <c r="U233" i="35"/>
  <c r="U234" i="35"/>
  <c r="U235" i="35"/>
  <c r="U236" i="35"/>
  <c r="U237" i="35"/>
  <c r="U238" i="35"/>
  <c r="U239" i="35"/>
  <c r="U240" i="35"/>
  <c r="U241" i="35"/>
  <c r="U242" i="35"/>
  <c r="U243" i="35"/>
  <c r="U1609" i="35"/>
  <c r="S5" i="35"/>
  <c r="S6" i="35"/>
  <c r="S7" i="35"/>
  <c r="S8" i="35"/>
  <c r="S9" i="35"/>
  <c r="S10" i="35"/>
  <c r="S11" i="35"/>
  <c r="S12" i="35"/>
  <c r="S13" i="35"/>
  <c r="S14" i="35"/>
  <c r="S15" i="35"/>
  <c r="S16" i="35"/>
  <c r="S17" i="35"/>
  <c r="S18" i="35"/>
  <c r="S19" i="35"/>
  <c r="S20" i="35"/>
  <c r="S21" i="35"/>
  <c r="S22" i="35"/>
  <c r="S23" i="35"/>
  <c r="S24" i="35"/>
  <c r="S25" i="35"/>
  <c r="S26" i="35"/>
  <c r="S27" i="35"/>
  <c r="S28" i="35"/>
  <c r="S29" i="35"/>
  <c r="S30" i="35"/>
  <c r="S31" i="35"/>
  <c r="S32" i="35"/>
  <c r="S33" i="35"/>
  <c r="S34" i="35"/>
  <c r="S35" i="35"/>
  <c r="S36" i="35"/>
  <c r="S37" i="35"/>
  <c r="S38" i="35"/>
  <c r="S39" i="35"/>
  <c r="S40" i="35"/>
  <c r="S41" i="35"/>
  <c r="S44" i="35"/>
  <c r="S45" i="35"/>
  <c r="S46" i="35"/>
  <c r="S47" i="35"/>
  <c r="S48" i="35"/>
  <c r="S49" i="35"/>
  <c r="S50" i="35"/>
  <c r="S51" i="35"/>
  <c r="S52" i="35"/>
  <c r="S53" i="35"/>
  <c r="S54" i="35"/>
  <c r="S55" i="35"/>
  <c r="S56" i="35"/>
  <c r="S57" i="35"/>
  <c r="S60" i="35"/>
  <c r="S61" i="35"/>
  <c r="S62" i="35"/>
  <c r="S67" i="35"/>
  <c r="S68" i="35"/>
  <c r="S69" i="35"/>
  <c r="S70" i="35"/>
  <c r="S71" i="35"/>
  <c r="S72" i="35"/>
  <c r="S73" i="35"/>
  <c r="S74" i="35"/>
  <c r="S63" i="35"/>
  <c r="S64" i="35"/>
  <c r="S65" i="35"/>
  <c r="S66" i="35"/>
  <c r="S75" i="35"/>
  <c r="S76" i="35"/>
  <c r="S77" i="35"/>
  <c r="S78" i="35"/>
  <c r="S79" i="35"/>
  <c r="S80" i="35"/>
  <c r="S81" i="35"/>
  <c r="S82" i="35"/>
  <c r="S83" i="35"/>
  <c r="S84" i="35"/>
  <c r="S85" i="35"/>
  <c r="S86" i="35"/>
  <c r="S87" i="35"/>
  <c r="S88" i="35"/>
  <c r="S90" i="35"/>
  <c r="S91" i="35"/>
  <c r="S92" i="35"/>
  <c r="S93" i="35"/>
  <c r="S94" i="35"/>
  <c r="S95" i="35"/>
  <c r="S96" i="35"/>
  <c r="S97" i="35"/>
  <c r="S98" i="35"/>
  <c r="S101" i="35"/>
  <c r="S102" i="35"/>
  <c r="S103" i="35"/>
  <c r="S104" i="35"/>
  <c r="S107" i="35"/>
  <c r="S108" i="35"/>
  <c r="S111" i="35"/>
  <c r="S112" i="35"/>
  <c r="S113" i="35"/>
  <c r="S114" i="35"/>
  <c r="S115" i="35"/>
  <c r="S116" i="35"/>
  <c r="S117" i="35"/>
  <c r="S118" i="35"/>
  <c r="S119" i="35"/>
  <c r="S120" i="35"/>
  <c r="S121" i="35"/>
  <c r="S122" i="35"/>
  <c r="S125" i="35"/>
  <c r="S126" i="35"/>
  <c r="S129" i="35"/>
  <c r="S130" i="35"/>
  <c r="S133" i="35"/>
  <c r="S134" i="35"/>
  <c r="S136" i="35"/>
  <c r="S141" i="35"/>
  <c r="S142" i="35"/>
  <c r="S143" i="35"/>
  <c r="S144" i="35"/>
  <c r="S149" i="35"/>
  <c r="S150" i="35"/>
  <c r="S160" i="35"/>
  <c r="S161" i="35"/>
  <c r="S192" i="35"/>
  <c r="S193" i="35"/>
  <c r="S194" i="35"/>
  <c r="S195" i="35"/>
  <c r="S196" i="35"/>
  <c r="S197" i="35"/>
  <c r="S198" i="35"/>
  <c r="S199" i="35"/>
  <c r="S200" i="35"/>
  <c r="S201" i="35"/>
  <c r="S202" i="35"/>
  <c r="S203" i="35"/>
  <c r="S204" i="35"/>
  <c r="S205" i="35"/>
  <c r="S206" i="35"/>
  <c r="S207" i="35"/>
  <c r="S208" i="35"/>
  <c r="S209" i="35"/>
  <c r="S210" i="35"/>
  <c r="S211" i="35"/>
  <c r="S212" i="35"/>
  <c r="S213" i="35"/>
  <c r="S216" i="35"/>
  <c r="S217" i="35"/>
  <c r="S218" i="35"/>
  <c r="S219" i="35"/>
  <c r="S220" i="35"/>
  <c r="S221" i="35"/>
  <c r="S224" i="35"/>
  <c r="S225" i="35"/>
  <c r="S230" i="35"/>
  <c r="S231" i="35"/>
  <c r="S232" i="35"/>
  <c r="S233" i="35"/>
  <c r="S234" i="35"/>
  <c r="S235" i="35"/>
  <c r="S236" i="35"/>
  <c r="S237" i="35"/>
  <c r="S238" i="35"/>
  <c r="S239" i="35"/>
  <c r="S240" i="35"/>
  <c r="S241" i="35"/>
  <c r="S242" i="35"/>
  <c r="S243" i="35"/>
  <c r="S1609" i="35"/>
  <c r="R5" i="35"/>
  <c r="R6" i="35"/>
  <c r="R7" i="35"/>
  <c r="R8" i="35"/>
  <c r="R9" i="35"/>
  <c r="R10" i="35"/>
  <c r="R11" i="35"/>
  <c r="R12" i="35"/>
  <c r="R13" i="35"/>
  <c r="R14" i="35"/>
  <c r="R15" i="35"/>
  <c r="R16" i="35"/>
  <c r="R17" i="35"/>
  <c r="R18" i="35"/>
  <c r="R19" i="35"/>
  <c r="R20" i="35"/>
  <c r="R21" i="35"/>
  <c r="R22" i="35"/>
  <c r="R23" i="35"/>
  <c r="R24" i="35"/>
  <c r="R25" i="35"/>
  <c r="R26" i="35"/>
  <c r="R27" i="35"/>
  <c r="R28" i="35"/>
  <c r="R29" i="35"/>
  <c r="R30" i="35"/>
  <c r="R31" i="35"/>
  <c r="R32" i="35"/>
  <c r="R33" i="35"/>
  <c r="R34" i="35"/>
  <c r="R35" i="35"/>
  <c r="R36" i="35"/>
  <c r="R37" i="35"/>
  <c r="R38" i="35"/>
  <c r="R39" i="35"/>
  <c r="R40" i="35"/>
  <c r="R41" i="35"/>
  <c r="R44" i="35"/>
  <c r="R45" i="35"/>
  <c r="R46" i="35"/>
  <c r="R47" i="35"/>
  <c r="R48" i="35"/>
  <c r="R49" i="35"/>
  <c r="R50" i="35"/>
  <c r="R51" i="35"/>
  <c r="R52" i="35"/>
  <c r="R53" i="35"/>
  <c r="R54" i="35"/>
  <c r="R55" i="35"/>
  <c r="R56" i="35"/>
  <c r="R57" i="35"/>
  <c r="R60" i="35"/>
  <c r="R61" i="35"/>
  <c r="R62" i="35"/>
  <c r="R67" i="35"/>
  <c r="R68" i="35"/>
  <c r="R69" i="35"/>
  <c r="R70" i="35"/>
  <c r="R71" i="35"/>
  <c r="R72" i="35"/>
  <c r="R73" i="35"/>
  <c r="R74" i="35"/>
  <c r="R63" i="35"/>
  <c r="R64" i="35"/>
  <c r="R65" i="35"/>
  <c r="R66" i="35"/>
  <c r="R75" i="35"/>
  <c r="R76" i="35"/>
  <c r="R77" i="35"/>
  <c r="R78" i="35"/>
  <c r="R79" i="35"/>
  <c r="R80" i="35"/>
  <c r="R81" i="35"/>
  <c r="R82" i="35"/>
  <c r="R83" i="35"/>
  <c r="R84" i="35"/>
  <c r="R85" i="35"/>
  <c r="R86" i="35"/>
  <c r="R87" i="35"/>
  <c r="R88" i="35"/>
  <c r="R90" i="35"/>
  <c r="R91" i="35"/>
  <c r="R92" i="35"/>
  <c r="R93" i="35"/>
  <c r="R94" i="35"/>
  <c r="R95" i="35"/>
  <c r="R96" i="35"/>
  <c r="R97" i="35"/>
  <c r="R98" i="35"/>
  <c r="R101" i="35"/>
  <c r="R102" i="35"/>
  <c r="R103" i="35"/>
  <c r="R104" i="35"/>
  <c r="R107" i="35"/>
  <c r="R108" i="35"/>
  <c r="R111" i="35"/>
  <c r="R112" i="35"/>
  <c r="R113" i="35"/>
  <c r="R114" i="35"/>
  <c r="R115" i="35"/>
  <c r="R116" i="35"/>
  <c r="R117" i="35"/>
  <c r="R118" i="35"/>
  <c r="R119" i="35"/>
  <c r="R120" i="35"/>
  <c r="R121" i="35"/>
  <c r="R122" i="35"/>
  <c r="R125" i="35"/>
  <c r="R126" i="35"/>
  <c r="R129" i="35"/>
  <c r="R130" i="35"/>
  <c r="R133" i="35"/>
  <c r="R134" i="35"/>
  <c r="R136" i="35"/>
  <c r="R141" i="35"/>
  <c r="R142" i="35"/>
  <c r="R143" i="35"/>
  <c r="R144" i="35"/>
  <c r="R149" i="35"/>
  <c r="R150" i="35"/>
  <c r="R160" i="35"/>
  <c r="R161" i="35"/>
  <c r="R192" i="35"/>
  <c r="R193" i="35"/>
  <c r="R194" i="35"/>
  <c r="R195" i="35"/>
  <c r="R196" i="35"/>
  <c r="R197" i="35"/>
  <c r="R198" i="35"/>
  <c r="R199" i="35"/>
  <c r="R200" i="35"/>
  <c r="R201" i="35"/>
  <c r="R202" i="35"/>
  <c r="R203" i="35"/>
  <c r="R204" i="35"/>
  <c r="R205" i="35"/>
  <c r="R206" i="35"/>
  <c r="R207" i="35"/>
  <c r="R208" i="35"/>
  <c r="R209" i="35"/>
  <c r="R210" i="35"/>
  <c r="R211" i="35"/>
  <c r="R212" i="35"/>
  <c r="R213" i="35"/>
  <c r="R216" i="35"/>
  <c r="R217" i="35"/>
  <c r="R218" i="35"/>
  <c r="R219" i="35"/>
  <c r="R220" i="35"/>
  <c r="R221" i="35"/>
  <c r="R224" i="35"/>
  <c r="R225" i="35"/>
  <c r="R230" i="35"/>
  <c r="R231" i="35"/>
  <c r="R232" i="35"/>
  <c r="R233" i="35"/>
  <c r="R234" i="35"/>
  <c r="R235" i="35"/>
  <c r="R236" i="35"/>
  <c r="R237" i="35"/>
  <c r="R238" i="35"/>
  <c r="R239" i="35"/>
  <c r="R240" i="35"/>
  <c r="R241" i="35"/>
  <c r="R242" i="35"/>
  <c r="R243" i="35"/>
  <c r="R1609" i="35"/>
  <c r="Q5" i="35"/>
  <c r="Q6" i="35"/>
  <c r="Q7" i="35"/>
  <c r="Q8" i="35"/>
  <c r="Q9" i="35"/>
  <c r="Q10" i="35"/>
  <c r="Q11" i="35"/>
  <c r="Q12" i="35"/>
  <c r="Q13" i="35"/>
  <c r="Q14" i="35"/>
  <c r="Q15" i="35"/>
  <c r="Q16" i="35"/>
  <c r="Q17" i="35"/>
  <c r="Q18" i="35"/>
  <c r="Q19" i="35"/>
  <c r="Q20" i="35"/>
  <c r="Q21" i="35"/>
  <c r="Q22" i="35"/>
  <c r="Q23" i="35"/>
  <c r="Q24" i="35"/>
  <c r="Q25" i="35"/>
  <c r="Q26" i="35"/>
  <c r="Q27" i="35"/>
  <c r="Q28" i="35"/>
  <c r="Q29" i="35"/>
  <c r="Q30" i="35"/>
  <c r="Q31" i="35"/>
  <c r="Q32" i="35"/>
  <c r="Q33" i="35"/>
  <c r="Q34" i="35"/>
  <c r="Q35" i="35"/>
  <c r="Q36" i="35"/>
  <c r="Q37" i="35"/>
  <c r="Q38" i="35"/>
  <c r="Q39" i="35"/>
  <c r="Q40" i="35"/>
  <c r="Q41" i="35"/>
  <c r="Q44" i="35"/>
  <c r="Q45" i="35"/>
  <c r="Q46" i="35"/>
  <c r="Q47" i="35"/>
  <c r="Q48" i="35"/>
  <c r="Q49" i="35"/>
  <c r="Q50" i="35"/>
  <c r="Q51" i="35"/>
  <c r="Q52" i="35"/>
  <c r="Q53" i="35"/>
  <c r="Q54" i="35"/>
  <c r="Q55" i="35"/>
  <c r="Q56" i="35"/>
  <c r="Q57" i="35"/>
  <c r="Q60" i="35"/>
  <c r="Q61" i="35"/>
  <c r="Q62" i="35"/>
  <c r="Q67" i="35"/>
  <c r="Q68" i="35"/>
  <c r="Q69" i="35"/>
  <c r="Q70" i="35"/>
  <c r="Q71" i="35"/>
  <c r="Q72" i="35"/>
  <c r="Q73" i="35"/>
  <c r="Q74" i="35"/>
  <c r="Q63" i="35"/>
  <c r="Q64" i="35"/>
  <c r="Q65" i="35"/>
  <c r="Q66" i="35"/>
  <c r="Q75" i="35"/>
  <c r="Q76" i="35"/>
  <c r="Q77" i="35"/>
  <c r="Q78" i="35"/>
  <c r="Q79" i="35"/>
  <c r="Q80" i="35"/>
  <c r="Q81" i="35"/>
  <c r="Q82" i="35"/>
  <c r="Q83" i="35"/>
  <c r="Q84" i="35"/>
  <c r="Q85" i="35"/>
  <c r="Q86" i="35"/>
  <c r="Q87" i="35"/>
  <c r="Q88" i="35"/>
  <c r="Q90" i="35"/>
  <c r="Q91" i="35"/>
  <c r="Q92" i="35"/>
  <c r="Q93" i="35"/>
  <c r="Q94" i="35"/>
  <c r="Q95" i="35"/>
  <c r="Q96" i="35"/>
  <c r="Q97" i="35"/>
  <c r="Q98" i="35"/>
  <c r="Q101" i="35"/>
  <c r="Q102" i="35"/>
  <c r="Q103" i="35"/>
  <c r="Q104" i="35"/>
  <c r="Q107" i="35"/>
  <c r="Q108" i="35"/>
  <c r="Q111" i="35"/>
  <c r="Q112" i="35"/>
  <c r="Q113" i="35"/>
  <c r="Q114" i="35"/>
  <c r="Q115" i="35"/>
  <c r="Q116" i="35"/>
  <c r="Q117" i="35"/>
  <c r="Q118" i="35"/>
  <c r="Q119" i="35"/>
  <c r="Q120" i="35"/>
  <c r="Q121" i="35"/>
  <c r="Q122" i="35"/>
  <c r="Q125" i="35"/>
  <c r="Q126" i="35"/>
  <c r="Q129" i="35"/>
  <c r="Q130" i="35"/>
  <c r="Q133" i="35"/>
  <c r="Q134" i="35"/>
  <c r="Q136" i="35"/>
  <c r="Q141" i="35"/>
  <c r="Q142" i="35"/>
  <c r="Q143" i="35"/>
  <c r="Q144" i="35"/>
  <c r="Q149" i="35"/>
  <c r="Q150" i="35"/>
  <c r="Q160" i="35"/>
  <c r="Q161" i="35"/>
  <c r="Q192" i="35"/>
  <c r="Q193" i="35"/>
  <c r="Q194" i="35"/>
  <c r="Q195" i="35"/>
  <c r="Q196" i="35"/>
  <c r="Q197" i="35"/>
  <c r="Q198" i="35"/>
  <c r="Q199" i="35"/>
  <c r="Q200" i="35"/>
  <c r="Q201" i="35"/>
  <c r="Q202" i="35"/>
  <c r="Q203" i="35"/>
  <c r="Q204" i="35"/>
  <c r="Q205" i="35"/>
  <c r="Q206" i="35"/>
  <c r="Q207" i="35"/>
  <c r="Q208" i="35"/>
  <c r="Q209" i="35"/>
  <c r="Q210" i="35"/>
  <c r="Q211" i="35"/>
  <c r="Q212" i="35"/>
  <c r="Q213" i="35"/>
  <c r="Q216" i="35"/>
  <c r="Q217" i="35"/>
  <c r="Q218" i="35"/>
  <c r="Q219" i="35"/>
  <c r="Q220" i="35"/>
  <c r="Q221" i="35"/>
  <c r="Q224" i="35"/>
  <c r="Q225" i="35"/>
  <c r="Q230" i="35"/>
  <c r="Q231" i="35"/>
  <c r="Q232" i="35"/>
  <c r="Q233" i="35"/>
  <c r="Q234" i="35"/>
  <c r="Q235" i="35"/>
  <c r="Q236" i="35"/>
  <c r="Q237" i="35"/>
  <c r="Q238" i="35"/>
  <c r="Q239" i="35"/>
  <c r="Q240" i="35"/>
  <c r="Q241" i="35"/>
  <c r="Q242" i="35"/>
  <c r="Q243" i="35"/>
  <c r="Q1609" i="35"/>
  <c r="L5" i="35"/>
  <c r="L6" i="35"/>
  <c r="L7" i="35"/>
  <c r="L8" i="35"/>
  <c r="L9" i="35"/>
  <c r="L10" i="35"/>
  <c r="L11" i="35"/>
  <c r="L12" i="35"/>
  <c r="L13" i="35"/>
  <c r="L14" i="35"/>
  <c r="L16" i="35"/>
  <c r="L18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8" i="35"/>
  <c r="L40" i="35"/>
  <c r="L44" i="35"/>
  <c r="L45" i="35"/>
  <c r="L46" i="35"/>
  <c r="L48" i="35"/>
  <c r="L50" i="35"/>
  <c r="L52" i="35"/>
  <c r="L54" i="35"/>
  <c r="L55" i="35"/>
  <c r="L56" i="35"/>
  <c r="L57" i="35"/>
  <c r="L60" i="35"/>
  <c r="L62" i="35"/>
  <c r="L68" i="35"/>
  <c r="L70" i="35"/>
  <c r="L72" i="35"/>
  <c r="L74" i="35"/>
  <c r="L63" i="35"/>
  <c r="L64" i="35"/>
  <c r="L65" i="35"/>
  <c r="L66" i="35"/>
  <c r="L76" i="35"/>
  <c r="L78" i="35"/>
  <c r="L80" i="35"/>
  <c r="L82" i="35"/>
  <c r="L84" i="35"/>
  <c r="L86" i="35"/>
  <c r="L88" i="35"/>
  <c r="L90" i="35"/>
  <c r="L91" i="35"/>
  <c r="L92" i="35"/>
  <c r="L94" i="35"/>
  <c r="L96" i="35"/>
  <c r="L97" i="35"/>
  <c r="L98" i="35"/>
  <c r="L102" i="35"/>
  <c r="L104" i="35"/>
  <c r="L108" i="35"/>
  <c r="L111" i="35"/>
  <c r="L112" i="35"/>
  <c r="L114" i="35"/>
  <c r="L115" i="35"/>
  <c r="L116" i="35"/>
  <c r="L117" i="35"/>
  <c r="L118" i="35"/>
  <c r="L119" i="35"/>
  <c r="L120" i="35"/>
  <c r="L121" i="35"/>
  <c r="L122" i="35"/>
  <c r="L126" i="35"/>
  <c r="L130" i="35"/>
  <c r="L134" i="35"/>
  <c r="L136" i="35"/>
  <c r="L141" i="35"/>
  <c r="L142" i="35"/>
  <c r="L143" i="35"/>
  <c r="L144" i="35"/>
  <c r="L150" i="35"/>
  <c r="L161" i="35"/>
  <c r="L192" i="35"/>
  <c r="L193" i="35"/>
  <c r="L194" i="35"/>
  <c r="L195" i="35"/>
  <c r="L196" i="35"/>
  <c r="L197" i="35"/>
  <c r="L198" i="35"/>
  <c r="L199" i="35"/>
  <c r="L201" i="35"/>
  <c r="L202" i="35"/>
  <c r="L203" i="35"/>
  <c r="L204" i="35"/>
  <c r="L205" i="35"/>
  <c r="L206" i="35"/>
  <c r="L207" i="35"/>
  <c r="L208" i="35"/>
  <c r="L209" i="35"/>
  <c r="L210" i="35"/>
  <c r="L211" i="35"/>
  <c r="L212" i="35"/>
  <c r="L213" i="35"/>
  <c r="L217" i="35"/>
  <c r="L219" i="35"/>
  <c r="L221" i="35"/>
  <c r="L225" i="35"/>
  <c r="L231" i="35"/>
  <c r="L233" i="35"/>
  <c r="L235" i="35"/>
  <c r="L237" i="35"/>
  <c r="L239" i="35"/>
  <c r="L241" i="35"/>
  <c r="L243" i="35"/>
  <c r="L1609" i="35"/>
  <c r="I5" i="35"/>
  <c r="I6" i="35"/>
  <c r="I7" i="35"/>
  <c r="I8" i="35"/>
  <c r="I9" i="35"/>
  <c r="I10" i="35"/>
  <c r="I11" i="35"/>
  <c r="I12" i="35"/>
  <c r="I13" i="35"/>
  <c r="I14" i="35"/>
  <c r="I16" i="35"/>
  <c r="I18" i="35"/>
  <c r="I20" i="35"/>
  <c r="I21" i="35"/>
  <c r="I22" i="35"/>
  <c r="I23" i="35"/>
  <c r="I24" i="35"/>
  <c r="I25" i="35"/>
  <c r="I26" i="35"/>
  <c r="I27" i="35"/>
  <c r="I28" i="35"/>
  <c r="I29" i="35"/>
  <c r="I30" i="35"/>
  <c r="I31" i="35"/>
  <c r="I32" i="35"/>
  <c r="I33" i="35"/>
  <c r="I34" i="35"/>
  <c r="I35" i="35"/>
  <c r="I36" i="35"/>
  <c r="I38" i="35"/>
  <c r="I39" i="35"/>
  <c r="I40" i="35"/>
  <c r="I44" i="35"/>
  <c r="I45" i="35"/>
  <c r="I46" i="35"/>
  <c r="I48" i="35"/>
  <c r="I50" i="35"/>
  <c r="I52" i="35"/>
  <c r="I54" i="35"/>
  <c r="I55" i="35"/>
  <c r="I56" i="35"/>
  <c r="I57" i="35"/>
  <c r="I60" i="35"/>
  <c r="I62" i="35"/>
  <c r="I68" i="35"/>
  <c r="I70" i="35"/>
  <c r="I72" i="35"/>
  <c r="I74" i="35"/>
  <c r="I63" i="35"/>
  <c r="I64" i="35"/>
  <c r="I65" i="35"/>
  <c r="I66" i="35"/>
  <c r="I76" i="35"/>
  <c r="I78" i="35"/>
  <c r="I80" i="35"/>
  <c r="I82" i="35"/>
  <c r="I84" i="35"/>
  <c r="I86" i="35"/>
  <c r="I88" i="35"/>
  <c r="I90" i="35"/>
  <c r="I91" i="35"/>
  <c r="I92" i="35"/>
  <c r="I93" i="35"/>
  <c r="I94" i="35"/>
  <c r="I95" i="35"/>
  <c r="I96" i="35"/>
  <c r="I97" i="35"/>
  <c r="I98" i="35"/>
  <c r="I102" i="35"/>
  <c r="I104" i="35"/>
  <c r="I108" i="35"/>
  <c r="I111" i="35"/>
  <c r="I112" i="35"/>
  <c r="I114" i="35"/>
  <c r="I115" i="35"/>
  <c r="I116" i="35"/>
  <c r="I117" i="35"/>
  <c r="I118" i="35"/>
  <c r="I119" i="35"/>
  <c r="I120" i="35"/>
  <c r="I121" i="35"/>
  <c r="I122" i="35"/>
  <c r="I126" i="35"/>
  <c r="I130" i="35"/>
  <c r="I134" i="35"/>
  <c r="I136" i="35"/>
  <c r="I141" i="35"/>
  <c r="I142" i="35"/>
  <c r="I143" i="35"/>
  <c r="I144" i="35"/>
  <c r="I150" i="35"/>
  <c r="I161" i="35"/>
  <c r="I192" i="35"/>
  <c r="I193" i="35"/>
  <c r="I194" i="35"/>
  <c r="I195" i="35"/>
  <c r="I196" i="35"/>
  <c r="I197" i="35"/>
  <c r="I199" i="35"/>
  <c r="I201" i="35"/>
  <c r="I202" i="35"/>
  <c r="I203" i="35"/>
  <c r="I204" i="35"/>
  <c r="I205" i="35"/>
  <c r="I206" i="35"/>
  <c r="I207" i="35"/>
  <c r="I208" i="35"/>
  <c r="I209" i="35"/>
  <c r="I210" i="35"/>
  <c r="I211" i="35"/>
  <c r="I212" i="35"/>
  <c r="I213" i="35"/>
  <c r="I217" i="35"/>
  <c r="I219" i="35"/>
  <c r="I221" i="35"/>
  <c r="I225" i="35"/>
  <c r="I231" i="35"/>
  <c r="I233" i="35"/>
  <c r="I235" i="35"/>
  <c r="I237" i="35"/>
  <c r="I239" i="35"/>
  <c r="I241" i="35"/>
  <c r="I243" i="35"/>
  <c r="I1609" i="35"/>
  <c r="H5" i="35"/>
  <c r="H6" i="35"/>
  <c r="H7" i="35"/>
  <c r="H8" i="35"/>
  <c r="H9" i="35"/>
  <c r="H10" i="35"/>
  <c r="H11" i="35"/>
  <c r="H12" i="35"/>
  <c r="H13" i="35"/>
  <c r="H14" i="35"/>
  <c r="H16" i="35"/>
  <c r="H18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2" i="35"/>
  <c r="H33" i="35"/>
  <c r="H34" i="35"/>
  <c r="H35" i="35"/>
  <c r="H36" i="35"/>
  <c r="H38" i="35"/>
  <c r="H39" i="35"/>
  <c r="H40" i="35"/>
  <c r="H44" i="35"/>
  <c r="H45" i="35"/>
  <c r="H46" i="35"/>
  <c r="H48" i="35"/>
  <c r="H50" i="35"/>
  <c r="H52" i="35"/>
  <c r="H54" i="35"/>
  <c r="H55" i="35"/>
  <c r="H56" i="35"/>
  <c r="H57" i="35"/>
  <c r="H60" i="35"/>
  <c r="H62" i="35"/>
  <c r="H68" i="35"/>
  <c r="H70" i="35"/>
  <c r="H72" i="35"/>
  <c r="H74" i="35"/>
  <c r="H63" i="35"/>
  <c r="H64" i="35"/>
  <c r="H65" i="35"/>
  <c r="H66" i="35"/>
  <c r="H76" i="35"/>
  <c r="H78" i="35"/>
  <c r="H80" i="35"/>
  <c r="H82" i="35"/>
  <c r="H84" i="35"/>
  <c r="H86" i="35"/>
  <c r="H88" i="35"/>
  <c r="H90" i="35"/>
  <c r="H91" i="35"/>
  <c r="H92" i="35"/>
  <c r="H93" i="35"/>
  <c r="H94" i="35"/>
  <c r="H95" i="35"/>
  <c r="H96" i="35"/>
  <c r="H97" i="35"/>
  <c r="H98" i="35"/>
  <c r="H102" i="35"/>
  <c r="H104" i="35"/>
  <c r="H108" i="35"/>
  <c r="H111" i="35"/>
  <c r="H112" i="35"/>
  <c r="H114" i="35"/>
  <c r="H115" i="35"/>
  <c r="H116" i="35"/>
  <c r="H117" i="35"/>
  <c r="H118" i="35"/>
  <c r="H119" i="35"/>
  <c r="H120" i="35"/>
  <c r="H121" i="35"/>
  <c r="H122" i="35"/>
  <c r="H126" i="35"/>
  <c r="H130" i="35"/>
  <c r="H134" i="35"/>
  <c r="H136" i="35"/>
  <c r="H141" i="35"/>
  <c r="H142" i="35"/>
  <c r="H143" i="35"/>
  <c r="H144" i="35"/>
  <c r="H150" i="35"/>
  <c r="H161" i="35"/>
  <c r="H192" i="35"/>
  <c r="H193" i="35"/>
  <c r="H194" i="35"/>
  <c r="H195" i="35"/>
  <c r="H196" i="35"/>
  <c r="H197" i="35"/>
  <c r="H198" i="35"/>
  <c r="H199" i="35"/>
  <c r="H201" i="35"/>
  <c r="H202" i="35"/>
  <c r="H203" i="35"/>
  <c r="H204" i="35"/>
  <c r="H205" i="35"/>
  <c r="H206" i="35"/>
  <c r="H207" i="35"/>
  <c r="H208" i="35"/>
  <c r="H209" i="35"/>
  <c r="H210" i="35"/>
  <c r="H211" i="35"/>
  <c r="H212" i="35"/>
  <c r="H213" i="35"/>
  <c r="H217" i="35"/>
  <c r="H219" i="35"/>
  <c r="H221" i="35"/>
  <c r="H225" i="35"/>
  <c r="H231" i="35"/>
  <c r="H233" i="35"/>
  <c r="H235" i="35"/>
  <c r="H237" i="35"/>
  <c r="H239" i="35"/>
  <c r="H241" i="35"/>
  <c r="H243" i="35"/>
  <c r="H1609" i="35"/>
  <c r="G5" i="35"/>
  <c r="G6" i="35"/>
  <c r="G7" i="35"/>
  <c r="G8" i="35"/>
  <c r="G9" i="35"/>
  <c r="G10" i="35"/>
  <c r="G11" i="35"/>
  <c r="G12" i="35"/>
  <c r="G13" i="35"/>
  <c r="G14" i="35"/>
  <c r="G16" i="35"/>
  <c r="G18" i="35"/>
  <c r="G20" i="35"/>
  <c r="G21" i="35"/>
  <c r="G22" i="35"/>
  <c r="G23" i="35"/>
  <c r="G24" i="35"/>
  <c r="G25" i="35"/>
  <c r="G26" i="35"/>
  <c r="G27" i="35"/>
  <c r="G28" i="35"/>
  <c r="G29" i="35"/>
  <c r="G30" i="35"/>
  <c r="G31" i="35"/>
  <c r="G32" i="35"/>
  <c r="G33" i="35"/>
  <c r="G34" i="35"/>
  <c r="G35" i="35"/>
  <c r="G36" i="35"/>
  <c r="G38" i="35"/>
  <c r="G39" i="35"/>
  <c r="G40" i="35"/>
  <c r="G44" i="35"/>
  <c r="G45" i="35"/>
  <c r="G46" i="35"/>
  <c r="G48" i="35"/>
  <c r="G50" i="35"/>
  <c r="G52" i="35"/>
  <c r="G54" i="35"/>
  <c r="G55" i="35"/>
  <c r="G56" i="35"/>
  <c r="G57" i="35"/>
  <c r="G60" i="35"/>
  <c r="G62" i="35"/>
  <c r="G68" i="35"/>
  <c r="G70" i="35"/>
  <c r="G72" i="35"/>
  <c r="G74" i="35"/>
  <c r="G63" i="35"/>
  <c r="G64" i="35"/>
  <c r="G65" i="35"/>
  <c r="G66" i="35"/>
  <c r="G76" i="35"/>
  <c r="G78" i="35"/>
  <c r="G80" i="35"/>
  <c r="G82" i="35"/>
  <c r="G84" i="35"/>
  <c r="G86" i="35"/>
  <c r="G88" i="35"/>
  <c r="G90" i="35"/>
  <c r="G91" i="35"/>
  <c r="G92" i="35"/>
  <c r="G93" i="35"/>
  <c r="G94" i="35"/>
  <c r="G96" i="35"/>
  <c r="G97" i="35"/>
  <c r="G98" i="35"/>
  <c r="G102" i="35"/>
  <c r="G104" i="35"/>
  <c r="G108" i="35"/>
  <c r="G111" i="35"/>
  <c r="G112" i="35"/>
  <c r="G114" i="35"/>
  <c r="G115" i="35"/>
  <c r="G116" i="35"/>
  <c r="G117" i="35"/>
  <c r="G118" i="35"/>
  <c r="G119" i="35"/>
  <c r="G120" i="35"/>
  <c r="G121" i="35"/>
  <c r="G122" i="35"/>
  <c r="G126" i="35"/>
  <c r="G130" i="35"/>
  <c r="G134" i="35"/>
  <c r="G136" i="35"/>
  <c r="G141" i="35"/>
  <c r="G142" i="35"/>
  <c r="G143" i="35"/>
  <c r="G144" i="35"/>
  <c r="G150" i="35"/>
  <c r="G161" i="35"/>
  <c r="G192" i="35"/>
  <c r="G193" i="35"/>
  <c r="G194" i="35"/>
  <c r="G195" i="35"/>
  <c r="G196" i="35"/>
  <c r="G197" i="35"/>
  <c r="G198" i="35"/>
  <c r="G199" i="35"/>
  <c r="G201" i="35"/>
  <c r="G202" i="35"/>
  <c r="G203" i="35"/>
  <c r="G204" i="35"/>
  <c r="G205" i="35"/>
  <c r="G206" i="35"/>
  <c r="G207" i="35"/>
  <c r="G208" i="35"/>
  <c r="G209" i="35"/>
  <c r="G210" i="35"/>
  <c r="G211" i="35"/>
  <c r="G212" i="35"/>
  <c r="G213" i="35"/>
  <c r="G217" i="35"/>
  <c r="G219" i="35"/>
  <c r="G221" i="35"/>
  <c r="G225" i="35"/>
  <c r="G231" i="35"/>
  <c r="G233" i="35"/>
  <c r="G235" i="35"/>
  <c r="G237" i="35"/>
  <c r="G239" i="35"/>
  <c r="G241" i="35"/>
  <c r="G243" i="35"/>
  <c r="G1609" i="35"/>
  <c r="F5" i="33"/>
  <c r="K5" i="33"/>
  <c r="F6" i="33"/>
  <c r="K6" i="33"/>
  <c r="F7" i="33"/>
  <c r="K7" i="33"/>
  <c r="F8" i="33"/>
  <c r="K8" i="33"/>
  <c r="F9" i="33"/>
  <c r="K9" i="33"/>
  <c r="F10" i="33"/>
  <c r="K10" i="33"/>
  <c r="F11" i="33"/>
  <c r="K11" i="33"/>
  <c r="F12" i="33"/>
  <c r="K12" i="33"/>
  <c r="F13" i="33"/>
  <c r="K13" i="33"/>
  <c r="F14" i="33"/>
  <c r="K14" i="33"/>
  <c r="F15" i="33"/>
  <c r="I15" i="33" s="1"/>
  <c r="K15" i="33"/>
  <c r="F16" i="33"/>
  <c r="K16" i="33"/>
  <c r="F17" i="33"/>
  <c r="K17" i="33"/>
  <c r="F18" i="33"/>
  <c r="K18" i="33"/>
  <c r="F19" i="33"/>
  <c r="I19" i="33" s="1"/>
  <c r="K19" i="33"/>
  <c r="F20" i="33"/>
  <c r="K20" i="33"/>
  <c r="F21" i="33"/>
  <c r="H21" i="33" s="1"/>
  <c r="K21" i="33"/>
  <c r="F22" i="33"/>
  <c r="K22" i="33"/>
  <c r="F23" i="33"/>
  <c r="K23" i="33"/>
  <c r="F24" i="33"/>
  <c r="K24" i="33"/>
  <c r="F25" i="33"/>
  <c r="G25" i="33" s="1"/>
  <c r="K25" i="33"/>
  <c r="F26" i="33"/>
  <c r="K26" i="33"/>
  <c r="F27" i="33"/>
  <c r="H27" i="33" s="1"/>
  <c r="K27" i="33"/>
  <c r="F28" i="33"/>
  <c r="K28" i="33"/>
  <c r="F29" i="33"/>
  <c r="G29" i="33" s="1"/>
  <c r="K29" i="33"/>
  <c r="F30" i="33"/>
  <c r="K30" i="33"/>
  <c r="F31" i="33"/>
  <c r="G31" i="33" s="1"/>
  <c r="K31" i="33"/>
  <c r="F32" i="33"/>
  <c r="K32" i="33"/>
  <c r="F33" i="33"/>
  <c r="K33" i="33"/>
  <c r="F34" i="33"/>
  <c r="K34" i="33"/>
  <c r="F35" i="33"/>
  <c r="K35" i="33"/>
  <c r="F36" i="33"/>
  <c r="K36" i="33"/>
  <c r="F37" i="33"/>
  <c r="G37" i="33" s="1"/>
  <c r="K37" i="33"/>
  <c r="F38" i="33"/>
  <c r="K38" i="33"/>
  <c r="F39" i="33"/>
  <c r="G39" i="33" s="1"/>
  <c r="K39" i="33"/>
  <c r="F40" i="33"/>
  <c r="K40" i="33"/>
  <c r="F41" i="33"/>
  <c r="H41" i="33" s="1"/>
  <c r="K41" i="33"/>
  <c r="F42" i="33"/>
  <c r="K42" i="33"/>
  <c r="F43" i="33"/>
  <c r="K43" i="33"/>
  <c r="F44" i="33"/>
  <c r="K44" i="33"/>
  <c r="F45" i="33"/>
  <c r="G45" i="33" s="1"/>
  <c r="K45" i="33"/>
  <c r="F46" i="33"/>
  <c r="K46" i="33"/>
  <c r="F47" i="33"/>
  <c r="I47" i="33" s="1"/>
  <c r="K47" i="33"/>
  <c r="F48" i="33"/>
  <c r="K48" i="33"/>
  <c r="F49" i="33"/>
  <c r="H49" i="33" s="1"/>
  <c r="K49" i="33"/>
  <c r="F50" i="33"/>
  <c r="K50" i="33"/>
  <c r="F51" i="33"/>
  <c r="H51" i="33" s="1"/>
  <c r="K51" i="33"/>
  <c r="F52" i="33"/>
  <c r="K52" i="33"/>
  <c r="F53" i="33"/>
  <c r="H53" i="33" s="1"/>
  <c r="K53" i="33"/>
  <c r="F54" i="33"/>
  <c r="K54" i="33"/>
  <c r="F55" i="33"/>
  <c r="H55" i="33" s="1"/>
  <c r="K55" i="33"/>
  <c r="F56" i="33"/>
  <c r="K56" i="33"/>
  <c r="F57" i="33"/>
  <c r="G57" i="33" s="1"/>
  <c r="K57" i="33"/>
  <c r="F58" i="33"/>
  <c r="K58" i="33"/>
  <c r="F59" i="33"/>
  <c r="G59" i="33" s="1"/>
  <c r="K59" i="33"/>
  <c r="F60" i="33"/>
  <c r="K60" i="33"/>
  <c r="F61" i="33"/>
  <c r="G61" i="33" s="1"/>
  <c r="K61" i="33"/>
  <c r="F62" i="33"/>
  <c r="K62" i="33"/>
  <c r="F63" i="33"/>
  <c r="I63" i="33" s="1"/>
  <c r="K63" i="33"/>
  <c r="F64" i="33"/>
  <c r="K64" i="33"/>
  <c r="F65" i="33"/>
  <c r="K65" i="33"/>
  <c r="F66" i="33"/>
  <c r="K66" i="33"/>
  <c r="F67" i="33"/>
  <c r="G67" i="33" s="1"/>
  <c r="K67" i="33"/>
  <c r="F68" i="33"/>
  <c r="K68" i="33"/>
  <c r="F69" i="33"/>
  <c r="G69" i="33" s="1"/>
  <c r="K69" i="33"/>
  <c r="F70" i="33"/>
  <c r="K70" i="33"/>
  <c r="F71" i="33"/>
  <c r="G71" i="33" s="1"/>
  <c r="K71" i="33"/>
  <c r="F72" i="33"/>
  <c r="K72" i="33"/>
  <c r="F73" i="33"/>
  <c r="H73" i="33" s="1"/>
  <c r="K73" i="33"/>
  <c r="F74" i="33"/>
  <c r="K74" i="33"/>
  <c r="F75" i="33"/>
  <c r="I75" i="33" s="1"/>
  <c r="K75" i="33"/>
  <c r="F76" i="33"/>
  <c r="K76" i="33"/>
  <c r="F77" i="33"/>
  <c r="G77" i="33" s="1"/>
  <c r="K77" i="33"/>
  <c r="F78" i="33"/>
  <c r="K78" i="33"/>
  <c r="F79" i="33"/>
  <c r="K79" i="33"/>
  <c r="F80" i="33"/>
  <c r="K80" i="33"/>
  <c r="F81" i="33"/>
  <c r="G81" i="33" s="1"/>
  <c r="K81" i="33"/>
  <c r="F82" i="33"/>
  <c r="K82" i="33"/>
  <c r="F83" i="33"/>
  <c r="H83" i="33" s="1"/>
  <c r="K83" i="33"/>
  <c r="F84" i="33"/>
  <c r="K84" i="33"/>
  <c r="F85" i="33"/>
  <c r="G85" i="33" s="1"/>
  <c r="K85" i="33"/>
  <c r="F86" i="33"/>
  <c r="K86" i="33"/>
  <c r="F87" i="33"/>
  <c r="I87" i="33" s="1"/>
  <c r="K87" i="33"/>
  <c r="F88" i="33"/>
  <c r="K88" i="33"/>
  <c r="F89" i="33"/>
  <c r="H89" i="33" s="1"/>
  <c r="K89" i="33"/>
  <c r="F90" i="33"/>
  <c r="K90" i="33"/>
  <c r="F91" i="33"/>
  <c r="I91" i="33" s="1"/>
  <c r="K91" i="33"/>
  <c r="F92" i="33"/>
  <c r="K92" i="33"/>
  <c r="F93" i="33"/>
  <c r="H93" i="33" s="1"/>
  <c r="K93" i="33"/>
  <c r="F94" i="33"/>
  <c r="K94" i="33"/>
  <c r="F95" i="33"/>
  <c r="G95" i="33" s="1"/>
  <c r="K95" i="33"/>
  <c r="F96" i="33"/>
  <c r="K96" i="33"/>
  <c r="F97" i="33"/>
  <c r="I97" i="33" s="1"/>
  <c r="K97" i="33"/>
  <c r="F98" i="33"/>
  <c r="K98" i="33"/>
  <c r="F102" i="33"/>
  <c r="K102" i="33"/>
  <c r="F110" i="33"/>
  <c r="K110" i="33"/>
  <c r="F111" i="33"/>
  <c r="K111" i="33"/>
  <c r="F112" i="33"/>
  <c r="K112" i="33"/>
  <c r="F113" i="33"/>
  <c r="G113" i="33" s="1"/>
  <c r="K113" i="33"/>
  <c r="F114" i="33"/>
  <c r="K114" i="33"/>
  <c r="F115" i="33"/>
  <c r="H115" i="33" s="1"/>
  <c r="K115" i="33"/>
  <c r="F116" i="33"/>
  <c r="K116" i="33"/>
  <c r="F117" i="33"/>
  <c r="G117" i="33" s="1"/>
  <c r="K117" i="33"/>
  <c r="F118" i="33"/>
  <c r="K118" i="33"/>
  <c r="F119" i="33"/>
  <c r="K119" i="33"/>
  <c r="F120" i="33"/>
  <c r="K120" i="33"/>
  <c r="F121" i="33"/>
  <c r="I121" i="33" s="1"/>
  <c r="K121" i="33"/>
  <c r="F122" i="33"/>
  <c r="K122" i="33"/>
  <c r="F123" i="33"/>
  <c r="K123" i="33"/>
  <c r="F124" i="33"/>
  <c r="H124" i="33" s="1"/>
  <c r="K124" i="33"/>
  <c r="F125" i="33"/>
  <c r="K125" i="33"/>
  <c r="F126" i="33"/>
  <c r="K126" i="33"/>
  <c r="F127" i="33"/>
  <c r="K127" i="33"/>
  <c r="F128" i="33"/>
  <c r="K128" i="33"/>
  <c r="F129" i="33"/>
  <c r="K129" i="33"/>
  <c r="F130" i="33"/>
  <c r="I130" i="33" s="1"/>
  <c r="K130" i="33"/>
  <c r="F131" i="33"/>
  <c r="K131" i="33"/>
  <c r="F132" i="33"/>
  <c r="G132" i="33" s="1"/>
  <c r="K132" i="33"/>
  <c r="F133" i="33"/>
  <c r="K133" i="33"/>
  <c r="F134" i="33"/>
  <c r="G134" i="33" s="1"/>
  <c r="K134" i="33"/>
  <c r="F135" i="33"/>
  <c r="K135" i="33"/>
  <c r="F136" i="33"/>
  <c r="I136" i="33" s="1"/>
  <c r="K136" i="33"/>
  <c r="F137" i="33"/>
  <c r="K137" i="33"/>
  <c r="F140" i="33"/>
  <c r="K140" i="33"/>
  <c r="F141" i="33"/>
  <c r="K141" i="33"/>
  <c r="F143" i="33"/>
  <c r="K143" i="33"/>
  <c r="F146" i="33"/>
  <c r="K146" i="33"/>
  <c r="F147" i="33"/>
  <c r="K147" i="33"/>
  <c r="F148" i="33"/>
  <c r="K148" i="33"/>
  <c r="F149" i="33"/>
  <c r="K149" i="33"/>
  <c r="F150" i="33"/>
  <c r="K150" i="33"/>
  <c r="F151" i="33"/>
  <c r="K151" i="33"/>
  <c r="F152" i="33"/>
  <c r="G152" i="33" s="1"/>
  <c r="K152" i="33"/>
  <c r="F153" i="33"/>
  <c r="K153" i="33"/>
  <c r="F154" i="33"/>
  <c r="H154" i="33" s="1"/>
  <c r="K154" i="33"/>
  <c r="F155" i="33"/>
  <c r="K155" i="33"/>
  <c r="F156" i="33"/>
  <c r="K156" i="33"/>
  <c r="F157" i="33"/>
  <c r="K157" i="33"/>
  <c r="F158" i="33"/>
  <c r="G158" i="33" s="1"/>
  <c r="K158" i="33"/>
  <c r="F159" i="33"/>
  <c r="K159" i="33"/>
  <c r="F160" i="33"/>
  <c r="K160" i="33"/>
  <c r="F161" i="33"/>
  <c r="K161" i="33"/>
  <c r="F162" i="33"/>
  <c r="K162" i="33"/>
  <c r="F163" i="33"/>
  <c r="K163" i="33"/>
  <c r="F164" i="33"/>
  <c r="K164" i="33"/>
  <c r="F165" i="33"/>
  <c r="K165" i="33"/>
  <c r="F166" i="33"/>
  <c r="I166" i="33" s="1"/>
  <c r="K166" i="33"/>
  <c r="F167" i="33"/>
  <c r="K167" i="33"/>
  <c r="F168" i="33"/>
  <c r="I168" i="33" s="1"/>
  <c r="K168" i="33"/>
  <c r="F169" i="33"/>
  <c r="K169" i="33"/>
  <c r="F170" i="33"/>
  <c r="K170" i="33"/>
  <c r="F171" i="33"/>
  <c r="K171" i="33"/>
  <c r="F172" i="33"/>
  <c r="K172" i="33"/>
  <c r="F173" i="33"/>
  <c r="K173" i="33"/>
  <c r="F174" i="33"/>
  <c r="K174" i="33"/>
  <c r="F175" i="33"/>
  <c r="K175" i="33"/>
  <c r="F176" i="33"/>
  <c r="K176" i="33"/>
  <c r="F177" i="33"/>
  <c r="K177" i="33"/>
  <c r="F178" i="33"/>
  <c r="I178" i="33" s="1"/>
  <c r="K178" i="33"/>
  <c r="F179" i="33"/>
  <c r="K179" i="33"/>
  <c r="F180" i="33"/>
  <c r="H180" i="33" s="1"/>
  <c r="K180" i="33"/>
  <c r="F181" i="33"/>
  <c r="H181" i="33" s="1"/>
  <c r="K181" i="33"/>
  <c r="F182" i="33"/>
  <c r="K182" i="33"/>
  <c r="F183" i="33"/>
  <c r="H183" i="33" s="1"/>
  <c r="K183" i="33"/>
  <c r="F184" i="33"/>
  <c r="K184" i="33"/>
  <c r="F185" i="33"/>
  <c r="H185" i="33" s="1"/>
  <c r="K185" i="33"/>
  <c r="F186" i="33"/>
  <c r="H186" i="33" s="1"/>
  <c r="K186" i="33"/>
  <c r="F187" i="33"/>
  <c r="K187" i="33"/>
  <c r="F188" i="33"/>
  <c r="K188" i="33"/>
  <c r="F189" i="33"/>
  <c r="K189" i="33"/>
  <c r="F190" i="33"/>
  <c r="K190" i="33"/>
  <c r="F191" i="33"/>
  <c r="K191" i="33"/>
  <c r="F192" i="33"/>
  <c r="K192" i="33"/>
  <c r="F193" i="33"/>
  <c r="K193" i="33"/>
  <c r="F196" i="33"/>
  <c r="I196" i="33" s="1"/>
  <c r="K196" i="33"/>
  <c r="F197" i="33"/>
  <c r="K197" i="33"/>
  <c r="F201" i="33"/>
  <c r="I201" i="33" s="1"/>
  <c r="K201" i="33"/>
  <c r="F202" i="33"/>
  <c r="K202" i="33"/>
  <c r="F203" i="33"/>
  <c r="G203" i="33" s="1"/>
  <c r="K203" i="33"/>
  <c r="F204" i="33"/>
  <c r="K204" i="33"/>
  <c r="F205" i="33"/>
  <c r="I205" i="33" s="1"/>
  <c r="K205" i="33"/>
  <c r="F206" i="33"/>
  <c r="K206" i="33"/>
  <c r="F207" i="33"/>
  <c r="K207" i="33"/>
  <c r="F208" i="33"/>
  <c r="K208" i="33"/>
  <c r="F209" i="33"/>
  <c r="G209" i="33" s="1"/>
  <c r="K209" i="33"/>
  <c r="F210" i="33"/>
  <c r="K210" i="33"/>
  <c r="F211" i="33"/>
  <c r="G211" i="33" s="1"/>
  <c r="K211" i="33"/>
  <c r="F212" i="33"/>
  <c r="K212" i="33"/>
  <c r="F213" i="33"/>
  <c r="I213" i="33" s="1"/>
  <c r="K213" i="33"/>
  <c r="F214" i="33"/>
  <c r="K214" i="33"/>
  <c r="F215" i="33"/>
  <c r="H215" i="33" s="1"/>
  <c r="K215" i="33"/>
  <c r="F216" i="33"/>
  <c r="K216" i="33"/>
  <c r="F217" i="33"/>
  <c r="I217" i="33" s="1"/>
  <c r="K217" i="33"/>
  <c r="F218" i="33"/>
  <c r="K218" i="33"/>
  <c r="F221" i="33"/>
  <c r="K221" i="33"/>
  <c r="F222" i="33"/>
  <c r="K222" i="33"/>
  <c r="F223" i="33"/>
  <c r="K223" i="33"/>
  <c r="F224" i="33"/>
  <c r="K224" i="33"/>
  <c r="F225" i="33"/>
  <c r="G225" i="33" s="1"/>
  <c r="K225" i="33"/>
  <c r="F226" i="33"/>
  <c r="K226" i="33"/>
  <c r="F227" i="33"/>
  <c r="I227" i="33" s="1"/>
  <c r="K227" i="33"/>
  <c r="F228" i="33"/>
  <c r="K228" i="33"/>
  <c r="F231" i="33"/>
  <c r="K231" i="33"/>
  <c r="F232" i="33"/>
  <c r="K232" i="33"/>
  <c r="F233" i="33"/>
  <c r="K233" i="33"/>
  <c r="F234" i="33"/>
  <c r="K234" i="33"/>
  <c r="F235" i="33"/>
  <c r="H235" i="33" s="1"/>
  <c r="K235" i="33"/>
  <c r="F236" i="33"/>
  <c r="K236" i="33"/>
  <c r="F237" i="33"/>
  <c r="G237" i="33" s="1"/>
  <c r="K237" i="33"/>
  <c r="F238" i="33"/>
  <c r="K238" i="33"/>
  <c r="F239" i="33"/>
  <c r="K239" i="33"/>
  <c r="F240" i="33"/>
  <c r="K240" i="33"/>
  <c r="F241" i="33"/>
  <c r="K241" i="33"/>
  <c r="F242" i="33"/>
  <c r="K242" i="33"/>
  <c r="F243" i="33"/>
  <c r="K243" i="33"/>
  <c r="F244" i="33"/>
  <c r="K244" i="33"/>
  <c r="F245" i="33"/>
  <c r="K245" i="33"/>
  <c r="F246" i="33"/>
  <c r="K246" i="33"/>
  <c r="F247" i="33"/>
  <c r="K247" i="33"/>
  <c r="F257" i="33"/>
  <c r="I257" i="33" s="1"/>
  <c r="K257" i="33"/>
  <c r="F258" i="33"/>
  <c r="K258" i="33"/>
  <c r="F259" i="33"/>
  <c r="K259" i="33"/>
  <c r="F260" i="33"/>
  <c r="K260" i="33"/>
  <c r="F262" i="33"/>
  <c r="K262" i="33"/>
  <c r="F266" i="33"/>
  <c r="K266" i="33"/>
  <c r="F269" i="33"/>
  <c r="K269" i="33"/>
  <c r="F270" i="33"/>
  <c r="K270" i="33"/>
  <c r="F271" i="33"/>
  <c r="K271" i="33"/>
  <c r="F272" i="33"/>
  <c r="K272" i="33"/>
  <c r="F275" i="33"/>
  <c r="K275" i="33"/>
  <c r="F276" i="33"/>
  <c r="K276" i="33"/>
  <c r="F277" i="33"/>
  <c r="K277" i="33"/>
  <c r="F278" i="33"/>
  <c r="K278" i="33"/>
  <c r="F279" i="33"/>
  <c r="K279" i="33"/>
  <c r="F280" i="33"/>
  <c r="K280" i="33"/>
  <c r="F281" i="33"/>
  <c r="K281" i="33"/>
  <c r="F282" i="33"/>
  <c r="K282" i="33"/>
  <c r="F283" i="33"/>
  <c r="K283" i="33"/>
  <c r="F284" i="33"/>
  <c r="K284" i="33"/>
  <c r="F285" i="33"/>
  <c r="K285" i="33"/>
  <c r="F286" i="33"/>
  <c r="K286" i="33"/>
  <c r="F287" i="33"/>
  <c r="G287" i="33" s="1"/>
  <c r="K287" i="33"/>
  <c r="F288" i="33"/>
  <c r="K288" i="33"/>
  <c r="F289" i="33"/>
  <c r="G289" i="33" s="1"/>
  <c r="K289" i="33"/>
  <c r="F290" i="33"/>
  <c r="K290" i="33"/>
  <c r="F291" i="33"/>
  <c r="K291" i="33"/>
  <c r="F292" i="33"/>
  <c r="K292" i="33"/>
  <c r="F293" i="33"/>
  <c r="K293" i="33"/>
  <c r="F294" i="33"/>
  <c r="K294" i="33"/>
  <c r="F295" i="33"/>
  <c r="K295" i="33"/>
  <c r="F296" i="33"/>
  <c r="K296" i="33"/>
  <c r="F301" i="33"/>
  <c r="K301" i="33"/>
  <c r="F302" i="33"/>
  <c r="K302" i="33"/>
  <c r="F303" i="33"/>
  <c r="H303" i="33" s="1"/>
  <c r="K303" i="33"/>
  <c r="F304" i="33"/>
  <c r="K304" i="33"/>
  <c r="F305" i="33"/>
  <c r="H305" i="33" s="1"/>
  <c r="K305" i="33"/>
  <c r="F306" i="33"/>
  <c r="K306" i="33"/>
  <c r="F307" i="33"/>
  <c r="K307" i="33"/>
  <c r="F308" i="33"/>
  <c r="K308" i="33"/>
  <c r="F309" i="33"/>
  <c r="K309" i="33"/>
  <c r="F310" i="33"/>
  <c r="K310" i="33"/>
  <c r="F311" i="33"/>
  <c r="K311" i="33"/>
  <c r="F312" i="33"/>
  <c r="K312" i="33"/>
  <c r="F313" i="33"/>
  <c r="G313" i="33" s="1"/>
  <c r="K313" i="33"/>
  <c r="F314" i="33"/>
  <c r="K314" i="33"/>
  <c r="F315" i="33"/>
  <c r="I315" i="33" s="1"/>
  <c r="K315" i="33"/>
  <c r="F316" i="33"/>
  <c r="K316" i="33"/>
  <c r="F317" i="33"/>
  <c r="H317" i="33" s="1"/>
  <c r="K317" i="33"/>
  <c r="F318" i="33"/>
  <c r="K318" i="33"/>
  <c r="F319" i="33"/>
  <c r="G319" i="33" s="1"/>
  <c r="K319" i="33"/>
  <c r="F320" i="33"/>
  <c r="K320" i="33"/>
  <c r="F321" i="33"/>
  <c r="G321" i="33" s="1"/>
  <c r="K321" i="33"/>
  <c r="F322" i="33"/>
  <c r="K322" i="33"/>
  <c r="F323" i="33"/>
  <c r="I323" i="33" s="1"/>
  <c r="K323" i="33"/>
  <c r="F324" i="33"/>
  <c r="K324" i="33"/>
  <c r="F325" i="33"/>
  <c r="K325" i="33"/>
  <c r="F326" i="33"/>
  <c r="K326" i="33"/>
  <c r="F327" i="33"/>
  <c r="K327" i="33"/>
  <c r="F2041" i="33"/>
  <c r="K2041" i="33"/>
  <c r="Z5" i="33"/>
  <c r="Z6" i="33"/>
  <c r="Z7" i="33"/>
  <c r="Z8" i="33"/>
  <c r="Z9" i="33"/>
  <c r="Z10" i="33"/>
  <c r="Z11" i="33"/>
  <c r="Z12" i="33"/>
  <c r="Z13" i="33"/>
  <c r="Z14" i="33"/>
  <c r="T15" i="33"/>
  <c r="Z16" i="33"/>
  <c r="T17" i="33"/>
  <c r="Z17" i="33" s="1"/>
  <c r="Z18" i="33"/>
  <c r="T19" i="33"/>
  <c r="Y19" i="33" s="1"/>
  <c r="Z20" i="33"/>
  <c r="T21" i="33"/>
  <c r="Z21" i="33" s="1"/>
  <c r="Z22" i="33"/>
  <c r="T23" i="33"/>
  <c r="Y23" i="33" s="1"/>
  <c r="Z24" i="33"/>
  <c r="T25" i="33"/>
  <c r="Z25" i="33" s="1"/>
  <c r="Z26" i="33"/>
  <c r="T27" i="33"/>
  <c r="Z28" i="33"/>
  <c r="T29" i="33"/>
  <c r="Z29" i="33" s="1"/>
  <c r="Z30" i="33"/>
  <c r="T31" i="33"/>
  <c r="Z31" i="33" s="1"/>
  <c r="Z32" i="33"/>
  <c r="Z33" i="33"/>
  <c r="Z34" i="33"/>
  <c r="Z35" i="33"/>
  <c r="Z36" i="33"/>
  <c r="T37" i="33"/>
  <c r="Y37" i="33" s="1"/>
  <c r="Z38" i="33"/>
  <c r="T39" i="33"/>
  <c r="Z40" i="33"/>
  <c r="T41" i="33"/>
  <c r="X41" i="33" s="1"/>
  <c r="Z42" i="33"/>
  <c r="T43" i="33"/>
  <c r="Z44" i="33"/>
  <c r="T45" i="33"/>
  <c r="X45" i="33" s="1"/>
  <c r="Z46" i="33"/>
  <c r="T47" i="33"/>
  <c r="Z48" i="33"/>
  <c r="T49" i="33"/>
  <c r="X49" i="33" s="1"/>
  <c r="Z50" i="33"/>
  <c r="T51" i="33"/>
  <c r="Z51" i="33" s="1"/>
  <c r="Z52" i="33"/>
  <c r="T53" i="33"/>
  <c r="Z53" i="33" s="1"/>
  <c r="Z54" i="33"/>
  <c r="T55" i="33"/>
  <c r="Z56" i="33"/>
  <c r="T57" i="33"/>
  <c r="W57" i="33" s="1"/>
  <c r="Z58" i="33"/>
  <c r="T59" i="33"/>
  <c r="Z60" i="33"/>
  <c r="T61" i="33"/>
  <c r="Y61" i="33" s="1"/>
  <c r="Z62" i="33"/>
  <c r="T63" i="33"/>
  <c r="Y63" i="33" s="1"/>
  <c r="Z64" i="33"/>
  <c r="T65" i="33"/>
  <c r="Y65" i="33" s="1"/>
  <c r="Z66" i="33"/>
  <c r="T67" i="33"/>
  <c r="W67" i="33" s="1"/>
  <c r="Z68" i="33"/>
  <c r="T69" i="33"/>
  <c r="X69" i="33" s="1"/>
  <c r="Z70" i="33"/>
  <c r="T71" i="33"/>
  <c r="Y71" i="33" s="1"/>
  <c r="Z72" i="33"/>
  <c r="T73" i="33"/>
  <c r="Y73" i="33" s="1"/>
  <c r="Z74" i="33"/>
  <c r="T75" i="33"/>
  <c r="Z76" i="33"/>
  <c r="T77" i="33"/>
  <c r="Y77" i="33" s="1"/>
  <c r="Z78" i="33"/>
  <c r="Z79" i="33"/>
  <c r="Z80" i="33"/>
  <c r="T81" i="33"/>
  <c r="W81" i="33" s="1"/>
  <c r="Z82" i="33"/>
  <c r="T83" i="33"/>
  <c r="X83" i="33" s="1"/>
  <c r="Z84" i="33"/>
  <c r="Z86" i="33"/>
  <c r="Z88" i="33"/>
  <c r="Z90" i="33"/>
  <c r="Z92" i="33"/>
  <c r="Z94" i="33"/>
  <c r="Z96" i="33"/>
  <c r="Z98" i="33"/>
  <c r="Z102" i="33"/>
  <c r="Z110" i="33"/>
  <c r="Z112" i="33"/>
  <c r="Z114" i="33"/>
  <c r="Z116" i="33"/>
  <c r="Z118" i="33"/>
  <c r="Z120" i="33"/>
  <c r="Z123" i="33"/>
  <c r="Z125" i="33"/>
  <c r="Z126" i="33"/>
  <c r="Z127" i="33"/>
  <c r="Z128" i="33"/>
  <c r="Z129" i="33"/>
  <c r="Z131" i="33"/>
  <c r="Z133" i="33"/>
  <c r="Z135" i="33"/>
  <c r="Z137" i="33"/>
  <c r="Z141" i="33"/>
  <c r="Z143" i="33"/>
  <c r="Z146" i="33"/>
  <c r="Z147" i="33"/>
  <c r="Z148" i="33"/>
  <c r="Z149" i="33"/>
  <c r="Z150" i="33"/>
  <c r="Z151" i="33"/>
  <c r="Z153" i="33"/>
  <c r="Z155" i="33"/>
  <c r="Z157" i="33"/>
  <c r="Z159" i="33"/>
  <c r="Z160" i="33"/>
  <c r="Z161" i="33"/>
  <c r="Z163" i="33"/>
  <c r="Z165" i="33"/>
  <c r="Z167" i="33"/>
  <c r="Z169" i="33"/>
  <c r="Z171" i="33"/>
  <c r="Z173" i="33"/>
  <c r="Z175" i="33"/>
  <c r="Z177" i="33"/>
  <c r="Z179" i="33"/>
  <c r="Z182" i="33"/>
  <c r="Z184" i="33"/>
  <c r="Z187" i="33"/>
  <c r="Z188" i="33"/>
  <c r="Z189" i="33"/>
  <c r="Z190" i="33"/>
  <c r="Z191" i="33"/>
  <c r="Z193" i="33"/>
  <c r="Z197" i="33"/>
  <c r="Z202" i="33"/>
  <c r="Z204" i="33"/>
  <c r="Z206" i="33"/>
  <c r="Z207" i="33"/>
  <c r="Z208" i="33"/>
  <c r="Z210" i="33"/>
  <c r="Z212" i="33"/>
  <c r="Z214" i="33"/>
  <c r="Z216" i="33"/>
  <c r="Z218" i="33"/>
  <c r="Z221" i="33"/>
  <c r="Z222" i="33"/>
  <c r="Z223" i="33"/>
  <c r="Z224" i="33"/>
  <c r="Z226" i="33"/>
  <c r="Z228" i="33"/>
  <c r="Z232" i="33"/>
  <c r="Z234" i="33"/>
  <c r="Z236" i="33"/>
  <c r="Z239" i="33"/>
  <c r="Z241" i="33"/>
  <c r="Z243" i="33"/>
  <c r="Z245" i="33"/>
  <c r="Z247" i="33"/>
  <c r="Z258" i="33"/>
  <c r="Z260" i="33"/>
  <c r="Z262" i="33"/>
  <c r="Z266" i="33"/>
  <c r="Z269" i="33"/>
  <c r="Z270" i="33"/>
  <c r="Z271" i="33"/>
  <c r="Z272" i="33"/>
  <c r="Z275" i="33"/>
  <c r="Z276" i="33"/>
  <c r="Z277" i="33"/>
  <c r="Z278" i="33"/>
  <c r="Z279" i="33"/>
  <c r="Z280" i="33"/>
  <c r="Z281" i="33"/>
  <c r="Z282" i="33"/>
  <c r="Z284" i="33"/>
  <c r="Z286" i="33"/>
  <c r="Z288" i="33"/>
  <c r="Z290" i="33"/>
  <c r="Z292" i="33"/>
  <c r="Z293" i="33"/>
  <c r="Z294" i="33"/>
  <c r="Z295" i="33"/>
  <c r="Z296" i="33"/>
  <c r="Z302" i="33"/>
  <c r="Z304" i="33"/>
  <c r="Z306" i="33"/>
  <c r="Z308" i="33"/>
  <c r="Z310" i="33"/>
  <c r="Z312" i="33"/>
  <c r="Z314" i="33"/>
  <c r="Z316" i="33"/>
  <c r="Z318" i="33"/>
  <c r="Z320" i="33"/>
  <c r="Z322" i="33"/>
  <c r="Z324" i="33"/>
  <c r="Z326" i="33"/>
  <c r="Z2041" i="33"/>
  <c r="Y5" i="33"/>
  <c r="Y6" i="33"/>
  <c r="Y7" i="33"/>
  <c r="Y8" i="33"/>
  <c r="Y9" i="33"/>
  <c r="Y10" i="33"/>
  <c r="Y11" i="33"/>
  <c r="Y12" i="33"/>
  <c r="Y13" i="33"/>
  <c r="Y14" i="33"/>
  <c r="Y16" i="33"/>
  <c r="Y18" i="33"/>
  <c r="Y20" i="33"/>
  <c r="Y22" i="33"/>
  <c r="Y24" i="33"/>
  <c r="Y26" i="33"/>
  <c r="Y28" i="33"/>
  <c r="Y30" i="33"/>
  <c r="Y32" i="33"/>
  <c r="Y33" i="33"/>
  <c r="Y34" i="33"/>
  <c r="Y35" i="33"/>
  <c r="Y36" i="33"/>
  <c r="Y38" i="33"/>
  <c r="Y40" i="33"/>
  <c r="Y42" i="33"/>
  <c r="Y44" i="33"/>
  <c r="Y46" i="33"/>
  <c r="Y48" i="33"/>
  <c r="Y50" i="33"/>
  <c r="Y52" i="33"/>
  <c r="Y54" i="33"/>
  <c r="Y56" i="33"/>
  <c r="Y58" i="33"/>
  <c r="Y60" i="33"/>
  <c r="Y62" i="33"/>
  <c r="Y64" i="33"/>
  <c r="Y66" i="33"/>
  <c r="Y68" i="33"/>
  <c r="Y70" i="33"/>
  <c r="Y72" i="33"/>
  <c r="Y74" i="33"/>
  <c r="Y76" i="33"/>
  <c r="Y78" i="33"/>
  <c r="Y79" i="33"/>
  <c r="Y80" i="33"/>
  <c r="Y82" i="33"/>
  <c r="Y84" i="33"/>
  <c r="Y86" i="33"/>
  <c r="Y88" i="33"/>
  <c r="Y90" i="33"/>
  <c r="Y92" i="33"/>
  <c r="Y94" i="33"/>
  <c r="Y96" i="33"/>
  <c r="Y98" i="33"/>
  <c r="Y102" i="33"/>
  <c r="Y110" i="33"/>
  <c r="Y112" i="33"/>
  <c r="Y114" i="33"/>
  <c r="Y116" i="33"/>
  <c r="Y118" i="33"/>
  <c r="Y120" i="33"/>
  <c r="Y123" i="33"/>
  <c r="Y125" i="33"/>
  <c r="Y126" i="33"/>
  <c r="Y127" i="33"/>
  <c r="Y128" i="33"/>
  <c r="Y129" i="33"/>
  <c r="Y131" i="33"/>
  <c r="Y133" i="33"/>
  <c r="Y135" i="33"/>
  <c r="Y137" i="33"/>
  <c r="Y141" i="33"/>
  <c r="Y143" i="33"/>
  <c r="Y146" i="33"/>
  <c r="Y147" i="33"/>
  <c r="Y148" i="33"/>
  <c r="Y149" i="33"/>
  <c r="Y150" i="33"/>
  <c r="Y151" i="33"/>
  <c r="Y153" i="33"/>
  <c r="Y155" i="33"/>
  <c r="Y157" i="33"/>
  <c r="Y159" i="33"/>
  <c r="Y160" i="33"/>
  <c r="Y161" i="33"/>
  <c r="Y163" i="33"/>
  <c r="Y165" i="33"/>
  <c r="Y167" i="33"/>
  <c r="Y169" i="33"/>
  <c r="Y171" i="33"/>
  <c r="Y173" i="33"/>
  <c r="Y175" i="33"/>
  <c r="Y177" i="33"/>
  <c r="Y179" i="33"/>
  <c r="Y182" i="33"/>
  <c r="Y184" i="33"/>
  <c r="Y187" i="33"/>
  <c r="Y188" i="33"/>
  <c r="Y189" i="33"/>
  <c r="Y190" i="33"/>
  <c r="Y191" i="33"/>
  <c r="Y193" i="33"/>
  <c r="Y197" i="33"/>
  <c r="Y202" i="33"/>
  <c r="Y204" i="33"/>
  <c r="Y206" i="33"/>
  <c r="Y207" i="33"/>
  <c r="Y208" i="33"/>
  <c r="Y210" i="33"/>
  <c r="Y212" i="33"/>
  <c r="Y214" i="33"/>
  <c r="Y216" i="33"/>
  <c r="Y218" i="33"/>
  <c r="Y221" i="33"/>
  <c r="Y222" i="33"/>
  <c r="Y223" i="33"/>
  <c r="Y224" i="33"/>
  <c r="Y226" i="33"/>
  <c r="Y228" i="33"/>
  <c r="Y232" i="33"/>
  <c r="Y234" i="33"/>
  <c r="Y236" i="33"/>
  <c r="Y239" i="33"/>
  <c r="Y241" i="33"/>
  <c r="Y243" i="33"/>
  <c r="Y245" i="33"/>
  <c r="Y247" i="33"/>
  <c r="Y258" i="33"/>
  <c r="Y260" i="33"/>
  <c r="Y262" i="33"/>
  <c r="Y266" i="33"/>
  <c r="Y269" i="33"/>
  <c r="Y270" i="33"/>
  <c r="Y271" i="33"/>
  <c r="Y272" i="33"/>
  <c r="Y275" i="33"/>
  <c r="Y276" i="33"/>
  <c r="Y277" i="33"/>
  <c r="Y278" i="33"/>
  <c r="Y279" i="33"/>
  <c r="Y280" i="33"/>
  <c r="Y281" i="33"/>
  <c r="Y282" i="33"/>
  <c r="Y284" i="33"/>
  <c r="Y286" i="33"/>
  <c r="Y288" i="33"/>
  <c r="Y290" i="33"/>
  <c r="Y292" i="33"/>
  <c r="Y293" i="33"/>
  <c r="Y294" i="33"/>
  <c r="Y295" i="33"/>
  <c r="Y296" i="33"/>
  <c r="Y302" i="33"/>
  <c r="Y304" i="33"/>
  <c r="Y306" i="33"/>
  <c r="Y308" i="33"/>
  <c r="Y310" i="33"/>
  <c r="Y312" i="33"/>
  <c r="Y314" i="33"/>
  <c r="Y316" i="33"/>
  <c r="Y318" i="33"/>
  <c r="Y320" i="33"/>
  <c r="Y322" i="33"/>
  <c r="Y324" i="33"/>
  <c r="Y326" i="33"/>
  <c r="Y2041" i="33"/>
  <c r="X5" i="33"/>
  <c r="X6" i="33"/>
  <c r="X7" i="33"/>
  <c r="X8" i="33"/>
  <c r="X9" i="33"/>
  <c r="X10" i="33"/>
  <c r="X11" i="33"/>
  <c r="X12" i="33"/>
  <c r="X13" i="33"/>
  <c r="X14" i="33"/>
  <c r="X16" i="33"/>
  <c r="X18" i="33"/>
  <c r="X20" i="33"/>
  <c r="X22" i="33"/>
  <c r="X24" i="33"/>
  <c r="X26" i="33"/>
  <c r="X28" i="33"/>
  <c r="X30" i="33"/>
  <c r="X32" i="33"/>
  <c r="X33" i="33"/>
  <c r="X34" i="33"/>
  <c r="X35" i="33"/>
  <c r="X36" i="33"/>
  <c r="X38" i="33"/>
  <c r="X40" i="33"/>
  <c r="X42" i="33"/>
  <c r="X44" i="33"/>
  <c r="X46" i="33"/>
  <c r="X48" i="33"/>
  <c r="X50" i="33"/>
  <c r="X52" i="33"/>
  <c r="X54" i="33"/>
  <c r="X56" i="33"/>
  <c r="X58" i="33"/>
  <c r="X60" i="33"/>
  <c r="X62" i="33"/>
  <c r="X64" i="33"/>
  <c r="X66" i="33"/>
  <c r="X68" i="33"/>
  <c r="X70" i="33"/>
  <c r="X72" i="33"/>
  <c r="X74" i="33"/>
  <c r="X76" i="33"/>
  <c r="X78" i="33"/>
  <c r="X79" i="33"/>
  <c r="X80" i="33"/>
  <c r="X82" i="33"/>
  <c r="X84" i="33"/>
  <c r="X86" i="33"/>
  <c r="X88" i="33"/>
  <c r="X90" i="33"/>
  <c r="X92" i="33"/>
  <c r="X94" i="33"/>
  <c r="X96" i="33"/>
  <c r="X98" i="33"/>
  <c r="X102" i="33"/>
  <c r="X110" i="33"/>
  <c r="X112" i="33"/>
  <c r="X114" i="33"/>
  <c r="X116" i="33"/>
  <c r="X118" i="33"/>
  <c r="X120" i="33"/>
  <c r="X123" i="33"/>
  <c r="X125" i="33"/>
  <c r="X126" i="33"/>
  <c r="X127" i="33"/>
  <c r="X128" i="33"/>
  <c r="X129" i="33"/>
  <c r="X131" i="33"/>
  <c r="X133" i="33"/>
  <c r="X135" i="33"/>
  <c r="X137" i="33"/>
  <c r="X141" i="33"/>
  <c r="X143" i="33"/>
  <c r="X146" i="33"/>
  <c r="X147" i="33"/>
  <c r="X148" i="33"/>
  <c r="X149" i="33"/>
  <c r="X150" i="33"/>
  <c r="X151" i="33"/>
  <c r="X153" i="33"/>
  <c r="X155" i="33"/>
  <c r="X157" i="33"/>
  <c r="X159" i="33"/>
  <c r="X160" i="33"/>
  <c r="X161" i="33"/>
  <c r="X163" i="33"/>
  <c r="X165" i="33"/>
  <c r="X167" i="33"/>
  <c r="X169" i="33"/>
  <c r="X171" i="33"/>
  <c r="X173" i="33"/>
  <c r="X175" i="33"/>
  <c r="X177" i="33"/>
  <c r="X179" i="33"/>
  <c r="X182" i="33"/>
  <c r="X184" i="33"/>
  <c r="X187" i="33"/>
  <c r="X188" i="33"/>
  <c r="X189" i="33"/>
  <c r="X190" i="33"/>
  <c r="X191" i="33"/>
  <c r="X193" i="33"/>
  <c r="X197" i="33"/>
  <c r="X202" i="33"/>
  <c r="X204" i="33"/>
  <c r="X206" i="33"/>
  <c r="X207" i="33"/>
  <c r="X208" i="33"/>
  <c r="X210" i="33"/>
  <c r="X212" i="33"/>
  <c r="X214" i="33"/>
  <c r="X216" i="33"/>
  <c r="X218" i="33"/>
  <c r="X221" i="33"/>
  <c r="X222" i="33"/>
  <c r="X223" i="33"/>
  <c r="X224" i="33"/>
  <c r="X226" i="33"/>
  <c r="X228" i="33"/>
  <c r="X232" i="33"/>
  <c r="X234" i="33"/>
  <c r="X236" i="33"/>
  <c r="X239" i="33"/>
  <c r="X241" i="33"/>
  <c r="X243" i="33"/>
  <c r="X245" i="33"/>
  <c r="X247" i="33"/>
  <c r="X258" i="33"/>
  <c r="X260" i="33"/>
  <c r="X262" i="33"/>
  <c r="X266" i="33"/>
  <c r="X269" i="33"/>
  <c r="X270" i="33"/>
  <c r="X271" i="33"/>
  <c r="X272" i="33"/>
  <c r="X275" i="33"/>
  <c r="X276" i="33"/>
  <c r="X277" i="33"/>
  <c r="X278" i="33"/>
  <c r="X279" i="33"/>
  <c r="X280" i="33"/>
  <c r="X281" i="33"/>
  <c r="X282" i="33"/>
  <c r="X284" i="33"/>
  <c r="X286" i="33"/>
  <c r="X288" i="33"/>
  <c r="X290" i="33"/>
  <c r="X292" i="33"/>
  <c r="X293" i="33"/>
  <c r="X294" i="33"/>
  <c r="X295" i="33"/>
  <c r="X296" i="33"/>
  <c r="X302" i="33"/>
  <c r="X304" i="33"/>
  <c r="X306" i="33"/>
  <c r="X308" i="33"/>
  <c r="X310" i="33"/>
  <c r="X312" i="33"/>
  <c r="X314" i="33"/>
  <c r="X316" i="33"/>
  <c r="X318" i="33"/>
  <c r="X320" i="33"/>
  <c r="X322" i="33"/>
  <c r="X324" i="33"/>
  <c r="X326" i="33"/>
  <c r="X2041" i="33"/>
  <c r="W5" i="33"/>
  <c r="W6" i="33"/>
  <c r="W7" i="33"/>
  <c r="W8" i="33"/>
  <c r="W9" i="33"/>
  <c r="W10" i="33"/>
  <c r="W11" i="33"/>
  <c r="W12" i="33"/>
  <c r="W13" i="33"/>
  <c r="W14" i="33"/>
  <c r="W16" i="33"/>
  <c r="W18" i="33"/>
  <c r="W20" i="33"/>
  <c r="W22" i="33"/>
  <c r="W24" i="33"/>
  <c r="W26" i="33"/>
  <c r="W28" i="33"/>
  <c r="W30" i="33"/>
  <c r="W32" i="33"/>
  <c r="W33" i="33"/>
  <c r="W34" i="33"/>
  <c r="W35" i="33"/>
  <c r="W36" i="33"/>
  <c r="W38" i="33"/>
  <c r="W40" i="33"/>
  <c r="W42" i="33"/>
  <c r="W44" i="33"/>
  <c r="W46" i="33"/>
  <c r="W48" i="33"/>
  <c r="W50" i="33"/>
  <c r="W52" i="33"/>
  <c r="W54" i="33"/>
  <c r="W56" i="33"/>
  <c r="W58" i="33"/>
  <c r="W60" i="33"/>
  <c r="W62" i="33"/>
  <c r="W64" i="33"/>
  <c r="W66" i="33"/>
  <c r="W68" i="33"/>
  <c r="W70" i="33"/>
  <c r="W72" i="33"/>
  <c r="W74" i="33"/>
  <c r="W76" i="33"/>
  <c r="W78" i="33"/>
  <c r="W79" i="33"/>
  <c r="W80" i="33"/>
  <c r="W82" i="33"/>
  <c r="W84" i="33"/>
  <c r="W86" i="33"/>
  <c r="W88" i="33"/>
  <c r="W90" i="33"/>
  <c r="W92" i="33"/>
  <c r="W94" i="33"/>
  <c r="W96" i="33"/>
  <c r="W98" i="33"/>
  <c r="W102" i="33"/>
  <c r="W110" i="33"/>
  <c r="W112" i="33"/>
  <c r="W114" i="33"/>
  <c r="W116" i="33"/>
  <c r="W118" i="33"/>
  <c r="W120" i="33"/>
  <c r="W123" i="33"/>
  <c r="W125" i="33"/>
  <c r="W126" i="33"/>
  <c r="W127" i="33"/>
  <c r="W128" i="33"/>
  <c r="W129" i="33"/>
  <c r="W131" i="33"/>
  <c r="W133" i="33"/>
  <c r="W135" i="33"/>
  <c r="W137" i="33"/>
  <c r="W141" i="33"/>
  <c r="W143" i="33"/>
  <c r="W146" i="33"/>
  <c r="W147" i="33"/>
  <c r="W148" i="33"/>
  <c r="W149" i="33"/>
  <c r="W150" i="33"/>
  <c r="W151" i="33"/>
  <c r="W153" i="33"/>
  <c r="W155" i="33"/>
  <c r="W157" i="33"/>
  <c r="W159" i="33"/>
  <c r="W160" i="33"/>
  <c r="W161" i="33"/>
  <c r="W163" i="33"/>
  <c r="W165" i="33"/>
  <c r="W167" i="33"/>
  <c r="W169" i="33"/>
  <c r="W171" i="33"/>
  <c r="W173" i="33"/>
  <c r="W175" i="33"/>
  <c r="W177" i="33"/>
  <c r="W179" i="33"/>
  <c r="W182" i="33"/>
  <c r="W184" i="33"/>
  <c r="W187" i="33"/>
  <c r="W188" i="33"/>
  <c r="W189" i="33"/>
  <c r="W190" i="33"/>
  <c r="W191" i="33"/>
  <c r="W193" i="33"/>
  <c r="W197" i="33"/>
  <c r="W202" i="33"/>
  <c r="W204" i="33"/>
  <c r="W206" i="33"/>
  <c r="W207" i="33"/>
  <c r="W208" i="33"/>
  <c r="W210" i="33"/>
  <c r="W212" i="33"/>
  <c r="W214" i="33"/>
  <c r="W216" i="33"/>
  <c r="W218" i="33"/>
  <c r="W221" i="33"/>
  <c r="W222" i="33"/>
  <c r="W223" i="33"/>
  <c r="W224" i="33"/>
  <c r="W226" i="33"/>
  <c r="W228" i="33"/>
  <c r="W232" i="33"/>
  <c r="W234" i="33"/>
  <c r="W236" i="33"/>
  <c r="W239" i="33"/>
  <c r="W241" i="33"/>
  <c r="W243" i="33"/>
  <c r="W245" i="33"/>
  <c r="W247" i="33"/>
  <c r="W258" i="33"/>
  <c r="W260" i="33"/>
  <c r="W262" i="33"/>
  <c r="W266" i="33"/>
  <c r="W269" i="33"/>
  <c r="W270" i="33"/>
  <c r="W271" i="33"/>
  <c r="W272" i="33"/>
  <c r="W275" i="33"/>
  <c r="W276" i="33"/>
  <c r="W277" i="33"/>
  <c r="W278" i="33"/>
  <c r="W279" i="33"/>
  <c r="W280" i="33"/>
  <c r="W281" i="33"/>
  <c r="W282" i="33"/>
  <c r="W284" i="33"/>
  <c r="W286" i="33"/>
  <c r="W288" i="33"/>
  <c r="W290" i="33"/>
  <c r="W292" i="33"/>
  <c r="W293" i="33"/>
  <c r="W294" i="33"/>
  <c r="W295" i="33"/>
  <c r="W296" i="33"/>
  <c r="W302" i="33"/>
  <c r="W304" i="33"/>
  <c r="W306" i="33"/>
  <c r="W308" i="33"/>
  <c r="W310" i="33"/>
  <c r="W312" i="33"/>
  <c r="W314" i="33"/>
  <c r="W316" i="33"/>
  <c r="W318" i="33"/>
  <c r="W320" i="33"/>
  <c r="W322" i="33"/>
  <c r="W324" i="33"/>
  <c r="W326" i="33"/>
  <c r="W2041" i="33"/>
  <c r="V5" i="33"/>
  <c r="V6" i="33"/>
  <c r="V7" i="33"/>
  <c r="V8" i="33"/>
  <c r="V9" i="33"/>
  <c r="V10" i="33"/>
  <c r="V11" i="33"/>
  <c r="V12" i="33"/>
  <c r="V13" i="33"/>
  <c r="V14" i="33"/>
  <c r="V15" i="33"/>
  <c r="V16" i="33"/>
  <c r="V17" i="33"/>
  <c r="V18" i="33"/>
  <c r="V19" i="33"/>
  <c r="V20" i="33"/>
  <c r="V21" i="33"/>
  <c r="V22" i="33"/>
  <c r="V23" i="33"/>
  <c r="V24" i="33"/>
  <c r="V25" i="33"/>
  <c r="V26" i="33"/>
  <c r="V27" i="33"/>
  <c r="V28" i="33"/>
  <c r="V29" i="33"/>
  <c r="V30" i="33"/>
  <c r="V31" i="33"/>
  <c r="V32" i="33"/>
  <c r="V33" i="33"/>
  <c r="V34" i="33"/>
  <c r="V35" i="33"/>
  <c r="V36" i="33"/>
  <c r="V37" i="33"/>
  <c r="V38" i="33"/>
  <c r="V39" i="33"/>
  <c r="V40" i="33"/>
  <c r="V41" i="33"/>
  <c r="V42" i="33"/>
  <c r="V43" i="33"/>
  <c r="V44" i="33"/>
  <c r="V45" i="33"/>
  <c r="V46" i="33"/>
  <c r="V47" i="33"/>
  <c r="V48" i="33"/>
  <c r="V49" i="33"/>
  <c r="V50" i="33"/>
  <c r="V51" i="33"/>
  <c r="V52" i="33"/>
  <c r="V53" i="33"/>
  <c r="V54" i="33"/>
  <c r="V55" i="33"/>
  <c r="V56" i="33"/>
  <c r="V57" i="33"/>
  <c r="V58" i="33"/>
  <c r="V59" i="33"/>
  <c r="V60" i="33"/>
  <c r="V61" i="33"/>
  <c r="V62" i="33"/>
  <c r="V63" i="33"/>
  <c r="V64" i="33"/>
  <c r="V65" i="33"/>
  <c r="V66" i="33"/>
  <c r="V67" i="33"/>
  <c r="V68" i="33"/>
  <c r="V69" i="33"/>
  <c r="V70" i="33"/>
  <c r="V71" i="33"/>
  <c r="V72" i="33"/>
  <c r="V73" i="33"/>
  <c r="V74" i="33"/>
  <c r="V75" i="33"/>
  <c r="V76" i="33"/>
  <c r="V77" i="33"/>
  <c r="V78" i="33"/>
  <c r="V79" i="33"/>
  <c r="V80" i="33"/>
  <c r="V81" i="33"/>
  <c r="V82" i="33"/>
  <c r="V83" i="33"/>
  <c r="V84" i="33"/>
  <c r="V85" i="33"/>
  <c r="V86" i="33"/>
  <c r="V87" i="33"/>
  <c r="V88" i="33"/>
  <c r="V89" i="33"/>
  <c r="V90" i="33"/>
  <c r="V91" i="33"/>
  <c r="V92" i="33"/>
  <c r="V93" i="33"/>
  <c r="V94" i="33"/>
  <c r="V95" i="33"/>
  <c r="V96" i="33"/>
  <c r="V97" i="33"/>
  <c r="V98" i="33"/>
  <c r="V102" i="33"/>
  <c r="V110" i="33"/>
  <c r="V111" i="33"/>
  <c r="V112" i="33"/>
  <c r="V113" i="33"/>
  <c r="V114" i="33"/>
  <c r="V115" i="33"/>
  <c r="V116" i="33"/>
  <c r="V117" i="33"/>
  <c r="V118" i="33"/>
  <c r="V119" i="33"/>
  <c r="V120" i="33"/>
  <c r="V121" i="33"/>
  <c r="V123" i="33"/>
  <c r="V124" i="33"/>
  <c r="V125" i="33"/>
  <c r="V126" i="33"/>
  <c r="V127" i="33"/>
  <c r="V128" i="33"/>
  <c r="V129" i="33"/>
  <c r="V130" i="33"/>
  <c r="V131" i="33"/>
  <c r="V132" i="33"/>
  <c r="V133" i="33"/>
  <c r="V134" i="33"/>
  <c r="V135" i="33"/>
  <c r="V136" i="33"/>
  <c r="V137" i="33"/>
  <c r="V140" i="33"/>
  <c r="V141" i="33"/>
  <c r="V143" i="33"/>
  <c r="V146" i="33"/>
  <c r="V147" i="33"/>
  <c r="V148" i="33"/>
  <c r="V149" i="33"/>
  <c r="V150" i="33"/>
  <c r="V151" i="33"/>
  <c r="V152" i="33"/>
  <c r="V153" i="33"/>
  <c r="V154" i="33"/>
  <c r="V155" i="33"/>
  <c r="V156" i="33"/>
  <c r="V157" i="33"/>
  <c r="V158" i="33"/>
  <c r="V159" i="33"/>
  <c r="V160" i="33"/>
  <c r="V161" i="33"/>
  <c r="V162" i="33"/>
  <c r="V163" i="33"/>
  <c r="V164" i="33"/>
  <c r="V165" i="33"/>
  <c r="V166" i="33"/>
  <c r="V167" i="33"/>
  <c r="V168" i="33"/>
  <c r="V169" i="33"/>
  <c r="V170" i="33"/>
  <c r="V171" i="33"/>
  <c r="V172" i="33"/>
  <c r="V173" i="33"/>
  <c r="V174" i="33"/>
  <c r="V175" i="33"/>
  <c r="V176" i="33"/>
  <c r="V177" i="33"/>
  <c r="V178" i="33"/>
  <c r="V179" i="33"/>
  <c r="V180" i="33"/>
  <c r="V181" i="33"/>
  <c r="V182" i="33"/>
  <c r="V183" i="33"/>
  <c r="V184" i="33"/>
  <c r="V185" i="33"/>
  <c r="V186" i="33"/>
  <c r="V187" i="33"/>
  <c r="V188" i="33"/>
  <c r="V189" i="33"/>
  <c r="V190" i="33"/>
  <c r="V191" i="33"/>
  <c r="V192" i="33"/>
  <c r="V193" i="33"/>
  <c r="V196" i="33"/>
  <c r="V197" i="33"/>
  <c r="V201" i="33"/>
  <c r="V202" i="33"/>
  <c r="V203" i="33"/>
  <c r="V204" i="33"/>
  <c r="V205" i="33"/>
  <c r="V206" i="33"/>
  <c r="V207" i="33"/>
  <c r="V208" i="33"/>
  <c r="V209" i="33"/>
  <c r="V210" i="33"/>
  <c r="V211" i="33"/>
  <c r="V212" i="33"/>
  <c r="V213" i="33"/>
  <c r="V214" i="33"/>
  <c r="V215" i="33"/>
  <c r="V216" i="33"/>
  <c r="V217" i="33"/>
  <c r="V218" i="33"/>
  <c r="V221" i="33"/>
  <c r="V222" i="33"/>
  <c r="V223" i="33"/>
  <c r="V224" i="33"/>
  <c r="V225" i="33"/>
  <c r="V226" i="33"/>
  <c r="V227" i="33"/>
  <c r="V228" i="33"/>
  <c r="V231" i="33"/>
  <c r="V232" i="33"/>
  <c r="V233" i="33"/>
  <c r="V234" i="33"/>
  <c r="V235" i="33"/>
  <c r="V236" i="33"/>
  <c r="V237" i="33"/>
  <c r="V238" i="33"/>
  <c r="V239" i="33"/>
  <c r="V240" i="33"/>
  <c r="V241" i="33"/>
  <c r="V242" i="33"/>
  <c r="V243" i="33"/>
  <c r="V244" i="33"/>
  <c r="V245" i="33"/>
  <c r="V246" i="33"/>
  <c r="V247" i="33"/>
  <c r="V257" i="33"/>
  <c r="V258" i="33"/>
  <c r="V259" i="33"/>
  <c r="V260" i="33"/>
  <c r="V262" i="33"/>
  <c r="V266" i="33"/>
  <c r="V269" i="33"/>
  <c r="V270" i="33"/>
  <c r="V271" i="33"/>
  <c r="V272" i="33"/>
  <c r="V275" i="33"/>
  <c r="V276" i="33"/>
  <c r="V277" i="33"/>
  <c r="V278" i="33"/>
  <c r="V279" i="33"/>
  <c r="V280" i="33"/>
  <c r="V281" i="33"/>
  <c r="V282" i="33"/>
  <c r="V283" i="33"/>
  <c r="V284" i="33"/>
  <c r="V285" i="33"/>
  <c r="V286" i="33"/>
  <c r="V287" i="33"/>
  <c r="V288" i="33"/>
  <c r="V289" i="33"/>
  <c r="V290" i="33"/>
  <c r="V291" i="33"/>
  <c r="V292" i="33"/>
  <c r="V293" i="33"/>
  <c r="V294" i="33"/>
  <c r="V295" i="33"/>
  <c r="V296" i="33"/>
  <c r="V301" i="33"/>
  <c r="V302" i="33"/>
  <c r="V303" i="33"/>
  <c r="V304" i="33"/>
  <c r="V305" i="33"/>
  <c r="V306" i="33"/>
  <c r="V307" i="33"/>
  <c r="V308" i="33"/>
  <c r="V309" i="33"/>
  <c r="V310" i="33"/>
  <c r="V311" i="33"/>
  <c r="V312" i="33"/>
  <c r="V313" i="33"/>
  <c r="V314" i="33"/>
  <c r="V315" i="33"/>
  <c r="V316" i="33"/>
  <c r="V317" i="33"/>
  <c r="V318" i="33"/>
  <c r="V319" i="33"/>
  <c r="V320" i="33"/>
  <c r="V321" i="33"/>
  <c r="V322" i="33"/>
  <c r="V323" i="33"/>
  <c r="V324" i="33"/>
  <c r="V325" i="33"/>
  <c r="V326" i="33"/>
  <c r="V327" i="33"/>
  <c r="V2041" i="33"/>
  <c r="T5" i="33"/>
  <c r="T6" i="33"/>
  <c r="T7" i="33"/>
  <c r="T8" i="33"/>
  <c r="T9" i="33"/>
  <c r="T10" i="33"/>
  <c r="T11" i="33"/>
  <c r="T12" i="33"/>
  <c r="T13" i="33"/>
  <c r="T14" i="33"/>
  <c r="T16" i="33"/>
  <c r="T18" i="33"/>
  <c r="T20" i="33"/>
  <c r="T22" i="33"/>
  <c r="T24" i="33"/>
  <c r="T26" i="33"/>
  <c r="T28" i="33"/>
  <c r="T30" i="33"/>
  <c r="T32" i="33"/>
  <c r="T33" i="33"/>
  <c r="T34" i="33"/>
  <c r="T35" i="33"/>
  <c r="T36" i="33"/>
  <c r="T38" i="33"/>
  <c r="T40" i="33"/>
  <c r="T42" i="33"/>
  <c r="T44" i="33"/>
  <c r="T46" i="33"/>
  <c r="T48" i="33"/>
  <c r="T50" i="33"/>
  <c r="T52" i="33"/>
  <c r="T54" i="33"/>
  <c r="T56" i="33"/>
  <c r="T58" i="33"/>
  <c r="T60" i="33"/>
  <c r="T62" i="33"/>
  <c r="T64" i="33"/>
  <c r="T66" i="33"/>
  <c r="T68" i="33"/>
  <c r="T70" i="33"/>
  <c r="T72" i="33"/>
  <c r="T74" i="33"/>
  <c r="T76" i="33"/>
  <c r="T78" i="33"/>
  <c r="T79" i="33"/>
  <c r="T80" i="33"/>
  <c r="T82" i="33"/>
  <c r="T84" i="33"/>
  <c r="T85" i="33"/>
  <c r="T86" i="33"/>
  <c r="T87" i="33"/>
  <c r="Y87" i="33" s="1"/>
  <c r="T88" i="33"/>
  <c r="T89" i="33"/>
  <c r="T90" i="33"/>
  <c r="T91" i="33"/>
  <c r="Y91" i="33" s="1"/>
  <c r="T92" i="33"/>
  <c r="T93" i="33"/>
  <c r="Z93" i="33" s="1"/>
  <c r="T94" i="33"/>
  <c r="T95" i="33"/>
  <c r="T96" i="33"/>
  <c r="T97" i="33"/>
  <c r="T98" i="33"/>
  <c r="T102" i="33"/>
  <c r="T110" i="33"/>
  <c r="T111" i="33"/>
  <c r="T112" i="33"/>
  <c r="T113" i="33"/>
  <c r="Y113" i="33" s="1"/>
  <c r="T114" i="33"/>
  <c r="T115" i="33"/>
  <c r="T116" i="33"/>
  <c r="T117" i="33"/>
  <c r="T118" i="33"/>
  <c r="T119" i="33"/>
  <c r="T120" i="33"/>
  <c r="T121" i="33"/>
  <c r="Z121" i="33" s="1"/>
  <c r="T123" i="33"/>
  <c r="T124" i="33"/>
  <c r="T125" i="33"/>
  <c r="T126" i="33"/>
  <c r="T127" i="33"/>
  <c r="T128" i="33"/>
  <c r="T129" i="33"/>
  <c r="T130" i="33"/>
  <c r="T131" i="33"/>
  <c r="T132" i="33"/>
  <c r="T133" i="33"/>
  <c r="T134" i="33"/>
  <c r="T135" i="33"/>
  <c r="T136" i="33"/>
  <c r="T137" i="33"/>
  <c r="T140" i="33"/>
  <c r="Z140" i="33" s="1"/>
  <c r="T141" i="33"/>
  <c r="T143" i="33"/>
  <c r="T146" i="33"/>
  <c r="T147" i="33"/>
  <c r="T148" i="33"/>
  <c r="T149" i="33"/>
  <c r="T150" i="33"/>
  <c r="T151" i="33"/>
  <c r="T152" i="33"/>
  <c r="W152" i="33" s="1"/>
  <c r="T153" i="33"/>
  <c r="T154" i="33"/>
  <c r="Y154" i="33" s="1"/>
  <c r="T155" i="33"/>
  <c r="T156" i="33"/>
  <c r="W156" i="33" s="1"/>
  <c r="T157" i="33"/>
  <c r="T158" i="33"/>
  <c r="Y158" i="33" s="1"/>
  <c r="T159" i="33"/>
  <c r="T160" i="33"/>
  <c r="T161" i="33"/>
  <c r="T162" i="33"/>
  <c r="Z162" i="33" s="1"/>
  <c r="T163" i="33"/>
  <c r="T164" i="33"/>
  <c r="X164" i="33" s="1"/>
  <c r="T165" i="33"/>
  <c r="T166" i="33"/>
  <c r="Y166" i="33" s="1"/>
  <c r="T167" i="33"/>
  <c r="T168" i="33"/>
  <c r="X168" i="33" s="1"/>
  <c r="T169" i="33"/>
  <c r="T170" i="33"/>
  <c r="X170" i="33" s="1"/>
  <c r="T171" i="33"/>
  <c r="T172" i="33"/>
  <c r="Z172" i="33" s="1"/>
  <c r="T173" i="33"/>
  <c r="T174" i="33"/>
  <c r="W174" i="33" s="1"/>
  <c r="T175" i="33"/>
  <c r="T176" i="33"/>
  <c r="Z176" i="33" s="1"/>
  <c r="T177" i="33"/>
  <c r="T178" i="33"/>
  <c r="Z178" i="33" s="1"/>
  <c r="T179" i="33"/>
  <c r="T180" i="33"/>
  <c r="T181" i="33"/>
  <c r="W181" i="33" s="1"/>
  <c r="T182" i="33"/>
  <c r="T183" i="33"/>
  <c r="T184" i="33"/>
  <c r="T185" i="33"/>
  <c r="T186" i="33"/>
  <c r="W186" i="33" s="1"/>
  <c r="T187" i="33"/>
  <c r="T188" i="33"/>
  <c r="T189" i="33"/>
  <c r="T190" i="33"/>
  <c r="T191" i="33"/>
  <c r="T192" i="33"/>
  <c r="Y192" i="33" s="1"/>
  <c r="T193" i="33"/>
  <c r="T196" i="33"/>
  <c r="Y196" i="33" s="1"/>
  <c r="T197" i="33"/>
  <c r="T201" i="33"/>
  <c r="T202" i="33"/>
  <c r="T203" i="33"/>
  <c r="W203" i="33" s="1"/>
  <c r="T204" i="33"/>
  <c r="T205" i="33"/>
  <c r="Z205" i="33" s="1"/>
  <c r="T206" i="33"/>
  <c r="T207" i="33"/>
  <c r="T208" i="33"/>
  <c r="T209" i="33"/>
  <c r="T210" i="33"/>
  <c r="T211" i="33"/>
  <c r="Y211" i="33" s="1"/>
  <c r="T212" i="33"/>
  <c r="T213" i="33"/>
  <c r="Z213" i="33" s="1"/>
  <c r="T214" i="33"/>
  <c r="T215" i="33"/>
  <c r="W215" i="33" s="1"/>
  <c r="T216" i="33"/>
  <c r="T217" i="33"/>
  <c r="T218" i="33"/>
  <c r="T221" i="33"/>
  <c r="T222" i="33"/>
  <c r="T223" i="33"/>
  <c r="T224" i="33"/>
  <c r="T225" i="33"/>
  <c r="X225" i="33" s="1"/>
  <c r="T226" i="33"/>
  <c r="T227" i="33"/>
  <c r="X227" i="33" s="1"/>
  <c r="T228" i="33"/>
  <c r="T231" i="33"/>
  <c r="T232" i="33"/>
  <c r="T233" i="33"/>
  <c r="T234" i="33"/>
  <c r="T235" i="33"/>
  <c r="Y235" i="33" s="1"/>
  <c r="T236" i="33"/>
  <c r="T237" i="33"/>
  <c r="T238" i="33"/>
  <c r="T239" i="33"/>
  <c r="T240" i="33"/>
  <c r="Y240" i="33" s="1"/>
  <c r="T241" i="33"/>
  <c r="T242" i="33"/>
  <c r="T243" i="33"/>
  <c r="T244" i="33"/>
  <c r="T245" i="33"/>
  <c r="T246" i="33"/>
  <c r="Z246" i="33" s="1"/>
  <c r="T247" i="33"/>
  <c r="T257" i="33"/>
  <c r="T258" i="33"/>
  <c r="T259" i="33"/>
  <c r="T260" i="33"/>
  <c r="T262" i="33"/>
  <c r="T266" i="33"/>
  <c r="T269" i="33"/>
  <c r="T270" i="33"/>
  <c r="T271" i="33"/>
  <c r="T272" i="33"/>
  <c r="T275" i="33"/>
  <c r="T276" i="33"/>
  <c r="T277" i="33"/>
  <c r="T278" i="33"/>
  <c r="T279" i="33"/>
  <c r="T280" i="33"/>
  <c r="T281" i="33"/>
  <c r="T282" i="33"/>
  <c r="T283" i="33"/>
  <c r="Z283" i="33" s="1"/>
  <c r="T284" i="33"/>
  <c r="T285" i="33"/>
  <c r="T286" i="33"/>
  <c r="T287" i="33"/>
  <c r="T288" i="33"/>
  <c r="T289" i="33"/>
  <c r="T290" i="33"/>
  <c r="T291" i="33"/>
  <c r="Y291" i="33" s="1"/>
  <c r="T292" i="33"/>
  <c r="T293" i="33"/>
  <c r="T294" i="33"/>
  <c r="T295" i="33"/>
  <c r="T296" i="33"/>
  <c r="T301" i="33"/>
  <c r="X301" i="33" s="1"/>
  <c r="T302" i="33"/>
  <c r="T303" i="33"/>
  <c r="T304" i="33"/>
  <c r="T305" i="33"/>
  <c r="W305" i="33" s="1"/>
  <c r="T306" i="33"/>
  <c r="T307" i="33"/>
  <c r="T308" i="33"/>
  <c r="T309" i="33"/>
  <c r="Z309" i="33" s="1"/>
  <c r="T310" i="33"/>
  <c r="T311" i="33"/>
  <c r="T312" i="33"/>
  <c r="T313" i="33"/>
  <c r="T314" i="33"/>
  <c r="T315" i="33"/>
  <c r="T316" i="33"/>
  <c r="T317" i="33"/>
  <c r="Y317" i="33" s="1"/>
  <c r="T318" i="33"/>
  <c r="T319" i="33"/>
  <c r="W319" i="33" s="1"/>
  <c r="T320" i="33"/>
  <c r="T321" i="33"/>
  <c r="Z321" i="33" s="1"/>
  <c r="T322" i="33"/>
  <c r="T323" i="33"/>
  <c r="Z323" i="33" s="1"/>
  <c r="T324" i="33"/>
  <c r="T325" i="33"/>
  <c r="W325" i="33" s="1"/>
  <c r="T326" i="33"/>
  <c r="T327" i="33"/>
  <c r="X327" i="33" s="1"/>
  <c r="T2041" i="33"/>
  <c r="S5" i="33"/>
  <c r="S6" i="33"/>
  <c r="S7" i="33"/>
  <c r="S8" i="33"/>
  <c r="S9" i="33"/>
  <c r="S10" i="33"/>
  <c r="S11" i="33"/>
  <c r="S12" i="33"/>
  <c r="S13" i="33"/>
  <c r="S14" i="33"/>
  <c r="S15" i="33"/>
  <c r="S16" i="33"/>
  <c r="S17" i="33"/>
  <c r="S18" i="33"/>
  <c r="S19" i="33"/>
  <c r="S20" i="33"/>
  <c r="S21" i="33"/>
  <c r="S22" i="33"/>
  <c r="S23" i="33"/>
  <c r="S24" i="33"/>
  <c r="S25" i="33"/>
  <c r="S26" i="33"/>
  <c r="S27" i="33"/>
  <c r="S28" i="33"/>
  <c r="S29" i="33"/>
  <c r="S30" i="33"/>
  <c r="S31" i="33"/>
  <c r="S32" i="33"/>
  <c r="S33" i="33"/>
  <c r="S34" i="33"/>
  <c r="S35" i="33"/>
  <c r="S36" i="33"/>
  <c r="S37" i="33"/>
  <c r="S38" i="33"/>
  <c r="S39" i="33"/>
  <c r="S40" i="33"/>
  <c r="S41" i="33"/>
  <c r="S42" i="33"/>
  <c r="S43" i="33"/>
  <c r="S44" i="33"/>
  <c r="S45" i="33"/>
  <c r="S46" i="33"/>
  <c r="S47" i="33"/>
  <c r="S48" i="33"/>
  <c r="S49" i="33"/>
  <c r="S50" i="33"/>
  <c r="S51" i="33"/>
  <c r="S52" i="33"/>
  <c r="S53" i="33"/>
  <c r="S54" i="33"/>
  <c r="S55" i="33"/>
  <c r="S56" i="33"/>
  <c r="S57" i="33"/>
  <c r="S58" i="33"/>
  <c r="S59" i="33"/>
  <c r="S60" i="33"/>
  <c r="S61" i="33"/>
  <c r="S62" i="33"/>
  <c r="S63" i="33"/>
  <c r="S64" i="33"/>
  <c r="S65" i="33"/>
  <c r="S66" i="33"/>
  <c r="S67" i="33"/>
  <c r="S68" i="33"/>
  <c r="S69" i="33"/>
  <c r="S70" i="33"/>
  <c r="S71" i="33"/>
  <c r="S72" i="33"/>
  <c r="S73" i="33"/>
  <c r="S74" i="33"/>
  <c r="S75" i="33"/>
  <c r="S76" i="33"/>
  <c r="S77" i="33"/>
  <c r="S78" i="33"/>
  <c r="S79" i="33"/>
  <c r="S80" i="33"/>
  <c r="S81" i="33"/>
  <c r="S82" i="33"/>
  <c r="S83" i="33"/>
  <c r="S84" i="33"/>
  <c r="S85" i="33"/>
  <c r="S86" i="33"/>
  <c r="S87" i="33"/>
  <c r="S88" i="33"/>
  <c r="S89" i="33"/>
  <c r="S90" i="33"/>
  <c r="S91" i="33"/>
  <c r="S92" i="33"/>
  <c r="S93" i="33"/>
  <c r="S94" i="33"/>
  <c r="S95" i="33"/>
  <c r="S96" i="33"/>
  <c r="S97" i="33"/>
  <c r="S98" i="33"/>
  <c r="S102" i="33"/>
  <c r="S110" i="33"/>
  <c r="S111" i="33"/>
  <c r="S112" i="33"/>
  <c r="S113" i="33"/>
  <c r="S114" i="33"/>
  <c r="S115" i="33"/>
  <c r="S116" i="33"/>
  <c r="S117" i="33"/>
  <c r="S118" i="33"/>
  <c r="S119" i="33"/>
  <c r="S120" i="33"/>
  <c r="S121" i="33"/>
  <c r="S123" i="33"/>
  <c r="S124" i="33"/>
  <c r="S125" i="33"/>
  <c r="S126" i="33"/>
  <c r="S127" i="33"/>
  <c r="S128" i="33"/>
  <c r="S129" i="33"/>
  <c r="S130" i="33"/>
  <c r="S131" i="33"/>
  <c r="S132" i="33"/>
  <c r="S133" i="33"/>
  <c r="S134" i="33"/>
  <c r="S135" i="33"/>
  <c r="S136" i="33"/>
  <c r="S137" i="33"/>
  <c r="S140" i="33"/>
  <c r="S141" i="33"/>
  <c r="S143" i="33"/>
  <c r="S146" i="33"/>
  <c r="S147" i="33"/>
  <c r="S148" i="33"/>
  <c r="S149" i="33"/>
  <c r="S150" i="33"/>
  <c r="S151" i="33"/>
  <c r="S152" i="33"/>
  <c r="S153" i="33"/>
  <c r="S154" i="33"/>
  <c r="S155" i="33"/>
  <c r="S156" i="33"/>
  <c r="S157" i="33"/>
  <c r="S158" i="33"/>
  <c r="S159" i="33"/>
  <c r="S160" i="33"/>
  <c r="S161" i="33"/>
  <c r="S162" i="33"/>
  <c r="S163" i="33"/>
  <c r="S164" i="33"/>
  <c r="S165" i="33"/>
  <c r="S166" i="33"/>
  <c r="S167" i="33"/>
  <c r="S168" i="33"/>
  <c r="S169" i="33"/>
  <c r="S170" i="33"/>
  <c r="S171" i="33"/>
  <c r="S172" i="33"/>
  <c r="S173" i="33"/>
  <c r="S174" i="33"/>
  <c r="S175" i="33"/>
  <c r="S176" i="33"/>
  <c r="S177" i="33"/>
  <c r="S178" i="33"/>
  <c r="S179" i="33"/>
  <c r="S180" i="33"/>
  <c r="S181" i="33"/>
  <c r="S182" i="33"/>
  <c r="S183" i="33"/>
  <c r="S184" i="33"/>
  <c r="S185" i="33"/>
  <c r="S186" i="33"/>
  <c r="S187" i="33"/>
  <c r="S188" i="33"/>
  <c r="S189" i="33"/>
  <c r="S190" i="33"/>
  <c r="S191" i="33"/>
  <c r="S192" i="33"/>
  <c r="S193" i="33"/>
  <c r="S196" i="33"/>
  <c r="S197" i="33"/>
  <c r="S201" i="33"/>
  <c r="S202" i="33"/>
  <c r="S203" i="33"/>
  <c r="S204" i="33"/>
  <c r="S205" i="33"/>
  <c r="S206" i="33"/>
  <c r="S207" i="33"/>
  <c r="S208" i="33"/>
  <c r="S209" i="33"/>
  <c r="S210" i="33"/>
  <c r="S211" i="33"/>
  <c r="S212" i="33"/>
  <c r="S213" i="33"/>
  <c r="S214" i="33"/>
  <c r="S215" i="33"/>
  <c r="S216" i="33"/>
  <c r="S217" i="33"/>
  <c r="S218" i="33"/>
  <c r="S221" i="33"/>
  <c r="S222" i="33"/>
  <c r="S223" i="33"/>
  <c r="S224" i="33"/>
  <c r="S225" i="33"/>
  <c r="S226" i="33"/>
  <c r="S227" i="33"/>
  <c r="S228" i="33"/>
  <c r="S231" i="33"/>
  <c r="S232" i="33"/>
  <c r="S233" i="33"/>
  <c r="S234" i="33"/>
  <c r="S235" i="33"/>
  <c r="S236" i="33"/>
  <c r="S237" i="33"/>
  <c r="S239" i="33"/>
  <c r="S240" i="33"/>
  <c r="S241" i="33"/>
  <c r="S242" i="33"/>
  <c r="S243" i="33"/>
  <c r="S244" i="33"/>
  <c r="S245" i="33"/>
  <c r="S246" i="33"/>
  <c r="S247" i="33"/>
  <c r="S257" i="33"/>
  <c r="S258" i="33"/>
  <c r="S259" i="33"/>
  <c r="S260" i="33"/>
  <c r="S262" i="33"/>
  <c r="S266" i="33"/>
  <c r="S269" i="33"/>
  <c r="S270" i="33"/>
  <c r="S271" i="33"/>
  <c r="S272" i="33"/>
  <c r="S275" i="33"/>
  <c r="S276" i="33"/>
  <c r="S277" i="33"/>
  <c r="S278" i="33"/>
  <c r="S279" i="33"/>
  <c r="S280" i="33"/>
  <c r="S281" i="33"/>
  <c r="S282" i="33"/>
  <c r="S283" i="33"/>
  <c r="S284" i="33"/>
  <c r="S285" i="33"/>
  <c r="S286" i="33"/>
  <c r="S287" i="33"/>
  <c r="S288" i="33"/>
  <c r="S289" i="33"/>
  <c r="S290" i="33"/>
  <c r="S291" i="33"/>
  <c r="S292" i="33"/>
  <c r="S293" i="33"/>
  <c r="S294" i="33"/>
  <c r="S295" i="33"/>
  <c r="S296" i="33"/>
  <c r="S301" i="33"/>
  <c r="S302" i="33"/>
  <c r="S303" i="33"/>
  <c r="S304" i="33"/>
  <c r="S305" i="33"/>
  <c r="S306" i="33"/>
  <c r="S307" i="33"/>
  <c r="S308" i="33"/>
  <c r="S309" i="33"/>
  <c r="S310" i="33"/>
  <c r="S311" i="33"/>
  <c r="S312" i="33"/>
  <c r="S313" i="33"/>
  <c r="S314" i="33"/>
  <c r="S315" i="33"/>
  <c r="S316" i="33"/>
  <c r="S317" i="33"/>
  <c r="S318" i="33"/>
  <c r="S319" i="33"/>
  <c r="S320" i="33"/>
  <c r="S321" i="33"/>
  <c r="S322" i="33"/>
  <c r="S323" i="33"/>
  <c r="S324" i="33"/>
  <c r="S325" i="33"/>
  <c r="S326" i="33"/>
  <c r="S327" i="33"/>
  <c r="S2041" i="33"/>
  <c r="R5" i="33"/>
  <c r="R6" i="33"/>
  <c r="R7" i="33"/>
  <c r="R8" i="33"/>
  <c r="R9" i="33"/>
  <c r="R10" i="33"/>
  <c r="R11" i="33"/>
  <c r="R12" i="33"/>
  <c r="R13" i="33"/>
  <c r="R14" i="33"/>
  <c r="R15" i="33"/>
  <c r="R16" i="33"/>
  <c r="R17" i="33"/>
  <c r="R18" i="33"/>
  <c r="R19" i="33"/>
  <c r="R20" i="33"/>
  <c r="R21" i="33"/>
  <c r="R22" i="33"/>
  <c r="R23" i="33"/>
  <c r="R24" i="33"/>
  <c r="R25" i="33"/>
  <c r="R26" i="33"/>
  <c r="R27" i="33"/>
  <c r="R28" i="33"/>
  <c r="R29" i="33"/>
  <c r="R30" i="33"/>
  <c r="R31" i="33"/>
  <c r="R32" i="33"/>
  <c r="R33" i="33"/>
  <c r="R34" i="33"/>
  <c r="R35" i="33"/>
  <c r="R36" i="33"/>
  <c r="R37" i="33"/>
  <c r="R38" i="33"/>
  <c r="R39" i="33"/>
  <c r="R40" i="33"/>
  <c r="R41" i="33"/>
  <c r="R42" i="33"/>
  <c r="R43" i="33"/>
  <c r="R44" i="33"/>
  <c r="R45" i="33"/>
  <c r="R46" i="33"/>
  <c r="R47" i="33"/>
  <c r="R48" i="33"/>
  <c r="R49" i="33"/>
  <c r="R50" i="33"/>
  <c r="R51" i="33"/>
  <c r="R52" i="33"/>
  <c r="R53" i="33"/>
  <c r="R54" i="33"/>
  <c r="R55" i="33"/>
  <c r="R56" i="33"/>
  <c r="R57" i="33"/>
  <c r="R58" i="33"/>
  <c r="R59" i="33"/>
  <c r="R60" i="33"/>
  <c r="R61" i="33"/>
  <c r="R62" i="33"/>
  <c r="R63" i="33"/>
  <c r="R64" i="33"/>
  <c r="R65" i="33"/>
  <c r="R66" i="33"/>
  <c r="R67" i="33"/>
  <c r="R68" i="33"/>
  <c r="R69" i="33"/>
  <c r="R70" i="33"/>
  <c r="R71" i="33"/>
  <c r="R72" i="33"/>
  <c r="R73" i="33"/>
  <c r="R74" i="33"/>
  <c r="R75" i="33"/>
  <c r="R76" i="33"/>
  <c r="R77" i="33"/>
  <c r="R78" i="33"/>
  <c r="R79" i="33"/>
  <c r="R80" i="33"/>
  <c r="R81" i="33"/>
  <c r="R82" i="33"/>
  <c r="R83" i="33"/>
  <c r="R84" i="33"/>
  <c r="R85" i="33"/>
  <c r="R86" i="33"/>
  <c r="R87" i="33"/>
  <c r="R88" i="33"/>
  <c r="R89" i="33"/>
  <c r="R90" i="33"/>
  <c r="R91" i="33"/>
  <c r="R92" i="33"/>
  <c r="R93" i="33"/>
  <c r="R94" i="33"/>
  <c r="R95" i="33"/>
  <c r="R96" i="33"/>
  <c r="R97" i="33"/>
  <c r="R98" i="33"/>
  <c r="R102" i="33"/>
  <c r="R110" i="33"/>
  <c r="R111" i="33"/>
  <c r="R112" i="33"/>
  <c r="R113" i="33"/>
  <c r="R114" i="33"/>
  <c r="R115" i="33"/>
  <c r="R116" i="33"/>
  <c r="R117" i="33"/>
  <c r="R118" i="33"/>
  <c r="R119" i="33"/>
  <c r="R120" i="33"/>
  <c r="R121" i="33"/>
  <c r="R123" i="33"/>
  <c r="R124" i="33"/>
  <c r="R125" i="33"/>
  <c r="R126" i="33"/>
  <c r="R127" i="33"/>
  <c r="R128" i="33"/>
  <c r="R129" i="33"/>
  <c r="R130" i="33"/>
  <c r="R131" i="33"/>
  <c r="R132" i="33"/>
  <c r="R133" i="33"/>
  <c r="R134" i="33"/>
  <c r="R135" i="33"/>
  <c r="R136" i="33"/>
  <c r="R137" i="33"/>
  <c r="R140" i="33"/>
  <c r="R141" i="33"/>
  <c r="R143" i="33"/>
  <c r="R146" i="33"/>
  <c r="R147" i="33"/>
  <c r="R148" i="33"/>
  <c r="R149" i="33"/>
  <c r="R150" i="33"/>
  <c r="R151" i="33"/>
  <c r="R152" i="33"/>
  <c r="R153" i="33"/>
  <c r="R154" i="33"/>
  <c r="R155" i="33"/>
  <c r="R156" i="33"/>
  <c r="R157" i="33"/>
  <c r="R158" i="33"/>
  <c r="R159" i="33"/>
  <c r="R160" i="33"/>
  <c r="R161" i="33"/>
  <c r="R162" i="33"/>
  <c r="R163" i="33"/>
  <c r="R164" i="33"/>
  <c r="R165" i="33"/>
  <c r="R166" i="33"/>
  <c r="R167" i="33"/>
  <c r="R168" i="33"/>
  <c r="R169" i="33"/>
  <c r="R170" i="33"/>
  <c r="R171" i="33"/>
  <c r="R172" i="33"/>
  <c r="R173" i="33"/>
  <c r="R174" i="33"/>
  <c r="R175" i="33"/>
  <c r="R176" i="33"/>
  <c r="R177" i="33"/>
  <c r="R178" i="33"/>
  <c r="R179" i="33"/>
  <c r="R180" i="33"/>
  <c r="R181" i="33"/>
  <c r="R182" i="33"/>
  <c r="R183" i="33"/>
  <c r="R184" i="33"/>
  <c r="R185" i="33"/>
  <c r="R186" i="33"/>
  <c r="R187" i="33"/>
  <c r="R188" i="33"/>
  <c r="R189" i="33"/>
  <c r="R190" i="33"/>
  <c r="R191" i="33"/>
  <c r="R192" i="33"/>
  <c r="R193" i="33"/>
  <c r="R196" i="33"/>
  <c r="R197" i="33"/>
  <c r="R201" i="33"/>
  <c r="R202" i="33"/>
  <c r="R203" i="33"/>
  <c r="R204" i="33"/>
  <c r="R205" i="33"/>
  <c r="R206" i="33"/>
  <c r="R207" i="33"/>
  <c r="R208" i="33"/>
  <c r="R209" i="33"/>
  <c r="R210" i="33"/>
  <c r="R211" i="33"/>
  <c r="R212" i="33"/>
  <c r="R213" i="33"/>
  <c r="R214" i="33"/>
  <c r="R215" i="33"/>
  <c r="R216" i="33"/>
  <c r="R217" i="33"/>
  <c r="R218" i="33"/>
  <c r="R221" i="33"/>
  <c r="R222" i="33"/>
  <c r="R223" i="33"/>
  <c r="R224" i="33"/>
  <c r="R225" i="33"/>
  <c r="R226" i="33"/>
  <c r="R227" i="33"/>
  <c r="R228" i="33"/>
  <c r="R231" i="33"/>
  <c r="R232" i="33"/>
  <c r="R233" i="33"/>
  <c r="R234" i="33"/>
  <c r="R235" i="33"/>
  <c r="R236" i="33"/>
  <c r="R237" i="33"/>
  <c r="R239" i="33"/>
  <c r="R240" i="33"/>
  <c r="R241" i="33"/>
  <c r="R242" i="33"/>
  <c r="R243" i="33"/>
  <c r="R244" i="33"/>
  <c r="R245" i="33"/>
  <c r="R246" i="33"/>
  <c r="R247" i="33"/>
  <c r="R257" i="33"/>
  <c r="R258" i="33"/>
  <c r="R259" i="33"/>
  <c r="R260" i="33"/>
  <c r="R262" i="33"/>
  <c r="R266" i="33"/>
  <c r="R269" i="33"/>
  <c r="R270" i="33"/>
  <c r="R271" i="33"/>
  <c r="R272" i="33"/>
  <c r="R275" i="33"/>
  <c r="R276" i="33"/>
  <c r="R277" i="33"/>
  <c r="R278" i="33"/>
  <c r="R279" i="33"/>
  <c r="R280" i="33"/>
  <c r="R281" i="33"/>
  <c r="R282" i="33"/>
  <c r="R283" i="33"/>
  <c r="R284" i="33"/>
  <c r="R285" i="33"/>
  <c r="R286" i="33"/>
  <c r="R287" i="33"/>
  <c r="R288" i="33"/>
  <c r="R289" i="33"/>
  <c r="R290" i="33"/>
  <c r="R291" i="33"/>
  <c r="R292" i="33"/>
  <c r="R293" i="33"/>
  <c r="R294" i="33"/>
  <c r="R295" i="33"/>
  <c r="R296" i="33"/>
  <c r="R301" i="33"/>
  <c r="R302" i="33"/>
  <c r="R303" i="33"/>
  <c r="R304" i="33"/>
  <c r="R305" i="33"/>
  <c r="R306" i="33"/>
  <c r="R307" i="33"/>
  <c r="R308" i="33"/>
  <c r="R309" i="33"/>
  <c r="R310" i="33"/>
  <c r="R311" i="33"/>
  <c r="R312" i="33"/>
  <c r="R313" i="33"/>
  <c r="R314" i="33"/>
  <c r="R315" i="33"/>
  <c r="R316" i="33"/>
  <c r="R317" i="33"/>
  <c r="R318" i="33"/>
  <c r="R319" i="33"/>
  <c r="R320" i="33"/>
  <c r="R321" i="33"/>
  <c r="R322" i="33"/>
  <c r="R323" i="33"/>
  <c r="R324" i="33"/>
  <c r="R325" i="33"/>
  <c r="R326" i="33"/>
  <c r="R327" i="33"/>
  <c r="R2041" i="33"/>
  <c r="L5" i="33"/>
  <c r="L6" i="33"/>
  <c r="L7" i="33"/>
  <c r="L8" i="33"/>
  <c r="L9" i="33"/>
  <c r="L10" i="33"/>
  <c r="L11" i="33"/>
  <c r="L12" i="33"/>
  <c r="L13" i="33"/>
  <c r="L14" i="33"/>
  <c r="L16" i="33"/>
  <c r="L18" i="33"/>
  <c r="L20" i="33"/>
  <c r="L22" i="33"/>
  <c r="L24" i="33"/>
  <c r="L26" i="33"/>
  <c r="L28" i="33"/>
  <c r="L30" i="33"/>
  <c r="L32" i="33"/>
  <c r="L33" i="33"/>
  <c r="L34" i="33"/>
  <c r="L35" i="33"/>
  <c r="L36" i="33"/>
  <c r="L38" i="33"/>
  <c r="L40" i="33"/>
  <c r="L42" i="33"/>
  <c r="L44" i="33"/>
  <c r="L46" i="33"/>
  <c r="L48" i="33"/>
  <c r="L50" i="33"/>
  <c r="L52" i="33"/>
  <c r="L54" i="33"/>
  <c r="L56" i="33"/>
  <c r="L58" i="33"/>
  <c r="L60" i="33"/>
  <c r="L62" i="33"/>
  <c r="L64" i="33"/>
  <c r="L66" i="33"/>
  <c r="L68" i="33"/>
  <c r="L70" i="33"/>
  <c r="L72" i="33"/>
  <c r="L74" i="33"/>
  <c r="L76" i="33"/>
  <c r="L78" i="33"/>
  <c r="L79" i="33"/>
  <c r="L80" i="33"/>
  <c r="L82" i="33"/>
  <c r="L84" i="33"/>
  <c r="L86" i="33"/>
  <c r="L88" i="33"/>
  <c r="L90" i="33"/>
  <c r="L92" i="33"/>
  <c r="L94" i="33"/>
  <c r="L96" i="33"/>
  <c r="L98" i="33"/>
  <c r="L102" i="33"/>
  <c r="L110" i="33"/>
  <c r="L111" i="33"/>
  <c r="L112" i="33"/>
  <c r="L114" i="33"/>
  <c r="L116" i="33"/>
  <c r="L118" i="33"/>
  <c r="L120" i="33"/>
  <c r="L122" i="33"/>
  <c r="L123" i="33"/>
  <c r="L125" i="33"/>
  <c r="L126" i="33"/>
  <c r="L127" i="33"/>
  <c r="L128" i="33"/>
  <c r="L129" i="33"/>
  <c r="L131" i="33"/>
  <c r="L133" i="33"/>
  <c r="L135" i="33"/>
  <c r="L137" i="33"/>
  <c r="L141" i="33"/>
  <c r="L143" i="33"/>
  <c r="L146" i="33"/>
  <c r="L147" i="33"/>
  <c r="L148" i="33"/>
  <c r="L149" i="33"/>
  <c r="L150" i="33"/>
  <c r="L151" i="33"/>
  <c r="L153" i="33"/>
  <c r="L155" i="33"/>
  <c r="L157" i="33"/>
  <c r="L159" i="33"/>
  <c r="L160" i="33"/>
  <c r="L161" i="33"/>
  <c r="L163" i="33"/>
  <c r="L165" i="33"/>
  <c r="L167" i="33"/>
  <c r="L169" i="33"/>
  <c r="L171" i="33"/>
  <c r="L173" i="33"/>
  <c r="L175" i="33"/>
  <c r="L177" i="33"/>
  <c r="L179" i="33"/>
  <c r="L182" i="33"/>
  <c r="L184" i="33"/>
  <c r="L187" i="33"/>
  <c r="L188" i="33"/>
  <c r="L189" i="33"/>
  <c r="L190" i="33"/>
  <c r="L191" i="33"/>
  <c r="L193" i="33"/>
  <c r="L197" i="33"/>
  <c r="L202" i="33"/>
  <c r="L204" i="33"/>
  <c r="L206" i="33"/>
  <c r="L207" i="33"/>
  <c r="L208" i="33"/>
  <c r="L210" i="33"/>
  <c r="L212" i="33"/>
  <c r="L214" i="33"/>
  <c r="L216" i="33"/>
  <c r="L218" i="33"/>
  <c r="L221" i="33"/>
  <c r="L222" i="33"/>
  <c r="L223" i="33"/>
  <c r="L224" i="33"/>
  <c r="L226" i="33"/>
  <c r="L228" i="33"/>
  <c r="L232" i="33"/>
  <c r="L234" i="33"/>
  <c r="L236" i="33"/>
  <c r="L239" i="33"/>
  <c r="L241" i="33"/>
  <c r="L243" i="33"/>
  <c r="L245" i="33"/>
  <c r="L247" i="33"/>
  <c r="L258" i="33"/>
  <c r="L260" i="33"/>
  <c r="L262" i="33"/>
  <c r="L266" i="33"/>
  <c r="L269" i="33"/>
  <c r="L270" i="33"/>
  <c r="L271" i="33"/>
  <c r="L272" i="33"/>
  <c r="L275" i="33"/>
  <c r="L276" i="33"/>
  <c r="L277" i="33"/>
  <c r="L278" i="33"/>
  <c r="L279" i="33"/>
  <c r="L280" i="33"/>
  <c r="L281" i="33"/>
  <c r="L282" i="33"/>
  <c r="L284" i="33"/>
  <c r="L286" i="33"/>
  <c r="L288" i="33"/>
  <c r="L290" i="33"/>
  <c r="L292" i="33"/>
  <c r="L293" i="33"/>
  <c r="L294" i="33"/>
  <c r="L295" i="33"/>
  <c r="L296" i="33"/>
  <c r="L302" i="33"/>
  <c r="L304" i="33"/>
  <c r="L306" i="33"/>
  <c r="L308" i="33"/>
  <c r="L310" i="33"/>
  <c r="L312" i="33"/>
  <c r="L314" i="33"/>
  <c r="L316" i="33"/>
  <c r="L318" i="33"/>
  <c r="L320" i="33"/>
  <c r="L322" i="33"/>
  <c r="L324" i="33"/>
  <c r="L326" i="33"/>
  <c r="L2041" i="33"/>
  <c r="I5" i="33"/>
  <c r="I6" i="33"/>
  <c r="I7" i="33"/>
  <c r="I8" i="33"/>
  <c r="I9" i="33"/>
  <c r="I10" i="33"/>
  <c r="I11" i="33"/>
  <c r="I12" i="33"/>
  <c r="I13" i="33"/>
  <c r="I14" i="33"/>
  <c r="I16" i="33"/>
  <c r="I18" i="33"/>
  <c r="I20" i="33"/>
  <c r="I22" i="33"/>
  <c r="I24" i="33"/>
  <c r="I26" i="33"/>
  <c r="I28" i="33"/>
  <c r="I30" i="33"/>
  <c r="I32" i="33"/>
  <c r="I33" i="33"/>
  <c r="I34" i="33"/>
  <c r="I35" i="33"/>
  <c r="I36" i="33"/>
  <c r="I38" i="33"/>
  <c r="I40" i="33"/>
  <c r="I42" i="33"/>
  <c r="I44" i="33"/>
  <c r="I46" i="33"/>
  <c r="I48" i="33"/>
  <c r="I50" i="33"/>
  <c r="I52" i="33"/>
  <c r="I54" i="33"/>
  <c r="I56" i="33"/>
  <c r="I58" i="33"/>
  <c r="I60" i="33"/>
  <c r="I62" i="33"/>
  <c r="I64" i="33"/>
  <c r="I66" i="33"/>
  <c r="I68" i="33"/>
  <c r="I70" i="33"/>
  <c r="I72" i="33"/>
  <c r="I74" i="33"/>
  <c r="I76" i="33"/>
  <c r="I78" i="33"/>
  <c r="I79" i="33"/>
  <c r="I80" i="33"/>
  <c r="I82" i="33"/>
  <c r="I84" i="33"/>
  <c r="I86" i="33"/>
  <c r="I88" i="33"/>
  <c r="I90" i="33"/>
  <c r="I92" i="33"/>
  <c r="I94" i="33"/>
  <c r="I96" i="33"/>
  <c r="I98" i="33"/>
  <c r="I102" i="33"/>
  <c r="I110" i="33"/>
  <c r="I111" i="33"/>
  <c r="I112" i="33"/>
  <c r="I114" i="33"/>
  <c r="I116" i="33"/>
  <c r="I118" i="33"/>
  <c r="I120" i="33"/>
  <c r="I122" i="33"/>
  <c r="I123" i="33"/>
  <c r="I125" i="33"/>
  <c r="I126" i="33"/>
  <c r="I127" i="33"/>
  <c r="I128" i="33"/>
  <c r="I129" i="33"/>
  <c r="I131" i="33"/>
  <c r="I133" i="33"/>
  <c r="I135" i="33"/>
  <c r="I137" i="33"/>
  <c r="I141" i="33"/>
  <c r="I143" i="33"/>
  <c r="I146" i="33"/>
  <c r="I147" i="33"/>
  <c r="I148" i="33"/>
  <c r="I149" i="33"/>
  <c r="I150" i="33"/>
  <c r="I151" i="33"/>
  <c r="I153" i="33"/>
  <c r="I155" i="33"/>
  <c r="I157" i="33"/>
  <c r="I159" i="33"/>
  <c r="I160" i="33"/>
  <c r="I161" i="33"/>
  <c r="I163" i="33"/>
  <c r="I165" i="33"/>
  <c r="I167" i="33"/>
  <c r="I169" i="33"/>
  <c r="I171" i="33"/>
  <c r="I173" i="33"/>
  <c r="I175" i="33"/>
  <c r="I177" i="33"/>
  <c r="I179" i="33"/>
  <c r="I182" i="33"/>
  <c r="I184" i="33"/>
  <c r="I187" i="33"/>
  <c r="I188" i="33"/>
  <c r="I189" i="33"/>
  <c r="I190" i="33"/>
  <c r="I191" i="33"/>
  <c r="I193" i="33"/>
  <c r="I197" i="33"/>
  <c r="I202" i="33"/>
  <c r="I204" i="33"/>
  <c r="I206" i="33"/>
  <c r="I207" i="33"/>
  <c r="I208" i="33"/>
  <c r="I210" i="33"/>
  <c r="I212" i="33"/>
  <c r="I214" i="33"/>
  <c r="I216" i="33"/>
  <c r="I218" i="33"/>
  <c r="I221" i="33"/>
  <c r="I222" i="33"/>
  <c r="I223" i="33"/>
  <c r="I224" i="33"/>
  <c r="I226" i="33"/>
  <c r="I228" i="33"/>
  <c r="I232" i="33"/>
  <c r="I234" i="33"/>
  <c r="I236" i="33"/>
  <c r="I239" i="33"/>
  <c r="I241" i="33"/>
  <c r="I243" i="33"/>
  <c r="I245" i="33"/>
  <c r="I247" i="33"/>
  <c r="I258" i="33"/>
  <c r="I260" i="33"/>
  <c r="I266" i="33"/>
  <c r="I269" i="33"/>
  <c r="I270" i="33"/>
  <c r="I271" i="33"/>
  <c r="I272" i="33"/>
  <c r="I275" i="33"/>
  <c r="I276" i="33"/>
  <c r="I277" i="33"/>
  <c r="I278" i="33"/>
  <c r="I279" i="33"/>
  <c r="I280" i="33"/>
  <c r="I281" i="33"/>
  <c r="I282" i="33"/>
  <c r="I284" i="33"/>
  <c r="I286" i="33"/>
  <c r="I288" i="33"/>
  <c r="I290" i="33"/>
  <c r="I292" i="33"/>
  <c r="I293" i="33"/>
  <c r="I294" i="33"/>
  <c r="I295" i="33"/>
  <c r="I296" i="33"/>
  <c r="I302" i="33"/>
  <c r="I304" i="33"/>
  <c r="I306" i="33"/>
  <c r="I308" i="33"/>
  <c r="I310" i="33"/>
  <c r="I312" i="33"/>
  <c r="I314" i="33"/>
  <c r="I316" i="33"/>
  <c r="I318" i="33"/>
  <c r="I320" i="33"/>
  <c r="I322" i="33"/>
  <c r="I324" i="33"/>
  <c r="I326" i="33"/>
  <c r="I2041" i="33"/>
  <c r="H5" i="33"/>
  <c r="H6" i="33"/>
  <c r="H7" i="33"/>
  <c r="H8" i="33"/>
  <c r="H9" i="33"/>
  <c r="H10" i="33"/>
  <c r="H11" i="33"/>
  <c r="H12" i="33"/>
  <c r="H13" i="33"/>
  <c r="H14" i="33"/>
  <c r="H16" i="33"/>
  <c r="H18" i="33"/>
  <c r="H20" i="33"/>
  <c r="H22" i="33"/>
  <c r="H24" i="33"/>
  <c r="H26" i="33"/>
  <c r="H28" i="33"/>
  <c r="H30" i="33"/>
  <c r="H32" i="33"/>
  <c r="H33" i="33"/>
  <c r="H34" i="33"/>
  <c r="H35" i="33"/>
  <c r="H36" i="33"/>
  <c r="H38" i="33"/>
  <c r="H40" i="33"/>
  <c r="H42" i="33"/>
  <c r="H44" i="33"/>
  <c r="H46" i="33"/>
  <c r="H48" i="33"/>
  <c r="H50" i="33"/>
  <c r="H52" i="33"/>
  <c r="H54" i="33"/>
  <c r="H56" i="33"/>
  <c r="H58" i="33"/>
  <c r="H60" i="33"/>
  <c r="H62" i="33"/>
  <c r="H64" i="33"/>
  <c r="H66" i="33"/>
  <c r="H68" i="33"/>
  <c r="H70" i="33"/>
  <c r="H72" i="33"/>
  <c r="H74" i="33"/>
  <c r="H76" i="33"/>
  <c r="H78" i="33"/>
  <c r="H79" i="33"/>
  <c r="H80" i="33"/>
  <c r="H82" i="33"/>
  <c r="H84" i="33"/>
  <c r="H86" i="33"/>
  <c r="H88" i="33"/>
  <c r="H90" i="33"/>
  <c r="H92" i="33"/>
  <c r="H94" i="33"/>
  <c r="H96" i="33"/>
  <c r="H98" i="33"/>
  <c r="H102" i="33"/>
  <c r="H110" i="33"/>
  <c r="H111" i="33"/>
  <c r="H112" i="33"/>
  <c r="H114" i="33"/>
  <c r="H116" i="33"/>
  <c r="H118" i="33"/>
  <c r="H120" i="33"/>
  <c r="H122" i="33"/>
  <c r="H123" i="33"/>
  <c r="H125" i="33"/>
  <c r="H126" i="33"/>
  <c r="H127" i="33"/>
  <c r="H128" i="33"/>
  <c r="H129" i="33"/>
  <c r="H131" i="33"/>
  <c r="H133" i="33"/>
  <c r="H135" i="33"/>
  <c r="H137" i="33"/>
  <c r="H141" i="33"/>
  <c r="H143" i="33"/>
  <c r="H146" i="33"/>
  <c r="H147" i="33"/>
  <c r="H148" i="33"/>
  <c r="H149" i="33"/>
  <c r="H150" i="33"/>
  <c r="H151" i="33"/>
  <c r="H153" i="33"/>
  <c r="H155" i="33"/>
  <c r="H157" i="33"/>
  <c r="H159" i="33"/>
  <c r="H160" i="33"/>
  <c r="H161" i="33"/>
  <c r="H163" i="33"/>
  <c r="H165" i="33"/>
  <c r="H167" i="33"/>
  <c r="H169" i="33"/>
  <c r="H171" i="33"/>
  <c r="H173" i="33"/>
  <c r="H175" i="33"/>
  <c r="H177" i="33"/>
  <c r="H179" i="33"/>
  <c r="H182" i="33"/>
  <c r="H184" i="33"/>
  <c r="H187" i="33"/>
  <c r="H188" i="33"/>
  <c r="H189" i="33"/>
  <c r="H190" i="33"/>
  <c r="H191" i="33"/>
  <c r="H193" i="33"/>
  <c r="H197" i="33"/>
  <c r="H202" i="33"/>
  <c r="H204" i="33"/>
  <c r="H206" i="33"/>
  <c r="H207" i="33"/>
  <c r="H208" i="33"/>
  <c r="H210" i="33"/>
  <c r="H212" i="33"/>
  <c r="H214" i="33"/>
  <c r="H216" i="33"/>
  <c r="H218" i="33"/>
  <c r="H221" i="33"/>
  <c r="H222" i="33"/>
  <c r="H223" i="33"/>
  <c r="H224" i="33"/>
  <c r="H226" i="33"/>
  <c r="H228" i="33"/>
  <c r="H232" i="33"/>
  <c r="H234" i="33"/>
  <c r="H236" i="33"/>
  <c r="H239" i="33"/>
  <c r="H241" i="33"/>
  <c r="H243" i="33"/>
  <c r="H245" i="33"/>
  <c r="H247" i="33"/>
  <c r="H258" i="33"/>
  <c r="H260" i="33"/>
  <c r="H262" i="33"/>
  <c r="H266" i="33"/>
  <c r="H269" i="33"/>
  <c r="H270" i="33"/>
  <c r="H271" i="33"/>
  <c r="H272" i="33"/>
  <c r="H275" i="33"/>
  <c r="H276" i="33"/>
  <c r="H277" i="33"/>
  <c r="H278" i="33"/>
  <c r="H279" i="33"/>
  <c r="H280" i="33"/>
  <c r="H281" i="33"/>
  <c r="H282" i="33"/>
  <c r="H284" i="33"/>
  <c r="H286" i="33"/>
  <c r="H288" i="33"/>
  <c r="H290" i="33"/>
  <c r="H292" i="33"/>
  <c r="H293" i="33"/>
  <c r="H294" i="33"/>
  <c r="H295" i="33"/>
  <c r="H296" i="33"/>
  <c r="H302" i="33"/>
  <c r="H304" i="33"/>
  <c r="H306" i="33"/>
  <c r="H308" i="33"/>
  <c r="H310" i="33"/>
  <c r="H312" i="33"/>
  <c r="H314" i="33"/>
  <c r="H316" i="33"/>
  <c r="H318" i="33"/>
  <c r="H320" i="33"/>
  <c r="H322" i="33"/>
  <c r="H324" i="33"/>
  <c r="H326" i="33"/>
  <c r="H2041" i="33"/>
  <c r="G5" i="33"/>
  <c r="G6" i="33"/>
  <c r="G7" i="33"/>
  <c r="G8" i="33"/>
  <c r="G9" i="33"/>
  <c r="G10" i="33"/>
  <c r="G11" i="33"/>
  <c r="G12" i="33"/>
  <c r="G13" i="33"/>
  <c r="G14" i="33"/>
  <c r="G16" i="33"/>
  <c r="G18" i="33"/>
  <c r="G20" i="33"/>
  <c r="G22" i="33"/>
  <c r="G24" i="33"/>
  <c r="G26" i="33"/>
  <c r="G28" i="33"/>
  <c r="G30" i="33"/>
  <c r="G32" i="33"/>
  <c r="G33" i="33"/>
  <c r="G34" i="33"/>
  <c r="G35" i="33"/>
  <c r="G36" i="33"/>
  <c r="G38" i="33"/>
  <c r="G40" i="33"/>
  <c r="G42" i="33"/>
  <c r="G44" i="33"/>
  <c r="G46" i="33"/>
  <c r="G48" i="33"/>
  <c r="G50" i="33"/>
  <c r="G52" i="33"/>
  <c r="G54" i="33"/>
  <c r="G56" i="33"/>
  <c r="G58" i="33"/>
  <c r="G60" i="33"/>
  <c r="G62" i="33"/>
  <c r="G64" i="33"/>
  <c r="G66" i="33"/>
  <c r="G68" i="33"/>
  <c r="G70" i="33"/>
  <c r="G72" i="33"/>
  <c r="G74" i="33"/>
  <c r="G76" i="33"/>
  <c r="G78" i="33"/>
  <c r="G79" i="33"/>
  <c r="G80" i="33"/>
  <c r="G82" i="33"/>
  <c r="G84" i="33"/>
  <c r="G86" i="33"/>
  <c r="G88" i="33"/>
  <c r="G90" i="33"/>
  <c r="G92" i="33"/>
  <c r="G94" i="33"/>
  <c r="G96" i="33"/>
  <c r="G98" i="33"/>
  <c r="G102" i="33"/>
  <c r="G110" i="33"/>
  <c r="G111" i="33"/>
  <c r="G112" i="33"/>
  <c r="G114" i="33"/>
  <c r="G116" i="33"/>
  <c r="G118" i="33"/>
  <c r="G120" i="33"/>
  <c r="G122" i="33"/>
  <c r="G123" i="33"/>
  <c r="G125" i="33"/>
  <c r="G126" i="33"/>
  <c r="G127" i="33"/>
  <c r="G128" i="33"/>
  <c r="G129" i="33"/>
  <c r="G131" i="33"/>
  <c r="G133" i="33"/>
  <c r="G135" i="33"/>
  <c r="G137" i="33"/>
  <c r="G141" i="33"/>
  <c r="G143" i="33"/>
  <c r="G146" i="33"/>
  <c r="G147" i="33"/>
  <c r="G148" i="33"/>
  <c r="G149" i="33"/>
  <c r="G150" i="33"/>
  <c r="G151" i="33"/>
  <c r="G153" i="33"/>
  <c r="G155" i="33"/>
  <c r="G157" i="33"/>
  <c r="G159" i="33"/>
  <c r="G160" i="33"/>
  <c r="G161" i="33"/>
  <c r="G163" i="33"/>
  <c r="G165" i="33"/>
  <c r="G167" i="33"/>
  <c r="G169" i="33"/>
  <c r="G171" i="33"/>
  <c r="G173" i="33"/>
  <c r="G175" i="33"/>
  <c r="G177" i="33"/>
  <c r="G179" i="33"/>
  <c r="G182" i="33"/>
  <c r="G184" i="33"/>
  <c r="G187" i="33"/>
  <c r="G188" i="33"/>
  <c r="G189" i="33"/>
  <c r="G190" i="33"/>
  <c r="G191" i="33"/>
  <c r="G193" i="33"/>
  <c r="G197" i="33"/>
  <c r="G202" i="33"/>
  <c r="G204" i="33"/>
  <c r="G206" i="33"/>
  <c r="G207" i="33"/>
  <c r="G208" i="33"/>
  <c r="G210" i="33"/>
  <c r="G212" i="33"/>
  <c r="G214" i="33"/>
  <c r="G216" i="33"/>
  <c r="G218" i="33"/>
  <c r="G221" i="33"/>
  <c r="G222" i="33"/>
  <c r="G223" i="33"/>
  <c r="G224" i="33"/>
  <c r="G226" i="33"/>
  <c r="G228" i="33"/>
  <c r="G232" i="33"/>
  <c r="G234" i="33"/>
  <c r="G236" i="33"/>
  <c r="G239" i="33"/>
  <c r="G241" i="33"/>
  <c r="G243" i="33"/>
  <c r="G245" i="33"/>
  <c r="G247" i="33"/>
  <c r="G258" i="33"/>
  <c r="G260" i="33"/>
  <c r="G262" i="33"/>
  <c r="G266" i="33"/>
  <c r="G269" i="33"/>
  <c r="G270" i="33"/>
  <c r="G271" i="33"/>
  <c r="G272" i="33"/>
  <c r="G275" i="33"/>
  <c r="G276" i="33"/>
  <c r="G277" i="33"/>
  <c r="G278" i="33"/>
  <c r="G279" i="33"/>
  <c r="G280" i="33"/>
  <c r="G281" i="33"/>
  <c r="G282" i="33"/>
  <c r="G284" i="33"/>
  <c r="G286" i="33"/>
  <c r="G288" i="33"/>
  <c r="G290" i="33"/>
  <c r="G292" i="33"/>
  <c r="G293" i="33"/>
  <c r="G294" i="33"/>
  <c r="G295" i="33"/>
  <c r="G296" i="33"/>
  <c r="G302" i="33"/>
  <c r="G304" i="33"/>
  <c r="G306" i="33"/>
  <c r="G308" i="33"/>
  <c r="G310" i="33"/>
  <c r="G312" i="33"/>
  <c r="G314" i="33"/>
  <c r="G316" i="33"/>
  <c r="G318" i="33"/>
  <c r="G320" i="33"/>
  <c r="G322" i="33"/>
  <c r="G324" i="33"/>
  <c r="G326" i="33"/>
  <c r="G2041" i="33"/>
  <c r="AG2380" i="36"/>
  <c r="AI2380" i="36" s="1"/>
  <c r="AF2380" i="36"/>
  <c r="AE2380" i="36"/>
  <c r="A2380" i="36"/>
  <c r="AG2379" i="36"/>
  <c r="AI2379" i="36" s="1"/>
  <c r="AF2379" i="36"/>
  <c r="AE2379" i="36"/>
  <c r="A2379" i="36"/>
  <c r="AG2378" i="36"/>
  <c r="AI2378" i="36" s="1"/>
  <c r="AF2378" i="36"/>
  <c r="AE2378" i="36"/>
  <c r="A2378" i="36"/>
  <c r="AE2370" i="36"/>
  <c r="AE2369" i="36"/>
  <c r="AE2368" i="36"/>
  <c r="AE2367" i="36"/>
  <c r="AE2366" i="36"/>
  <c r="AE2365" i="36"/>
  <c r="AE2364" i="36"/>
  <c r="AE2363" i="36"/>
  <c r="AE2362" i="36"/>
  <c r="AE2361" i="36"/>
  <c r="AG2360" i="36"/>
  <c r="AI2360" i="36" s="1"/>
  <c r="AE2360" i="36"/>
  <c r="AG2359" i="36"/>
  <c r="AI2359" i="36" s="1"/>
  <c r="AE2359" i="36"/>
  <c r="AG2358" i="36"/>
  <c r="AI2358" i="36" s="1"/>
  <c r="AE2358" i="36"/>
  <c r="AG2357" i="36"/>
  <c r="AI2357" i="36" s="1"/>
  <c r="AE2357" i="36"/>
  <c r="AG2356" i="36"/>
  <c r="AI2356" i="36" s="1"/>
  <c r="AE2356" i="36"/>
  <c r="AG2355" i="36"/>
  <c r="AI2355" i="36" s="1"/>
  <c r="AE2355" i="36"/>
  <c r="AG2354" i="36"/>
  <c r="AI2354" i="36" s="1"/>
  <c r="AE2354" i="36"/>
  <c r="AG2353" i="36"/>
  <c r="AI2353" i="36" s="1"/>
  <c r="AE2353" i="36"/>
  <c r="AG2352" i="36"/>
  <c r="AI2352" i="36" s="1"/>
  <c r="AE2352" i="36"/>
  <c r="AG2351" i="36"/>
  <c r="AI2351" i="36" s="1"/>
  <c r="AE2351" i="36"/>
  <c r="AG2350" i="36"/>
  <c r="AI2350" i="36" s="1"/>
  <c r="AE2350" i="36"/>
  <c r="AG2349" i="36"/>
  <c r="AI2349" i="36" s="1"/>
  <c r="AE2349" i="36"/>
  <c r="AG2348" i="36"/>
  <c r="AI2348" i="36" s="1"/>
  <c r="AE2348" i="36"/>
  <c r="AG2347" i="36"/>
  <c r="AI2347" i="36" s="1"/>
  <c r="AE2347" i="36"/>
  <c r="AG2346" i="36"/>
  <c r="AI2346" i="36" s="1"/>
  <c r="AE2346" i="36"/>
  <c r="AG2345" i="36"/>
  <c r="AI2345" i="36" s="1"/>
  <c r="AE2345" i="36"/>
  <c r="AG2344" i="36"/>
  <c r="AI2344" i="36" s="1"/>
  <c r="AE2344" i="36"/>
  <c r="AG2343" i="36"/>
  <c r="AI2343" i="36" s="1"/>
  <c r="AE2343" i="36"/>
  <c r="AG2342" i="36"/>
  <c r="AI2342" i="36" s="1"/>
  <c r="AE2342" i="36"/>
  <c r="A2342" i="36"/>
  <c r="AG2341" i="36"/>
  <c r="AI2341" i="36" s="1"/>
  <c r="AE2341" i="36"/>
  <c r="A2341" i="36"/>
  <c r="AG2340" i="36"/>
  <c r="AI2340" i="36" s="1"/>
  <c r="AE2340" i="36"/>
  <c r="A2340" i="36"/>
  <c r="AG2339" i="36"/>
  <c r="AI2339" i="36" s="1"/>
  <c r="AE2339" i="36"/>
  <c r="A2339" i="36"/>
  <c r="AG2338" i="36"/>
  <c r="AI2338" i="36" s="1"/>
  <c r="AE2338" i="36"/>
  <c r="A2338" i="36"/>
  <c r="AG2337" i="36"/>
  <c r="AI2337" i="36" s="1"/>
  <c r="AE2337" i="36"/>
  <c r="A2337" i="36"/>
  <c r="AG2336" i="36"/>
  <c r="AI2336" i="36" s="1"/>
  <c r="AE2336" i="36"/>
  <c r="A2336" i="36"/>
  <c r="AG2335" i="36"/>
  <c r="AI2335" i="36" s="1"/>
  <c r="AE2335" i="36"/>
  <c r="A2335" i="36"/>
  <c r="AG2334" i="36"/>
  <c r="AI2334" i="36" s="1"/>
  <c r="AE2334" i="36"/>
  <c r="A2334" i="36"/>
  <c r="AG2333" i="36"/>
  <c r="AI2333" i="36" s="1"/>
  <c r="AE2333" i="36"/>
  <c r="A2333" i="36"/>
  <c r="AG2332" i="36"/>
  <c r="AI2332" i="36" s="1"/>
  <c r="AE2332" i="36"/>
  <c r="A2332" i="36"/>
  <c r="AG2331" i="36"/>
  <c r="AI2331" i="36" s="1"/>
  <c r="AE2331" i="36"/>
  <c r="A2331" i="36"/>
  <c r="AG2330" i="36"/>
  <c r="AI2330" i="36" s="1"/>
  <c r="AE2330" i="36"/>
  <c r="A2330" i="36"/>
  <c r="AG2329" i="36"/>
  <c r="AI2329" i="36" s="1"/>
  <c r="AE2329" i="36"/>
  <c r="A2329" i="36"/>
  <c r="AG2328" i="36"/>
  <c r="AI2328" i="36" s="1"/>
  <c r="AE2328" i="36"/>
  <c r="A2328" i="36"/>
  <c r="AG2327" i="36"/>
  <c r="AI2327" i="36" s="1"/>
  <c r="AE2327" i="36"/>
  <c r="A2327" i="36"/>
  <c r="AG2326" i="36"/>
  <c r="AI2326" i="36" s="1"/>
  <c r="AE2326" i="36"/>
  <c r="A2326" i="36"/>
  <c r="AG2325" i="36"/>
  <c r="AI2325" i="36" s="1"/>
  <c r="AE2325" i="36"/>
  <c r="A2325" i="36"/>
  <c r="AG2324" i="36"/>
  <c r="AI2324" i="36" s="1"/>
  <c r="AE2324" i="36"/>
  <c r="A2324" i="36"/>
  <c r="AG2323" i="36"/>
  <c r="AI2323" i="36" s="1"/>
  <c r="AE2323" i="36"/>
  <c r="A2323" i="36"/>
  <c r="AG2322" i="36"/>
  <c r="AI2322" i="36" s="1"/>
  <c r="AE2322" i="36"/>
  <c r="A2322" i="36"/>
  <c r="AG2321" i="36"/>
  <c r="AI2321" i="36" s="1"/>
  <c r="AE2321" i="36"/>
  <c r="A2321" i="36"/>
  <c r="AG2320" i="36"/>
  <c r="AI2320" i="36" s="1"/>
  <c r="AE2320" i="36"/>
  <c r="A2320" i="36"/>
  <c r="AG2319" i="36"/>
  <c r="AI2319" i="36" s="1"/>
  <c r="AE2319" i="36"/>
  <c r="A2319" i="36"/>
  <c r="AG2318" i="36"/>
  <c r="AI2318" i="36" s="1"/>
  <c r="AE2318" i="36"/>
  <c r="A2318" i="36"/>
  <c r="AG2317" i="36"/>
  <c r="AI2317" i="36" s="1"/>
  <c r="AE2317" i="36"/>
  <c r="A2317" i="36"/>
  <c r="AG2316" i="36"/>
  <c r="AI2316" i="36" s="1"/>
  <c r="AE2316" i="36"/>
  <c r="A2316" i="36"/>
  <c r="AG2315" i="36"/>
  <c r="AI2315" i="36" s="1"/>
  <c r="AE2315" i="36"/>
  <c r="A2315" i="36"/>
  <c r="AG2314" i="36"/>
  <c r="AI2314" i="36" s="1"/>
  <c r="AE2314" i="36"/>
  <c r="A2314" i="36"/>
  <c r="AG2313" i="36"/>
  <c r="AI2313" i="36" s="1"/>
  <c r="AE2313" i="36"/>
  <c r="A2313" i="36"/>
  <c r="AG2312" i="36"/>
  <c r="AI2312" i="36" s="1"/>
  <c r="AE2312" i="36"/>
  <c r="A2312" i="36"/>
  <c r="AG2311" i="36"/>
  <c r="AI2311" i="36" s="1"/>
  <c r="AE2311" i="36"/>
  <c r="A2311" i="36"/>
  <c r="AG2310" i="36"/>
  <c r="AI2310" i="36" s="1"/>
  <c r="AE2310" i="36"/>
  <c r="A2310" i="36"/>
  <c r="AG2309" i="36"/>
  <c r="AI2309" i="36" s="1"/>
  <c r="AE2309" i="36"/>
  <c r="A2309" i="36"/>
  <c r="AG2308" i="36"/>
  <c r="AI2308" i="36" s="1"/>
  <c r="AE2308" i="36"/>
  <c r="A2308" i="36"/>
  <c r="AG2307" i="36"/>
  <c r="AI2307" i="36" s="1"/>
  <c r="AE2307" i="36"/>
  <c r="A2307" i="36"/>
  <c r="AG2306" i="36"/>
  <c r="AI2306" i="36" s="1"/>
  <c r="AE2306" i="36"/>
  <c r="A2306" i="36"/>
  <c r="AG2305" i="36"/>
  <c r="AI2305" i="36" s="1"/>
  <c r="AE2305" i="36"/>
  <c r="A2305" i="36"/>
  <c r="AG2304" i="36"/>
  <c r="AI2304" i="36" s="1"/>
  <c r="AE2304" i="36"/>
  <c r="A2304" i="36"/>
  <c r="AG2303" i="36"/>
  <c r="AI2303" i="36" s="1"/>
  <c r="AE2303" i="36"/>
  <c r="A2303" i="36"/>
  <c r="AG2302" i="36"/>
  <c r="AI2302" i="36" s="1"/>
  <c r="AE2302" i="36"/>
  <c r="A2302" i="36"/>
  <c r="AG2301" i="36"/>
  <c r="AI2301" i="36" s="1"/>
  <c r="AE2301" i="36"/>
  <c r="A2301" i="36"/>
  <c r="AG2300" i="36"/>
  <c r="AI2300" i="36" s="1"/>
  <c r="AE2300" i="36"/>
  <c r="A2300" i="36"/>
  <c r="AG2299" i="36"/>
  <c r="AI2299" i="36" s="1"/>
  <c r="AE2299" i="36"/>
  <c r="A2299" i="36"/>
  <c r="AG2298" i="36"/>
  <c r="AI2298" i="36" s="1"/>
  <c r="AE2298" i="36"/>
  <c r="A2298" i="36"/>
  <c r="AG2297" i="36"/>
  <c r="AI2297" i="36" s="1"/>
  <c r="AE2297" i="36"/>
  <c r="A2297" i="36"/>
  <c r="AG2296" i="36"/>
  <c r="AI2296" i="36" s="1"/>
  <c r="AE2296" i="36"/>
  <c r="A2296" i="36"/>
  <c r="AG2295" i="36"/>
  <c r="AI2295" i="36" s="1"/>
  <c r="AE2295" i="36"/>
  <c r="A2295" i="36"/>
  <c r="AG2294" i="36"/>
  <c r="AI2294" i="36" s="1"/>
  <c r="AE2294" i="36"/>
  <c r="A2294" i="36"/>
  <c r="AG2293" i="36"/>
  <c r="AI2293" i="36" s="1"/>
  <c r="AE2293" i="36"/>
  <c r="A2293" i="36"/>
  <c r="AG2292" i="36"/>
  <c r="AI2292" i="36" s="1"/>
  <c r="AE2292" i="36"/>
  <c r="A2292" i="36"/>
  <c r="AG2291" i="36"/>
  <c r="AI2291" i="36" s="1"/>
  <c r="AE2291" i="36"/>
  <c r="A2291" i="36"/>
  <c r="AG2290" i="36"/>
  <c r="AI2290" i="36" s="1"/>
  <c r="AE2290" i="36"/>
  <c r="A2290" i="36"/>
  <c r="AG2289" i="36"/>
  <c r="AI2289" i="36" s="1"/>
  <c r="AE2289" i="36"/>
  <c r="A2289" i="36"/>
  <c r="AG2288" i="36"/>
  <c r="AI2288" i="36" s="1"/>
  <c r="AE2288" i="36"/>
  <c r="A2288" i="36"/>
  <c r="AG2287" i="36"/>
  <c r="AI2287" i="36" s="1"/>
  <c r="AE2287" i="36"/>
  <c r="A2287" i="36"/>
  <c r="AG2286" i="36"/>
  <c r="AI2286" i="36" s="1"/>
  <c r="AE2286" i="36"/>
  <c r="A2286" i="36"/>
  <c r="AG2285" i="36"/>
  <c r="AI2285" i="36" s="1"/>
  <c r="AE2285" i="36"/>
  <c r="A2285" i="36"/>
  <c r="AG2284" i="36"/>
  <c r="AI2284" i="36" s="1"/>
  <c r="AE2284" i="36"/>
  <c r="A2284" i="36"/>
  <c r="AG2283" i="36"/>
  <c r="AI2283" i="36" s="1"/>
  <c r="AE2283" i="36"/>
  <c r="A2283" i="36"/>
  <c r="AG2282" i="36"/>
  <c r="AI2282" i="36" s="1"/>
  <c r="AE2282" i="36"/>
  <c r="A2282" i="36"/>
  <c r="AG2281" i="36"/>
  <c r="AI2281" i="36" s="1"/>
  <c r="AE2281" i="36"/>
  <c r="A2281" i="36"/>
  <c r="AG2280" i="36"/>
  <c r="AI2280" i="36" s="1"/>
  <c r="AE2280" i="36"/>
  <c r="A2280" i="36"/>
  <c r="AG2279" i="36"/>
  <c r="AI2279" i="36" s="1"/>
  <c r="AE2279" i="36"/>
  <c r="A2279" i="36"/>
  <c r="AG2278" i="36"/>
  <c r="AI2278" i="36" s="1"/>
  <c r="AE2278" i="36"/>
  <c r="A2278" i="36"/>
  <c r="AG2277" i="36"/>
  <c r="AI2277" i="36" s="1"/>
  <c r="AE2277" i="36"/>
  <c r="A2277" i="36"/>
  <c r="AG2276" i="36"/>
  <c r="AI2276" i="36" s="1"/>
  <c r="AE2276" i="36"/>
  <c r="A2276" i="36"/>
  <c r="AG2275" i="36"/>
  <c r="AI2275" i="36" s="1"/>
  <c r="AE2275" i="36"/>
  <c r="A2275" i="36"/>
  <c r="AG2274" i="36"/>
  <c r="AI2274" i="36" s="1"/>
  <c r="AE2274" i="36"/>
  <c r="A2274" i="36"/>
  <c r="AG2273" i="36"/>
  <c r="AI2273" i="36" s="1"/>
  <c r="AE2273" i="36"/>
  <c r="A2273" i="36"/>
  <c r="AG2272" i="36"/>
  <c r="AI2272" i="36" s="1"/>
  <c r="AE2272" i="36"/>
  <c r="A2272" i="36"/>
  <c r="AG2271" i="36"/>
  <c r="AI2271" i="36" s="1"/>
  <c r="AE2271" i="36"/>
  <c r="A2271" i="36"/>
  <c r="AG2270" i="36"/>
  <c r="AI2270" i="36" s="1"/>
  <c r="AE2270" i="36"/>
  <c r="A2270" i="36"/>
  <c r="AG2269" i="36"/>
  <c r="AI2269" i="36" s="1"/>
  <c r="AE2269" i="36"/>
  <c r="A2269" i="36"/>
  <c r="AG2268" i="36"/>
  <c r="AI2268" i="36" s="1"/>
  <c r="AE2268" i="36"/>
  <c r="A2268" i="36"/>
  <c r="AG2267" i="36"/>
  <c r="AI2267" i="36" s="1"/>
  <c r="AE2267" i="36"/>
  <c r="A2267" i="36"/>
  <c r="AG2266" i="36"/>
  <c r="AI2266" i="36" s="1"/>
  <c r="AE2266" i="36"/>
  <c r="A2266" i="36"/>
  <c r="AG2265" i="36"/>
  <c r="AI2265" i="36" s="1"/>
  <c r="AE2265" i="36"/>
  <c r="A2265" i="36"/>
  <c r="AG2264" i="36"/>
  <c r="AI2264" i="36" s="1"/>
  <c r="AE2264" i="36"/>
  <c r="A2264" i="36"/>
  <c r="AG2263" i="36"/>
  <c r="AI2263" i="36" s="1"/>
  <c r="AE2263" i="36"/>
  <c r="A2263" i="36"/>
  <c r="AG2262" i="36"/>
  <c r="AI2262" i="36" s="1"/>
  <c r="AE2262" i="36"/>
  <c r="A2262" i="36"/>
  <c r="AG2261" i="36"/>
  <c r="AI2261" i="36" s="1"/>
  <c r="AE2261" i="36"/>
  <c r="A2261" i="36"/>
  <c r="AG2260" i="36"/>
  <c r="AI2260" i="36" s="1"/>
  <c r="AE2260" i="36"/>
  <c r="A2260" i="36"/>
  <c r="AG2259" i="36"/>
  <c r="AI2259" i="36" s="1"/>
  <c r="AE2259" i="36"/>
  <c r="A2259" i="36"/>
  <c r="AG2258" i="36"/>
  <c r="AI2258" i="36" s="1"/>
  <c r="AE2258" i="36"/>
  <c r="A2258" i="36"/>
  <c r="AG2257" i="36"/>
  <c r="AI2257" i="36" s="1"/>
  <c r="AE2257" i="36"/>
  <c r="A2257" i="36"/>
  <c r="AG2256" i="36"/>
  <c r="AI2256" i="36" s="1"/>
  <c r="AE2256" i="36"/>
  <c r="A2256" i="36"/>
  <c r="AG2255" i="36"/>
  <c r="AI2255" i="36" s="1"/>
  <c r="AE2255" i="36"/>
  <c r="A2255" i="36"/>
  <c r="AG2254" i="36"/>
  <c r="AI2254" i="36" s="1"/>
  <c r="AE2254" i="36"/>
  <c r="A2254" i="36"/>
  <c r="AG2253" i="36"/>
  <c r="AI2253" i="36" s="1"/>
  <c r="AE2253" i="36"/>
  <c r="A2253" i="36"/>
  <c r="AG2252" i="36"/>
  <c r="AI2252" i="36" s="1"/>
  <c r="AE2252" i="36"/>
  <c r="A2252" i="36"/>
  <c r="AG2251" i="36"/>
  <c r="AI2251" i="36" s="1"/>
  <c r="AE2251" i="36"/>
  <c r="A2251" i="36"/>
  <c r="AG2250" i="36"/>
  <c r="AI2250" i="36" s="1"/>
  <c r="AE2250" i="36"/>
  <c r="A2250" i="36"/>
  <c r="AG2249" i="36"/>
  <c r="AI2249" i="36" s="1"/>
  <c r="AE2249" i="36"/>
  <c r="A2249" i="36"/>
  <c r="AG2248" i="36"/>
  <c r="AI2248" i="36" s="1"/>
  <c r="AE2248" i="36"/>
  <c r="A2248" i="36"/>
  <c r="AG2247" i="36"/>
  <c r="AI2247" i="36" s="1"/>
  <c r="AE2247" i="36"/>
  <c r="A2247" i="36"/>
  <c r="AG2246" i="36"/>
  <c r="AI2246" i="36" s="1"/>
  <c r="AE2246" i="36"/>
  <c r="A2246" i="36"/>
  <c r="AG2245" i="36"/>
  <c r="AI2245" i="36" s="1"/>
  <c r="AE2245" i="36"/>
  <c r="A2245" i="36"/>
  <c r="AG2244" i="36"/>
  <c r="AI2244" i="36" s="1"/>
  <c r="AE2244" i="36"/>
  <c r="A2244" i="36"/>
  <c r="AG2243" i="36"/>
  <c r="AI2243" i="36" s="1"/>
  <c r="AE2243" i="36"/>
  <c r="A2243" i="36"/>
  <c r="AG2242" i="36"/>
  <c r="AI2242" i="36" s="1"/>
  <c r="AE2242" i="36"/>
  <c r="A2242" i="36"/>
  <c r="AG2241" i="36"/>
  <c r="AI2241" i="36" s="1"/>
  <c r="AE2241" i="36"/>
  <c r="A2241" i="36"/>
  <c r="AG2240" i="36"/>
  <c r="AI2240" i="36" s="1"/>
  <c r="AE2240" i="36"/>
  <c r="A2240" i="36"/>
  <c r="AG2239" i="36"/>
  <c r="AI2239" i="36" s="1"/>
  <c r="AE2239" i="36"/>
  <c r="A2239" i="36"/>
  <c r="AG2238" i="36"/>
  <c r="AI2238" i="36" s="1"/>
  <c r="AE2238" i="36"/>
  <c r="A2238" i="36"/>
  <c r="AG2237" i="36"/>
  <c r="AI2237" i="36" s="1"/>
  <c r="AE2237" i="36"/>
  <c r="A2237" i="36"/>
  <c r="AG2236" i="36"/>
  <c r="AI2236" i="36" s="1"/>
  <c r="AE2236" i="36"/>
  <c r="A2236" i="36"/>
  <c r="AG2235" i="36"/>
  <c r="AI2235" i="36" s="1"/>
  <c r="AE2235" i="36"/>
  <c r="A2235" i="36"/>
  <c r="AG2234" i="36"/>
  <c r="AI2234" i="36" s="1"/>
  <c r="AE2234" i="36"/>
  <c r="A2234" i="36"/>
  <c r="AG2233" i="36"/>
  <c r="AI2233" i="36" s="1"/>
  <c r="AE2233" i="36"/>
  <c r="A2233" i="36"/>
  <c r="AG2232" i="36"/>
  <c r="AI2232" i="36" s="1"/>
  <c r="AE2232" i="36"/>
  <c r="A2232" i="36"/>
  <c r="AG2231" i="36"/>
  <c r="AI2231" i="36" s="1"/>
  <c r="AE2231" i="36"/>
  <c r="A2231" i="36"/>
  <c r="AG2230" i="36"/>
  <c r="AI2230" i="36" s="1"/>
  <c r="AE2230" i="36"/>
  <c r="A2230" i="36"/>
  <c r="AG2229" i="36"/>
  <c r="AI2229" i="36" s="1"/>
  <c r="AE2229" i="36"/>
  <c r="A2229" i="36"/>
  <c r="AG2228" i="36"/>
  <c r="AI2228" i="36" s="1"/>
  <c r="AE2228" i="36"/>
  <c r="A2228" i="36"/>
  <c r="AG2227" i="36"/>
  <c r="AI2227" i="36" s="1"/>
  <c r="AE2227" i="36"/>
  <c r="A2227" i="36"/>
  <c r="AG2226" i="36"/>
  <c r="AI2226" i="36" s="1"/>
  <c r="AE2226" i="36"/>
  <c r="A2226" i="36"/>
  <c r="AG2225" i="36"/>
  <c r="AI2225" i="36" s="1"/>
  <c r="AE2225" i="36"/>
  <c r="A2225" i="36"/>
  <c r="AG2224" i="36"/>
  <c r="AI2224" i="36" s="1"/>
  <c r="AE2224" i="36"/>
  <c r="A2224" i="36"/>
  <c r="AG2223" i="36"/>
  <c r="AI2223" i="36" s="1"/>
  <c r="AE2223" i="36"/>
  <c r="A2223" i="36"/>
  <c r="AG2222" i="36"/>
  <c r="AI2222" i="36" s="1"/>
  <c r="AE2222" i="36"/>
  <c r="A2222" i="36"/>
  <c r="AG2221" i="36"/>
  <c r="AI2221" i="36" s="1"/>
  <c r="AE2221" i="36"/>
  <c r="A2221" i="36"/>
  <c r="AG2220" i="36"/>
  <c r="AI2220" i="36" s="1"/>
  <c r="AE2220" i="36"/>
  <c r="A2220" i="36"/>
  <c r="AG2219" i="36"/>
  <c r="AI2219" i="36" s="1"/>
  <c r="AE2219" i="36"/>
  <c r="A2219" i="36"/>
  <c r="AG2218" i="36"/>
  <c r="AI2218" i="36" s="1"/>
  <c r="AE2218" i="36"/>
  <c r="A2218" i="36"/>
  <c r="AG2217" i="36"/>
  <c r="AI2217" i="36" s="1"/>
  <c r="AE2217" i="36"/>
  <c r="A2217" i="36"/>
  <c r="AG2216" i="36"/>
  <c r="AI2216" i="36" s="1"/>
  <c r="AE2216" i="36"/>
  <c r="A2216" i="36"/>
  <c r="AG2215" i="36"/>
  <c r="AI2215" i="36" s="1"/>
  <c r="AE2215" i="36"/>
  <c r="A2215" i="36"/>
  <c r="AG2214" i="36"/>
  <c r="AI2214" i="36" s="1"/>
  <c r="AE2214" i="36"/>
  <c r="A2214" i="36"/>
  <c r="AG2213" i="36"/>
  <c r="AI2213" i="36" s="1"/>
  <c r="AE2213" i="36"/>
  <c r="A2213" i="36"/>
  <c r="AG2212" i="36"/>
  <c r="AI2212" i="36" s="1"/>
  <c r="AE2212" i="36"/>
  <c r="A2212" i="36"/>
  <c r="AG2211" i="36"/>
  <c r="AI2211" i="36" s="1"/>
  <c r="AE2211" i="36"/>
  <c r="A2211" i="36"/>
  <c r="AG2210" i="36"/>
  <c r="AI2210" i="36" s="1"/>
  <c r="AE2210" i="36"/>
  <c r="A2210" i="36"/>
  <c r="AG2209" i="36"/>
  <c r="AI2209" i="36" s="1"/>
  <c r="AE2209" i="36"/>
  <c r="A2209" i="36"/>
  <c r="AG2208" i="36"/>
  <c r="AI2208" i="36" s="1"/>
  <c r="AE2208" i="36"/>
  <c r="A2208" i="36"/>
  <c r="AG2207" i="36"/>
  <c r="AI2207" i="36" s="1"/>
  <c r="AE2207" i="36"/>
  <c r="A2207" i="36"/>
  <c r="AG2206" i="36"/>
  <c r="AI2206" i="36" s="1"/>
  <c r="AE2206" i="36"/>
  <c r="A2206" i="36"/>
  <c r="AG2205" i="36"/>
  <c r="AI2205" i="36" s="1"/>
  <c r="AE2205" i="36"/>
  <c r="A2205" i="36"/>
  <c r="AG2204" i="36"/>
  <c r="AI2204" i="36" s="1"/>
  <c r="AE2204" i="36"/>
  <c r="A2204" i="36"/>
  <c r="AG2203" i="36"/>
  <c r="AI2203" i="36" s="1"/>
  <c r="AE2203" i="36"/>
  <c r="A2203" i="36"/>
  <c r="AG2202" i="36"/>
  <c r="AI2202" i="36" s="1"/>
  <c r="AE2202" i="36"/>
  <c r="A2202" i="36"/>
  <c r="AG2201" i="36"/>
  <c r="AI2201" i="36" s="1"/>
  <c r="AE2201" i="36"/>
  <c r="A2201" i="36"/>
  <c r="AG2200" i="36"/>
  <c r="AI2200" i="36" s="1"/>
  <c r="AE2200" i="36"/>
  <c r="A2200" i="36"/>
  <c r="AG2199" i="36"/>
  <c r="AI2199" i="36" s="1"/>
  <c r="AE2199" i="36"/>
  <c r="A2199" i="36"/>
  <c r="AG2198" i="36"/>
  <c r="AI2198" i="36" s="1"/>
  <c r="AE2198" i="36"/>
  <c r="A2198" i="36"/>
  <c r="AG2197" i="36"/>
  <c r="AI2197" i="36" s="1"/>
  <c r="AE2197" i="36"/>
  <c r="A2197" i="36"/>
  <c r="AG2196" i="36"/>
  <c r="AI2196" i="36" s="1"/>
  <c r="AE2196" i="36"/>
  <c r="A2196" i="36"/>
  <c r="AG2195" i="36"/>
  <c r="AI2195" i="36" s="1"/>
  <c r="AE2195" i="36"/>
  <c r="A2195" i="36"/>
  <c r="AG2194" i="36"/>
  <c r="AI2194" i="36" s="1"/>
  <c r="AE2194" i="36"/>
  <c r="A2194" i="36"/>
  <c r="AG2193" i="36"/>
  <c r="AI2193" i="36" s="1"/>
  <c r="AE2193" i="36"/>
  <c r="A2193" i="36"/>
  <c r="AG2192" i="36"/>
  <c r="AI2192" i="36" s="1"/>
  <c r="AE2192" i="36"/>
  <c r="A2192" i="36"/>
  <c r="AG2191" i="36"/>
  <c r="AI2191" i="36" s="1"/>
  <c r="AE2191" i="36"/>
  <c r="A2191" i="36"/>
  <c r="AG2190" i="36"/>
  <c r="AI2190" i="36" s="1"/>
  <c r="AE2190" i="36"/>
  <c r="A2190" i="36"/>
  <c r="AG2189" i="36"/>
  <c r="AI2189" i="36" s="1"/>
  <c r="AF2189" i="36"/>
  <c r="AE2189" i="36"/>
  <c r="A2189" i="36"/>
  <c r="AG2188" i="36"/>
  <c r="AI2188" i="36" s="1"/>
  <c r="AF2188" i="36"/>
  <c r="AE2188" i="36"/>
  <c r="A2188" i="36"/>
  <c r="A2093" i="36"/>
  <c r="A2092" i="36"/>
  <c r="A2091" i="36"/>
  <c r="A2090" i="36"/>
  <c r="A2089" i="36"/>
  <c r="A2088" i="36"/>
  <c r="A2087" i="36"/>
  <c r="A2086" i="36"/>
  <c r="A2085" i="36"/>
  <c r="A2084" i="36"/>
  <c r="A2083" i="36"/>
  <c r="A2082" i="36"/>
  <c r="A2081" i="36"/>
  <c r="A2080" i="36"/>
  <c r="A2079" i="36"/>
  <c r="A2078" i="36"/>
  <c r="A2077" i="36"/>
  <c r="A2076" i="36"/>
  <c r="A2075" i="36"/>
  <c r="A2074" i="36"/>
  <c r="A2073" i="36"/>
  <c r="A2072" i="36"/>
  <c r="A2071" i="36"/>
  <c r="A2070" i="36"/>
  <c r="A2069" i="36"/>
  <c r="A2068" i="36"/>
  <c r="A2067" i="36"/>
  <c r="A2066" i="36"/>
  <c r="A2065" i="36"/>
  <c r="A2064" i="36"/>
  <c r="A2063" i="36"/>
  <c r="A2062" i="36"/>
  <c r="A2061" i="36"/>
  <c r="A2060" i="36"/>
  <c r="A2059" i="36"/>
  <c r="A2058" i="36"/>
  <c r="A2057" i="36"/>
  <c r="A2056" i="36"/>
  <c r="A2055" i="36"/>
  <c r="A2054" i="36"/>
  <c r="A2053" i="36"/>
  <c r="A2052" i="36"/>
  <c r="A2051" i="36"/>
  <c r="A2050" i="36"/>
  <c r="A2049" i="36"/>
  <c r="A2048" i="36"/>
  <c r="A2047" i="36"/>
  <c r="A2046" i="36"/>
  <c r="A2045" i="36"/>
  <c r="A2044" i="36"/>
  <c r="A2043" i="36"/>
  <c r="A2042" i="36"/>
  <c r="A2041" i="36"/>
  <c r="A2040" i="36"/>
  <c r="A2039" i="36"/>
  <c r="A2038" i="36"/>
  <c r="A2037" i="36"/>
  <c r="A2036" i="36"/>
  <c r="A2035" i="36"/>
  <c r="A2034" i="36"/>
  <c r="A2033" i="36"/>
  <c r="A2032" i="36"/>
  <c r="A2031" i="36"/>
  <c r="A2030" i="36"/>
  <c r="A2029" i="36"/>
  <c r="A2028" i="36"/>
  <c r="A2027" i="36"/>
  <c r="A2026" i="36"/>
  <c r="A2025" i="36"/>
  <c r="A2024" i="36"/>
  <c r="A2023" i="36"/>
  <c r="A2022" i="36"/>
  <c r="A2021" i="36"/>
  <c r="A2020" i="36"/>
  <c r="A2019" i="36"/>
  <c r="A2018" i="36"/>
  <c r="A2017" i="36"/>
  <c r="A2016" i="36"/>
  <c r="A2015" i="36"/>
  <c r="A2014" i="36"/>
  <c r="A2013" i="36"/>
  <c r="A2012" i="36"/>
  <c r="A2011" i="36"/>
  <c r="A2010" i="36"/>
  <c r="A2009" i="36"/>
  <c r="A2008" i="36"/>
  <c r="A2007" i="36"/>
  <c r="A2006" i="36"/>
  <c r="A2005" i="36"/>
  <c r="A2004" i="36"/>
  <c r="A2003" i="36"/>
  <c r="A2002" i="36"/>
  <c r="A2001" i="36"/>
  <c r="A2000" i="36"/>
  <c r="A1999" i="36"/>
  <c r="A1998" i="36"/>
  <c r="A1997" i="36"/>
  <c r="A1996" i="36"/>
  <c r="A1995" i="36"/>
  <c r="A1994" i="36"/>
  <c r="A1993" i="36"/>
  <c r="A1992" i="36"/>
  <c r="A1991" i="36"/>
  <c r="A1990" i="36"/>
  <c r="A1989" i="36"/>
  <c r="A1988" i="36"/>
  <c r="A1987" i="36"/>
  <c r="A1986" i="36"/>
  <c r="A1985" i="36"/>
  <c r="A1984" i="36"/>
  <c r="A1983" i="36"/>
  <c r="A1982" i="36"/>
  <c r="A1981" i="36"/>
  <c r="A1980" i="36"/>
  <c r="A1979" i="36"/>
  <c r="A1978" i="36"/>
  <c r="A1977" i="36"/>
  <c r="A1976" i="36"/>
  <c r="A1975" i="36"/>
  <c r="A1974" i="36"/>
  <c r="A1973" i="36"/>
  <c r="A1972" i="36"/>
  <c r="A1971" i="36"/>
  <c r="A1970" i="36"/>
  <c r="A1969" i="36"/>
  <c r="A1968" i="36"/>
  <c r="A1967" i="36"/>
  <c r="A1966" i="36"/>
  <c r="A1965" i="36"/>
  <c r="A1964" i="36"/>
  <c r="A1963" i="36"/>
  <c r="A1962" i="36"/>
  <c r="A1961" i="36"/>
  <c r="A1960" i="36"/>
  <c r="A1959" i="36"/>
  <c r="A1958" i="36"/>
  <c r="A1957" i="36"/>
  <c r="A1956" i="36"/>
  <c r="A1955" i="36"/>
  <c r="A1954" i="36"/>
  <c r="A1953" i="36"/>
  <c r="A1952" i="36"/>
  <c r="A1951" i="36"/>
  <c r="A1950" i="36"/>
  <c r="A1949" i="36"/>
  <c r="A1948" i="36"/>
  <c r="A1947" i="36"/>
  <c r="A1946" i="36"/>
  <c r="A1945" i="36"/>
  <c r="A1944" i="36"/>
  <c r="A1943" i="36"/>
  <c r="A1942" i="36"/>
  <c r="A1941" i="36"/>
  <c r="A1940" i="36"/>
  <c r="A1939" i="36"/>
  <c r="A1938" i="36"/>
  <c r="A1937" i="36"/>
  <c r="A1936" i="36"/>
  <c r="A1935" i="36"/>
  <c r="A1934" i="36"/>
  <c r="A1933" i="36"/>
  <c r="A1932" i="36"/>
  <c r="A1931" i="36"/>
  <c r="A1930" i="36"/>
  <c r="A1929" i="36"/>
  <c r="A1928" i="36"/>
  <c r="A1927" i="36"/>
  <c r="A1926" i="36"/>
  <c r="A1925" i="36"/>
  <c r="A1924" i="36"/>
  <c r="A1923" i="36"/>
  <c r="A1922" i="36"/>
  <c r="A1921" i="36"/>
  <c r="A1920" i="36"/>
  <c r="A1919" i="36"/>
  <c r="A1918" i="36"/>
  <c r="A1917" i="36"/>
  <c r="A1916" i="36"/>
  <c r="A1915" i="36"/>
  <c r="A1914" i="36"/>
  <c r="A1913" i="36"/>
  <c r="A1912" i="36"/>
  <c r="A1911" i="36"/>
  <c r="A1910" i="36"/>
  <c r="A1909" i="36"/>
  <c r="A1908" i="36"/>
  <c r="A1907" i="36"/>
  <c r="A1906" i="36"/>
  <c r="A1905" i="36"/>
  <c r="A1904" i="36"/>
  <c r="A1903" i="36"/>
  <c r="A1902" i="36"/>
  <c r="A1901" i="36"/>
  <c r="A1900" i="36"/>
  <c r="A1899" i="36"/>
  <c r="A1898" i="36"/>
  <c r="A1897" i="36"/>
  <c r="A1896" i="36"/>
  <c r="A1895" i="36"/>
  <c r="A1894" i="36"/>
  <c r="A1893" i="36"/>
  <c r="A1892" i="36"/>
  <c r="A1891" i="36"/>
  <c r="A1890" i="36"/>
  <c r="A1889" i="36"/>
  <c r="A1888" i="36"/>
  <c r="A1887" i="36"/>
  <c r="A1886" i="36"/>
  <c r="A1885" i="36"/>
  <c r="A1884" i="36"/>
  <c r="A1883" i="36"/>
  <c r="A1882" i="36"/>
  <c r="A1881" i="36"/>
  <c r="A1880" i="36"/>
  <c r="A1879" i="36"/>
  <c r="A1878" i="36"/>
  <c r="A1877" i="36"/>
  <c r="A1876" i="36"/>
  <c r="A1875" i="36"/>
  <c r="A1874" i="36"/>
  <c r="A1873" i="36"/>
  <c r="A1872" i="36"/>
  <c r="A1871" i="36"/>
  <c r="A1870" i="36"/>
  <c r="A1869" i="36"/>
  <c r="A1868" i="36"/>
  <c r="A1867" i="36"/>
  <c r="A1866" i="36"/>
  <c r="A1865" i="36"/>
  <c r="A1864" i="36"/>
  <c r="A1863" i="36"/>
  <c r="A1862" i="36"/>
  <c r="A1861" i="36"/>
  <c r="A1860" i="36"/>
  <c r="A1859" i="36"/>
  <c r="A1858" i="36"/>
  <c r="A1857" i="36"/>
  <c r="A1856" i="36"/>
  <c r="A1855" i="36"/>
  <c r="A1854" i="36"/>
  <c r="A1853" i="36"/>
  <c r="A1852" i="36"/>
  <c r="A1851" i="36"/>
  <c r="A1850" i="36"/>
  <c r="A1849" i="36"/>
  <c r="A1848" i="36"/>
  <c r="A1847" i="36"/>
  <c r="A1846" i="36"/>
  <c r="A1845" i="36"/>
  <c r="A1844" i="36"/>
  <c r="A1843" i="36"/>
  <c r="A1842" i="36"/>
  <c r="A1841" i="36"/>
  <c r="A1840" i="36"/>
  <c r="A1839" i="36"/>
  <c r="A1838" i="36"/>
  <c r="A1837" i="36"/>
  <c r="A1836" i="36"/>
  <c r="A1835" i="36"/>
  <c r="A1834" i="36"/>
  <c r="A1833" i="36"/>
  <c r="A1832" i="36"/>
  <c r="A1831" i="36"/>
  <c r="A1830" i="36"/>
  <c r="A1829" i="36"/>
  <c r="A1828" i="36"/>
  <c r="A1827" i="36"/>
  <c r="A1826" i="36"/>
  <c r="A1825" i="36"/>
  <c r="A1824" i="36"/>
  <c r="A1823" i="36"/>
  <c r="A1822" i="36"/>
  <c r="A1821" i="36"/>
  <c r="A1820" i="36"/>
  <c r="A1819" i="36"/>
  <c r="A1818" i="36"/>
  <c r="A1817" i="36"/>
  <c r="A1816" i="36"/>
  <c r="A1815" i="36"/>
  <c r="A1814" i="36"/>
  <c r="A1813" i="36"/>
  <c r="A1812" i="36"/>
  <c r="A1811" i="36"/>
  <c r="A1810" i="36"/>
  <c r="A1809" i="36"/>
  <c r="A1808" i="36"/>
  <c r="A1807" i="36"/>
  <c r="A1806" i="36"/>
  <c r="A1805" i="36"/>
  <c r="A1804" i="36"/>
  <c r="A1803" i="36"/>
  <c r="A1802" i="36"/>
  <c r="A1801" i="36"/>
  <c r="A1800" i="36"/>
  <c r="A1799" i="36"/>
  <c r="A1798" i="36"/>
  <c r="A1797" i="36"/>
  <c r="A1796" i="36"/>
  <c r="A1795" i="36"/>
  <c r="A1794" i="36"/>
  <c r="A1793" i="36"/>
  <c r="A1792" i="36"/>
  <c r="A1791" i="36"/>
  <c r="A1790" i="36"/>
  <c r="A1789" i="36"/>
  <c r="A1788" i="36"/>
  <c r="A1787" i="36"/>
  <c r="A1786" i="36"/>
  <c r="A1785" i="36"/>
  <c r="A1784" i="36"/>
  <c r="A1783" i="36"/>
  <c r="A1782" i="36"/>
  <c r="A1781" i="36"/>
  <c r="A1780" i="36"/>
  <c r="A1779" i="36"/>
  <c r="A1778" i="36"/>
  <c r="A1777" i="36"/>
  <c r="A1776" i="36"/>
  <c r="A1775" i="36"/>
  <c r="A1774" i="36"/>
  <c r="A1773" i="36"/>
  <c r="A1772" i="36"/>
  <c r="A1771" i="36"/>
  <c r="A1770" i="36"/>
  <c r="A1769" i="36"/>
  <c r="A1768" i="36"/>
  <c r="A1767" i="36"/>
  <c r="A1766" i="36"/>
  <c r="A1765" i="36"/>
  <c r="A1764" i="36"/>
  <c r="A1763" i="36"/>
  <c r="A1762" i="36"/>
  <c r="AG1761" i="36"/>
  <c r="AF1761" i="36"/>
  <c r="AE1761" i="36"/>
  <c r="A1761" i="36"/>
  <c r="AG1760" i="36"/>
  <c r="AF1760" i="36"/>
  <c r="AE1760" i="36"/>
  <c r="A1760" i="36"/>
  <c r="AG1759" i="36"/>
  <c r="AF1759" i="36"/>
  <c r="AE1759" i="36"/>
  <c r="A1759" i="36"/>
  <c r="AG1758" i="36"/>
  <c r="AF1758" i="36"/>
  <c r="AE1758" i="36"/>
  <c r="A1758" i="36"/>
  <c r="AG1757" i="36"/>
  <c r="AF1757" i="36"/>
  <c r="AE1757" i="36"/>
  <c r="A1757" i="36"/>
  <c r="AG1756" i="36"/>
  <c r="AF1756" i="36"/>
  <c r="AE1756" i="36"/>
  <c r="A1756" i="36"/>
  <c r="AG1755" i="36"/>
  <c r="AF1755" i="36"/>
  <c r="AE1755" i="36"/>
  <c r="A1755" i="36"/>
  <c r="AG1754" i="36"/>
  <c r="AF1754" i="36"/>
  <c r="AE1754" i="36"/>
  <c r="A1754" i="36"/>
  <c r="AG1753" i="36"/>
  <c r="AF1753" i="36"/>
  <c r="AE1753" i="36"/>
  <c r="A1753" i="36"/>
  <c r="AG1752" i="36"/>
  <c r="AF1752" i="36"/>
  <c r="AE1752" i="36"/>
  <c r="A1752" i="36"/>
  <c r="AG1751" i="36"/>
  <c r="AF1751" i="36"/>
  <c r="AE1751" i="36"/>
  <c r="A1751" i="36"/>
  <c r="AG1750" i="36"/>
  <c r="AF1750" i="36"/>
  <c r="AE1750" i="36"/>
  <c r="A1750" i="36"/>
  <c r="AG1749" i="36"/>
  <c r="AF1749" i="36"/>
  <c r="AE1749" i="36"/>
  <c r="A1749" i="36"/>
  <c r="AG1748" i="36"/>
  <c r="AF1748" i="36"/>
  <c r="AE1748" i="36"/>
  <c r="A1748" i="36"/>
  <c r="AG1747" i="36"/>
  <c r="AF1747" i="36"/>
  <c r="AE1747" i="36"/>
  <c r="A1747" i="36"/>
  <c r="AG1746" i="36"/>
  <c r="AF1746" i="36"/>
  <c r="AE1746" i="36"/>
  <c r="A1746" i="36"/>
  <c r="AG1745" i="36"/>
  <c r="AF1745" i="36"/>
  <c r="AE1745" i="36"/>
  <c r="A1745" i="36"/>
  <c r="AG1744" i="36"/>
  <c r="AF1744" i="36"/>
  <c r="AE1744" i="36"/>
  <c r="A1744" i="36"/>
  <c r="AG1743" i="36"/>
  <c r="AF1743" i="36"/>
  <c r="AE1743" i="36"/>
  <c r="A1743" i="36"/>
  <c r="AG1742" i="36"/>
  <c r="AF1742" i="36"/>
  <c r="AE1742" i="36"/>
  <c r="A1742" i="36"/>
  <c r="AG1741" i="36"/>
  <c r="AF1741" i="36"/>
  <c r="AE1741" i="36"/>
  <c r="A1741" i="36"/>
  <c r="AG1740" i="36"/>
  <c r="AF1740" i="36"/>
  <c r="AE1740" i="36"/>
  <c r="A1740" i="36"/>
  <c r="AG1739" i="36"/>
  <c r="AF1739" i="36"/>
  <c r="AE1739" i="36"/>
  <c r="A1739" i="36"/>
  <c r="AG1738" i="36"/>
  <c r="AF1738" i="36"/>
  <c r="AE1738" i="36"/>
  <c r="A1738" i="36"/>
  <c r="AG1737" i="36"/>
  <c r="AF1737" i="36"/>
  <c r="AE1737" i="36"/>
  <c r="A1737" i="36"/>
  <c r="AG1736" i="36"/>
  <c r="AF1736" i="36"/>
  <c r="AE1736" i="36"/>
  <c r="A1736" i="36"/>
  <c r="AG1735" i="36"/>
  <c r="AF1735" i="36"/>
  <c r="AE1735" i="36"/>
  <c r="A1735" i="36"/>
  <c r="AG1734" i="36"/>
  <c r="AF1734" i="36"/>
  <c r="AE1734" i="36"/>
  <c r="A1734" i="36"/>
  <c r="AG1733" i="36"/>
  <c r="AF1733" i="36"/>
  <c r="AE1733" i="36"/>
  <c r="A1733" i="36"/>
  <c r="AG1732" i="36"/>
  <c r="AF1732" i="36"/>
  <c r="AE1732" i="36"/>
  <c r="A1732" i="36"/>
  <c r="AG1731" i="36"/>
  <c r="AF1731" i="36"/>
  <c r="AE1731" i="36"/>
  <c r="A1731" i="36"/>
  <c r="AG1730" i="36"/>
  <c r="AF1730" i="36"/>
  <c r="AE1730" i="36"/>
  <c r="A1730" i="36"/>
  <c r="AG1729" i="36"/>
  <c r="AF1729" i="36"/>
  <c r="AE1729" i="36"/>
  <c r="A1729" i="36"/>
  <c r="AG1728" i="36"/>
  <c r="AF1728" i="36"/>
  <c r="AE1728" i="36"/>
  <c r="A1728" i="36"/>
  <c r="AG1727" i="36"/>
  <c r="AF1727" i="36"/>
  <c r="AE1727" i="36"/>
  <c r="A1727" i="36"/>
  <c r="AG1726" i="36"/>
  <c r="AF1726" i="36"/>
  <c r="AE1726" i="36"/>
  <c r="A1726" i="36"/>
  <c r="AG1725" i="36"/>
  <c r="AF1725" i="36"/>
  <c r="AE1725" i="36"/>
  <c r="A1725" i="36"/>
  <c r="AG1724" i="36"/>
  <c r="AF1724" i="36"/>
  <c r="AE1724" i="36"/>
  <c r="A1724" i="36"/>
  <c r="AG1723" i="36"/>
  <c r="AF1723" i="36"/>
  <c r="AE1723" i="36"/>
  <c r="A1723" i="36"/>
  <c r="AG1722" i="36"/>
  <c r="AF1722" i="36"/>
  <c r="AE1722" i="36"/>
  <c r="A1722" i="36"/>
  <c r="AG1721" i="36"/>
  <c r="AF1721" i="36"/>
  <c r="AE1721" i="36"/>
  <c r="A1721" i="36"/>
  <c r="AG1720" i="36"/>
  <c r="AF1720" i="36"/>
  <c r="AE1720" i="36"/>
  <c r="A1720" i="36"/>
  <c r="AG1719" i="36"/>
  <c r="AF1719" i="36"/>
  <c r="AE1719" i="36"/>
  <c r="A1719" i="36"/>
  <c r="AG1718" i="36"/>
  <c r="AF1718" i="36"/>
  <c r="AE1718" i="36"/>
  <c r="A1718" i="36"/>
  <c r="AG1717" i="36"/>
  <c r="AF1717" i="36"/>
  <c r="AE1717" i="36"/>
  <c r="A1717" i="36"/>
  <c r="AG1716" i="36"/>
  <c r="AF1716" i="36"/>
  <c r="AE1716" i="36"/>
  <c r="A1716" i="36"/>
  <c r="AG1715" i="36"/>
  <c r="AF1715" i="36"/>
  <c r="AE1715" i="36"/>
  <c r="A1715" i="36"/>
  <c r="AG1714" i="36"/>
  <c r="AF1714" i="36"/>
  <c r="AE1714" i="36"/>
  <c r="A1714" i="36"/>
  <c r="AG1713" i="36"/>
  <c r="AF1713" i="36"/>
  <c r="AE1713" i="36"/>
  <c r="A1713" i="36"/>
  <c r="AG1712" i="36"/>
  <c r="AF1712" i="36"/>
  <c r="AE1712" i="36"/>
  <c r="A1712" i="36"/>
  <c r="AG1711" i="36"/>
  <c r="AF1711" i="36"/>
  <c r="AE1711" i="36"/>
  <c r="A1711" i="36"/>
  <c r="AG1710" i="36"/>
  <c r="AF1710" i="36"/>
  <c r="AE1710" i="36"/>
  <c r="A1710" i="36"/>
  <c r="AG1709" i="36"/>
  <c r="AF1709" i="36"/>
  <c r="AE1709" i="36"/>
  <c r="A1709" i="36"/>
  <c r="AG1708" i="36"/>
  <c r="AF1708" i="36"/>
  <c r="AE1708" i="36"/>
  <c r="A1708" i="36"/>
  <c r="AG1707" i="36"/>
  <c r="AF1707" i="36"/>
  <c r="AE1707" i="36"/>
  <c r="A1707" i="36"/>
  <c r="AG1706" i="36"/>
  <c r="AF1706" i="36"/>
  <c r="AE1706" i="36"/>
  <c r="A1706" i="36"/>
  <c r="AG1705" i="36"/>
  <c r="AF1705" i="36"/>
  <c r="AE1705" i="36"/>
  <c r="A1705" i="36"/>
  <c r="AG1704" i="36"/>
  <c r="AF1704" i="36"/>
  <c r="AE1704" i="36"/>
  <c r="A1704" i="36"/>
  <c r="AG1703" i="36"/>
  <c r="AF1703" i="36"/>
  <c r="AE1703" i="36"/>
  <c r="A1703" i="36"/>
  <c r="AG1702" i="36"/>
  <c r="AF1702" i="36"/>
  <c r="AE1702" i="36"/>
  <c r="A1702" i="36"/>
  <c r="AG1701" i="36"/>
  <c r="AF1701" i="36"/>
  <c r="AE1701" i="36"/>
  <c r="A1701" i="36"/>
  <c r="AG1700" i="36"/>
  <c r="AF1700" i="36"/>
  <c r="AE1700" i="36"/>
  <c r="A1700" i="36"/>
  <c r="AG1699" i="36"/>
  <c r="AF1699" i="36"/>
  <c r="AE1699" i="36"/>
  <c r="A1699" i="36"/>
  <c r="AG1698" i="36"/>
  <c r="AF1698" i="36"/>
  <c r="AE1698" i="36"/>
  <c r="A1698" i="36"/>
  <c r="AG1697" i="36"/>
  <c r="AF1697" i="36"/>
  <c r="AE1697" i="36"/>
  <c r="A1697" i="36"/>
  <c r="AG1696" i="36"/>
  <c r="AF1696" i="36"/>
  <c r="AE1696" i="36"/>
  <c r="A1696" i="36"/>
  <c r="AG1695" i="36"/>
  <c r="AF1695" i="36"/>
  <c r="AE1695" i="36"/>
  <c r="A1695" i="36"/>
  <c r="AG1694" i="36"/>
  <c r="AF1694" i="36"/>
  <c r="AE1694" i="36"/>
  <c r="A1694" i="36"/>
  <c r="AG1693" i="36"/>
  <c r="AF1693" i="36"/>
  <c r="AE1693" i="36"/>
  <c r="A1693" i="36"/>
  <c r="AG1692" i="36"/>
  <c r="AF1692" i="36"/>
  <c r="AE1692" i="36"/>
  <c r="A1692" i="36"/>
  <c r="AG1691" i="36"/>
  <c r="AF1691" i="36"/>
  <c r="AE1691" i="36"/>
  <c r="A1691" i="36"/>
  <c r="AG1690" i="36"/>
  <c r="AF1690" i="36"/>
  <c r="AE1690" i="36"/>
  <c r="A1690" i="36"/>
  <c r="AG1689" i="36"/>
  <c r="AF1689" i="36"/>
  <c r="AE1689" i="36"/>
  <c r="A1689" i="36"/>
  <c r="AG1688" i="36"/>
  <c r="AF1688" i="36"/>
  <c r="AE1688" i="36"/>
  <c r="A1688" i="36"/>
  <c r="AG1687" i="36"/>
  <c r="AF1687" i="36"/>
  <c r="AE1687" i="36"/>
  <c r="A1687" i="36"/>
  <c r="AG1686" i="36"/>
  <c r="AF1686" i="36"/>
  <c r="AE1686" i="36"/>
  <c r="A1686" i="36"/>
  <c r="AG1685" i="36"/>
  <c r="AF1685" i="36"/>
  <c r="AE1685" i="36"/>
  <c r="A1685" i="36"/>
  <c r="AG1684" i="36"/>
  <c r="AF1684" i="36"/>
  <c r="AE1684" i="36"/>
  <c r="A1684" i="36"/>
  <c r="AG1683" i="36"/>
  <c r="AF1683" i="36"/>
  <c r="AE1683" i="36"/>
  <c r="A1683" i="36"/>
  <c r="AG1682" i="36"/>
  <c r="AF1682" i="36"/>
  <c r="AE1682" i="36"/>
  <c r="A1682" i="36"/>
  <c r="AG1681" i="36"/>
  <c r="AF1681" i="36"/>
  <c r="AE1681" i="36"/>
  <c r="A1681" i="36"/>
  <c r="AG1680" i="36"/>
  <c r="AF1680" i="36"/>
  <c r="AE1680" i="36"/>
  <c r="A1680" i="36"/>
  <c r="AG1679" i="36"/>
  <c r="AF1679" i="36"/>
  <c r="AE1679" i="36"/>
  <c r="A1679" i="36"/>
  <c r="AG1678" i="36"/>
  <c r="AF1678" i="36"/>
  <c r="AE1678" i="36"/>
  <c r="A1678" i="36"/>
  <c r="AG1677" i="36"/>
  <c r="AF1677" i="36"/>
  <c r="AE1677" i="36"/>
  <c r="A1677" i="36"/>
  <c r="AG1676" i="36"/>
  <c r="AF1676" i="36"/>
  <c r="AE1676" i="36"/>
  <c r="A1676" i="36"/>
  <c r="AG1675" i="36"/>
  <c r="AF1675" i="36"/>
  <c r="AE1675" i="36"/>
  <c r="A1675" i="36"/>
  <c r="AG1674" i="36"/>
  <c r="AF1674" i="36"/>
  <c r="AE1674" i="36"/>
  <c r="A1674" i="36"/>
  <c r="AG1673" i="36"/>
  <c r="AF1673" i="36"/>
  <c r="AE1673" i="36"/>
  <c r="A1673" i="36"/>
  <c r="AG1672" i="36"/>
  <c r="AF1672" i="36"/>
  <c r="AE1672" i="36"/>
  <c r="A1672" i="36"/>
  <c r="AG1671" i="36"/>
  <c r="AF1671" i="36"/>
  <c r="AE1671" i="36"/>
  <c r="A1671" i="36"/>
  <c r="AG1670" i="36"/>
  <c r="AF1670" i="36"/>
  <c r="AE1670" i="36"/>
  <c r="A1670" i="36"/>
  <c r="AG1669" i="36"/>
  <c r="AF1669" i="36"/>
  <c r="AE1669" i="36"/>
  <c r="A1669" i="36"/>
  <c r="AG1668" i="36"/>
  <c r="AF1668" i="36"/>
  <c r="AE1668" i="36"/>
  <c r="A1668" i="36"/>
  <c r="AG1667" i="36"/>
  <c r="AF1667" i="36"/>
  <c r="AE1667" i="36"/>
  <c r="A1667" i="36"/>
  <c r="AG1666" i="36"/>
  <c r="AF1666" i="36"/>
  <c r="AE1666" i="36"/>
  <c r="A1666" i="36"/>
  <c r="AG1665" i="36"/>
  <c r="AF1665" i="36"/>
  <c r="AE1665" i="36"/>
  <c r="A1665" i="36"/>
  <c r="AG1664" i="36"/>
  <c r="AF1664" i="36"/>
  <c r="AE1664" i="36"/>
  <c r="A1664" i="36"/>
  <c r="AG1663" i="36"/>
  <c r="AF1663" i="36"/>
  <c r="AE1663" i="36"/>
  <c r="A1663" i="36"/>
  <c r="AG1662" i="36"/>
  <c r="AF1662" i="36"/>
  <c r="AE1662" i="36"/>
  <c r="A1662" i="36"/>
  <c r="AG1661" i="36"/>
  <c r="AF1661" i="36"/>
  <c r="AE1661" i="36"/>
  <c r="A1661" i="36"/>
  <c r="AG1660" i="36"/>
  <c r="AF1660" i="36"/>
  <c r="AE1660" i="36"/>
  <c r="A1660" i="36"/>
  <c r="AG1659" i="36"/>
  <c r="AF1659" i="36"/>
  <c r="AE1659" i="36"/>
  <c r="A1659" i="36"/>
  <c r="AG1658" i="36"/>
  <c r="AF1658" i="36"/>
  <c r="AE1658" i="36"/>
  <c r="A1658" i="36"/>
  <c r="AG1657" i="36"/>
  <c r="AF1657" i="36"/>
  <c r="AE1657" i="36"/>
  <c r="A1657" i="36"/>
  <c r="AG1656" i="36"/>
  <c r="AF1656" i="36"/>
  <c r="AE1656" i="36"/>
  <c r="A1656" i="36"/>
  <c r="AG1655" i="36"/>
  <c r="AF1655" i="36"/>
  <c r="AE1655" i="36"/>
  <c r="A1655" i="36"/>
  <c r="AG1654" i="36"/>
  <c r="AF1654" i="36"/>
  <c r="AE1654" i="36"/>
  <c r="A1654" i="36"/>
  <c r="AG1653" i="36"/>
  <c r="AF1653" i="36"/>
  <c r="AE1653" i="36"/>
  <c r="A1653" i="36"/>
  <c r="AG1652" i="36"/>
  <c r="AF1652" i="36"/>
  <c r="AE1652" i="36"/>
  <c r="A1652" i="36"/>
  <c r="AG1651" i="36"/>
  <c r="AF1651" i="36"/>
  <c r="AE1651" i="36"/>
  <c r="A1651" i="36"/>
  <c r="AG1650" i="36"/>
  <c r="AF1650" i="36"/>
  <c r="AE1650" i="36"/>
  <c r="A1650" i="36"/>
  <c r="AG1649" i="36"/>
  <c r="AF1649" i="36"/>
  <c r="AE1649" i="36"/>
  <c r="A1649" i="36"/>
  <c r="AG1648" i="36"/>
  <c r="AF1648" i="36"/>
  <c r="AE1648" i="36"/>
  <c r="A1648" i="36"/>
  <c r="AG1647" i="36"/>
  <c r="AF1647" i="36"/>
  <c r="AE1647" i="36"/>
  <c r="A1647" i="36"/>
  <c r="AG1646" i="36"/>
  <c r="AF1646" i="36"/>
  <c r="AE1646" i="36"/>
  <c r="A1646" i="36"/>
  <c r="AG1645" i="36"/>
  <c r="AF1645" i="36"/>
  <c r="AE1645" i="36"/>
  <c r="A1645" i="36"/>
  <c r="AG1644" i="36"/>
  <c r="AF1644" i="36"/>
  <c r="AE1644" i="36"/>
  <c r="A1644" i="36"/>
  <c r="AG1643" i="36"/>
  <c r="AF1643" i="36"/>
  <c r="AE1643" i="36"/>
  <c r="A1643" i="36"/>
  <c r="AG1642" i="36"/>
  <c r="AF1642" i="36"/>
  <c r="AE1642" i="36"/>
  <c r="A1642" i="36"/>
  <c r="AG1641" i="36"/>
  <c r="AF1641" i="36"/>
  <c r="AE1641" i="36"/>
  <c r="A1641" i="36"/>
  <c r="AG1640" i="36"/>
  <c r="AF1640" i="36"/>
  <c r="AE1640" i="36"/>
  <c r="A1640" i="36"/>
  <c r="AG1639" i="36"/>
  <c r="AF1639" i="36"/>
  <c r="AE1639" i="36"/>
  <c r="A1639" i="36"/>
  <c r="AG1638" i="36"/>
  <c r="AF1638" i="36"/>
  <c r="AE1638" i="36"/>
  <c r="A1638" i="36"/>
  <c r="AG1637" i="36"/>
  <c r="AF1637" i="36"/>
  <c r="AE1637" i="36"/>
  <c r="A1637" i="36"/>
  <c r="AG1636" i="36"/>
  <c r="AF1636" i="36"/>
  <c r="AE1636" i="36"/>
  <c r="A1636" i="36"/>
  <c r="AG1635" i="36"/>
  <c r="AF1635" i="36"/>
  <c r="AE1635" i="36"/>
  <c r="A1635" i="36"/>
  <c r="AG1634" i="36"/>
  <c r="AF1634" i="36"/>
  <c r="AE1634" i="36"/>
  <c r="A1634" i="36"/>
  <c r="AG1633" i="36"/>
  <c r="AF1633" i="36"/>
  <c r="AE1633" i="36"/>
  <c r="A1633" i="36"/>
  <c r="AG1632" i="36"/>
  <c r="AF1632" i="36"/>
  <c r="AE1632" i="36"/>
  <c r="A1632" i="36"/>
  <c r="AG1631" i="36"/>
  <c r="AF1631" i="36"/>
  <c r="AE1631" i="36"/>
  <c r="A1631" i="36"/>
  <c r="AG1630" i="36"/>
  <c r="AF1630" i="36"/>
  <c r="AE1630" i="36"/>
  <c r="A1630" i="36"/>
  <c r="AG1629" i="36"/>
  <c r="AF1629" i="36"/>
  <c r="AE1629" i="36"/>
  <c r="A1629" i="36"/>
  <c r="AG1628" i="36"/>
  <c r="AF1628" i="36"/>
  <c r="AE1628" i="36"/>
  <c r="A1628" i="36"/>
  <c r="AG1627" i="36"/>
  <c r="AF1627" i="36"/>
  <c r="AE1627" i="36"/>
  <c r="A1627" i="36"/>
  <c r="AG1626" i="36"/>
  <c r="AF1626" i="36"/>
  <c r="AE1626" i="36"/>
  <c r="A1626" i="36"/>
  <c r="AG1625" i="36"/>
  <c r="AF1625" i="36"/>
  <c r="AE1625" i="36"/>
  <c r="A1625" i="36"/>
  <c r="AG1624" i="36"/>
  <c r="AF1624" i="36"/>
  <c r="AE1624" i="36"/>
  <c r="A1624" i="36"/>
  <c r="AG1623" i="36"/>
  <c r="AF1623" i="36"/>
  <c r="AE1623" i="36"/>
  <c r="A1623" i="36"/>
  <c r="AG1622" i="36"/>
  <c r="AF1622" i="36"/>
  <c r="AE1622" i="36"/>
  <c r="A1622" i="36"/>
  <c r="AG1621" i="36"/>
  <c r="AF1621" i="36"/>
  <c r="AE1621" i="36"/>
  <c r="A1621" i="36"/>
  <c r="AG1620" i="36"/>
  <c r="AF1620" i="36"/>
  <c r="AE1620" i="36"/>
  <c r="A1620" i="36"/>
  <c r="AG1619" i="36"/>
  <c r="AF1619" i="36"/>
  <c r="AE1619" i="36"/>
  <c r="A1619" i="36"/>
  <c r="AG1618" i="36"/>
  <c r="AF1618" i="36"/>
  <c r="AE1618" i="36"/>
  <c r="A1618" i="36"/>
  <c r="AG1617" i="36"/>
  <c r="AF1617" i="36"/>
  <c r="AE1617" i="36"/>
  <c r="A1617" i="36"/>
  <c r="AG1616" i="36"/>
  <c r="AF1616" i="36"/>
  <c r="AE1616" i="36"/>
  <c r="A1616" i="36"/>
  <c r="AG1615" i="36"/>
  <c r="AF1615" i="36"/>
  <c r="AE1615" i="36"/>
  <c r="A1615" i="36"/>
  <c r="A1614" i="36"/>
  <c r="A1613" i="36"/>
  <c r="A1612" i="36"/>
  <c r="A1611" i="36"/>
  <c r="A1610" i="36"/>
  <c r="A1609" i="36"/>
  <c r="A1608" i="36"/>
  <c r="A1607" i="36"/>
  <c r="A1606" i="36"/>
  <c r="A1605" i="36"/>
  <c r="A1604" i="36"/>
  <c r="A1603" i="36"/>
  <c r="A1602" i="36"/>
  <c r="A1601" i="36"/>
  <c r="A1600" i="36"/>
  <c r="A1599" i="36"/>
  <c r="A1598" i="36"/>
  <c r="A1597" i="36"/>
  <c r="A1596" i="36"/>
  <c r="A1595" i="36"/>
  <c r="A1594" i="36"/>
  <c r="A1593" i="36"/>
  <c r="A1592" i="36"/>
  <c r="A1591" i="36"/>
  <c r="A1590" i="36"/>
  <c r="A1589" i="36"/>
  <c r="A1588" i="36"/>
  <c r="A1587" i="36"/>
  <c r="A1586" i="36"/>
  <c r="A1585" i="36"/>
  <c r="A1584" i="36"/>
  <c r="A1583" i="36"/>
  <c r="A1582" i="36"/>
  <c r="A1581" i="36"/>
  <c r="A1580" i="36"/>
  <c r="A1579" i="36"/>
  <c r="A1578" i="36"/>
  <c r="A1577" i="36"/>
  <c r="A1576" i="36"/>
  <c r="A1575" i="36"/>
  <c r="A1574" i="36"/>
  <c r="A1573" i="36"/>
  <c r="A1572" i="36"/>
  <c r="A1571" i="36"/>
  <c r="A1570" i="36"/>
  <c r="A1569" i="36"/>
  <c r="A1568" i="36"/>
  <c r="A1567" i="36"/>
  <c r="A1566" i="36"/>
  <c r="A1565" i="36"/>
  <c r="A1564" i="36"/>
  <c r="A1563" i="36"/>
  <c r="A1562" i="36"/>
  <c r="A1561" i="36"/>
  <c r="A1560" i="36"/>
  <c r="A1559" i="36"/>
  <c r="A1558" i="36"/>
  <c r="A1557" i="36"/>
  <c r="A1556" i="36"/>
  <c r="A1555" i="36"/>
  <c r="A1554" i="36"/>
  <c r="A1553" i="36"/>
  <c r="A1552" i="36"/>
  <c r="A1551" i="36"/>
  <c r="A1550" i="36"/>
  <c r="A1549" i="36"/>
  <c r="A1548" i="36"/>
  <c r="A1547" i="36"/>
  <c r="A1546" i="36"/>
  <c r="A1545" i="36"/>
  <c r="A1544" i="36"/>
  <c r="A1543" i="36"/>
  <c r="A1542" i="36"/>
  <c r="A1541" i="36"/>
  <c r="A1540" i="36"/>
  <c r="A1539" i="36"/>
  <c r="A1538" i="36"/>
  <c r="A1537" i="36"/>
  <c r="A1536" i="36"/>
  <c r="A1535" i="36"/>
  <c r="A1534" i="36"/>
  <c r="A1533" i="36"/>
  <c r="A1532" i="36"/>
  <c r="A1531" i="36"/>
  <c r="A1530" i="36"/>
  <c r="A1529" i="36"/>
  <c r="A1528" i="36"/>
  <c r="A1527" i="36"/>
  <c r="A1526" i="36"/>
  <c r="A1525" i="36"/>
  <c r="A1524" i="36"/>
  <c r="A1523" i="36"/>
  <c r="A1522" i="36"/>
  <c r="A1521" i="36"/>
  <c r="A1520" i="36"/>
  <c r="A1519" i="36"/>
  <c r="A1518" i="36"/>
  <c r="A1517" i="36"/>
  <c r="A1516" i="36"/>
  <c r="A1515" i="36"/>
  <c r="A1514" i="36"/>
  <c r="A1513" i="36"/>
  <c r="A1512" i="36"/>
  <c r="A1511" i="36"/>
  <c r="A1510" i="36"/>
  <c r="A1509" i="36"/>
  <c r="A1508" i="36"/>
  <c r="A1507" i="36"/>
  <c r="A1506" i="36"/>
  <c r="A1505" i="36"/>
  <c r="A1504" i="36"/>
  <c r="A1503" i="36"/>
  <c r="A1502" i="36"/>
  <c r="A1501" i="36"/>
  <c r="A1500" i="36"/>
  <c r="A1499" i="36"/>
  <c r="A1498" i="36"/>
  <c r="A1497" i="36"/>
  <c r="A1496" i="36"/>
  <c r="A1495" i="36"/>
  <c r="A1494" i="36"/>
  <c r="A1493" i="36"/>
  <c r="A1492" i="36"/>
  <c r="A1491" i="36"/>
  <c r="A1490" i="36"/>
  <c r="A1489" i="36"/>
  <c r="A1488" i="36"/>
  <c r="A1487" i="36"/>
  <c r="A1486" i="36"/>
  <c r="A1485" i="36"/>
  <c r="A1484" i="36"/>
  <c r="A1483" i="36"/>
  <c r="A1482" i="36"/>
  <c r="A1481" i="36"/>
  <c r="A1480" i="36"/>
  <c r="A1479" i="36"/>
  <c r="A1478" i="36"/>
  <c r="A1477" i="36"/>
  <c r="A1476" i="36"/>
  <c r="A1475" i="36"/>
  <c r="A1474" i="36"/>
  <c r="A1473" i="36"/>
  <c r="A1472" i="36"/>
  <c r="A1471" i="36"/>
  <c r="A1470" i="36"/>
  <c r="A1469" i="36"/>
  <c r="A1468" i="36"/>
  <c r="A1467" i="36"/>
  <c r="A1466" i="36"/>
  <c r="A1465" i="36"/>
  <c r="A1464" i="36"/>
  <c r="A1463" i="36"/>
  <c r="A1462" i="36"/>
  <c r="A1461" i="36"/>
  <c r="A1460" i="36"/>
  <c r="A1459" i="36"/>
  <c r="A1458" i="36"/>
  <c r="A1457" i="36"/>
  <c r="A1456" i="36"/>
  <c r="A1455" i="36"/>
  <c r="A1454" i="36"/>
  <c r="A1453" i="36"/>
  <c r="A1452" i="36"/>
  <c r="A1451" i="36"/>
  <c r="A1450" i="36"/>
  <c r="A1449" i="36"/>
  <c r="A1448" i="36"/>
  <c r="A1447" i="36"/>
  <c r="A1446" i="36"/>
  <c r="A1445" i="36"/>
  <c r="A1444" i="36"/>
  <c r="A1443" i="36"/>
  <c r="A1442" i="36"/>
  <c r="A1441" i="36"/>
  <c r="A1440" i="36"/>
  <c r="A1439" i="36"/>
  <c r="A1438" i="36"/>
  <c r="A1437" i="36"/>
  <c r="A1436" i="36"/>
  <c r="A1435" i="36"/>
  <c r="A1434" i="36"/>
  <c r="A1433" i="36"/>
  <c r="A1432" i="36"/>
  <c r="A1431" i="36"/>
  <c r="A1430" i="36"/>
  <c r="A1429" i="36"/>
  <c r="A1428" i="36"/>
  <c r="A1427" i="36"/>
  <c r="A1426" i="36"/>
  <c r="A1425" i="36"/>
  <c r="A1424" i="36"/>
  <c r="A1423" i="36"/>
  <c r="A1422" i="36"/>
  <c r="A1421" i="36"/>
  <c r="A1420" i="36"/>
  <c r="A1419" i="36"/>
  <c r="A1418" i="36"/>
  <c r="A1417" i="36"/>
  <c r="A1416" i="36"/>
  <c r="A1415" i="36"/>
  <c r="A1414" i="36"/>
  <c r="A1413" i="36"/>
  <c r="A1412" i="36"/>
  <c r="A1411" i="36"/>
  <c r="A1410" i="36"/>
  <c r="A1409" i="36"/>
  <c r="A1408" i="36"/>
  <c r="A1407" i="36"/>
  <c r="A1406" i="36"/>
  <c r="A1405" i="36"/>
  <c r="A1404" i="36"/>
  <c r="A1403" i="36"/>
  <c r="A1402" i="36"/>
  <c r="A1401" i="36"/>
  <c r="A1400" i="36"/>
  <c r="A1399" i="36"/>
  <c r="A1398" i="36"/>
  <c r="A1397" i="36"/>
  <c r="A1396" i="36"/>
  <c r="A1395" i="36"/>
  <c r="A1394" i="36"/>
  <c r="A1393" i="36"/>
  <c r="A1392" i="36"/>
  <c r="A1391" i="36"/>
  <c r="A1390" i="36"/>
  <c r="A1389" i="36"/>
  <c r="A1388" i="36"/>
  <c r="A1387" i="36"/>
  <c r="A1386" i="36"/>
  <c r="A1385" i="36"/>
  <c r="A1384" i="36"/>
  <c r="A1383" i="36"/>
  <c r="A1382" i="36"/>
  <c r="A1381" i="36"/>
  <c r="A1380" i="36"/>
  <c r="A1379" i="36"/>
  <c r="A1378" i="36"/>
  <c r="A1377" i="36"/>
  <c r="A1376" i="36"/>
  <c r="A1375" i="36"/>
  <c r="A1374" i="36"/>
  <c r="A1373" i="36"/>
  <c r="A1372" i="36"/>
  <c r="A1371" i="36"/>
  <c r="A1370" i="36"/>
  <c r="A1369" i="36"/>
  <c r="A1368" i="36"/>
  <c r="A1367" i="36"/>
  <c r="A1366" i="36"/>
  <c r="A1365" i="36"/>
  <c r="A1364" i="36"/>
  <c r="A1363" i="36"/>
  <c r="A1362" i="36"/>
  <c r="A1361" i="36"/>
  <c r="A1360" i="36"/>
  <c r="A1359" i="36"/>
  <c r="A1358" i="36"/>
  <c r="A1357" i="36"/>
  <c r="A1356" i="36"/>
  <c r="A1355" i="36"/>
  <c r="A1354" i="36"/>
  <c r="A1353" i="36"/>
  <c r="A1352" i="36"/>
  <c r="A1351" i="36"/>
  <c r="A1350" i="36"/>
  <c r="A1349" i="36"/>
  <c r="A1348" i="36"/>
  <c r="A1347" i="36"/>
  <c r="A1346" i="36"/>
  <c r="A1345" i="36"/>
  <c r="A1344" i="36"/>
  <c r="A1343" i="36"/>
  <c r="A1342" i="36"/>
  <c r="A1341" i="36"/>
  <c r="A1340" i="36"/>
  <c r="A1339" i="36"/>
  <c r="A1338" i="36"/>
  <c r="A1337" i="36"/>
  <c r="A1336" i="36"/>
  <c r="A1335" i="36"/>
  <c r="A1334" i="36"/>
  <c r="A1333" i="36"/>
  <c r="A1332" i="36"/>
  <c r="A1331" i="36"/>
  <c r="A1330" i="36"/>
  <c r="A1329" i="36"/>
  <c r="A1328" i="36"/>
  <c r="A1327" i="36"/>
  <c r="A1326" i="36"/>
  <c r="A1325" i="36"/>
  <c r="A1324" i="36"/>
  <c r="A1323" i="36"/>
  <c r="A1322" i="36"/>
  <c r="A1321" i="36"/>
  <c r="A1320" i="36"/>
  <c r="A1319" i="36"/>
  <c r="A1318" i="36"/>
  <c r="A1317" i="36"/>
  <c r="A1316" i="36"/>
  <c r="A1315" i="36"/>
  <c r="A1314" i="36"/>
  <c r="A1313" i="36"/>
  <c r="A1312" i="36"/>
  <c r="A1311" i="36"/>
  <c r="A1310" i="36"/>
  <c r="A1309" i="36"/>
  <c r="A1308" i="36"/>
  <c r="A1307" i="36"/>
  <c r="A1306" i="36"/>
  <c r="A1305" i="36"/>
  <c r="A1304" i="36"/>
  <c r="A1303" i="36"/>
  <c r="A1302" i="36"/>
  <c r="A1301" i="36"/>
  <c r="A1300" i="36"/>
  <c r="A1299" i="36"/>
  <c r="A1298" i="36"/>
  <c r="A1297" i="36"/>
  <c r="A1296" i="36"/>
  <c r="A1295" i="36"/>
  <c r="A1294" i="36"/>
  <c r="A1293" i="36"/>
  <c r="A1292" i="36"/>
  <c r="A1291" i="36"/>
  <c r="A1290" i="36"/>
  <c r="A1289" i="36"/>
  <c r="A1288" i="36"/>
  <c r="A1287" i="36"/>
  <c r="A1286" i="36"/>
  <c r="A1285" i="36"/>
  <c r="A1284" i="36"/>
  <c r="A1283" i="36"/>
  <c r="A1282" i="36"/>
  <c r="A1281" i="36"/>
  <c r="A1280" i="36"/>
  <c r="A1279" i="36"/>
  <c r="A1278" i="36"/>
  <c r="A1277" i="36"/>
  <c r="A1276" i="36"/>
  <c r="A1275" i="36"/>
  <c r="A1274" i="36"/>
  <c r="A1273" i="36"/>
  <c r="A1272" i="36"/>
  <c r="A1271" i="36"/>
  <c r="A1270" i="36"/>
  <c r="A1269" i="36"/>
  <c r="A1268" i="36"/>
  <c r="A1267" i="36"/>
  <c r="A1266" i="36"/>
  <c r="A1265" i="36"/>
  <c r="A1264" i="36"/>
  <c r="A1263" i="36"/>
  <c r="A1262" i="36"/>
  <c r="A1261" i="36"/>
  <c r="A1260" i="36"/>
  <c r="A1259" i="36"/>
  <c r="A1258" i="36"/>
  <c r="A1257" i="36"/>
  <c r="A1256" i="36"/>
  <c r="A1255" i="36"/>
  <c r="A1254" i="36"/>
  <c r="A1253" i="36"/>
  <c r="A1252" i="36"/>
  <c r="A1251" i="36"/>
  <c r="A1250" i="36"/>
  <c r="A1249" i="36"/>
  <c r="A1248" i="36"/>
  <c r="A1247" i="36"/>
  <c r="A1246" i="36"/>
  <c r="A1245" i="36"/>
  <c r="A1244" i="36"/>
  <c r="A1243" i="36"/>
  <c r="A1242" i="36"/>
  <c r="A1241" i="36"/>
  <c r="A1240" i="36"/>
  <c r="A1239" i="36"/>
  <c r="A1238" i="36"/>
  <c r="A1237" i="36"/>
  <c r="A1236" i="36"/>
  <c r="A1235" i="36"/>
  <c r="A1234" i="36"/>
  <c r="A1233" i="36"/>
  <c r="A1232" i="36"/>
  <c r="A1231" i="36"/>
  <c r="A1230" i="36"/>
  <c r="A1229" i="36"/>
  <c r="A1228" i="36"/>
  <c r="A1227" i="36"/>
  <c r="A1226" i="36"/>
  <c r="A1225" i="36"/>
  <c r="A1224" i="36"/>
  <c r="A1223" i="36"/>
  <c r="A1222" i="36"/>
  <c r="A1221" i="36"/>
  <c r="A1220" i="36"/>
  <c r="A1219" i="36"/>
  <c r="A1218" i="36"/>
  <c r="A1217" i="36"/>
  <c r="A1216" i="36"/>
  <c r="A1215" i="36"/>
  <c r="A1214" i="36"/>
  <c r="A1213" i="36"/>
  <c r="A1212" i="36"/>
  <c r="A1211" i="36"/>
  <c r="A1210" i="36"/>
  <c r="A1209" i="36"/>
  <c r="A1208" i="36"/>
  <c r="A1207" i="36"/>
  <c r="A1206" i="36"/>
  <c r="A1205" i="36"/>
  <c r="A1204" i="36"/>
  <c r="A1203" i="36"/>
  <c r="A1202" i="36"/>
  <c r="A1201" i="36"/>
  <c r="A1200" i="36"/>
  <c r="A1199" i="36"/>
  <c r="A1198" i="36"/>
  <c r="A1197" i="36"/>
  <c r="A1196" i="36"/>
  <c r="A1195" i="36"/>
  <c r="A1194" i="36"/>
  <c r="A1193" i="36"/>
  <c r="A1192" i="36"/>
  <c r="A1191" i="36"/>
  <c r="A1190" i="36"/>
  <c r="A1189" i="36"/>
  <c r="A1188" i="36"/>
  <c r="A1187" i="36"/>
  <c r="A1186" i="36"/>
  <c r="A1185" i="36"/>
  <c r="A1184" i="36"/>
  <c r="A1183" i="36"/>
  <c r="A1182" i="36"/>
  <c r="A1181" i="36"/>
  <c r="A1180" i="36"/>
  <c r="A1179" i="36"/>
  <c r="A1178" i="36"/>
  <c r="A1177" i="36"/>
  <c r="A1176" i="36"/>
  <c r="A1175" i="36"/>
  <c r="A1174" i="36"/>
  <c r="A1173" i="36"/>
  <c r="A1172" i="36"/>
  <c r="A1171" i="36"/>
  <c r="A1170" i="36"/>
  <c r="A1169" i="36"/>
  <c r="A1168" i="36"/>
  <c r="A1167" i="36"/>
  <c r="A1166" i="36"/>
  <c r="A1165" i="36"/>
  <c r="A1164" i="36"/>
  <c r="A1163" i="36"/>
  <c r="A1162" i="36"/>
  <c r="A1161" i="36"/>
  <c r="A1160" i="36"/>
  <c r="A1159" i="36"/>
  <c r="A1158" i="36"/>
  <c r="A1157" i="36"/>
  <c r="A1156" i="36"/>
  <c r="A1155" i="36"/>
  <c r="A1154" i="36"/>
  <c r="A1153" i="36"/>
  <c r="A1152" i="36"/>
  <c r="A1151" i="36"/>
  <c r="A1150" i="36"/>
  <c r="A1149" i="36"/>
  <c r="A1148" i="36"/>
  <c r="A1147" i="36"/>
  <c r="A1146" i="36"/>
  <c r="A1145" i="36"/>
  <c r="A1144" i="36"/>
  <c r="A1143" i="36"/>
  <c r="A1142" i="36"/>
  <c r="A1141" i="36"/>
  <c r="A1140" i="36"/>
  <c r="A1139" i="36"/>
  <c r="A1138" i="36"/>
  <c r="A1137" i="36"/>
  <c r="A1136" i="36"/>
  <c r="A1135" i="36"/>
  <c r="A1134" i="36"/>
  <c r="A1133" i="36"/>
  <c r="A1132" i="36"/>
  <c r="A1131" i="36"/>
  <c r="A1130" i="36"/>
  <c r="A1129" i="36"/>
  <c r="A1128" i="36"/>
  <c r="A1127" i="36"/>
  <c r="A1126" i="36"/>
  <c r="A1125" i="36"/>
  <c r="A1124" i="36"/>
  <c r="A1123" i="36"/>
  <c r="A1122" i="36"/>
  <c r="A1121" i="36"/>
  <c r="A1120" i="36"/>
  <c r="A1119" i="36"/>
  <c r="A1118" i="36"/>
  <c r="A1117" i="36"/>
  <c r="A1116" i="36"/>
  <c r="A1115" i="36"/>
  <c r="A1114" i="36"/>
  <c r="A1113" i="36"/>
  <c r="A1112" i="36"/>
  <c r="A1111" i="36"/>
  <c r="A1110" i="36"/>
  <c r="A1109" i="36"/>
  <c r="A1108" i="36"/>
  <c r="A1107" i="36"/>
  <c r="A1106" i="36"/>
  <c r="A1105" i="36"/>
  <c r="A1104" i="36"/>
  <c r="A1103" i="36"/>
  <c r="A1102" i="36"/>
  <c r="A1101" i="36"/>
  <c r="A1100" i="36"/>
  <c r="A1099" i="36"/>
  <c r="A1098" i="36"/>
  <c r="A1097" i="36"/>
  <c r="A1096" i="36"/>
  <c r="A1095" i="36"/>
  <c r="A1094" i="36"/>
  <c r="A1093" i="36"/>
  <c r="A1092" i="36"/>
  <c r="A1091" i="36"/>
  <c r="A1090" i="36"/>
  <c r="A1089" i="36"/>
  <c r="A1088" i="36"/>
  <c r="A1087" i="36"/>
  <c r="A1086" i="36"/>
  <c r="A1085" i="36"/>
  <c r="A1084" i="36"/>
  <c r="A1083" i="36"/>
  <c r="A1082" i="36"/>
  <c r="A1081" i="36"/>
  <c r="A1080" i="36"/>
  <c r="A1079" i="36"/>
  <c r="A1078" i="36"/>
  <c r="A1077" i="36"/>
  <c r="A1076" i="36"/>
  <c r="A1075" i="36"/>
  <c r="A1074" i="36"/>
  <c r="A1073" i="36"/>
  <c r="A1072" i="36"/>
  <c r="A1071" i="36"/>
  <c r="A1070" i="36"/>
  <c r="A1069" i="36"/>
  <c r="A1068" i="36"/>
  <c r="A1067" i="36"/>
  <c r="A1066" i="36"/>
  <c r="A1065" i="36"/>
  <c r="A1064" i="36"/>
  <c r="A1063" i="36"/>
  <c r="A1062" i="36"/>
  <c r="A1061" i="36"/>
  <c r="A1060" i="36"/>
  <c r="A1059" i="36"/>
  <c r="A1058" i="36"/>
  <c r="A1057" i="36"/>
  <c r="A1056" i="36"/>
  <c r="A1055" i="36"/>
  <c r="A1054" i="36"/>
  <c r="A1053" i="36"/>
  <c r="A1052" i="36"/>
  <c r="A1051" i="36"/>
  <c r="A1050" i="36"/>
  <c r="A1049" i="36"/>
  <c r="A1048" i="36"/>
  <c r="A1047" i="36"/>
  <c r="A1046" i="36"/>
  <c r="A1045" i="36"/>
  <c r="A1044" i="36"/>
  <c r="A1043" i="36"/>
  <c r="A1042" i="36"/>
  <c r="A1041" i="36"/>
  <c r="A1040" i="36"/>
  <c r="A1039" i="36"/>
  <c r="A1038" i="36"/>
  <c r="A1037" i="36"/>
  <c r="A1036" i="36"/>
  <c r="A1035" i="36"/>
  <c r="A1034" i="36"/>
  <c r="A1033" i="36"/>
  <c r="A1032" i="36"/>
  <c r="A1031" i="36"/>
  <c r="A1030" i="36"/>
  <c r="A1029" i="36"/>
  <c r="A1028" i="36"/>
  <c r="A1027" i="36"/>
  <c r="A1026" i="36"/>
  <c r="A1025" i="36"/>
  <c r="A1024" i="36"/>
  <c r="A1023" i="36"/>
  <c r="A1022" i="36"/>
  <c r="A1021" i="36"/>
  <c r="A1020" i="36"/>
  <c r="A1019" i="36"/>
  <c r="A1018" i="36"/>
  <c r="A1017" i="36"/>
  <c r="A1016" i="36"/>
  <c r="A1015" i="36"/>
  <c r="A1014" i="36"/>
  <c r="A1013" i="36"/>
  <c r="A1012" i="36"/>
  <c r="A1011" i="36"/>
  <c r="A1010" i="36"/>
  <c r="A1009" i="36"/>
  <c r="A1008" i="36"/>
  <c r="AB4" i="20"/>
  <c r="AB5" i="20"/>
  <c r="AB6" i="20"/>
  <c r="AB7" i="20"/>
  <c r="AB8" i="20"/>
  <c r="AB9" i="20"/>
  <c r="AB10" i="20"/>
  <c r="AB11" i="20"/>
  <c r="AB12" i="20"/>
  <c r="AB13" i="20"/>
  <c r="AB14" i="20"/>
  <c r="AB15" i="20"/>
  <c r="AB16" i="20"/>
  <c r="AB17" i="20"/>
  <c r="AB18" i="20"/>
  <c r="AB19" i="20"/>
  <c r="AB20" i="20"/>
  <c r="AB21" i="20"/>
  <c r="AB22" i="20"/>
  <c r="AB23" i="20"/>
  <c r="AB24" i="20"/>
  <c r="AB25" i="20"/>
  <c r="AB26" i="20"/>
  <c r="AB27" i="20"/>
  <c r="AB28" i="20"/>
  <c r="AB29" i="20"/>
  <c r="AB30" i="20"/>
  <c r="AB31" i="20"/>
  <c r="AB32" i="20"/>
  <c r="AB33" i="20"/>
  <c r="AB34" i="20"/>
  <c r="AB35" i="20"/>
  <c r="AB36" i="20"/>
  <c r="AB37" i="20"/>
  <c r="AB38" i="20"/>
  <c r="AB39" i="20"/>
  <c r="AB40" i="20"/>
  <c r="AB41" i="20"/>
  <c r="AB42" i="20"/>
  <c r="AB43" i="20"/>
  <c r="AB44" i="20"/>
  <c r="AB45" i="20"/>
  <c r="AB46" i="20"/>
  <c r="AB47" i="20"/>
  <c r="AB48" i="20"/>
  <c r="AB49" i="20"/>
  <c r="AB50" i="20"/>
  <c r="AB51" i="20"/>
  <c r="AB52" i="20"/>
  <c r="AB53" i="20"/>
  <c r="AB54" i="20"/>
  <c r="AB55" i="20"/>
  <c r="AB56" i="20"/>
  <c r="AB57" i="20"/>
  <c r="AB58" i="20"/>
  <c r="AB59" i="20"/>
  <c r="AB60" i="20"/>
  <c r="AB61" i="20"/>
  <c r="AB62" i="20"/>
  <c r="AB63" i="20"/>
  <c r="AB64" i="20"/>
  <c r="AB65" i="20"/>
  <c r="AB66" i="20"/>
  <c r="AB67" i="20"/>
  <c r="AB68" i="20"/>
  <c r="AB69" i="20"/>
  <c r="AB70" i="20"/>
  <c r="AB71" i="20"/>
  <c r="AB72" i="20"/>
  <c r="AB73" i="20"/>
  <c r="AB74" i="20"/>
  <c r="AB75" i="20"/>
  <c r="AB76" i="20"/>
  <c r="AB77" i="20"/>
  <c r="AB78" i="20"/>
  <c r="AB79" i="20"/>
  <c r="AB80" i="20"/>
  <c r="AB81" i="20"/>
  <c r="AB82" i="20"/>
  <c r="AB83" i="20"/>
  <c r="AB84" i="20"/>
  <c r="AB85" i="20"/>
  <c r="AB86" i="20"/>
  <c r="AB87" i="20"/>
  <c r="AB88" i="20"/>
  <c r="AB89" i="20"/>
  <c r="AB90" i="20"/>
  <c r="AB91" i="20"/>
  <c r="AB92" i="20"/>
  <c r="AB93" i="20"/>
  <c r="AB94" i="20"/>
  <c r="AB95" i="20"/>
  <c r="AB96" i="20"/>
  <c r="AB97" i="20"/>
  <c r="AB98" i="20"/>
  <c r="AB99" i="20"/>
  <c r="AB100" i="20"/>
  <c r="AB101" i="20"/>
  <c r="AB102" i="20"/>
  <c r="AB103" i="20"/>
  <c r="AB104" i="20"/>
  <c r="AB105" i="20"/>
  <c r="AB106" i="20"/>
  <c r="AB107" i="20"/>
  <c r="AB108" i="20"/>
  <c r="AB109" i="20"/>
  <c r="AB110" i="20"/>
  <c r="AB111" i="20"/>
  <c r="AB112" i="20"/>
  <c r="AB113" i="20"/>
  <c r="AB114" i="20"/>
  <c r="AB115" i="20"/>
  <c r="AB116" i="20"/>
  <c r="AB117" i="20"/>
  <c r="AB118" i="20"/>
  <c r="AB119" i="20"/>
  <c r="AB120" i="20"/>
  <c r="AB121" i="20"/>
  <c r="AB122" i="20"/>
  <c r="AB123" i="20"/>
  <c r="AB124" i="20"/>
  <c r="AB125" i="20"/>
  <c r="AB126" i="20"/>
  <c r="AB127" i="20"/>
  <c r="AB128" i="20"/>
  <c r="AB129" i="20"/>
  <c r="AB130" i="20"/>
  <c r="AB131" i="20"/>
  <c r="AB132" i="20"/>
  <c r="AB133" i="20"/>
  <c r="AB134" i="20"/>
  <c r="AB135" i="20"/>
  <c r="AB136" i="20"/>
  <c r="AB137" i="20"/>
  <c r="AB138" i="20"/>
  <c r="AB139" i="20"/>
  <c r="AB140" i="20"/>
  <c r="AB141" i="20"/>
  <c r="AB142" i="20"/>
  <c r="AB143" i="20"/>
  <c r="AB144" i="20"/>
  <c r="AB145" i="20"/>
  <c r="AB146" i="20"/>
  <c r="AB147" i="20"/>
  <c r="AB148" i="20"/>
  <c r="AB149" i="20"/>
  <c r="AB150" i="20"/>
  <c r="AB151" i="20"/>
  <c r="AB152" i="20"/>
  <c r="AB153" i="20"/>
  <c r="AB154" i="20"/>
  <c r="AB155" i="20"/>
  <c r="AB156" i="20"/>
  <c r="AB157" i="20"/>
  <c r="AB158" i="20"/>
  <c r="AB159" i="20"/>
  <c r="AB160" i="20"/>
  <c r="AB161" i="20"/>
  <c r="AB162" i="20"/>
  <c r="AB163" i="20"/>
  <c r="AB164" i="20"/>
  <c r="AB165" i="20"/>
  <c r="AB166" i="20"/>
  <c r="AB167" i="20"/>
  <c r="AB168" i="20"/>
  <c r="AB169" i="20"/>
  <c r="AB170" i="20"/>
  <c r="AB171" i="20"/>
  <c r="AB172" i="20"/>
  <c r="AB173" i="20"/>
  <c r="AB174" i="20"/>
  <c r="AB175" i="20"/>
  <c r="AB176" i="20"/>
  <c r="AB177" i="20"/>
  <c r="AB178" i="20"/>
  <c r="AB179" i="20"/>
  <c r="AB180" i="20"/>
  <c r="AB181" i="20"/>
  <c r="AB182" i="20"/>
  <c r="AB183" i="20"/>
  <c r="AB184" i="20"/>
  <c r="AB185" i="20"/>
  <c r="AB186" i="20"/>
  <c r="AB187" i="20"/>
  <c r="AB188" i="20"/>
  <c r="AB189" i="20"/>
  <c r="AB190" i="20"/>
  <c r="AB191" i="20"/>
  <c r="AB192" i="20"/>
  <c r="AB193" i="20"/>
  <c r="AB194" i="20"/>
  <c r="AB195" i="20"/>
  <c r="AB196" i="20"/>
  <c r="AB197" i="20"/>
  <c r="AB198" i="20"/>
  <c r="AB199" i="20"/>
  <c r="AB200" i="20"/>
  <c r="AB201" i="20"/>
  <c r="AB202" i="20"/>
  <c r="AB203" i="20"/>
  <c r="AB204" i="20"/>
  <c r="AB205" i="20"/>
  <c r="AB206" i="20"/>
  <c r="AB207" i="20"/>
  <c r="AB208" i="20"/>
  <c r="AB209" i="20"/>
  <c r="AB210" i="20"/>
  <c r="AB211" i="20"/>
  <c r="AB212" i="20"/>
  <c r="AB213" i="20"/>
  <c r="AB214" i="20"/>
  <c r="AB215" i="20"/>
  <c r="AB216" i="20"/>
  <c r="AB217" i="20"/>
  <c r="AB218" i="20"/>
  <c r="AB219" i="20"/>
  <c r="AB220" i="20"/>
  <c r="AB221" i="20"/>
  <c r="AB222" i="20"/>
  <c r="AB223" i="20"/>
  <c r="AB224" i="20"/>
  <c r="AB225" i="20"/>
  <c r="AB226" i="20"/>
  <c r="AB227" i="20"/>
  <c r="AB228" i="20"/>
  <c r="AB229" i="20"/>
  <c r="AB230" i="20"/>
  <c r="AB231" i="20"/>
  <c r="AB232" i="20"/>
  <c r="AB233" i="20"/>
  <c r="AB234" i="20"/>
  <c r="AB235" i="20"/>
  <c r="AB236" i="20"/>
  <c r="AB237" i="20"/>
  <c r="AB238" i="20"/>
  <c r="AB239" i="20"/>
  <c r="AB240" i="20"/>
  <c r="AB241" i="20"/>
  <c r="AB242" i="20"/>
  <c r="AB243" i="20"/>
  <c r="AB244" i="20"/>
  <c r="AB245" i="20"/>
  <c r="AB246" i="20"/>
  <c r="AB247" i="20"/>
  <c r="AB248" i="20"/>
  <c r="AB249" i="20"/>
  <c r="AB250" i="20"/>
  <c r="AB251" i="20"/>
  <c r="AB252" i="20"/>
  <c r="AB253" i="20"/>
  <c r="AB254" i="20"/>
  <c r="AB255" i="20"/>
  <c r="AB256" i="20"/>
  <c r="AB257" i="20"/>
  <c r="AB258" i="20"/>
  <c r="AB259" i="20"/>
  <c r="AB260" i="20"/>
  <c r="AB261" i="20"/>
  <c r="AB262" i="20"/>
  <c r="AB263" i="20"/>
  <c r="AB264" i="20"/>
  <c r="AB265" i="20"/>
  <c r="AB266" i="20"/>
  <c r="AB267" i="20"/>
  <c r="AB268" i="20"/>
  <c r="AB269" i="20"/>
  <c r="AB270" i="20"/>
  <c r="AB271" i="20"/>
  <c r="AB272" i="20"/>
  <c r="AB273" i="20"/>
  <c r="AB274" i="20"/>
  <c r="AB275" i="20"/>
  <c r="AB276" i="20"/>
  <c r="AB277" i="20"/>
  <c r="AB278" i="20"/>
  <c r="AB279" i="20"/>
  <c r="AB280" i="20"/>
  <c r="AB281" i="20"/>
  <c r="AB282" i="20"/>
  <c r="AB283" i="20"/>
  <c r="AB284" i="20"/>
  <c r="AB285" i="20"/>
  <c r="AB286" i="20"/>
  <c r="AB287" i="20"/>
  <c r="AB288" i="20"/>
  <c r="AB289" i="20"/>
  <c r="AB290" i="20"/>
  <c r="AB291" i="20"/>
  <c r="AB292" i="20"/>
  <c r="AB293" i="20"/>
  <c r="AB294" i="20"/>
  <c r="AB295" i="20"/>
  <c r="AB296" i="20"/>
  <c r="AB297" i="20"/>
  <c r="AB298" i="20"/>
  <c r="AB299" i="20"/>
  <c r="AB300" i="20"/>
  <c r="AB301" i="20"/>
  <c r="AB302" i="20"/>
  <c r="AB303" i="20"/>
  <c r="AB304" i="20"/>
  <c r="AB305" i="20"/>
  <c r="AB306" i="20"/>
  <c r="AB307" i="20"/>
  <c r="AB308" i="20"/>
  <c r="AB309" i="20"/>
  <c r="AB310" i="20"/>
  <c r="AB311" i="20"/>
  <c r="AB312" i="20"/>
  <c r="AB313" i="20"/>
  <c r="AB314" i="20"/>
  <c r="AB315" i="20"/>
  <c r="AB316" i="20"/>
  <c r="AB317" i="20"/>
  <c r="AB318" i="20"/>
  <c r="AB319" i="20"/>
  <c r="AB320" i="20"/>
  <c r="AB321" i="20"/>
  <c r="AB322" i="20"/>
  <c r="AB323" i="20"/>
  <c r="AB324" i="20"/>
  <c r="AB325" i="20"/>
  <c r="AB326" i="20"/>
  <c r="AB327" i="20"/>
  <c r="AB328" i="20"/>
  <c r="AB329" i="20"/>
  <c r="AB330" i="20"/>
  <c r="AB331" i="20"/>
  <c r="AB332" i="20"/>
  <c r="AB333" i="20"/>
  <c r="AB334" i="20"/>
  <c r="AB335" i="20"/>
  <c r="AB336" i="20"/>
  <c r="AB337" i="20"/>
  <c r="AB338" i="20"/>
  <c r="AB339" i="20"/>
  <c r="AB340" i="20"/>
  <c r="AB341" i="20"/>
  <c r="AB342" i="20"/>
  <c r="AB343" i="20"/>
  <c r="AB344" i="20"/>
  <c r="AB345" i="20"/>
  <c r="AB346" i="20"/>
  <c r="AB347" i="20"/>
  <c r="AB348" i="20"/>
  <c r="AB349" i="20"/>
  <c r="AB350" i="20"/>
  <c r="AB351" i="20"/>
  <c r="AB352" i="20"/>
  <c r="AB353" i="20"/>
  <c r="AB354" i="20"/>
  <c r="AB355" i="20"/>
  <c r="AB356" i="20"/>
  <c r="AB357" i="20"/>
  <c r="AB358" i="20"/>
  <c r="AB359" i="20"/>
  <c r="AB360" i="20"/>
  <c r="AB361" i="20"/>
  <c r="AB362" i="20"/>
  <c r="AB363" i="20"/>
  <c r="AB364" i="20"/>
  <c r="AB365" i="20"/>
  <c r="AB366" i="20"/>
  <c r="AB367" i="20"/>
  <c r="AB368" i="20"/>
  <c r="AB369" i="20"/>
  <c r="AB370" i="20"/>
  <c r="AB371" i="20"/>
  <c r="AB372" i="20"/>
  <c r="AB373" i="20"/>
  <c r="AB374" i="20"/>
  <c r="AB375" i="20"/>
  <c r="AB376" i="20"/>
  <c r="AB377" i="20"/>
  <c r="AB378" i="20"/>
  <c r="AB379" i="20"/>
  <c r="AB380" i="20"/>
  <c r="AB381" i="20"/>
  <c r="AB382" i="20"/>
  <c r="AB383" i="20"/>
  <c r="AB384" i="20"/>
  <c r="AB385" i="20"/>
  <c r="AB386" i="20"/>
  <c r="AB387" i="20"/>
  <c r="AB388" i="20"/>
  <c r="AB389" i="20"/>
  <c r="AB390" i="20"/>
  <c r="AB391" i="20"/>
  <c r="AB392" i="20"/>
  <c r="AB393" i="20"/>
  <c r="AB394" i="20"/>
  <c r="AB395" i="20"/>
  <c r="AB396" i="20"/>
  <c r="AB397" i="20"/>
  <c r="AB398" i="20"/>
  <c r="AB399" i="20"/>
  <c r="AB400" i="20"/>
  <c r="AB401" i="20"/>
  <c r="AB402" i="20"/>
  <c r="AB403" i="20"/>
  <c r="AB404" i="20"/>
  <c r="AB405" i="20"/>
  <c r="AB406" i="20"/>
  <c r="AB407" i="20"/>
  <c r="AB408" i="20"/>
  <c r="AB409" i="20"/>
  <c r="AB410" i="20"/>
  <c r="AB411" i="20"/>
  <c r="AB412" i="20"/>
  <c r="AB413" i="20"/>
  <c r="AB414" i="20"/>
  <c r="AB415" i="20"/>
  <c r="AB416" i="20"/>
  <c r="AB417" i="20"/>
  <c r="AB418" i="20"/>
  <c r="AB419" i="20"/>
  <c r="AB420" i="20"/>
  <c r="AB421" i="20"/>
  <c r="AB422" i="20"/>
  <c r="AB423" i="20"/>
  <c r="AB424" i="20"/>
  <c r="AB425" i="20"/>
  <c r="AB426" i="20"/>
  <c r="AB427" i="20"/>
  <c r="AB428" i="20"/>
  <c r="AB429" i="20"/>
  <c r="AB430" i="20"/>
  <c r="AB431" i="20"/>
  <c r="AB432" i="20"/>
  <c r="AB433" i="20"/>
  <c r="AB434" i="20"/>
  <c r="AB435" i="20"/>
  <c r="AB436" i="20"/>
  <c r="AB437" i="20"/>
  <c r="AB438" i="20"/>
  <c r="AB439" i="20"/>
  <c r="AB440" i="20"/>
  <c r="AB441" i="20"/>
  <c r="AB442" i="20"/>
  <c r="AB443" i="20"/>
  <c r="AB444" i="20"/>
  <c r="AB445" i="20"/>
  <c r="AB446" i="20"/>
  <c r="AB447" i="20"/>
  <c r="AB448" i="20"/>
  <c r="AB449" i="20"/>
  <c r="AB450" i="20"/>
  <c r="AB451" i="20"/>
  <c r="AB452" i="20"/>
  <c r="AB453" i="20"/>
  <c r="AB454" i="20"/>
  <c r="AB455" i="20"/>
  <c r="AB456" i="20"/>
  <c r="AB457" i="20"/>
  <c r="AB458" i="20"/>
  <c r="AB459" i="20"/>
  <c r="AB460" i="20"/>
  <c r="AB461" i="20"/>
  <c r="AB462" i="20"/>
  <c r="AB463" i="20"/>
  <c r="AB464" i="20"/>
  <c r="AB465" i="20"/>
  <c r="AB466" i="20"/>
  <c r="AB467" i="20"/>
  <c r="AB468" i="20"/>
  <c r="AB469" i="20"/>
  <c r="AB470" i="20"/>
  <c r="AB471" i="20"/>
  <c r="AB472" i="20"/>
  <c r="AB473" i="20"/>
  <c r="AB474" i="20"/>
  <c r="AB475" i="20"/>
  <c r="AB476" i="20"/>
  <c r="AB477" i="20"/>
  <c r="AB478" i="20"/>
  <c r="AB479" i="20"/>
  <c r="AB480" i="20"/>
  <c r="AB481" i="20"/>
  <c r="AB482" i="20"/>
  <c r="AB483" i="20"/>
  <c r="AB484" i="20"/>
  <c r="AB485" i="20"/>
  <c r="AB486" i="20"/>
  <c r="AB487" i="20"/>
  <c r="AB488" i="20"/>
  <c r="AB489" i="20"/>
  <c r="AB490" i="20"/>
  <c r="AB491" i="20"/>
  <c r="AB492" i="20"/>
  <c r="AB493" i="20"/>
  <c r="AB494" i="20"/>
  <c r="AB495" i="20"/>
  <c r="AB496" i="20"/>
  <c r="AB497" i="20"/>
  <c r="AB498" i="20"/>
  <c r="AB499" i="20"/>
  <c r="AB500" i="20"/>
  <c r="AB501" i="20"/>
  <c r="AB502" i="20"/>
  <c r="AB503" i="20"/>
  <c r="AB504" i="20"/>
  <c r="AB505" i="20"/>
  <c r="AB506" i="20"/>
  <c r="AB507" i="20"/>
  <c r="AB508" i="20"/>
  <c r="AB509" i="20"/>
  <c r="AB510" i="20"/>
  <c r="AB511" i="20"/>
  <c r="AB512" i="20"/>
  <c r="AB513" i="20"/>
  <c r="AB514" i="20"/>
  <c r="AB515" i="20"/>
  <c r="AB516" i="20"/>
  <c r="AB517" i="20"/>
  <c r="AB518" i="20"/>
  <c r="AB519" i="20"/>
  <c r="AB520" i="20"/>
  <c r="AB521" i="20"/>
  <c r="AB522" i="20"/>
  <c r="AB523" i="20"/>
  <c r="AB524" i="20"/>
  <c r="AB525" i="20"/>
  <c r="AB526" i="20"/>
  <c r="AB527" i="20"/>
  <c r="AB528" i="20"/>
  <c r="AB529" i="20"/>
  <c r="AB530" i="20"/>
  <c r="AB531" i="20"/>
  <c r="AB532" i="20"/>
  <c r="AB533" i="20"/>
  <c r="AB534" i="20"/>
  <c r="AB535" i="20"/>
  <c r="AB536" i="20"/>
  <c r="AB537" i="20"/>
  <c r="AB538" i="20"/>
  <c r="AB539" i="20"/>
  <c r="AB540" i="20"/>
  <c r="AB541" i="20"/>
  <c r="AB542" i="20"/>
  <c r="AB543" i="20"/>
  <c r="AB544" i="20"/>
  <c r="AB545" i="20"/>
  <c r="AB546" i="20"/>
  <c r="AB547" i="20"/>
  <c r="AB548" i="20"/>
  <c r="AB549" i="20"/>
  <c r="AB550" i="20"/>
  <c r="AB551" i="20"/>
  <c r="AB552" i="20"/>
  <c r="AB553" i="20"/>
  <c r="AB554" i="20"/>
  <c r="AB555" i="20"/>
  <c r="AB556" i="20"/>
  <c r="AB557" i="20"/>
  <c r="AB558" i="20"/>
  <c r="AB559" i="20"/>
  <c r="AB560" i="20"/>
  <c r="AB561" i="20"/>
  <c r="AB562" i="20"/>
  <c r="AB563" i="20"/>
  <c r="AB564" i="20"/>
  <c r="AB565" i="20"/>
  <c r="AB566" i="20"/>
  <c r="AB567" i="20"/>
  <c r="AB568" i="20"/>
  <c r="AB569" i="20"/>
  <c r="AB570" i="20"/>
  <c r="AB571" i="20"/>
  <c r="AB572" i="20"/>
  <c r="AB573" i="20"/>
  <c r="AB574" i="20"/>
  <c r="AB575" i="20"/>
  <c r="AB576" i="20"/>
  <c r="AB577" i="20"/>
  <c r="AB578" i="20"/>
  <c r="AB579" i="20"/>
  <c r="AB580" i="20"/>
  <c r="AB581" i="20"/>
  <c r="AB582" i="20"/>
  <c r="AB583" i="20"/>
  <c r="AB584" i="20"/>
  <c r="AB585" i="20"/>
  <c r="AB586" i="20"/>
  <c r="AB587" i="20"/>
  <c r="AB588" i="20"/>
  <c r="AB589" i="20"/>
  <c r="AB590" i="20"/>
  <c r="AB591" i="20"/>
  <c r="AB592" i="20"/>
  <c r="AB593" i="20"/>
  <c r="AB594" i="20"/>
  <c r="AB595" i="20"/>
  <c r="AB596" i="20"/>
  <c r="AB597" i="20"/>
  <c r="AB598" i="20"/>
  <c r="AB599" i="20"/>
  <c r="AB600" i="20"/>
  <c r="AB601" i="20"/>
  <c r="AB602" i="20"/>
  <c r="AB603" i="20"/>
  <c r="AB604" i="20"/>
  <c r="AB605" i="20"/>
  <c r="AB606" i="20"/>
  <c r="AB607" i="20"/>
  <c r="AB608" i="20"/>
  <c r="AB609" i="20"/>
  <c r="AB610" i="20"/>
  <c r="AB611" i="20"/>
  <c r="AB612" i="20"/>
  <c r="AB613" i="20"/>
  <c r="AB614" i="20"/>
  <c r="AB615" i="20"/>
  <c r="AB616" i="20"/>
  <c r="AB617" i="20"/>
  <c r="AB618" i="20"/>
  <c r="AB688" i="20"/>
  <c r="AB689" i="20"/>
  <c r="AB690" i="20"/>
  <c r="AB691" i="20"/>
  <c r="AB692" i="20"/>
  <c r="AB693" i="20"/>
  <c r="AB694" i="20"/>
  <c r="AB695" i="20"/>
  <c r="AB696" i="20"/>
  <c r="AB697" i="20"/>
  <c r="AB698" i="20"/>
  <c r="AB699" i="20"/>
  <c r="AB700" i="20"/>
  <c r="AB701" i="20"/>
  <c r="AB702" i="20"/>
  <c r="AB703" i="20"/>
  <c r="AB704" i="20"/>
  <c r="AB705" i="20"/>
  <c r="AB706" i="20"/>
  <c r="AB707" i="20"/>
  <c r="AB708" i="20"/>
  <c r="AB709" i="20"/>
  <c r="AB710" i="20"/>
  <c r="AB711" i="20"/>
  <c r="AB712" i="20"/>
  <c r="AB713" i="20"/>
  <c r="AB714" i="20"/>
  <c r="AB715" i="20"/>
  <c r="AB716" i="20"/>
  <c r="AB717" i="20"/>
  <c r="AB718" i="20"/>
  <c r="AB719" i="20"/>
  <c r="AB720" i="20"/>
  <c r="AB721" i="20"/>
  <c r="AB722" i="20"/>
  <c r="AB723" i="20"/>
  <c r="AB724" i="20"/>
  <c r="AB725" i="20"/>
  <c r="AB726" i="20"/>
  <c r="AB727" i="20"/>
  <c r="AB728" i="20"/>
  <c r="AB729" i="20"/>
  <c r="AB730" i="20"/>
  <c r="AB731" i="20"/>
  <c r="AB732" i="20"/>
  <c r="AB733" i="20"/>
  <c r="AB734" i="20"/>
  <c r="AB735" i="20"/>
  <c r="AB736" i="20"/>
  <c r="AB737" i="20"/>
  <c r="AA4" i="20"/>
  <c r="AA5" i="20"/>
  <c r="AA6" i="20"/>
  <c r="AA7" i="20"/>
  <c r="AA8" i="20"/>
  <c r="AA9" i="20"/>
  <c r="AA10" i="20"/>
  <c r="AA11" i="20"/>
  <c r="AA12" i="20"/>
  <c r="AA13" i="20"/>
  <c r="AA14" i="20"/>
  <c r="AA15" i="20"/>
  <c r="AA16" i="20"/>
  <c r="AA17" i="20"/>
  <c r="AA18" i="20"/>
  <c r="AA19" i="20"/>
  <c r="AA20" i="20"/>
  <c r="AA21" i="20"/>
  <c r="AA22" i="20"/>
  <c r="AA23" i="20"/>
  <c r="AA24" i="20"/>
  <c r="AA25" i="20"/>
  <c r="AA26" i="20"/>
  <c r="AA27" i="20"/>
  <c r="AA28" i="20"/>
  <c r="AA29" i="20"/>
  <c r="AA30" i="20"/>
  <c r="AA31" i="20"/>
  <c r="AA32" i="20"/>
  <c r="AA33" i="20"/>
  <c r="AA34" i="20"/>
  <c r="AA35" i="20"/>
  <c r="AA36" i="20"/>
  <c r="AA37" i="20"/>
  <c r="AA38" i="20"/>
  <c r="AA39" i="20"/>
  <c r="AA40" i="20"/>
  <c r="AA41" i="20"/>
  <c r="AA42" i="20"/>
  <c r="AA43" i="20"/>
  <c r="AA44" i="20"/>
  <c r="AA45" i="20"/>
  <c r="AA46" i="20"/>
  <c r="AA47" i="20"/>
  <c r="AA48" i="20"/>
  <c r="AA49" i="20"/>
  <c r="AA50" i="20"/>
  <c r="AA51" i="20"/>
  <c r="AA52" i="20"/>
  <c r="AA53" i="20"/>
  <c r="AA54" i="20"/>
  <c r="AA55" i="20"/>
  <c r="AA56" i="20"/>
  <c r="AA57" i="20"/>
  <c r="AA58" i="20"/>
  <c r="AA59" i="20"/>
  <c r="AA60" i="20"/>
  <c r="AA61" i="20"/>
  <c r="AA62" i="20"/>
  <c r="AA63" i="20"/>
  <c r="AA64" i="20"/>
  <c r="AA65" i="20"/>
  <c r="AA66" i="20"/>
  <c r="AA67" i="20"/>
  <c r="AA68" i="20"/>
  <c r="AA69" i="20"/>
  <c r="AA70" i="20"/>
  <c r="AA71" i="20"/>
  <c r="AA72" i="20"/>
  <c r="AA73" i="20"/>
  <c r="AA74" i="20"/>
  <c r="AA75" i="20"/>
  <c r="AA76" i="20"/>
  <c r="AA77" i="20"/>
  <c r="AA78" i="20"/>
  <c r="AA79" i="20"/>
  <c r="AA80" i="20"/>
  <c r="AA81" i="20"/>
  <c r="AA82" i="20"/>
  <c r="AA83" i="20"/>
  <c r="AA84" i="20"/>
  <c r="AA85" i="20"/>
  <c r="AA86" i="20"/>
  <c r="AA87" i="20"/>
  <c r="AA88" i="20"/>
  <c r="AA89" i="20"/>
  <c r="AA90" i="20"/>
  <c r="AA91" i="20"/>
  <c r="AA92" i="20"/>
  <c r="AA93" i="20"/>
  <c r="AA94" i="20"/>
  <c r="AA95" i="20"/>
  <c r="AA96" i="20"/>
  <c r="AA97" i="20"/>
  <c r="AA98" i="20"/>
  <c r="AA99" i="20"/>
  <c r="AA100" i="20"/>
  <c r="AA101" i="20"/>
  <c r="AA102" i="20"/>
  <c r="AA103" i="20"/>
  <c r="AA104" i="20"/>
  <c r="AA105" i="20"/>
  <c r="AA106" i="20"/>
  <c r="AA107" i="20"/>
  <c r="AA108" i="20"/>
  <c r="AA109" i="20"/>
  <c r="AA110" i="20"/>
  <c r="AA111" i="20"/>
  <c r="AA112" i="20"/>
  <c r="AA113" i="20"/>
  <c r="AA114" i="20"/>
  <c r="AA115" i="20"/>
  <c r="AA116" i="20"/>
  <c r="AA117" i="20"/>
  <c r="AA118" i="20"/>
  <c r="AA119" i="20"/>
  <c r="AA120" i="20"/>
  <c r="AA121" i="20"/>
  <c r="AA122" i="20"/>
  <c r="AA123" i="20"/>
  <c r="AA124" i="20"/>
  <c r="AA125" i="20"/>
  <c r="AA126" i="20"/>
  <c r="AA127" i="20"/>
  <c r="AA128" i="20"/>
  <c r="AA129" i="20"/>
  <c r="AA130" i="20"/>
  <c r="AA131" i="20"/>
  <c r="AA132" i="20"/>
  <c r="AA133" i="20"/>
  <c r="AA134" i="20"/>
  <c r="AA135" i="20"/>
  <c r="AA136" i="20"/>
  <c r="AA137" i="20"/>
  <c r="AA138" i="20"/>
  <c r="AA139" i="20"/>
  <c r="AA140" i="20"/>
  <c r="AA141" i="20"/>
  <c r="AA142" i="20"/>
  <c r="AA143" i="20"/>
  <c r="AA144" i="20"/>
  <c r="AA145" i="20"/>
  <c r="AA146" i="20"/>
  <c r="AA147" i="20"/>
  <c r="AA148" i="20"/>
  <c r="AA149" i="20"/>
  <c r="AA150" i="20"/>
  <c r="AA151" i="20"/>
  <c r="AA152" i="20"/>
  <c r="AA153" i="20"/>
  <c r="AA154" i="20"/>
  <c r="AA155" i="20"/>
  <c r="AA156" i="20"/>
  <c r="AA157" i="20"/>
  <c r="AA158" i="20"/>
  <c r="AA159" i="20"/>
  <c r="AA160" i="20"/>
  <c r="AA161" i="20"/>
  <c r="AA162" i="20"/>
  <c r="AA163" i="20"/>
  <c r="AA164" i="20"/>
  <c r="AA165" i="20"/>
  <c r="AA166" i="20"/>
  <c r="AA167" i="20"/>
  <c r="AA168" i="20"/>
  <c r="AA169" i="20"/>
  <c r="AA170" i="20"/>
  <c r="AA171" i="20"/>
  <c r="AA172" i="20"/>
  <c r="AA173" i="20"/>
  <c r="AA174" i="20"/>
  <c r="AA175" i="20"/>
  <c r="AA176" i="20"/>
  <c r="AA177" i="20"/>
  <c r="AA178" i="20"/>
  <c r="AA179" i="20"/>
  <c r="AA180" i="20"/>
  <c r="AA181" i="20"/>
  <c r="AA182" i="20"/>
  <c r="AA183" i="20"/>
  <c r="AA184" i="20"/>
  <c r="AA185" i="20"/>
  <c r="AA186" i="20"/>
  <c r="AA187" i="20"/>
  <c r="AA188" i="20"/>
  <c r="AA189" i="20"/>
  <c r="AA190" i="20"/>
  <c r="AA191" i="20"/>
  <c r="AA192" i="20"/>
  <c r="AA193" i="20"/>
  <c r="AA194" i="20"/>
  <c r="AA195" i="20"/>
  <c r="AA196" i="20"/>
  <c r="AA197" i="20"/>
  <c r="AA198" i="20"/>
  <c r="AA199" i="20"/>
  <c r="AA200" i="20"/>
  <c r="AA201" i="20"/>
  <c r="AA202" i="20"/>
  <c r="AA203" i="20"/>
  <c r="AA204" i="20"/>
  <c r="AA205" i="20"/>
  <c r="AA206" i="20"/>
  <c r="AA207" i="20"/>
  <c r="AA208" i="20"/>
  <c r="AA209" i="20"/>
  <c r="AA210" i="20"/>
  <c r="AA211" i="20"/>
  <c r="AA212" i="20"/>
  <c r="AA213" i="20"/>
  <c r="AA214" i="20"/>
  <c r="AA215" i="20"/>
  <c r="AA216" i="20"/>
  <c r="AA217" i="20"/>
  <c r="AA218" i="20"/>
  <c r="AA219" i="20"/>
  <c r="AA220" i="20"/>
  <c r="AA221" i="20"/>
  <c r="AA222" i="20"/>
  <c r="AA223" i="20"/>
  <c r="AA224" i="20"/>
  <c r="AA225" i="20"/>
  <c r="AA226" i="20"/>
  <c r="AA227" i="20"/>
  <c r="AA228" i="20"/>
  <c r="AA229" i="20"/>
  <c r="AA230" i="20"/>
  <c r="AA231" i="20"/>
  <c r="AA232" i="20"/>
  <c r="AA233" i="20"/>
  <c r="AA234" i="20"/>
  <c r="AA235" i="20"/>
  <c r="AA236" i="20"/>
  <c r="AA237" i="20"/>
  <c r="AA238" i="20"/>
  <c r="AA239" i="20"/>
  <c r="AA240" i="20"/>
  <c r="AA241" i="20"/>
  <c r="AA242" i="20"/>
  <c r="AA243" i="20"/>
  <c r="AA244" i="20"/>
  <c r="AA245" i="20"/>
  <c r="AA246" i="20"/>
  <c r="AA247" i="20"/>
  <c r="AA248" i="20"/>
  <c r="AA249" i="20"/>
  <c r="AA250" i="20"/>
  <c r="AA251" i="20"/>
  <c r="AA252" i="20"/>
  <c r="AA253" i="20"/>
  <c r="AA254" i="20"/>
  <c r="AA255" i="20"/>
  <c r="AA256" i="20"/>
  <c r="AA257" i="20"/>
  <c r="AA258" i="20"/>
  <c r="AA259" i="20"/>
  <c r="AA260" i="20"/>
  <c r="AA261" i="20"/>
  <c r="AA262" i="20"/>
  <c r="AA263" i="20"/>
  <c r="AA264" i="20"/>
  <c r="AA265" i="20"/>
  <c r="AA266" i="20"/>
  <c r="AA267" i="20"/>
  <c r="AA268" i="20"/>
  <c r="AA269" i="20"/>
  <c r="AA270" i="20"/>
  <c r="AA271" i="20"/>
  <c r="AA272" i="20"/>
  <c r="AA273" i="20"/>
  <c r="AA274" i="20"/>
  <c r="AA275" i="20"/>
  <c r="AA276" i="20"/>
  <c r="AA277" i="20"/>
  <c r="AA278" i="20"/>
  <c r="AA279" i="20"/>
  <c r="AA280" i="20"/>
  <c r="AA281" i="20"/>
  <c r="AA282" i="20"/>
  <c r="AA283" i="20"/>
  <c r="AA284" i="20"/>
  <c r="AA285" i="20"/>
  <c r="AA286" i="20"/>
  <c r="AA287" i="20"/>
  <c r="AA288" i="20"/>
  <c r="AA289" i="20"/>
  <c r="AA290" i="20"/>
  <c r="AA291" i="20"/>
  <c r="AA292" i="20"/>
  <c r="AA293" i="20"/>
  <c r="AA294" i="20"/>
  <c r="AA295" i="20"/>
  <c r="AA296" i="20"/>
  <c r="AA297" i="20"/>
  <c r="AA298" i="20"/>
  <c r="AA299" i="20"/>
  <c r="AA300" i="20"/>
  <c r="AA301" i="20"/>
  <c r="AA302" i="20"/>
  <c r="AA303" i="20"/>
  <c r="AA304" i="20"/>
  <c r="AA305" i="20"/>
  <c r="AA306" i="20"/>
  <c r="AA307" i="20"/>
  <c r="AA308" i="20"/>
  <c r="AA309" i="20"/>
  <c r="AA310" i="20"/>
  <c r="AA311" i="20"/>
  <c r="AA312" i="20"/>
  <c r="AA313" i="20"/>
  <c r="AA314" i="20"/>
  <c r="AA315" i="20"/>
  <c r="AA316" i="20"/>
  <c r="AA317" i="20"/>
  <c r="AA318" i="20"/>
  <c r="AA319" i="20"/>
  <c r="AA320" i="20"/>
  <c r="AA321" i="20"/>
  <c r="AA322" i="20"/>
  <c r="AA323" i="20"/>
  <c r="AA324" i="20"/>
  <c r="AA325" i="20"/>
  <c r="AA326" i="20"/>
  <c r="AA327" i="20"/>
  <c r="AA328" i="20"/>
  <c r="AA329" i="20"/>
  <c r="AA330" i="20"/>
  <c r="AA331" i="20"/>
  <c r="AA332" i="20"/>
  <c r="AA333" i="20"/>
  <c r="AA334" i="20"/>
  <c r="AA335" i="20"/>
  <c r="AA336" i="20"/>
  <c r="AA337" i="20"/>
  <c r="AA338" i="20"/>
  <c r="AA339" i="20"/>
  <c r="AA340" i="20"/>
  <c r="AA341" i="20"/>
  <c r="AA342" i="20"/>
  <c r="AA343" i="20"/>
  <c r="AA344" i="20"/>
  <c r="AA345" i="20"/>
  <c r="AA346" i="20"/>
  <c r="AA347" i="20"/>
  <c r="AA348" i="20"/>
  <c r="AA349" i="20"/>
  <c r="AA350" i="20"/>
  <c r="AA351" i="20"/>
  <c r="AA352" i="20"/>
  <c r="AA353" i="20"/>
  <c r="AA354" i="20"/>
  <c r="AA355" i="20"/>
  <c r="AA356" i="20"/>
  <c r="AA357" i="20"/>
  <c r="AA358" i="20"/>
  <c r="AA359" i="20"/>
  <c r="AA360" i="20"/>
  <c r="AA361" i="20"/>
  <c r="AA362" i="20"/>
  <c r="AA363" i="20"/>
  <c r="AA364" i="20"/>
  <c r="AA365" i="20"/>
  <c r="AA366" i="20"/>
  <c r="AA367" i="20"/>
  <c r="AA368" i="20"/>
  <c r="AA369" i="20"/>
  <c r="AA370" i="20"/>
  <c r="AA371" i="20"/>
  <c r="AA372" i="20"/>
  <c r="AA373" i="20"/>
  <c r="AA374" i="20"/>
  <c r="AA375" i="20"/>
  <c r="AA376" i="20"/>
  <c r="AA377" i="20"/>
  <c r="AA378" i="20"/>
  <c r="AA379" i="20"/>
  <c r="AA380" i="20"/>
  <c r="AA381" i="20"/>
  <c r="AA382" i="20"/>
  <c r="AA383" i="20"/>
  <c r="AA384" i="20"/>
  <c r="AA385" i="20"/>
  <c r="AA386" i="20"/>
  <c r="AA387" i="20"/>
  <c r="AA388" i="20"/>
  <c r="AA389" i="20"/>
  <c r="AA390" i="20"/>
  <c r="AA391" i="20"/>
  <c r="AA392" i="20"/>
  <c r="AA393" i="20"/>
  <c r="AA394" i="20"/>
  <c r="AA395" i="20"/>
  <c r="AA396" i="20"/>
  <c r="AA397" i="20"/>
  <c r="AA398" i="20"/>
  <c r="AA399" i="20"/>
  <c r="AA400" i="20"/>
  <c r="AA401" i="20"/>
  <c r="AA402" i="20"/>
  <c r="AA403" i="20"/>
  <c r="AA404" i="20"/>
  <c r="AA405" i="20"/>
  <c r="AA406" i="20"/>
  <c r="AA407" i="20"/>
  <c r="AA408" i="20"/>
  <c r="AA409" i="20"/>
  <c r="AA410" i="20"/>
  <c r="AA411" i="20"/>
  <c r="AA412" i="20"/>
  <c r="AA413" i="20"/>
  <c r="AA414" i="20"/>
  <c r="AA415" i="20"/>
  <c r="AA416" i="20"/>
  <c r="AA417" i="20"/>
  <c r="AA418" i="20"/>
  <c r="AA419" i="20"/>
  <c r="AA420" i="20"/>
  <c r="AA421" i="20"/>
  <c r="AA422" i="20"/>
  <c r="AA423" i="20"/>
  <c r="AA424" i="20"/>
  <c r="AA425" i="20"/>
  <c r="AA426" i="20"/>
  <c r="AA427" i="20"/>
  <c r="AA428" i="20"/>
  <c r="AA429" i="20"/>
  <c r="AA430" i="20"/>
  <c r="AA431" i="20"/>
  <c r="AA432" i="20"/>
  <c r="AA433" i="20"/>
  <c r="AA434" i="20"/>
  <c r="AA435" i="20"/>
  <c r="AA436" i="20"/>
  <c r="AA437" i="20"/>
  <c r="AA438" i="20"/>
  <c r="AA439" i="20"/>
  <c r="AA440" i="20"/>
  <c r="AA441" i="20"/>
  <c r="AA442" i="20"/>
  <c r="AA443" i="20"/>
  <c r="AA444" i="20"/>
  <c r="AA445" i="20"/>
  <c r="AA446" i="20"/>
  <c r="AA447" i="20"/>
  <c r="AA448" i="20"/>
  <c r="AA449" i="20"/>
  <c r="AA450" i="20"/>
  <c r="AA451" i="20"/>
  <c r="AA452" i="20"/>
  <c r="AA453" i="20"/>
  <c r="AA454" i="20"/>
  <c r="AA455" i="20"/>
  <c r="AA456" i="20"/>
  <c r="AA457" i="20"/>
  <c r="AA458" i="20"/>
  <c r="AA459" i="20"/>
  <c r="AA460" i="20"/>
  <c r="AA461" i="20"/>
  <c r="AA462" i="20"/>
  <c r="AA463" i="20"/>
  <c r="AA464" i="20"/>
  <c r="AA465" i="20"/>
  <c r="AA466" i="20"/>
  <c r="AA467" i="20"/>
  <c r="AA468" i="20"/>
  <c r="AA469" i="20"/>
  <c r="AA470" i="20"/>
  <c r="AA471" i="20"/>
  <c r="AA472" i="20"/>
  <c r="AA473" i="20"/>
  <c r="AA474" i="20"/>
  <c r="AA475" i="20"/>
  <c r="AA476" i="20"/>
  <c r="AA477" i="20"/>
  <c r="AA478" i="20"/>
  <c r="AA479" i="20"/>
  <c r="AA480" i="20"/>
  <c r="AA481" i="20"/>
  <c r="AA482" i="20"/>
  <c r="AA483" i="20"/>
  <c r="AA484" i="20"/>
  <c r="AA485" i="20"/>
  <c r="AA486" i="20"/>
  <c r="AA487" i="20"/>
  <c r="AA488" i="20"/>
  <c r="AA489" i="20"/>
  <c r="AA490" i="20"/>
  <c r="AA491" i="20"/>
  <c r="AA492" i="20"/>
  <c r="AA493" i="20"/>
  <c r="AA494" i="20"/>
  <c r="AA495" i="20"/>
  <c r="AA496" i="20"/>
  <c r="AA497" i="20"/>
  <c r="AA498" i="20"/>
  <c r="AA499" i="20"/>
  <c r="AA500" i="20"/>
  <c r="AA501" i="20"/>
  <c r="AA502" i="20"/>
  <c r="AA503" i="20"/>
  <c r="AA504" i="20"/>
  <c r="AA505" i="20"/>
  <c r="AA506" i="20"/>
  <c r="AA507" i="20"/>
  <c r="AA508" i="20"/>
  <c r="AA509" i="20"/>
  <c r="AA510" i="20"/>
  <c r="AA511" i="20"/>
  <c r="AA512" i="20"/>
  <c r="AA513" i="20"/>
  <c r="AA514" i="20"/>
  <c r="AA515" i="20"/>
  <c r="AA516" i="20"/>
  <c r="AA517" i="20"/>
  <c r="AA518" i="20"/>
  <c r="AA519" i="20"/>
  <c r="AA520" i="20"/>
  <c r="AA521" i="20"/>
  <c r="AA522" i="20"/>
  <c r="AA523" i="20"/>
  <c r="AA524" i="20"/>
  <c r="AA525" i="20"/>
  <c r="AA526" i="20"/>
  <c r="AA527" i="20"/>
  <c r="AA528" i="20"/>
  <c r="AA529" i="20"/>
  <c r="AA530" i="20"/>
  <c r="AA531" i="20"/>
  <c r="AA532" i="20"/>
  <c r="AA533" i="20"/>
  <c r="AA534" i="20"/>
  <c r="AA535" i="20"/>
  <c r="AA536" i="20"/>
  <c r="AA537" i="20"/>
  <c r="AA538" i="20"/>
  <c r="AA539" i="20"/>
  <c r="AA540" i="20"/>
  <c r="AA541" i="20"/>
  <c r="AA542" i="20"/>
  <c r="AA543" i="20"/>
  <c r="AA544" i="20"/>
  <c r="AA545" i="20"/>
  <c r="AA546" i="20"/>
  <c r="AA547" i="20"/>
  <c r="AA548" i="20"/>
  <c r="AA549" i="20"/>
  <c r="AA550" i="20"/>
  <c r="AA551" i="20"/>
  <c r="AA552" i="20"/>
  <c r="AA553" i="20"/>
  <c r="AA554" i="20"/>
  <c r="AA555" i="20"/>
  <c r="AA556" i="20"/>
  <c r="AA557" i="20"/>
  <c r="AA558" i="20"/>
  <c r="AA559" i="20"/>
  <c r="AA560" i="20"/>
  <c r="AA561" i="20"/>
  <c r="AA562" i="20"/>
  <c r="AA563" i="20"/>
  <c r="AA564" i="20"/>
  <c r="AA565" i="20"/>
  <c r="AA566" i="20"/>
  <c r="AA567" i="20"/>
  <c r="AA568" i="20"/>
  <c r="AA569" i="20"/>
  <c r="AA570" i="20"/>
  <c r="AA571" i="20"/>
  <c r="AA572" i="20"/>
  <c r="AA573" i="20"/>
  <c r="AA574" i="20"/>
  <c r="AA575" i="20"/>
  <c r="AA576" i="20"/>
  <c r="AA577" i="20"/>
  <c r="AA578" i="20"/>
  <c r="AA579" i="20"/>
  <c r="AA580" i="20"/>
  <c r="AA581" i="20"/>
  <c r="AA582" i="20"/>
  <c r="AA583" i="20"/>
  <c r="AA584" i="20"/>
  <c r="AA585" i="20"/>
  <c r="AA586" i="20"/>
  <c r="AA587" i="20"/>
  <c r="AA588" i="20"/>
  <c r="AA589" i="20"/>
  <c r="AA590" i="20"/>
  <c r="AA591" i="20"/>
  <c r="AA592" i="20"/>
  <c r="AA593" i="20"/>
  <c r="AA594" i="20"/>
  <c r="AA595" i="20"/>
  <c r="AA596" i="20"/>
  <c r="AA597" i="20"/>
  <c r="AA598" i="20"/>
  <c r="AA599" i="20"/>
  <c r="AA600" i="20"/>
  <c r="AA601" i="20"/>
  <c r="AA602" i="20"/>
  <c r="AA603" i="20"/>
  <c r="AA604" i="20"/>
  <c r="AA605" i="20"/>
  <c r="AA606" i="20"/>
  <c r="AA607" i="20"/>
  <c r="AA608" i="20"/>
  <c r="AA609" i="20"/>
  <c r="AA610" i="20"/>
  <c r="AA611" i="20"/>
  <c r="AA612" i="20"/>
  <c r="AA613" i="20"/>
  <c r="AA614" i="20"/>
  <c r="AA615" i="20"/>
  <c r="AA616" i="20"/>
  <c r="AA617" i="20"/>
  <c r="AA618" i="20"/>
  <c r="AA688" i="20"/>
  <c r="AA689" i="20"/>
  <c r="AA690" i="20"/>
  <c r="AA691" i="20"/>
  <c r="AA692" i="20"/>
  <c r="AA693" i="20"/>
  <c r="AA694" i="20"/>
  <c r="AA695" i="20"/>
  <c r="AA696" i="20"/>
  <c r="AA697" i="20"/>
  <c r="AA698" i="20"/>
  <c r="AA699" i="20"/>
  <c r="AA700" i="20"/>
  <c r="AA701" i="20"/>
  <c r="AA702" i="20"/>
  <c r="AA703" i="20"/>
  <c r="AA704" i="20"/>
  <c r="AA705" i="20"/>
  <c r="AA706" i="20"/>
  <c r="AA707" i="20"/>
  <c r="AA708" i="20"/>
  <c r="AA709" i="20"/>
  <c r="AA710" i="20"/>
  <c r="AA711" i="20"/>
  <c r="AA712" i="20"/>
  <c r="AA713" i="20"/>
  <c r="AA714" i="20"/>
  <c r="AA715" i="20"/>
  <c r="AA716" i="20"/>
  <c r="AA717" i="20"/>
  <c r="AA718" i="20"/>
  <c r="AA719" i="20"/>
  <c r="AA720" i="20"/>
  <c r="AA721" i="20"/>
  <c r="AA722" i="20"/>
  <c r="AA723" i="20"/>
  <c r="AA724" i="20"/>
  <c r="AA725" i="20"/>
  <c r="AA726" i="20"/>
  <c r="AA727" i="20"/>
  <c r="AA728" i="20"/>
  <c r="AA729" i="20"/>
  <c r="AA730" i="20"/>
  <c r="AA731" i="20"/>
  <c r="AA732" i="20"/>
  <c r="AA733" i="20"/>
  <c r="AA734" i="20"/>
  <c r="AA735" i="20"/>
  <c r="AA736" i="20"/>
  <c r="AA737" i="20"/>
  <c r="AB3" i="20"/>
  <c r="AA3" i="20"/>
  <c r="W111" i="33"/>
  <c r="V97" i="35"/>
  <c r="V91" i="35"/>
  <c r="V95" i="35"/>
  <c r="W91" i="35"/>
  <c r="W93" i="35"/>
  <c r="V93" i="35"/>
  <c r="L93" i="35"/>
  <c r="Z111" i="33"/>
  <c r="X111" i="33"/>
  <c r="Y111" i="33"/>
  <c r="L95" i="35"/>
  <c r="Y585" i="33"/>
  <c r="Z585" i="33"/>
  <c r="X585" i="33"/>
  <c r="AF1054" i="35" l="1"/>
  <c r="AG1054" i="35" s="1"/>
  <c r="AG1122" i="35" s="1"/>
  <c r="AF963" i="35"/>
  <c r="AG963" i="35" s="1"/>
  <c r="AF1309" i="35"/>
  <c r="AG1309" i="35" s="1"/>
  <c r="AF1106" i="35"/>
  <c r="AG1106" i="35" s="1"/>
  <c r="AF1112" i="35"/>
  <c r="AG1112" i="35" s="1"/>
  <c r="AF1297" i="35"/>
  <c r="AG1297" i="35" s="1"/>
  <c r="AF1114" i="35"/>
  <c r="AG1114" i="35" s="1"/>
  <c r="AF961" i="35"/>
  <c r="AG961" i="35" s="1"/>
  <c r="AF1120" i="35"/>
  <c r="AG1120" i="35" s="1"/>
  <c r="AF979" i="35"/>
  <c r="AG979" i="35" s="1"/>
  <c r="G499" i="33"/>
  <c r="H742" i="33"/>
  <c r="I634" i="35"/>
  <c r="I555" i="35"/>
  <c r="G542" i="35"/>
  <c r="G555" i="35"/>
  <c r="G338" i="35"/>
  <c r="G550" i="33"/>
  <c r="G632" i="35"/>
  <c r="H524" i="35"/>
  <c r="H588" i="35"/>
  <c r="H77" i="35"/>
  <c r="I482" i="35"/>
  <c r="G589" i="35"/>
  <c r="I786" i="33"/>
  <c r="H804" i="33"/>
  <c r="G804" i="33"/>
  <c r="G99" i="33"/>
  <c r="H389" i="33"/>
  <c r="G389" i="33"/>
  <c r="H447" i="33"/>
  <c r="H369" i="33"/>
  <c r="G715" i="33"/>
  <c r="G773" i="33"/>
  <c r="H778" i="33"/>
  <c r="G725" i="33"/>
  <c r="H730" i="33"/>
  <c r="H708" i="33"/>
  <c r="G778" i="33"/>
  <c r="I773" i="33"/>
  <c r="G501" i="33"/>
  <c r="G790" i="33"/>
  <c r="H790" i="33"/>
  <c r="I381" i="33"/>
  <c r="H727" i="33"/>
  <c r="I373" i="33"/>
  <c r="I475" i="33"/>
  <c r="G333" i="33"/>
  <c r="G485" i="33"/>
  <c r="I712" i="33"/>
  <c r="G449" i="33"/>
  <c r="I345" i="33"/>
  <c r="H723" i="33"/>
  <c r="G719" i="33"/>
  <c r="G431" i="33"/>
  <c r="I415" i="33"/>
  <c r="G415" i="33"/>
  <c r="I343" i="33"/>
  <c r="I329" i="33"/>
  <c r="G347" i="33"/>
  <c r="I730" i="33"/>
  <c r="H712" i="33"/>
  <c r="G445" i="33"/>
  <c r="G343" i="33"/>
  <c r="I723" i="33"/>
  <c r="I705" i="33"/>
  <c r="I333" i="33"/>
  <c r="H373" i="33"/>
  <c r="H347" i="33"/>
  <c r="I423" i="33"/>
  <c r="I708" i="33"/>
  <c r="H423" i="33"/>
  <c r="H719" i="33"/>
  <c r="H501" i="33"/>
  <c r="G381" i="33"/>
  <c r="H763" i="33"/>
  <c r="H443" i="33"/>
  <c r="H345" i="33"/>
  <c r="G443" i="33"/>
  <c r="I689" i="33"/>
  <c r="G705" i="33"/>
  <c r="H445" i="33"/>
  <c r="I816" i="33"/>
  <c r="I485" i="33"/>
  <c r="I229" i="33"/>
  <c r="H451" i="33"/>
  <c r="H690" i="35"/>
  <c r="G371" i="33"/>
  <c r="I584" i="35"/>
  <c r="H371" i="33"/>
  <c r="G387" i="33"/>
  <c r="G630" i="35"/>
  <c r="H479" i="33"/>
  <c r="I331" i="33"/>
  <c r="H427" i="33"/>
  <c r="H611" i="35"/>
  <c r="H593" i="35"/>
  <c r="H542" i="35"/>
  <c r="G329" i="33"/>
  <c r="I198" i="33"/>
  <c r="I377" i="33"/>
  <c r="I479" i="33"/>
  <c r="H630" i="35"/>
  <c r="G451" i="33"/>
  <c r="G587" i="33"/>
  <c r="G229" i="33"/>
  <c r="G427" i="33"/>
  <c r="H419" i="33"/>
  <c r="I419" i="33"/>
  <c r="I812" i="33"/>
  <c r="H335" i="33"/>
  <c r="I101" i="33"/>
  <c r="I593" i="35"/>
  <c r="I587" i="33"/>
  <c r="H387" i="33"/>
  <c r="H584" i="35"/>
  <c r="G812" i="33"/>
  <c r="I550" i="33"/>
  <c r="G198" i="33"/>
  <c r="G433" i="33"/>
  <c r="G816" i="33"/>
  <c r="H379" i="33"/>
  <c r="I335" i="33"/>
  <c r="I353" i="33"/>
  <c r="H377" i="33"/>
  <c r="H433" i="33"/>
  <c r="G308" i="35"/>
  <c r="G736" i="33"/>
  <c r="I819" i="33"/>
  <c r="H437" i="33"/>
  <c r="G425" i="33"/>
  <c r="H341" i="33"/>
  <c r="I750" i="33"/>
  <c r="G524" i="35"/>
  <c r="H774" i="33"/>
  <c r="I761" i="33"/>
  <c r="I774" i="33"/>
  <c r="H776" i="33"/>
  <c r="I560" i="35"/>
  <c r="I481" i="33"/>
  <c r="I355" i="33"/>
  <c r="I611" i="35"/>
  <c r="I379" i="33"/>
  <c r="I534" i="35"/>
  <c r="I808" i="33"/>
  <c r="H534" i="35"/>
  <c r="G341" i="33"/>
  <c r="I385" i="33"/>
  <c r="G375" i="33"/>
  <c r="H481" i="33"/>
  <c r="I696" i="35"/>
  <c r="H499" i="33"/>
  <c r="G475" i="33"/>
  <c r="G589" i="33"/>
  <c r="I99" i="33"/>
  <c r="H337" i="33"/>
  <c r="H441" i="33"/>
  <c r="I421" i="33"/>
  <c r="G483" i="33"/>
  <c r="I727" i="33"/>
  <c r="H591" i="33"/>
  <c r="G441" i="33"/>
  <c r="H431" i="33"/>
  <c r="G487" i="33"/>
  <c r="G776" i="33"/>
  <c r="H429" i="33"/>
  <c r="I375" i="33"/>
  <c r="I591" i="33"/>
  <c r="G421" i="33"/>
  <c r="I487" i="33"/>
  <c r="I710" i="33"/>
  <c r="G139" i="35"/>
  <c r="H714" i="33"/>
  <c r="I429" i="33"/>
  <c r="G337" i="33"/>
  <c r="I369" i="33"/>
  <c r="H331" i="33"/>
  <c r="G447" i="33"/>
  <c r="I338" i="35"/>
  <c r="H589" i="33"/>
  <c r="I757" i="33"/>
  <c r="G746" i="33"/>
  <c r="G586" i="35"/>
  <c r="H558" i="35"/>
  <c r="H332" i="35"/>
  <c r="I332" i="35"/>
  <c r="I810" i="33"/>
  <c r="I742" i="33"/>
  <c r="H515" i="33"/>
  <c r="H771" i="33"/>
  <c r="H746" i="33"/>
  <c r="G771" i="33"/>
  <c r="I425" i="33"/>
  <c r="I544" i="33"/>
  <c r="H540" i="33"/>
  <c r="H509" i="33"/>
  <c r="H417" i="33"/>
  <c r="G417" i="33"/>
  <c r="G757" i="33"/>
  <c r="G750" i="33"/>
  <c r="G788" i="33"/>
  <c r="H385" i="33"/>
  <c r="G544" i="33"/>
  <c r="H585" i="33"/>
  <c r="I513" i="33"/>
  <c r="G351" i="33"/>
  <c r="I788" i="33"/>
  <c r="I753" i="33"/>
  <c r="I806" i="33"/>
  <c r="I437" i="33"/>
  <c r="G353" i="33"/>
  <c r="G267" i="33"/>
  <c r="H297" i="33"/>
  <c r="I585" i="33"/>
  <c r="G509" i="33"/>
  <c r="I507" i="33"/>
  <c r="H546" i="33"/>
  <c r="I538" i="33"/>
  <c r="H299" i="33"/>
  <c r="G511" i="33"/>
  <c r="I548" i="33"/>
  <c r="G540" i="33"/>
  <c r="I261" i="33"/>
  <c r="H308" i="35"/>
  <c r="G316" i="35"/>
  <c r="H105" i="35"/>
  <c r="H586" i="35"/>
  <c r="I131" i="35"/>
  <c r="I153" i="35"/>
  <c r="H612" i="35"/>
  <c r="I545" i="35"/>
  <c r="H316" i="35"/>
  <c r="H153" i="35"/>
  <c r="G614" i="35"/>
  <c r="G105" i="35"/>
  <c r="I53" i="35"/>
  <c r="H47" i="35"/>
  <c r="AD131" i="35"/>
  <c r="AF131" i="35" s="1"/>
  <c r="AG131" i="35" s="1"/>
  <c r="AD260" i="35"/>
  <c r="AF260" i="35" s="1"/>
  <c r="AG260" i="35" s="1"/>
  <c r="AD392" i="35"/>
  <c r="AF392" i="35" s="1"/>
  <c r="AG392" i="35" s="1"/>
  <c r="G87" i="35"/>
  <c r="I614" i="35"/>
  <c r="G350" i="35"/>
  <c r="G53" i="35"/>
  <c r="G612" i="35"/>
  <c r="I350" i="35"/>
  <c r="G71" i="35"/>
  <c r="H69" i="35"/>
  <c r="G77" i="35"/>
  <c r="I558" i="35"/>
  <c r="H545" i="35"/>
  <c r="I49" i="35"/>
  <c r="I41" i="35"/>
  <c r="H75" i="35"/>
  <c r="H85" i="35"/>
  <c r="H79" i="35"/>
  <c r="G547" i="35"/>
  <c r="I588" i="35"/>
  <c r="H543" i="35"/>
  <c r="H589" i="35"/>
  <c r="I312" i="35"/>
  <c r="H348" i="35"/>
  <c r="H340" i="35"/>
  <c r="I543" i="35"/>
  <c r="H560" i="35"/>
  <c r="G532" i="35"/>
  <c r="I532" i="35"/>
  <c r="I547" i="35"/>
  <c r="G348" i="35"/>
  <c r="G266" i="35"/>
  <c r="H336" i="35"/>
  <c r="I160" i="35"/>
  <c r="G340" i="35"/>
  <c r="H266" i="35"/>
  <c r="I162" i="35"/>
  <c r="H244" i="35"/>
  <c r="I244" i="35"/>
  <c r="H707" i="33"/>
  <c r="G707" i="33"/>
  <c r="I682" i="33"/>
  <c r="G717" i="33"/>
  <c r="G710" i="33"/>
  <c r="G728" i="33"/>
  <c r="I725" i="33"/>
  <c r="I717" i="33"/>
  <c r="H736" i="33"/>
  <c r="I714" i="33"/>
  <c r="I728" i="33"/>
  <c r="I703" i="33"/>
  <c r="G721" i="33"/>
  <c r="I453" i="33"/>
  <c r="G357" i="33"/>
  <c r="G453" i="33"/>
  <c r="I584" i="33"/>
  <c r="H357" i="33"/>
  <c r="I240" i="35"/>
  <c r="G562" i="33"/>
  <c r="H194" i="33"/>
  <c r="H265" i="33"/>
  <c r="I248" i="33"/>
  <c r="I250" i="33"/>
  <c r="H232" i="35"/>
  <c r="I232" i="35"/>
  <c r="H236" i="35"/>
  <c r="G226" i="35"/>
  <c r="I632" i="35"/>
  <c r="G634" i="35"/>
  <c r="G234" i="35"/>
  <c r="H174" i="35"/>
  <c r="I564" i="33"/>
  <c r="I265" i="33"/>
  <c r="G51" i="35"/>
  <c r="G73" i="35"/>
  <c r="G83" i="35"/>
  <c r="G85" i="35"/>
  <c r="I71" i="35"/>
  <c r="G61" i="35"/>
  <c r="I79" i="35"/>
  <c r="I87" i="35"/>
  <c r="H139" i="35"/>
  <c r="H131" i="35"/>
  <c r="I211" i="33"/>
  <c r="G477" i="33"/>
  <c r="I216" i="35"/>
  <c r="G248" i="33"/>
  <c r="I156" i="35"/>
  <c r="G236" i="35"/>
  <c r="H242" i="35"/>
  <c r="G162" i="35"/>
  <c r="I180" i="35"/>
  <c r="AD226" i="35"/>
  <c r="AF226" i="35" s="1"/>
  <c r="AG226" i="35" s="1"/>
  <c r="H564" i="33"/>
  <c r="AD244" i="35"/>
  <c r="AF244" i="35" s="1"/>
  <c r="AG244" i="35" s="1"/>
  <c r="H226" i="35"/>
  <c r="H355" i="33"/>
  <c r="H250" i="33"/>
  <c r="I336" i="35"/>
  <c r="I477" i="33"/>
  <c r="G219" i="33"/>
  <c r="G142" i="33"/>
  <c r="I234" i="35"/>
  <c r="H180" i="35"/>
  <c r="I194" i="33"/>
  <c r="G238" i="35"/>
  <c r="G218" i="35"/>
  <c r="G156" i="35"/>
  <c r="H312" i="35"/>
  <c r="H37" i="35"/>
  <c r="H584" i="33"/>
  <c r="I562" i="33"/>
  <c r="I219" i="33"/>
  <c r="G693" i="35"/>
  <c r="I690" i="35"/>
  <c r="H693" i="35"/>
  <c r="I704" i="35"/>
  <c r="I435" i="33"/>
  <c r="G435" i="33"/>
  <c r="H467" i="33"/>
  <c r="G383" i="33"/>
  <c r="AI136" i="33"/>
  <c r="H107" i="33"/>
  <c r="G755" i="33"/>
  <c r="I109" i="33"/>
  <c r="G744" i="33"/>
  <c r="H808" i="33"/>
  <c r="I769" i="33"/>
  <c r="I740" i="33"/>
  <c r="H819" i="33"/>
  <c r="G748" i="33"/>
  <c r="H505" i="33"/>
  <c r="H540" i="35"/>
  <c r="G562" i="35"/>
  <c r="G609" i="35"/>
  <c r="H609" i="35"/>
  <c r="H591" i="35"/>
  <c r="G556" i="35"/>
  <c r="I582" i="35"/>
  <c r="G553" i="35"/>
  <c r="H582" i="35"/>
  <c r="G540" i="35"/>
  <c r="I553" i="35"/>
  <c r="I556" i="35"/>
  <c r="I562" i="35"/>
  <c r="AE140" i="33"/>
  <c r="AH140" i="33" s="1"/>
  <c r="AI140" i="33" s="1"/>
  <c r="I242" i="35"/>
  <c r="H240" i="35"/>
  <c r="I238" i="35"/>
  <c r="G200" i="35"/>
  <c r="I19" i="35"/>
  <c r="G87" i="33"/>
  <c r="AD180" i="35"/>
  <c r="AF180" i="35" s="1"/>
  <c r="AG180" i="35" s="1"/>
  <c r="AD164" i="35"/>
  <c r="AD166" i="35"/>
  <c r="AF166" i="35" s="1"/>
  <c r="AG166" i="35" s="1"/>
  <c r="AD338" i="35"/>
  <c r="AF338" i="35" s="1"/>
  <c r="AG338" i="35" s="1"/>
  <c r="AD316" i="35"/>
  <c r="AF316" i="35" s="1"/>
  <c r="AG316" i="35" s="1"/>
  <c r="AD308" i="35"/>
  <c r="AF308" i="35" s="1"/>
  <c r="AG308" i="35" s="1"/>
  <c r="AD348" i="35"/>
  <c r="AF348" i="35" s="1"/>
  <c r="AG348" i="35" s="1"/>
  <c r="G176" i="35"/>
  <c r="H176" i="35"/>
  <c r="AD176" i="35"/>
  <c r="AF176" i="35" s="1"/>
  <c r="AG176" i="35" s="1"/>
  <c r="I252" i="35"/>
  <c r="H252" i="35"/>
  <c r="G252" i="35"/>
  <c r="I390" i="35"/>
  <c r="AD390" i="35"/>
  <c r="AF390" i="35" s="1"/>
  <c r="AG390" i="35" s="1"/>
  <c r="G390" i="35"/>
  <c r="H346" i="35"/>
  <c r="AD346" i="35"/>
  <c r="AF346" i="35" s="1"/>
  <c r="AG346" i="35" s="1"/>
  <c r="I346" i="35"/>
  <c r="AD252" i="35"/>
  <c r="AF252" i="35" s="1"/>
  <c r="AG252" i="35" s="1"/>
  <c r="H151" i="35"/>
  <c r="AD151" i="35"/>
  <c r="AF151" i="35" s="1"/>
  <c r="AG151" i="35" s="1"/>
  <c r="I151" i="35"/>
  <c r="G151" i="35"/>
  <c r="H178" i="35"/>
  <c r="I178" i="35"/>
  <c r="G178" i="35"/>
  <c r="I137" i="35"/>
  <c r="AD137" i="35"/>
  <c r="AF137" i="35" s="1"/>
  <c r="AG137" i="35" s="1"/>
  <c r="H164" i="35"/>
  <c r="G164" i="35"/>
  <c r="I164" i="35"/>
  <c r="I127" i="35"/>
  <c r="AD127" i="35"/>
  <c r="AF127" i="35" s="1"/>
  <c r="AG127" i="35" s="1"/>
  <c r="G127" i="35"/>
  <c r="H127" i="35"/>
  <c r="I262" i="35"/>
  <c r="AD262" i="35"/>
  <c r="AF262" i="35" s="1"/>
  <c r="AG262" i="35" s="1"/>
  <c r="I256" i="35"/>
  <c r="AD256" i="35"/>
  <c r="AF256" i="35" s="1"/>
  <c r="AG256" i="35" s="1"/>
  <c r="G256" i="35"/>
  <c r="H256" i="35"/>
  <c r="H262" i="35"/>
  <c r="I695" i="35"/>
  <c r="G698" i="35"/>
  <c r="G47" i="35"/>
  <c r="I75" i="35"/>
  <c r="H41" i="35"/>
  <c r="H49" i="35"/>
  <c r="I61" i="35"/>
  <c r="AD41" i="35"/>
  <c r="AF41" i="35" s="1"/>
  <c r="AG41" i="35" s="1"/>
  <c r="H81" i="35"/>
  <c r="I83" i="35"/>
  <c r="I81" i="35"/>
  <c r="H67" i="35"/>
  <c r="I51" i="35"/>
  <c r="G67" i="35"/>
  <c r="H73" i="35"/>
  <c r="G714" i="35"/>
  <c r="G740" i="33"/>
  <c r="G786" i="33"/>
  <c r="I103" i="33"/>
  <c r="G105" i="33"/>
  <c r="I383" i="33"/>
  <c r="H744" i="33"/>
  <c r="H806" i="33"/>
  <c r="I755" i="33"/>
  <c r="I752" i="33"/>
  <c r="I505" i="33"/>
  <c r="G769" i="33"/>
  <c r="H759" i="33"/>
  <c r="I817" i="33"/>
  <c r="I105" i="33"/>
  <c r="H469" i="33"/>
  <c r="G810" i="33"/>
  <c r="G817" i="33"/>
  <c r="I469" i="33"/>
  <c r="I814" i="33"/>
  <c r="G814" i="33"/>
  <c r="G103" i="33"/>
  <c r="AE261" i="33"/>
  <c r="AG261" i="33" s="1"/>
  <c r="AH261" i="33" s="1"/>
  <c r="AH273" i="33" s="1"/>
  <c r="I297" i="33"/>
  <c r="I107" i="33"/>
  <c r="I759" i="33"/>
  <c r="H748" i="33"/>
  <c r="H752" i="33"/>
  <c r="I199" i="33"/>
  <c r="I467" i="33"/>
  <c r="G261" i="33"/>
  <c r="H511" i="33"/>
  <c r="H513" i="33"/>
  <c r="H548" i="33"/>
  <c r="H538" i="33"/>
  <c r="I546" i="33"/>
  <c r="H507" i="33"/>
  <c r="G109" i="33"/>
  <c r="H267" i="33"/>
  <c r="H351" i="33"/>
  <c r="G663" i="35"/>
  <c r="AD153" i="35"/>
  <c r="AF153" i="35" s="1"/>
  <c r="AG153" i="35" s="1"/>
  <c r="AD158" i="35"/>
  <c r="AF158" i="35" s="1"/>
  <c r="AG158" i="35" s="1"/>
  <c r="AD139" i="35"/>
  <c r="AF139" i="35" s="1"/>
  <c r="AG139" i="35" s="1"/>
  <c r="AD162" i="35"/>
  <c r="AF162" i="35" s="1"/>
  <c r="AG162" i="35" s="1"/>
  <c r="AD254" i="35"/>
  <c r="AF254" i="35" s="1"/>
  <c r="AG254" i="35" s="1"/>
  <c r="AD250" i="35"/>
  <c r="AF250" i="35" s="1"/>
  <c r="AG250" i="35" s="1"/>
  <c r="AD266" i="35"/>
  <c r="AD340" i="35"/>
  <c r="AF340" i="35" s="1"/>
  <c r="AG340" i="35" s="1"/>
  <c r="AD312" i="35"/>
  <c r="AF312" i="35" s="1"/>
  <c r="AG312" i="35" s="1"/>
  <c r="H95" i="33"/>
  <c r="H117" i="33"/>
  <c r="H71" i="33"/>
  <c r="G19" i="33"/>
  <c r="H121" i="33"/>
  <c r="H19" i="33"/>
  <c r="H87" i="33"/>
  <c r="H203" i="33"/>
  <c r="G115" i="33"/>
  <c r="I605" i="33"/>
  <c r="I203" i="33"/>
  <c r="H85" i="33"/>
  <c r="H168" i="33"/>
  <c r="I115" i="33"/>
  <c r="H211" i="33"/>
  <c r="I57" i="33"/>
  <c r="I51" i="33"/>
  <c r="H158" i="33"/>
  <c r="G196" i="33"/>
  <c r="I71" i="33"/>
  <c r="I67" i="33"/>
  <c r="I53" i="33"/>
  <c r="I61" i="33"/>
  <c r="H61" i="33"/>
  <c r="H15" i="33"/>
  <c r="H227" i="33"/>
  <c r="H237" i="33"/>
  <c r="G121" i="33"/>
  <c r="I235" i="33"/>
  <c r="G73" i="33"/>
  <c r="I45" i="33"/>
  <c r="H37" i="33"/>
  <c r="G91" i="33"/>
  <c r="H57" i="33"/>
  <c r="G75" i="33"/>
  <c r="H201" i="33"/>
  <c r="G51" i="33"/>
  <c r="H63" i="33"/>
  <c r="G15" i="33"/>
  <c r="G674" i="35"/>
  <c r="H663" i="35"/>
  <c r="H698" i="35"/>
  <c r="H674" i="35"/>
  <c r="AD632" i="35"/>
  <c r="AF632" i="35" s="1"/>
  <c r="AG632" i="35" s="1"/>
  <c r="I619" i="33"/>
  <c r="G299" i="33"/>
  <c r="AE142" i="33"/>
  <c r="AH142" i="33" s="1"/>
  <c r="AI142" i="33" s="1"/>
  <c r="H225" i="33"/>
  <c r="H196" i="33"/>
  <c r="H484" i="35"/>
  <c r="H205" i="33"/>
  <c r="G227" i="33"/>
  <c r="I85" i="33"/>
  <c r="I95" i="33"/>
  <c r="I89" i="33"/>
  <c r="G201" i="33"/>
  <c r="H323" i="33"/>
  <c r="G205" i="33"/>
  <c r="I81" i="33"/>
  <c r="H81" i="33"/>
  <c r="I113" i="33"/>
  <c r="I117" i="33"/>
  <c r="G47" i="33"/>
  <c r="G63" i="33"/>
  <c r="I21" i="33"/>
  <c r="G27" i="33"/>
  <c r="I183" i="33"/>
  <c r="I185" i="33"/>
  <c r="G185" i="33"/>
  <c r="G140" i="33"/>
  <c r="I140" i="33"/>
  <c r="I134" i="33"/>
  <c r="H134" i="33"/>
  <c r="I73" i="33"/>
  <c r="H45" i="33"/>
  <c r="I237" i="33"/>
  <c r="I37" i="33"/>
  <c r="G21" i="33"/>
  <c r="I225" i="33"/>
  <c r="H91" i="33"/>
  <c r="G89" i="33"/>
  <c r="G53" i="33"/>
  <c r="H67" i="33"/>
  <c r="H47" i="33"/>
  <c r="H75" i="33"/>
  <c r="H113" i="33"/>
  <c r="G235" i="33"/>
  <c r="H233" i="33"/>
  <c r="I233" i="33"/>
  <c r="G233" i="33"/>
  <c r="G231" i="33"/>
  <c r="H231" i="33"/>
  <c r="I231" i="33"/>
  <c r="H217" i="33"/>
  <c r="G217" i="33"/>
  <c r="G215" i="33"/>
  <c r="I215" i="33"/>
  <c r="H213" i="33"/>
  <c r="G213" i="33"/>
  <c r="I209" i="33"/>
  <c r="H209" i="33"/>
  <c r="I192" i="33"/>
  <c r="G192" i="33"/>
  <c r="H192" i="33"/>
  <c r="I186" i="33"/>
  <c r="G186" i="33"/>
  <c r="I154" i="33"/>
  <c r="G154" i="33"/>
  <c r="I152" i="33"/>
  <c r="H152" i="33"/>
  <c r="I119" i="33"/>
  <c r="H119" i="33"/>
  <c r="H97" i="33"/>
  <c r="G97" i="33"/>
  <c r="I93" i="33"/>
  <c r="G93" i="33"/>
  <c r="G83" i="33"/>
  <c r="I83" i="33"/>
  <c r="I77" i="33"/>
  <c r="H77" i="33"/>
  <c r="I69" i="33"/>
  <c r="H69" i="33"/>
  <c r="I65" i="33"/>
  <c r="G65" i="33"/>
  <c r="H65" i="33"/>
  <c r="H59" i="33"/>
  <c r="I59" i="33"/>
  <c r="I55" i="33"/>
  <c r="G55" i="33"/>
  <c r="I49" i="33"/>
  <c r="G49" i="33"/>
  <c r="G43" i="33"/>
  <c r="I43" i="33"/>
  <c r="H43" i="33"/>
  <c r="I41" i="33"/>
  <c r="G41" i="33"/>
  <c r="H39" i="33"/>
  <c r="I39" i="33"/>
  <c r="I31" i="33"/>
  <c r="H31" i="33"/>
  <c r="I29" i="33"/>
  <c r="H29" i="33"/>
  <c r="H25" i="33"/>
  <c r="I25" i="33"/>
  <c r="I23" i="33"/>
  <c r="H23" i="33"/>
  <c r="H17" i="33"/>
  <c r="G17" i="33"/>
  <c r="G199" i="33"/>
  <c r="H669" i="33"/>
  <c r="I878" i="33"/>
  <c r="AD332" i="35"/>
  <c r="AF332" i="35" s="1"/>
  <c r="AG332" i="35" s="1"/>
  <c r="H684" i="33"/>
  <c r="AE134" i="33"/>
  <c r="AH134" i="33" s="1"/>
  <c r="AI134" i="33" s="1"/>
  <c r="I508" i="35"/>
  <c r="I684" i="33"/>
  <c r="I736" i="35"/>
  <c r="G736" i="35"/>
  <c r="H736" i="35"/>
  <c r="I716" i="35"/>
  <c r="G720" i="35"/>
  <c r="I718" i="35"/>
  <c r="G716" i="35"/>
  <c r="H720" i="35"/>
  <c r="I720" i="35"/>
  <c r="H716" i="35"/>
  <c r="H718" i="35"/>
  <c r="G718" i="35"/>
  <c r="H1024" i="33"/>
  <c r="I1024" i="33"/>
  <c r="G1024" i="33"/>
  <c r="I1022" i="33"/>
  <c r="H1022" i="33"/>
  <c r="G1018" i="33"/>
  <c r="G1022" i="33"/>
  <c r="I1018" i="33"/>
  <c r="H1018" i="33"/>
  <c r="I1016" i="33"/>
  <c r="G1016" i="33"/>
  <c r="H1016" i="33"/>
  <c r="I1006" i="33"/>
  <c r="I756" i="35"/>
  <c r="G752" i="35"/>
  <c r="I970" i="33"/>
  <c r="H970" i="33"/>
  <c r="H1006" i="33"/>
  <c r="I1004" i="33"/>
  <c r="G756" i="35"/>
  <c r="H1012" i="33"/>
  <c r="G1006" i="33"/>
  <c r="G1004" i="33"/>
  <c r="H1004" i="33"/>
  <c r="I752" i="35"/>
  <c r="I1014" i="33"/>
  <c r="H1014" i="33"/>
  <c r="G1012" i="33"/>
  <c r="H754" i="35"/>
  <c r="H752" i="35"/>
  <c r="G970" i="33"/>
  <c r="G754" i="35"/>
  <c r="H756" i="35"/>
  <c r="G1014" i="33"/>
  <c r="I1012" i="33"/>
  <c r="I754" i="35"/>
  <c r="W649" i="33"/>
  <c r="I17" i="35"/>
  <c r="G508" i="35"/>
  <c r="G700" i="35"/>
  <c r="I149" i="35"/>
  <c r="G37" i="35"/>
  <c r="G19" i="35"/>
  <c r="G149" i="35"/>
  <c r="I15" i="35"/>
  <c r="AD242" i="35"/>
  <c r="AF242" i="35" s="1"/>
  <c r="AG242" i="35" s="1"/>
  <c r="AD240" i="35"/>
  <c r="AF240" i="35" s="1"/>
  <c r="AG240" i="35" s="1"/>
  <c r="AD234" i="35"/>
  <c r="AF234" i="35" s="1"/>
  <c r="AG234" i="35" s="1"/>
  <c r="AD230" i="35"/>
  <c r="AF230" i="35" s="1"/>
  <c r="AG230" i="35" s="1"/>
  <c r="AD85" i="35"/>
  <c r="AF85" i="35" s="1"/>
  <c r="AG85" i="35" s="1"/>
  <c r="AD83" i="35"/>
  <c r="AF83" i="35" s="1"/>
  <c r="AG83" i="35" s="1"/>
  <c r="AD79" i="35"/>
  <c r="AF79" i="35" s="1"/>
  <c r="AG79" i="35" s="1"/>
  <c r="AD77" i="35"/>
  <c r="AF77" i="35" s="1"/>
  <c r="AG77" i="35" s="1"/>
  <c r="AD75" i="35"/>
  <c r="AF75" i="35" s="1"/>
  <c r="AG75" i="35" s="1"/>
  <c r="AD73" i="35"/>
  <c r="AF73" i="35" s="1"/>
  <c r="AG73" i="35" s="1"/>
  <c r="AD71" i="35"/>
  <c r="AF71" i="35" s="1"/>
  <c r="AG71" i="35" s="1"/>
  <c r="AD67" i="35"/>
  <c r="AF67" i="35" s="1"/>
  <c r="AG67" i="35" s="1"/>
  <c r="AD61" i="35"/>
  <c r="AF61" i="35" s="1"/>
  <c r="AG61" i="35" s="1"/>
  <c r="AD53" i="35"/>
  <c r="AF53" i="35" s="1"/>
  <c r="AG53" i="35" s="1"/>
  <c r="AD51" i="35"/>
  <c r="AF51" i="35" s="1"/>
  <c r="AG51" i="35" s="1"/>
  <c r="AD49" i="35"/>
  <c r="AF49" i="35" s="1"/>
  <c r="AG49" i="35" s="1"/>
  <c r="AD47" i="35"/>
  <c r="AF47" i="35" s="1"/>
  <c r="AG47" i="35" s="1"/>
  <c r="AD147" i="35"/>
  <c r="AF147" i="35" s="1"/>
  <c r="AG147" i="35" s="1"/>
  <c r="G447" i="35"/>
  <c r="G676" i="35"/>
  <c r="H700" i="35"/>
  <c r="G724" i="35"/>
  <c r="AD726" i="35"/>
  <c r="AF726" i="35" s="1"/>
  <c r="AG726" i="35" s="1"/>
  <c r="AD702" i="35"/>
  <c r="AF702" i="35" s="1"/>
  <c r="AG702" i="35" s="1"/>
  <c r="AD688" i="35"/>
  <c r="AF688" i="35" s="1"/>
  <c r="AG688" i="35" s="1"/>
  <c r="AD670" i="35"/>
  <c r="AF670" i="35" s="1"/>
  <c r="AG670" i="35" s="1"/>
  <c r="AD667" i="35"/>
  <c r="AF667" i="35" s="1"/>
  <c r="AG667" i="35" s="1"/>
  <c r="G665" i="35"/>
  <c r="H676" i="35"/>
  <c r="I700" i="35"/>
  <c r="H724" i="35"/>
  <c r="G710" i="35"/>
  <c r="H133" i="35"/>
  <c r="G133" i="35"/>
  <c r="G125" i="35"/>
  <c r="I125" i="35"/>
  <c r="AD81" i="35"/>
  <c r="AF81" i="35" s="1"/>
  <c r="AG81" i="35" s="1"/>
  <c r="G43" i="35"/>
  <c r="I43" i="35"/>
  <c r="H43" i="35"/>
  <c r="AD43" i="35"/>
  <c r="AF43" i="35" s="1"/>
  <c r="AG43" i="35" s="1"/>
  <c r="I123" i="35"/>
  <c r="G123" i="35"/>
  <c r="H123" i="35"/>
  <c r="AD123" i="35"/>
  <c r="AF123" i="35" s="1"/>
  <c r="AG123" i="35" s="1"/>
  <c r="I135" i="35"/>
  <c r="AD135" i="35"/>
  <c r="AF135" i="35" s="1"/>
  <c r="AG135" i="35" s="1"/>
  <c r="G135" i="35"/>
  <c r="H135" i="35"/>
  <c r="H473" i="35"/>
  <c r="G473" i="35"/>
  <c r="G522" i="35"/>
  <c r="H522" i="35"/>
  <c r="I404" i="35"/>
  <c r="G404" i="35"/>
  <c r="I624" i="35"/>
  <c r="H624" i="35"/>
  <c r="I616" i="35"/>
  <c r="H607" i="35"/>
  <c r="G607" i="35"/>
  <c r="I580" i="35"/>
  <c r="H580" i="35"/>
  <c r="G538" i="35"/>
  <c r="H538" i="35"/>
  <c r="G418" i="35"/>
  <c r="H418" i="35"/>
  <c r="H421" i="35"/>
  <c r="G421" i="35"/>
  <c r="H423" i="35"/>
  <c r="G423" i="35"/>
  <c r="I155" i="35"/>
  <c r="H155" i="35"/>
  <c r="AD155" i="35"/>
  <c r="AF155" i="35" s="1"/>
  <c r="AG155" i="35" s="1"/>
  <c r="H145" i="35"/>
  <c r="I145" i="35"/>
  <c r="I184" i="35"/>
  <c r="G184" i="35"/>
  <c r="H264" i="35"/>
  <c r="G264" i="35"/>
  <c r="G260" i="35"/>
  <c r="H260" i="35"/>
  <c r="I260" i="35"/>
  <c r="I228" i="35"/>
  <c r="G228" i="35"/>
  <c r="H258" i="35"/>
  <c r="G258" i="35"/>
  <c r="I258" i="35"/>
  <c r="I294" i="35"/>
  <c r="H294" i="35"/>
  <c r="H292" i="35"/>
  <c r="I292" i="35"/>
  <c r="I392" i="35"/>
  <c r="G392" i="35"/>
  <c r="H392" i="35"/>
  <c r="G360" i="35"/>
  <c r="H360" i="35"/>
  <c r="H324" i="35"/>
  <c r="G324" i="35"/>
  <c r="G334" i="35"/>
  <c r="AD334" i="35"/>
  <c r="AF334" i="35" s="1"/>
  <c r="AG334" i="35" s="1"/>
  <c r="I334" i="35"/>
  <c r="I310" i="35"/>
  <c r="AD418" i="35"/>
  <c r="AF418" i="35" s="1"/>
  <c r="AG418" i="35" s="1"/>
  <c r="G595" i="35"/>
  <c r="AD611" i="35"/>
  <c r="AF611" i="35" s="1"/>
  <c r="AG611" i="35" s="1"/>
  <c r="AD599" i="35"/>
  <c r="AF599" i="35" s="1"/>
  <c r="AG599" i="35" s="1"/>
  <c r="AD593" i="35"/>
  <c r="AF593" i="35" s="1"/>
  <c r="AG593" i="35" s="1"/>
  <c r="AD582" i="35"/>
  <c r="AF582" i="35" s="1"/>
  <c r="AG582" i="35" s="1"/>
  <c r="AD553" i="35"/>
  <c r="AF553" i="35" s="1"/>
  <c r="AG553" i="35" s="1"/>
  <c r="AD330" i="35"/>
  <c r="AF330" i="35" s="1"/>
  <c r="AG330" i="35" s="1"/>
  <c r="G659" i="35"/>
  <c r="H688" i="35"/>
  <c r="AD258" i="35"/>
  <c r="AF258" i="35" s="1"/>
  <c r="AG258" i="35" s="1"/>
  <c r="AD236" i="35"/>
  <c r="AF236" i="35" s="1"/>
  <c r="AG236" i="35" s="1"/>
  <c r="AD238" i="35"/>
  <c r="AF238" i="35" s="1"/>
  <c r="AG238" i="35" s="1"/>
  <c r="AD125" i="35"/>
  <c r="AF125" i="35" s="1"/>
  <c r="AG125" i="35" s="1"/>
  <c r="I133" i="35"/>
  <c r="AD224" i="35"/>
  <c r="AF224" i="35" s="1"/>
  <c r="AG224" i="35" s="1"/>
  <c r="AD69" i="35"/>
  <c r="AF69" i="35" s="1"/>
  <c r="AG69" i="35" s="1"/>
  <c r="I322" i="35"/>
  <c r="AD310" i="35"/>
  <c r="AF310" i="35" s="1"/>
  <c r="AG310" i="35" s="1"/>
  <c r="AD328" i="35"/>
  <c r="AF328" i="35" s="1"/>
  <c r="AG328" i="35" s="1"/>
  <c r="I400" i="35"/>
  <c r="H443" i="35"/>
  <c r="G578" i="35"/>
  <c r="AD133" i="35"/>
  <c r="AF133" i="35" s="1"/>
  <c r="AG133" i="35" s="1"/>
  <c r="AD232" i="35"/>
  <c r="AF232" i="35" s="1"/>
  <c r="AG232" i="35" s="1"/>
  <c r="H328" i="35"/>
  <c r="H125" i="35"/>
  <c r="I107" i="35"/>
  <c r="AD178" i="35"/>
  <c r="AF178" i="35" s="1"/>
  <c r="AG178" i="35" s="1"/>
  <c r="AD336" i="35"/>
  <c r="AF336" i="35" s="1"/>
  <c r="AG336" i="35" s="1"/>
  <c r="H447" i="35"/>
  <c r="G667" i="35"/>
  <c r="G708" i="35"/>
  <c r="G101" i="35"/>
  <c r="G113" i="35"/>
  <c r="H200" i="35"/>
  <c r="H220" i="35"/>
  <c r="G224" i="35"/>
  <c r="H230" i="35"/>
  <c r="G17" i="35"/>
  <c r="AD412" i="35"/>
  <c r="AF412" i="35" s="1"/>
  <c r="AG412" i="35" s="1"/>
  <c r="G386" i="35"/>
  <c r="I492" i="35"/>
  <c r="AD492" i="35"/>
  <c r="AF492" i="35" s="1"/>
  <c r="AG492" i="35" s="1"/>
  <c r="G591" i="35"/>
  <c r="H578" i="35"/>
  <c r="G649" i="35"/>
  <c r="H651" i="35"/>
  <c r="H667" i="35"/>
  <c r="AD728" i="35"/>
  <c r="AF728" i="35" s="1"/>
  <c r="AG728" i="35" s="1"/>
  <c r="L107" i="35"/>
  <c r="H103" i="35"/>
  <c r="H218" i="35"/>
  <c r="H15" i="35"/>
  <c r="AD160" i="35"/>
  <c r="AF160" i="35" s="1"/>
  <c r="AG160" i="35" s="1"/>
  <c r="AD218" i="35"/>
  <c r="AF218" i="35" s="1"/>
  <c r="AG218" i="35" s="1"/>
  <c r="AD220" i="35"/>
  <c r="AF220" i="35" s="1"/>
  <c r="AG220" i="35" s="1"/>
  <c r="H224" i="35"/>
  <c r="AD216" i="35"/>
  <c r="AF216" i="35" s="1"/>
  <c r="AG216" i="35" s="1"/>
  <c r="H113" i="35"/>
  <c r="H107" i="35"/>
  <c r="AD87" i="35"/>
  <c r="AF87" i="35" s="1"/>
  <c r="AG87" i="35" s="1"/>
  <c r="H101" i="35"/>
  <c r="AD37" i="35"/>
  <c r="AF37" i="35" s="1"/>
  <c r="AG37" i="35" s="1"/>
  <c r="I402" i="35"/>
  <c r="H649" i="35"/>
  <c r="I220" i="35"/>
  <c r="G216" i="35"/>
  <c r="I230" i="35"/>
  <c r="H160" i="35"/>
  <c r="G103" i="35"/>
  <c r="AD149" i="35"/>
  <c r="AF149" i="35" s="1"/>
  <c r="AG149" i="35" s="1"/>
  <c r="AD228" i="35"/>
  <c r="AF228" i="35" s="1"/>
  <c r="AG228" i="35" s="1"/>
  <c r="G310" i="35"/>
  <c r="I328" i="35"/>
  <c r="H404" i="35"/>
  <c r="I421" i="35"/>
  <c r="AD425" i="35"/>
  <c r="AF425" i="35" s="1"/>
  <c r="AG425" i="35" s="1"/>
  <c r="G443" i="35"/>
  <c r="H468" i="35"/>
  <c r="V603" i="35"/>
  <c r="AD558" i="35"/>
  <c r="AF558" i="35" s="1"/>
  <c r="AG558" i="35" s="1"/>
  <c r="G702" i="35"/>
  <c r="H712" i="35"/>
  <c r="H158" i="35"/>
  <c r="I158" i="35"/>
  <c r="H250" i="35"/>
  <c r="I250" i="35"/>
  <c r="G250" i="35"/>
  <c r="AD394" i="35"/>
  <c r="AF394" i="35" s="1"/>
  <c r="AG394" i="35" s="1"/>
  <c r="G394" i="35"/>
  <c r="I314" i="35"/>
  <c r="H314" i="35"/>
  <c r="AD314" i="35"/>
  <c r="AF314" i="35" s="1"/>
  <c r="AG314" i="35" s="1"/>
  <c r="I408" i="35"/>
  <c r="G408" i="35"/>
  <c r="H408" i="35"/>
  <c r="G398" i="35"/>
  <c r="H398" i="35"/>
  <c r="AD427" i="35"/>
  <c r="AF427" i="35" s="1"/>
  <c r="AG427" i="35" s="1"/>
  <c r="G427" i="35"/>
  <c r="H465" i="35"/>
  <c r="G465" i="35"/>
  <c r="I465" i="35"/>
  <c r="I129" i="35"/>
  <c r="H129" i="35"/>
  <c r="AD129" i="35"/>
  <c r="AF129" i="35" s="1"/>
  <c r="AG129" i="35" s="1"/>
  <c r="I168" i="35"/>
  <c r="G168" i="35"/>
  <c r="G174" i="35"/>
  <c r="AD174" i="35"/>
  <c r="AF174" i="35" s="1"/>
  <c r="AG174" i="35" s="1"/>
  <c r="G166" i="35"/>
  <c r="I166" i="35"/>
  <c r="H166" i="35"/>
  <c r="H254" i="35"/>
  <c r="G254" i="35"/>
  <c r="AD324" i="35"/>
  <c r="AF324" i="35" s="1"/>
  <c r="AG324" i="35" s="1"/>
  <c r="G69" i="35"/>
  <c r="I147" i="35"/>
  <c r="G147" i="35"/>
  <c r="G145" i="35"/>
  <c r="AD145" i="35"/>
  <c r="AF145" i="35" s="1"/>
  <c r="AG145" i="35" s="1"/>
  <c r="H467" i="35"/>
  <c r="I467" i="35"/>
  <c r="G467" i="35"/>
  <c r="AD500" i="35"/>
  <c r="AF500" i="35" s="1"/>
  <c r="AG500" i="35" s="1"/>
  <c r="I500" i="35"/>
  <c r="I394" i="35"/>
  <c r="H390" i="35"/>
  <c r="G155" i="35"/>
  <c r="G137" i="35"/>
  <c r="H137" i="35"/>
  <c r="H500" i="35"/>
  <c r="AD481" i="35"/>
  <c r="AF481" i="35" s="1"/>
  <c r="AG481" i="35" s="1"/>
  <c r="AD465" i="35"/>
  <c r="AF465" i="35" s="1"/>
  <c r="AG465" i="35" s="1"/>
  <c r="AD467" i="35"/>
  <c r="AF467" i="35" s="1"/>
  <c r="AG467" i="35" s="1"/>
  <c r="G599" i="35"/>
  <c r="I618" i="35"/>
  <c r="AD620" i="35"/>
  <c r="AF620" i="35" s="1"/>
  <c r="AG620" i="35" s="1"/>
  <c r="AD601" i="35"/>
  <c r="AF601" i="35" s="1"/>
  <c r="AG601" i="35" s="1"/>
  <c r="AD584" i="35"/>
  <c r="AF584" i="35" s="1"/>
  <c r="AG584" i="35" s="1"/>
  <c r="AD555" i="35"/>
  <c r="AF555" i="35" s="1"/>
  <c r="AG555" i="35" s="1"/>
  <c r="G670" i="35"/>
  <c r="I702" i="35"/>
  <c r="I712" i="35"/>
  <c r="H726" i="35"/>
  <c r="I688" i="35"/>
  <c r="AD714" i="35"/>
  <c r="AF714" i="35" s="1"/>
  <c r="AG714" i="35" s="1"/>
  <c r="AD704" i="35"/>
  <c r="AF704" i="35" s="1"/>
  <c r="AG704" i="35" s="1"/>
  <c r="AD693" i="35"/>
  <c r="AF693" i="35" s="1"/>
  <c r="AG693" i="35" s="1"/>
  <c r="H322" i="35"/>
  <c r="AD322" i="35"/>
  <c r="AF322" i="35" s="1"/>
  <c r="AG322" i="35" s="1"/>
  <c r="I473" i="35"/>
  <c r="AD482" i="35"/>
  <c r="AF482" i="35" s="1"/>
  <c r="AG482" i="35" s="1"/>
  <c r="AD473" i="35"/>
  <c r="AF473" i="35" s="1"/>
  <c r="AG473" i="35" s="1"/>
  <c r="AD468" i="35"/>
  <c r="AF468" i="35" s="1"/>
  <c r="AG468" i="35" s="1"/>
  <c r="H599" i="35"/>
  <c r="G601" i="35"/>
  <c r="I667" i="35"/>
  <c r="H670" i="35"/>
  <c r="G696" i="35"/>
  <c r="I726" i="35"/>
  <c r="G728" i="35"/>
  <c r="H659" i="35"/>
  <c r="L688" i="35"/>
  <c r="V708" i="35"/>
  <c r="AD722" i="35"/>
  <c r="AF722" i="35" s="1"/>
  <c r="AG722" i="35" s="1"/>
  <c r="AD698" i="35"/>
  <c r="AF698" i="35" s="1"/>
  <c r="AG698" i="35" s="1"/>
  <c r="AD674" i="35"/>
  <c r="AF674" i="35" s="1"/>
  <c r="AG674" i="35" s="1"/>
  <c r="AD663" i="35"/>
  <c r="AF663" i="35" s="1"/>
  <c r="AG663" i="35" s="1"/>
  <c r="AD634" i="35"/>
  <c r="AF634" i="35" s="1"/>
  <c r="AG634" i="35" s="1"/>
  <c r="I358" i="35"/>
  <c r="AD402" i="35"/>
  <c r="AF402" i="35" s="1"/>
  <c r="AG402" i="35" s="1"/>
  <c r="G468" i="35"/>
  <c r="AD486" i="35"/>
  <c r="AF486" i="35" s="1"/>
  <c r="AG486" i="35" s="1"/>
  <c r="I601" i="35"/>
  <c r="AA618" i="35"/>
  <c r="AD609" i="35"/>
  <c r="AF609" i="35" s="1"/>
  <c r="AG609" i="35" s="1"/>
  <c r="AD607" i="35"/>
  <c r="AF607" i="35" s="1"/>
  <c r="AG607" i="35" s="1"/>
  <c r="AD597" i="35"/>
  <c r="AF597" i="35" s="1"/>
  <c r="AG597" i="35" s="1"/>
  <c r="AD591" i="35"/>
  <c r="AF591" i="35" s="1"/>
  <c r="AG591" i="35" s="1"/>
  <c r="AD588" i="35"/>
  <c r="AF588" i="35" s="1"/>
  <c r="AG588" i="35" s="1"/>
  <c r="AD580" i="35"/>
  <c r="AF580" i="35" s="1"/>
  <c r="AG580" i="35" s="1"/>
  <c r="AD562" i="35"/>
  <c r="AF562" i="35" s="1"/>
  <c r="AG562" i="35" s="1"/>
  <c r="I670" i="35"/>
  <c r="G704" i="35"/>
  <c r="V704" i="35"/>
  <c r="AA704" i="35"/>
  <c r="I714" i="35"/>
  <c r="W726" i="35"/>
  <c r="H728" i="35"/>
  <c r="G688" i="35"/>
  <c r="AA688" i="35"/>
  <c r="AD724" i="35"/>
  <c r="AF724" i="35" s="1"/>
  <c r="AG724" i="35" s="1"/>
  <c r="AD710" i="35"/>
  <c r="AF710" i="35" s="1"/>
  <c r="AG710" i="35" s="1"/>
  <c r="AD700" i="35"/>
  <c r="AF700" i="35" s="1"/>
  <c r="AG700" i="35" s="1"/>
  <c r="I601" i="33"/>
  <c r="G621" i="33"/>
  <c r="H657" i="33"/>
  <c r="I612" i="33"/>
  <c r="H615" i="33"/>
  <c r="G761" i="33"/>
  <c r="I886" i="33"/>
  <c r="H896" i="33"/>
  <c r="L205" i="33"/>
  <c r="H612" i="33"/>
  <c r="I621" i="33"/>
  <c r="G689" i="33"/>
  <c r="G878" i="33"/>
  <c r="W819" i="33"/>
  <c r="H655" i="33"/>
  <c r="I940" i="33"/>
  <c r="G101" i="33"/>
  <c r="G183" i="33"/>
  <c r="G181" i="33"/>
  <c r="I181" i="33"/>
  <c r="I142" i="33"/>
  <c r="I449" i="33"/>
  <c r="I483" i="33"/>
  <c r="L185" i="33"/>
  <c r="I542" i="33"/>
  <c r="H605" i="33"/>
  <c r="H627" i="33"/>
  <c r="H619" i="33"/>
  <c r="I615" i="33"/>
  <c r="I627" i="33"/>
  <c r="H667" i="33"/>
  <c r="Y707" i="33"/>
  <c r="Y804" i="33"/>
  <c r="H132" i="33"/>
  <c r="I132" i="33"/>
  <c r="AE132" i="33"/>
  <c r="AH132" i="33" s="1"/>
  <c r="AI132" i="33" s="1"/>
  <c r="G130" i="33"/>
  <c r="H130" i="33"/>
  <c r="L130" i="33"/>
  <c r="I124" i="33"/>
  <c r="G124" i="33"/>
  <c r="G180" i="33"/>
  <c r="I180" i="33"/>
  <c r="G178" i="33"/>
  <c r="H178" i="33"/>
  <c r="G176" i="33"/>
  <c r="I176" i="33"/>
  <c r="H176" i="33"/>
  <c r="I174" i="33"/>
  <c r="H174" i="33"/>
  <c r="G174" i="33"/>
  <c r="G172" i="33"/>
  <c r="I172" i="33"/>
  <c r="H172" i="33"/>
  <c r="H170" i="33"/>
  <c r="G170" i="33"/>
  <c r="I170" i="33"/>
  <c r="G168" i="33"/>
  <c r="H166" i="33"/>
  <c r="G166" i="33"/>
  <c r="L166" i="33"/>
  <c r="I164" i="33"/>
  <c r="G164" i="33"/>
  <c r="H164" i="33"/>
  <c r="I162" i="33"/>
  <c r="G162" i="33"/>
  <c r="H162" i="33"/>
  <c r="I158" i="33"/>
  <c r="G156" i="33"/>
  <c r="H156" i="33"/>
  <c r="I156" i="33"/>
  <c r="I327" i="33"/>
  <c r="G327" i="33"/>
  <c r="H327" i="33"/>
  <c r="L327" i="33"/>
  <c r="G325" i="33"/>
  <c r="H325" i="33"/>
  <c r="I325" i="33"/>
  <c r="G323" i="33"/>
  <c r="H321" i="33"/>
  <c r="I321" i="33"/>
  <c r="L321" i="33"/>
  <c r="I319" i="33"/>
  <c r="H319" i="33"/>
  <c r="I317" i="33"/>
  <c r="G317" i="33"/>
  <c r="H315" i="33"/>
  <c r="G315" i="33"/>
  <c r="H313" i="33"/>
  <c r="I311" i="33"/>
  <c r="G311" i="33"/>
  <c r="I309" i="33"/>
  <c r="H309" i="33"/>
  <c r="G307" i="33"/>
  <c r="I307" i="33"/>
  <c r="H307" i="33"/>
  <c r="G305" i="33"/>
  <c r="I305" i="33"/>
  <c r="G303" i="33"/>
  <c r="I303" i="33"/>
  <c r="H301" i="33"/>
  <c r="I301" i="33"/>
  <c r="G301" i="33"/>
  <c r="H291" i="33"/>
  <c r="G291" i="33"/>
  <c r="I291" i="33"/>
  <c r="I289" i="33"/>
  <c r="H289" i="33"/>
  <c r="I287" i="33"/>
  <c r="H287" i="33"/>
  <c r="G285" i="33"/>
  <c r="I285" i="33"/>
  <c r="H285" i="33"/>
  <c r="L285" i="33"/>
  <c r="H283" i="33"/>
  <c r="G283" i="33"/>
  <c r="I283" i="33"/>
  <c r="L283" i="33"/>
  <c r="I259" i="33"/>
  <c r="G259" i="33"/>
  <c r="H259" i="33"/>
  <c r="G257" i="33"/>
  <c r="L257" i="33"/>
  <c r="H257" i="33"/>
  <c r="I246" i="33"/>
  <c r="H246" i="33"/>
  <c r="G246" i="33"/>
  <c r="G244" i="33"/>
  <c r="H244" i="33"/>
  <c r="I244" i="33"/>
  <c r="G242" i="33"/>
  <c r="I242" i="33"/>
  <c r="I240" i="33"/>
  <c r="H240" i="33"/>
  <c r="G240" i="33"/>
  <c r="G238" i="33"/>
  <c r="H238" i="33"/>
  <c r="G23" i="33"/>
  <c r="G665" i="33"/>
  <c r="H671" i="33"/>
  <c r="H837" i="33"/>
  <c r="I17" i="33"/>
  <c r="G251" i="33"/>
  <c r="H251" i="33"/>
  <c r="I503" i="33"/>
  <c r="G674" i="33"/>
  <c r="G854" i="33"/>
  <c r="I629" i="33"/>
  <c r="I674" i="33"/>
  <c r="G653" i="33"/>
  <c r="G870" i="33"/>
  <c r="G886" i="33"/>
  <c r="G515" i="33"/>
  <c r="H601" i="33"/>
  <c r="G629" i="33"/>
  <c r="G657" i="33"/>
  <c r="G671" i="33"/>
  <c r="H661" i="33"/>
  <c r="G763" i="33"/>
  <c r="H838" i="33"/>
  <c r="I856" i="33"/>
  <c r="L902" i="33"/>
  <c r="L940" i="33"/>
  <c r="G119" i="33"/>
  <c r="I27" i="33"/>
  <c r="G136" i="33"/>
  <c r="H136" i="33"/>
  <c r="H140" i="33"/>
  <c r="H582" i="33"/>
  <c r="I516" i="33"/>
  <c r="I623" i="33"/>
  <c r="H653" i="33"/>
  <c r="I665" i="33"/>
  <c r="G661" i="33"/>
  <c r="I838" i="33"/>
  <c r="AB854" i="33"/>
  <c r="I910" i="33"/>
  <c r="H516" i="33"/>
  <c r="H566" i="33"/>
  <c r="G639" i="33"/>
  <c r="I882" i="33"/>
  <c r="G896" i="33"/>
  <c r="L898" i="33"/>
  <c r="G902" i="33"/>
  <c r="G936" i="33"/>
  <c r="G570" i="33"/>
  <c r="G607" i="33"/>
  <c r="G651" i="33"/>
  <c r="I655" i="33"/>
  <c r="AB851" i="33"/>
  <c r="G858" i="33"/>
  <c r="G864" i="33"/>
  <c r="I872" i="33"/>
  <c r="G880" i="33"/>
  <c r="I900" i="33"/>
  <c r="I934" i="33"/>
  <c r="I944" i="33"/>
  <c r="H311" i="33"/>
  <c r="I313" i="33"/>
  <c r="G309" i="33"/>
  <c r="H242" i="33"/>
  <c r="I238" i="33"/>
  <c r="X134" i="33"/>
  <c r="W117" i="33"/>
  <c r="G572" i="33"/>
  <c r="I570" i="33"/>
  <c r="H607" i="33"/>
  <c r="G672" i="33"/>
  <c r="G703" i="33"/>
  <c r="G835" i="33"/>
  <c r="L838" i="33"/>
  <c r="G840" i="33"/>
  <c r="H842" i="33"/>
  <c r="I858" i="33"/>
  <c r="I864" i="33"/>
  <c r="AB872" i="33"/>
  <c r="H870" i="33"/>
  <c r="I880" i="33"/>
  <c r="I884" i="33"/>
  <c r="I888" i="33"/>
  <c r="H894" i="33"/>
  <c r="H908" i="33"/>
  <c r="I932" i="33"/>
  <c r="G503" i="33"/>
  <c r="I572" i="33"/>
  <c r="G566" i="33"/>
  <c r="H651" i="33"/>
  <c r="I667" i="33"/>
  <c r="I672" i="33"/>
  <c r="G669" i="33"/>
  <c r="H686" i="33"/>
  <c r="G686" i="33"/>
  <c r="I840" i="33"/>
  <c r="I848" i="33"/>
  <c r="H851" i="33"/>
  <c r="H853" i="33"/>
  <c r="I876" i="33"/>
  <c r="AB880" i="33"/>
  <c r="Y572" i="33"/>
  <c r="Z570" i="33"/>
  <c r="Z876" i="33"/>
  <c r="W237" i="33"/>
  <c r="X233" i="33"/>
  <c r="X132" i="33"/>
  <c r="G314" i="35"/>
  <c r="I326" i="35"/>
  <c r="G358" i="35"/>
  <c r="G406" i="35"/>
  <c r="Y582" i="33"/>
  <c r="G542" i="33"/>
  <c r="I427" i="35"/>
  <c r="I398" i="35"/>
  <c r="H427" i="35"/>
  <c r="AD398" i="35"/>
  <c r="AF398" i="35" s="1"/>
  <c r="AG398" i="35" s="1"/>
  <c r="AD420" i="35"/>
  <c r="AF420" i="35" s="1"/>
  <c r="AG420" i="35" s="1"/>
  <c r="H608" i="33"/>
  <c r="G608" i="33"/>
  <c r="G482" i="35"/>
  <c r="H639" i="33"/>
  <c r="H502" i="35"/>
  <c r="I502" i="35"/>
  <c r="G582" i="33"/>
  <c r="I386" i="35"/>
  <c r="AD408" i="35"/>
  <c r="AF408" i="35" s="1"/>
  <c r="AG408" i="35" s="1"/>
  <c r="AD404" i="35"/>
  <c r="AF404" i="35" s="1"/>
  <c r="AG404" i="35" s="1"/>
  <c r="H425" i="35"/>
  <c r="AD400" i="35"/>
  <c r="AF400" i="35" s="1"/>
  <c r="AG400" i="35" s="1"/>
  <c r="AD423" i="35"/>
  <c r="AF423" i="35" s="1"/>
  <c r="AG423" i="35" s="1"/>
  <c r="I599" i="33"/>
  <c r="I481" i="35"/>
  <c r="G481" i="35"/>
  <c r="G484" i="35"/>
  <c r="AD484" i="35"/>
  <c r="AF484" i="35" s="1"/>
  <c r="AG484" i="35" s="1"/>
  <c r="AD508" i="35"/>
  <c r="AF508" i="35" s="1"/>
  <c r="AG508" i="35" s="1"/>
  <c r="W95" i="33"/>
  <c r="AD326" i="35"/>
  <c r="AF326" i="35" s="1"/>
  <c r="AG326" i="35" s="1"/>
  <c r="G425" i="35"/>
  <c r="I425" i="35"/>
  <c r="H682" i="33"/>
  <c r="H715" i="33"/>
  <c r="AB802" i="33"/>
  <c r="W576" i="35"/>
  <c r="H597" i="35"/>
  <c r="I599" i="35"/>
  <c r="H601" i="35"/>
  <c r="W601" i="35"/>
  <c r="G603" i="35"/>
  <c r="H620" i="35"/>
  <c r="AD618" i="35"/>
  <c r="AF618" i="35" s="1"/>
  <c r="AG618" i="35" s="1"/>
  <c r="AD614" i="35"/>
  <c r="AF614" i="35" s="1"/>
  <c r="AG614" i="35" s="1"/>
  <c r="AD595" i="35"/>
  <c r="AF595" i="35" s="1"/>
  <c r="AG595" i="35" s="1"/>
  <c r="AD578" i="35"/>
  <c r="AF578" i="35" s="1"/>
  <c r="AG578" i="35" s="1"/>
  <c r="AD545" i="35"/>
  <c r="AF545" i="35" s="1"/>
  <c r="AG545" i="35" s="1"/>
  <c r="AB835" i="33"/>
  <c r="G837" i="33"/>
  <c r="G838" i="33"/>
  <c r="AB840" i="33"/>
  <c r="I842" i="33"/>
  <c r="AB858" i="33"/>
  <c r="L876" i="33"/>
  <c r="G882" i="33"/>
  <c r="AB886" i="33"/>
  <c r="H898" i="33"/>
  <c r="G900" i="33"/>
  <c r="H902" i="33"/>
  <c r="L908" i="33"/>
  <c r="G626" i="35"/>
  <c r="AD730" i="35"/>
  <c r="AF730" i="35" s="1"/>
  <c r="AG730" i="35" s="1"/>
  <c r="AD676" i="35"/>
  <c r="AF676" i="35" s="1"/>
  <c r="AG676" i="35" s="1"/>
  <c r="AD672" i="35"/>
  <c r="AF672" i="35" s="1"/>
  <c r="AG672" i="35" s="1"/>
  <c r="AD630" i="35"/>
  <c r="AF630" i="35" s="1"/>
  <c r="AG630" i="35" s="1"/>
  <c r="H936" i="33"/>
  <c r="G948" i="33"/>
  <c r="AB876" i="33"/>
  <c r="I898" i="33"/>
  <c r="I902" i="33"/>
  <c r="I626" i="35"/>
  <c r="AD626" i="35"/>
  <c r="AF626" i="35" s="1"/>
  <c r="AG626" i="35" s="1"/>
  <c r="G934" i="33"/>
  <c r="G944" i="33"/>
  <c r="G946" i="33"/>
  <c r="I948" i="33"/>
  <c r="G753" i="33"/>
  <c r="I576" i="35"/>
  <c r="L597" i="35"/>
  <c r="V616" i="35"/>
  <c r="L620" i="35"/>
  <c r="AD603" i="35"/>
  <c r="AF603" i="35" s="1"/>
  <c r="AG603" i="35" s="1"/>
  <c r="AD586" i="35"/>
  <c r="AF586" i="35" s="1"/>
  <c r="AG586" i="35" s="1"/>
  <c r="AD547" i="35"/>
  <c r="AF547" i="35" s="1"/>
  <c r="AG547" i="35" s="1"/>
  <c r="AD540" i="35"/>
  <c r="AF540" i="35" s="1"/>
  <c r="AG540" i="35" s="1"/>
  <c r="H835" i="33"/>
  <c r="I849" i="33"/>
  <c r="I851" i="33"/>
  <c r="G856" i="33"/>
  <c r="I868" i="33"/>
  <c r="G872" i="33"/>
  <c r="G876" i="33"/>
  <c r="G884" i="33"/>
  <c r="H888" i="33"/>
  <c r="AB902" i="33"/>
  <c r="G908" i="33"/>
  <c r="L626" i="35"/>
  <c r="W710" i="35"/>
  <c r="AD708" i="35"/>
  <c r="AF708" i="35" s="1"/>
  <c r="AG708" i="35" s="1"/>
  <c r="V601" i="35"/>
  <c r="L618" i="35"/>
  <c r="L942" i="33"/>
  <c r="H552" i="33"/>
  <c r="G552" i="33"/>
  <c r="I552" i="33"/>
  <c r="I412" i="35"/>
  <c r="G412" i="35"/>
  <c r="H560" i="33"/>
  <c r="I560" i="33"/>
  <c r="X560" i="33"/>
  <c r="G362" i="35"/>
  <c r="H362" i="35"/>
  <c r="AD496" i="35"/>
  <c r="AF496" i="35" s="1"/>
  <c r="AG496" i="35" s="1"/>
  <c r="I330" i="35"/>
  <c r="H330" i="35"/>
  <c r="G330" i="35"/>
  <c r="I473" i="33"/>
  <c r="G473" i="33"/>
  <c r="H410" i="35"/>
  <c r="I410" i="35"/>
  <c r="AD410" i="35"/>
  <c r="AF410" i="35" s="1"/>
  <c r="AG410" i="35" s="1"/>
  <c r="G410" i="35"/>
  <c r="H477" i="35"/>
  <c r="AD477" i="35"/>
  <c r="AF477" i="35" s="1"/>
  <c r="AG477" i="35" s="1"/>
  <c r="G477" i="35"/>
  <c r="H496" i="35"/>
  <c r="G496" i="35"/>
  <c r="H475" i="35"/>
  <c r="G475" i="35"/>
  <c r="I475" i="35"/>
  <c r="AD475" i="35"/>
  <c r="AF475" i="35" s="1"/>
  <c r="AG475" i="35" s="1"/>
  <c r="G643" i="33"/>
  <c r="I643" i="33"/>
  <c r="H637" i="33"/>
  <c r="I637" i="33"/>
  <c r="G637" i="33"/>
  <c r="G506" i="35"/>
  <c r="I506" i="35"/>
  <c r="G326" i="35"/>
  <c r="I406" i="35"/>
  <c r="AD406" i="35"/>
  <c r="AF406" i="35" s="1"/>
  <c r="AG406" i="35" s="1"/>
  <c r="I568" i="33"/>
  <c r="G568" i="33"/>
  <c r="G603" i="33"/>
  <c r="H603" i="33"/>
  <c r="H610" i="33"/>
  <c r="G610" i="33"/>
  <c r="H614" i="33"/>
  <c r="I614" i="33"/>
  <c r="H617" i="33"/>
  <c r="G617" i="33"/>
  <c r="H625" i="33"/>
  <c r="G625" i="33"/>
  <c r="G445" i="35"/>
  <c r="H445" i="35"/>
  <c r="I486" i="35"/>
  <c r="AD479" i="35"/>
  <c r="AF479" i="35" s="1"/>
  <c r="AG479" i="35" s="1"/>
  <c r="I479" i="35"/>
  <c r="AD498" i="35"/>
  <c r="AF498" i="35" s="1"/>
  <c r="AG498" i="35" s="1"/>
  <c r="I498" i="35"/>
  <c r="H498" i="35"/>
  <c r="AD504" i="35"/>
  <c r="AF504" i="35" s="1"/>
  <c r="AG504" i="35" s="1"/>
  <c r="G504" i="35"/>
  <c r="I504" i="35"/>
  <c r="I494" i="35"/>
  <c r="AD494" i="35"/>
  <c r="AF494" i="35" s="1"/>
  <c r="AG494" i="35" s="1"/>
  <c r="H599" i="33"/>
  <c r="G623" i="33"/>
  <c r="G649" i="33"/>
  <c r="H504" i="35"/>
  <c r="H479" i="35"/>
  <c r="H463" i="35"/>
  <c r="I463" i="35"/>
  <c r="AD463" i="35"/>
  <c r="AF463" i="35" s="1"/>
  <c r="AG463" i="35" s="1"/>
  <c r="AD502" i="35"/>
  <c r="AF502" i="35" s="1"/>
  <c r="AG502" i="35" s="1"/>
  <c r="H494" i="35"/>
  <c r="H680" i="33"/>
  <c r="G680" i="33"/>
  <c r="I680" i="33"/>
  <c r="W371" i="33"/>
  <c r="W467" i="33"/>
  <c r="H400" i="35"/>
  <c r="G402" i="35"/>
  <c r="H420" i="35"/>
  <c r="I423" i="35"/>
  <c r="G420" i="35"/>
  <c r="I603" i="33"/>
  <c r="I610" i="33"/>
  <c r="I617" i="33"/>
  <c r="I625" i="33"/>
  <c r="I649" i="33"/>
  <c r="G479" i="35"/>
  <c r="G486" i="35"/>
  <c r="H506" i="35"/>
  <c r="H486" i="35"/>
  <c r="AD506" i="35"/>
  <c r="AF506" i="35" s="1"/>
  <c r="AG506" i="35" s="1"/>
  <c r="H659" i="33"/>
  <c r="G659" i="33"/>
  <c r="I659" i="33"/>
  <c r="H663" i="33"/>
  <c r="I663" i="33"/>
  <c r="X669" i="33"/>
  <c r="G802" i="33"/>
  <c r="L603" i="35"/>
  <c r="H622" i="35"/>
  <c r="H844" i="33"/>
  <c r="G844" i="33"/>
  <c r="L864" i="33"/>
  <c r="H866" i="33"/>
  <c r="G866" i="33"/>
  <c r="L866" i="33"/>
  <c r="W674" i="33"/>
  <c r="H492" i="35"/>
  <c r="I721" i="33"/>
  <c r="I802" i="33"/>
  <c r="G576" i="35"/>
  <c r="I578" i="35"/>
  <c r="H595" i="35"/>
  <c r="W595" i="35"/>
  <c r="G597" i="35"/>
  <c r="AA597" i="35"/>
  <c r="H603" i="35"/>
  <c r="W603" i="35"/>
  <c r="G616" i="35"/>
  <c r="W616" i="35"/>
  <c r="V622" i="35"/>
  <c r="AA622" i="35"/>
  <c r="AD624" i="35"/>
  <c r="AF624" i="35" s="1"/>
  <c r="AG624" i="35" s="1"/>
  <c r="AA620" i="35"/>
  <c r="G620" i="35"/>
  <c r="AD616" i="35"/>
  <c r="AF616" i="35" s="1"/>
  <c r="AG616" i="35" s="1"/>
  <c r="AD560" i="35"/>
  <c r="AF560" i="35" s="1"/>
  <c r="AG560" i="35" s="1"/>
  <c r="AD538" i="35"/>
  <c r="AF538" i="35" s="1"/>
  <c r="AG538" i="35" s="1"/>
  <c r="L835" i="33"/>
  <c r="I844" i="33"/>
  <c r="H846" i="33"/>
  <c r="G846" i="33"/>
  <c r="W812" i="33"/>
  <c r="I595" i="35"/>
  <c r="I603" i="35"/>
  <c r="H616" i="35"/>
  <c r="G622" i="35"/>
  <c r="W622" i="35"/>
  <c r="G624" i="35"/>
  <c r="W624" i="35"/>
  <c r="AD622" i="35"/>
  <c r="AF622" i="35" s="1"/>
  <c r="AG622" i="35" s="1"/>
  <c r="W618" i="35"/>
  <c r="H618" i="35"/>
  <c r="AD542" i="35"/>
  <c r="AF542" i="35" s="1"/>
  <c r="AG542" i="35" s="1"/>
  <c r="I866" i="33"/>
  <c r="AB870" i="33"/>
  <c r="L870" i="33"/>
  <c r="H874" i="33"/>
  <c r="G874" i="33"/>
  <c r="L874" i="33"/>
  <c r="G906" i="33"/>
  <c r="AA695" i="35"/>
  <c r="V695" i="35"/>
  <c r="G695" i="35"/>
  <c r="AD695" i="35"/>
  <c r="AF695" i="35" s="1"/>
  <c r="AG695" i="35" s="1"/>
  <c r="L695" i="35"/>
  <c r="W690" i="35"/>
  <c r="V690" i="35"/>
  <c r="I665" i="35"/>
  <c r="AD665" i="35"/>
  <c r="AF665" i="35" s="1"/>
  <c r="AG665" i="35" s="1"/>
  <c r="H665" i="35"/>
  <c r="G848" i="33"/>
  <c r="G849" i="33"/>
  <c r="AB849" i="33"/>
  <c r="G842" i="33"/>
  <c r="G851" i="33"/>
  <c r="G853" i="33"/>
  <c r="H854" i="33"/>
  <c r="G868" i="33"/>
  <c r="AB894" i="33"/>
  <c r="G894" i="33"/>
  <c r="H906" i="33"/>
  <c r="G910" i="33"/>
  <c r="L910" i="33"/>
  <c r="L643" i="35"/>
  <c r="AA643" i="35"/>
  <c r="H668" i="35"/>
  <c r="H691" i="35"/>
  <c r="AA730" i="35"/>
  <c r="V730" i="35"/>
  <c r="AD712" i="35"/>
  <c r="AF712" i="35" s="1"/>
  <c r="AG712" i="35" s="1"/>
  <c r="AD690" i="35"/>
  <c r="AF690" i="35" s="1"/>
  <c r="AG690" i="35" s="1"/>
  <c r="AB936" i="33"/>
  <c r="L936" i="33"/>
  <c r="H938" i="33"/>
  <c r="AB938" i="33"/>
  <c r="G938" i="33"/>
  <c r="L938" i="33"/>
  <c r="I906" i="33"/>
  <c r="AB888" i="33"/>
  <c r="G888" i="33"/>
  <c r="AB898" i="33"/>
  <c r="G898" i="33"/>
  <c r="G651" i="35"/>
  <c r="L651" i="35"/>
  <c r="I643" i="35"/>
  <c r="AD643" i="35"/>
  <c r="W643" i="35"/>
  <c r="H643" i="35"/>
  <c r="AA668" i="35"/>
  <c r="G668" i="35"/>
  <c r="L668" i="35"/>
  <c r="AA691" i="35"/>
  <c r="G691" i="35"/>
  <c r="V696" i="35"/>
  <c r="AA698" i="35"/>
  <c r="V698" i="35"/>
  <c r="I661" i="35"/>
  <c r="AD661" i="35"/>
  <c r="AF661" i="35" s="1"/>
  <c r="AG661" i="35" s="1"/>
  <c r="H661" i="35"/>
  <c r="I938" i="33"/>
  <c r="G932" i="33"/>
  <c r="G940" i="33"/>
  <c r="AB940" i="33"/>
  <c r="H942" i="33"/>
  <c r="H946" i="33"/>
  <c r="L948" i="33"/>
  <c r="V693" i="35"/>
  <c r="H702" i="35"/>
  <c r="L712" i="35"/>
  <c r="H722" i="35"/>
  <c r="W722" i="35"/>
  <c r="H730" i="35"/>
  <c r="H626" i="35"/>
  <c r="G672" i="35"/>
  <c r="AA672" i="35"/>
  <c r="I708" i="35"/>
  <c r="H710" i="35"/>
  <c r="I942" i="33"/>
  <c r="I946" i="33"/>
  <c r="G712" i="35"/>
  <c r="AA712" i="35"/>
  <c r="I722" i="35"/>
  <c r="G726" i="35"/>
  <c r="AA726" i="35"/>
  <c r="I730" i="35"/>
  <c r="H672" i="35"/>
  <c r="L708" i="35"/>
  <c r="W684" i="33"/>
  <c r="Z742" i="33"/>
  <c r="Y788" i="33"/>
  <c r="Z776" i="33"/>
  <c r="W774" i="33"/>
  <c r="Y776" i="33"/>
  <c r="Z790" i="33"/>
  <c r="Z725" i="33"/>
  <c r="X659" i="33"/>
  <c r="W669" i="33"/>
  <c r="Z511" i="33"/>
  <c r="W511" i="33"/>
  <c r="X477" i="33"/>
  <c r="X742" i="33"/>
  <c r="Y812" i="33"/>
  <c r="Y763" i="33"/>
  <c r="X808" i="33"/>
  <c r="X771" i="33"/>
  <c r="Z788" i="33"/>
  <c r="Y771" i="33"/>
  <c r="Y546" i="33"/>
  <c r="Z808" i="33"/>
  <c r="X689" i="33"/>
  <c r="Y607" i="33"/>
  <c r="W788" i="33"/>
  <c r="W808" i="33"/>
  <c r="Y570" i="33"/>
  <c r="Y742" i="33"/>
  <c r="W746" i="33"/>
  <c r="X572" i="33"/>
  <c r="X757" i="33"/>
  <c r="Z447" i="33"/>
  <c r="W433" i="33"/>
  <c r="Z614" i="33"/>
  <c r="X774" i="33"/>
  <c r="X776" i="33"/>
  <c r="Y774" i="33"/>
  <c r="Z355" i="33"/>
  <c r="X790" i="33"/>
  <c r="W721" i="33"/>
  <c r="X599" i="33"/>
  <c r="Y599" i="33"/>
  <c r="X617" i="33"/>
  <c r="W736" i="33"/>
  <c r="Y710" i="33"/>
  <c r="Z714" i="33"/>
  <c r="X667" i="33"/>
  <c r="W778" i="33"/>
  <c r="Y625" i="33"/>
  <c r="W610" i="33"/>
  <c r="Y717" i="33"/>
  <c r="W637" i="33"/>
  <c r="X375" i="33"/>
  <c r="W373" i="33"/>
  <c r="X663" i="33"/>
  <c r="Z651" i="33"/>
  <c r="Y663" i="33"/>
  <c r="W477" i="33"/>
  <c r="W689" i="33"/>
  <c r="X750" i="33"/>
  <c r="Y750" i="33"/>
  <c r="X746" i="33"/>
  <c r="Z607" i="33"/>
  <c r="W582" i="33"/>
  <c r="X566" i="33"/>
  <c r="Y568" i="33"/>
  <c r="Y684" i="33"/>
  <c r="W763" i="33"/>
  <c r="Z433" i="33"/>
  <c r="W443" i="33"/>
  <c r="X433" i="33"/>
  <c r="X816" i="33"/>
  <c r="Z771" i="33"/>
  <c r="Z750" i="33"/>
  <c r="Z689" i="33"/>
  <c r="W570" i="33"/>
  <c r="Y566" i="33"/>
  <c r="Y746" i="33"/>
  <c r="Z757" i="33"/>
  <c r="Z763" i="33"/>
  <c r="W757" i="33"/>
  <c r="Y761" i="33"/>
  <c r="Y816" i="33"/>
  <c r="Z443" i="33"/>
  <c r="Z441" i="33"/>
  <c r="W445" i="33"/>
  <c r="Y371" i="33"/>
  <c r="X357" i="33"/>
  <c r="W431" i="33"/>
  <c r="Z599" i="33"/>
  <c r="X591" i="33"/>
  <c r="W672" i="33"/>
  <c r="X250" i="33"/>
  <c r="W469" i="33"/>
  <c r="W603" i="33"/>
  <c r="Y623" i="33"/>
  <c r="Z667" i="33"/>
  <c r="Y250" i="33"/>
  <c r="W509" i="33"/>
  <c r="Z341" i="33"/>
  <c r="W297" i="33"/>
  <c r="X373" i="33"/>
  <c r="W667" i="33"/>
  <c r="W651" i="33"/>
  <c r="X736" i="33"/>
  <c r="X623" i="33"/>
  <c r="W773" i="33"/>
  <c r="Y643" i="33"/>
  <c r="Z515" i="33"/>
  <c r="X637" i="33"/>
  <c r="Z544" i="33"/>
  <c r="X341" i="33"/>
  <c r="Z423" i="33"/>
  <c r="W355" i="33"/>
  <c r="W107" i="33"/>
  <c r="X355" i="33"/>
  <c r="W728" i="33"/>
  <c r="Y725" i="33"/>
  <c r="Z773" i="33"/>
  <c r="Y773" i="33"/>
  <c r="Z637" i="33"/>
  <c r="Z373" i="33"/>
  <c r="Z297" i="33"/>
  <c r="Y427" i="33"/>
  <c r="X107" i="33"/>
  <c r="X377" i="33"/>
  <c r="W250" i="33"/>
  <c r="X651" i="33"/>
  <c r="X672" i="33"/>
  <c r="Y736" i="33"/>
  <c r="X778" i="33"/>
  <c r="X725" i="33"/>
  <c r="W617" i="33"/>
  <c r="Z623" i="33"/>
  <c r="Y617" i="33"/>
  <c r="Y778" i="33"/>
  <c r="Y672" i="33"/>
  <c r="W544" i="33"/>
  <c r="W341" i="33"/>
  <c r="Y297" i="33"/>
  <c r="X423" i="33"/>
  <c r="W331" i="33"/>
  <c r="Y415" i="33"/>
  <c r="W562" i="33"/>
  <c r="Y562" i="33"/>
  <c r="X441" i="33"/>
  <c r="W546" i="33"/>
  <c r="X761" i="33"/>
  <c r="X485" i="33"/>
  <c r="W485" i="33"/>
  <c r="X682" i="33"/>
  <c r="Y769" i="33"/>
  <c r="Z686" i="33"/>
  <c r="Z682" i="33"/>
  <c r="W761" i="33"/>
  <c r="X552" i="33"/>
  <c r="X748" i="33"/>
  <c r="W608" i="33"/>
  <c r="X381" i="33"/>
  <c r="W473" i="33"/>
  <c r="X353" i="33"/>
  <c r="W682" i="33"/>
  <c r="W703" i="33"/>
  <c r="Y786" i="33"/>
  <c r="Z552" i="33"/>
  <c r="Y560" i="33"/>
  <c r="X744" i="33"/>
  <c r="W769" i="33"/>
  <c r="Z473" i="33"/>
  <c r="Y759" i="33"/>
  <c r="Z389" i="33"/>
  <c r="Z483" i="33"/>
  <c r="X389" i="33"/>
  <c r="X686" i="33"/>
  <c r="W686" i="33"/>
  <c r="X473" i="33"/>
  <c r="W680" i="33"/>
  <c r="X680" i="33"/>
  <c r="Y703" i="33"/>
  <c r="Z759" i="33"/>
  <c r="Z752" i="33"/>
  <c r="W552" i="33"/>
  <c r="Z560" i="33"/>
  <c r="Z740" i="33"/>
  <c r="Z744" i="33"/>
  <c r="Z786" i="33"/>
  <c r="X769" i="33"/>
  <c r="W740" i="33"/>
  <c r="Y748" i="33"/>
  <c r="Y744" i="33"/>
  <c r="X589" i="33"/>
  <c r="X483" i="33"/>
  <c r="W560" i="33"/>
  <c r="Z703" i="33"/>
  <c r="W748" i="33"/>
  <c r="X759" i="33"/>
  <c r="Z680" i="33"/>
  <c r="W786" i="33"/>
  <c r="X752" i="33"/>
  <c r="Z608" i="33"/>
  <c r="Y608" i="33"/>
  <c r="W752" i="33"/>
  <c r="Y353" i="33"/>
  <c r="X109" i="33"/>
  <c r="Y485" i="33"/>
  <c r="Z415" i="33"/>
  <c r="W540" i="33"/>
  <c r="X487" i="33"/>
  <c r="W487" i="33"/>
  <c r="W483" i="33"/>
  <c r="X387" i="33"/>
  <c r="W389" i="33"/>
  <c r="W353" i="33"/>
  <c r="W381" i="33"/>
  <c r="W387" i="33"/>
  <c r="X540" i="33"/>
  <c r="Y381" i="33"/>
  <c r="Y387" i="33"/>
  <c r="Y267" i="33"/>
  <c r="W447" i="33"/>
  <c r="X437" i="33"/>
  <c r="Y441" i="33"/>
  <c r="X447" i="33"/>
  <c r="Z546" i="33"/>
  <c r="X445" i="33"/>
  <c r="Z105" i="33"/>
  <c r="W105" i="33"/>
  <c r="W345" i="33"/>
  <c r="Z445" i="33"/>
  <c r="X443" i="33"/>
  <c r="Y511" i="33"/>
  <c r="W329" i="33"/>
  <c r="X415" i="33"/>
  <c r="W499" i="33"/>
  <c r="Z507" i="33"/>
  <c r="Y337" i="33"/>
  <c r="Z329" i="33"/>
  <c r="W337" i="33"/>
  <c r="Z229" i="33"/>
  <c r="X499" i="33"/>
  <c r="Y499" i="33"/>
  <c r="Z251" i="33"/>
  <c r="Z109" i="33"/>
  <c r="Y487" i="33"/>
  <c r="Y589" i="33"/>
  <c r="W229" i="33"/>
  <c r="X229" i="33"/>
  <c r="X584" i="33"/>
  <c r="Y584" i="33"/>
  <c r="Y329" i="33"/>
  <c r="W267" i="33"/>
  <c r="Y507" i="33"/>
  <c r="W233" i="33"/>
  <c r="X77" i="33"/>
  <c r="X237" i="33"/>
  <c r="Y95" i="33"/>
  <c r="Y544" i="33"/>
  <c r="W419" i="33"/>
  <c r="Y331" i="33"/>
  <c r="X331" i="33"/>
  <c r="W591" i="33"/>
  <c r="Y591" i="33"/>
  <c r="W421" i="33"/>
  <c r="X421" i="33"/>
  <c r="Z421" i="33"/>
  <c r="Z419" i="33"/>
  <c r="X419" i="33"/>
  <c r="Y369" i="33"/>
  <c r="X369" i="33"/>
  <c r="W369" i="33"/>
  <c r="Z371" i="33"/>
  <c r="X371" i="33"/>
  <c r="Z375" i="33"/>
  <c r="W375" i="33"/>
  <c r="Y377" i="33"/>
  <c r="W377" i="33"/>
  <c r="Z351" i="33"/>
  <c r="Y351" i="33"/>
  <c r="W351" i="33"/>
  <c r="Z357" i="33"/>
  <c r="Y357" i="33"/>
  <c r="Z385" i="33"/>
  <c r="Y385" i="33"/>
  <c r="W385" i="33"/>
  <c r="Y467" i="33"/>
  <c r="X467" i="33"/>
  <c r="Z467" i="33"/>
  <c r="Z469" i="33"/>
  <c r="X469" i="33"/>
  <c r="W435" i="33"/>
  <c r="X435" i="33"/>
  <c r="Y435" i="33"/>
  <c r="W515" i="33"/>
  <c r="X515" i="33"/>
  <c r="Z603" i="33"/>
  <c r="X603" i="33"/>
  <c r="X610" i="33"/>
  <c r="Z610" i="33"/>
  <c r="X614" i="33"/>
  <c r="W614" i="33"/>
  <c r="Z625" i="33"/>
  <c r="W625" i="33"/>
  <c r="Y649" i="33"/>
  <c r="Z649" i="33"/>
  <c r="X643" i="33"/>
  <c r="W643" i="33"/>
  <c r="Y655" i="33"/>
  <c r="W655" i="33"/>
  <c r="Y659" i="33"/>
  <c r="Z659" i="33"/>
  <c r="Z669" i="33"/>
  <c r="Y669" i="33"/>
  <c r="Z707" i="33"/>
  <c r="X707" i="33"/>
  <c r="X710" i="33"/>
  <c r="Z710" i="33"/>
  <c r="Y714" i="33"/>
  <c r="W714" i="33"/>
  <c r="Z717" i="33"/>
  <c r="X717" i="33"/>
  <c r="X721" i="33"/>
  <c r="Z721" i="33"/>
  <c r="Y728" i="33"/>
  <c r="Z728" i="33"/>
  <c r="W804" i="33"/>
  <c r="X804" i="33"/>
  <c r="Z812" i="33"/>
  <c r="X812" i="33"/>
  <c r="Y819" i="33"/>
  <c r="Z819" i="33"/>
  <c r="X140" i="33"/>
  <c r="X53" i="33"/>
  <c r="Z57" i="33"/>
  <c r="X21" i="33"/>
  <c r="Y57" i="33"/>
  <c r="Z77" i="33"/>
  <c r="X95" i="33"/>
  <c r="Z49" i="33"/>
  <c r="Z552" i="20"/>
  <c r="Z508" i="20"/>
  <c r="Z492" i="20"/>
  <c r="Z480" i="20"/>
  <c r="Z444" i="20"/>
  <c r="Z416" i="20"/>
  <c r="Z380" i="20"/>
  <c r="Z336" i="20"/>
  <c r="Z284" i="20"/>
  <c r="Z248" i="20"/>
  <c r="Z220" i="20"/>
  <c r="Z192" i="20"/>
  <c r="Z176" i="20"/>
  <c r="Z156" i="20"/>
  <c r="Z148" i="20"/>
  <c r="Z144" i="20"/>
  <c r="Z140" i="20"/>
  <c r="Z100" i="20"/>
  <c r="Z96" i="20"/>
  <c r="Z76" i="20"/>
  <c r="Z64" i="20"/>
  <c r="Z4" i="20"/>
  <c r="Y325" i="33"/>
  <c r="W248" i="33"/>
  <c r="Z345" i="33"/>
  <c r="X105" i="33"/>
  <c r="W333" i="33"/>
  <c r="W101" i="33"/>
  <c r="Y248" i="33"/>
  <c r="X333" i="33"/>
  <c r="X101" i="33"/>
  <c r="X248" i="33"/>
  <c r="X345" i="33"/>
  <c r="Z101" i="33"/>
  <c r="Y333" i="33"/>
  <c r="W451" i="33"/>
  <c r="Z608" i="20"/>
  <c r="X117" i="33"/>
  <c r="W109" i="33"/>
  <c r="X244" i="33"/>
  <c r="Z95" i="33"/>
  <c r="Y538" i="33"/>
  <c r="Z584" i="33"/>
  <c r="Y299" i="33"/>
  <c r="W29" i="33"/>
  <c r="X194" i="33"/>
  <c r="Z299" i="33"/>
  <c r="Y25" i="33"/>
  <c r="Y41" i="33"/>
  <c r="Z240" i="33"/>
  <c r="W65" i="33"/>
  <c r="Z337" i="33"/>
  <c r="Z267" i="33"/>
  <c r="Y194" i="33"/>
  <c r="Z244" i="33"/>
  <c r="Z65" i="33"/>
  <c r="Y45" i="33"/>
  <c r="Y53" i="33"/>
  <c r="Y121" i="33"/>
  <c r="W41" i="33"/>
  <c r="Y69" i="33"/>
  <c r="X17" i="33"/>
  <c r="W538" i="33"/>
  <c r="W240" i="33"/>
  <c r="X538" i="33"/>
  <c r="X240" i="33"/>
  <c r="W589" i="33"/>
  <c r="W507" i="33"/>
  <c r="W45" i="33"/>
  <c r="Z73" i="33"/>
  <c r="W53" i="33"/>
  <c r="Y49" i="33"/>
  <c r="W77" i="33"/>
  <c r="Z69" i="33"/>
  <c r="Y540" i="33"/>
  <c r="X299" i="33"/>
  <c r="X639" i="33"/>
  <c r="Y601" i="33"/>
  <c r="W814" i="33"/>
  <c r="X661" i="33"/>
  <c r="Y661" i="33"/>
  <c r="X755" i="33"/>
  <c r="Z806" i="33"/>
  <c r="Y548" i="33"/>
  <c r="X564" i="33"/>
  <c r="Z712" i="33"/>
  <c r="W727" i="33"/>
  <c r="Z615" i="33"/>
  <c r="Z727" i="33"/>
  <c r="Y814" i="33"/>
  <c r="Z817" i="33"/>
  <c r="X481" i="33"/>
  <c r="X475" i="33"/>
  <c r="Y715" i="33"/>
  <c r="W810" i="33"/>
  <c r="X627" i="33"/>
  <c r="W166" i="33"/>
  <c r="Y244" i="33"/>
  <c r="Y309" i="33"/>
  <c r="X325" i="33"/>
  <c r="Z325" i="33"/>
  <c r="W321" i="33"/>
  <c r="Y321" i="33"/>
  <c r="X321" i="33"/>
  <c r="W317" i="33"/>
  <c r="Z317" i="33"/>
  <c r="X317" i="33"/>
  <c r="W313" i="33"/>
  <c r="Y313" i="33"/>
  <c r="Z313" i="33"/>
  <c r="X313" i="33"/>
  <c r="X309" i="33"/>
  <c r="W309" i="33"/>
  <c r="Y305" i="33"/>
  <c r="Z305" i="33"/>
  <c r="X305" i="33"/>
  <c r="Y301" i="33"/>
  <c r="Z301" i="33"/>
  <c r="W301" i="33"/>
  <c r="Z289" i="33"/>
  <c r="W289" i="33"/>
  <c r="X289" i="33"/>
  <c r="Y289" i="33"/>
  <c r="W285" i="33"/>
  <c r="Z285" i="33"/>
  <c r="X285" i="33"/>
  <c r="Y285" i="33"/>
  <c r="W257" i="33"/>
  <c r="Z257" i="33"/>
  <c r="Y257" i="33"/>
  <c r="Z183" i="33"/>
  <c r="Y183" i="33"/>
  <c r="X183" i="33"/>
  <c r="W183" i="33"/>
  <c r="Y140" i="33"/>
  <c r="W140" i="33"/>
  <c r="Z134" i="33"/>
  <c r="W134" i="33"/>
  <c r="Y134" i="33"/>
  <c r="Y130" i="33"/>
  <c r="W130" i="33"/>
  <c r="Z130" i="33"/>
  <c r="Z91" i="33"/>
  <c r="W121" i="33"/>
  <c r="W91" i="33"/>
  <c r="X121" i="33"/>
  <c r="X87" i="33"/>
  <c r="X91" i="33"/>
  <c r="W87" i="33"/>
  <c r="Z113" i="33"/>
  <c r="Z41" i="33"/>
  <c r="Z45" i="33"/>
  <c r="Y81" i="33"/>
  <c r="Z117" i="33"/>
  <c r="Y117" i="33"/>
  <c r="X73" i="33"/>
  <c r="W49" i="33"/>
  <c r="W194" i="33"/>
  <c r="W61" i="33"/>
  <c r="Z87" i="33"/>
  <c r="W69" i="33"/>
  <c r="X29" i="33"/>
  <c r="Z81" i="33"/>
  <c r="X81" i="33"/>
  <c r="X57" i="33"/>
  <c r="W73" i="33"/>
  <c r="X65" i="33"/>
  <c r="Y29" i="33"/>
  <c r="Z61" i="33"/>
  <c r="X61" i="33"/>
  <c r="Y203" i="33"/>
  <c r="X235" i="33"/>
  <c r="Z231" i="33"/>
  <c r="Z225" i="33"/>
  <c r="W615" i="33"/>
  <c r="X154" i="33"/>
  <c r="Z186" i="33"/>
  <c r="Z159" i="20"/>
  <c r="Z155" i="20"/>
  <c r="Z151" i="20"/>
  <c r="Z143" i="20"/>
  <c r="Z139" i="20"/>
  <c r="Z135" i="20"/>
  <c r="Z131" i="20"/>
  <c r="Z127" i="20"/>
  <c r="Z123" i="20"/>
  <c r="Z119" i="20"/>
  <c r="Z115" i="20"/>
  <c r="Z111" i="20"/>
  <c r="Z107" i="20"/>
  <c r="Z103" i="20"/>
  <c r="Z99" i="20"/>
  <c r="Z95" i="20"/>
  <c r="Z91" i="20"/>
  <c r="Z87" i="20"/>
  <c r="Z83" i="20"/>
  <c r="Z79" i="20"/>
  <c r="Z75" i="20"/>
  <c r="Z71" i="20"/>
  <c r="Z67" i="20"/>
  <c r="Z63" i="20"/>
  <c r="Z59" i="20"/>
  <c r="Z55" i="20"/>
  <c r="Z51" i="20"/>
  <c r="Z47" i="20"/>
  <c r="Z43" i="20"/>
  <c r="Z39" i="20"/>
  <c r="Z35" i="20"/>
  <c r="Z31" i="20"/>
  <c r="Z27" i="20"/>
  <c r="Z23" i="20"/>
  <c r="Z19" i="20"/>
  <c r="Z15" i="20"/>
  <c r="Z11" i="20"/>
  <c r="Z7" i="20"/>
  <c r="X113" i="33"/>
  <c r="W231" i="33"/>
  <c r="W817" i="33"/>
  <c r="W103" i="33"/>
  <c r="X810" i="33"/>
  <c r="X142" i="33"/>
  <c r="X674" i="33"/>
  <c r="X653" i="33"/>
  <c r="Z719" i="33"/>
  <c r="Z705" i="33"/>
  <c r="W723" i="33"/>
  <c r="W708" i="33"/>
  <c r="Z639" i="33"/>
  <c r="Z715" i="33"/>
  <c r="Y674" i="33"/>
  <c r="W671" i="33"/>
  <c r="W503" i="33"/>
  <c r="Z657" i="33"/>
  <c r="Y612" i="33"/>
  <c r="Y755" i="33"/>
  <c r="Y806" i="33"/>
  <c r="Y730" i="33"/>
  <c r="X621" i="33"/>
  <c r="X712" i="33"/>
  <c r="W619" i="33"/>
  <c r="Z158" i="33"/>
  <c r="Z170" i="33"/>
  <c r="Z203" i="33"/>
  <c r="Y231" i="33"/>
  <c r="X196" i="33"/>
  <c r="Y479" i="33"/>
  <c r="Z475" i="33"/>
  <c r="W481" i="33"/>
  <c r="X99" i="33"/>
  <c r="W665" i="33"/>
  <c r="X671" i="33"/>
  <c r="W653" i="33"/>
  <c r="Y712" i="33"/>
  <c r="Y723" i="33"/>
  <c r="Y708" i="33"/>
  <c r="X715" i="33"/>
  <c r="Z810" i="33"/>
  <c r="X705" i="33"/>
  <c r="Y629" i="33"/>
  <c r="X503" i="33"/>
  <c r="Z653" i="33"/>
  <c r="X542" i="33"/>
  <c r="X727" i="33"/>
  <c r="W755" i="33"/>
  <c r="W730" i="33"/>
  <c r="X730" i="33"/>
  <c r="Y605" i="33"/>
  <c r="Y621" i="33"/>
  <c r="Y162" i="33"/>
  <c r="X178" i="33"/>
  <c r="X215" i="33"/>
  <c r="W178" i="33"/>
  <c r="W211" i="33"/>
  <c r="W505" i="33"/>
  <c r="Y417" i="33"/>
  <c r="W261" i="33"/>
  <c r="W475" i="33"/>
  <c r="W479" i="33"/>
  <c r="X817" i="33"/>
  <c r="X814" i="33"/>
  <c r="W806" i="33"/>
  <c r="Y719" i="33"/>
  <c r="Y705" i="33"/>
  <c r="Z723" i="33"/>
  <c r="Z708" i="33"/>
  <c r="X657" i="33"/>
  <c r="Y615" i="33"/>
  <c r="Z627" i="33"/>
  <c r="X719" i="33"/>
  <c r="W162" i="33"/>
  <c r="Y178" i="33"/>
  <c r="Y215" i="33"/>
  <c r="Z196" i="33"/>
  <c r="Z174" i="33"/>
  <c r="X174" i="33"/>
  <c r="Y379" i="33"/>
  <c r="X513" i="33"/>
  <c r="Z130" i="20"/>
  <c r="Z154" i="33"/>
  <c r="X158" i="33"/>
  <c r="X162" i="33"/>
  <c r="W170" i="33"/>
  <c r="Y186" i="33"/>
  <c r="Z211" i="33"/>
  <c r="Y225" i="33"/>
  <c r="X166" i="33"/>
  <c r="Z215" i="33"/>
  <c r="Z735" i="20"/>
  <c r="Z731" i="20"/>
  <c r="Z727" i="20"/>
  <c r="Z723" i="20"/>
  <c r="Z719" i="20"/>
  <c r="Z715" i="20"/>
  <c r="Z711" i="20"/>
  <c r="Z707" i="20"/>
  <c r="Z703" i="20"/>
  <c r="Z700" i="20"/>
  <c r="Z698" i="20"/>
  <c r="Z696" i="20"/>
  <c r="Z693" i="20"/>
  <c r="Z691" i="20"/>
  <c r="Z688" i="20"/>
  <c r="Z615" i="20"/>
  <c r="Z611" i="20"/>
  <c r="Z607" i="20"/>
  <c r="Z603" i="20"/>
  <c r="Z599" i="20"/>
  <c r="Z595" i="20"/>
  <c r="Z591" i="20"/>
  <c r="Z587" i="20"/>
  <c r="Z583" i="20"/>
  <c r="Z579" i="20"/>
  <c r="Z575" i="20"/>
  <c r="Z567" i="20"/>
  <c r="Z563" i="20"/>
  <c r="Z559" i="20"/>
  <c r="Z555" i="20"/>
  <c r="Z547" i="20"/>
  <c r="Z543" i="20"/>
  <c r="Z535" i="20"/>
  <c r="Z531" i="20"/>
  <c r="W235" i="33"/>
  <c r="W154" i="33"/>
  <c r="Z166" i="33"/>
  <c r="Y170" i="33"/>
  <c r="X186" i="33"/>
  <c r="X211" i="33"/>
  <c r="W225" i="33"/>
  <c r="Z235" i="33"/>
  <c r="W158" i="33"/>
  <c r="Y174" i="33"/>
  <c r="W196" i="33"/>
  <c r="X203" i="33"/>
  <c r="Z734" i="20"/>
  <c r="Z730" i="20"/>
  <c r="Z726" i="20"/>
  <c r="Z722" i="20"/>
  <c r="Z718" i="20"/>
  <c r="Z714" i="20"/>
  <c r="Z710" i="20"/>
  <c r="Z706" i="20"/>
  <c r="Z702" i="20"/>
  <c r="Z690" i="20"/>
  <c r="Z618" i="20"/>
  <c r="Z614" i="20"/>
  <c r="Z610" i="20"/>
  <c r="Z606" i="20"/>
  <c r="Z602" i="20"/>
  <c r="Z598" i="20"/>
  <c r="Z594" i="20"/>
  <c r="Z590" i="20"/>
  <c r="Z527" i="20"/>
  <c r="Z523" i="20"/>
  <c r="Z519" i="20"/>
  <c r="Z515" i="20"/>
  <c r="Z511" i="20"/>
  <c r="Z507" i="20"/>
  <c r="Z503" i="20"/>
  <c r="Z499" i="20"/>
  <c r="Z495" i="20"/>
  <c r="Z487" i="20"/>
  <c r="Z483" i="20"/>
  <c r="Z479" i="20"/>
  <c r="Z475" i="20"/>
  <c r="Z471" i="20"/>
  <c r="Z467" i="20"/>
  <c r="Z459" i="20"/>
  <c r="Z455" i="20"/>
  <c r="Z447" i="20"/>
  <c r="Z443" i="20"/>
  <c r="Z439" i="20"/>
  <c r="Z435" i="20"/>
  <c r="Z431" i="20"/>
  <c r="Z427" i="20"/>
  <c r="Z423" i="20"/>
  <c r="Z419" i="20"/>
  <c r="Z415" i="20"/>
  <c r="Z411" i="20"/>
  <c r="Z407" i="20"/>
  <c r="Z403" i="20"/>
  <c r="Z399" i="20"/>
  <c r="Z395" i="20"/>
  <c r="Z391" i="20"/>
  <c r="Z383" i="20"/>
  <c r="Z379" i="20"/>
  <c r="Z375" i="20"/>
  <c r="Z371" i="20"/>
  <c r="Z367" i="20"/>
  <c r="Z363" i="20"/>
  <c r="Z359" i="20"/>
  <c r="Z355" i="20"/>
  <c r="Z351" i="20"/>
  <c r="Z347" i="20"/>
  <c r="Z339" i="20"/>
  <c r="Z335" i="20"/>
  <c r="Z331" i="20"/>
  <c r="Z327" i="20"/>
  <c r="Z323" i="20"/>
  <c r="Z319" i="20"/>
  <c r="Z315" i="20"/>
  <c r="Z311" i="20"/>
  <c r="Z307" i="20"/>
  <c r="Z303" i="20"/>
  <c r="Z299" i="20"/>
  <c r="Z295" i="20"/>
  <c r="Z291" i="20"/>
  <c r="Z283" i="20"/>
  <c r="Z279" i="20"/>
  <c r="Z275" i="20"/>
  <c r="Z271" i="20"/>
  <c r="Z267" i="20"/>
  <c r="Z263" i="20"/>
  <c r="Z259" i="20"/>
  <c r="Z255" i="20"/>
  <c r="Z251" i="20"/>
  <c r="Z247" i="20"/>
  <c r="Z243" i="20"/>
  <c r="Z239" i="20"/>
  <c r="Z231" i="20"/>
  <c r="Z227" i="20"/>
  <c r="Z223" i="20"/>
  <c r="Z219" i="20"/>
  <c r="Z215" i="20"/>
  <c r="Z211" i="20"/>
  <c r="Z207" i="20"/>
  <c r="Z203" i="20"/>
  <c r="Z199" i="20"/>
  <c r="Z195" i="20"/>
  <c r="Z191" i="20"/>
  <c r="Z187" i="20"/>
  <c r="Z183" i="20"/>
  <c r="Z179" i="20"/>
  <c r="Z175" i="20"/>
  <c r="Z171" i="20"/>
  <c r="Z167" i="20"/>
  <c r="Z163" i="20"/>
  <c r="Z586" i="20"/>
  <c r="Z582" i="20"/>
  <c r="Z578" i="20"/>
  <c r="Z574" i="20"/>
  <c r="Z570" i="20"/>
  <c r="Z566" i="20"/>
  <c r="Z562" i="20"/>
  <c r="Z558" i="20"/>
  <c r="Z554" i="20"/>
  <c r="Z550" i="20"/>
  <c r="Z546" i="20"/>
  <c r="Z542" i="20"/>
  <c r="Z538" i="20"/>
  <c r="Z534" i="20"/>
  <c r="Z530" i="20"/>
  <c r="Z526" i="20"/>
  <c r="Z522" i="20"/>
  <c r="Z518" i="20"/>
  <c r="Z514" i="20"/>
  <c r="Z510" i="20"/>
  <c r="Z506" i="20"/>
  <c r="Z502" i="20"/>
  <c r="Z498" i="20"/>
  <c r="Z494" i="20"/>
  <c r="Z490" i="20"/>
  <c r="Z330" i="20"/>
  <c r="Z266" i="20"/>
  <c r="Z246" i="20"/>
  <c r="Z218" i="20"/>
  <c r="Z106" i="20"/>
  <c r="W93" i="33"/>
  <c r="W790" i="33"/>
  <c r="W142" i="33"/>
  <c r="X383" i="33"/>
  <c r="X261" i="33"/>
  <c r="X479" i="33"/>
  <c r="W661" i="33"/>
  <c r="X619" i="33"/>
  <c r="X629" i="33"/>
  <c r="W612" i="33"/>
  <c r="Y627" i="33"/>
  <c r="Z612" i="33"/>
  <c r="Z542" i="33"/>
  <c r="Z601" i="33"/>
  <c r="Y619" i="33"/>
  <c r="Y261" i="33"/>
  <c r="Z674" i="33"/>
  <c r="W449" i="33"/>
  <c r="W548" i="33"/>
  <c r="Z379" i="33"/>
  <c r="Z451" i="33"/>
  <c r="Y481" i="33"/>
  <c r="Y505" i="33"/>
  <c r="W513" i="33"/>
  <c r="Z425" i="33"/>
  <c r="X379" i="33"/>
  <c r="W564" i="33"/>
  <c r="W383" i="33"/>
  <c r="X665" i="33"/>
  <c r="W657" i="33"/>
  <c r="W639" i="33"/>
  <c r="X601" i="33"/>
  <c r="Y665" i="33"/>
  <c r="Z629" i="33"/>
  <c r="Z503" i="33"/>
  <c r="Y542" i="33"/>
  <c r="Y671" i="33"/>
  <c r="Z621" i="33"/>
  <c r="Z605" i="33"/>
  <c r="X605" i="33"/>
  <c r="X198" i="33"/>
  <c r="Z548" i="33"/>
  <c r="Z417" i="33"/>
  <c r="Z449" i="33"/>
  <c r="X451" i="33"/>
  <c r="Z505" i="33"/>
  <c r="Z550" i="33"/>
  <c r="Y425" i="33"/>
  <c r="X425" i="33"/>
  <c r="W71" i="33"/>
  <c r="Y319" i="33"/>
  <c r="X587" i="33"/>
  <c r="W417" i="33"/>
  <c r="X449" i="33"/>
  <c r="Y513" i="33"/>
  <c r="Y383" i="33"/>
  <c r="Z733" i="20"/>
  <c r="Z729" i="20"/>
  <c r="Z725" i="20"/>
  <c r="Z697" i="20"/>
  <c r="Z609" i="20"/>
  <c r="Z605" i="20"/>
  <c r="Z585" i="20"/>
  <c r="Z573" i="20"/>
  <c r="Z553" i="20"/>
  <c r="Z549" i="20"/>
  <c r="Z533" i="20"/>
  <c r="Z509" i="20"/>
  <c r="Z505" i="20"/>
  <c r="Z477" i="20"/>
  <c r="Z473" i="20"/>
  <c r="Z453" i="20"/>
  <c r="Z441" i="20"/>
  <c r="Z433" i="20"/>
  <c r="Z417" i="20"/>
  <c r="Z409" i="20"/>
  <c r="Z389" i="20"/>
  <c r="Z385" i="20"/>
  <c r="Z361" i="20"/>
  <c r="Z353" i="20"/>
  <c r="Z337" i="20"/>
  <c r="Z333" i="20"/>
  <c r="Z321" i="20"/>
  <c r="Z309" i="20"/>
  <c r="Z305" i="20"/>
  <c r="Z301" i="20"/>
  <c r="Z285" i="20"/>
  <c r="Z277" i="20"/>
  <c r="Z253" i="20"/>
  <c r="Z249" i="20"/>
  <c r="Z229" i="20"/>
  <c r="Z225" i="20"/>
  <c r="Z201" i="20"/>
  <c r="Z193" i="20"/>
  <c r="Z177" i="20"/>
  <c r="Z173" i="20"/>
  <c r="Z169" i="20"/>
  <c r="Z153" i="20"/>
  <c r="Z149" i="20"/>
  <c r="Z145" i="20"/>
  <c r="Z133" i="20"/>
  <c r="Z129" i="20"/>
  <c r="Z109" i="20"/>
  <c r="Z105" i="20"/>
  <c r="Z93" i="20"/>
  <c r="Z85" i="20"/>
  <c r="Z81" i="20"/>
  <c r="Z73" i="20"/>
  <c r="Z65" i="20"/>
  <c r="Z61" i="20"/>
  <c r="Z49" i="20"/>
  <c r="Z45" i="20"/>
  <c r="Z33" i="20"/>
  <c r="Z29" i="20"/>
  <c r="Z25" i="20"/>
  <c r="Z21" i="20"/>
  <c r="Z17" i="20"/>
  <c r="Z13" i="20"/>
  <c r="Z9" i="20"/>
  <c r="Z5" i="20"/>
  <c r="W944" i="33"/>
  <c r="Z315" i="33"/>
  <c r="Y315" i="33"/>
  <c r="Y307" i="33"/>
  <c r="Z307" i="33"/>
  <c r="Y303" i="33"/>
  <c r="W303" i="33"/>
  <c r="Z287" i="33"/>
  <c r="W287" i="33"/>
  <c r="Z259" i="33"/>
  <c r="X259" i="33"/>
  <c r="W259" i="33"/>
  <c r="Z242" i="33"/>
  <c r="X242" i="33"/>
  <c r="W242" i="33"/>
  <c r="Z238" i="33"/>
  <c r="Y238" i="33"/>
  <c r="X185" i="33"/>
  <c r="W185" i="33"/>
  <c r="Z185" i="33"/>
  <c r="Z136" i="33"/>
  <c r="X136" i="33"/>
  <c r="W136" i="33"/>
  <c r="Y119" i="33"/>
  <c r="W119" i="33"/>
  <c r="X119" i="33"/>
  <c r="Y115" i="33"/>
  <c r="Z115" i="33"/>
  <c r="X115" i="33"/>
  <c r="W115" i="33"/>
  <c r="Z97" i="33"/>
  <c r="W97" i="33"/>
  <c r="Y97" i="33"/>
  <c r="Y89" i="33"/>
  <c r="Z89" i="33"/>
  <c r="W89" i="33"/>
  <c r="Y85" i="33"/>
  <c r="X85" i="33"/>
  <c r="W83" i="33"/>
  <c r="Z83" i="33"/>
  <c r="X75" i="33"/>
  <c r="Z75" i="33"/>
  <c r="Y75" i="33"/>
  <c r="Y59" i="33"/>
  <c r="W59" i="33"/>
  <c r="Z59" i="33"/>
  <c r="W55" i="33"/>
  <c r="Z55" i="33"/>
  <c r="W47" i="33"/>
  <c r="Z47" i="33"/>
  <c r="Y47" i="33"/>
  <c r="W43" i="33"/>
  <c r="X43" i="33"/>
  <c r="W39" i="33"/>
  <c r="X39" i="33"/>
  <c r="Z27" i="33"/>
  <c r="Y27" i="33"/>
  <c r="X27" i="33"/>
  <c r="W19" i="33"/>
  <c r="Z19" i="33"/>
  <c r="X19" i="33"/>
  <c r="Y15" i="33"/>
  <c r="W15" i="33"/>
  <c r="W246" i="33"/>
  <c r="W124" i="33"/>
  <c r="W75" i="33"/>
  <c r="W27" i="33"/>
  <c r="Y242" i="33"/>
  <c r="X97" i="33"/>
  <c r="Y83" i="33"/>
  <c r="X47" i="33"/>
  <c r="W113" i="33"/>
  <c r="X89" i="33"/>
  <c r="W63" i="33"/>
  <c r="W99" i="33"/>
  <c r="Z431" i="33"/>
  <c r="Y501" i="33"/>
  <c r="Y509" i="33"/>
  <c r="Y99" i="33"/>
  <c r="X347" i="33"/>
  <c r="X429" i="33"/>
  <c r="X335" i="33"/>
  <c r="X582" i="33"/>
  <c r="Z566" i="33"/>
  <c r="W607" i="33"/>
  <c r="W568" i="33"/>
  <c r="Z572" i="33"/>
  <c r="Z477" i="33"/>
  <c r="Y431" i="33"/>
  <c r="Z501" i="33"/>
  <c r="X509" i="33"/>
  <c r="Y265" i="33"/>
  <c r="Y198" i="33"/>
  <c r="Y142" i="33"/>
  <c r="Y219" i="33"/>
  <c r="Z347" i="33"/>
  <c r="X453" i="33"/>
  <c r="W453" i="33"/>
  <c r="Z437" i="33"/>
  <c r="Y335" i="33"/>
  <c r="W423" i="33"/>
  <c r="Z429" i="33"/>
  <c r="X103" i="33"/>
  <c r="Z568" i="33"/>
  <c r="X501" i="33"/>
  <c r="Z198" i="33"/>
  <c r="Z103" i="33"/>
  <c r="Y437" i="33"/>
  <c r="Z453" i="33"/>
  <c r="Z587" i="33"/>
  <c r="Y587" i="33"/>
  <c r="X550" i="33"/>
  <c r="W323" i="33"/>
  <c r="X323" i="33"/>
  <c r="Z311" i="33"/>
  <c r="X311" i="33"/>
  <c r="X291" i="33"/>
  <c r="W291" i="33"/>
  <c r="Z291" i="33"/>
  <c r="Z181" i="33"/>
  <c r="Y181" i="33"/>
  <c r="Y132" i="33"/>
  <c r="W132" i="33"/>
  <c r="Z124" i="33"/>
  <c r="Y124" i="33"/>
  <c r="Y93" i="33"/>
  <c r="X93" i="33"/>
  <c r="Z71" i="33"/>
  <c r="X71" i="33"/>
  <c r="Y67" i="33"/>
  <c r="X67" i="33"/>
  <c r="Z67" i="33"/>
  <c r="X63" i="33"/>
  <c r="Z63" i="33"/>
  <c r="W51" i="33"/>
  <c r="Y51" i="33"/>
  <c r="Z43" i="33"/>
  <c r="Y43" i="33"/>
  <c r="Y39" i="33"/>
  <c r="Z39" i="33"/>
  <c r="W31" i="33"/>
  <c r="X31" i="33"/>
  <c r="W23" i="33"/>
  <c r="X23" i="33"/>
  <c r="X219" i="33"/>
  <c r="Z219" i="33"/>
  <c r="X265" i="33"/>
  <c r="Z265" i="33"/>
  <c r="W283" i="33"/>
  <c r="W307" i="33"/>
  <c r="Y246" i="33"/>
  <c r="X181" i="33"/>
  <c r="Y259" i="33"/>
  <c r="Y287" i="33"/>
  <c r="Z303" i="33"/>
  <c r="X315" i="33"/>
  <c r="Y323" i="33"/>
  <c r="X307" i="33"/>
  <c r="Z486" i="20"/>
  <c r="X246" i="33"/>
  <c r="W315" i="33"/>
  <c r="Z132" i="33"/>
  <c r="X55" i="33"/>
  <c r="Z119" i="33"/>
  <c r="Z15" i="33"/>
  <c r="W327" i="33"/>
  <c r="X15" i="33"/>
  <c r="Z23" i="33"/>
  <c r="Y31" i="33"/>
  <c r="X51" i="33"/>
  <c r="X59" i="33"/>
  <c r="Z85" i="33"/>
  <c r="Y185" i="33"/>
  <c r="X287" i="33"/>
  <c r="W311" i="33"/>
  <c r="X319" i="33"/>
  <c r="Z327" i="33"/>
  <c r="Y55" i="33"/>
  <c r="Y283" i="33"/>
  <c r="Y136" i="33"/>
  <c r="X283" i="33"/>
  <c r="X303" i="33"/>
  <c r="Y311" i="33"/>
  <c r="Z319" i="33"/>
  <c r="Y327" i="33"/>
  <c r="Z482" i="20"/>
  <c r="Z478" i="20"/>
  <c r="Z474" i="20"/>
  <c r="Z470" i="20"/>
  <c r="Z466" i="20"/>
  <c r="Z462" i="20"/>
  <c r="Z458" i="20"/>
  <c r="Z454" i="20"/>
  <c r="Z450" i="20"/>
  <c r="Z446" i="20"/>
  <c r="Z442" i="20"/>
  <c r="Z438" i="20"/>
  <c r="Z434" i="20"/>
  <c r="Z430" i="20"/>
  <c r="Z426" i="20"/>
  <c r="Z422" i="20"/>
  <c r="Z418" i="20"/>
  <c r="Z414" i="20"/>
  <c r="Z410" i="20"/>
  <c r="Z406" i="20"/>
  <c r="Z402" i="20"/>
  <c r="Z398" i="20"/>
  <c r="Z394" i="20"/>
  <c r="Z390" i="20"/>
  <c r="Z386" i="20"/>
  <c r="Z382" i="20"/>
  <c r="Z378" i="20"/>
  <c r="Z374" i="20"/>
  <c r="Z370" i="20"/>
  <c r="Z366" i="20"/>
  <c r="Z362" i="20"/>
  <c r="Z358" i="20"/>
  <c r="Z354" i="20"/>
  <c r="Z350" i="20"/>
  <c r="Z346" i="20"/>
  <c r="Z342" i="20"/>
  <c r="W550" i="33"/>
  <c r="Z564" i="33"/>
  <c r="Y429" i="33"/>
  <c r="W335" i="33"/>
  <c r="X427" i="33"/>
  <c r="W347" i="33"/>
  <c r="Z427" i="33"/>
  <c r="Z737" i="20"/>
  <c r="Z721" i="20"/>
  <c r="Z717" i="20"/>
  <c r="Z713" i="20"/>
  <c r="Z709" i="20"/>
  <c r="Z705" i="20"/>
  <c r="Z699" i="20"/>
  <c r="Z695" i="20"/>
  <c r="Z692" i="20"/>
  <c r="Z617" i="20"/>
  <c r="Z613" i="20"/>
  <c r="Z601" i="20"/>
  <c r="Z597" i="20"/>
  <c r="Z593" i="20"/>
  <c r="Z589" i="20"/>
  <c r="Z581" i="20"/>
  <c r="Z577" i="20"/>
  <c r="Z569" i="20"/>
  <c r="Z565" i="20"/>
  <c r="Z561" i="20"/>
  <c r="Z557" i="20"/>
  <c r="Z545" i="20"/>
  <c r="Z541" i="20"/>
  <c r="Z537" i="20"/>
  <c r="Z529" i="20"/>
  <c r="Z525" i="20"/>
  <c r="Z521" i="20"/>
  <c r="Z517" i="20"/>
  <c r="Z513" i="20"/>
  <c r="Z501" i="20"/>
  <c r="Z497" i="20"/>
  <c r="Z493" i="20"/>
  <c r="Z489" i="20"/>
  <c r="Z485" i="20"/>
  <c r="Z481" i="20"/>
  <c r="Z469" i="20"/>
  <c r="Z465" i="20"/>
  <c r="Z461" i="20"/>
  <c r="Z457" i="20"/>
  <c r="Z449" i="20"/>
  <c r="Z445" i="20"/>
  <c r="Z437" i="20"/>
  <c r="Z429" i="20"/>
  <c r="Z425" i="20"/>
  <c r="Z421" i="20"/>
  <c r="Z413" i="20"/>
  <c r="Z405" i="20"/>
  <c r="Z401" i="20"/>
  <c r="Z397" i="20"/>
  <c r="Z393" i="20"/>
  <c r="Z381" i="20"/>
  <c r="Z377" i="20"/>
  <c r="Z373" i="20"/>
  <c r="Z369" i="20"/>
  <c r="Z365" i="20"/>
  <c r="Z357" i="20"/>
  <c r="Z349" i="20"/>
  <c r="Z345" i="20"/>
  <c r="Z341" i="20"/>
  <c r="W849" i="33"/>
  <c r="Z338" i="20"/>
  <c r="Z334" i="20"/>
  <c r="Z326" i="20"/>
  <c r="Z322" i="20"/>
  <c r="Z318" i="20"/>
  <c r="Z314" i="20"/>
  <c r="Z310" i="20"/>
  <c r="Z306" i="20"/>
  <c r="Z302" i="20"/>
  <c r="Z298" i="20"/>
  <c r="Z294" i="20"/>
  <c r="Z290" i="20"/>
  <c r="Z286" i="20"/>
  <c r="Z282" i="20"/>
  <c r="Z278" i="20"/>
  <c r="Z274" i="20"/>
  <c r="Z270" i="20"/>
  <c r="Z262" i="20"/>
  <c r="Z258" i="20"/>
  <c r="Z254" i="20"/>
  <c r="Z250" i="20"/>
  <c r="Z242" i="20"/>
  <c r="Z238" i="20"/>
  <c r="Z234" i="20"/>
  <c r="Z230" i="20"/>
  <c r="Z226" i="20"/>
  <c r="Z222" i="20"/>
  <c r="Z214" i="20"/>
  <c r="Z210" i="20"/>
  <c r="Z206" i="20"/>
  <c r="Z202" i="20"/>
  <c r="Z198" i="20"/>
  <c r="Z194" i="20"/>
  <c r="Z190" i="20"/>
  <c r="Z186" i="20"/>
  <c r="Z182" i="20"/>
  <c r="Z178" i="20"/>
  <c r="Z174" i="20"/>
  <c r="Z170" i="20"/>
  <c r="Z166" i="20"/>
  <c r="Z162" i="20"/>
  <c r="Z158" i="20"/>
  <c r="Z154" i="20"/>
  <c r="Z150" i="20"/>
  <c r="Z146" i="20"/>
  <c r="Z142" i="20"/>
  <c r="Z138" i="20"/>
  <c r="Z134" i="20"/>
  <c r="Z126" i="20"/>
  <c r="Z122" i="20"/>
  <c r="Z118" i="20"/>
  <c r="Z114" i="20"/>
  <c r="Z110" i="20"/>
  <c r="Z102" i="20"/>
  <c r="Z98" i="20"/>
  <c r="Z94" i="20"/>
  <c r="Z90" i="20"/>
  <c r="Z86" i="20"/>
  <c r="Z82" i="20"/>
  <c r="Z78" i="20"/>
  <c r="Z74" i="20"/>
  <c r="Z70" i="20"/>
  <c r="Z66" i="20"/>
  <c r="Z62" i="20"/>
  <c r="Z58" i="20"/>
  <c r="Z54" i="20"/>
  <c r="Z50" i="20"/>
  <c r="Z46" i="20"/>
  <c r="Z42" i="20"/>
  <c r="Z38" i="20"/>
  <c r="Z34" i="20"/>
  <c r="Z30" i="20"/>
  <c r="Z26" i="20"/>
  <c r="Z22" i="20"/>
  <c r="Z18" i="20"/>
  <c r="Z14" i="20"/>
  <c r="Z10" i="20"/>
  <c r="Z6" i="20"/>
  <c r="Z300" i="20"/>
  <c r="Z244" i="20"/>
  <c r="Z136" i="20"/>
  <c r="Z72" i="20"/>
  <c r="Z40" i="20"/>
  <c r="Z329" i="20"/>
  <c r="Z325" i="20"/>
  <c r="Z317" i="20"/>
  <c r="Z313" i="20"/>
  <c r="Z297" i="20"/>
  <c r="Z293" i="20"/>
  <c r="Z289" i="20"/>
  <c r="Z281" i="20"/>
  <c r="Z273" i="20"/>
  <c r="Z269" i="20"/>
  <c r="Z265" i="20"/>
  <c r="Z261" i="20"/>
  <c r="Z257" i="20"/>
  <c r="Z245" i="20"/>
  <c r="Z241" i="20"/>
  <c r="Z237" i="20"/>
  <c r="Z233" i="20"/>
  <c r="Z221" i="20"/>
  <c r="Z217" i="20"/>
  <c r="Z213" i="20"/>
  <c r="Z209" i="20"/>
  <c r="Z205" i="20"/>
  <c r="Z197" i="20"/>
  <c r="Z189" i="20"/>
  <c r="Z185" i="20"/>
  <c r="Z181" i="20"/>
  <c r="Z165" i="20"/>
  <c r="Z161" i="20"/>
  <c r="Z157" i="20"/>
  <c r="Z141" i="20"/>
  <c r="Z137" i="20"/>
  <c r="Z125" i="20"/>
  <c r="Z121" i="20"/>
  <c r="Z117" i="20"/>
  <c r="Z113" i="20"/>
  <c r="Z101" i="20"/>
  <c r="Z97" i="20"/>
  <c r="Z89" i="20"/>
  <c r="Z77" i="20"/>
  <c r="Z69" i="20"/>
  <c r="Z57" i="20"/>
  <c r="Z53" i="20"/>
  <c r="Z41" i="20"/>
  <c r="Z37" i="20"/>
  <c r="Z728" i="20"/>
  <c r="Z689" i="20"/>
  <c r="Z584" i="20"/>
  <c r="Z544" i="20"/>
  <c r="Z420" i="20"/>
  <c r="Z352" i="20"/>
  <c r="Z292" i="20"/>
  <c r="Z200" i="20"/>
  <c r="Z849" i="33"/>
  <c r="Z694" i="20"/>
  <c r="Z571" i="20"/>
  <c r="Z551" i="20"/>
  <c r="Z539" i="20"/>
  <c r="Z491" i="20"/>
  <c r="Z463" i="20"/>
  <c r="Z451" i="20"/>
  <c r="Z387" i="20"/>
  <c r="Z343" i="20"/>
  <c r="Z287" i="20"/>
  <c r="Z235" i="20"/>
  <c r="Z147" i="20"/>
  <c r="X868" i="33"/>
  <c r="Z882" i="33"/>
  <c r="Z3" i="20"/>
  <c r="Z736" i="20"/>
  <c r="Z732" i="20"/>
  <c r="Z720" i="20"/>
  <c r="Z716" i="20"/>
  <c r="Z712" i="20"/>
  <c r="Z708" i="20"/>
  <c r="Z704" i="20"/>
  <c r="Z701" i="20"/>
  <c r="Z616" i="20"/>
  <c r="Z612" i="20"/>
  <c r="Z604" i="20"/>
  <c r="Z596" i="20"/>
  <c r="Z592" i="20"/>
  <c r="Z588" i="20"/>
  <c r="Z580" i="20"/>
  <c r="Z576" i="20"/>
  <c r="Z572" i="20"/>
  <c r="Z568" i="20"/>
  <c r="Z564" i="20"/>
  <c r="Z548" i="20"/>
  <c r="Z540" i="20"/>
  <c r="Z536" i="20"/>
  <c r="Z528" i="20"/>
  <c r="Z524" i="20"/>
  <c r="Z520" i="20"/>
  <c r="Z516" i="20"/>
  <c r="Z846" i="33"/>
  <c r="W932" i="33"/>
  <c r="W934" i="33"/>
  <c r="W948" i="33"/>
  <c r="Z512" i="20"/>
  <c r="Z504" i="20"/>
  <c r="Z500" i="20"/>
  <c r="Z496" i="20"/>
  <c r="Z484" i="20"/>
  <c r="Z476" i="20"/>
  <c r="Z472" i="20"/>
  <c r="Z468" i="20"/>
  <c r="Z464" i="20"/>
  <c r="Z460" i="20"/>
  <c r="Z456" i="20"/>
  <c r="Z448" i="20"/>
  <c r="Z440" i="20"/>
  <c r="Z436" i="20"/>
  <c r="Z432" i="20"/>
  <c r="Z428" i="20"/>
  <c r="Z424" i="20"/>
  <c r="Z412" i="20"/>
  <c r="Z404" i="20"/>
  <c r="Z400" i="20"/>
  <c r="Z396" i="20"/>
  <c r="Z392" i="20"/>
  <c r="Z388" i="20"/>
  <c r="Z384" i="20"/>
  <c r="Z376" i="20"/>
  <c r="Z372" i="20"/>
  <c r="Z364" i="20"/>
  <c r="Z360" i="20"/>
  <c r="Z356" i="20"/>
  <c r="Z344" i="20"/>
  <c r="Z332" i="20"/>
  <c r="Z328" i="20"/>
  <c r="Z324" i="20"/>
  <c r="Z320" i="20"/>
  <c r="Z316" i="20"/>
  <c r="Z312" i="20"/>
  <c r="Z296" i="20"/>
  <c r="Z288" i="20"/>
  <c r="Z276" i="20"/>
  <c r="Z272" i="20"/>
  <c r="Z268" i="20"/>
  <c r="Z264" i="20"/>
  <c r="Z260" i="20"/>
  <c r="Z256" i="20"/>
  <c r="Z240" i="20"/>
  <c r="Z236" i="20"/>
  <c r="Z232" i="20"/>
  <c r="Z224" i="20"/>
  <c r="Z216" i="20"/>
  <c r="Z212" i="20"/>
  <c r="Z208" i="20"/>
  <c r="Z204" i="20"/>
  <c r="Z188" i="20"/>
  <c r="Z184" i="20"/>
  <c r="Z180" i="20"/>
  <c r="Z172" i="20"/>
  <c r="Z164" i="20"/>
  <c r="Z160" i="20"/>
  <c r="Z152" i="20"/>
  <c r="Z128" i="20"/>
  <c r="Z124" i="20"/>
  <c r="Z120" i="20"/>
  <c r="Z116" i="20"/>
  <c r="Z112" i="20"/>
  <c r="Z108" i="20"/>
  <c r="Z104" i="20"/>
  <c r="Z92" i="20"/>
  <c r="Z88" i="20"/>
  <c r="Z84" i="20"/>
  <c r="Z80" i="20"/>
  <c r="Z68" i="20"/>
  <c r="Z60" i="20"/>
  <c r="Z56" i="20"/>
  <c r="Z52" i="20"/>
  <c r="Z48" i="20"/>
  <c r="Z44" i="20"/>
  <c r="Z32" i="20"/>
  <c r="Z28" i="20"/>
  <c r="Z24" i="20"/>
  <c r="Z20" i="20"/>
  <c r="Z16" i="20"/>
  <c r="Z12" i="20"/>
  <c r="Z8" i="20"/>
  <c r="W886" i="33"/>
  <c r="Y902" i="33"/>
  <c r="Z851" i="33"/>
  <c r="Y858" i="33"/>
  <c r="Z888" i="33"/>
  <c r="X37" i="33"/>
  <c r="Z37" i="33"/>
  <c r="W37" i="33"/>
  <c r="X25" i="33"/>
  <c r="W25" i="33"/>
  <c r="W21" i="33"/>
  <c r="Y21" i="33"/>
  <c r="Y17" i="33"/>
  <c r="W17" i="33"/>
  <c r="Z237" i="33"/>
  <c r="Y237" i="33"/>
  <c r="Z233" i="33"/>
  <c r="Y233" i="33"/>
  <c r="Z227" i="33"/>
  <c r="Y227" i="33"/>
  <c r="W227" i="33"/>
  <c r="X217" i="33"/>
  <c r="Y217" i="33"/>
  <c r="W217" i="33"/>
  <c r="Y213" i="33"/>
  <c r="W213" i="33"/>
  <c r="X209" i="33"/>
  <c r="Z209" i="33"/>
  <c r="W209" i="33"/>
  <c r="Y209" i="33"/>
  <c r="Y205" i="33"/>
  <c r="W205" i="33"/>
  <c r="X205" i="33"/>
  <c r="W201" i="33"/>
  <c r="X201" i="33"/>
  <c r="Y201" i="33"/>
  <c r="W192" i="33"/>
  <c r="Z192" i="33"/>
  <c r="Z180" i="33"/>
  <c r="X180" i="33"/>
  <c r="Y180" i="33"/>
  <c r="Y176" i="33"/>
  <c r="W176" i="33"/>
  <c r="X176" i="33"/>
  <c r="Y172" i="33"/>
  <c r="X172" i="33"/>
  <c r="W172" i="33"/>
  <c r="Y168" i="33"/>
  <c r="Z168" i="33"/>
  <c r="Y164" i="33"/>
  <c r="W164" i="33"/>
  <c r="Z164" i="33"/>
  <c r="Z156" i="33"/>
  <c r="X156" i="33"/>
  <c r="Y156" i="33"/>
  <c r="Z152" i="33"/>
  <c r="Y152" i="33"/>
  <c r="X152" i="33"/>
  <c r="W168" i="33"/>
  <c r="X192" i="33"/>
  <c r="X213" i="33"/>
  <c r="Z201" i="33"/>
  <c r="Z217" i="33"/>
  <c r="W180" i="33"/>
  <c r="W835" i="33"/>
  <c r="W846" i="33"/>
  <c r="W851" i="33"/>
  <c r="Z853" i="33"/>
  <c r="Z858" i="33"/>
  <c r="Y868" i="33"/>
  <c r="Z878" i="33"/>
  <c r="W888" i="33"/>
  <c r="Z942" i="33"/>
  <c r="Y944" i="33"/>
  <c r="Y107" i="33"/>
  <c r="Z724" i="20"/>
  <c r="Z600" i="20"/>
  <c r="Z560" i="20"/>
  <c r="Z556" i="20"/>
  <c r="Z532" i="20"/>
  <c r="Z488" i="20"/>
  <c r="Z452" i="20"/>
  <c r="Z408" i="20"/>
  <c r="Z368" i="20"/>
  <c r="Z348" i="20"/>
  <c r="Z340" i="20"/>
  <c r="Z308" i="20"/>
  <c r="Z304" i="20"/>
  <c r="Z280" i="20"/>
  <c r="Z252" i="20"/>
  <c r="Z228" i="20"/>
  <c r="Z196" i="20"/>
  <c r="Z168" i="20"/>
  <c r="Z132" i="20"/>
  <c r="Z36" i="20"/>
  <c r="W858" i="33"/>
  <c r="W868" i="33"/>
  <c r="Z884" i="33"/>
  <c r="Z898" i="33"/>
  <c r="W900" i="33"/>
  <c r="W902" i="33"/>
  <c r="W936" i="33"/>
  <c r="X946" i="33"/>
  <c r="W837" i="33"/>
  <c r="W844" i="33"/>
  <c r="W848" i="33"/>
  <c r="W842" i="33"/>
  <c r="Z854" i="33"/>
  <c r="Z872" i="33"/>
  <c r="W870" i="33"/>
  <c r="Y876" i="33"/>
  <c r="W880" i="33"/>
  <c r="Z886" i="33"/>
  <c r="Z894" i="33"/>
  <c r="Z902" i="33"/>
  <c r="Z908" i="33"/>
  <c r="Y936" i="33"/>
  <c r="Z837" i="33"/>
  <c r="Z844" i="33"/>
  <c r="Z848" i="33"/>
  <c r="Z842" i="33"/>
  <c r="Z870" i="33"/>
  <c r="W874" i="33"/>
  <c r="W878" i="33"/>
  <c r="Z880" i="33"/>
  <c r="Z896" i="33"/>
  <c r="W898" i="33"/>
  <c r="Z936" i="33"/>
  <c r="W938" i="33"/>
  <c r="W840" i="33"/>
  <c r="W856" i="33"/>
  <c r="X934" i="33"/>
  <c r="Y802" i="33"/>
  <c r="W838" i="33"/>
  <c r="Y840" i="33"/>
  <c r="X844" i="33"/>
  <c r="X846" i="33"/>
  <c r="X848" i="33"/>
  <c r="X849" i="33"/>
  <c r="X842" i="33"/>
  <c r="X851" i="33"/>
  <c r="W854" i="33"/>
  <c r="Y856" i="33"/>
  <c r="W864" i="33"/>
  <c r="W872" i="33"/>
  <c r="W908" i="33"/>
  <c r="Y934" i="33"/>
  <c r="Z938" i="33"/>
  <c r="W940" i="33"/>
  <c r="X944" i="33"/>
  <c r="Z946" i="33"/>
  <c r="Y948" i="33"/>
  <c r="Z838" i="33"/>
  <c r="Z840" i="33"/>
  <c r="W853" i="33"/>
  <c r="Y854" i="33"/>
  <c r="Z856" i="33"/>
  <c r="Z864" i="33"/>
  <c r="W866" i="33"/>
  <c r="Y872" i="33"/>
  <c r="W882" i="33"/>
  <c r="W884" i="33"/>
  <c r="W896" i="33"/>
  <c r="W894" i="33"/>
  <c r="W906" i="33"/>
  <c r="Y908" i="33"/>
  <c r="W910" i="33"/>
  <c r="X802" i="33"/>
  <c r="W802" i="33"/>
  <c r="X740" i="33"/>
  <c r="X835" i="33"/>
  <c r="X866" i="33"/>
  <c r="X874" i="33"/>
  <c r="X900" i="33"/>
  <c r="X906" i="33"/>
  <c r="X910" i="33"/>
  <c r="X932" i="33"/>
  <c r="X940" i="33"/>
  <c r="Y835" i="33"/>
  <c r="X837" i="33"/>
  <c r="X838" i="33"/>
  <c r="X853" i="33"/>
  <c r="X864" i="33"/>
  <c r="Y866" i="33"/>
  <c r="X870" i="33"/>
  <c r="Y874" i="33"/>
  <c r="W876" i="33"/>
  <c r="X878" i="33"/>
  <c r="X882" i="33"/>
  <c r="X880" i="33"/>
  <c r="X884" i="33"/>
  <c r="X886" i="33"/>
  <c r="X896" i="33"/>
  <c r="X888" i="33"/>
  <c r="X894" i="33"/>
  <c r="X898" i="33"/>
  <c r="Y900" i="33"/>
  <c r="Y906" i="33"/>
  <c r="Y910" i="33"/>
  <c r="Y932" i="33"/>
  <c r="X938" i="33"/>
  <c r="Y940" i="33"/>
  <c r="W942" i="33"/>
  <c r="X948" i="33"/>
  <c r="X942" i="33"/>
  <c r="W946" i="33"/>
  <c r="AG1353" i="35" l="1"/>
  <c r="AG1030" i="35"/>
  <c r="AI138" i="33"/>
  <c r="AG97" i="35"/>
  <c r="L667" i="35"/>
  <c r="L134" i="33"/>
  <c r="L192" i="33"/>
  <c r="L172" i="33"/>
  <c r="L158" i="33"/>
  <c r="L156" i="33"/>
  <c r="L323" i="33"/>
  <c r="L289" i="33"/>
  <c r="L246" i="33"/>
  <c r="L244" i="33"/>
  <c r="L888" i="33"/>
  <c r="L934" i="33"/>
  <c r="L842" i="33"/>
  <c r="L932" i="33"/>
  <c r="L853" i="33"/>
  <c r="L872" i="33"/>
  <c r="L884" i="33"/>
  <c r="L880" i="33"/>
  <c r="L601" i="35"/>
  <c r="L622" i="35"/>
  <c r="L882" i="33"/>
  <c r="L851" i="33"/>
  <c r="L578" i="35"/>
  <c r="L844" i="33"/>
  <c r="L944" i="33"/>
  <c r="L698" i="35"/>
  <c r="L661" i="35"/>
  <c r="L216" i="35"/>
  <c r="L649" i="35"/>
  <c r="L599" i="35"/>
  <c r="L722" i="35"/>
  <c r="L878" i="33"/>
  <c r="L176" i="33"/>
  <c r="L174" i="33"/>
  <c r="L170" i="33"/>
  <c r="L162" i="33"/>
  <c r="L325" i="33"/>
  <c r="L319" i="33"/>
  <c r="L313" i="33"/>
  <c r="L81" i="35"/>
  <c r="AB88" i="33"/>
  <c r="V670" i="35"/>
  <c r="V714" i="35"/>
  <c r="AA702" i="35"/>
  <c r="AA728" i="35"/>
  <c r="V702" i="35"/>
  <c r="AB164" i="33"/>
  <c r="AB856" i="33"/>
  <c r="X130" i="33"/>
  <c r="AB837" i="33"/>
  <c r="AB875" i="33"/>
  <c r="V618" i="35"/>
  <c r="AB934" i="33"/>
  <c r="V578" i="35"/>
  <c r="AA626" i="35"/>
  <c r="W597" i="35"/>
  <c r="X385" i="33"/>
  <c r="W659" i="33"/>
  <c r="X806" i="33"/>
  <c r="AB864" i="33"/>
  <c r="V597" i="35"/>
  <c r="V624" i="35"/>
  <c r="V620" i="35"/>
  <c r="AB846" i="33"/>
  <c r="AA690" i="35"/>
  <c r="W665" i="35"/>
  <c r="AB896" i="33"/>
  <c r="V668" i="35"/>
  <c r="V691" i="35"/>
  <c r="AA696" i="35"/>
  <c r="AB932" i="33"/>
  <c r="W730" i="35"/>
  <c r="V220" i="35"/>
  <c r="AA710" i="35"/>
  <c r="AA601" i="35"/>
  <c r="V149" i="35"/>
  <c r="W688" i="35"/>
  <c r="AA670" i="35"/>
  <c r="W670" i="35"/>
  <c r="W668" i="35"/>
  <c r="W728" i="35"/>
  <c r="V688" i="35"/>
  <c r="AB900" i="33"/>
  <c r="AA700" i="35"/>
  <c r="AA200" i="35"/>
  <c r="X649" i="33"/>
  <c r="W816" i="33"/>
  <c r="X655" i="33"/>
  <c r="X562" i="33"/>
  <c r="W663" i="33"/>
  <c r="W672" i="35"/>
  <c r="V726" i="35"/>
  <c r="V712" i="35"/>
  <c r="X936" i="33"/>
  <c r="V672" i="35"/>
  <c r="L726" i="35"/>
  <c r="W702" i="35"/>
  <c r="L691" i="35"/>
  <c r="AB868" i="33"/>
  <c r="AB848" i="33"/>
  <c r="L906" i="33"/>
  <c r="AB874" i="33"/>
  <c r="X819" i="33"/>
  <c r="AA624" i="35"/>
  <c r="V576" i="35"/>
  <c r="AB866" i="33"/>
  <c r="AB844" i="33"/>
  <c r="L595" i="35"/>
  <c r="W357" i="33"/>
  <c r="L868" i="33"/>
  <c r="AA693" i="35"/>
  <c r="W696" i="35"/>
  <c r="AA599" i="35"/>
  <c r="L856" i="33"/>
  <c r="W85" i="33"/>
  <c r="L894" i="33"/>
  <c r="L858" i="33"/>
  <c r="L846" i="33"/>
  <c r="L900" i="33"/>
  <c r="W244" i="33"/>
  <c r="L848" i="33"/>
  <c r="L837" i="33"/>
  <c r="L240" i="33"/>
  <c r="L242" i="33"/>
  <c r="L315" i="33"/>
  <c r="AB842" i="33"/>
  <c r="V659" i="35"/>
  <c r="AA722" i="35"/>
  <c r="W599" i="35"/>
  <c r="L702" i="35"/>
  <c r="AA603" i="35"/>
  <c r="V700" i="35"/>
  <c r="L704" i="35"/>
  <c r="X351" i="33"/>
  <c r="W379" i="33"/>
  <c r="L849" i="33"/>
  <c r="V643" i="35"/>
  <c r="L624" i="35"/>
  <c r="V599" i="35"/>
  <c r="AB884" i="33"/>
  <c r="W659" i="35"/>
  <c r="AB878" i="33"/>
  <c r="L854" i="33"/>
  <c r="X124" i="33"/>
  <c r="L896" i="33"/>
  <c r="X231" i="33"/>
  <c r="L840" i="33"/>
  <c r="X257" i="33"/>
  <c r="L886" i="33"/>
  <c r="L238" i="33"/>
  <c r="L307" i="33"/>
  <c r="L309" i="33"/>
  <c r="L311" i="33"/>
  <c r="L168" i="33"/>
  <c r="L180" i="33"/>
  <c r="L132" i="33"/>
  <c r="AB882" i="33"/>
  <c r="L183" i="33"/>
  <c r="AB838" i="33"/>
  <c r="V626" i="35"/>
  <c r="L696" i="35"/>
  <c r="V728" i="35"/>
  <c r="W220" i="35"/>
  <c r="AA219" i="35"/>
  <c r="L83" i="35"/>
  <c r="AA724" i="35"/>
  <c r="L576" i="35"/>
  <c r="AA667" i="35"/>
  <c r="L700" i="35"/>
  <c r="AA161" i="35"/>
  <c r="AA233" i="35"/>
  <c r="AA39" i="35"/>
  <c r="AA62" i="35"/>
  <c r="AA82" i="35"/>
  <c r="AA93" i="35"/>
  <c r="AB66" i="33"/>
  <c r="AB78" i="33"/>
  <c r="AB92" i="33"/>
  <c r="L291" i="33"/>
  <c r="L736" i="35"/>
  <c r="L718" i="35"/>
  <c r="L716" i="35"/>
  <c r="L720" i="35"/>
  <c r="L1024" i="33"/>
  <c r="L1018" i="33"/>
  <c r="L1022" i="33"/>
  <c r="L1016" i="33"/>
  <c r="L754" i="35"/>
  <c r="L1014" i="33"/>
  <c r="L752" i="35"/>
  <c r="L970" i="33"/>
  <c r="L756" i="35"/>
  <c r="L1006" i="33"/>
  <c r="L1004" i="33"/>
  <c r="L1012" i="33"/>
  <c r="L663" i="35"/>
  <c r="L674" i="35"/>
  <c r="L634" i="35"/>
  <c r="L632" i="35"/>
  <c r="L586" i="35"/>
  <c r="L591" i="35"/>
  <c r="L804" i="33"/>
  <c r="L562" i="35"/>
  <c r="L522" i="35"/>
  <c r="L752" i="33"/>
  <c r="L710" i="33"/>
  <c r="L816" i="33"/>
  <c r="L609" i="35"/>
  <c r="L542" i="35"/>
  <c r="L532" i="35"/>
  <c r="L750" i="33"/>
  <c r="L708" i="33"/>
  <c r="L755" i="33"/>
  <c r="L686" i="33"/>
  <c r="L500" i="35"/>
  <c r="L479" i="35"/>
  <c r="L621" i="33"/>
  <c r="L423" i="35"/>
  <c r="L408" i="35"/>
  <c r="L406" i="35"/>
  <c r="L705" i="33"/>
  <c r="L671" i="33"/>
  <c r="L473" i="35"/>
  <c r="L617" i="33"/>
  <c r="L420" i="35"/>
  <c r="L552" i="33"/>
  <c r="L721" i="33"/>
  <c r="L669" i="33"/>
  <c r="L468" i="35"/>
  <c r="L482" i="35"/>
  <c r="L601" i="33"/>
  <c r="L566" i="33"/>
  <c r="L503" i="33"/>
  <c r="L740" i="33"/>
  <c r="L680" i="33"/>
  <c r="L665" i="33"/>
  <c r="L481" i="35"/>
  <c r="L614" i="33"/>
  <c r="L402" i="35"/>
  <c r="L509" i="33"/>
  <c r="L412" i="35"/>
  <c r="L584" i="33"/>
  <c r="L548" i="33"/>
  <c r="L326" i="35"/>
  <c r="L507" i="33"/>
  <c r="L546" i="33"/>
  <c r="L591" i="33"/>
  <c r="L308" i="35"/>
  <c r="L379" i="33"/>
  <c r="L373" i="33"/>
  <c r="L441" i="33"/>
  <c r="L123" i="35"/>
  <c r="L93" i="33"/>
  <c r="L250" i="33"/>
  <c r="L355" i="33"/>
  <c r="L389" i="33"/>
  <c r="L89" i="33"/>
  <c r="L49" i="35"/>
  <c r="L630" i="35"/>
  <c r="L730" i="35"/>
  <c r="L545" i="35"/>
  <c r="L776" i="33"/>
  <c r="L806" i="33"/>
  <c r="L553" i="35"/>
  <c r="L763" i="33"/>
  <c r="L707" i="33"/>
  <c r="L812" i="33"/>
  <c r="L558" i="35"/>
  <c r="L524" i="35"/>
  <c r="L730" i="33"/>
  <c r="L556" i="35"/>
  <c r="L761" i="33"/>
  <c r="L506" i="35"/>
  <c r="L447" i="35"/>
  <c r="L608" i="33"/>
  <c r="L386" i="35"/>
  <c r="L748" i="33"/>
  <c r="L653" i="33"/>
  <c r="L496" i="35"/>
  <c r="L603" i="33"/>
  <c r="L560" i="33"/>
  <c r="L715" i="33"/>
  <c r="L667" i="33"/>
  <c r="L498" i="35"/>
  <c r="L607" i="33"/>
  <c r="L362" i="35"/>
  <c r="L771" i="33"/>
  <c r="L492" i="35"/>
  <c r="L637" i="33"/>
  <c r="L623" i="33"/>
  <c r="L570" i="33"/>
  <c r="L585" i="33"/>
  <c r="L564" i="33"/>
  <c r="L513" i="33"/>
  <c r="L544" i="33"/>
  <c r="L328" i="35"/>
  <c r="L390" i="35"/>
  <c r="L332" i="35"/>
  <c r="L261" i="33"/>
  <c r="L336" i="35"/>
  <c r="L267" i="33"/>
  <c r="L19" i="33"/>
  <c r="L333" i="33"/>
  <c r="L337" i="33"/>
  <c r="L115" i="33"/>
  <c r="L77" i="33"/>
  <c r="L23" i="33"/>
  <c r="L41" i="35"/>
  <c r="L353" i="33"/>
  <c r="L479" i="33"/>
  <c r="L153" i="35"/>
  <c r="L369" i="33"/>
  <c r="L477" i="33"/>
  <c r="L331" i="33"/>
  <c r="L449" i="33"/>
  <c r="L419" i="33"/>
  <c r="L540" i="35"/>
  <c r="L611" i="35"/>
  <c r="L774" i="33"/>
  <c r="L723" i="33"/>
  <c r="L810" i="33"/>
  <c r="L538" i="35"/>
  <c r="L744" i="33"/>
  <c r="L753" i="33"/>
  <c r="L672" i="33"/>
  <c r="L465" i="35"/>
  <c r="L398" i="35"/>
  <c r="L358" i="35"/>
  <c r="L684" i="33"/>
  <c r="L445" i="35"/>
  <c r="L568" i="33"/>
  <c r="L742" i="33"/>
  <c r="L508" i="35"/>
  <c r="L619" i="33"/>
  <c r="L410" i="35"/>
  <c r="L725" i="33"/>
  <c r="L674" i="33"/>
  <c r="L651" i="33"/>
  <c r="L542" i="33"/>
  <c r="L582" i="33"/>
  <c r="L392" i="35"/>
  <c r="L473" i="33"/>
  <c r="L310" i="35"/>
  <c r="L467" i="33"/>
  <c r="L264" i="35"/>
  <c r="L131" i="35"/>
  <c r="L201" i="33"/>
  <c r="L152" i="33"/>
  <c r="L103" i="33"/>
  <c r="L371" i="33"/>
  <c r="L164" i="33"/>
  <c r="L178" i="35"/>
  <c r="L385" i="33"/>
  <c r="L15" i="33"/>
  <c r="L338" i="35"/>
  <c r="L198" i="33"/>
  <c r="L162" i="35"/>
  <c r="L487" i="33"/>
  <c r="L194" i="33"/>
  <c r="L67" i="35"/>
  <c r="L176" i="35"/>
  <c r="L265" i="33"/>
  <c r="L417" i="33"/>
  <c r="L236" i="35"/>
  <c r="L133" i="35"/>
  <c r="L31" i="33"/>
  <c r="L65" i="33"/>
  <c r="L77" i="35"/>
  <c r="L79" i="35"/>
  <c r="L180" i="35"/>
  <c r="L225" i="33"/>
  <c r="L340" i="35"/>
  <c r="L43" i="35"/>
  <c r="L375" i="33"/>
  <c r="L95" i="33"/>
  <c r="L151" i="35"/>
  <c r="L107" i="33"/>
  <c r="L17" i="33"/>
  <c r="L51" i="35"/>
  <c r="L427" i="33"/>
  <c r="L160" i="35"/>
  <c r="L113" i="33"/>
  <c r="L211" i="33"/>
  <c r="L312" i="35"/>
  <c r="L142" i="33"/>
  <c r="L226" i="35"/>
  <c r="L69" i="35"/>
  <c r="L819" i="33"/>
  <c r="L543" i="35"/>
  <c r="L589" i="35"/>
  <c r="L560" i="35"/>
  <c r="L759" i="33"/>
  <c r="L719" i="33"/>
  <c r="L643" i="33"/>
  <c r="L612" i="33"/>
  <c r="L746" i="33"/>
  <c r="L484" i="35"/>
  <c r="L400" i="35"/>
  <c r="L689" i="33"/>
  <c r="L629" i="33"/>
  <c r="L421" i="35"/>
  <c r="L714" i="33"/>
  <c r="L475" i="35"/>
  <c r="L427" i="35"/>
  <c r="L589" i="33"/>
  <c r="L330" i="35"/>
  <c r="L501" i="33"/>
  <c r="L147" i="35"/>
  <c r="L136" i="33"/>
  <c r="L156" i="35"/>
  <c r="L251" i="33"/>
  <c r="L262" i="35"/>
  <c r="L91" i="33"/>
  <c r="L45" i="33"/>
  <c r="L135" i="35"/>
  <c r="L499" i="33"/>
  <c r="L415" i="33"/>
  <c r="L73" i="33"/>
  <c r="L351" i="33"/>
  <c r="L199" i="33"/>
  <c r="L227" i="33"/>
  <c r="L121" i="33"/>
  <c r="L244" i="35"/>
  <c r="L73" i="35"/>
  <c r="L203" i="33"/>
  <c r="L437" i="33"/>
  <c r="L260" i="35"/>
  <c r="L423" i="33"/>
  <c r="L209" i="33"/>
  <c r="L481" i="33"/>
  <c r="L27" i="33"/>
  <c r="L59" i="33"/>
  <c r="L196" i="33"/>
  <c r="L266" i="35"/>
  <c r="L329" i="33"/>
  <c r="L174" i="35"/>
  <c r="L297" i="33"/>
  <c r="L85" i="35"/>
  <c r="L25" i="33"/>
  <c r="L228" i="35"/>
  <c r="L47" i="33"/>
  <c r="L217" i="33"/>
  <c r="L350" i="35"/>
  <c r="L593" i="35"/>
  <c r="L582" i="35"/>
  <c r="L588" i="35"/>
  <c r="L773" i="33"/>
  <c r="L580" i="35"/>
  <c r="L477" i="35"/>
  <c r="L572" i="33"/>
  <c r="L661" i="33"/>
  <c r="L404" i="35"/>
  <c r="L659" i="33"/>
  <c r="L418" i="35"/>
  <c r="L703" i="33"/>
  <c r="L599" i="33"/>
  <c r="L314" i="35"/>
  <c r="L540" i="33"/>
  <c r="L322" i="35"/>
  <c r="L347" i="33"/>
  <c r="L61" i="33"/>
  <c r="L381" i="33"/>
  <c r="L71" i="35"/>
  <c r="L334" i="35"/>
  <c r="L39" i="33"/>
  <c r="L105" i="35"/>
  <c r="L127" i="35"/>
  <c r="L475" i="33"/>
  <c r="L139" i="35"/>
  <c r="L237" i="33"/>
  <c r="L431" i="33"/>
  <c r="L57" i="33"/>
  <c r="L447" i="33"/>
  <c r="L87" i="33"/>
  <c r="L109" i="33"/>
  <c r="L299" i="33"/>
  <c r="L97" i="33"/>
  <c r="L154" i="33"/>
  <c r="L19" i="35"/>
  <c r="L220" i="35"/>
  <c r="L235" i="33"/>
  <c r="L808" i="33"/>
  <c r="L736" i="33"/>
  <c r="L786" i="33"/>
  <c r="L655" i="33"/>
  <c r="L425" i="35"/>
  <c r="L639" i="33"/>
  <c r="L788" i="33"/>
  <c r="L625" i="33"/>
  <c r="L657" i="33"/>
  <c r="L562" i="33"/>
  <c r="L505" i="33"/>
  <c r="L453" i="33"/>
  <c r="L343" i="33"/>
  <c r="L345" i="33"/>
  <c r="L63" i="33"/>
  <c r="L81" i="33"/>
  <c r="L181" i="33"/>
  <c r="L254" i="35"/>
  <c r="L335" i="33"/>
  <c r="L219" i="33"/>
  <c r="L469" i="33"/>
  <c r="L85" i="33"/>
  <c r="L67" i="33"/>
  <c r="L346" i="35"/>
  <c r="L43" i="33"/>
  <c r="L124" i="33"/>
  <c r="L137" i="35"/>
  <c r="L213" i="33"/>
  <c r="L113" i="35"/>
  <c r="L584" i="35"/>
  <c r="L817" i="33"/>
  <c r="L728" i="33"/>
  <c r="L663" i="33"/>
  <c r="L515" i="33"/>
  <c r="L627" i="33"/>
  <c r="L494" i="35"/>
  <c r="L516" i="33"/>
  <c r="L502" i="35"/>
  <c r="L550" i="33"/>
  <c r="L587" i="33"/>
  <c r="L231" i="33"/>
  <c r="L445" i="33"/>
  <c r="L433" i="33"/>
  <c r="L166" i="35"/>
  <c r="L387" i="33"/>
  <c r="L71" i="33"/>
  <c r="L294" i="35"/>
  <c r="L258" i="35"/>
  <c r="L105" i="33"/>
  <c r="L435" i="33"/>
  <c r="L49" i="33"/>
  <c r="L145" i="35"/>
  <c r="L425" i="33"/>
  <c r="L451" i="33"/>
  <c r="L252" i="35"/>
  <c r="L429" i="33"/>
  <c r="L248" i="33"/>
  <c r="L778" i="33"/>
  <c r="L757" i="33"/>
  <c r="L555" i="35"/>
  <c r="L712" i="33"/>
  <c r="L615" i="33"/>
  <c r="L682" i="33"/>
  <c r="L814" i="33"/>
  <c r="L443" i="35"/>
  <c r="L534" i="35"/>
  <c r="L605" i="33"/>
  <c r="L394" i="35"/>
  <c r="L511" i="33"/>
  <c r="L250" i="35"/>
  <c r="L421" i="33"/>
  <c r="L292" i="35"/>
  <c r="L29" i="33"/>
  <c r="L186" i="33"/>
  <c r="L301" i="33"/>
  <c r="L215" i="33"/>
  <c r="L324" i="35"/>
  <c r="L485" i="33"/>
  <c r="L101" i="33"/>
  <c r="L51" i="33"/>
  <c r="L377" i="33"/>
  <c r="L383" i="33"/>
  <c r="L483" i="33"/>
  <c r="L316" i="35"/>
  <c r="L229" i="33"/>
  <c r="L47" i="35"/>
  <c r="L158" i="35"/>
  <c r="L612" i="35"/>
  <c r="L649" i="33"/>
  <c r="L547" i="35"/>
  <c r="L168" i="35"/>
  <c r="L155" i="35"/>
  <c r="L53" i="33"/>
  <c r="L769" i="33"/>
  <c r="L727" i="33"/>
  <c r="L504" i="35"/>
  <c r="L119" i="33"/>
  <c r="L99" i="33"/>
  <c r="L178" i="33"/>
  <c r="L75" i="33"/>
  <c r="L75" i="35"/>
  <c r="L348" i="35"/>
  <c r="L21" i="33"/>
  <c r="L443" i="33"/>
  <c r="L717" i="33"/>
  <c r="L486" i="35"/>
  <c r="L360" i="35"/>
  <c r="L69" i="33"/>
  <c r="L55" i="33"/>
  <c r="L233" i="33"/>
  <c r="L184" i="35"/>
  <c r="L41" i="33"/>
  <c r="L610" i="33"/>
  <c r="L117" i="33"/>
  <c r="L83" i="33"/>
  <c r="L164" i="35"/>
  <c r="L538" i="33"/>
  <c r="L256" i="35"/>
  <c r="L53" i="35"/>
  <c r="L341" i="33"/>
  <c r="L357" i="33"/>
  <c r="L614" i="35"/>
  <c r="L37" i="33"/>
  <c r="L467" i="35"/>
  <c r="AA714" i="35"/>
  <c r="L693" i="35"/>
  <c r="L710" i="35"/>
  <c r="W691" i="35"/>
  <c r="AA576" i="35"/>
  <c r="W41" i="35"/>
  <c r="L659" i="35"/>
  <c r="L230" i="35"/>
  <c r="W230" i="35"/>
  <c r="AA218" i="35"/>
  <c r="L129" i="35"/>
  <c r="L61" i="35"/>
  <c r="L724" i="35"/>
  <c r="W620" i="35"/>
  <c r="W724" i="35"/>
  <c r="W676" i="35"/>
  <c r="L87" i="35"/>
  <c r="AA210" i="35"/>
  <c r="L224" i="35"/>
  <c r="V236" i="35"/>
  <c r="AA1609" i="35"/>
  <c r="AA19" i="35"/>
  <c r="L149" i="35"/>
  <c r="L672" i="35"/>
  <c r="W714" i="35"/>
  <c r="L17" i="35"/>
  <c r="AA193" i="35"/>
  <c r="AA40" i="35"/>
  <c r="AA70" i="35"/>
  <c r="AA86" i="35"/>
  <c r="AA96" i="35"/>
  <c r="AB72" i="33"/>
  <c r="AB84" i="33"/>
  <c r="L140" i="33"/>
  <c r="L303" i="33"/>
  <c r="L946" i="33"/>
  <c r="W626" i="35"/>
  <c r="L670" i="35"/>
  <c r="AA578" i="35"/>
  <c r="W708" i="35"/>
  <c r="L242" i="35"/>
  <c r="V242" i="35"/>
  <c r="L125" i="35"/>
  <c r="AA242" i="35"/>
  <c r="L103" i="35"/>
  <c r="L714" i="35"/>
  <c r="L234" i="35"/>
  <c r="AA616" i="35"/>
  <c r="L240" i="35"/>
  <c r="V710" i="35"/>
  <c r="V661" i="35"/>
  <c r="W160" i="35"/>
  <c r="AA216" i="35"/>
  <c r="L238" i="35"/>
  <c r="V37" i="35"/>
  <c r="L690" i="35"/>
  <c r="L728" i="35"/>
  <c r="AA676" i="35"/>
  <c r="L37" i="35"/>
  <c r="W578" i="35"/>
  <c r="AA209" i="35"/>
  <c r="AA23" i="35"/>
  <c r="AA44" i="35"/>
  <c r="AA74" i="35"/>
  <c r="AA88" i="35"/>
  <c r="AA116" i="35"/>
  <c r="AB74" i="33"/>
  <c r="AB86" i="33"/>
  <c r="L259" i="33"/>
  <c r="L305" i="33"/>
  <c r="AA736" i="35"/>
  <c r="W736" i="35"/>
  <c r="V736" i="35"/>
  <c r="AA720" i="35"/>
  <c r="V720" i="35"/>
  <c r="AA716" i="35"/>
  <c r="V718" i="35"/>
  <c r="AA718" i="35"/>
  <c r="W716" i="35"/>
  <c r="W720" i="35"/>
  <c r="V716" i="35"/>
  <c r="W718" i="35"/>
  <c r="AB1024" i="33"/>
  <c r="AB1022" i="33"/>
  <c r="AB1018" i="33"/>
  <c r="AB1016" i="33"/>
  <c r="AB1014" i="33"/>
  <c r="AB1006" i="33"/>
  <c r="AB1004" i="33"/>
  <c r="AA756" i="35"/>
  <c r="AB970" i="33"/>
  <c r="AB1012" i="33"/>
  <c r="AA632" i="35"/>
  <c r="V632" i="35"/>
  <c r="W630" i="35"/>
  <c r="V722" i="35"/>
  <c r="AB836" i="33"/>
  <c r="AA630" i="35"/>
  <c r="V630" i="35"/>
  <c r="X684" i="33"/>
  <c r="W695" i="35"/>
  <c r="W663" i="35"/>
  <c r="V676" i="35"/>
  <c r="W674" i="35"/>
  <c r="V665" i="35"/>
  <c r="AB841" i="33"/>
  <c r="AB839" i="33"/>
  <c r="W634" i="35"/>
  <c r="W698" i="35"/>
  <c r="AA663" i="35"/>
  <c r="V663" i="35"/>
  <c r="AA674" i="35"/>
  <c r="V674" i="35"/>
  <c r="AA661" i="35"/>
  <c r="AA634" i="35"/>
  <c r="V634" i="35"/>
  <c r="W632" i="35"/>
  <c r="V588" i="35"/>
  <c r="AA582" i="35"/>
  <c r="W609" i="35"/>
  <c r="V589" i="35"/>
  <c r="W614" i="35"/>
  <c r="AA562" i="35"/>
  <c r="V560" i="35"/>
  <c r="AA553" i="35"/>
  <c r="AB790" i="33"/>
  <c r="V591" i="35"/>
  <c r="V609" i="35"/>
  <c r="AA556" i="35"/>
  <c r="AA538" i="35"/>
  <c r="AB759" i="33"/>
  <c r="AB713" i="33"/>
  <c r="AA545" i="35"/>
  <c r="AB806" i="33"/>
  <c r="V607" i="35"/>
  <c r="AA560" i="35"/>
  <c r="AA543" i="35"/>
  <c r="AB771" i="33"/>
  <c r="AB709" i="33"/>
  <c r="AB710" i="33"/>
  <c r="AB786" i="33"/>
  <c r="AB708" i="33"/>
  <c r="AB671" i="33"/>
  <c r="AA486" i="35"/>
  <c r="AA481" i="35"/>
  <c r="AA479" i="35"/>
  <c r="AB637" i="33"/>
  <c r="AB608" i="33"/>
  <c r="AA424" i="35"/>
  <c r="AB569" i="33"/>
  <c r="AA362" i="35"/>
  <c r="AB552" i="33"/>
  <c r="V562" i="35"/>
  <c r="AB788" i="33"/>
  <c r="AB712" i="33"/>
  <c r="AB674" i="33"/>
  <c r="W484" i="35"/>
  <c r="W463" i="35"/>
  <c r="V465" i="35"/>
  <c r="AA445" i="35"/>
  <c r="AB610" i="33"/>
  <c r="V402" i="35"/>
  <c r="AA425" i="35"/>
  <c r="AA409" i="35"/>
  <c r="AB561" i="33"/>
  <c r="AA412" i="35"/>
  <c r="W553" i="35"/>
  <c r="AB750" i="33"/>
  <c r="V494" i="35"/>
  <c r="W502" i="35"/>
  <c r="AA484" i="35"/>
  <c r="AA477" i="35"/>
  <c r="AA482" i="35"/>
  <c r="AB619" i="33"/>
  <c r="AA418" i="35"/>
  <c r="W400" i="35"/>
  <c r="AB573" i="33"/>
  <c r="AB543" i="33"/>
  <c r="AA358" i="35"/>
  <c r="V611" i="35"/>
  <c r="V543" i="35"/>
  <c r="AB730" i="33"/>
  <c r="AB655" i="33"/>
  <c r="AA463" i="35"/>
  <c r="V463" i="35"/>
  <c r="AA496" i="35"/>
  <c r="V481" i="35"/>
  <c r="AB614" i="33"/>
  <c r="AA399" i="35"/>
  <c r="AA423" i="35"/>
  <c r="AA404" i="35"/>
  <c r="AB503" i="33"/>
  <c r="W394" i="35"/>
  <c r="AA343" i="35"/>
  <c r="W334" i="35"/>
  <c r="V340" i="35"/>
  <c r="AA364" i="35"/>
  <c r="AA346" i="35"/>
  <c r="AA383" i="35"/>
  <c r="AB417" i="33"/>
  <c r="AB211" i="33"/>
  <c r="AA22" i="35"/>
  <c r="AA224" i="35"/>
  <c r="V336" i="35"/>
  <c r="AB34" i="33"/>
  <c r="W236" i="35"/>
  <c r="AB57" i="33"/>
  <c r="AB551" i="33"/>
  <c r="AB582" i="33"/>
  <c r="V326" i="35"/>
  <c r="W348" i="35"/>
  <c r="AB435" i="33"/>
  <c r="W324" i="35"/>
  <c r="AA316" i="35"/>
  <c r="W242" i="35"/>
  <c r="AB217" i="33"/>
  <c r="AB182" i="33"/>
  <c r="AA60" i="35"/>
  <c r="W340" i="35"/>
  <c r="AB181" i="33"/>
  <c r="AB213" i="33"/>
  <c r="AB62" i="33"/>
  <c r="AA330" i="35"/>
  <c r="AA370" i="35"/>
  <c r="AA372" i="35"/>
  <c r="AA355" i="35"/>
  <c r="AB228" i="33"/>
  <c r="AA213" i="35"/>
  <c r="AB369" i="33"/>
  <c r="AB130" i="33"/>
  <c r="AA63" i="35"/>
  <c r="AA319" i="35"/>
  <c r="AA322" i="35"/>
  <c r="V392" i="35"/>
  <c r="AA326" i="35"/>
  <c r="AA338" i="35"/>
  <c r="V346" i="35"/>
  <c r="AA339" i="35"/>
  <c r="AA290" i="35"/>
  <c r="AB16" i="33"/>
  <c r="AA117" i="35"/>
  <c r="AB423" i="33"/>
  <c r="AB415" i="33"/>
  <c r="W588" i="35"/>
  <c r="V614" i="35"/>
  <c r="V584" i="35"/>
  <c r="V555" i="35"/>
  <c r="AA589" i="35"/>
  <c r="AB804" i="33"/>
  <c r="V582" i="35"/>
  <c r="W538" i="35"/>
  <c r="AB746" i="33"/>
  <c r="AB714" i="33"/>
  <c r="AA611" i="35"/>
  <c r="V586" i="35"/>
  <c r="W560" i="35"/>
  <c r="AB740" i="33"/>
  <c r="AB725" i="33"/>
  <c r="W582" i="35"/>
  <c r="AB761" i="33"/>
  <c r="AA468" i="35"/>
  <c r="AA502" i="35"/>
  <c r="W473" i="35"/>
  <c r="AB617" i="33"/>
  <c r="V427" i="35"/>
  <c r="V404" i="35"/>
  <c r="W412" i="35"/>
  <c r="W586" i="35"/>
  <c r="AB748" i="33"/>
  <c r="W492" i="35"/>
  <c r="V508" i="35"/>
  <c r="W496" i="35"/>
  <c r="AA465" i="35"/>
  <c r="AB621" i="33"/>
  <c r="AA400" i="35"/>
  <c r="AB571" i="33"/>
  <c r="AB560" i="33"/>
  <c r="W611" i="35"/>
  <c r="AA532" i="35"/>
  <c r="AA492" i="35"/>
  <c r="AA500" i="35"/>
  <c r="AA473" i="35"/>
  <c r="W479" i="35"/>
  <c r="AB615" i="33"/>
  <c r="W420" i="35"/>
  <c r="W418" i="35"/>
  <c r="AB517" i="33"/>
  <c r="AB810" i="33"/>
  <c r="W547" i="35"/>
  <c r="AB705" i="33"/>
  <c r="AB663" i="33"/>
  <c r="V486" i="35"/>
  <c r="W477" i="35"/>
  <c r="AB649" i="33"/>
  <c r="V420" i="35"/>
  <c r="AA419" i="35"/>
  <c r="AB542" i="33"/>
  <c r="V390" i="35"/>
  <c r="V328" i="35"/>
  <c r="AA392" i="35"/>
  <c r="AA395" i="35"/>
  <c r="AA360" i="35"/>
  <c r="AA351" i="35"/>
  <c r="AB496" i="33"/>
  <c r="AB196" i="33"/>
  <c r="V324" i="35"/>
  <c r="AB240" i="33"/>
  <c r="V330" i="35"/>
  <c r="AA367" i="35"/>
  <c r="AA385" i="35"/>
  <c r="AA377" i="35"/>
  <c r="AA34" i="35"/>
  <c r="V67" i="35"/>
  <c r="AB529" i="33"/>
  <c r="V79" i="35"/>
  <c r="AB446" i="33"/>
  <c r="AA744" i="35"/>
  <c r="AA112" i="35"/>
  <c r="V310" i="35"/>
  <c r="W332" i="35"/>
  <c r="AA354" i="35"/>
  <c r="AB79" i="33"/>
  <c r="AB207" i="33"/>
  <c r="AA373" i="35"/>
  <c r="AB336" i="33"/>
  <c r="V160" i="35"/>
  <c r="AA97" i="35"/>
  <c r="AA329" i="35"/>
  <c r="AA344" i="35"/>
  <c r="W328" i="35"/>
  <c r="AB468" i="33"/>
  <c r="AA337" i="35"/>
  <c r="AB45" i="33"/>
  <c r="V71" i="35"/>
  <c r="W73" i="35"/>
  <c r="AA120" i="35"/>
  <c r="AB553" i="33"/>
  <c r="AB242" i="33"/>
  <c r="V83" i="35"/>
  <c r="AB345" i="33"/>
  <c r="AA6" i="35"/>
  <c r="AB469" i="33"/>
  <c r="AA341" i="35"/>
  <c r="AA241" i="35"/>
  <c r="W71" i="35"/>
  <c r="AB318" i="33"/>
  <c r="AA32" i="35"/>
  <c r="AA67" i="35"/>
  <c r="AB604" i="33"/>
  <c r="AA202" i="35"/>
  <c r="AA36" i="35"/>
  <c r="AB279" i="33"/>
  <c r="AA72" i="35"/>
  <c r="AA66" i="35"/>
  <c r="AA56" i="35"/>
  <c r="W591" i="35"/>
  <c r="W555" i="35"/>
  <c r="V556" i="35"/>
  <c r="AA588" i="35"/>
  <c r="W556" i="35"/>
  <c r="V547" i="35"/>
  <c r="AB718" i="33"/>
  <c r="W545" i="35"/>
  <c r="V593" i="35"/>
  <c r="AA547" i="35"/>
  <c r="AB752" i="33"/>
  <c r="AA584" i="35"/>
  <c r="W494" i="35"/>
  <c r="V502" i="35"/>
  <c r="W465" i="35"/>
  <c r="AB603" i="33"/>
  <c r="W402" i="35"/>
  <c r="AB516" i="33"/>
  <c r="W543" i="35"/>
  <c r="AB736" i="33"/>
  <c r="AA508" i="35"/>
  <c r="W482" i="35"/>
  <c r="AB651" i="33"/>
  <c r="AA402" i="35"/>
  <c r="AA405" i="35"/>
  <c r="W406" i="35"/>
  <c r="V540" i="35"/>
  <c r="AB665" i="33"/>
  <c r="V468" i="35"/>
  <c r="V496" i="35"/>
  <c r="AB599" i="33"/>
  <c r="V418" i="35"/>
  <c r="AA408" i="35"/>
  <c r="AA614" i="35"/>
  <c r="AB753" i="33"/>
  <c r="AB672" i="33"/>
  <c r="V475" i="35"/>
  <c r="V498" i="35"/>
  <c r="AB605" i="33"/>
  <c r="AA428" i="35"/>
  <c r="AA413" i="35"/>
  <c r="W330" i="35"/>
  <c r="AA307" i="35"/>
  <c r="AA317" i="35"/>
  <c r="W308" i="35"/>
  <c r="AB522" i="33"/>
  <c r="AB292" i="33"/>
  <c r="AB408" i="33"/>
  <c r="AA327" i="35"/>
  <c r="AA366" i="35"/>
  <c r="AB340" i="33"/>
  <c r="AA162" i="35"/>
  <c r="AB324" i="33"/>
  <c r="AA8" i="35"/>
  <c r="AA276" i="35"/>
  <c r="AB15" i="33"/>
  <c r="W322" i="35"/>
  <c r="AA353" i="35"/>
  <c r="V155" i="35"/>
  <c r="V133" i="35"/>
  <c r="V314" i="35"/>
  <c r="AA387" i="35"/>
  <c r="AB812" i="33"/>
  <c r="W584" i="35"/>
  <c r="W542" i="35"/>
  <c r="AA591" i="35"/>
  <c r="AA586" i="35"/>
  <c r="AA536" i="35"/>
  <c r="AB721" i="33"/>
  <c r="V545" i="35"/>
  <c r="AA580" i="35"/>
  <c r="AA540" i="35"/>
  <c r="AB728" i="33"/>
  <c r="AB757" i="33"/>
  <c r="AB667" i="33"/>
  <c r="V467" i="35"/>
  <c r="W481" i="35"/>
  <c r="W427" i="35"/>
  <c r="V425" i="35"/>
  <c r="AA407" i="35"/>
  <c r="W540" i="35"/>
  <c r="AA494" i="35"/>
  <c r="AA467" i="35"/>
  <c r="AA475" i="35"/>
  <c r="AB627" i="33"/>
  <c r="V423" i="35"/>
  <c r="AA411" i="35"/>
  <c r="V412" i="35"/>
  <c r="AB755" i="33"/>
  <c r="AB659" i="33"/>
  <c r="W468" i="35"/>
  <c r="V477" i="35"/>
  <c r="AB612" i="33"/>
  <c r="AA427" i="35"/>
  <c r="AA359" i="35"/>
  <c r="W593" i="35"/>
  <c r="AB711" i="33"/>
  <c r="W500" i="35"/>
  <c r="V473" i="35"/>
  <c r="AB641" i="33"/>
  <c r="W423" i="35"/>
  <c r="V410" i="35"/>
  <c r="V394" i="35"/>
  <c r="W310" i="35"/>
  <c r="AB454" i="33"/>
  <c r="AB477" i="33"/>
  <c r="AA384" i="35"/>
  <c r="AB410" i="33"/>
  <c r="V216" i="35"/>
  <c r="AA375" i="35"/>
  <c r="AB278" i="33"/>
  <c r="AB562" i="33"/>
  <c r="AA331" i="35"/>
  <c r="AA379" i="35"/>
  <c r="AA309" i="35"/>
  <c r="AA144" i="35"/>
  <c r="AB440" i="33"/>
  <c r="AB14" i="33"/>
  <c r="AB54" i="33"/>
  <c r="AB239" i="33"/>
  <c r="AB600" i="33"/>
  <c r="AA239" i="35"/>
  <c r="AA325" i="35"/>
  <c r="AB425" i="33"/>
  <c r="AA292" i="35"/>
  <c r="V224" i="35"/>
  <c r="W338" i="35"/>
  <c r="AB42" i="33"/>
  <c r="AB178" i="33"/>
  <c r="AA7" i="35"/>
  <c r="AA236" i="35"/>
  <c r="W392" i="35"/>
  <c r="W314" i="35"/>
  <c r="AA390" i="35"/>
  <c r="W151" i="35"/>
  <c r="AB320" i="33"/>
  <c r="AA14" i="35"/>
  <c r="V69" i="35"/>
  <c r="AA125" i="35"/>
  <c r="AB458" i="33"/>
  <c r="AA396" i="35"/>
  <c r="AB113" i="33"/>
  <c r="AA221" i="35"/>
  <c r="AB294" i="33"/>
  <c r="AB377" i="33"/>
  <c r="AB329" i="33"/>
  <c r="AB235" i="33"/>
  <c r="AB205" i="33"/>
  <c r="AB30" i="33"/>
  <c r="AB17" i="33"/>
  <c r="W75" i="35"/>
  <c r="AA69" i="35"/>
  <c r="AB162" i="33"/>
  <c r="AB129" i="33"/>
  <c r="W53" i="35"/>
  <c r="W336" i="35"/>
  <c r="AA269" i="35"/>
  <c r="AB337" i="33"/>
  <c r="AA203" i="35"/>
  <c r="AA75" i="35"/>
  <c r="W216" i="35"/>
  <c r="AB597" i="33"/>
  <c r="AB51" i="33"/>
  <c r="AA17" i="35"/>
  <c r="AB168" i="33"/>
  <c r="AA68" i="35"/>
  <c r="AA197" i="35"/>
  <c r="AA220" i="35"/>
  <c r="AA16" i="35"/>
  <c r="AA240" i="35"/>
  <c r="V87" i="35"/>
  <c r="AA28" i="35"/>
  <c r="AB8" i="33"/>
  <c r="AA312" i="35"/>
  <c r="AA58" i="35"/>
  <c r="V240" i="35"/>
  <c r="AA273" i="35"/>
  <c r="AA368" i="35"/>
  <c r="AA160" i="35"/>
  <c r="V218" i="35"/>
  <c r="W238" i="35"/>
  <c r="W87" i="35"/>
  <c r="AB58" i="33"/>
  <c r="AB236" i="33"/>
  <c r="AB184" i="33"/>
  <c r="AB29" i="33"/>
  <c r="AB462" i="33"/>
  <c r="V226" i="35"/>
  <c r="W125" i="35"/>
  <c r="AB520" i="33"/>
  <c r="AB387" i="33"/>
  <c r="AB199" i="33"/>
  <c r="AB381" i="33"/>
  <c r="AB358" i="33"/>
  <c r="AB47" i="33"/>
  <c r="V123" i="35"/>
  <c r="AB157" i="33"/>
  <c r="AA278" i="35"/>
  <c r="W228" i="35"/>
  <c r="AB269" i="33"/>
  <c r="AB250" i="33"/>
  <c r="AB464" i="33"/>
  <c r="AB175" i="33"/>
  <c r="AB483" i="33"/>
  <c r="AB549" i="33"/>
  <c r="AB298" i="33"/>
  <c r="AA263" i="35"/>
  <c r="AA258" i="35"/>
  <c r="V129" i="35"/>
  <c r="W254" i="35"/>
  <c r="AB606" i="33"/>
  <c r="AB95" i="33"/>
  <c r="AB353" i="33"/>
  <c r="W133" i="35"/>
  <c r="AA288" i="35"/>
  <c r="V308" i="35"/>
  <c r="W149" i="35"/>
  <c r="AB37" i="33"/>
  <c r="AA64" i="35"/>
  <c r="AB154" i="33"/>
  <c r="AA150" i="35"/>
  <c r="AA141" i="35"/>
  <c r="AB490" i="33"/>
  <c r="AB554" i="33"/>
  <c r="AA262" i="35"/>
  <c r="AB270" i="33"/>
  <c r="AA135" i="35"/>
  <c r="AA237" i="35"/>
  <c r="V260" i="35"/>
  <c r="AB27" i="33"/>
  <c r="AB312" i="33"/>
  <c r="AA217" i="35"/>
  <c r="AA98" i="35"/>
  <c r="AA95" i="35"/>
  <c r="AA231" i="35"/>
  <c r="AB46" i="33"/>
  <c r="AB20" i="33"/>
  <c r="W129" i="35"/>
  <c r="AB378" i="33"/>
  <c r="AB290" i="33"/>
  <c r="AB189" i="33"/>
  <c r="AB449" i="33"/>
  <c r="AA270" i="35"/>
  <c r="AB432" i="33"/>
  <c r="AB534" i="33"/>
  <c r="AB382" i="33"/>
  <c r="AB259" i="33"/>
  <c r="AB531" i="33"/>
  <c r="AB357" i="33"/>
  <c r="AB390" i="33"/>
  <c r="AB412" i="33"/>
  <c r="AA225" i="35"/>
  <c r="AB109" i="33"/>
  <c r="AA287" i="35"/>
  <c r="AA284" i="35"/>
  <c r="AB342" i="33"/>
  <c r="V228" i="35"/>
  <c r="AA145" i="35"/>
  <c r="AB80" i="33"/>
  <c r="AB101" i="33"/>
  <c r="AB282" i="33"/>
  <c r="AB420" i="33"/>
  <c r="AB476" i="33"/>
  <c r="AB478" i="33"/>
  <c r="AA201" i="35"/>
  <c r="AA24" i="35"/>
  <c r="AA129" i="35"/>
  <c r="V61" i="35"/>
  <c r="AB124" i="33"/>
  <c r="AB191" i="33"/>
  <c r="AB539" i="33"/>
  <c r="V127" i="35"/>
  <c r="AB108" i="33"/>
  <c r="AB579" i="33"/>
  <c r="V178" i="35"/>
  <c r="AB252" i="33"/>
  <c r="AB422" i="33"/>
  <c r="AB538" i="33"/>
  <c r="AB179" i="33"/>
  <c r="AA76" i="35"/>
  <c r="AB379" i="33"/>
  <c r="V51" i="35"/>
  <c r="AB210" i="33"/>
  <c r="AB321" i="33"/>
  <c r="AB161" i="33"/>
  <c r="AB275" i="33"/>
  <c r="V164" i="35"/>
  <c r="W127" i="35"/>
  <c r="AB96" i="33"/>
  <c r="AA247" i="35"/>
  <c r="AA137" i="35"/>
  <c r="AB530" i="33"/>
  <c r="AB67" i="33"/>
  <c r="V75" i="35"/>
  <c r="AB153" i="33"/>
  <c r="AA166" i="35"/>
  <c r="AB103" i="33"/>
  <c r="AB398" i="33"/>
  <c r="AB590" i="33"/>
  <c r="AB238" i="33"/>
  <c r="AB163" i="33"/>
  <c r="AB512" i="33"/>
  <c r="AB115" i="33"/>
  <c r="AA268" i="35"/>
  <c r="AB218" i="33"/>
  <c r="AA271" i="35"/>
  <c r="AB303" i="33"/>
  <c r="AB371" i="33"/>
  <c r="AB550" i="33"/>
  <c r="AA208" i="35"/>
  <c r="AA147" i="35"/>
  <c r="AB575" i="33"/>
  <c r="AB356" i="33"/>
  <c r="AB288" i="33"/>
  <c r="AB325" i="33"/>
  <c r="AB424" i="33"/>
  <c r="AB87" i="33"/>
  <c r="AB299" i="33"/>
  <c r="AB308" i="33"/>
  <c r="AA609" i="35"/>
  <c r="AA558" i="35"/>
  <c r="V538" i="35"/>
  <c r="AA607" i="35"/>
  <c r="AA542" i="35"/>
  <c r="AB744" i="33"/>
  <c r="W589" i="35"/>
  <c r="AA593" i="35"/>
  <c r="V580" i="35"/>
  <c r="AB742" i="33"/>
  <c r="W558" i="35"/>
  <c r="AB723" i="33"/>
  <c r="V484" i="35"/>
  <c r="W504" i="35"/>
  <c r="AB625" i="33"/>
  <c r="AA401" i="35"/>
  <c r="W404" i="35"/>
  <c r="W607" i="35"/>
  <c r="AB706" i="33"/>
  <c r="AB653" i="33"/>
  <c r="W467" i="35"/>
  <c r="V479" i="35"/>
  <c r="AA426" i="35"/>
  <c r="AA420" i="35"/>
  <c r="AB523" i="33"/>
  <c r="V558" i="35"/>
  <c r="AB715" i="33"/>
  <c r="W486" i="35"/>
  <c r="W475" i="35"/>
  <c r="AB635" i="33"/>
  <c r="AA421" i="35"/>
  <c r="AA410" i="35"/>
  <c r="V406" i="35"/>
  <c r="AB763" i="33"/>
  <c r="AA515" i="35"/>
  <c r="W506" i="35"/>
  <c r="V504" i="35"/>
  <c r="AB601" i="33"/>
  <c r="V398" i="35"/>
  <c r="AB515" i="33"/>
  <c r="V322" i="35"/>
  <c r="W346" i="35"/>
  <c r="AA371" i="35"/>
  <c r="AA361" i="35"/>
  <c r="AB444" i="33"/>
  <c r="AA46" i="35"/>
  <c r="AB137" i="33"/>
  <c r="AB474" i="33"/>
  <c r="AB453" i="33"/>
  <c r="AA381" i="35"/>
  <c r="AB557" i="33"/>
  <c r="AB439" i="33"/>
  <c r="AA294" i="35"/>
  <c r="AB69" i="33"/>
  <c r="AB388" i="33"/>
  <c r="AB53" i="33"/>
  <c r="AA320" i="35"/>
  <c r="AB467" i="33"/>
  <c r="AA313" i="35"/>
  <c r="W51" i="35"/>
  <c r="AA139" i="35"/>
  <c r="AB6" i="33"/>
  <c r="AA310" i="35"/>
  <c r="AA318" i="35"/>
  <c r="AB437" i="33"/>
  <c r="AA352" i="35"/>
  <c r="AA38" i="35"/>
  <c r="AA393" i="35"/>
  <c r="V145" i="35"/>
  <c r="AB187" i="33"/>
  <c r="AB127" i="33"/>
  <c r="AB55" i="33"/>
  <c r="AB280" i="33"/>
  <c r="AA15" i="35"/>
  <c r="AB307" i="33"/>
  <c r="AA380" i="35"/>
  <c r="AB567" i="33"/>
  <c r="AB73" i="33"/>
  <c r="AB89" i="33"/>
  <c r="V238" i="35"/>
  <c r="AB38" i="33"/>
  <c r="W218" i="35"/>
  <c r="AB188" i="33"/>
  <c r="AA73" i="35"/>
  <c r="AA102" i="35"/>
  <c r="AB316" i="33"/>
  <c r="AB314" i="33"/>
  <c r="AB26" i="33"/>
  <c r="AA5" i="35"/>
  <c r="AB32" i="33"/>
  <c r="AA12" i="35"/>
  <c r="AA378" i="35"/>
  <c r="AA349" i="35"/>
  <c r="AB295" i="33"/>
  <c r="AB98" i="33"/>
  <c r="W77" i="35"/>
  <c r="AB2041" i="33"/>
  <c r="AB286" i="33"/>
  <c r="AB247" i="33"/>
  <c r="AB131" i="33"/>
  <c r="AB202" i="33"/>
  <c r="AA293" i="35"/>
  <c r="AB39" i="33"/>
  <c r="AB28" i="33"/>
  <c r="W69" i="35"/>
  <c r="V338" i="35"/>
  <c r="AA347" i="35"/>
  <c r="AB5" i="33"/>
  <c r="AA20" i="35"/>
  <c r="AA121" i="35"/>
  <c r="W61" i="35"/>
  <c r="AA61" i="35"/>
  <c r="AB104" i="33"/>
  <c r="AA171" i="35"/>
  <c r="AA126" i="35"/>
  <c r="AB68" i="33"/>
  <c r="AA212" i="35"/>
  <c r="AA234" i="35"/>
  <c r="AB203" i="33"/>
  <c r="W47" i="35"/>
  <c r="AB287" i="33"/>
  <c r="AB305" i="33"/>
  <c r="AB206" i="33"/>
  <c r="AB578" i="33"/>
  <c r="W166" i="35"/>
  <c r="AA235" i="35"/>
  <c r="AA260" i="35"/>
  <c r="W135" i="35"/>
  <c r="AB309" i="33"/>
  <c r="W244" i="35"/>
  <c r="AB234" i="33"/>
  <c r="AA277" i="35"/>
  <c r="AB285" i="33"/>
  <c r="AB481" i="33"/>
  <c r="AA253" i="35"/>
  <c r="AB117" i="33"/>
  <c r="AA272" i="35"/>
  <c r="AB375" i="33"/>
  <c r="AB194" i="33"/>
  <c r="AB479" i="33"/>
  <c r="AB152" i="33"/>
  <c r="W155" i="35"/>
  <c r="W258" i="35"/>
  <c r="AB374" i="33"/>
  <c r="AB584" i="33"/>
  <c r="AB246" i="33"/>
  <c r="AB328" i="33"/>
  <c r="W174" i="35"/>
  <c r="AB297" i="33"/>
  <c r="AA84" i="35"/>
  <c r="AB135" i="33"/>
  <c r="AB23" i="33"/>
  <c r="AB147" i="33"/>
  <c r="AA196" i="35"/>
  <c r="AA52" i="35"/>
  <c r="AA49" i="35"/>
  <c r="AA9" i="35"/>
  <c r="AA205" i="35"/>
  <c r="W81" i="35"/>
  <c r="AB193" i="33"/>
  <c r="AB237" i="33"/>
  <c r="AB463" i="33"/>
  <c r="AB334" i="33"/>
  <c r="AA42" i="35"/>
  <c r="V151" i="35"/>
  <c r="W153" i="35"/>
  <c r="AB347" i="33"/>
  <c r="AB63" i="33"/>
  <c r="AA108" i="35"/>
  <c r="AB547" i="33"/>
  <c r="AB41" i="33"/>
  <c r="AB141" i="33"/>
  <c r="AB160" i="33"/>
  <c r="AA136" i="35"/>
  <c r="AB241" i="33"/>
  <c r="AA87" i="35"/>
  <c r="AB56" i="33"/>
  <c r="W79" i="35"/>
  <c r="AA41" i="35"/>
  <c r="AB12" i="33"/>
  <c r="V135" i="35"/>
  <c r="AB254" i="33"/>
  <c r="V147" i="35"/>
  <c r="W43" i="35"/>
  <c r="AB505" i="33"/>
  <c r="AB395" i="33"/>
  <c r="AB485" i="33"/>
  <c r="AB126" i="33"/>
  <c r="AB421" i="33"/>
  <c r="AB173" i="33"/>
  <c r="V125" i="35"/>
  <c r="AA164" i="35"/>
  <c r="AB276" i="33"/>
  <c r="AB430" i="33"/>
  <c r="AB291" i="33"/>
  <c r="AB589" i="33"/>
  <c r="W162" i="35"/>
  <c r="AB105" i="33"/>
  <c r="AB171" i="33"/>
  <c r="AB564" i="33"/>
  <c r="V158" i="35"/>
  <c r="V180" i="35"/>
  <c r="AA254" i="35"/>
  <c r="AA172" i="35"/>
  <c r="AA127" i="35"/>
  <c r="AB330" i="33"/>
  <c r="AB146" i="33"/>
  <c r="W37" i="35"/>
  <c r="AB508" i="33"/>
  <c r="AA745" i="35"/>
  <c r="AB151" i="33"/>
  <c r="AA153" i="35"/>
  <c r="V256" i="35"/>
  <c r="AB249" i="33"/>
  <c r="AB498" i="33"/>
  <c r="AB229" i="33"/>
  <c r="AB585" i="33"/>
  <c r="AB455" i="33"/>
  <c r="AB370" i="33"/>
  <c r="AB507" i="33"/>
  <c r="AB82" i="33"/>
  <c r="AB448" i="33"/>
  <c r="AA155" i="35"/>
  <c r="AB248" i="33"/>
  <c r="V266" i="35"/>
  <c r="AB341" i="33"/>
  <c r="AB272" i="33"/>
  <c r="AB556" i="33"/>
  <c r="AB150" i="33"/>
  <c r="AA133" i="35"/>
  <c r="AB355" i="33"/>
  <c r="AA186" i="35"/>
  <c r="AB456" i="33"/>
  <c r="AB594" i="33"/>
  <c r="AB222" i="33"/>
  <c r="AA246" i="35"/>
  <c r="AB526" i="33"/>
  <c r="AB125" i="33"/>
  <c r="AB487" i="33"/>
  <c r="AB313" i="33"/>
  <c r="AB401" i="33"/>
  <c r="AB204" i="33"/>
  <c r="W180" i="35"/>
  <c r="AA37" i="35"/>
  <c r="AA243" i="35"/>
  <c r="AB90" i="33"/>
  <c r="AB332" i="33"/>
  <c r="AB114" i="33"/>
  <c r="AB451" i="33"/>
  <c r="W234" i="35"/>
  <c r="AB323" i="33"/>
  <c r="AB406" i="33"/>
  <c r="AB100" i="33"/>
  <c r="AB428" i="33"/>
  <c r="AB145" i="33"/>
  <c r="AB489" i="33"/>
  <c r="AB528" i="33"/>
  <c r="AA47" i="35"/>
  <c r="AA394" i="35"/>
  <c r="AB261" i="33"/>
  <c r="AB473" i="33"/>
  <c r="AB814" i="33"/>
  <c r="AA612" i="35"/>
  <c r="AB716" i="33"/>
  <c r="W425" i="35"/>
  <c r="AB661" i="33"/>
  <c r="AA398" i="35"/>
  <c r="AB657" i="33"/>
  <c r="W410" i="35"/>
  <c r="V506" i="35"/>
  <c r="W408" i="35"/>
  <c r="V316" i="35"/>
  <c r="AB121" i="33"/>
  <c r="AA340" i="35"/>
  <c r="AB592" i="33"/>
  <c r="AA291" i="35"/>
  <c r="AB43" i="33"/>
  <c r="AA328" i="35"/>
  <c r="W158" i="35"/>
  <c r="AA55" i="35"/>
  <c r="AB484" i="33"/>
  <c r="AB443" i="33"/>
  <c r="AA332" i="35"/>
  <c r="AA279" i="35"/>
  <c r="W262" i="35"/>
  <c r="AA90" i="35"/>
  <c r="AA81" i="35"/>
  <c r="AA18" i="35"/>
  <c r="AB40" i="33"/>
  <c r="AB64" i="33"/>
  <c r="V348" i="35"/>
  <c r="AB10" i="33"/>
  <c r="AA198" i="35"/>
  <c r="AB565" i="33"/>
  <c r="V230" i="35"/>
  <c r="AB133" i="33"/>
  <c r="AA115" i="35"/>
  <c r="AB159" i="33"/>
  <c r="AA206" i="35"/>
  <c r="AA13" i="35"/>
  <c r="AA27" i="35"/>
  <c r="V312" i="35"/>
  <c r="AB13" i="33"/>
  <c r="AB44" i="33"/>
  <c r="W49" i="35"/>
  <c r="W232" i="35"/>
  <c r="AB502" i="33"/>
  <c r="AB110" i="33"/>
  <c r="AB366" i="33"/>
  <c r="V162" i="35"/>
  <c r="AB499" i="33"/>
  <c r="V77" i="35"/>
  <c r="AB429" i="33"/>
  <c r="AB97" i="33"/>
  <c r="W178" i="35"/>
  <c r="AB808" i="33"/>
  <c r="AA555" i="35"/>
  <c r="W580" i="35"/>
  <c r="AA506" i="35"/>
  <c r="V408" i="35"/>
  <c r="V500" i="35"/>
  <c r="AA386" i="35"/>
  <c r="V482" i="35"/>
  <c r="AA406" i="35"/>
  <c r="AA504" i="35"/>
  <c r="W326" i="35"/>
  <c r="AB409" i="33"/>
  <c r="AB506" i="33"/>
  <c r="AB514" i="33"/>
  <c r="AB223" i="33"/>
  <c r="AB59" i="33"/>
  <c r="AB176" i="33"/>
  <c r="AA374" i="35"/>
  <c r="AB201" i="33"/>
  <c r="AB501" i="33"/>
  <c r="AB233" i="33"/>
  <c r="AA334" i="35"/>
  <c r="AB265" i="33"/>
  <c r="AB122" i="33"/>
  <c r="AB583" i="33"/>
  <c r="AB231" i="33"/>
  <c r="AB166" i="33"/>
  <c r="AA25" i="35"/>
  <c r="W316" i="35"/>
  <c r="AB304" i="33"/>
  <c r="W83" i="35"/>
  <c r="AA30" i="35"/>
  <c r="V81" i="35"/>
  <c r="AB216" i="33"/>
  <c r="AB322" i="33"/>
  <c r="W312" i="35"/>
  <c r="AB225" i="33"/>
  <c r="AA111" i="35"/>
  <c r="AB267" i="33"/>
  <c r="AA51" i="35"/>
  <c r="W224" i="35"/>
  <c r="AA89" i="35"/>
  <c r="AA83" i="35"/>
  <c r="AB156" i="33"/>
  <c r="AB545" i="33"/>
  <c r="AB301" i="33"/>
  <c r="AB155" i="33"/>
  <c r="AB372" i="33"/>
  <c r="AB185" i="33"/>
  <c r="AB519" i="33"/>
  <c r="AB106" i="33"/>
  <c r="W252" i="35"/>
  <c r="W250" i="35"/>
  <c r="AB11" i="33"/>
  <c r="AB419" i="33"/>
  <c r="AB209" i="33"/>
  <c r="V542" i="35"/>
  <c r="AB707" i="33"/>
  <c r="AB717" i="33"/>
  <c r="AB650" i="33"/>
  <c r="AB703" i="33"/>
  <c r="AB607" i="33"/>
  <c r="AB719" i="33"/>
  <c r="V400" i="35"/>
  <c r="V492" i="35"/>
  <c r="W398" i="35"/>
  <c r="AA348" i="35"/>
  <c r="AB9" i="33"/>
  <c r="AA397" i="35"/>
  <c r="AA365" i="35"/>
  <c r="AA342" i="35"/>
  <c r="W145" i="35"/>
  <c r="AA376" i="35"/>
  <c r="AA31" i="35"/>
  <c r="AB158" i="33"/>
  <c r="AB165" i="33"/>
  <c r="AB373" i="33"/>
  <c r="AB192" i="33"/>
  <c r="AB81" i="33"/>
  <c r="AA274" i="35"/>
  <c r="AB266" i="33"/>
  <c r="AA21" i="35"/>
  <c r="AB546" i="33"/>
  <c r="AB227" i="33"/>
  <c r="AB368" i="33"/>
  <c r="AA122" i="35"/>
  <c r="AA199" i="35"/>
  <c r="AB119" i="33"/>
  <c r="V334" i="35"/>
  <c r="AB253" i="33"/>
  <c r="AA114" i="35"/>
  <c r="AB48" i="33"/>
  <c r="AA105" i="35"/>
  <c r="AA369" i="35"/>
  <c r="AB186" i="33"/>
  <c r="AB35" i="33"/>
  <c r="AA194" i="35"/>
  <c r="AB123" i="33"/>
  <c r="AB180" i="33"/>
  <c r="AA230" i="35"/>
  <c r="AA85" i="35"/>
  <c r="AA71" i="35"/>
  <c r="AB588" i="33"/>
  <c r="AA10" i="35"/>
  <c r="AB535" i="33"/>
  <c r="AB306" i="33"/>
  <c r="AB365" i="33"/>
  <c r="AA252" i="35"/>
  <c r="AB396" i="33"/>
  <c r="V262" i="35"/>
  <c r="AB380" i="33"/>
  <c r="AB441" i="33"/>
  <c r="AA226" i="35"/>
  <c r="W562" i="35"/>
  <c r="W612" i="35"/>
  <c r="V553" i="35"/>
  <c r="AA308" i="35"/>
  <c r="AB197" i="33"/>
  <c r="AA79" i="35"/>
  <c r="AB75" i="33"/>
  <c r="AB22" i="33"/>
  <c r="AB65" i="33"/>
  <c r="AB7" i="33"/>
  <c r="AB24" i="33"/>
  <c r="AB245" i="33"/>
  <c r="AB460" i="33"/>
  <c r="AB548" i="33"/>
  <c r="V47" i="35"/>
  <c r="AB18" i="33"/>
  <c r="AB111" i="33"/>
  <c r="V53" i="35"/>
  <c r="AA151" i="35"/>
  <c r="V258" i="35"/>
  <c r="AA158" i="35"/>
  <c r="AB221" i="33"/>
  <c r="AB215" i="33"/>
  <c r="AB128" i="33"/>
  <c r="AA92" i="35"/>
  <c r="AA204" i="35"/>
  <c r="V166" i="35"/>
  <c r="AA248" i="35"/>
  <c r="AA177" i="35"/>
  <c r="AA156" i="35"/>
  <c r="AB338" i="33"/>
  <c r="AB112" i="33"/>
  <c r="W123" i="35"/>
  <c r="AB518" i="33"/>
  <c r="AB120" i="33"/>
  <c r="V244" i="35"/>
  <c r="AB596" i="33"/>
  <c r="AB60" i="33"/>
  <c r="AB91" i="33"/>
  <c r="AB327" i="33"/>
  <c r="AB99" i="33"/>
  <c r="AA59" i="35"/>
  <c r="AA257" i="35"/>
  <c r="AA282" i="35"/>
  <c r="AB190" i="33"/>
  <c r="AA249" i="35"/>
  <c r="AB367" i="33"/>
  <c r="AB504" i="33"/>
  <c r="AB224" i="33"/>
  <c r="V174" i="35"/>
  <c r="AB577" i="33"/>
  <c r="AB587" i="33"/>
  <c r="AA275" i="35"/>
  <c r="AB198" i="33"/>
  <c r="AB400" i="33"/>
  <c r="AB226" i="33"/>
  <c r="AB525" i="33"/>
  <c r="AB555" i="33"/>
  <c r="AB586" i="33"/>
  <c r="AB509" i="33"/>
  <c r="AB243" i="33"/>
  <c r="W266" i="35"/>
  <c r="AB431" i="33"/>
  <c r="V612" i="35"/>
  <c r="AB25" i="33"/>
  <c r="AB326" i="33"/>
  <c r="AB540" i="33"/>
  <c r="AA131" i="35"/>
  <c r="AB411" i="33"/>
  <c r="V254" i="35"/>
  <c r="AB208" i="33"/>
  <c r="AB486" i="33"/>
  <c r="AB148" i="33"/>
  <c r="AA65" i="35"/>
  <c r="V43" i="35"/>
  <c r="AB447" i="33"/>
  <c r="AA255" i="35"/>
  <c r="AB591" i="33"/>
  <c r="AA250" i="35"/>
  <c r="AA113" i="35"/>
  <c r="AB172" i="33"/>
  <c r="AB293" i="33"/>
  <c r="AB214" i="33"/>
  <c r="AA182" i="35"/>
  <c r="AB399" i="33"/>
  <c r="AB93" i="33"/>
  <c r="AB262" i="33"/>
  <c r="W226" i="35"/>
  <c r="W131" i="35"/>
  <c r="V49" i="35"/>
  <c r="AB769" i="33"/>
  <c r="AA498" i="35"/>
  <c r="AB623" i="33"/>
  <c r="AA180" i="35"/>
  <c r="W390" i="35"/>
  <c r="AB1921" i="33"/>
  <c r="AA149" i="35"/>
  <c r="AB170" i="33"/>
  <c r="AB21" i="33"/>
  <c r="AB602" i="33"/>
  <c r="AB403" i="33"/>
  <c r="V73" i="35"/>
  <c r="AB315" i="33"/>
  <c r="AB339" i="33"/>
  <c r="AB277" i="33"/>
  <c r="AB563" i="33"/>
  <c r="AB488" i="33"/>
  <c r="AB31" i="33"/>
  <c r="AB94" i="33"/>
  <c r="AB33" i="33"/>
  <c r="AA103" i="35"/>
  <c r="AB544" i="33"/>
  <c r="AB397" i="33"/>
  <c r="AB232" i="33"/>
  <c r="V332" i="35"/>
  <c r="AA48" i="35"/>
  <c r="AA29" i="35"/>
  <c r="AA207" i="35"/>
  <c r="AA11" i="35"/>
  <c r="AA54" i="35"/>
  <c r="AA285" i="35"/>
  <c r="AB258" i="33"/>
  <c r="AB195" i="33"/>
  <c r="V252" i="35"/>
  <c r="AA228" i="35"/>
  <c r="AB511" i="33"/>
  <c r="AB475" i="33"/>
  <c r="AB70" i="33"/>
  <c r="AB532" i="33"/>
  <c r="AB445" i="33"/>
  <c r="AB558" i="33"/>
  <c r="AB167" i="33"/>
  <c r="AB482" i="33"/>
  <c r="AB83" i="33"/>
  <c r="AB317" i="33"/>
  <c r="AA94" i="35"/>
  <c r="AA45" i="35"/>
  <c r="AA130" i="35"/>
  <c r="W256" i="35"/>
  <c r="AB581" i="33"/>
  <c r="AB260" i="33"/>
  <c r="AB144" i="33"/>
  <c r="AB442" i="33"/>
  <c r="AB351" i="33"/>
  <c r="AA256" i="35"/>
  <c r="AB183" i="33"/>
  <c r="V153" i="35"/>
  <c r="AB52" i="33"/>
  <c r="AA232" i="35"/>
  <c r="AA78" i="35"/>
  <c r="AA35" i="35"/>
  <c r="AB116" i="33"/>
  <c r="AB480" i="33"/>
  <c r="AB311" i="33"/>
  <c r="AA227" i="35"/>
  <c r="AB352" i="33"/>
  <c r="AB404" i="33"/>
  <c r="AB271" i="33"/>
  <c r="AB527" i="33"/>
  <c r="AB376" i="33"/>
  <c r="AA534" i="35"/>
  <c r="AA314" i="35"/>
  <c r="AA336" i="35"/>
  <c r="AA289" i="35"/>
  <c r="AB524" i="33"/>
  <c r="AA104" i="35"/>
  <c r="AB283" i="33"/>
  <c r="AA238" i="35"/>
  <c r="AB296" i="33"/>
  <c r="AB559" i="33"/>
  <c r="AB36" i="33"/>
  <c r="AA26" i="35"/>
  <c r="AA142" i="35"/>
  <c r="AA53" i="35"/>
  <c r="AB500" i="33"/>
  <c r="AA179" i="35"/>
  <c r="AA170" i="35"/>
  <c r="AB598" i="33"/>
  <c r="AB77" i="33"/>
  <c r="AB865" i="33"/>
  <c r="AA222" i="35"/>
  <c r="AA265" i="35"/>
  <c r="AB289" i="33"/>
  <c r="AB510" i="33"/>
  <c r="AA478" i="35"/>
  <c r="AB220" i="33"/>
  <c r="AA244" i="35"/>
  <c r="W498" i="35"/>
  <c r="AA443" i="35"/>
  <c r="AA345" i="35"/>
  <c r="AA107" i="35"/>
  <c r="V234" i="35"/>
  <c r="AA57" i="35"/>
  <c r="AB407" i="33"/>
  <c r="AB494" i="33"/>
  <c r="AB212" i="33"/>
  <c r="AB513" i="33"/>
  <c r="AB257" i="33"/>
  <c r="AB49" i="33"/>
  <c r="AB50" i="33"/>
  <c r="AA195" i="35"/>
  <c r="AB333" i="33"/>
  <c r="AB149" i="33"/>
  <c r="AB452" i="33"/>
  <c r="AB433" i="33"/>
  <c r="AA382" i="35"/>
  <c r="AA295" i="35"/>
  <c r="AA211" i="35"/>
  <c r="AB71" i="33"/>
  <c r="AA143" i="35"/>
  <c r="AB102" i="33"/>
  <c r="AB255" i="33"/>
  <c r="AB461" i="33"/>
  <c r="AB107" i="33"/>
  <c r="AB346" i="33"/>
  <c r="AB521" i="33"/>
  <c r="AA123" i="35"/>
  <c r="AB493" i="33"/>
  <c r="AB427" i="33"/>
  <c r="AB61" i="33"/>
  <c r="AB319" i="33"/>
  <c r="AB580" i="33"/>
  <c r="AB459" i="33"/>
  <c r="AB143" i="33"/>
  <c r="AA43" i="35"/>
  <c r="AB85" i="33"/>
  <c r="V176" i="35"/>
  <c r="AB348" i="33"/>
  <c r="AA176" i="35"/>
  <c r="AB495" i="33"/>
  <c r="AA174" i="35"/>
  <c r="AB533" i="33"/>
  <c r="AB335" i="33"/>
  <c r="AB19" i="33"/>
  <c r="W147" i="35"/>
  <c r="W164" i="35"/>
  <c r="AB450" i="33"/>
  <c r="AA178" i="35"/>
  <c r="AB416" i="33"/>
  <c r="AB331" i="33"/>
  <c r="AA324" i="35"/>
  <c r="AA118" i="35"/>
  <c r="AB434" i="33"/>
  <c r="AB405" i="33"/>
  <c r="AA283" i="35"/>
  <c r="W85" i="35"/>
  <c r="AB284" i="33"/>
  <c r="W260" i="35"/>
  <c r="AB302" i="33"/>
  <c r="AA101" i="35"/>
  <c r="AB593" i="33"/>
  <c r="AA261" i="35"/>
  <c r="V85" i="35"/>
  <c r="AA286" i="35"/>
  <c r="AB497" i="33"/>
  <c r="AB402" i="33"/>
  <c r="AA391" i="35"/>
  <c r="V131" i="35"/>
  <c r="AB281" i="33"/>
  <c r="AB310" i="33"/>
  <c r="V250" i="35"/>
  <c r="AA119" i="35"/>
  <c r="AB174" i="33"/>
  <c r="AB177" i="33"/>
  <c r="AB574" i="33"/>
  <c r="AB389" i="33"/>
  <c r="AB595" i="33"/>
  <c r="AB219" i="33"/>
  <c r="W176" i="35"/>
  <c r="AB169" i="33"/>
  <c r="AB541" i="33"/>
  <c r="AB244" i="33"/>
  <c r="AA165" i="35"/>
  <c r="AB118" i="33"/>
  <c r="W67" i="35"/>
  <c r="AB457" i="33"/>
  <c r="AA665" i="35"/>
  <c r="W667" i="35"/>
  <c r="V595" i="35"/>
  <c r="L15" i="35"/>
  <c r="V667" i="35"/>
  <c r="W240" i="35"/>
  <c r="V232" i="35"/>
  <c r="V41" i="35"/>
  <c r="L101" i="35"/>
  <c r="W704" i="35"/>
  <c r="L616" i="35"/>
  <c r="L676" i="35"/>
  <c r="L200" i="35"/>
  <c r="L607" i="35"/>
  <c r="AA708" i="35"/>
  <c r="L665" i="35"/>
  <c r="W712" i="35"/>
  <c r="W700" i="35"/>
  <c r="L463" i="35"/>
  <c r="AA192" i="35"/>
  <c r="L218" i="35"/>
  <c r="L232" i="35"/>
  <c r="V724" i="35"/>
  <c r="W693" i="35"/>
  <c r="AA595" i="35"/>
  <c r="AA33" i="35"/>
  <c r="AA50" i="35"/>
  <c r="AA80" i="35"/>
  <c r="AA91" i="35"/>
  <c r="AA134" i="35"/>
  <c r="AB76" i="33"/>
  <c r="L287" i="33"/>
  <c r="L317" i="33"/>
  <c r="V137" i="35"/>
  <c r="W350" i="35"/>
  <c r="V350" i="35"/>
  <c r="V139" i="35"/>
  <c r="W168" i="35"/>
  <c r="W137" i="35"/>
  <c r="W139" i="35"/>
  <c r="W264" i="35"/>
  <c r="V184" i="35"/>
  <c r="V264" i="35"/>
  <c r="W89" i="35"/>
  <c r="V168" i="35"/>
  <c r="V89" i="35"/>
  <c r="W184" i="35"/>
  <c r="AG280" i="35"/>
  <c r="AG356" i="35"/>
  <c r="AG190" i="35"/>
  <c r="AG738" i="35"/>
  <c r="AG439" i="35"/>
  <c r="AG628" i="35"/>
  <c r="AG518" i="35"/>
  <c r="AI97" i="35" l="1"/>
</calcChain>
</file>

<file path=xl/sharedStrings.xml><?xml version="1.0" encoding="utf-8"?>
<sst xmlns="http://schemas.openxmlformats.org/spreadsheetml/2006/main" count="41823" uniqueCount="2813">
  <si>
    <t>生産課
コード</t>
  </si>
  <si>
    <t>部課
コード</t>
  </si>
  <si>
    <t>ユーザ
コード</t>
  </si>
  <si>
    <t>検査表
（要不要）</t>
  </si>
  <si>
    <t>製品区分</t>
  </si>
  <si>
    <t>内輸
区分</t>
  </si>
  <si>
    <t>ﾀｲﾌﾟ</t>
  </si>
  <si>
    <t>品番</t>
  </si>
  <si>
    <t>コアタイプ</t>
  </si>
  <si>
    <t>サイズ(㎜)</t>
  </si>
  <si>
    <t>パナック㈱亀山工場</t>
    <phoneticPr fontId="20"/>
  </si>
  <si>
    <t>3F1A</t>
    <phoneticPr fontId="20"/>
  </si>
  <si>
    <t>要</t>
    <rPh sb="0" eb="1">
      <t>ヨウ</t>
    </rPh>
    <phoneticPr fontId="26"/>
  </si>
  <si>
    <t>XD500P</t>
  </si>
  <si>
    <t>CF2</t>
  </si>
  <si>
    <t>直出し</t>
    <rPh sb="0" eb="2">
      <t>チョクダ</t>
    </rPh>
    <phoneticPr fontId="20"/>
  </si>
  <si>
    <t>6ｲﾝﾁABS</t>
    <phoneticPr fontId="20"/>
  </si>
  <si>
    <t>パナック㈱亀山工場</t>
  </si>
  <si>
    <t>3F1A</t>
  </si>
  <si>
    <t>S</t>
  </si>
  <si>
    <t>N</t>
  </si>
  <si>
    <t>CERA</t>
  </si>
  <si>
    <t>BKE09</t>
  </si>
  <si>
    <t>セラピール　ＢＫＥ（０９）</t>
  </si>
  <si>
    <t>6ｲﾝﾁFWP</t>
    <phoneticPr fontId="20"/>
  </si>
  <si>
    <t>MK1</t>
    <phoneticPr fontId="20"/>
  </si>
  <si>
    <t>要</t>
    <rPh sb="0" eb="1">
      <t>ヨウ</t>
    </rPh>
    <phoneticPr fontId="25"/>
  </si>
  <si>
    <t>半直</t>
    <rPh sb="0" eb="2">
      <t>ハンチョク</t>
    </rPh>
    <phoneticPr fontId="20"/>
  </si>
  <si>
    <t>Y</t>
  </si>
  <si>
    <t>BKERXPT</t>
  </si>
  <si>
    <t>セラピール　ＢＫＥ（ＲＸ）</t>
  </si>
  <si>
    <t>R75X</t>
  </si>
  <si>
    <t>㈱巴川製紙所</t>
  </si>
  <si>
    <t>BKERXT</t>
  </si>
  <si>
    <t>R75XK</t>
  </si>
  <si>
    <t>積水マテリアル</t>
    <rPh sb="0" eb="2">
      <t>セキスイ</t>
    </rPh>
    <phoneticPr fontId="26"/>
  </si>
  <si>
    <t>BKU</t>
  </si>
  <si>
    <t>セラピ－ル　ＢＫ（Ｕ）</t>
  </si>
  <si>
    <t>1000以上</t>
    <rPh sb="4" eb="6">
      <t>イジョウ</t>
    </rPh>
    <phoneticPr fontId="20"/>
  </si>
  <si>
    <t>3ｲﾝﾁABS</t>
    <phoneticPr fontId="20"/>
  </si>
  <si>
    <t>㈱きもと　三重工場</t>
  </si>
  <si>
    <t>3J1A</t>
  </si>
  <si>
    <t>BKUK</t>
  </si>
  <si>
    <t>セラピール　ＢＫ（Ｕ）Ｋ</t>
  </si>
  <si>
    <t>利昌工業　尼崎工場</t>
  </si>
  <si>
    <t>3FAB</t>
  </si>
  <si>
    <t>要</t>
  </si>
  <si>
    <t>BX8ARX</t>
  </si>
  <si>
    <t>セラピール　ＢＸ８Ａ（ＲＸ）</t>
  </si>
  <si>
    <t>エージング後スリット</t>
    <rPh sb="5" eb="6">
      <t>ゴ</t>
    </rPh>
    <phoneticPr fontId="20"/>
  </si>
  <si>
    <t>住友電工プリントサーキット</t>
    <rPh sb="2" eb="4">
      <t>デンコウ</t>
    </rPh>
    <phoneticPr fontId="26"/>
  </si>
  <si>
    <t>ｶﾞﾗｽｴﾎﾟｷｼ</t>
    <phoneticPr fontId="20"/>
  </si>
  <si>
    <t>BX8ARXA</t>
  </si>
  <si>
    <t>セラピール　ＢＸ８ＡＲＸ</t>
  </si>
  <si>
    <t>BX8ARXT</t>
  </si>
  <si>
    <t>T102</t>
    <phoneticPr fontId="20"/>
  </si>
  <si>
    <t>BX8AX</t>
  </si>
  <si>
    <t>日榮新化</t>
  </si>
  <si>
    <t>3K4A</t>
  </si>
  <si>
    <t>S28</t>
  </si>
  <si>
    <t>BX9AS</t>
  </si>
  <si>
    <t>日東電工㈱豊橋工場</t>
  </si>
  <si>
    <t>MD(A)R</t>
  </si>
  <si>
    <t>セラピール　ＭＤ（Ａ）（Ｒ）</t>
  </si>
  <si>
    <t>3直</t>
    <rPh sb="1" eb="2">
      <t>チョク</t>
    </rPh>
    <phoneticPr fontId="20"/>
  </si>
  <si>
    <t>日東電工㈱尾道事業所</t>
  </si>
  <si>
    <t>3JAB</t>
  </si>
  <si>
    <t>MDACPFL</t>
  </si>
  <si>
    <t>Ｋ　セラピールＭＤＡ（ＣＰＲＦ）Ｌ</t>
  </si>
  <si>
    <t>XF60R</t>
  </si>
  <si>
    <t>MDAPFL</t>
  </si>
  <si>
    <t>Ｋ　セラピールＭＤＡ（ＰＲＦ）Ｌ</t>
  </si>
  <si>
    <t>XD1NB1</t>
    <phoneticPr fontId="20"/>
  </si>
  <si>
    <t>住友べークライト尼崎</t>
  </si>
  <si>
    <t>MDARX</t>
  </si>
  <si>
    <t>セラピール　ＭＤＡ（ＲＸ）</t>
  </si>
  <si>
    <t>MDAS</t>
  </si>
  <si>
    <t>セラピール　ＭＤＡ（Ｓ）</t>
  </si>
  <si>
    <t>S28M</t>
  </si>
  <si>
    <t>パナソニック　ＡＩＳ</t>
  </si>
  <si>
    <t>MFACR</t>
  </si>
  <si>
    <t>セラピール　ＭＦＡ（ＣＲ）</t>
  </si>
  <si>
    <t>A56</t>
  </si>
  <si>
    <t>３Ｍジャパン</t>
  </si>
  <si>
    <t>MFARX</t>
  </si>
  <si>
    <t>セラピール　ＭＦＡ（ＲＸ）</t>
  </si>
  <si>
    <t>3R</t>
  </si>
  <si>
    <t>真田ＫＯＡ㈱</t>
  </si>
  <si>
    <t>MFAS</t>
  </si>
  <si>
    <t>セラピール　ＭＦＡ（Ｓ）</t>
  </si>
  <si>
    <t>ＭＡＲＵＷＡ</t>
  </si>
  <si>
    <t>下田工業</t>
  </si>
  <si>
    <t>1050以上</t>
    <rPh sb="4" eb="6">
      <t>イジョウ</t>
    </rPh>
    <phoneticPr fontId="20"/>
  </si>
  <si>
    <t>京セラ鹿児島川内工場</t>
  </si>
  <si>
    <t>三井化学</t>
    <rPh sb="0" eb="2">
      <t>ミツイ</t>
    </rPh>
    <rPh sb="2" eb="4">
      <t>カガク</t>
    </rPh>
    <phoneticPr fontId="25"/>
  </si>
  <si>
    <t>ＮＧＫセラミック</t>
  </si>
  <si>
    <t>3H</t>
  </si>
  <si>
    <t>ＫＥＲＡＦＯＬ</t>
  </si>
  <si>
    <t>ナガセケムテックス㈱</t>
  </si>
  <si>
    <t>SY08</t>
  </si>
  <si>
    <t>セラピール　ＳＹ（０８）</t>
  </si>
  <si>
    <t>栗村化学</t>
    <rPh sb="0" eb="4">
      <t>クリムラカガク</t>
    </rPh>
    <phoneticPr fontId="26"/>
  </si>
  <si>
    <t>SY09</t>
  </si>
  <si>
    <t>セラピール　ＳＹ（０９）</t>
  </si>
  <si>
    <t>WZ</t>
  </si>
  <si>
    <t>セラピール　ＷＺ</t>
  </si>
  <si>
    <t>古河電気工業㈱</t>
  </si>
  <si>
    <t>WZE</t>
  </si>
  <si>
    <t>セラピール　ＷＺ（Ｅ）</t>
  </si>
  <si>
    <t>E5001</t>
  </si>
  <si>
    <t>日東電工㈱亀山購買課</t>
  </si>
  <si>
    <t>要</t>
    <rPh sb="0" eb="1">
      <t>ヨウ</t>
    </rPh>
    <phoneticPr fontId="49"/>
  </si>
  <si>
    <t>WZRX</t>
  </si>
  <si>
    <t>セラピール　ＷＺ（ＲＸ）</t>
  </si>
  <si>
    <t>三栄産業㈱尾久工場</t>
  </si>
  <si>
    <t>東洋包材㈱</t>
  </si>
  <si>
    <t>リンテック㈱</t>
  </si>
  <si>
    <t>3K1A</t>
  </si>
  <si>
    <t>WZS</t>
  </si>
  <si>
    <t>セラピールＷＺ（Ｓ）</t>
  </si>
  <si>
    <t>東洋機材</t>
  </si>
  <si>
    <t>セラピール　ＷＺ（Ｓ）</t>
  </si>
  <si>
    <t>WZT</t>
  </si>
  <si>
    <t>セラピール　ＷＺ（Ｔ）</t>
  </si>
  <si>
    <t>T70A</t>
  </si>
  <si>
    <t>T75</t>
    <phoneticPr fontId="20"/>
  </si>
  <si>
    <t>フジコピアン</t>
  </si>
  <si>
    <t>3M1A</t>
  </si>
  <si>
    <t>WZU</t>
  </si>
  <si>
    <t>セラピール　ＷＺ（Ｕ）</t>
  </si>
  <si>
    <t>藤産業㈱</t>
  </si>
  <si>
    <t>双信電機㈱</t>
  </si>
  <si>
    <t>CERANS</t>
  </si>
  <si>
    <t>HP2UDF</t>
  </si>
  <si>
    <t>セラピール　ＨＰ２（Ｕ）Ｄ</t>
  </si>
  <si>
    <t>SD</t>
  </si>
  <si>
    <t>CF4</t>
  </si>
  <si>
    <t>昭和電工マテリアルズ</t>
    <rPh sb="0" eb="4">
      <t>ショウワデンコウ</t>
    </rPh>
    <phoneticPr fontId="20"/>
  </si>
  <si>
    <t>3M2A</t>
  </si>
  <si>
    <t>PJ27103</t>
  </si>
  <si>
    <t>セラピール　ＰＪ２７１（０３）</t>
  </si>
  <si>
    <t>R75XH</t>
  </si>
  <si>
    <t>CF3</t>
  </si>
  <si>
    <t>CLB</t>
  </si>
  <si>
    <t>E20V</t>
  </si>
  <si>
    <t>ルミラー　Ｅ－２０　Ｖ</t>
  </si>
  <si>
    <t>E20</t>
  </si>
  <si>
    <t>6ｲﾝﾁMｺｱ</t>
    <phoneticPr fontId="20"/>
  </si>
  <si>
    <t>新タック化成㈱</t>
  </si>
  <si>
    <t>LEYK</t>
  </si>
  <si>
    <t>ルミラー　ＥＹＫ</t>
  </si>
  <si>
    <t>T62M</t>
  </si>
  <si>
    <t>LMEYK</t>
  </si>
  <si>
    <t>ルミマットＥＹＫ</t>
  </si>
  <si>
    <t>LUMIMAT</t>
  </si>
  <si>
    <t>王子タック㈱本社</t>
  </si>
  <si>
    <t>LTL</t>
  </si>
  <si>
    <t>ルミラー　ＴＬ</t>
  </si>
  <si>
    <t>33S</t>
  </si>
  <si>
    <t>PETMV</t>
  </si>
  <si>
    <t>ＰＥＴ　マットＶ</t>
  </si>
  <si>
    <t>MAT</t>
  </si>
  <si>
    <t>藤森工業㈱掛川事業所</t>
  </si>
  <si>
    <t>PETTL</t>
  </si>
  <si>
    <t>ＰＥＴ　ＴＬ</t>
  </si>
  <si>
    <t>MCLB</t>
  </si>
  <si>
    <t>DMSV</t>
  </si>
  <si>
    <t>ＤＭＳ　Ｖ</t>
  </si>
  <si>
    <t>X44</t>
  </si>
  <si>
    <t>EYK</t>
  </si>
  <si>
    <t>メタルミー　ＥＹＫ</t>
  </si>
  <si>
    <t>大阪シーリング印刷㈱</t>
  </si>
  <si>
    <t>HLGKJV</t>
  </si>
  <si>
    <t>メタルミー　ヘヤライン　銀消Ｖ</t>
  </si>
  <si>
    <t>HL-MAT</t>
  </si>
  <si>
    <t>6ｲﾝﾁSｺｱ</t>
    <phoneticPr fontId="20"/>
  </si>
  <si>
    <t>HLGTV</t>
  </si>
  <si>
    <t>メタルミー　ヘヤライン　銀艶Ｖ</t>
  </si>
  <si>
    <t>BRIGHT</t>
  </si>
  <si>
    <t>ﾏｯﾄﾙﾐﾗｰ</t>
    <phoneticPr fontId="20"/>
  </si>
  <si>
    <t>MSNEYK</t>
  </si>
  <si>
    <t>ＭＳＮ　ＥＹＫ</t>
  </si>
  <si>
    <t>N-MAT</t>
  </si>
  <si>
    <t>マルウ接着㈱</t>
  </si>
  <si>
    <t>不要</t>
  </si>
  <si>
    <t>NGKVB</t>
  </si>
  <si>
    <t>メタルミー　ネーマー銀消　ＶＢ</t>
  </si>
  <si>
    <t>NGTVB</t>
  </si>
  <si>
    <t>メタルミー　ネーマー　銀艶ＶＢ</t>
  </si>
  <si>
    <t>T62</t>
  </si>
  <si>
    <t>SCB</t>
  </si>
  <si>
    <t>メタルミー　シロコート（Ｂ）</t>
  </si>
  <si>
    <t>TEKKFV</t>
  </si>
  <si>
    <t>メタルミー　ＴＥＳ消開封　Ｖ</t>
  </si>
  <si>
    <t>X44SEPA</t>
  </si>
  <si>
    <t>TEKV0V</t>
  </si>
  <si>
    <t>メタルミー　ＴＥ－Ｓ消　ＶＯＩＤ　Ｖ</t>
  </si>
  <si>
    <t>TETKFV</t>
  </si>
  <si>
    <t>メタルミー　ＴＥＳ艶開封　Ｖ</t>
  </si>
  <si>
    <t>S28SEPA</t>
  </si>
  <si>
    <t>TETV0V</t>
  </si>
  <si>
    <t>メタルミー　ＴＥＳ艶ＶＯＩＤＶ</t>
  </si>
  <si>
    <t>WCB</t>
  </si>
  <si>
    <t>メタルミー　ホワイトコート　（Ｂ）</t>
  </si>
  <si>
    <t>五洋紙工㈱</t>
  </si>
  <si>
    <t>MLB</t>
  </si>
  <si>
    <t>MDMSJF</t>
  </si>
  <si>
    <t>ＤＭＳ蒸着（Ｘ－４４）</t>
  </si>
  <si>
    <t>S-5</t>
    <phoneticPr fontId="20"/>
  </si>
  <si>
    <t>原反コア</t>
    <rPh sb="0" eb="2">
      <t>ゲンタン</t>
    </rPh>
    <phoneticPr fontId="17"/>
  </si>
  <si>
    <t>要</t>
    <rPh sb="0" eb="1">
      <t>ヨウ</t>
    </rPh>
    <phoneticPr fontId="20"/>
  </si>
  <si>
    <t>MNGKBF</t>
  </si>
  <si>
    <t>MNGKKBF</t>
  </si>
  <si>
    <t>メタルミー　ネーマー銀消改　Ｂ</t>
  </si>
  <si>
    <t>FMATS99</t>
  </si>
  <si>
    <t>S99-MAT</t>
  </si>
  <si>
    <t>MNGTBF</t>
  </si>
  <si>
    <t>メタルミー　ネーマー　銀艶　Ｂ</t>
  </si>
  <si>
    <t>MNNGKBF</t>
  </si>
  <si>
    <t>メタルミー　ニューネーマー銀消　Ｂ</t>
  </si>
  <si>
    <t>X44C</t>
  </si>
  <si>
    <t>MNQR66F</t>
  </si>
  <si>
    <t>ＱＲ６６蒸着品</t>
  </si>
  <si>
    <t>E315</t>
  </si>
  <si>
    <t>MSBBF</t>
  </si>
  <si>
    <t>ＭＥＴＡＬＵＭＹ　ＳＩＬＶＥＲ　ＢＲＩＧＨＴ　Ｔ６２Ｍ　Ｂ</t>
  </si>
  <si>
    <t>MSBBZF</t>
  </si>
  <si>
    <t>ＭＥＴＡＬＵＭＹ　ＳＩＬＶＥＲ　ＢＲＩＧＨＴ　Ｂ</t>
  </si>
  <si>
    <t>T62</t>
    <phoneticPr fontId="20"/>
  </si>
  <si>
    <t>寺岡製作所　大宮工場</t>
  </si>
  <si>
    <t>MSF</t>
  </si>
  <si>
    <t>メタルミー　Ｓ</t>
  </si>
  <si>
    <t>日精㈱東京支店</t>
  </si>
  <si>
    <t>MSNMBF</t>
  </si>
  <si>
    <t>ＭＥＴＡＬＵＭＹ　ＳＩＬＶＥＲ　Ｎ－ＭＡＴＴＥ　Ｘ４４Ｍ　Ｂ</t>
  </si>
  <si>
    <t>MSNMBZF</t>
  </si>
  <si>
    <t>ＭＥＴＡＬＵＭＹ　ＳＩＬＶＥＲ　Ｎ－ＭＡＴＴＥ　Ｂ</t>
  </si>
  <si>
    <t>MSSMBF</t>
  </si>
  <si>
    <t>ＭＥＴＡＬＵＭＹ　ＳＩＬＶＥＲ　Ｓ－ＭＡＴＴＥ　Ｓ２８ＭＭ　Ｂ</t>
  </si>
  <si>
    <t>LI-MAT</t>
  </si>
  <si>
    <t>MSSMBZF</t>
  </si>
  <si>
    <t>ＭＥＴＡＬＵＭＹ　ＳＩＬＶＥＲ　Ｓ－ＭＡＴＴＥ　Ｂ</t>
  </si>
  <si>
    <t>MTSF</t>
  </si>
  <si>
    <t>メタルミー　ＴＳ</t>
  </si>
  <si>
    <t>T60</t>
  </si>
  <si>
    <t>NGKEYKB</t>
  </si>
  <si>
    <t>メタルミー　ネーマー銀消ＥＹＫ　Ｂ</t>
  </si>
  <si>
    <t>アジヤアルミ㈱</t>
  </si>
  <si>
    <t>MNSJF</t>
  </si>
  <si>
    <t>ＮＳ蒸着</t>
  </si>
  <si>
    <t>NS</t>
  </si>
  <si>
    <t>TPIC</t>
  </si>
  <si>
    <t>TT405B</t>
  </si>
  <si>
    <t>５０ＴＴ４０５Ｂ</t>
  </si>
  <si>
    <t>UTE6</t>
  </si>
  <si>
    <t>㈱三共プラス</t>
  </si>
  <si>
    <t>TTP</t>
  </si>
  <si>
    <t>B2T0</t>
  </si>
  <si>
    <t>タフトップ　Ｂ２Ｔ０</t>
  </si>
  <si>
    <t xml:space="preserve">A4360  </t>
  </si>
  <si>
    <t>LC1000</t>
  </si>
  <si>
    <t>タフトップ　ＬＣ１０００</t>
  </si>
  <si>
    <t xml:space="preserve">U483   </t>
  </si>
  <si>
    <t>BX8A37</t>
  </si>
  <si>
    <t>セラピール　ＢＸ８Ａ（３７）</t>
  </si>
  <si>
    <t>T</t>
  </si>
  <si>
    <t>6ｲﾝﾁFWP</t>
  </si>
  <si>
    <t>積水化学工業</t>
    <rPh sb="0" eb="2">
      <t>セキスイ</t>
    </rPh>
    <rPh sb="2" eb="4">
      <t>カガク</t>
    </rPh>
    <rPh sb="4" eb="6">
      <t>コウギョウ</t>
    </rPh>
    <phoneticPr fontId="26"/>
  </si>
  <si>
    <t>T75</t>
  </si>
  <si>
    <t>U</t>
  </si>
  <si>
    <t>試作中止のため不明</t>
    <rPh sb="0" eb="2">
      <t>シサク</t>
    </rPh>
    <rPh sb="2" eb="4">
      <t>チュウシ</t>
    </rPh>
    <rPh sb="7" eb="9">
      <t>フメイ</t>
    </rPh>
    <phoneticPr fontId="20"/>
  </si>
  <si>
    <t>試作中止のため不明</t>
  </si>
  <si>
    <t>6ｲﾝﾁABS</t>
  </si>
  <si>
    <t>太陽インキ製造(株)</t>
    <rPh sb="0" eb="2">
      <t>タイヨウ</t>
    </rPh>
    <rPh sb="5" eb="7">
      <t>セイゾウ</t>
    </rPh>
    <rPh sb="7" eb="10">
      <t>カブシキガイシャ</t>
    </rPh>
    <phoneticPr fontId="20"/>
  </si>
  <si>
    <t>タツタ電線</t>
    <rPh sb="3" eb="5">
      <t>デンセン</t>
    </rPh>
    <phoneticPr fontId="20"/>
  </si>
  <si>
    <t>QZ54</t>
    <phoneticPr fontId="20"/>
  </si>
  <si>
    <t>パナック㈱</t>
  </si>
  <si>
    <t>BKE24</t>
  </si>
  <si>
    <t>セラピール　ＢＫＥ（２４）</t>
  </si>
  <si>
    <t>R75</t>
  </si>
  <si>
    <t>トーヨーケム</t>
  </si>
  <si>
    <t>BX8A40</t>
  </si>
  <si>
    <t>セラピール　ＢＸ８Ａ（４０）</t>
  </si>
  <si>
    <t>XD5AD2</t>
  </si>
  <si>
    <t>セラピール　ＢＸ８Ａ（３３）</t>
  </si>
  <si>
    <t>RM1Z</t>
  </si>
  <si>
    <t>BX8A07</t>
  </si>
  <si>
    <t>セラピール　ＢＸ８Ａ（０７）</t>
  </si>
  <si>
    <t>R41</t>
  </si>
  <si>
    <t>TKA0707</t>
  </si>
  <si>
    <t>セラピール　ＴＫＡ０７（０７）</t>
  </si>
  <si>
    <t>日東電工</t>
  </si>
  <si>
    <t>JMDAB</t>
  </si>
  <si>
    <t>セラピール　ＪＭＤＡ（Ｂ）</t>
  </si>
  <si>
    <t>QZ54</t>
  </si>
  <si>
    <t>SL-1</t>
  </si>
  <si>
    <t>JWZB</t>
  </si>
  <si>
    <t>セラピール　ＪＷＺ（Ｂ）</t>
  </si>
  <si>
    <t>MDB8K14</t>
  </si>
  <si>
    <t>セラピール　ＭＤＡ／ＢＸ８ＫＡ（１４）</t>
  </si>
  <si>
    <t>MK1</t>
  </si>
  <si>
    <t>BX8K加工→エージング→MDA加工</t>
    <rPh sb="4" eb="6">
      <t>カコウ</t>
    </rPh>
    <rPh sb="16" eb="18">
      <t>カコウ</t>
    </rPh>
    <phoneticPr fontId="20"/>
  </si>
  <si>
    <t>JMDB8KB</t>
  </si>
  <si>
    <t>セラピール　ＪＭＤＡ／ＢＸ８ＫＡ（Ｂ）</t>
  </si>
  <si>
    <t>ニトムズ　松山事業所</t>
  </si>
  <si>
    <t>タフトップ　ＴＮＪ－ＡＳ</t>
  </si>
  <si>
    <t>住友化学㈱</t>
    <rPh sb="0" eb="2">
      <t>スミトモ</t>
    </rPh>
    <rPh sb="2" eb="4">
      <t>カガク</t>
    </rPh>
    <phoneticPr fontId="20"/>
  </si>
  <si>
    <t>JTC</t>
  </si>
  <si>
    <t>STHCE</t>
  </si>
  <si>
    <t>TR-PRHC=HCPET-TA20-E</t>
  </si>
  <si>
    <t>CF2/ｴｰｼﾞﾝｸﾞ/CF3/SL1</t>
  </si>
  <si>
    <t>日本化薬(株)</t>
    <rPh sb="0" eb="2">
      <t>ニホン</t>
    </rPh>
    <rPh sb="2" eb="4">
      <t>カヤク</t>
    </rPh>
    <rPh sb="4" eb="7">
      <t>カブ</t>
    </rPh>
    <phoneticPr fontId="26"/>
  </si>
  <si>
    <t>DMS</t>
  </si>
  <si>
    <t>X42G</t>
  </si>
  <si>
    <t>ＤＭＳ蒸着（Ｘ－４２）</t>
  </si>
  <si>
    <t>-</t>
  </si>
  <si>
    <t>㈱ポラテクノ</t>
  </si>
  <si>
    <t>X42GPC</t>
  </si>
  <si>
    <t>ＤＭＳ（Ｘ４２Ｇ）ＰＣ</t>
  </si>
  <si>
    <t>HLKTV</t>
  </si>
  <si>
    <t>メタルミー　ヘヤライン金艶　Ｖ</t>
  </si>
  <si>
    <t>HL50/EC</t>
  </si>
  <si>
    <t>HLDTV</t>
  </si>
  <si>
    <t>メタルミー　ＨＬ銅艶　Ｖ</t>
  </si>
  <si>
    <t>栃木カネカ㈱電材検査</t>
  </si>
  <si>
    <t>KF9BF</t>
  </si>
  <si>
    <t>ＫＦ－９Ｂ</t>
  </si>
  <si>
    <t>F53</t>
  </si>
  <si>
    <t>約定№</t>
  </si>
  <si>
    <t>生産課名</t>
  </si>
  <si>
    <t>契約部課名</t>
  </si>
  <si>
    <t>契約担当名</t>
  </si>
  <si>
    <t>ユーザ名</t>
  </si>
  <si>
    <t>原価区分</t>
  </si>
  <si>
    <t>製区</t>
  </si>
  <si>
    <t>内輸</t>
  </si>
  <si>
    <t>品名</t>
  </si>
  <si>
    <t>元原反</t>
  </si>
  <si>
    <t>タイプ</t>
  </si>
  <si>
    <t>表示製品名</t>
  </si>
  <si>
    <t>決済幅</t>
  </si>
  <si>
    <t>幅</t>
  </si>
  <si>
    <t>長さ</t>
  </si>
  <si>
    <t>規格</t>
  </si>
  <si>
    <t>契約数  (契単)</t>
    <phoneticPr fontId="17"/>
  </si>
  <si>
    <t>契約      単位名</t>
    <phoneticPr fontId="17"/>
  </si>
  <si>
    <t>依頼日</t>
  </si>
  <si>
    <t>納期</t>
  </si>
  <si>
    <t>仕向地名</t>
  </si>
  <si>
    <t>契約備考翻訳</t>
  </si>
  <si>
    <t>契約備考</t>
  </si>
  <si>
    <t>福島コーティング</t>
  </si>
  <si>
    <t>プロセス材１課</t>
  </si>
  <si>
    <t>ダミー担当者</t>
  </si>
  <si>
    <t>本</t>
  </si>
  <si>
    <t>㈱須賀川東部鏡石</t>
  </si>
  <si>
    <t>工材１部電材課</t>
  </si>
  <si>
    <t>セラピール　ＷＺ（ＲＸ）　　　　　　</t>
  </si>
  <si>
    <t>工材１部大阪電材課</t>
  </si>
  <si>
    <t>光学機能材１課</t>
  </si>
  <si>
    <t>福島工場ＣＯ２次スリ</t>
  </si>
  <si>
    <t>セラピール　　　　　　　　　　　ＭＦＡ（Ｓ）</t>
  </si>
  <si>
    <t>下田工業㈱</t>
  </si>
  <si>
    <t>大阪光学機能材課</t>
  </si>
  <si>
    <t>プロセス材２課</t>
  </si>
  <si>
    <t>セラピール　　　　　　　　　　　ＭＤＡ（ＲＸ）</t>
  </si>
  <si>
    <t>メタルミー　ネーマー　ギンケシ　ＥＹＫＢ</t>
  </si>
  <si>
    <t>セラピール　　　　　　　　　　　ＷＺ（Ｅ）</t>
  </si>
  <si>
    <t>セラピール　　　　　　　　　　　ＷＺ（Ｓ）</t>
  </si>
  <si>
    <t>住友電工プリント</t>
  </si>
  <si>
    <t>メタルミー　ネーマー銀消　Ｂ</t>
  </si>
  <si>
    <t>日榮新化㈱</t>
  </si>
  <si>
    <t>セラピール　　　　　　　　　　　ＢＸ９Ａ（Ｓ）</t>
  </si>
  <si>
    <t>パナソニック　ＩＳ社</t>
  </si>
  <si>
    <t>セラピ－ル　ＭＦＡ（ＣＲ）</t>
  </si>
  <si>
    <t>セラピール　　　　　　　　　　　ＷＺ</t>
  </si>
  <si>
    <t>セラピール　　　　　　　　　　　ＢＸ８Ａ（Ｘ）</t>
  </si>
  <si>
    <t>積水化学武蔵工場</t>
  </si>
  <si>
    <t>ナガセケム　播磨</t>
  </si>
  <si>
    <t>非表示にする</t>
    <rPh sb="0" eb="3">
      <t>ヒヒョウジ</t>
    </rPh>
    <phoneticPr fontId="17"/>
  </si>
  <si>
    <t>作成</t>
  </si>
  <si>
    <t>確認</t>
    <rPh sb="0" eb="2">
      <t>カクニン</t>
    </rPh>
    <phoneticPr fontId="17"/>
  </si>
  <si>
    <t>承認</t>
  </si>
  <si>
    <t>Ｓ－４ 週間作業指示書（予定）</t>
    <rPh sb="4" eb="6">
      <t>サギョウ</t>
    </rPh>
    <rPh sb="6" eb="9">
      <t>シジショ</t>
    </rPh>
    <phoneticPr fontId="18"/>
  </si>
  <si>
    <t>製品区分　Ｓ：生産、Ｔ：Ｔ試作、Ｕ：Ｕ試作</t>
    <rPh sb="0" eb="2">
      <t>セイヒン</t>
    </rPh>
    <rPh sb="2" eb="4">
      <t>クブン</t>
    </rPh>
    <rPh sb="7" eb="9">
      <t>セイサン</t>
    </rPh>
    <rPh sb="13" eb="15">
      <t>シサク</t>
    </rPh>
    <rPh sb="19" eb="21">
      <t>シサク</t>
    </rPh>
    <phoneticPr fontId="17"/>
  </si>
  <si>
    <t>能力</t>
    <rPh sb="0" eb="2">
      <t>ノウリョク</t>
    </rPh>
    <phoneticPr fontId="17"/>
  </si>
  <si>
    <t>所要</t>
    <rPh sb="0" eb="2">
      <t>ショヨウ</t>
    </rPh>
    <phoneticPr fontId="17"/>
  </si>
  <si>
    <t>切替</t>
    <rPh sb="0" eb="2">
      <t>キリカエ</t>
    </rPh>
    <phoneticPr fontId="17"/>
  </si>
  <si>
    <t>ｵｰﾌﾞﾝ</t>
    <phoneticPr fontId="17"/>
  </si>
  <si>
    <t>所要合計</t>
    <rPh sb="0" eb="2">
      <t>ショヨウ</t>
    </rPh>
    <rPh sb="2" eb="4">
      <t>ゴウケイ</t>
    </rPh>
    <phoneticPr fontId="17"/>
  </si>
  <si>
    <t>開始</t>
    <rPh sb="0" eb="2">
      <t>カイシ</t>
    </rPh>
    <phoneticPr fontId="17"/>
  </si>
  <si>
    <t>終了</t>
    <rPh sb="0" eb="2">
      <t>シュウリョウ</t>
    </rPh>
    <phoneticPr fontId="17"/>
  </si>
  <si>
    <t>日</t>
  </si>
  <si>
    <t>曜日</t>
  </si>
  <si>
    <t>依頼月</t>
    <rPh sb="0" eb="2">
      <t>イライ</t>
    </rPh>
    <rPh sb="2" eb="3">
      <t>ツキ</t>
    </rPh>
    <phoneticPr fontId="17"/>
  </si>
  <si>
    <t>約定NO</t>
    <rPh sb="0" eb="2">
      <t>ヤクジョウ</t>
    </rPh>
    <phoneticPr fontId="17"/>
  </si>
  <si>
    <t>作業指示NO</t>
    <rPh sb="0" eb="2">
      <t>サギョウ</t>
    </rPh>
    <rPh sb="2" eb="4">
      <t>シジ</t>
    </rPh>
    <phoneticPr fontId="17"/>
  </si>
  <si>
    <t>TAF製品Co</t>
    <rPh sb="3" eb="5">
      <t>セイヒン</t>
    </rPh>
    <phoneticPr fontId="17"/>
  </si>
  <si>
    <t>製品区分</t>
    <rPh sb="0" eb="2">
      <t>セイヒン</t>
    </rPh>
    <rPh sb="2" eb="4">
      <t>クブン</t>
    </rPh>
    <phoneticPr fontId="18"/>
  </si>
  <si>
    <t>タイプ</t>
    <phoneticPr fontId="17"/>
  </si>
  <si>
    <t>表示製品名（加工内容）</t>
    <rPh sb="0" eb="2">
      <t>ヒョウジ</t>
    </rPh>
    <rPh sb="2" eb="5">
      <t>セイヒンメイ</t>
    </rPh>
    <phoneticPr fontId="17"/>
  </si>
  <si>
    <t>品番</t>
    <rPh sb="0" eb="2">
      <t>ヒンバン</t>
    </rPh>
    <phoneticPr fontId="17"/>
  </si>
  <si>
    <t>原反名</t>
    <rPh sb="0" eb="2">
      <t>ゲンタン</t>
    </rPh>
    <rPh sb="2" eb="3">
      <t>メイ</t>
    </rPh>
    <phoneticPr fontId="17"/>
  </si>
  <si>
    <t>原反幅</t>
    <rPh sb="2" eb="3">
      <t>ハバ</t>
    </rPh>
    <phoneticPr fontId="17"/>
  </si>
  <si>
    <t>原反長さ</t>
    <rPh sb="0" eb="2">
      <t>ゲンタン</t>
    </rPh>
    <rPh sb="2" eb="3">
      <t>ナガ</t>
    </rPh>
    <phoneticPr fontId="17"/>
  </si>
  <si>
    <t>本数</t>
  </si>
  <si>
    <t>製品
実幅</t>
    <rPh sb="0" eb="2">
      <t>セイヒン</t>
    </rPh>
    <rPh sb="3" eb="4">
      <t>ジツ</t>
    </rPh>
    <rPh sb="4" eb="5">
      <t>ハバ</t>
    </rPh>
    <phoneticPr fontId="17"/>
  </si>
  <si>
    <t>基準幅</t>
    <rPh sb="0" eb="2">
      <t>キジュン</t>
    </rPh>
    <rPh sb="2" eb="3">
      <t>ハバ</t>
    </rPh>
    <phoneticPr fontId="17"/>
  </si>
  <si>
    <t>基準長さ</t>
    <rPh sb="0" eb="2">
      <t>キジュン</t>
    </rPh>
    <rPh sb="2" eb="3">
      <t>ナガ</t>
    </rPh>
    <phoneticPr fontId="17"/>
  </si>
  <si>
    <t>製品本数</t>
    <rPh sb="0" eb="2">
      <t>セイヒン</t>
    </rPh>
    <rPh sb="2" eb="4">
      <t>ホンスウ</t>
    </rPh>
    <phoneticPr fontId="17"/>
  </si>
  <si>
    <t>ｺｱﾀｲﾌﾟ</t>
  </si>
  <si>
    <t>ｻｲｽﾞ(㎜)</t>
  </si>
  <si>
    <t>規格</t>
    <rPh sb="0" eb="2">
      <t>キカク</t>
    </rPh>
    <phoneticPr fontId="17"/>
  </si>
  <si>
    <t>ユーザー</t>
    <phoneticPr fontId="17"/>
  </si>
  <si>
    <t>備考</t>
  </si>
  <si>
    <t>投入数量</t>
    <rPh sb="0" eb="4">
      <t>トウニュウスウリョウ</t>
    </rPh>
    <phoneticPr fontId="17"/>
  </si>
  <si>
    <t>入庫数量</t>
    <rPh sb="0" eb="4">
      <t>ニュウコスウリョウ</t>
    </rPh>
    <phoneticPr fontId="17"/>
  </si>
  <si>
    <t>Ｓ－５ 週間作業指示書（予定）</t>
    <rPh sb="4" eb="6">
      <t>サギョウ</t>
    </rPh>
    <rPh sb="6" eb="9">
      <t>シジショ</t>
    </rPh>
    <phoneticPr fontId="18"/>
  </si>
  <si>
    <t>本数</t>
    <rPh sb="0" eb="2">
      <t>ホンスウ</t>
    </rPh>
    <phoneticPr fontId="17"/>
  </si>
  <si>
    <t>合計</t>
    <rPh sb="0" eb="2">
      <t>ゴウケイ</t>
    </rPh>
    <phoneticPr fontId="20"/>
  </si>
  <si>
    <t>Ｓ４</t>
    <phoneticPr fontId="20"/>
  </si>
  <si>
    <t>Ｓ５</t>
    <phoneticPr fontId="20"/>
  </si>
  <si>
    <t>MLB</t>
    <phoneticPr fontId="17"/>
  </si>
  <si>
    <t>機能Ｆ　ラベル福島原</t>
  </si>
  <si>
    <t>メタルミー　ホワイトコート　　　（Ｂ）</t>
  </si>
  <si>
    <t>TET1MV</t>
  </si>
  <si>
    <t>メタルミー銀艶　市松柄Ｖ</t>
  </si>
  <si>
    <t>情材福島開発</t>
  </si>
  <si>
    <t>福島工場ＣＯ</t>
  </si>
  <si>
    <t>WZ26</t>
  </si>
  <si>
    <t>セラピール　ＷＺ（２６）</t>
  </si>
  <si>
    <t>情材福島原価</t>
  </si>
  <si>
    <t>機能材料ＴＴＰ福原価</t>
  </si>
  <si>
    <t>TNJ-AS</t>
  </si>
  <si>
    <t>工材３部工材２課</t>
  </si>
  <si>
    <t>WZ34</t>
  </si>
  <si>
    <t>セラピール　ＷＺ（３４）</t>
  </si>
  <si>
    <t>BX8AD</t>
  </si>
  <si>
    <t>セラピール　　　　　　　　　　　ＢＸ８ＡＤ</t>
  </si>
  <si>
    <t>昭和電工マテリアルズ</t>
  </si>
  <si>
    <t>機能Ｆ　受託福島原価</t>
  </si>
  <si>
    <t>ＴＲ－ＰＲＨＣ＝ＨＣＰＥＴ－ＴＡ２０－Ｅ</t>
  </si>
  <si>
    <t>水</t>
    <rPh sb="0" eb="1">
      <t>スイ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</si>
  <si>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</si>
  <si>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</si>
  <si>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</si>
  <si>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</si>
  <si>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巻返し</t>
    <rPh sb="0" eb="2">
      <t>マキカエ</t>
    </rPh>
    <phoneticPr fontId="17"/>
  </si>
  <si>
    <t>公休</t>
    <rPh sb="0" eb="2">
      <t>コウキュウ</t>
    </rPh>
    <phoneticPr fontId="17"/>
  </si>
  <si>
    <t>エージング後スリット 短尺品</t>
    <rPh sb="5" eb="6">
      <t>ゴ</t>
    </rPh>
    <rPh sb="11" eb="14">
      <t>タンジャクヒン</t>
    </rPh>
    <phoneticPr fontId="20"/>
  </si>
  <si>
    <t>S</t>
    <phoneticPr fontId="17"/>
  </si>
  <si>
    <t>MCLB</t>
    <phoneticPr fontId="17"/>
  </si>
  <si>
    <t>U</t>
    <phoneticPr fontId="17"/>
  </si>
  <si>
    <t>TNJ-AS</t>
    <phoneticPr fontId="17"/>
  </si>
  <si>
    <t>巻足
本数</t>
    <rPh sb="0" eb="1">
      <t>マキ</t>
    </rPh>
    <rPh sb="1" eb="2">
      <t>タ</t>
    </rPh>
    <rPh sb="3" eb="5">
      <t>ホンスウ</t>
    </rPh>
    <phoneticPr fontId="17"/>
  </si>
  <si>
    <t>原反
本数</t>
    <rPh sb="0" eb="2">
      <t>ゲンタン</t>
    </rPh>
    <phoneticPr fontId="17"/>
  </si>
  <si>
    <t>製品区分</t>
    <rPh sb="0" eb="2">
      <t>セイヒン</t>
    </rPh>
    <rPh sb="2" eb="4">
      <t>クブン</t>
    </rPh>
    <phoneticPr fontId="17"/>
  </si>
  <si>
    <t>MDA14</t>
  </si>
  <si>
    <t>セラピール　ＭＤＡ（１４）</t>
  </si>
  <si>
    <t>3ｲﾝﾁABS</t>
  </si>
  <si>
    <t>DIC</t>
  </si>
  <si>
    <t>TFS</t>
  </si>
  <si>
    <t>月</t>
    <rPh sb="0" eb="1">
      <t>ゲツ</t>
    </rPh>
    <phoneticPr fontId="17"/>
  </si>
  <si>
    <t>スリット</t>
    <phoneticPr fontId="17"/>
  </si>
  <si>
    <t>リード付け</t>
    <rPh sb="3" eb="4">
      <t>ツ</t>
    </rPh>
    <phoneticPr fontId="17"/>
  </si>
  <si>
    <t>BX8AS</t>
  </si>
  <si>
    <t>セラピール　ＢＸ８Ａ（Ｓ）</t>
  </si>
  <si>
    <t>特殊東海製紙(株)</t>
    <rPh sb="0" eb="2">
      <t>トクシュ</t>
    </rPh>
    <rPh sb="2" eb="4">
      <t>トウカイ</t>
    </rPh>
    <rPh sb="4" eb="6">
      <t>セイシ</t>
    </rPh>
    <rPh sb="6" eb="9">
      <t>カブシキガイシャ</t>
    </rPh>
    <phoneticPr fontId="20"/>
  </si>
  <si>
    <t>3H</t>
    <phoneticPr fontId="20"/>
  </si>
  <si>
    <t>巻足し</t>
    <rPh sb="0" eb="2">
      <t>マキタ</t>
    </rPh>
    <phoneticPr fontId="17"/>
  </si>
  <si>
    <t>N</t>
    <phoneticPr fontId="17"/>
  </si>
  <si>
    <t>コート後3日</t>
    <rPh sb="3" eb="4">
      <t>ゴ</t>
    </rPh>
    <rPh sb="5" eb="6">
      <t>ヒ</t>
    </rPh>
    <phoneticPr fontId="20"/>
  </si>
  <si>
    <t>エージング後3日</t>
    <rPh sb="5" eb="6">
      <t>ゴ</t>
    </rPh>
    <rPh sb="7" eb="8">
      <t>ヒ</t>
    </rPh>
    <phoneticPr fontId="20"/>
  </si>
  <si>
    <t>コート後4日</t>
    <rPh sb="3" eb="4">
      <t>ゴ</t>
    </rPh>
    <rPh sb="5" eb="6">
      <t>ヒ</t>
    </rPh>
    <phoneticPr fontId="20"/>
  </si>
  <si>
    <t>コート後5日+2日</t>
    <rPh sb="3" eb="4">
      <t>ゴ</t>
    </rPh>
    <rPh sb="5" eb="6">
      <t>ヒ</t>
    </rPh>
    <rPh sb="8" eb="9">
      <t>ヒ</t>
    </rPh>
    <phoneticPr fontId="20"/>
  </si>
  <si>
    <t>コート後5日+3日</t>
    <rPh sb="3" eb="4">
      <t>ゴ</t>
    </rPh>
    <rPh sb="5" eb="6">
      <t>ヒ</t>
    </rPh>
    <rPh sb="8" eb="9">
      <t>ヒ</t>
    </rPh>
    <phoneticPr fontId="20"/>
  </si>
  <si>
    <t>スリット後3日</t>
    <rPh sb="4" eb="5">
      <t>ゴ</t>
    </rPh>
    <rPh sb="6" eb="7">
      <t>ヒ</t>
    </rPh>
    <phoneticPr fontId="20"/>
  </si>
  <si>
    <t>物性：コート後4日
外観：コート後5日（1本当たり）</t>
    <rPh sb="0" eb="2">
      <t>ブッセイ</t>
    </rPh>
    <rPh sb="6" eb="7">
      <t>ゴ</t>
    </rPh>
    <rPh sb="8" eb="9">
      <t>ニチ</t>
    </rPh>
    <rPh sb="10" eb="12">
      <t>ガイカン</t>
    </rPh>
    <rPh sb="16" eb="17">
      <t>ゴ</t>
    </rPh>
    <rPh sb="18" eb="19">
      <t>ニチ</t>
    </rPh>
    <rPh sb="21" eb="22">
      <t>ホン</t>
    </rPh>
    <rPh sb="22" eb="23">
      <t>ア</t>
    </rPh>
    <phoneticPr fontId="20"/>
  </si>
  <si>
    <t>品証検査無し(生産課で塗布量測定）</t>
    <rPh sb="0" eb="2">
      <t>ヒンショウ</t>
    </rPh>
    <rPh sb="2" eb="4">
      <t>ケンサ</t>
    </rPh>
    <rPh sb="4" eb="5">
      <t>ナ</t>
    </rPh>
    <rPh sb="7" eb="9">
      <t>セイサン</t>
    </rPh>
    <rPh sb="9" eb="10">
      <t>カ</t>
    </rPh>
    <rPh sb="11" eb="13">
      <t>トフ</t>
    </rPh>
    <rPh sb="13" eb="14">
      <t>リョウ</t>
    </rPh>
    <rPh sb="14" eb="16">
      <t>ソクテイ</t>
    </rPh>
    <phoneticPr fontId="20"/>
  </si>
  <si>
    <t>品証検査無し(技術で対応)</t>
    <rPh sb="0" eb="2">
      <t>ヒンショウ</t>
    </rPh>
    <rPh sb="2" eb="4">
      <t>ケンサ</t>
    </rPh>
    <rPh sb="4" eb="5">
      <t>ナ</t>
    </rPh>
    <rPh sb="7" eb="9">
      <t>ギジュツ</t>
    </rPh>
    <rPh sb="10" eb="12">
      <t>タイオウ</t>
    </rPh>
    <phoneticPr fontId="20"/>
  </si>
  <si>
    <t>物性：コート後4日
外観：スリット後3日(1本当たり)</t>
    <rPh sb="0" eb="2">
      <t>ブッセイ</t>
    </rPh>
    <rPh sb="6" eb="7">
      <t>ゴ</t>
    </rPh>
    <rPh sb="8" eb="9">
      <t>ニチ</t>
    </rPh>
    <rPh sb="10" eb="12">
      <t>ガイカン</t>
    </rPh>
    <rPh sb="17" eb="18">
      <t>ゴ</t>
    </rPh>
    <rPh sb="19" eb="20">
      <t>ニチ</t>
    </rPh>
    <rPh sb="22" eb="23">
      <t>ホン</t>
    </rPh>
    <rPh sb="23" eb="24">
      <t>ア</t>
    </rPh>
    <phoneticPr fontId="20"/>
  </si>
  <si>
    <t>原反
入荷日
蒸着日</t>
    <rPh sb="0" eb="2">
      <t>ゲンタン</t>
    </rPh>
    <rPh sb="3" eb="5">
      <t>ニュウカ</t>
    </rPh>
    <rPh sb="5" eb="6">
      <t>ビ</t>
    </rPh>
    <rPh sb="7" eb="9">
      <t>ジョウチャク</t>
    </rPh>
    <rPh sb="9" eb="10">
      <t>ビ</t>
    </rPh>
    <phoneticPr fontId="17"/>
  </si>
  <si>
    <t>製品
入庫
予定日</t>
    <rPh sb="0" eb="2">
      <t>セイヒン</t>
    </rPh>
    <rPh sb="3" eb="5">
      <t>ニュウコ</t>
    </rPh>
    <rPh sb="6" eb="8">
      <t>ヨテイ</t>
    </rPh>
    <rPh sb="8" eb="9">
      <t>ビ</t>
    </rPh>
    <phoneticPr fontId="17"/>
  </si>
  <si>
    <t>メタルミー　ヘヤライン金艶Ｖ</t>
  </si>
  <si>
    <t>QZ52</t>
    <phoneticPr fontId="20"/>
  </si>
  <si>
    <t>巻返しリード付け</t>
    <rPh sb="0" eb="1">
      <t>マキ</t>
    </rPh>
    <rPh sb="1" eb="2">
      <t>カエ</t>
    </rPh>
    <rPh sb="6" eb="7">
      <t>ヅ</t>
    </rPh>
    <phoneticPr fontId="17"/>
  </si>
  <si>
    <t>XD500P</t>
    <phoneticPr fontId="20"/>
  </si>
  <si>
    <t>直出し</t>
    <rPh sb="0" eb="1">
      <t>チョク</t>
    </rPh>
    <rPh sb="1" eb="2">
      <t>ダ</t>
    </rPh>
    <phoneticPr fontId="20"/>
  </si>
  <si>
    <t>製品
依頼
本数</t>
    <rPh sb="0" eb="2">
      <t>セイヒン</t>
    </rPh>
    <rPh sb="3" eb="5">
      <t>イライ</t>
    </rPh>
    <rPh sb="6" eb="8">
      <t>ホンスウ</t>
    </rPh>
    <phoneticPr fontId="17"/>
  </si>
  <si>
    <t>リード作成</t>
    <rPh sb="3" eb="5">
      <t>サクセイ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</si>
  <si>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</si>
  <si>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メタルミー　ネーマー銀消　Ｂ　Ｇコート用</t>
  </si>
  <si>
    <t>7/2</t>
    <phoneticPr fontId="17"/>
  </si>
  <si>
    <t>7/8</t>
    <phoneticPr fontId="17"/>
  </si>
  <si>
    <t>7/15</t>
    <phoneticPr fontId="17"/>
  </si>
  <si>
    <t>7/16</t>
    <phoneticPr fontId="17"/>
  </si>
  <si>
    <t>7/17</t>
    <phoneticPr fontId="17"/>
  </si>
  <si>
    <t>7/18</t>
    <phoneticPr fontId="17"/>
  </si>
  <si>
    <t>7/19</t>
    <phoneticPr fontId="17"/>
  </si>
  <si>
    <t>7/20</t>
    <phoneticPr fontId="17"/>
  </si>
  <si>
    <t>アジアアルミ(株)</t>
    <rPh sb="6" eb="9">
      <t>カブシキガイシャ</t>
    </rPh>
    <phoneticPr fontId="20"/>
  </si>
  <si>
    <t>原反ケース再利用</t>
    <rPh sb="0" eb="2">
      <t>ゲンタン</t>
    </rPh>
    <rPh sb="5" eb="8">
      <t>サイリヨウ</t>
    </rPh>
    <phoneticPr fontId="17"/>
  </si>
  <si>
    <t>東京セロレーベル</t>
    <rPh sb="0" eb="2">
      <t>トウキョウ</t>
    </rPh>
    <phoneticPr fontId="20"/>
  </si>
  <si>
    <t>S28M</t>
    <phoneticPr fontId="20"/>
  </si>
  <si>
    <t>XF60L</t>
    <phoneticPr fontId="17"/>
  </si>
  <si>
    <t>CF2</t>
    <phoneticPr fontId="17"/>
  </si>
  <si>
    <t>直出し</t>
    <rPh sb="0" eb="1">
      <t>チョク</t>
    </rPh>
    <rPh sb="1" eb="2">
      <t>ダ</t>
    </rPh>
    <phoneticPr fontId="17"/>
  </si>
  <si>
    <t>7/6</t>
    <phoneticPr fontId="17"/>
  </si>
  <si>
    <t>7/9</t>
    <phoneticPr fontId="17"/>
  </si>
  <si>
    <t>7/11</t>
    <phoneticPr fontId="17"/>
  </si>
  <si>
    <t>機能Ｆ　ラベル福島開</t>
  </si>
  <si>
    <t>7/13</t>
    <phoneticPr fontId="17"/>
  </si>
  <si>
    <t>7/21</t>
    <phoneticPr fontId="17"/>
  </si>
  <si>
    <t>7/23</t>
    <phoneticPr fontId="17"/>
  </si>
  <si>
    <t>7/24</t>
    <phoneticPr fontId="17"/>
  </si>
  <si>
    <t>7/25</t>
    <phoneticPr fontId="17"/>
  </si>
  <si>
    <t>7/26</t>
    <phoneticPr fontId="17"/>
  </si>
  <si>
    <t>7/27</t>
    <phoneticPr fontId="17"/>
  </si>
  <si>
    <t>7/22</t>
    <phoneticPr fontId="17"/>
  </si>
  <si>
    <t>7/28</t>
    <phoneticPr fontId="17"/>
  </si>
  <si>
    <t>7/29</t>
    <phoneticPr fontId="17"/>
  </si>
  <si>
    <t>7/30</t>
    <phoneticPr fontId="17"/>
  </si>
  <si>
    <t>MBSF</t>
  </si>
  <si>
    <t>メタルミー　ＢＳ</t>
  </si>
  <si>
    <t>古河電工ﾊﾟﾜｰｼｽﾃﾑｽﾞ</t>
    <rPh sb="0" eb="4">
      <t>フルカワデンコウ</t>
    </rPh>
    <phoneticPr fontId="20"/>
  </si>
  <si>
    <t>日東電工豊橋</t>
    <rPh sb="0" eb="4">
      <t>ニットウデンコウ</t>
    </rPh>
    <rPh sb="4" eb="6">
      <t>トヨハシ</t>
    </rPh>
    <phoneticPr fontId="20"/>
  </si>
  <si>
    <t>S27</t>
    <phoneticPr fontId="20"/>
  </si>
  <si>
    <t>東京応化工業</t>
    <rPh sb="0" eb="2">
      <t>トウキョウ</t>
    </rPh>
    <rPh sb="2" eb="6">
      <t>オウカコウギョウ</t>
    </rPh>
    <phoneticPr fontId="20"/>
  </si>
  <si>
    <t>QS63</t>
    <phoneticPr fontId="20"/>
  </si>
  <si>
    <t>CF4</t>
    <phoneticPr fontId="20"/>
  </si>
  <si>
    <t>日東電工</t>
    <rPh sb="0" eb="4">
      <t>ニットウデンコウ</t>
    </rPh>
    <phoneticPr fontId="20"/>
  </si>
  <si>
    <t>MLB</t>
    <phoneticPr fontId="20"/>
  </si>
  <si>
    <t>8/3</t>
    <phoneticPr fontId="17"/>
  </si>
  <si>
    <t>8/4</t>
    <phoneticPr fontId="17"/>
  </si>
  <si>
    <t>8/5</t>
    <phoneticPr fontId="17"/>
  </si>
  <si>
    <t>8/6</t>
    <phoneticPr fontId="17"/>
  </si>
  <si>
    <t>8/7</t>
    <phoneticPr fontId="17"/>
  </si>
  <si>
    <t>8/8</t>
    <phoneticPr fontId="17"/>
  </si>
  <si>
    <t>8/9</t>
    <phoneticPr fontId="17"/>
  </si>
  <si>
    <t>8/17</t>
    <phoneticPr fontId="17"/>
  </si>
  <si>
    <t>8/19</t>
    <phoneticPr fontId="17"/>
  </si>
  <si>
    <t>8/21</t>
    <phoneticPr fontId="17"/>
  </si>
  <si>
    <t>8/22</t>
    <phoneticPr fontId="17"/>
  </si>
  <si>
    <t>収率</t>
    <rPh sb="0" eb="2">
      <t>シュウリツ</t>
    </rPh>
    <phoneticPr fontId="17"/>
  </si>
  <si>
    <t>王子ﾎｰﾙﾃﾞｨﾝｸﾞｽ</t>
    <rPh sb="0" eb="2">
      <t>オオジ</t>
    </rPh>
    <phoneticPr fontId="20"/>
  </si>
  <si>
    <t>東レ㈱</t>
    <rPh sb="0" eb="1">
      <t>トウ</t>
    </rPh>
    <phoneticPr fontId="20"/>
  </si>
  <si>
    <t>9/1</t>
    <phoneticPr fontId="17"/>
  </si>
  <si>
    <t>9/2</t>
    <phoneticPr fontId="17"/>
  </si>
  <si>
    <t>9/3</t>
    <phoneticPr fontId="17"/>
  </si>
  <si>
    <t>9/4</t>
    <phoneticPr fontId="17"/>
  </si>
  <si>
    <t>9/5</t>
    <phoneticPr fontId="17"/>
  </si>
  <si>
    <t>9/6</t>
    <phoneticPr fontId="17"/>
  </si>
  <si>
    <t>9/7</t>
    <phoneticPr fontId="17"/>
  </si>
  <si>
    <t>9/8</t>
    <phoneticPr fontId="17"/>
  </si>
  <si>
    <t>9/9</t>
    <phoneticPr fontId="17"/>
  </si>
  <si>
    <t>9/10</t>
    <phoneticPr fontId="17"/>
  </si>
  <si>
    <t>9/11</t>
    <phoneticPr fontId="17"/>
  </si>
  <si>
    <t>9/12</t>
    <phoneticPr fontId="17"/>
  </si>
  <si>
    <t>T83</t>
    <phoneticPr fontId="20"/>
  </si>
  <si>
    <t>RP43</t>
    <phoneticPr fontId="20"/>
  </si>
  <si>
    <t>日東電工㈱尾道工場</t>
    <rPh sb="5" eb="7">
      <t>オノミチ</t>
    </rPh>
    <phoneticPr fontId="20"/>
  </si>
  <si>
    <t>9/13</t>
    <phoneticPr fontId="17"/>
  </si>
  <si>
    <t>9/14</t>
    <phoneticPr fontId="17"/>
  </si>
  <si>
    <t>9/15</t>
    <phoneticPr fontId="17"/>
  </si>
  <si>
    <t>9/16</t>
    <phoneticPr fontId="17"/>
  </si>
  <si>
    <t>9/17</t>
    <phoneticPr fontId="17"/>
  </si>
  <si>
    <t>9/18</t>
    <phoneticPr fontId="17"/>
  </si>
  <si>
    <t>9/19</t>
    <phoneticPr fontId="17"/>
  </si>
  <si>
    <t>9/20</t>
    <phoneticPr fontId="17"/>
  </si>
  <si>
    <t>9/21</t>
    <phoneticPr fontId="17"/>
  </si>
  <si>
    <t>9/22</t>
    <phoneticPr fontId="17"/>
  </si>
  <si>
    <t>9/24</t>
    <phoneticPr fontId="17"/>
  </si>
  <si>
    <t>9/25</t>
    <phoneticPr fontId="17"/>
  </si>
  <si>
    <t>9/26</t>
    <phoneticPr fontId="17"/>
  </si>
  <si>
    <t>巻返しリード付け</t>
    <rPh sb="0" eb="2">
      <t>マキカエ</t>
    </rPh>
    <rPh sb="6" eb="7">
      <t>ツ</t>
    </rPh>
    <phoneticPr fontId="17"/>
  </si>
  <si>
    <t>韓国太陽インキ製造</t>
    <rPh sb="0" eb="2">
      <t>カンコク</t>
    </rPh>
    <rPh sb="2" eb="4">
      <t>タイヨウ</t>
    </rPh>
    <rPh sb="7" eb="9">
      <t>セイゾウ</t>
    </rPh>
    <phoneticPr fontId="20"/>
  </si>
  <si>
    <t>メタルミー　ヘヤライン銀消　Ｖ</t>
  </si>
  <si>
    <t>メタルミー　ヘヤライン銀艶　Ｖ</t>
  </si>
  <si>
    <t>R41</t>
    <phoneticPr fontId="20"/>
  </si>
  <si>
    <t>9/27</t>
    <phoneticPr fontId="17"/>
  </si>
  <si>
    <t>検品</t>
    <rPh sb="0" eb="2">
      <t>ケンピン</t>
    </rPh>
    <phoneticPr fontId="17"/>
  </si>
  <si>
    <t>9/28</t>
    <phoneticPr fontId="17"/>
  </si>
  <si>
    <t>9/29</t>
    <phoneticPr fontId="17"/>
  </si>
  <si>
    <t>9/30</t>
    <phoneticPr fontId="17"/>
  </si>
  <si>
    <t>10/1</t>
    <phoneticPr fontId="17"/>
  </si>
  <si>
    <t>10/2</t>
    <phoneticPr fontId="17"/>
  </si>
  <si>
    <t>10/3</t>
    <phoneticPr fontId="17"/>
  </si>
  <si>
    <t>10/4</t>
    <phoneticPr fontId="17"/>
  </si>
  <si>
    <t>10/5</t>
    <phoneticPr fontId="17"/>
  </si>
  <si>
    <t>10/6</t>
    <phoneticPr fontId="17"/>
  </si>
  <si>
    <t>10/7</t>
    <phoneticPr fontId="17"/>
  </si>
  <si>
    <t>10/8</t>
    <phoneticPr fontId="17"/>
  </si>
  <si>
    <t>10/9</t>
    <phoneticPr fontId="17"/>
  </si>
  <si>
    <t>10/10</t>
    <phoneticPr fontId="17"/>
  </si>
  <si>
    <t>10/11</t>
    <phoneticPr fontId="17"/>
  </si>
  <si>
    <t>10/12</t>
    <phoneticPr fontId="17"/>
  </si>
  <si>
    <t>10/13</t>
    <phoneticPr fontId="17"/>
  </si>
  <si>
    <t>10/14</t>
    <phoneticPr fontId="17"/>
  </si>
  <si>
    <t>10/15</t>
    <phoneticPr fontId="17"/>
  </si>
  <si>
    <t>10/16</t>
    <phoneticPr fontId="17"/>
  </si>
  <si>
    <t>10/17</t>
    <phoneticPr fontId="17"/>
  </si>
  <si>
    <t>村田製作所</t>
    <rPh sb="0" eb="2">
      <t>ムラタ</t>
    </rPh>
    <rPh sb="2" eb="5">
      <t>セイサクショ</t>
    </rPh>
    <phoneticPr fontId="20"/>
  </si>
  <si>
    <t>加工CO＆品番&amp;基準幅</t>
    <rPh sb="0" eb="1">
      <t>カ</t>
    </rPh>
    <rPh sb="1" eb="2">
      <t>コウ</t>
    </rPh>
    <rPh sb="5" eb="7">
      <t>ヒンバン</t>
    </rPh>
    <rPh sb="8" eb="10">
      <t>キジュン</t>
    </rPh>
    <rPh sb="10" eb="11">
      <t>ハバ</t>
    </rPh>
    <phoneticPr fontId="25"/>
  </si>
  <si>
    <t>原価区分</t>
    <rPh sb="0" eb="2">
      <t>ゲンカ</t>
    </rPh>
    <rPh sb="2" eb="4">
      <t>クブン</t>
    </rPh>
    <phoneticPr fontId="32"/>
  </si>
  <si>
    <t>原反タイプ</t>
    <rPh sb="0" eb="2">
      <t>ゲンタン</t>
    </rPh>
    <phoneticPr fontId="22"/>
  </si>
  <si>
    <t>原反幅</t>
    <rPh sb="0" eb="2">
      <t>ゲンタン</t>
    </rPh>
    <phoneticPr fontId="22"/>
  </si>
  <si>
    <t>原反
長さ</t>
    <rPh sb="0" eb="2">
      <t>ゲンタン</t>
    </rPh>
    <phoneticPr fontId="22"/>
  </si>
  <si>
    <t>実製品
幅</t>
    <rPh sb="0" eb="1">
      <t>ジツ</t>
    </rPh>
    <rPh sb="1" eb="3">
      <t>セイヒン</t>
    </rPh>
    <phoneticPr fontId="32"/>
  </si>
  <si>
    <t>基準幅</t>
    <rPh sb="0" eb="2">
      <t>キジュン</t>
    </rPh>
    <rPh sb="2" eb="3">
      <t>ハバ</t>
    </rPh>
    <phoneticPr fontId="32"/>
  </si>
  <si>
    <t>製品
長さ</t>
    <rPh sb="0" eb="2">
      <t>セイヒン</t>
    </rPh>
    <phoneticPr fontId="22"/>
  </si>
  <si>
    <t>製品
規格</t>
    <rPh sb="0" eb="2">
      <t>セイヒン</t>
    </rPh>
    <phoneticPr fontId="22"/>
  </si>
  <si>
    <t>次工程</t>
    <rPh sb="0" eb="3">
      <t>ジコウテイ</t>
    </rPh>
    <phoneticPr fontId="29"/>
  </si>
  <si>
    <t>コア径</t>
    <rPh sb="2" eb="3">
      <t>ケイ</t>
    </rPh>
    <phoneticPr fontId="22"/>
  </si>
  <si>
    <t>スリット
コア径</t>
    <rPh sb="7" eb="8">
      <t>ケイ</t>
    </rPh>
    <phoneticPr fontId="22"/>
  </si>
  <si>
    <t>スリット
コアタイプ</t>
  </si>
  <si>
    <t>スリット
コア幅</t>
    <rPh sb="7" eb="8">
      <t>ハバ</t>
    </rPh>
    <phoneticPr fontId="22"/>
  </si>
  <si>
    <t>巻足し
本数</t>
    <rPh sb="0" eb="2">
      <t>マキタ</t>
    </rPh>
    <rPh sb="4" eb="6">
      <t>ホンスウ</t>
    </rPh>
    <phoneticPr fontId="25"/>
  </si>
  <si>
    <t>巻足し
コアタイプ</t>
    <rPh sb="0" eb="2">
      <t>マキタ</t>
    </rPh>
    <phoneticPr fontId="25"/>
  </si>
  <si>
    <t>エージング
日数</t>
    <rPh sb="6" eb="8">
      <t>ニッスウ</t>
    </rPh>
    <phoneticPr fontId="22"/>
  </si>
  <si>
    <t>備考</t>
    <rPh sb="0" eb="2">
      <t>ビコウ</t>
    </rPh>
    <phoneticPr fontId="22"/>
  </si>
  <si>
    <t>入庫までのリードタイム</t>
    <rPh sb="0" eb="2">
      <t>ニュウコ</t>
    </rPh>
    <phoneticPr fontId="22"/>
  </si>
  <si>
    <t>加工CO＆品番</t>
    <rPh sb="0" eb="1">
      <t>カ</t>
    </rPh>
    <rPh sb="1" eb="2">
      <t>コウ</t>
    </rPh>
    <rPh sb="5" eb="7">
      <t>ヒンバン</t>
    </rPh>
    <phoneticPr fontId="25"/>
  </si>
  <si>
    <t>10/18</t>
    <phoneticPr fontId="17"/>
  </si>
  <si>
    <t>10/19</t>
    <phoneticPr fontId="17"/>
  </si>
  <si>
    <t>10/20</t>
    <phoneticPr fontId="17"/>
  </si>
  <si>
    <t>ユーザ
翻訳</t>
    <rPh sb="4" eb="6">
      <t>ホンヤク</t>
    </rPh>
    <phoneticPr fontId="32"/>
  </si>
  <si>
    <t>社外
タイプ</t>
  </si>
  <si>
    <t>TAF</t>
  </si>
  <si>
    <t>品名</t>
    <rPh sb="0" eb="2">
      <t>ヒンメイ</t>
    </rPh>
    <phoneticPr fontId="32"/>
  </si>
  <si>
    <t>表示製品名</t>
    <rPh sb="0" eb="2">
      <t>ヒョウジ</t>
    </rPh>
    <rPh sb="2" eb="5">
      <t>セイヒンメイ</t>
    </rPh>
    <phoneticPr fontId="32"/>
  </si>
  <si>
    <t>加工CO＆品番&amp;原反幅</t>
    <rPh sb="0" eb="1">
      <t>カ</t>
    </rPh>
    <rPh sb="1" eb="2">
      <t>コウ</t>
    </rPh>
    <rPh sb="5" eb="7">
      <t>ヒンバン</t>
    </rPh>
    <rPh sb="8" eb="10">
      <t>ゲンタン</t>
    </rPh>
    <rPh sb="10" eb="11">
      <t>ハバ</t>
    </rPh>
    <phoneticPr fontId="25"/>
  </si>
  <si>
    <t>10/23</t>
    <phoneticPr fontId="17"/>
  </si>
  <si>
    <t>BX8A14</t>
  </si>
  <si>
    <t>セラピール　ＢＸ８Ａ（１４）</t>
  </si>
  <si>
    <t>10/24</t>
    <phoneticPr fontId="17"/>
  </si>
  <si>
    <t>10/25</t>
    <phoneticPr fontId="17"/>
  </si>
  <si>
    <t>10/26</t>
    <phoneticPr fontId="17"/>
  </si>
  <si>
    <t>10/27</t>
    <phoneticPr fontId="17"/>
  </si>
  <si>
    <t>10/30</t>
    <phoneticPr fontId="17"/>
  </si>
  <si>
    <t>10/31</t>
    <phoneticPr fontId="17"/>
  </si>
  <si>
    <t>11/1</t>
    <phoneticPr fontId="17"/>
  </si>
  <si>
    <t>11/2</t>
    <phoneticPr fontId="17"/>
  </si>
  <si>
    <t>11/6</t>
    <phoneticPr fontId="17"/>
  </si>
  <si>
    <t>11/8</t>
    <phoneticPr fontId="17"/>
  </si>
  <si>
    <t>11/9</t>
    <phoneticPr fontId="17"/>
  </si>
  <si>
    <t>11/10</t>
    <phoneticPr fontId="17"/>
  </si>
  <si>
    <t>11/13</t>
    <phoneticPr fontId="17"/>
  </si>
  <si>
    <t>11/14</t>
    <phoneticPr fontId="17"/>
  </si>
  <si>
    <t>日東関東</t>
    <rPh sb="2" eb="4">
      <t>カントウ</t>
    </rPh>
    <phoneticPr fontId="20"/>
  </si>
  <si>
    <t>11/15</t>
    <phoneticPr fontId="17"/>
  </si>
  <si>
    <t>11/16</t>
    <phoneticPr fontId="17"/>
  </si>
  <si>
    <t>11/17</t>
    <phoneticPr fontId="17"/>
  </si>
  <si>
    <t>11/20</t>
    <phoneticPr fontId="17"/>
  </si>
  <si>
    <t>11/21</t>
    <phoneticPr fontId="17"/>
  </si>
  <si>
    <t>11/22</t>
    <phoneticPr fontId="17"/>
  </si>
  <si>
    <t>保留品処置</t>
    <rPh sb="0" eb="3">
      <t>ホリュウヒン</t>
    </rPh>
    <rPh sb="3" eb="5">
      <t>ショチ</t>
    </rPh>
    <phoneticPr fontId="17"/>
  </si>
  <si>
    <t>11/23</t>
    <phoneticPr fontId="17"/>
  </si>
  <si>
    <t>11/24</t>
    <phoneticPr fontId="17"/>
  </si>
  <si>
    <t>11/25</t>
    <phoneticPr fontId="17"/>
  </si>
  <si>
    <t>11/26</t>
    <phoneticPr fontId="17"/>
  </si>
  <si>
    <t>11/27</t>
    <phoneticPr fontId="17"/>
  </si>
  <si>
    <t>11/28</t>
    <phoneticPr fontId="17"/>
  </si>
  <si>
    <t>DMSEYK</t>
  </si>
  <si>
    <t>ＤＭＳ　ＥＹＫ</t>
  </si>
  <si>
    <t>11/29</t>
    <phoneticPr fontId="17"/>
  </si>
  <si>
    <t>ﾘｰﾄﾞ作成</t>
    <rPh sb="4" eb="6">
      <t>サクセイ</t>
    </rPh>
    <phoneticPr fontId="17"/>
  </si>
  <si>
    <t>PETV</t>
  </si>
  <si>
    <t>ＰＥＴ　Ｖ</t>
  </si>
  <si>
    <t>栗村化学</t>
  </si>
  <si>
    <t>11/30</t>
    <phoneticPr fontId="17"/>
  </si>
  <si>
    <t>12/1</t>
    <phoneticPr fontId="17"/>
  </si>
  <si>
    <t>12/2</t>
    <phoneticPr fontId="17"/>
  </si>
  <si>
    <t>12/3</t>
    <phoneticPr fontId="17"/>
  </si>
  <si>
    <t>12/4</t>
    <phoneticPr fontId="17"/>
  </si>
  <si>
    <t>12/6</t>
    <phoneticPr fontId="17"/>
  </si>
  <si>
    <t>12/7</t>
    <phoneticPr fontId="17"/>
  </si>
  <si>
    <t>12/8</t>
    <phoneticPr fontId="17"/>
  </si>
  <si>
    <t>12/12</t>
    <phoneticPr fontId="17"/>
  </si>
  <si>
    <t>12/18</t>
    <phoneticPr fontId="17"/>
  </si>
  <si>
    <t>12/19</t>
    <phoneticPr fontId="17"/>
  </si>
  <si>
    <t>R80</t>
    <phoneticPr fontId="20"/>
  </si>
  <si>
    <t>㈱富士セラミックス</t>
    <rPh sb="1" eb="3">
      <t>フジ</t>
    </rPh>
    <phoneticPr fontId="20"/>
  </si>
  <si>
    <t>積水化学工業多賀工場</t>
    <rPh sb="0" eb="2">
      <t>セキスイ</t>
    </rPh>
    <rPh sb="2" eb="4">
      <t>カガク</t>
    </rPh>
    <rPh sb="4" eb="6">
      <t>コウギョウ</t>
    </rPh>
    <rPh sb="6" eb="8">
      <t>タガ</t>
    </rPh>
    <rPh sb="8" eb="10">
      <t>コウジョウ</t>
    </rPh>
    <phoneticPr fontId="20"/>
  </si>
  <si>
    <t>12/14</t>
    <phoneticPr fontId="17"/>
  </si>
  <si>
    <t>12/15</t>
    <phoneticPr fontId="17"/>
  </si>
  <si>
    <t>12/20</t>
    <phoneticPr fontId="17"/>
  </si>
  <si>
    <t>12/21</t>
    <phoneticPr fontId="17"/>
  </si>
  <si>
    <t>12/22</t>
    <phoneticPr fontId="17"/>
  </si>
  <si>
    <t>火</t>
    <rPh sb="0" eb="1">
      <t>ヒ</t>
    </rPh>
    <phoneticPr fontId="17"/>
  </si>
  <si>
    <t>原価ｷｰ</t>
    <rPh sb="0" eb="2">
      <t>ゲンカ</t>
    </rPh>
    <phoneticPr fontId="17"/>
  </si>
  <si>
    <t>品名訳</t>
  </si>
  <si>
    <t>品区</t>
  </si>
  <si>
    <t>取扱年月</t>
  </si>
  <si>
    <t>標準原価</t>
  </si>
  <si>
    <t>収率</t>
  </si>
  <si>
    <t>第２収率</t>
  </si>
  <si>
    <t>第１主原材料費</t>
  </si>
  <si>
    <t>第２主原材料費</t>
  </si>
  <si>
    <t>主原外注加工費</t>
  </si>
  <si>
    <t>主原その他費１</t>
  </si>
  <si>
    <t>主原その他費２</t>
  </si>
  <si>
    <t>副原料費</t>
  </si>
  <si>
    <t>荷材費</t>
  </si>
  <si>
    <t>工場消耗費</t>
  </si>
  <si>
    <t>エネルギー費</t>
  </si>
  <si>
    <t>外注その他</t>
  </si>
  <si>
    <t>比例その他費１</t>
  </si>
  <si>
    <t>直接固定費</t>
  </si>
  <si>
    <t>間接固定費</t>
  </si>
  <si>
    <t>固定その他費１</t>
  </si>
  <si>
    <t>固定その他費２</t>
  </si>
  <si>
    <t>メタ原価区分</t>
  </si>
  <si>
    <t>比例費</t>
    <rPh sb="0" eb="2">
      <t>ヒレイ</t>
    </rPh>
    <rPh sb="2" eb="3">
      <t>ヒ</t>
    </rPh>
    <phoneticPr fontId="17"/>
  </si>
  <si>
    <t>固定費</t>
    <rPh sb="0" eb="3">
      <t>コテイヒ</t>
    </rPh>
    <phoneticPr fontId="17"/>
  </si>
  <si>
    <t>標準-固定費</t>
    <rPh sb="0" eb="2">
      <t>ヒョウジュン</t>
    </rPh>
    <rPh sb="3" eb="6">
      <t>コテイヒ</t>
    </rPh>
    <phoneticPr fontId="17"/>
  </si>
  <si>
    <t>販売単価</t>
    <rPh sb="0" eb="2">
      <t>ハンバイ</t>
    </rPh>
    <rPh sb="2" eb="4">
      <t>タンカ</t>
    </rPh>
    <phoneticPr fontId="17"/>
  </si>
  <si>
    <t>限界利益</t>
    <rPh sb="0" eb="2">
      <t>ゲンカイ</t>
    </rPh>
    <rPh sb="2" eb="4">
      <t>リエキ</t>
    </rPh>
    <phoneticPr fontId="17"/>
  </si>
  <si>
    <t>限界利益＝販売単価-（主原+比例）</t>
    <rPh sb="0" eb="2">
      <t>ゲンカイ</t>
    </rPh>
    <rPh sb="2" eb="4">
      <t>リエキ</t>
    </rPh>
    <rPh sb="5" eb="7">
      <t>ハンバイ</t>
    </rPh>
    <rPh sb="7" eb="9">
      <t>タンカ</t>
    </rPh>
    <rPh sb="11" eb="12">
      <t>シュ</t>
    </rPh>
    <rPh sb="12" eb="13">
      <t>ゲン</t>
    </rPh>
    <rPh sb="14" eb="16">
      <t>ヒレイ</t>
    </rPh>
    <phoneticPr fontId="17"/>
  </si>
  <si>
    <t>B</t>
  </si>
  <si>
    <t>セラピール</t>
  </si>
  <si>
    <t>K</t>
  </si>
  <si>
    <t>A</t>
  </si>
  <si>
    <t>Ｃラベル</t>
  </si>
  <si>
    <t>ＭＣラベル</t>
  </si>
  <si>
    <t>Ｍラベル</t>
  </si>
  <si>
    <t>C</t>
  </si>
  <si>
    <t>BX8A14</t>
    <phoneticPr fontId="56"/>
  </si>
  <si>
    <t>MDAPR</t>
  </si>
  <si>
    <t>BQT</t>
    <phoneticPr fontId="17"/>
  </si>
  <si>
    <t>BKERXP</t>
  </si>
  <si>
    <t>75P</t>
    <phoneticPr fontId="17"/>
  </si>
  <si>
    <t>3H</t>
    <phoneticPr fontId="17"/>
  </si>
  <si>
    <t>12/23</t>
    <phoneticPr fontId="17"/>
  </si>
  <si>
    <t>12/24</t>
    <phoneticPr fontId="17"/>
  </si>
  <si>
    <t>12/25</t>
    <phoneticPr fontId="17"/>
  </si>
  <si>
    <t>12/26</t>
    <phoneticPr fontId="17"/>
  </si>
  <si>
    <t>巻足し</t>
    <rPh sb="0" eb="2">
      <t>マキタ</t>
    </rPh>
    <phoneticPr fontId="17"/>
  </si>
  <si>
    <t>12/27</t>
    <phoneticPr fontId="17"/>
  </si>
  <si>
    <t>水</t>
    <rPh sb="0" eb="1">
      <t>スイ</t>
    </rPh>
    <phoneticPr fontId="17"/>
  </si>
  <si>
    <t>12/28</t>
    <phoneticPr fontId="17"/>
  </si>
  <si>
    <t>1/1</t>
    <phoneticPr fontId="17"/>
  </si>
  <si>
    <t>1/2</t>
    <phoneticPr fontId="17"/>
  </si>
  <si>
    <t>1/3</t>
    <phoneticPr fontId="17"/>
  </si>
  <si>
    <t>1/4</t>
    <phoneticPr fontId="17"/>
  </si>
  <si>
    <t>1/5</t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</si>
  <si>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</si>
  <si>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</si>
  <si>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</si>
  <si>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</si>
  <si>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</si>
  <si>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火</t>
    <rPh sb="0" eb="1">
      <t>カ</t>
    </rPh>
    <phoneticPr fontId="17"/>
  </si>
  <si>
    <t>立上げ</t>
    <rPh sb="0" eb="2">
      <t>タチア</t>
    </rPh>
    <phoneticPr fontId="17"/>
  </si>
  <si>
    <t>14:00</t>
    <phoneticPr fontId="17"/>
  </si>
  <si>
    <t>日東シンコー㈱</t>
  </si>
  <si>
    <t>工材３部工材１課</t>
  </si>
  <si>
    <t>フジコピアン　岡山</t>
  </si>
  <si>
    <t>セラピール　　　　　　　　　　　ＷＺ（Ｕ）</t>
  </si>
  <si>
    <t>1/6</t>
    <phoneticPr fontId="17"/>
  </si>
  <si>
    <t>1/7</t>
    <phoneticPr fontId="17"/>
  </si>
  <si>
    <t>1/8</t>
    <phoneticPr fontId="17"/>
  </si>
  <si>
    <t>1/9</t>
    <phoneticPr fontId="17"/>
  </si>
  <si>
    <t>1/10</t>
    <phoneticPr fontId="17"/>
  </si>
  <si>
    <t>1/11</t>
    <phoneticPr fontId="17"/>
  </si>
  <si>
    <t>1/12</t>
    <phoneticPr fontId="17"/>
  </si>
  <si>
    <t>1/13</t>
    <phoneticPr fontId="17"/>
  </si>
  <si>
    <t>1/14</t>
    <phoneticPr fontId="17"/>
  </si>
  <si>
    <t>1/15</t>
    <phoneticPr fontId="17"/>
  </si>
  <si>
    <t>1/16</t>
    <phoneticPr fontId="17"/>
  </si>
  <si>
    <t>1/17</t>
    <phoneticPr fontId="17"/>
  </si>
  <si>
    <t>日東シンコー(株)</t>
    <rPh sb="0" eb="2">
      <t>ニットウ</t>
    </rPh>
    <rPh sb="6" eb="9">
      <t>カブシキガイシャ</t>
    </rPh>
    <phoneticPr fontId="20"/>
  </si>
  <si>
    <t>7/1</t>
    <phoneticPr fontId="17"/>
  </si>
  <si>
    <t>T</t>
    <phoneticPr fontId="17"/>
  </si>
  <si>
    <t>CLB</t>
    <phoneticPr fontId="17"/>
  </si>
  <si>
    <t>6ｲﾝﾁMｺｱ</t>
    <phoneticPr fontId="17"/>
  </si>
  <si>
    <t>機能材料G　中野部員</t>
    <rPh sb="0" eb="2">
      <t>ザイリョウ</t>
    </rPh>
    <rPh sb="4" eb="6">
      <t>ナカノ</t>
    </rPh>
    <rPh sb="6" eb="8">
      <t>ブイン</t>
    </rPh>
    <phoneticPr fontId="5"/>
  </si>
  <si>
    <t>1/11</t>
    <phoneticPr fontId="17"/>
  </si>
  <si>
    <t>1/12</t>
    <phoneticPr fontId="17"/>
  </si>
  <si>
    <t>1/13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</si>
  <si>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</si>
  <si>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</si>
  <si>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</si>
  <si>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14:00</t>
    <phoneticPr fontId="17"/>
  </si>
  <si>
    <t>1/14</t>
    <phoneticPr fontId="17"/>
  </si>
  <si>
    <t>土</t>
    <rPh sb="0" eb="1">
      <t>ド</t>
    </rPh>
    <phoneticPr fontId="17"/>
  </si>
  <si>
    <t>1/15</t>
    <phoneticPr fontId="17"/>
  </si>
  <si>
    <t>日</t>
    <rPh sb="0" eb="1">
      <t>ニチ</t>
    </rPh>
    <phoneticPr fontId="17"/>
  </si>
  <si>
    <t>1/16</t>
    <phoneticPr fontId="17"/>
  </si>
  <si>
    <t>月</t>
    <rPh sb="0" eb="1">
      <t>ゲツ</t>
    </rPh>
    <phoneticPr fontId="17"/>
  </si>
  <si>
    <t>1/17</t>
    <phoneticPr fontId="17"/>
  </si>
  <si>
    <t>火</t>
    <rPh sb="0" eb="1">
      <t>カ</t>
    </rPh>
    <phoneticPr fontId="17"/>
  </si>
  <si>
    <t>1/18</t>
    <phoneticPr fontId="17"/>
  </si>
  <si>
    <t>1/19</t>
    <phoneticPr fontId="17"/>
  </si>
  <si>
    <t>1/20</t>
    <phoneticPr fontId="17"/>
  </si>
  <si>
    <t>1/21</t>
    <phoneticPr fontId="17"/>
  </si>
  <si>
    <t>1/22</t>
    <phoneticPr fontId="17"/>
  </si>
  <si>
    <t>1/23</t>
    <phoneticPr fontId="17"/>
  </si>
  <si>
    <t>1/24</t>
    <phoneticPr fontId="17"/>
  </si>
  <si>
    <t>1/25</t>
    <phoneticPr fontId="17"/>
  </si>
  <si>
    <t>1/26</t>
    <phoneticPr fontId="17"/>
  </si>
  <si>
    <t>1/27</t>
    <phoneticPr fontId="17"/>
  </si>
  <si>
    <t>保留品</t>
    <rPh sb="0" eb="3">
      <t>ホリュウヒン</t>
    </rPh>
    <phoneticPr fontId="17"/>
  </si>
  <si>
    <t>巻返し</t>
    <rPh sb="0" eb="2">
      <t>マキカエ</t>
    </rPh>
    <phoneticPr fontId="17"/>
  </si>
  <si>
    <t>1/18</t>
    <phoneticPr fontId="17"/>
  </si>
  <si>
    <t>水</t>
    <rPh sb="0" eb="1">
      <t>スイ</t>
    </rPh>
    <phoneticPr fontId="17"/>
  </si>
  <si>
    <t>1/20</t>
    <phoneticPr fontId="17"/>
  </si>
  <si>
    <t>金</t>
    <rPh sb="0" eb="1">
      <t>キン</t>
    </rPh>
    <phoneticPr fontId="17"/>
  </si>
  <si>
    <t>6ｲﾝﾁSｺｱ</t>
  </si>
  <si>
    <t>1/21</t>
    <phoneticPr fontId="17"/>
  </si>
  <si>
    <t>1/22</t>
    <phoneticPr fontId="17"/>
  </si>
  <si>
    <t>1/23</t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</si>
  <si>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</si>
  <si>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</si>
  <si>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</si>
  <si>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17:00</t>
    <phoneticPr fontId="17"/>
  </si>
  <si>
    <t>工程管理はS5</t>
    <rPh sb="0" eb="1">
      <t>コウテイ</t>
    </rPh>
    <rPh sb="1" eb="3">
      <t>カンリ</t>
    </rPh>
    <phoneticPr fontId="17"/>
  </si>
  <si>
    <t>1/24</t>
    <phoneticPr fontId="17"/>
  </si>
  <si>
    <t>火</t>
    <rPh sb="0" eb="1">
      <t>カ</t>
    </rPh>
    <phoneticPr fontId="17"/>
  </si>
  <si>
    <t>1/25</t>
    <phoneticPr fontId="17"/>
  </si>
  <si>
    <t>ﾘｰﾄﾞ作成</t>
    <rPh sb="4" eb="6">
      <t>サクセイ</t>
    </rPh>
    <phoneticPr fontId="17"/>
  </si>
  <si>
    <t>1/28</t>
    <phoneticPr fontId="17"/>
  </si>
  <si>
    <t>TICU</t>
  </si>
  <si>
    <t>メタルミーＣＲ　アルミ面コート</t>
    <rPh sb="11" eb="12">
      <t>メン</t>
    </rPh>
    <phoneticPr fontId="16"/>
  </si>
  <si>
    <t>日東豊橋</t>
    <rPh sb="0" eb="4">
      <t>ニットウトヨハシ</t>
    </rPh>
    <phoneticPr fontId="16"/>
  </si>
  <si>
    <t>1/29</t>
    <phoneticPr fontId="17"/>
  </si>
  <si>
    <t>ﾘｰﾄﾞ作成</t>
    <rPh sb="4" eb="6">
      <t>サクセイ</t>
    </rPh>
    <phoneticPr fontId="17"/>
  </si>
  <si>
    <t>3SYMLBMSNMBF50</t>
  </si>
  <si>
    <t>S4+S5</t>
    <phoneticPr fontId="17"/>
  </si>
  <si>
    <t>工程管理はS4</t>
    <rPh sb="0" eb="3">
      <t>コウテイカンリ</t>
    </rPh>
    <phoneticPr fontId="17"/>
  </si>
  <si>
    <t>スリット</t>
    <phoneticPr fontId="17"/>
  </si>
  <si>
    <t>6ｲﾝﾁMｺｱ</t>
  </si>
  <si>
    <t>日東電工豊橋</t>
    <rPh sb="0" eb="2">
      <t>ニットウ</t>
    </rPh>
    <rPh sb="2" eb="4">
      <t>デンコウ</t>
    </rPh>
    <rPh sb="4" eb="6">
      <t>トヨハシ</t>
    </rPh>
    <phoneticPr fontId="20"/>
  </si>
  <si>
    <t>S28</t>
    <phoneticPr fontId="17"/>
  </si>
  <si>
    <t>巻足し</t>
    <rPh sb="0" eb="2">
      <t>マキタ</t>
    </rPh>
    <phoneticPr fontId="17"/>
  </si>
  <si>
    <t>土</t>
    <rPh sb="0" eb="1">
      <t>ド</t>
    </rPh>
    <phoneticPr fontId="17"/>
  </si>
  <si>
    <t>1/29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</si>
  <si>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</si>
  <si>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</si>
  <si>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1/30</t>
    <phoneticPr fontId="17"/>
  </si>
  <si>
    <t>月</t>
    <rPh sb="0" eb="1">
      <t>ゲツ</t>
    </rPh>
    <phoneticPr fontId="17"/>
  </si>
  <si>
    <t>1/31</t>
    <phoneticPr fontId="17"/>
  </si>
  <si>
    <t>火</t>
    <rPh sb="0" eb="1">
      <t>カ</t>
    </rPh>
    <phoneticPr fontId="17"/>
  </si>
  <si>
    <t>2/1</t>
    <phoneticPr fontId="17"/>
  </si>
  <si>
    <t>水</t>
    <rPh sb="0" eb="1">
      <t>スイ</t>
    </rPh>
    <phoneticPr fontId="17"/>
  </si>
  <si>
    <t>2/2</t>
    <phoneticPr fontId="17"/>
  </si>
  <si>
    <t>木</t>
    <rPh sb="0" eb="1">
      <t>モク</t>
    </rPh>
    <phoneticPr fontId="17"/>
  </si>
  <si>
    <t>2/3</t>
    <phoneticPr fontId="17"/>
  </si>
  <si>
    <t>金</t>
    <rPh sb="0" eb="1">
      <t>キン</t>
    </rPh>
    <phoneticPr fontId="17"/>
  </si>
  <si>
    <t>2/4</t>
    <phoneticPr fontId="17"/>
  </si>
  <si>
    <t>2/5</t>
    <phoneticPr fontId="17"/>
  </si>
  <si>
    <t>2/6</t>
    <phoneticPr fontId="17"/>
  </si>
  <si>
    <t>リード付け</t>
    <rPh sb="3" eb="4">
      <t>ツ</t>
    </rPh>
    <phoneticPr fontId="17"/>
  </si>
  <si>
    <t>2/7</t>
    <phoneticPr fontId="17"/>
  </si>
  <si>
    <t>2/8</t>
    <phoneticPr fontId="17"/>
  </si>
  <si>
    <t>2/9</t>
    <phoneticPr fontId="17"/>
  </si>
  <si>
    <t>2/11</t>
    <phoneticPr fontId="17"/>
  </si>
  <si>
    <t>2/12</t>
    <phoneticPr fontId="17"/>
  </si>
  <si>
    <t>2/13</t>
    <phoneticPr fontId="17"/>
  </si>
  <si>
    <t>1/27</t>
    <phoneticPr fontId="17"/>
  </si>
  <si>
    <t>金</t>
    <rPh sb="0" eb="1">
      <t>キン</t>
    </rPh>
    <phoneticPr fontId="17"/>
  </si>
  <si>
    <t>1/28</t>
    <phoneticPr fontId="17"/>
  </si>
  <si>
    <t>土</t>
    <rPh sb="0" eb="1">
      <t>ド</t>
    </rPh>
    <phoneticPr fontId="17"/>
  </si>
  <si>
    <t>2/1</t>
    <phoneticPr fontId="17"/>
  </si>
  <si>
    <t>水</t>
    <rPh sb="0" eb="1">
      <t>スイ</t>
    </rPh>
    <phoneticPr fontId="17"/>
  </si>
  <si>
    <t>2/2</t>
    <phoneticPr fontId="17"/>
  </si>
  <si>
    <t>木</t>
    <rPh sb="0" eb="1">
      <t>モク</t>
    </rPh>
    <phoneticPr fontId="17"/>
  </si>
  <si>
    <t>TAF在庫</t>
    <rPh sb="3" eb="5">
      <t>ザイコ</t>
    </rPh>
    <phoneticPr fontId="17"/>
  </si>
  <si>
    <t>1/31</t>
    <phoneticPr fontId="17"/>
  </si>
  <si>
    <t>火</t>
    <rPh sb="0" eb="1">
      <t>ヒ</t>
    </rPh>
    <phoneticPr fontId="17"/>
  </si>
  <si>
    <t>生技テスト</t>
    <rPh sb="0" eb="1">
      <t>ギ</t>
    </rPh>
    <phoneticPr fontId="17"/>
  </si>
  <si>
    <t>河村産業</t>
    <rPh sb="0" eb="2">
      <t>カワムラ</t>
    </rPh>
    <rPh sb="2" eb="4">
      <t>サンギョウ</t>
    </rPh>
    <phoneticPr fontId="20"/>
  </si>
  <si>
    <t>㈱ﾚｿﾞﾅｯｸ五井事業所</t>
    <rPh sb="7" eb="9">
      <t>ゴイ</t>
    </rPh>
    <rPh sb="9" eb="12">
      <t>ジギョウショ</t>
    </rPh>
    <phoneticPr fontId="20"/>
  </si>
  <si>
    <t>2/10</t>
    <phoneticPr fontId="17"/>
  </si>
  <si>
    <t>金</t>
    <rPh sb="0" eb="1">
      <t>キン</t>
    </rPh>
    <phoneticPr fontId="17"/>
  </si>
  <si>
    <t>2/14</t>
    <phoneticPr fontId="17"/>
  </si>
  <si>
    <t>2/3</t>
    <phoneticPr fontId="17"/>
  </si>
  <si>
    <t>金</t>
    <rPh sb="0" eb="1">
      <t>キン</t>
    </rPh>
    <phoneticPr fontId="17"/>
  </si>
  <si>
    <t>2/4</t>
    <phoneticPr fontId="17"/>
  </si>
  <si>
    <t>土</t>
    <rPh sb="0" eb="1">
      <t>ド</t>
    </rPh>
    <phoneticPr fontId="17"/>
  </si>
  <si>
    <t>2/5</t>
    <phoneticPr fontId="17"/>
  </si>
  <si>
    <t>日</t>
    <rPh sb="0" eb="1">
      <t>ニチ</t>
    </rPh>
    <phoneticPr fontId="17"/>
  </si>
  <si>
    <t>2/6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</si>
  <si>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</si>
  <si>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</si>
  <si>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2/11</t>
    <phoneticPr fontId="17"/>
  </si>
  <si>
    <t>2/12</t>
    <phoneticPr fontId="17"/>
  </si>
  <si>
    <t>2/18</t>
    <phoneticPr fontId="17"/>
  </si>
  <si>
    <t>2/19</t>
    <phoneticPr fontId="17"/>
  </si>
  <si>
    <t>2/23</t>
    <phoneticPr fontId="17"/>
  </si>
  <si>
    <t>2/24</t>
    <phoneticPr fontId="17"/>
  </si>
  <si>
    <t>2/25</t>
    <phoneticPr fontId="17"/>
  </si>
  <si>
    <t>2/26</t>
    <phoneticPr fontId="17"/>
  </si>
  <si>
    <t>2/27</t>
    <phoneticPr fontId="17"/>
  </si>
  <si>
    <t>2/28</t>
    <phoneticPr fontId="17"/>
  </si>
  <si>
    <t>巻返し</t>
    <rPh sb="0" eb="2">
      <t>マキカエ</t>
    </rPh>
    <phoneticPr fontId="17"/>
  </si>
  <si>
    <t>2/10</t>
    <phoneticPr fontId="17"/>
  </si>
  <si>
    <t>金</t>
    <rPh sb="0" eb="1">
      <t>キン</t>
    </rPh>
    <phoneticPr fontId="17"/>
  </si>
  <si>
    <t>2/15</t>
    <phoneticPr fontId="17"/>
  </si>
  <si>
    <t>水</t>
    <rPh sb="0" eb="1">
      <t>スイ</t>
    </rPh>
    <phoneticPr fontId="17"/>
  </si>
  <si>
    <t>2/16</t>
    <phoneticPr fontId="17"/>
  </si>
  <si>
    <t>木</t>
    <rPh sb="0" eb="1">
      <t>モク</t>
    </rPh>
    <phoneticPr fontId="17"/>
  </si>
  <si>
    <t>2/17</t>
    <phoneticPr fontId="17"/>
  </si>
  <si>
    <t>2/20</t>
    <phoneticPr fontId="17"/>
  </si>
  <si>
    <t>2/22</t>
    <phoneticPr fontId="17"/>
  </si>
  <si>
    <t>3ｲﾝﾁSｺｱ</t>
  </si>
  <si>
    <t>リード作成</t>
    <rPh sb="3" eb="5">
      <t>サクセイ</t>
    </rPh>
    <phoneticPr fontId="17"/>
  </si>
  <si>
    <t>欠点検出器年次点検</t>
    <rPh sb="0" eb="1">
      <t>ケッテン</t>
    </rPh>
    <rPh sb="1" eb="4">
      <t>ケンシュツキ</t>
    </rPh>
    <rPh sb="4" eb="6">
      <t>ネンジ</t>
    </rPh>
    <rPh sb="6" eb="8">
      <t>テンケン</t>
    </rPh>
    <phoneticPr fontId="17"/>
  </si>
  <si>
    <t>決算棚卸し</t>
    <rPh sb="0" eb="2">
      <t>ケッサン</t>
    </rPh>
    <rPh sb="2" eb="4">
      <t>タナオロ</t>
    </rPh>
    <phoneticPr fontId="17"/>
  </si>
  <si>
    <t>巻返し</t>
    <rPh sb="0" eb="2">
      <t>マキカエ</t>
    </rPh>
    <phoneticPr fontId="17"/>
  </si>
  <si>
    <t>2/15</t>
    <phoneticPr fontId="17"/>
  </si>
  <si>
    <t>水</t>
    <rPh sb="0" eb="1">
      <t>スイ</t>
    </rPh>
    <phoneticPr fontId="17"/>
  </si>
  <si>
    <t>2/16</t>
    <phoneticPr fontId="17"/>
  </si>
  <si>
    <t>木</t>
    <rPh sb="0" eb="1">
      <t>モク</t>
    </rPh>
    <phoneticPr fontId="17"/>
  </si>
  <si>
    <t>2/17</t>
    <phoneticPr fontId="17"/>
  </si>
  <si>
    <t>金</t>
    <rPh sb="0" eb="1">
      <t>キン</t>
    </rPh>
    <phoneticPr fontId="17"/>
  </si>
  <si>
    <t>月</t>
    <rPh sb="0" eb="1">
      <t>ゲツ</t>
    </rPh>
    <phoneticPr fontId="17"/>
  </si>
  <si>
    <t>2/21</t>
    <phoneticPr fontId="17"/>
  </si>
  <si>
    <t>火</t>
    <rPh sb="0" eb="1">
      <t>ヒ</t>
    </rPh>
    <phoneticPr fontId="17"/>
  </si>
  <si>
    <t>2/23</t>
    <phoneticPr fontId="17"/>
  </si>
  <si>
    <t>2/24</t>
    <phoneticPr fontId="17"/>
  </si>
  <si>
    <t>ﾘｰﾄﾞ作成</t>
    <rPh sb="4" eb="6">
      <t>サクセイ</t>
    </rPh>
    <phoneticPr fontId="17"/>
  </si>
  <si>
    <t>2/25</t>
    <phoneticPr fontId="17"/>
  </si>
  <si>
    <t>土</t>
    <rPh sb="0" eb="1">
      <t>ド</t>
    </rPh>
    <phoneticPr fontId="17"/>
  </si>
  <si>
    <t>2/26</t>
    <phoneticPr fontId="17"/>
  </si>
  <si>
    <t>日</t>
    <rPh sb="0" eb="1">
      <t>ニチ</t>
    </rPh>
    <phoneticPr fontId="17"/>
  </si>
  <si>
    <t>2/27</t>
    <phoneticPr fontId="17"/>
  </si>
  <si>
    <t>2/28</t>
    <phoneticPr fontId="17"/>
  </si>
  <si>
    <t>棚卸し</t>
    <rPh sb="0" eb="2">
      <t>タナオロ</t>
    </rPh>
    <phoneticPr fontId="17"/>
  </si>
  <si>
    <t>3SNMLBMDMSJF</t>
  </si>
  <si>
    <t/>
  </si>
  <si>
    <t>2/21</t>
    <phoneticPr fontId="17"/>
  </si>
  <si>
    <t>火</t>
    <rPh sb="0" eb="1">
      <t>ヒ</t>
    </rPh>
    <phoneticPr fontId="17"/>
  </si>
  <si>
    <t>※工程管理S-5</t>
    <rPh sb="0" eb="2">
      <t>コウテイ</t>
    </rPh>
    <rPh sb="2" eb="4">
      <t>カンリ</t>
    </rPh>
    <phoneticPr fontId="17"/>
  </si>
  <si>
    <t>改装</t>
    <rPh sb="0" eb="2">
      <t>カイソウ</t>
    </rPh>
    <phoneticPr fontId="17"/>
  </si>
  <si>
    <t>3/1</t>
    <phoneticPr fontId="17"/>
  </si>
  <si>
    <t>水</t>
    <rPh sb="0" eb="1">
      <t>スイ</t>
    </rPh>
    <phoneticPr fontId="17"/>
  </si>
  <si>
    <t>巻足し</t>
    <rPh sb="0" eb="1">
      <t>マキ</t>
    </rPh>
    <rPh sb="1" eb="2">
      <t>タ</t>
    </rPh>
    <phoneticPr fontId="17"/>
  </si>
  <si>
    <t>3/2</t>
    <phoneticPr fontId="17"/>
  </si>
  <si>
    <t>木</t>
    <rPh sb="0" eb="1">
      <t>モク</t>
    </rPh>
    <phoneticPr fontId="17"/>
  </si>
  <si>
    <t>3/3</t>
    <phoneticPr fontId="17"/>
  </si>
  <si>
    <t>金</t>
    <rPh sb="0" eb="1">
      <t>キン</t>
    </rPh>
    <phoneticPr fontId="17"/>
  </si>
  <si>
    <t>3/4</t>
    <phoneticPr fontId="17"/>
  </si>
  <si>
    <t>土</t>
    <rPh sb="0" eb="1">
      <t>ド</t>
    </rPh>
    <phoneticPr fontId="17"/>
  </si>
  <si>
    <t>3/5</t>
    <phoneticPr fontId="17"/>
  </si>
  <si>
    <t>日</t>
    <rPh sb="0" eb="1">
      <t>ニチ</t>
    </rPh>
    <phoneticPr fontId="17"/>
  </si>
  <si>
    <t>3/6</t>
    <phoneticPr fontId="17"/>
  </si>
  <si>
    <t>月</t>
    <rPh sb="0" eb="1">
      <t>ゲツ</t>
    </rPh>
    <phoneticPr fontId="17"/>
  </si>
  <si>
    <t>3/7</t>
    <phoneticPr fontId="17"/>
  </si>
  <si>
    <t>火</t>
    <rPh sb="0" eb="1">
      <t>ヒ</t>
    </rPh>
    <phoneticPr fontId="17"/>
  </si>
  <si>
    <t>3/8</t>
    <phoneticPr fontId="17"/>
  </si>
  <si>
    <t>3/9</t>
    <phoneticPr fontId="17"/>
  </si>
  <si>
    <t>3/10</t>
    <phoneticPr fontId="17"/>
  </si>
  <si>
    <t>3/11</t>
    <phoneticPr fontId="17"/>
  </si>
  <si>
    <t>3/12</t>
    <phoneticPr fontId="17"/>
  </si>
  <si>
    <t>3/13</t>
    <phoneticPr fontId="17"/>
  </si>
  <si>
    <t>リード付け</t>
    <rPh sb="3" eb="4">
      <t>ツ</t>
    </rPh>
    <phoneticPr fontId="17"/>
  </si>
  <si>
    <t>3/14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</si>
  <si>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</si>
  <si>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</si>
  <si>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</si>
  <si>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</si>
  <si>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</si>
  <si>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</si>
  <si>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巻返し</t>
    <rPh sb="0" eb="2">
      <t>マキカエ</t>
    </rPh>
    <phoneticPr fontId="17"/>
  </si>
  <si>
    <t>火</t>
    <rPh sb="0" eb="1">
      <t>ヒ</t>
    </rPh>
    <phoneticPr fontId="17"/>
  </si>
  <si>
    <t>3/15</t>
    <phoneticPr fontId="17"/>
  </si>
  <si>
    <t>3/16</t>
    <phoneticPr fontId="17"/>
  </si>
  <si>
    <t>3/17</t>
    <phoneticPr fontId="17"/>
  </si>
  <si>
    <t>3/18</t>
    <phoneticPr fontId="17"/>
  </si>
  <si>
    <t>3/19</t>
    <phoneticPr fontId="17"/>
  </si>
  <si>
    <t>3/20</t>
    <phoneticPr fontId="17"/>
  </si>
  <si>
    <t>スリット</t>
  </si>
  <si>
    <t>3/23</t>
    <phoneticPr fontId="17"/>
  </si>
  <si>
    <t>3/24</t>
    <phoneticPr fontId="17"/>
  </si>
  <si>
    <t>3/25</t>
    <phoneticPr fontId="17"/>
  </si>
  <si>
    <t>3/26</t>
    <phoneticPr fontId="17"/>
  </si>
  <si>
    <t>3/27</t>
    <phoneticPr fontId="17"/>
  </si>
  <si>
    <t>3/28</t>
    <phoneticPr fontId="17"/>
  </si>
  <si>
    <t>3/29</t>
    <phoneticPr fontId="17"/>
  </si>
  <si>
    <t>3/30</t>
    <phoneticPr fontId="17"/>
  </si>
  <si>
    <t>3/31</t>
    <phoneticPr fontId="17"/>
  </si>
  <si>
    <t>4/1</t>
    <phoneticPr fontId="17"/>
  </si>
  <si>
    <t>4/2</t>
    <phoneticPr fontId="17"/>
  </si>
  <si>
    <t>パナソニック　ＩＳ社</t>
    <rPh sb="9" eb="10">
      <t>シャ</t>
    </rPh>
    <phoneticPr fontId="20"/>
  </si>
  <si>
    <t>3/13</t>
    <phoneticPr fontId="17"/>
  </si>
  <si>
    <t>月</t>
    <rPh sb="0" eb="1">
      <t>ゲツ</t>
    </rPh>
    <phoneticPr fontId="17"/>
  </si>
  <si>
    <t>3/14</t>
    <phoneticPr fontId="17"/>
  </si>
  <si>
    <t>火</t>
    <rPh sb="0" eb="1">
      <t>ヒ</t>
    </rPh>
    <phoneticPr fontId="17"/>
  </si>
  <si>
    <t>3/15</t>
    <phoneticPr fontId="17"/>
  </si>
  <si>
    <t>水</t>
    <rPh sb="0" eb="1">
      <t>スイ</t>
    </rPh>
    <phoneticPr fontId="17"/>
  </si>
  <si>
    <t>3/16</t>
    <phoneticPr fontId="17"/>
  </si>
  <si>
    <t>木</t>
    <rPh sb="0" eb="1">
      <t>モク</t>
    </rPh>
    <phoneticPr fontId="17"/>
  </si>
  <si>
    <t>3/20</t>
    <phoneticPr fontId="17"/>
  </si>
  <si>
    <t>月</t>
    <rPh sb="0" eb="1">
      <t>ゲツ</t>
    </rPh>
    <phoneticPr fontId="17"/>
  </si>
  <si>
    <t>3/21</t>
    <phoneticPr fontId="17"/>
  </si>
  <si>
    <t>火</t>
    <rPh sb="0" eb="1">
      <t>ヒ</t>
    </rPh>
    <phoneticPr fontId="17"/>
  </si>
  <si>
    <t>3/22</t>
    <phoneticPr fontId="17"/>
  </si>
  <si>
    <t>水</t>
    <rPh sb="0" eb="1">
      <t>スイ</t>
    </rPh>
    <phoneticPr fontId="17"/>
  </si>
  <si>
    <t>HLGTF</t>
  </si>
  <si>
    <t>メタルミーヘヤライン銀艶</t>
  </si>
  <si>
    <t>BRIGHT</t>
    <phoneticPr fontId="20"/>
  </si>
  <si>
    <t>メタルミーヘヤライン銀艶</t>
    <rPh sb="10" eb="11">
      <t>ギン</t>
    </rPh>
    <rPh sb="11" eb="12">
      <t>ツヤ</t>
    </rPh>
    <phoneticPr fontId="20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</si>
  <si>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</si>
  <si>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</si>
  <si>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停機</t>
    <rPh sb="0" eb="2">
      <t>テイキ</t>
    </rPh>
    <phoneticPr fontId="17"/>
  </si>
  <si>
    <t>R80G</t>
    <phoneticPr fontId="20"/>
  </si>
  <si>
    <t>3/15</t>
    <phoneticPr fontId="17"/>
  </si>
  <si>
    <t>水</t>
    <rPh sb="0" eb="1">
      <t>スイ</t>
    </rPh>
    <phoneticPr fontId="17"/>
  </si>
  <si>
    <t>3/16</t>
    <phoneticPr fontId="17"/>
  </si>
  <si>
    <t>木</t>
    <rPh sb="0" eb="1">
      <t>モク</t>
    </rPh>
    <phoneticPr fontId="17"/>
  </si>
  <si>
    <t>3/17</t>
    <phoneticPr fontId="17"/>
  </si>
  <si>
    <t>金</t>
    <rPh sb="0" eb="1">
      <t>キン</t>
    </rPh>
    <phoneticPr fontId="17"/>
  </si>
  <si>
    <t>3/21</t>
    <phoneticPr fontId="17"/>
  </si>
  <si>
    <t>火</t>
    <rPh sb="0" eb="1">
      <t>ヒ</t>
    </rPh>
    <phoneticPr fontId="17"/>
  </si>
  <si>
    <t>3/22</t>
    <phoneticPr fontId="17"/>
  </si>
  <si>
    <t>3/23</t>
    <phoneticPr fontId="17"/>
  </si>
  <si>
    <t>3/24</t>
    <phoneticPr fontId="17"/>
  </si>
  <si>
    <t>－</t>
    <phoneticPr fontId="17"/>
  </si>
  <si>
    <t>4/5</t>
    <phoneticPr fontId="17"/>
  </si>
  <si>
    <t>水</t>
    <rPh sb="0" eb="1">
      <t>スイ</t>
    </rPh>
    <phoneticPr fontId="17"/>
  </si>
  <si>
    <t>4/3</t>
    <phoneticPr fontId="17"/>
  </si>
  <si>
    <t>月</t>
    <rPh sb="0" eb="1">
      <t>ゲツ</t>
    </rPh>
    <phoneticPr fontId="17"/>
  </si>
  <si>
    <t>切替</t>
    <rPh sb="0" eb="2">
      <t>キリカエ</t>
    </rPh>
    <phoneticPr fontId="17"/>
  </si>
  <si>
    <t>巻足し</t>
    <rPh sb="0" eb="1">
      <t>マキ</t>
    </rPh>
    <rPh sb="1" eb="2">
      <t>タ</t>
    </rPh>
    <phoneticPr fontId="17"/>
  </si>
  <si>
    <t>4/4</t>
    <phoneticPr fontId="17"/>
  </si>
  <si>
    <t>火</t>
    <rPh sb="0" eb="1">
      <t>ヒ</t>
    </rPh>
    <phoneticPr fontId="17"/>
  </si>
  <si>
    <t>4/6</t>
    <phoneticPr fontId="17"/>
  </si>
  <si>
    <t>木</t>
    <rPh sb="0" eb="1">
      <t>モク</t>
    </rPh>
    <phoneticPr fontId="17"/>
  </si>
  <si>
    <t>4/7</t>
    <phoneticPr fontId="17"/>
  </si>
  <si>
    <t>金</t>
    <rPh sb="0" eb="1">
      <t>キン</t>
    </rPh>
    <phoneticPr fontId="17"/>
  </si>
  <si>
    <t>4/8</t>
    <phoneticPr fontId="17"/>
  </si>
  <si>
    <t>土</t>
    <rPh sb="0" eb="1">
      <t>ド</t>
    </rPh>
    <phoneticPr fontId="17"/>
  </si>
  <si>
    <t>4/9</t>
    <phoneticPr fontId="17"/>
  </si>
  <si>
    <t>4/10</t>
    <phoneticPr fontId="17"/>
  </si>
  <si>
    <t>4/9</t>
    <phoneticPr fontId="17"/>
  </si>
  <si>
    <t>日</t>
    <rPh sb="0" eb="1">
      <t>ニチ</t>
    </rPh>
    <phoneticPr fontId="17"/>
  </si>
  <si>
    <t>停機</t>
    <rPh sb="0" eb="2">
      <t>テイキ</t>
    </rPh>
    <phoneticPr fontId="17"/>
  </si>
  <si>
    <t>4/11</t>
    <phoneticPr fontId="17"/>
  </si>
  <si>
    <t>4/12</t>
    <phoneticPr fontId="17"/>
  </si>
  <si>
    <t>水</t>
    <rPh sb="0" eb="1">
      <t>スイ</t>
    </rPh>
    <phoneticPr fontId="17"/>
  </si>
  <si>
    <t>4/13</t>
    <phoneticPr fontId="17"/>
  </si>
  <si>
    <t>木</t>
    <rPh sb="0" eb="1">
      <t>モク</t>
    </rPh>
    <phoneticPr fontId="17"/>
  </si>
  <si>
    <t>4/14</t>
    <phoneticPr fontId="17"/>
  </si>
  <si>
    <t>金</t>
    <rPh sb="0" eb="1">
      <t>キン</t>
    </rPh>
    <phoneticPr fontId="17"/>
  </si>
  <si>
    <t>4/15</t>
    <phoneticPr fontId="17"/>
  </si>
  <si>
    <t>土</t>
    <rPh sb="0" eb="1">
      <t>ド</t>
    </rPh>
    <phoneticPr fontId="17"/>
  </si>
  <si>
    <t>4/16</t>
    <phoneticPr fontId="17"/>
  </si>
  <si>
    <t>日</t>
    <rPh sb="0" eb="1">
      <t>ニチ</t>
    </rPh>
    <phoneticPr fontId="17"/>
  </si>
  <si>
    <t>4/10</t>
    <phoneticPr fontId="17"/>
  </si>
  <si>
    <t>月</t>
    <rPh sb="0" eb="1">
      <t>ゲツ</t>
    </rPh>
    <phoneticPr fontId="17"/>
  </si>
  <si>
    <t>4/11</t>
    <phoneticPr fontId="17"/>
  </si>
  <si>
    <t>火</t>
    <rPh sb="0" eb="1">
      <t>ヒ</t>
    </rPh>
    <phoneticPr fontId="17"/>
  </si>
  <si>
    <t>巻返し</t>
    <rPh sb="0" eb="2">
      <t>マキカエ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</si>
  <si>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</si>
  <si>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</si>
  <si>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</si>
  <si>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</si>
  <si>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4/17</t>
    <phoneticPr fontId="17"/>
  </si>
  <si>
    <t>月</t>
    <rPh sb="0" eb="1">
      <t>ゲツ</t>
    </rPh>
    <phoneticPr fontId="17"/>
  </si>
  <si>
    <t>停機</t>
    <rPh sb="0" eb="2">
      <t>テイキ</t>
    </rPh>
    <phoneticPr fontId="17"/>
  </si>
  <si>
    <t>4/18</t>
    <phoneticPr fontId="17"/>
  </si>
  <si>
    <t>4/19</t>
    <phoneticPr fontId="17"/>
  </si>
  <si>
    <t>4/20</t>
    <phoneticPr fontId="17"/>
  </si>
  <si>
    <t>4/21</t>
    <phoneticPr fontId="17"/>
  </si>
  <si>
    <t>4/22</t>
    <phoneticPr fontId="17"/>
  </si>
  <si>
    <t>4/23</t>
    <phoneticPr fontId="17"/>
  </si>
  <si>
    <t>4/24</t>
    <phoneticPr fontId="17"/>
  </si>
  <si>
    <t>4/25</t>
    <phoneticPr fontId="17"/>
  </si>
  <si>
    <t>4/26</t>
    <phoneticPr fontId="17"/>
  </si>
  <si>
    <t>4/27</t>
    <phoneticPr fontId="17"/>
  </si>
  <si>
    <t>4/28</t>
    <phoneticPr fontId="17"/>
  </si>
  <si>
    <t>4/29</t>
    <phoneticPr fontId="17"/>
  </si>
  <si>
    <t>4/30</t>
    <phoneticPr fontId="17"/>
  </si>
  <si>
    <t>スリット</t>
    <phoneticPr fontId="17"/>
  </si>
  <si>
    <t>3H</t>
    <phoneticPr fontId="20"/>
  </si>
  <si>
    <t>切替</t>
    <rPh sb="0" eb="2">
      <t>キリカエ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</si>
  <si>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</si>
  <si>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</si>
  <si>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巻足し</t>
    <rPh sb="0" eb="1">
      <t>マキ</t>
    </rPh>
    <rPh sb="1" eb="2">
      <t>タ</t>
    </rPh>
    <phoneticPr fontId="17"/>
  </si>
  <si>
    <t>KNZ</t>
  </si>
  <si>
    <t>MCRALCB</t>
  </si>
  <si>
    <t>巻足し</t>
    <rPh sb="0" eb="1">
      <t>マキ</t>
    </rPh>
    <rPh sb="1" eb="2">
      <t>タ</t>
    </rPh>
    <phoneticPr fontId="17"/>
  </si>
  <si>
    <t>MNQR66F</t>
    <phoneticPr fontId="17"/>
  </si>
  <si>
    <t>6ｲﾝﾁMｺｱ</t>
    <phoneticPr fontId="17"/>
  </si>
  <si>
    <t>原反ケース再利用</t>
  </si>
  <si>
    <t>4/17</t>
    <phoneticPr fontId="17"/>
  </si>
  <si>
    <t>月</t>
    <rPh sb="0" eb="1">
      <t>ゲツ</t>
    </rPh>
    <phoneticPr fontId="17"/>
  </si>
  <si>
    <t>4/18</t>
    <phoneticPr fontId="17"/>
  </si>
  <si>
    <t>火</t>
    <rPh sb="0" eb="1">
      <t>ヒ</t>
    </rPh>
    <phoneticPr fontId="17"/>
  </si>
  <si>
    <t>4/19</t>
    <phoneticPr fontId="17"/>
  </si>
  <si>
    <t>水</t>
    <rPh sb="0" eb="1">
      <t>スイ</t>
    </rPh>
    <phoneticPr fontId="17"/>
  </si>
  <si>
    <t>4/20</t>
    <phoneticPr fontId="17"/>
  </si>
  <si>
    <t>木</t>
    <rPh sb="0" eb="1">
      <t>モク</t>
    </rPh>
    <phoneticPr fontId="17"/>
  </si>
  <si>
    <t>4/21</t>
    <phoneticPr fontId="17"/>
  </si>
  <si>
    <t>金</t>
    <rPh sb="0" eb="1">
      <t>キン</t>
    </rPh>
    <phoneticPr fontId="17"/>
  </si>
  <si>
    <t>4/24</t>
    <phoneticPr fontId="17"/>
  </si>
  <si>
    <t>PETV44</t>
  </si>
  <si>
    <t>ＰＥＴ　Ｖ（Ｘ－４４）</t>
  </si>
  <si>
    <t>特種東海製紙㈱</t>
  </si>
  <si>
    <t>4/26</t>
    <phoneticPr fontId="17"/>
  </si>
  <si>
    <t>水</t>
    <rPh sb="0" eb="1">
      <t>スイ</t>
    </rPh>
    <phoneticPr fontId="17"/>
  </si>
  <si>
    <t>4/27</t>
    <phoneticPr fontId="17"/>
  </si>
  <si>
    <t>木</t>
    <rPh sb="0" eb="1">
      <t>モク</t>
    </rPh>
    <phoneticPr fontId="17"/>
  </si>
  <si>
    <t>巻足し</t>
    <rPh sb="0" eb="1">
      <t>マキ</t>
    </rPh>
    <rPh sb="1" eb="2">
      <t>タ</t>
    </rPh>
    <phoneticPr fontId="17"/>
  </si>
  <si>
    <t>金</t>
    <rPh sb="0" eb="1">
      <t>キン</t>
    </rPh>
    <phoneticPr fontId="17"/>
  </si>
  <si>
    <t>4/29</t>
    <phoneticPr fontId="17"/>
  </si>
  <si>
    <t>土</t>
    <rPh sb="0" eb="1">
      <t>ド</t>
    </rPh>
    <phoneticPr fontId="17"/>
  </si>
  <si>
    <t>4/30</t>
    <phoneticPr fontId="17"/>
  </si>
  <si>
    <t>日</t>
    <rPh sb="0" eb="1">
      <t>ニチ</t>
    </rPh>
    <phoneticPr fontId="17"/>
  </si>
  <si>
    <t>5/1</t>
    <phoneticPr fontId="17"/>
  </si>
  <si>
    <t>月</t>
    <rPh sb="0" eb="1">
      <t>ゲツ</t>
    </rPh>
    <phoneticPr fontId="17"/>
  </si>
  <si>
    <t>5/2</t>
    <phoneticPr fontId="17"/>
  </si>
  <si>
    <t>火</t>
    <rPh sb="0" eb="1">
      <t>ヒ</t>
    </rPh>
    <phoneticPr fontId="17"/>
  </si>
  <si>
    <t>5/3</t>
    <phoneticPr fontId="17"/>
  </si>
  <si>
    <t>5/4</t>
    <phoneticPr fontId="17"/>
  </si>
  <si>
    <t>5/5</t>
    <phoneticPr fontId="17"/>
  </si>
  <si>
    <t>5/6</t>
    <phoneticPr fontId="17"/>
  </si>
  <si>
    <t>5/7</t>
    <phoneticPr fontId="17"/>
  </si>
  <si>
    <t>5/8</t>
    <phoneticPr fontId="17"/>
  </si>
  <si>
    <t>5/9</t>
    <phoneticPr fontId="17"/>
  </si>
  <si>
    <t>5/10</t>
    <phoneticPr fontId="17"/>
  </si>
  <si>
    <t>5/11</t>
    <phoneticPr fontId="17"/>
  </si>
  <si>
    <t>5/12</t>
    <phoneticPr fontId="17"/>
  </si>
  <si>
    <t>リード付け</t>
    <rPh sb="3" eb="4">
      <t>ツ</t>
    </rPh>
    <phoneticPr fontId="17"/>
  </si>
  <si>
    <t>巻返し</t>
    <rPh sb="0" eb="2">
      <t>マキカエ</t>
    </rPh>
    <phoneticPr fontId="17"/>
  </si>
  <si>
    <t>5/13</t>
    <phoneticPr fontId="17"/>
  </si>
  <si>
    <t>5/14</t>
    <phoneticPr fontId="17"/>
  </si>
  <si>
    <t>公休</t>
    <rPh sb="0" eb="2">
      <t>コウキュウ</t>
    </rPh>
    <phoneticPr fontId="17"/>
  </si>
  <si>
    <t>5/15</t>
    <phoneticPr fontId="17"/>
  </si>
  <si>
    <t>5/16</t>
    <phoneticPr fontId="17"/>
  </si>
  <si>
    <t>5/17</t>
    <phoneticPr fontId="17"/>
  </si>
  <si>
    <t>5/18</t>
    <phoneticPr fontId="17"/>
  </si>
  <si>
    <t>5/19</t>
    <phoneticPr fontId="17"/>
  </si>
  <si>
    <t>5/20</t>
    <phoneticPr fontId="17"/>
  </si>
  <si>
    <t>5/21</t>
    <phoneticPr fontId="17"/>
  </si>
  <si>
    <t>リード作成</t>
    <rPh sb="3" eb="5">
      <t>サクセイ</t>
    </rPh>
    <phoneticPr fontId="17"/>
  </si>
  <si>
    <t>5/22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</si>
  <si>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</si>
  <si>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5/23</t>
    <phoneticPr fontId="17"/>
  </si>
  <si>
    <t>5/24</t>
    <phoneticPr fontId="17"/>
  </si>
  <si>
    <t>5/25</t>
    <phoneticPr fontId="17"/>
  </si>
  <si>
    <t>5/26</t>
    <phoneticPr fontId="17"/>
  </si>
  <si>
    <t>5/27</t>
    <phoneticPr fontId="17"/>
  </si>
  <si>
    <t>5/28</t>
    <phoneticPr fontId="17"/>
  </si>
  <si>
    <t>5/30</t>
    <phoneticPr fontId="17"/>
  </si>
  <si>
    <t>5/31</t>
    <phoneticPr fontId="17"/>
  </si>
  <si>
    <t>巻返し</t>
    <rPh sb="0" eb="2">
      <t>マキカエ</t>
    </rPh>
    <phoneticPr fontId="17"/>
  </si>
  <si>
    <t>リード作成</t>
    <rPh sb="3" eb="5">
      <t>サクセイ</t>
    </rPh>
    <phoneticPr fontId="17"/>
  </si>
  <si>
    <t>T60</t>
    <phoneticPr fontId="20"/>
  </si>
  <si>
    <t>三井化学</t>
    <rPh sb="0" eb="2">
      <t>ミツイ</t>
    </rPh>
    <rPh sb="2" eb="4">
      <t>カガク</t>
    </rPh>
    <phoneticPr fontId="20"/>
  </si>
  <si>
    <t>東レ</t>
    <rPh sb="0" eb="1">
      <t>トウ</t>
    </rPh>
    <phoneticPr fontId="20"/>
  </si>
  <si>
    <t>メタルミーCRアルミ面コートB</t>
    <rPh sb="10" eb="11">
      <t>メン</t>
    </rPh>
    <phoneticPr fontId="20"/>
  </si>
  <si>
    <t>SL-3</t>
    <phoneticPr fontId="20"/>
  </si>
  <si>
    <t>5/15</t>
    <phoneticPr fontId="17"/>
  </si>
  <si>
    <t>月</t>
    <rPh sb="0" eb="1">
      <t>ゲツ</t>
    </rPh>
    <phoneticPr fontId="17"/>
  </si>
  <si>
    <t>5/18</t>
    <phoneticPr fontId="17"/>
  </si>
  <si>
    <t>木</t>
    <rPh sb="0" eb="1">
      <t>モク</t>
    </rPh>
    <phoneticPr fontId="17"/>
  </si>
  <si>
    <t>5/19</t>
    <phoneticPr fontId="17"/>
  </si>
  <si>
    <t>金</t>
    <rPh sb="0" eb="1">
      <t>キン</t>
    </rPh>
    <phoneticPr fontId="17"/>
  </si>
  <si>
    <t>5/22</t>
    <phoneticPr fontId="17"/>
  </si>
  <si>
    <t>R75XH</t>
    <phoneticPr fontId="20"/>
  </si>
  <si>
    <t>5/29</t>
    <phoneticPr fontId="17"/>
  </si>
  <si>
    <t>月</t>
    <rPh sb="0" eb="1">
      <t>ゲツ</t>
    </rPh>
    <phoneticPr fontId="17"/>
  </si>
  <si>
    <t>ニッコー㈱</t>
  </si>
  <si>
    <t>㈱レゾナック</t>
  </si>
  <si>
    <t>巻足し</t>
    <rPh sb="0" eb="1">
      <t>マ</t>
    </rPh>
    <rPh sb="1" eb="2">
      <t>タ</t>
    </rPh>
    <phoneticPr fontId="17"/>
  </si>
  <si>
    <t>5/30</t>
    <phoneticPr fontId="17"/>
  </si>
  <si>
    <t>火</t>
    <rPh sb="0" eb="1">
      <t>ヒ</t>
    </rPh>
    <phoneticPr fontId="17"/>
  </si>
  <si>
    <t>5/31</t>
    <phoneticPr fontId="17"/>
  </si>
  <si>
    <t>水</t>
    <rPh sb="0" eb="1">
      <t>スイ</t>
    </rPh>
    <phoneticPr fontId="17"/>
  </si>
  <si>
    <t>6/1</t>
    <phoneticPr fontId="17"/>
  </si>
  <si>
    <t>6/2</t>
    <phoneticPr fontId="17"/>
  </si>
  <si>
    <t>木</t>
    <rPh sb="0" eb="1">
      <t>モク</t>
    </rPh>
    <phoneticPr fontId="17"/>
  </si>
  <si>
    <t>6/3</t>
    <phoneticPr fontId="17"/>
  </si>
  <si>
    <t>金</t>
    <rPh sb="0" eb="1">
      <t>キン</t>
    </rPh>
    <phoneticPr fontId="17"/>
  </si>
  <si>
    <t>6/4</t>
    <phoneticPr fontId="17"/>
  </si>
  <si>
    <t>土</t>
    <rPh sb="0" eb="1">
      <t>ド</t>
    </rPh>
    <phoneticPr fontId="17"/>
  </si>
  <si>
    <t>6/5</t>
    <phoneticPr fontId="17"/>
  </si>
  <si>
    <t>日</t>
    <rPh sb="0" eb="1">
      <t>ニチ</t>
    </rPh>
    <phoneticPr fontId="17"/>
  </si>
  <si>
    <t>6/6</t>
    <phoneticPr fontId="17"/>
  </si>
  <si>
    <t>6/7</t>
    <phoneticPr fontId="17"/>
  </si>
  <si>
    <t>6/8</t>
    <phoneticPr fontId="17"/>
  </si>
  <si>
    <t>6/9</t>
    <phoneticPr fontId="17"/>
  </si>
  <si>
    <t>6/10</t>
    <phoneticPr fontId="17"/>
  </si>
  <si>
    <t>6/11</t>
    <phoneticPr fontId="17"/>
  </si>
  <si>
    <t>6/12</t>
    <phoneticPr fontId="17"/>
  </si>
  <si>
    <t>エージング後スリット</t>
  </si>
  <si>
    <t>5/29</t>
    <phoneticPr fontId="17"/>
  </si>
  <si>
    <t>月</t>
    <rPh sb="0" eb="1">
      <t>ゲツ</t>
    </rPh>
    <phoneticPr fontId="17"/>
  </si>
  <si>
    <t>QZ68</t>
    <phoneticPr fontId="20"/>
  </si>
  <si>
    <t>6/1</t>
    <phoneticPr fontId="17"/>
  </si>
  <si>
    <t>木</t>
    <rPh sb="0" eb="1">
      <t>モク</t>
    </rPh>
    <phoneticPr fontId="17"/>
  </si>
  <si>
    <t>6/2</t>
    <phoneticPr fontId="17"/>
  </si>
  <si>
    <t>金</t>
    <rPh sb="0" eb="1">
      <t>キン</t>
    </rPh>
    <phoneticPr fontId="17"/>
  </si>
  <si>
    <t>6/3</t>
    <phoneticPr fontId="17"/>
  </si>
  <si>
    <t>土</t>
    <rPh sb="0" eb="1">
      <t>ド</t>
    </rPh>
    <phoneticPr fontId="17"/>
  </si>
  <si>
    <t>6/4</t>
    <phoneticPr fontId="17"/>
  </si>
  <si>
    <t>日</t>
    <rPh sb="0" eb="1">
      <t>ニチ</t>
    </rPh>
    <phoneticPr fontId="17"/>
  </si>
  <si>
    <t>6/5</t>
    <phoneticPr fontId="17"/>
  </si>
  <si>
    <t>月</t>
    <rPh sb="0" eb="1">
      <t>ゲツ</t>
    </rPh>
    <phoneticPr fontId="17"/>
  </si>
  <si>
    <t>6/6</t>
    <phoneticPr fontId="17"/>
  </si>
  <si>
    <t>火</t>
    <rPh sb="0" eb="1">
      <t>ヒ</t>
    </rPh>
    <phoneticPr fontId="17"/>
  </si>
  <si>
    <t>6/7</t>
    <phoneticPr fontId="17"/>
  </si>
  <si>
    <t>水</t>
    <rPh sb="0" eb="1">
      <t>スイ</t>
    </rPh>
    <phoneticPr fontId="17"/>
  </si>
  <si>
    <t>6/9</t>
    <phoneticPr fontId="17"/>
  </si>
  <si>
    <t>6/10</t>
    <phoneticPr fontId="17"/>
  </si>
  <si>
    <t>6/11</t>
    <phoneticPr fontId="17"/>
  </si>
  <si>
    <t>6/13</t>
    <phoneticPr fontId="17"/>
  </si>
  <si>
    <t>6/14</t>
    <phoneticPr fontId="17"/>
  </si>
  <si>
    <t>6/15</t>
    <phoneticPr fontId="17"/>
  </si>
  <si>
    <t>6/17</t>
    <phoneticPr fontId="17"/>
  </si>
  <si>
    <t>6/18</t>
    <phoneticPr fontId="17"/>
  </si>
  <si>
    <t>6/23</t>
    <phoneticPr fontId="17"/>
  </si>
  <si>
    <t>6/24</t>
    <phoneticPr fontId="17"/>
  </si>
  <si>
    <t>6/25</t>
    <phoneticPr fontId="17"/>
  </si>
  <si>
    <t>6/27</t>
    <phoneticPr fontId="17"/>
  </si>
  <si>
    <t>6/28</t>
    <phoneticPr fontId="17"/>
  </si>
  <si>
    <t>6/29</t>
    <phoneticPr fontId="17"/>
  </si>
  <si>
    <t>6/30</t>
    <phoneticPr fontId="17"/>
  </si>
  <si>
    <t>7/1</t>
    <phoneticPr fontId="17"/>
  </si>
  <si>
    <t>7/2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</si>
  <si>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</si>
  <si>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公休</t>
    <rPh sb="0" eb="2">
      <t>コウキュウ</t>
    </rPh>
    <phoneticPr fontId="17"/>
  </si>
  <si>
    <t>6/16</t>
    <phoneticPr fontId="17"/>
  </si>
  <si>
    <t>6/19</t>
    <phoneticPr fontId="17"/>
  </si>
  <si>
    <t>6/20</t>
    <phoneticPr fontId="17"/>
  </si>
  <si>
    <t>6/26</t>
    <phoneticPr fontId="17"/>
  </si>
  <si>
    <t>6/13</t>
    <phoneticPr fontId="17"/>
  </si>
  <si>
    <t>火</t>
    <rPh sb="0" eb="1">
      <t>ヒ</t>
    </rPh>
    <phoneticPr fontId="17"/>
  </si>
  <si>
    <t>6/14</t>
    <phoneticPr fontId="17"/>
  </si>
  <si>
    <t>水</t>
    <rPh sb="0" eb="1">
      <t>スイ</t>
    </rPh>
    <phoneticPr fontId="17"/>
  </si>
  <si>
    <t>6/15</t>
    <phoneticPr fontId="17"/>
  </si>
  <si>
    <t>木</t>
    <rPh sb="0" eb="1">
      <t>モク</t>
    </rPh>
    <phoneticPr fontId="17"/>
  </si>
  <si>
    <t>6/16</t>
    <phoneticPr fontId="17"/>
  </si>
  <si>
    <t>金</t>
    <rPh sb="0" eb="1">
      <t>キン</t>
    </rPh>
    <phoneticPr fontId="17"/>
  </si>
  <si>
    <t>6/18</t>
    <phoneticPr fontId="17"/>
  </si>
  <si>
    <t>6/17</t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</si>
  <si>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</si>
  <si>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</si>
  <si>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</si>
  <si>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6/20</t>
    <phoneticPr fontId="17"/>
  </si>
  <si>
    <t>火</t>
    <rPh sb="0" eb="1">
      <t>ヒ</t>
    </rPh>
    <phoneticPr fontId="17"/>
  </si>
  <si>
    <t>6/21</t>
    <phoneticPr fontId="17"/>
  </si>
  <si>
    <t>水</t>
    <rPh sb="0" eb="1">
      <t>スイ</t>
    </rPh>
    <phoneticPr fontId="17"/>
  </si>
  <si>
    <t>6/22</t>
    <phoneticPr fontId="17"/>
  </si>
  <si>
    <t>木</t>
    <rPh sb="0" eb="1">
      <t>モク</t>
    </rPh>
    <phoneticPr fontId="17"/>
  </si>
  <si>
    <t>6/23</t>
    <phoneticPr fontId="17"/>
  </si>
  <si>
    <t>金</t>
    <rPh sb="0" eb="1">
      <t>キン</t>
    </rPh>
    <phoneticPr fontId="17"/>
  </si>
  <si>
    <t>6/24</t>
    <phoneticPr fontId="17"/>
  </si>
  <si>
    <t>6/25</t>
    <phoneticPr fontId="17"/>
  </si>
  <si>
    <t>6/26</t>
    <phoneticPr fontId="17"/>
  </si>
  <si>
    <t>6/21</t>
    <phoneticPr fontId="17"/>
  </si>
  <si>
    <t>水</t>
    <rPh sb="0" eb="1">
      <t>スイ</t>
    </rPh>
    <phoneticPr fontId="17"/>
  </si>
  <si>
    <t>6/22</t>
    <phoneticPr fontId="17"/>
  </si>
  <si>
    <t>木</t>
    <rPh sb="0" eb="1">
      <t>モク</t>
    </rPh>
    <phoneticPr fontId="17"/>
  </si>
  <si>
    <t>－</t>
  </si>
  <si>
    <t>－</t>
    <phoneticPr fontId="17"/>
  </si>
  <si>
    <t>T70M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</si>
  <si>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</si>
  <si>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</si>
  <si>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6/30</t>
    <phoneticPr fontId="17"/>
  </si>
  <si>
    <t>金</t>
    <rPh sb="0" eb="1">
      <t>キン</t>
    </rPh>
    <phoneticPr fontId="17"/>
  </si>
  <si>
    <t>7/3</t>
    <phoneticPr fontId="17"/>
  </si>
  <si>
    <t>月</t>
    <rPh sb="0" eb="1">
      <t>ゲツ</t>
    </rPh>
    <phoneticPr fontId="17"/>
  </si>
  <si>
    <t>7/4</t>
    <phoneticPr fontId="17"/>
  </si>
  <si>
    <t>火</t>
    <rPh sb="0" eb="1">
      <t>ヒ</t>
    </rPh>
    <phoneticPr fontId="17"/>
  </si>
  <si>
    <t>7/5</t>
    <phoneticPr fontId="17"/>
  </si>
  <si>
    <t>水</t>
    <rPh sb="0" eb="1">
      <t>スイ</t>
    </rPh>
    <phoneticPr fontId="17"/>
  </si>
  <si>
    <t>カレンダー用蒸着</t>
    <rPh sb="5" eb="6">
      <t>ヨウ</t>
    </rPh>
    <rPh sb="6" eb="8">
      <t>ジョウチャク</t>
    </rPh>
    <phoneticPr fontId="17"/>
  </si>
  <si>
    <t>T60</t>
    <phoneticPr fontId="17"/>
  </si>
  <si>
    <t>リード付け</t>
    <rPh sb="3" eb="4">
      <t>ヅ</t>
    </rPh>
    <phoneticPr fontId="17"/>
  </si>
  <si>
    <t>ＴＡＦ本社</t>
    <rPh sb="3" eb="5">
      <t>ホンシャ</t>
    </rPh>
    <phoneticPr fontId="17"/>
  </si>
  <si>
    <t>7/7</t>
    <phoneticPr fontId="17"/>
  </si>
  <si>
    <t>7/10</t>
    <phoneticPr fontId="17"/>
  </si>
  <si>
    <t>7/12</t>
    <phoneticPr fontId="17"/>
  </si>
  <si>
    <t>カレンダー用蒸着品</t>
    <rPh sb="5" eb="6">
      <t>ヨウ</t>
    </rPh>
    <rPh sb="6" eb="8">
      <t>ジョウチャク</t>
    </rPh>
    <rPh sb="8" eb="9">
      <t>ヒン</t>
    </rPh>
    <phoneticPr fontId="4"/>
  </si>
  <si>
    <t>TAF本社</t>
    <rPh sb="3" eb="5">
      <t>ホンシャ</t>
    </rPh>
    <phoneticPr fontId="4"/>
  </si>
  <si>
    <t>約定なし</t>
    <rPh sb="0" eb="2">
      <t>ヤクジョウ</t>
    </rPh>
    <phoneticPr fontId="17"/>
  </si>
  <si>
    <t>作業指示なし</t>
    <rPh sb="0" eb="2">
      <t>サギョウ</t>
    </rPh>
    <rPh sb="2" eb="4">
      <t>シジ</t>
    </rPh>
    <phoneticPr fontId="17"/>
  </si>
  <si>
    <t>7/5</t>
    <phoneticPr fontId="17"/>
  </si>
  <si>
    <t>水</t>
    <rPh sb="0" eb="1">
      <t>スイ</t>
    </rPh>
    <phoneticPr fontId="17"/>
  </si>
  <si>
    <t>7/6</t>
    <phoneticPr fontId="17"/>
  </si>
  <si>
    <t>木</t>
    <rPh sb="0" eb="1">
      <t>モク</t>
    </rPh>
    <phoneticPr fontId="17"/>
  </si>
  <si>
    <t>7/7</t>
    <phoneticPr fontId="17"/>
  </si>
  <si>
    <t>金</t>
    <rPh sb="0" eb="1">
      <t>キン</t>
    </rPh>
    <phoneticPr fontId="17"/>
  </si>
  <si>
    <t>7/8</t>
    <phoneticPr fontId="17"/>
  </si>
  <si>
    <t>土</t>
    <rPh sb="0" eb="1">
      <t>ド</t>
    </rPh>
    <phoneticPr fontId="17"/>
  </si>
  <si>
    <t>7/9</t>
    <phoneticPr fontId="17"/>
  </si>
  <si>
    <t>日</t>
    <rPh sb="0" eb="1">
      <t>ニチ</t>
    </rPh>
    <phoneticPr fontId="17"/>
  </si>
  <si>
    <t>7/10</t>
    <phoneticPr fontId="17"/>
  </si>
  <si>
    <t>月</t>
    <rPh sb="0" eb="1">
      <t>ゲツ</t>
    </rPh>
    <phoneticPr fontId="17"/>
  </si>
  <si>
    <t>7/11</t>
    <phoneticPr fontId="17"/>
  </si>
  <si>
    <t>火</t>
    <rPh sb="0" eb="1">
      <t>ヒ</t>
    </rPh>
    <phoneticPr fontId="17"/>
  </si>
  <si>
    <t>7/12</t>
    <phoneticPr fontId="17"/>
  </si>
  <si>
    <t>8/1</t>
    <phoneticPr fontId="17"/>
  </si>
  <si>
    <t>7/13</t>
    <phoneticPr fontId="17"/>
  </si>
  <si>
    <t>木</t>
    <rPh sb="0" eb="1">
      <t>モク</t>
    </rPh>
    <phoneticPr fontId="17"/>
  </si>
  <si>
    <t>7/14</t>
    <phoneticPr fontId="17"/>
  </si>
  <si>
    <t>金</t>
    <rPh sb="0" eb="1">
      <t>キン</t>
    </rPh>
    <phoneticPr fontId="17"/>
  </si>
  <si>
    <t>7/15</t>
    <phoneticPr fontId="17"/>
  </si>
  <si>
    <t>土</t>
    <rPh sb="0" eb="1">
      <t>ド</t>
    </rPh>
    <phoneticPr fontId="17"/>
  </si>
  <si>
    <t>7/16</t>
    <phoneticPr fontId="17"/>
  </si>
  <si>
    <t>日</t>
    <rPh sb="0" eb="1">
      <t>ニチ</t>
    </rPh>
    <phoneticPr fontId="17"/>
  </si>
  <si>
    <t>7/17</t>
    <phoneticPr fontId="17"/>
  </si>
  <si>
    <t>月</t>
    <rPh sb="0" eb="1">
      <t>ゲツ</t>
    </rPh>
    <phoneticPr fontId="17"/>
  </si>
  <si>
    <t>3UNMCLBHLGKJV</t>
  </si>
  <si>
    <t>約定なし</t>
    <rPh sb="0" eb="2">
      <t>ヤクジョウ</t>
    </rPh>
    <phoneticPr fontId="17"/>
  </si>
  <si>
    <t>作業指示なし</t>
    <rPh sb="0" eb="2">
      <t>サギョウ</t>
    </rPh>
    <rPh sb="2" eb="4">
      <t>シジ</t>
    </rPh>
    <phoneticPr fontId="17"/>
  </si>
  <si>
    <t>メタルミー　ヘヤライン　銀艶Ｖ</t>
    <rPh sb="13" eb="14">
      <t>ツヤ</t>
    </rPh>
    <phoneticPr fontId="17"/>
  </si>
  <si>
    <t>メタルミー　ヘヤライン　銀消Ｖ</t>
    <rPh sb="13" eb="14">
      <t>ケ</t>
    </rPh>
    <phoneticPr fontId="17"/>
  </si>
  <si>
    <t>7/23</t>
    <phoneticPr fontId="17"/>
  </si>
  <si>
    <t>公休</t>
    <rPh sb="0" eb="2">
      <t>コウキュウ</t>
    </rPh>
    <phoneticPr fontId="17"/>
  </si>
  <si>
    <t>7/24</t>
    <phoneticPr fontId="17"/>
  </si>
  <si>
    <t>7/29</t>
    <phoneticPr fontId="17"/>
  </si>
  <si>
    <t>7/30</t>
    <phoneticPr fontId="17"/>
  </si>
  <si>
    <t>7/31</t>
    <phoneticPr fontId="17"/>
  </si>
  <si>
    <t>－</t>
    <phoneticPr fontId="17"/>
  </si>
  <si>
    <t>メタルミー　ネーマー　金艶</t>
    <rPh sb="11" eb="12">
      <t>キン</t>
    </rPh>
    <rPh sb="12" eb="13">
      <t>ツヤ</t>
    </rPh>
    <phoneticPr fontId="17"/>
  </si>
  <si>
    <t>メタルミー　ネーマー　金消</t>
    <rPh sb="11" eb="12">
      <t>キン</t>
    </rPh>
    <phoneticPr fontId="17"/>
  </si>
  <si>
    <t>MNKT</t>
    <phoneticPr fontId="17"/>
  </si>
  <si>
    <t>MNKKC</t>
    <phoneticPr fontId="17"/>
  </si>
  <si>
    <t>T62</t>
    <phoneticPr fontId="17"/>
  </si>
  <si>
    <t>S28</t>
    <phoneticPr fontId="17"/>
  </si>
  <si>
    <t>巻返し</t>
    <rPh sb="0" eb="2">
      <t>マキカエ</t>
    </rPh>
    <phoneticPr fontId="17"/>
  </si>
  <si>
    <t>SCB</t>
    <phoneticPr fontId="17"/>
  </si>
  <si>
    <r>
      <t>メタルミー　シロコート（Ｂ）</t>
    </r>
    <r>
      <rPr>
        <sz val="16"/>
        <color rgb="FFFF0000"/>
        <rFont val="ＭＳ Ｐゴシック"/>
        <family val="3"/>
        <charset val="128"/>
        <scheme val="major"/>
      </rPr>
      <t>検品</t>
    </r>
    <rPh sb="14" eb="16">
      <t>ケンピン</t>
    </rPh>
    <phoneticPr fontId="17"/>
  </si>
  <si>
    <t>品質トラブル対応</t>
    <rPh sb="0" eb="1">
      <t>ヒンシツ</t>
    </rPh>
    <rPh sb="5" eb="7">
      <t>タイオウ</t>
    </rPh>
    <phoneticPr fontId="17"/>
  </si>
  <si>
    <t>7/14</t>
    <phoneticPr fontId="17"/>
  </si>
  <si>
    <t>金</t>
    <rPh sb="0" eb="1">
      <t>キン</t>
    </rPh>
    <phoneticPr fontId="17"/>
  </si>
  <si>
    <r>
      <t>メタルミー　ネーマー　銀艶　Ｂ　</t>
    </r>
    <r>
      <rPr>
        <b/>
        <sz val="16"/>
        <color rgb="FFFF0000"/>
        <rFont val="ＭＳ Ｐゴシック"/>
        <family val="3"/>
        <charset val="128"/>
        <scheme val="major"/>
      </rPr>
      <t>検品</t>
    </r>
    <rPh sb="16" eb="18">
      <t>ケンピン</t>
    </rPh>
    <phoneticPr fontId="17"/>
  </si>
  <si>
    <t>7/18</t>
    <phoneticPr fontId="17"/>
  </si>
  <si>
    <t>火</t>
    <rPh sb="0" eb="1">
      <t>ヒ</t>
    </rPh>
    <phoneticPr fontId="17"/>
  </si>
  <si>
    <t>7/20</t>
    <phoneticPr fontId="17"/>
  </si>
  <si>
    <t>木</t>
    <rPh sb="0" eb="1">
      <t>モク</t>
    </rPh>
    <phoneticPr fontId="17"/>
  </si>
  <si>
    <t>7/21</t>
    <phoneticPr fontId="17"/>
  </si>
  <si>
    <t>金</t>
    <rPh sb="0" eb="1">
      <t>キン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</si>
  <si>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</si>
  <si>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</si>
  <si>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7/25</t>
    <phoneticPr fontId="17"/>
  </si>
  <si>
    <t>火</t>
    <rPh sb="0" eb="1">
      <t>ヒ</t>
    </rPh>
    <phoneticPr fontId="17"/>
  </si>
  <si>
    <t>7/26</t>
    <phoneticPr fontId="17"/>
  </si>
  <si>
    <t>水</t>
    <rPh sb="0" eb="1">
      <t>スイ</t>
    </rPh>
    <phoneticPr fontId="17"/>
  </si>
  <si>
    <t>7/27</t>
    <phoneticPr fontId="17"/>
  </si>
  <si>
    <t>木</t>
    <rPh sb="0" eb="1">
      <t>モク</t>
    </rPh>
    <phoneticPr fontId="17"/>
  </si>
  <si>
    <t>7/28</t>
    <phoneticPr fontId="17"/>
  </si>
  <si>
    <t>金</t>
    <rPh sb="0" eb="1">
      <t>キン</t>
    </rPh>
    <phoneticPr fontId="17"/>
  </si>
  <si>
    <t>8/1</t>
    <phoneticPr fontId="17"/>
  </si>
  <si>
    <t>8/2</t>
    <phoneticPr fontId="17"/>
  </si>
  <si>
    <t>8/7</t>
    <phoneticPr fontId="17"/>
  </si>
  <si>
    <t>月</t>
    <rPh sb="0" eb="1">
      <t>ゲツ</t>
    </rPh>
    <phoneticPr fontId="17"/>
  </si>
  <si>
    <t>8/8</t>
    <phoneticPr fontId="17"/>
  </si>
  <si>
    <t>8/9</t>
    <phoneticPr fontId="17"/>
  </si>
  <si>
    <t>8/10</t>
    <phoneticPr fontId="17"/>
  </si>
  <si>
    <t>8/11</t>
    <phoneticPr fontId="17"/>
  </si>
  <si>
    <t>巻返し検品</t>
    <rPh sb="0" eb="2">
      <t>マキカエ</t>
    </rPh>
    <rPh sb="3" eb="5">
      <t>ケンピン</t>
    </rPh>
    <phoneticPr fontId="17"/>
  </si>
  <si>
    <t>8/2</t>
    <phoneticPr fontId="17"/>
  </si>
  <si>
    <t>水</t>
    <rPh sb="0" eb="1">
      <t>スイ</t>
    </rPh>
    <phoneticPr fontId="17"/>
  </si>
  <si>
    <t>7/31</t>
    <phoneticPr fontId="17"/>
  </si>
  <si>
    <t>月</t>
    <rPh sb="0" eb="1">
      <t>ゲツ</t>
    </rPh>
    <phoneticPr fontId="17"/>
  </si>
  <si>
    <t>8/4</t>
    <phoneticPr fontId="17"/>
  </si>
  <si>
    <t>金</t>
    <rPh sb="0" eb="1">
      <t>キン</t>
    </rPh>
    <phoneticPr fontId="17"/>
  </si>
  <si>
    <t>8/5</t>
    <phoneticPr fontId="17"/>
  </si>
  <si>
    <t>土</t>
    <rPh sb="0" eb="1">
      <t>ド</t>
    </rPh>
    <phoneticPr fontId="17"/>
  </si>
  <si>
    <t>8/6</t>
    <phoneticPr fontId="17"/>
  </si>
  <si>
    <t>日</t>
    <rPh sb="0" eb="1">
      <t>ニチ</t>
    </rPh>
    <phoneticPr fontId="17"/>
  </si>
  <si>
    <t>機能材料ＫＮＺ福開発</t>
  </si>
  <si>
    <t>日東電工有限公司</t>
  </si>
  <si>
    <t>Ｍｅｔａｌｕｍｙ　ＣＲ　ａｌｕｍｉｎｕｍ　ｓｕｒｆａｃｅ　ｃｏａｔ　Ｂ</t>
  </si>
  <si>
    <t>日東電工有限公司</t>
    <rPh sb="4" eb="6">
      <t>ユウゲン</t>
    </rPh>
    <rPh sb="6" eb="8">
      <t>コウシ</t>
    </rPh>
    <phoneticPr fontId="20"/>
  </si>
  <si>
    <t>機能材料G　押切部員</t>
    <rPh sb="0" eb="2">
      <t>ザイリョウ</t>
    </rPh>
    <rPh sb="4" eb="6">
      <t>ナカノ</t>
    </rPh>
    <rPh sb="6" eb="8">
      <t>オシキリ</t>
    </rPh>
    <phoneticPr fontId="5"/>
  </si>
  <si>
    <t>月</t>
    <rPh sb="0" eb="1">
      <t>ゲツ</t>
    </rPh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</si>
  <si>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</si>
  <si>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</si>
  <si>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8/11</t>
    <phoneticPr fontId="17"/>
  </si>
  <si>
    <t>金</t>
    <rPh sb="0" eb="1">
      <t>キン</t>
    </rPh>
    <phoneticPr fontId="17"/>
  </si>
  <si>
    <t>8/12</t>
    <phoneticPr fontId="17"/>
  </si>
  <si>
    <t>土</t>
    <rPh sb="0" eb="1">
      <t>ド</t>
    </rPh>
    <phoneticPr fontId="17"/>
  </si>
  <si>
    <t>8/13</t>
    <phoneticPr fontId="17"/>
  </si>
  <si>
    <t>日</t>
    <rPh sb="0" eb="1">
      <t>ニチ</t>
    </rPh>
    <phoneticPr fontId="17"/>
  </si>
  <si>
    <t>8/14</t>
    <phoneticPr fontId="17"/>
  </si>
  <si>
    <t>8/15</t>
    <phoneticPr fontId="17"/>
  </si>
  <si>
    <t>火</t>
    <rPh sb="0" eb="1">
      <t>ヒ</t>
    </rPh>
    <phoneticPr fontId="17"/>
  </si>
  <si>
    <t>8/16</t>
    <phoneticPr fontId="17"/>
  </si>
  <si>
    <t>公休</t>
    <rPh sb="0" eb="2">
      <t>コウキュウ</t>
    </rPh>
    <phoneticPr fontId="17"/>
  </si>
  <si>
    <t>8/20</t>
    <phoneticPr fontId="17"/>
  </si>
  <si>
    <t>8/26</t>
    <phoneticPr fontId="17"/>
  </si>
  <si>
    <t>8/27</t>
    <phoneticPr fontId="17"/>
  </si>
  <si>
    <t>8/29</t>
    <phoneticPr fontId="17"/>
  </si>
  <si>
    <t>8/30</t>
    <phoneticPr fontId="17"/>
  </si>
  <si>
    <t>8/31</t>
    <phoneticPr fontId="17"/>
  </si>
  <si>
    <t>9/1</t>
    <phoneticPr fontId="17"/>
  </si>
  <si>
    <t>9/2</t>
    <phoneticPr fontId="17"/>
  </si>
  <si>
    <t>9/3</t>
    <phoneticPr fontId="17"/>
  </si>
  <si>
    <t>8/10</t>
    <phoneticPr fontId="17"/>
  </si>
  <si>
    <t>木</t>
    <rPh sb="0" eb="1">
      <t>モク</t>
    </rPh>
    <phoneticPr fontId="17"/>
  </si>
  <si>
    <t>8/18</t>
    <phoneticPr fontId="17"/>
  </si>
  <si>
    <t>金</t>
    <rPh sb="0" eb="1">
      <t>キン</t>
    </rPh>
    <phoneticPr fontId="17"/>
  </si>
  <si>
    <t>8/12</t>
    <phoneticPr fontId="17"/>
  </si>
  <si>
    <t>土</t>
  </si>
  <si>
    <t>土</t>
    <rPh sb="0" eb="1">
      <t>ド</t>
    </rPh>
    <phoneticPr fontId="17"/>
  </si>
  <si>
    <t>8/13</t>
    <phoneticPr fontId="17"/>
  </si>
  <si>
    <t>日</t>
    <rPh sb="0" eb="1">
      <t>ニチ</t>
    </rPh>
    <phoneticPr fontId="17"/>
  </si>
  <si>
    <t>8/14</t>
    <phoneticPr fontId="17"/>
  </si>
  <si>
    <t>月</t>
  </si>
  <si>
    <t>月</t>
    <rPh sb="0" eb="1">
      <t>ゲツ</t>
    </rPh>
    <phoneticPr fontId="17"/>
  </si>
  <si>
    <t>8/15</t>
    <phoneticPr fontId="17"/>
  </si>
  <si>
    <t>火</t>
  </si>
  <si>
    <t>火</t>
    <rPh sb="0" eb="1">
      <t>ヒ</t>
    </rPh>
    <phoneticPr fontId="17"/>
  </si>
  <si>
    <t>8/16</t>
    <phoneticPr fontId="17"/>
  </si>
  <si>
    <t>木</t>
  </si>
  <si>
    <t>金</t>
  </si>
  <si>
    <t>金</t>
    <rPh sb="0" eb="1">
      <t>キン</t>
    </rPh>
    <phoneticPr fontId="17"/>
  </si>
  <si>
    <t>8/18</t>
    <phoneticPr fontId="17"/>
  </si>
  <si>
    <t>水</t>
  </si>
  <si>
    <t>水</t>
    <rPh sb="0" eb="1">
      <t>スイ</t>
    </rPh>
    <phoneticPr fontId="17"/>
  </si>
  <si>
    <t>8/19</t>
    <phoneticPr fontId="17"/>
  </si>
  <si>
    <t>8/20</t>
  </si>
  <si>
    <t>8/21</t>
  </si>
  <si>
    <t>8/22</t>
  </si>
  <si>
    <t>8/23</t>
  </si>
  <si>
    <t>8/24</t>
  </si>
  <si>
    <t>8/25</t>
  </si>
  <si>
    <t>8/26</t>
  </si>
  <si>
    <t>8/27</t>
  </si>
  <si>
    <t>8/28</t>
  </si>
  <si>
    <t>8/29</t>
  </si>
  <si>
    <t>8/30</t>
  </si>
  <si>
    <t>8/31</t>
  </si>
  <si>
    <t>日</t>
    <phoneticPr fontId="17"/>
  </si>
  <si>
    <t>公休</t>
    <rPh sb="0" eb="2">
      <t>コウキュウ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</si>
  <si>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</si>
  <si>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</si>
  <si>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HLGTV</t>
    <phoneticPr fontId="17"/>
  </si>
  <si>
    <t>改装</t>
    <rPh sb="0" eb="2">
      <t>カイソウ</t>
    </rPh>
    <phoneticPr fontId="17"/>
  </si>
  <si>
    <t>PETMV</t>
    <phoneticPr fontId="17"/>
  </si>
  <si>
    <t>ＰＥＴマットＶ</t>
    <phoneticPr fontId="17"/>
  </si>
  <si>
    <t>6ｲﾝﾁMｺｱ</t>
    <phoneticPr fontId="17"/>
  </si>
  <si>
    <t>スリーエム輸出</t>
  </si>
  <si>
    <t>27114MA</t>
  </si>
  <si>
    <t>ＣＥＲＡＰＥＥＬ　ＰＪ２７１（１４）</t>
  </si>
  <si>
    <t>月</t>
    <rPh sb="0" eb="1">
      <t>ゲツ</t>
    </rPh>
    <phoneticPr fontId="17"/>
  </si>
  <si>
    <t>水</t>
    <rPh sb="0" eb="1">
      <t>スイ</t>
    </rPh>
    <phoneticPr fontId="17"/>
  </si>
  <si>
    <t>8/23</t>
    <phoneticPr fontId="17"/>
  </si>
  <si>
    <t>8/24</t>
    <phoneticPr fontId="17"/>
  </si>
  <si>
    <t>木</t>
    <rPh sb="0" eb="1">
      <t>モク</t>
    </rPh>
    <phoneticPr fontId="17"/>
  </si>
  <si>
    <t>8/25</t>
    <phoneticPr fontId="17"/>
  </si>
  <si>
    <t>金</t>
    <rPh sb="0" eb="1">
      <t>キン</t>
    </rPh>
    <phoneticPr fontId="17"/>
  </si>
  <si>
    <t>8/28</t>
    <phoneticPr fontId="17"/>
  </si>
  <si>
    <t>9/4</t>
    <phoneticPr fontId="17"/>
  </si>
  <si>
    <t>月</t>
    <rPh sb="0" eb="1">
      <t>ゲツ</t>
    </rPh>
    <phoneticPr fontId="17"/>
  </si>
  <si>
    <t>土</t>
    <rPh sb="0" eb="1">
      <t>ド</t>
    </rPh>
    <phoneticPr fontId="17"/>
  </si>
  <si>
    <t>9/16</t>
    <phoneticPr fontId="17"/>
  </si>
  <si>
    <t>9/17</t>
    <phoneticPr fontId="17"/>
  </si>
  <si>
    <t>日</t>
    <rPh sb="0" eb="1">
      <t>ニチ</t>
    </rPh>
    <phoneticPr fontId="17"/>
  </si>
  <si>
    <t>9/18</t>
    <phoneticPr fontId="17"/>
  </si>
  <si>
    <t>公休</t>
    <rPh sb="0" eb="2">
      <t>コウキュウ</t>
    </rPh>
    <phoneticPr fontId="17"/>
  </si>
  <si>
    <t>9/23</t>
    <phoneticPr fontId="17"/>
  </si>
  <si>
    <t>土</t>
    <rPh sb="0" eb="1">
      <t>ド</t>
    </rPh>
    <phoneticPr fontId="17"/>
  </si>
  <si>
    <t>9/24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</si>
  <si>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</si>
  <si>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</si>
  <si>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9/25</t>
    <phoneticPr fontId="17"/>
  </si>
  <si>
    <t>月</t>
    <rPh sb="0" eb="1">
      <t>ゲツ</t>
    </rPh>
    <phoneticPr fontId="17"/>
  </si>
  <si>
    <t>メタルミーＣＲアルミ面コートＢ</t>
  </si>
  <si>
    <t>9/5</t>
    <phoneticPr fontId="17"/>
  </si>
  <si>
    <t>火</t>
    <rPh sb="0" eb="1">
      <t>ヒ</t>
    </rPh>
    <phoneticPr fontId="17"/>
  </si>
  <si>
    <t>9/6</t>
    <phoneticPr fontId="17"/>
  </si>
  <si>
    <t>水</t>
    <rPh sb="0" eb="1">
      <t>スイ</t>
    </rPh>
    <phoneticPr fontId="17"/>
  </si>
  <si>
    <t>機能材料G　中野部員</t>
    <rPh sb="0" eb="2">
      <t>ザイリョウ</t>
    </rPh>
    <rPh sb="4" eb="6">
      <t>ナカノ</t>
    </rPh>
    <rPh sb="6" eb="8">
      <t>ブイン</t>
    </rPh>
    <phoneticPr fontId="3"/>
  </si>
  <si>
    <t>指示なし</t>
    <rPh sb="0" eb="2">
      <t>シジ</t>
    </rPh>
    <phoneticPr fontId="17"/>
  </si>
  <si>
    <t>膜厚変更テスト</t>
    <rPh sb="0" eb="1">
      <t>マクアツ</t>
    </rPh>
    <rPh sb="1" eb="3">
      <t>ヘンコウ</t>
    </rPh>
    <phoneticPr fontId="17"/>
  </si>
  <si>
    <t>機能材料G　鈴木課員</t>
    <rPh sb="0" eb="2">
      <t>ザイリョウ</t>
    </rPh>
    <rPh sb="4" eb="6">
      <t>ナカノ</t>
    </rPh>
    <rPh sb="6" eb="8">
      <t>スズキ</t>
    </rPh>
    <rPh sb="8" eb="10">
      <t>カイン</t>
    </rPh>
    <phoneticPr fontId="3"/>
  </si>
  <si>
    <t xml:space="preserve">福島コーティング    </t>
  </si>
  <si>
    <t xml:space="preserve">工材１部大阪電材課  </t>
  </si>
  <si>
    <t xml:space="preserve">ダミー担当者        </t>
  </si>
  <si>
    <t xml:space="preserve">日東電工㈱豊橋工場  </t>
  </si>
  <si>
    <t xml:space="preserve">   </t>
  </si>
  <si>
    <t xml:space="preserve">セラピール　ＭＤ（Ａ）（Ｒ）                                            </t>
  </si>
  <si>
    <t xml:space="preserve">本        </t>
  </si>
  <si>
    <t>2023/09/21</t>
  </si>
  <si>
    <t>2023/10/06</t>
  </si>
  <si>
    <t xml:space="preserve">㈱須賀川東部鏡石    </t>
  </si>
  <si>
    <t xml:space="preserve">                                                                                </t>
  </si>
  <si>
    <t xml:space="preserve">     </t>
  </si>
  <si>
    <t xml:space="preserve">大阪光学機能材課    </t>
  </si>
  <si>
    <t xml:space="preserve">Ｋ　セラピールＭＤＡ（ＣＰＲＦ）Ｌ                                      </t>
  </si>
  <si>
    <t xml:space="preserve">Ｋ　セラピールＭＤＡ（ＰＲＦ）Ｌ                                        </t>
  </si>
  <si>
    <t xml:space="preserve">工材１部電材課      </t>
  </si>
  <si>
    <t xml:space="preserve">パナック㈱亀山工場  </t>
  </si>
  <si>
    <t xml:space="preserve">セラピール　ＢＸ８ＡＲＸ                                                </t>
  </si>
  <si>
    <t>2023/10/13</t>
  </si>
  <si>
    <t>2023/10/19</t>
  </si>
  <si>
    <t xml:space="preserve">㈱巴川製紙所        </t>
  </si>
  <si>
    <t xml:space="preserve">情材福島原価        </t>
  </si>
  <si>
    <t xml:space="preserve">ニッコー㈱          </t>
  </si>
  <si>
    <t xml:space="preserve">セラピール　ＢＸ８Ａ（１４）                                            </t>
  </si>
  <si>
    <t xml:space="preserve">プロセス材２課      </t>
  </si>
  <si>
    <t xml:space="preserve">日榮新化㈱          </t>
  </si>
  <si>
    <t xml:space="preserve">セラピール　ＢＸ８Ａ（Ｓ）                                              </t>
  </si>
  <si>
    <t xml:space="preserve">セラピール　　　　　　　　　　　ＢＸ９Ａ（Ｓ）                          </t>
  </si>
  <si>
    <t xml:space="preserve">セラピール　ＢＫＥ（ＲＸ）                                              </t>
  </si>
  <si>
    <t xml:space="preserve">光学機能材１課      </t>
  </si>
  <si>
    <t xml:space="preserve">㈱きもと　三重工場  </t>
  </si>
  <si>
    <t xml:space="preserve">セラピール　ＢＫ（Ｕ）Ｋ                                                </t>
  </si>
  <si>
    <t xml:space="preserve">セラピール　ＢＫＥ（０９）                                              </t>
  </si>
  <si>
    <t xml:space="preserve">三栄産業㈱尾久工場  </t>
  </si>
  <si>
    <t xml:space="preserve">セラピール　ＷＺ（ＲＸ）　　　　　　                                    </t>
  </si>
  <si>
    <t>2023/10/20</t>
  </si>
  <si>
    <t xml:space="preserve">セラピールＷＺ（Ｓ）                                                    </t>
  </si>
  <si>
    <t xml:space="preserve">藤産業㈱            </t>
  </si>
  <si>
    <t xml:space="preserve">セラピール　ＷＺ（３４）                                                </t>
  </si>
  <si>
    <t xml:space="preserve">プロセス材１課      </t>
  </si>
  <si>
    <t xml:space="preserve">リンテック㈱        </t>
  </si>
  <si>
    <t xml:space="preserve">セラピール　　　　　　　　　　　ＷＺ（Ｓ）                              </t>
  </si>
  <si>
    <t>2023/10/30</t>
  </si>
  <si>
    <t xml:space="preserve">東洋包材㈱          </t>
  </si>
  <si>
    <t xml:space="preserve">セラピール　ＷＺ（Ｔ）                                                  </t>
  </si>
  <si>
    <t xml:space="preserve">古河電気工業㈱      </t>
  </si>
  <si>
    <t xml:space="preserve">セラピール　　　　　　　　　　　ＷＺ（Ｅ）                              </t>
  </si>
  <si>
    <t>2023/10/23</t>
  </si>
  <si>
    <t>3727584</t>
  </si>
  <si>
    <t xml:space="preserve">スリーエム輸出      </t>
  </si>
  <si>
    <t>27114MB</t>
  </si>
  <si>
    <t xml:space="preserve">ＣＥＲＡＰＥＥＬ　ＰＪ２７１（１４）                                    </t>
  </si>
  <si>
    <t>3727585</t>
  </si>
  <si>
    <t xml:space="preserve">日東シンコー㈱      </t>
  </si>
  <si>
    <t xml:space="preserve">メタルミー　Ｓ                                                          </t>
  </si>
  <si>
    <t>2023/10/15</t>
  </si>
  <si>
    <t xml:space="preserve">メタルミー　ＴＳ                                                        </t>
  </si>
  <si>
    <t xml:space="preserve">王子タック㈱本社    </t>
  </si>
  <si>
    <t xml:space="preserve">ルミラー　ＴＬ                                                          </t>
  </si>
  <si>
    <t xml:space="preserve">日精㈱東京支店      </t>
  </si>
  <si>
    <t xml:space="preserve">ＰＥＴ　ＴＬ                                                            </t>
  </si>
  <si>
    <t xml:space="preserve">新タック化成㈱      </t>
  </si>
  <si>
    <t xml:space="preserve">メタルミー　ホワイトコート　　　（Ｂ）                                  </t>
  </si>
  <si>
    <t xml:space="preserve">ＭＳＮ　ＥＹＫ                                                          </t>
  </si>
  <si>
    <t xml:space="preserve">メタルミー　ネーマー銀消改　Ｂ                                          </t>
  </si>
  <si>
    <t>2023/10/25</t>
  </si>
  <si>
    <t xml:space="preserve">メタルミー　ネーマー銀消　Ｂ                                            </t>
  </si>
  <si>
    <t xml:space="preserve">メタルミー　ネーマー　銀艶　Ｂ                                          </t>
  </si>
  <si>
    <t>2023/11/09</t>
  </si>
  <si>
    <t xml:space="preserve">メタルミー　ニューネーマー銀消　Ｂ                                      </t>
  </si>
  <si>
    <t xml:space="preserve">メタルミー　ＴＥＳ消開封　Ｖ                                            </t>
  </si>
  <si>
    <t xml:space="preserve">メタルミー　ＴＥＳ艶開封　Ｖ                                            </t>
  </si>
  <si>
    <t xml:space="preserve">メタルミー　ヘヤライン　銀消Ｖ                                          </t>
  </si>
  <si>
    <t xml:space="preserve">メタルミー　ヘヤライン　銀艶Ｖ                                          </t>
  </si>
  <si>
    <t xml:space="preserve">ＤＭＳ　Ｖ                                                              </t>
  </si>
  <si>
    <t>2023/11/08</t>
  </si>
  <si>
    <t xml:space="preserve">ＱＲ６６蒸着品                                                          </t>
  </si>
  <si>
    <t xml:space="preserve">ＭＥＴＡＬＵＭＹ　ＳＩＬＶＥＲ　ＢＲＩＧＨＴ　Ｔ６２Ｍ　Ｂ              </t>
  </si>
  <si>
    <t>S</t>
    <phoneticPr fontId="20"/>
  </si>
  <si>
    <t>N</t>
    <phoneticPr fontId="20"/>
  </si>
  <si>
    <t xml:space="preserve">プロセス材１課      </t>
    <phoneticPr fontId="20"/>
  </si>
  <si>
    <t>CERA</t>
    <phoneticPr fontId="20"/>
  </si>
  <si>
    <t>MLB</t>
    <phoneticPr fontId="20"/>
  </si>
  <si>
    <t>CLB</t>
    <phoneticPr fontId="20"/>
  </si>
  <si>
    <t>MCLB</t>
    <phoneticPr fontId="20"/>
  </si>
  <si>
    <t>MD(A)R</t>
    <phoneticPr fontId="20"/>
  </si>
  <si>
    <t>MDACPFL</t>
    <phoneticPr fontId="20"/>
  </si>
  <si>
    <t>MDAPFL</t>
    <phoneticPr fontId="20"/>
  </si>
  <si>
    <t>BX8ARXA</t>
    <phoneticPr fontId="20"/>
  </si>
  <si>
    <t>BX8ARXT</t>
    <phoneticPr fontId="20"/>
  </si>
  <si>
    <t>BX8A14</t>
    <phoneticPr fontId="20"/>
  </si>
  <si>
    <t>BX8AS</t>
    <phoneticPr fontId="20"/>
  </si>
  <si>
    <t>BX9AS</t>
    <phoneticPr fontId="20"/>
  </si>
  <si>
    <t>BKERXT</t>
    <phoneticPr fontId="20"/>
  </si>
  <si>
    <t>BKUK</t>
    <phoneticPr fontId="20"/>
  </si>
  <si>
    <t>BKE09</t>
    <phoneticPr fontId="20"/>
  </si>
  <si>
    <t>WZRX</t>
    <phoneticPr fontId="20"/>
  </si>
  <si>
    <t>WZS</t>
    <phoneticPr fontId="20"/>
  </si>
  <si>
    <t>WZ34</t>
    <phoneticPr fontId="20"/>
  </si>
  <si>
    <t>WZT</t>
    <phoneticPr fontId="20"/>
  </si>
  <si>
    <t>WZE</t>
    <phoneticPr fontId="20"/>
  </si>
  <si>
    <t>MSF</t>
    <phoneticPr fontId="20"/>
  </si>
  <si>
    <t>MTSF</t>
    <phoneticPr fontId="20"/>
  </si>
  <si>
    <t>LTL</t>
    <phoneticPr fontId="20"/>
  </si>
  <si>
    <t>PETTL</t>
    <phoneticPr fontId="20"/>
  </si>
  <si>
    <t>WCB</t>
    <phoneticPr fontId="20"/>
  </si>
  <si>
    <t>MSNEYK</t>
    <phoneticPr fontId="20"/>
  </si>
  <si>
    <t>MNGKKBF</t>
    <phoneticPr fontId="20"/>
  </si>
  <si>
    <t>MNGKBF</t>
    <phoneticPr fontId="20"/>
  </si>
  <si>
    <t>MNGTBF</t>
    <phoneticPr fontId="20"/>
  </si>
  <si>
    <t>MNNGKBF</t>
    <phoneticPr fontId="20"/>
  </si>
  <si>
    <t>TEKKFV</t>
    <phoneticPr fontId="20"/>
  </si>
  <si>
    <t>TETKFV</t>
    <phoneticPr fontId="20"/>
  </si>
  <si>
    <t>HLGKJV</t>
    <phoneticPr fontId="20"/>
  </si>
  <si>
    <t>HLGTV</t>
    <phoneticPr fontId="20"/>
  </si>
  <si>
    <t>DMSV</t>
    <phoneticPr fontId="20"/>
  </si>
  <si>
    <t>MNQR66F</t>
    <phoneticPr fontId="20"/>
  </si>
  <si>
    <t>MSBBF</t>
    <phoneticPr fontId="20"/>
  </si>
  <si>
    <t>S</t>
    <phoneticPr fontId="20"/>
  </si>
  <si>
    <t>N</t>
    <phoneticPr fontId="20"/>
  </si>
  <si>
    <t>9/29</t>
    <phoneticPr fontId="17"/>
  </si>
  <si>
    <t>金</t>
    <rPh sb="0" eb="1">
      <t>キン</t>
    </rPh>
    <phoneticPr fontId="17"/>
  </si>
  <si>
    <t>9/30</t>
    <phoneticPr fontId="17"/>
  </si>
  <si>
    <t>土</t>
    <rPh sb="0" eb="1">
      <t>ド</t>
    </rPh>
    <phoneticPr fontId="17"/>
  </si>
  <si>
    <t>10/1</t>
    <phoneticPr fontId="17"/>
  </si>
  <si>
    <t>日</t>
    <rPh sb="0" eb="1">
      <t>ニチ</t>
    </rPh>
    <phoneticPr fontId="17"/>
  </si>
  <si>
    <t>10/2</t>
    <phoneticPr fontId="17"/>
  </si>
  <si>
    <t>月</t>
    <rPh sb="0" eb="1">
      <t>ゲツ</t>
    </rPh>
    <phoneticPr fontId="17"/>
  </si>
  <si>
    <t>10/3</t>
    <phoneticPr fontId="17"/>
  </si>
  <si>
    <t>火</t>
    <rPh sb="0" eb="1">
      <t>ヒ</t>
    </rPh>
    <phoneticPr fontId="17"/>
  </si>
  <si>
    <t>ダミー担当者</t>
    <phoneticPr fontId="20"/>
  </si>
  <si>
    <t>33S</t>
    <phoneticPr fontId="20"/>
  </si>
  <si>
    <t>3SNMLBMNGKKBF</t>
  </si>
  <si>
    <t>Ｕ</t>
    <phoneticPr fontId="17"/>
  </si>
  <si>
    <t>在庫積み増し</t>
    <rPh sb="0" eb="2">
      <t>ザイコ</t>
    </rPh>
    <rPh sb="2" eb="3">
      <t>ツ</t>
    </rPh>
    <rPh sb="4" eb="5">
      <t>マ</t>
    </rPh>
    <phoneticPr fontId="17"/>
  </si>
  <si>
    <t>メタルミー　ネーマー銀消改　Ｂ　＊</t>
    <phoneticPr fontId="17"/>
  </si>
  <si>
    <t>9/23</t>
    <phoneticPr fontId="17"/>
  </si>
  <si>
    <t>土</t>
    <rPh sb="0" eb="1">
      <t>ド</t>
    </rPh>
    <phoneticPr fontId="17"/>
  </si>
  <si>
    <t>9/27</t>
    <phoneticPr fontId="17"/>
  </si>
  <si>
    <t>水</t>
    <rPh sb="0" eb="1">
      <t>スイ</t>
    </rPh>
    <phoneticPr fontId="17"/>
  </si>
  <si>
    <t>9/28</t>
    <phoneticPr fontId="17"/>
  </si>
  <si>
    <t>木</t>
    <rPh sb="0" eb="1">
      <t>モク</t>
    </rPh>
    <phoneticPr fontId="17"/>
  </si>
  <si>
    <t>3SNMCLBWCB501150</t>
  </si>
  <si>
    <t>3SNMCLBWCB501120</t>
  </si>
  <si>
    <t>S-4</t>
  </si>
  <si>
    <t>3SNMCLBWCB50</t>
  </si>
  <si>
    <t>S</t>
    <phoneticPr fontId="17"/>
  </si>
  <si>
    <t>CERA</t>
    <phoneticPr fontId="17"/>
  </si>
  <si>
    <t>Y</t>
    <phoneticPr fontId="17"/>
  </si>
  <si>
    <t>25E</t>
    <phoneticPr fontId="17"/>
  </si>
  <si>
    <t>BKE09</t>
    <phoneticPr fontId="17"/>
  </si>
  <si>
    <t>Y</t>
    <phoneticPr fontId="17"/>
  </si>
  <si>
    <t>SY09</t>
    <phoneticPr fontId="56"/>
  </si>
  <si>
    <t>10/5</t>
    <phoneticPr fontId="17"/>
  </si>
  <si>
    <t>木</t>
    <rPh sb="0" eb="1">
      <t>モク</t>
    </rPh>
    <phoneticPr fontId="17"/>
  </si>
  <si>
    <t>10/6</t>
    <phoneticPr fontId="17"/>
  </si>
  <si>
    <t>金</t>
    <rPh sb="0" eb="1">
      <t>キン</t>
    </rPh>
    <phoneticPr fontId="17"/>
  </si>
  <si>
    <t>10/7</t>
    <phoneticPr fontId="17"/>
  </si>
  <si>
    <t>土</t>
    <rPh sb="0" eb="1">
      <t>ド</t>
    </rPh>
    <phoneticPr fontId="17"/>
  </si>
  <si>
    <t>10/8</t>
    <phoneticPr fontId="17"/>
  </si>
  <si>
    <t>日</t>
    <rPh sb="0" eb="1">
      <t>ニチ</t>
    </rPh>
    <phoneticPr fontId="17"/>
  </si>
  <si>
    <t>10/9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</si>
  <si>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</si>
  <si>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</si>
  <si>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</si>
  <si>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10/15</t>
    <phoneticPr fontId="17"/>
  </si>
  <si>
    <t>公休</t>
    <rPh sb="0" eb="2">
      <t>コウキュウ</t>
    </rPh>
    <phoneticPr fontId="17"/>
  </si>
  <si>
    <t>10/18</t>
    <phoneticPr fontId="17"/>
  </si>
  <si>
    <t>10/19</t>
    <phoneticPr fontId="17"/>
  </si>
  <si>
    <t>10/20</t>
    <phoneticPr fontId="17"/>
  </si>
  <si>
    <t>10/21</t>
    <phoneticPr fontId="17"/>
  </si>
  <si>
    <t>10/22</t>
    <phoneticPr fontId="17"/>
  </si>
  <si>
    <t>10/23</t>
    <phoneticPr fontId="17"/>
  </si>
  <si>
    <t>10/24</t>
    <phoneticPr fontId="17"/>
  </si>
  <si>
    <t>S</t>
    <phoneticPr fontId="20"/>
  </si>
  <si>
    <t>N</t>
    <phoneticPr fontId="20"/>
  </si>
  <si>
    <t>10/25</t>
    <phoneticPr fontId="17"/>
  </si>
  <si>
    <t>10/26</t>
    <phoneticPr fontId="17"/>
  </si>
  <si>
    <t>10/28</t>
    <phoneticPr fontId="17"/>
  </si>
  <si>
    <t>10/29</t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</si>
  <si>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</si>
  <si>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メタルミー　ネーマー銀消改　Ｂ　＊</t>
  </si>
  <si>
    <t>T</t>
    <phoneticPr fontId="20"/>
  </si>
  <si>
    <t>MCLB</t>
    <phoneticPr fontId="20"/>
  </si>
  <si>
    <t>HLKTV</t>
    <phoneticPr fontId="20"/>
  </si>
  <si>
    <t>リード作成</t>
    <rPh sb="3" eb="5">
      <t>サクセイ</t>
    </rPh>
    <phoneticPr fontId="17"/>
  </si>
  <si>
    <t>10/4</t>
    <phoneticPr fontId="17"/>
  </si>
  <si>
    <t>水</t>
    <rPh sb="0" eb="1">
      <t>スイ</t>
    </rPh>
    <phoneticPr fontId="17"/>
  </si>
  <si>
    <t>10/16</t>
    <phoneticPr fontId="17"/>
  </si>
  <si>
    <t>月</t>
    <rPh sb="0" eb="1">
      <t>ゲツ</t>
    </rPh>
    <phoneticPr fontId="17"/>
  </si>
  <si>
    <t>3ｲﾝﾁFWP</t>
    <phoneticPr fontId="20"/>
  </si>
  <si>
    <t>U</t>
    <phoneticPr fontId="20"/>
  </si>
  <si>
    <t>N</t>
    <phoneticPr fontId="20"/>
  </si>
  <si>
    <t>MLB</t>
    <phoneticPr fontId="20"/>
  </si>
  <si>
    <t>KF9BF</t>
    <phoneticPr fontId="20"/>
  </si>
  <si>
    <t>10/12</t>
    <phoneticPr fontId="17"/>
  </si>
  <si>
    <t>木</t>
    <rPh sb="0" eb="1">
      <t>モク</t>
    </rPh>
    <phoneticPr fontId="17"/>
  </si>
  <si>
    <t>3UNKNZMCRALCB</t>
  </si>
  <si>
    <t>メタルミーCRアルミ面コートB</t>
  </si>
  <si>
    <t>指示なし</t>
    <rPh sb="0" eb="2">
      <t>シジ</t>
    </rPh>
    <phoneticPr fontId="17"/>
  </si>
  <si>
    <t>福島コーティング</t>
    <phoneticPr fontId="56"/>
  </si>
  <si>
    <t>工材１部電材課</t>
    <phoneticPr fontId="56"/>
  </si>
  <si>
    <t>ダミー担当者</t>
    <phoneticPr fontId="56"/>
  </si>
  <si>
    <t>㈱巴川製紙所</t>
    <phoneticPr fontId="56"/>
  </si>
  <si>
    <t>S</t>
    <phoneticPr fontId="56"/>
  </si>
  <si>
    <t>N</t>
    <phoneticPr fontId="56"/>
  </si>
  <si>
    <t>CERA</t>
    <phoneticPr fontId="56"/>
  </si>
  <si>
    <t>BX8ARXT</t>
    <phoneticPr fontId="56"/>
  </si>
  <si>
    <t>セラピール　ＢＸ８ＡＲＸ</t>
    <phoneticPr fontId="56"/>
  </si>
  <si>
    <t>2023/10/24</t>
  </si>
  <si>
    <t>パナック㈱亀山工場</t>
    <phoneticPr fontId="56"/>
  </si>
  <si>
    <t>BX8AX</t>
    <phoneticPr fontId="56"/>
  </si>
  <si>
    <t>セラピール　　　　　　　　　　　ＢＸ８Ａ（Ｘ）</t>
    <phoneticPr fontId="56"/>
  </si>
  <si>
    <t>2023/11/14</t>
  </si>
  <si>
    <t>情材福島原価</t>
    <phoneticPr fontId="56"/>
  </si>
  <si>
    <t>工材１部大阪電材課</t>
    <phoneticPr fontId="56"/>
  </si>
  <si>
    <t>河村産業㈱</t>
  </si>
  <si>
    <t>セラピール　ＢＸ８Ａ（１４）</t>
    <phoneticPr fontId="56"/>
  </si>
  <si>
    <t>プロセス材２課</t>
    <phoneticPr fontId="56"/>
  </si>
  <si>
    <t>日榮新化㈱</t>
    <phoneticPr fontId="56"/>
  </si>
  <si>
    <t>Y</t>
    <phoneticPr fontId="56"/>
  </si>
  <si>
    <t>BX9AS</t>
    <phoneticPr fontId="56"/>
  </si>
  <si>
    <t>セラピール　　　　　　　　　　　ＢＸ９Ａ（Ｓ）</t>
    <phoneticPr fontId="56"/>
  </si>
  <si>
    <t>セラピール　ＢＫＥ（ＲＸ）</t>
    <phoneticPr fontId="56"/>
  </si>
  <si>
    <t>2023/11/10</t>
  </si>
  <si>
    <t>S</t>
    <phoneticPr fontId="56"/>
  </si>
  <si>
    <t>N</t>
    <phoneticPr fontId="56"/>
  </si>
  <si>
    <t>CERA</t>
    <phoneticPr fontId="56"/>
  </si>
  <si>
    <t>BKERXT</t>
    <phoneticPr fontId="56"/>
  </si>
  <si>
    <t>セラピール　ＢＫＥ（ＲＸ）</t>
    <phoneticPr fontId="56"/>
  </si>
  <si>
    <t>福島コーティング</t>
    <phoneticPr fontId="56"/>
  </si>
  <si>
    <t>光学機能材１課</t>
    <phoneticPr fontId="56"/>
  </si>
  <si>
    <t>ダミー担当者</t>
    <phoneticPr fontId="56"/>
  </si>
  <si>
    <t>㈱きもと　三重工場</t>
    <phoneticPr fontId="56"/>
  </si>
  <si>
    <t>BKUK</t>
    <phoneticPr fontId="56"/>
  </si>
  <si>
    <t>セラピール　ＢＫ（Ｕ）Ｋ</t>
    <phoneticPr fontId="56"/>
  </si>
  <si>
    <t>工材１部電材課</t>
    <phoneticPr fontId="56"/>
  </si>
  <si>
    <t>パナック㈱亀山工場</t>
    <phoneticPr fontId="56"/>
  </si>
  <si>
    <t>Y</t>
    <phoneticPr fontId="56"/>
  </si>
  <si>
    <t>BKE09</t>
    <phoneticPr fontId="56"/>
  </si>
  <si>
    <t>ＣＥＲＡＰＥＥＬ　ＢＫＥ（０９）</t>
    <phoneticPr fontId="56"/>
  </si>
  <si>
    <t>セラピール　ＢＫＥ（０９）</t>
    <phoneticPr fontId="56"/>
  </si>
  <si>
    <t>積水化学武蔵工場</t>
    <phoneticPr fontId="56"/>
  </si>
  <si>
    <t>プロセス材２課</t>
    <phoneticPr fontId="56"/>
  </si>
  <si>
    <t>日榮新化㈱</t>
    <phoneticPr fontId="56"/>
  </si>
  <si>
    <t>WZS</t>
    <phoneticPr fontId="56"/>
  </si>
  <si>
    <t>セラピールＷＺ（Ｓ）</t>
    <phoneticPr fontId="56"/>
  </si>
  <si>
    <t>2023/11/17</t>
  </si>
  <si>
    <t>セラピール　ＷＺ（３４）</t>
    <phoneticPr fontId="56"/>
  </si>
  <si>
    <t>プロセス材１課</t>
    <phoneticPr fontId="56"/>
  </si>
  <si>
    <t>リンテック㈱</t>
    <phoneticPr fontId="56"/>
  </si>
  <si>
    <t>2023/11/24</t>
  </si>
  <si>
    <t>古河電気工業㈱</t>
    <phoneticPr fontId="56"/>
  </si>
  <si>
    <t>WZE</t>
    <phoneticPr fontId="56"/>
  </si>
  <si>
    <t>セラピール　　　　　　　　　　　ＷＺ（Ｅ）</t>
    <phoneticPr fontId="56"/>
  </si>
  <si>
    <t>2023/11/21</t>
  </si>
  <si>
    <t>WZRX</t>
    <phoneticPr fontId="56"/>
  </si>
  <si>
    <t>セラピール　ＷＺ（ＲＸ）　　　　　　</t>
    <phoneticPr fontId="56"/>
  </si>
  <si>
    <t>情材福島原価</t>
    <phoneticPr fontId="56"/>
  </si>
  <si>
    <t>工材１部大阪電材課</t>
    <phoneticPr fontId="56"/>
  </si>
  <si>
    <t>T</t>
    <phoneticPr fontId="56"/>
  </si>
  <si>
    <t>2023/11/23</t>
  </si>
  <si>
    <t>2023/11/15</t>
  </si>
  <si>
    <t>2023/11/06</t>
  </si>
  <si>
    <t>2023/12/08</t>
  </si>
  <si>
    <t>2023/11/27</t>
  </si>
  <si>
    <t>欠点検出器制御盤内工事</t>
    <rPh sb="0" eb="1">
      <t>ケッテン</t>
    </rPh>
    <rPh sb="1" eb="4">
      <t>ケンシュツキ</t>
    </rPh>
    <rPh sb="5" eb="8">
      <t>セイギョバン</t>
    </rPh>
    <rPh sb="8" eb="9">
      <t>ナイ</t>
    </rPh>
    <rPh sb="9" eb="11">
      <t>コウジ</t>
    </rPh>
    <phoneticPr fontId="17"/>
  </si>
  <si>
    <t>ﾘｰﾄﾞ付け</t>
    <rPh sb="4" eb="5">
      <t>ツ</t>
    </rPh>
    <phoneticPr fontId="17"/>
  </si>
  <si>
    <t>11/3</t>
    <phoneticPr fontId="17"/>
  </si>
  <si>
    <t>11/4</t>
    <phoneticPr fontId="17"/>
  </si>
  <si>
    <t>11/5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</si>
  <si>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</si>
  <si>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</si>
  <si>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</si>
  <si>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</si>
  <si>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11/11</t>
    <phoneticPr fontId="17"/>
  </si>
  <si>
    <t>11/12</t>
    <phoneticPr fontId="17"/>
  </si>
  <si>
    <t>11/18</t>
    <phoneticPr fontId="17"/>
  </si>
  <si>
    <t>11/19</t>
    <phoneticPr fontId="17"/>
  </si>
  <si>
    <t>11/2</t>
    <phoneticPr fontId="17"/>
  </si>
  <si>
    <t>木</t>
    <rPh sb="0" eb="1">
      <t>モク</t>
    </rPh>
    <phoneticPr fontId="17"/>
  </si>
  <si>
    <t>11/3</t>
    <phoneticPr fontId="17"/>
  </si>
  <si>
    <t>11/4</t>
    <phoneticPr fontId="17"/>
  </si>
  <si>
    <t>11/5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</si>
  <si>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</si>
  <si>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</si>
  <si>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日</t>
    <rPh sb="0" eb="1">
      <t>ニチ</t>
    </rPh>
    <phoneticPr fontId="17"/>
  </si>
  <si>
    <t>11/6</t>
    <phoneticPr fontId="17"/>
  </si>
  <si>
    <t>月</t>
    <rPh sb="0" eb="1">
      <t>ゲツ</t>
    </rPh>
    <phoneticPr fontId="17"/>
  </si>
  <si>
    <t>公休</t>
    <rPh sb="0" eb="2">
      <t>コウキュウ</t>
    </rPh>
    <phoneticPr fontId="17"/>
  </si>
  <si>
    <t>2023/11/30</t>
  </si>
  <si>
    <t>2023/10/31</t>
  </si>
  <si>
    <t>2023/10/26</t>
  </si>
  <si>
    <t>T62M</t>
    <phoneticPr fontId="17"/>
  </si>
  <si>
    <t>11/7</t>
    <phoneticPr fontId="17"/>
  </si>
  <si>
    <t>火</t>
    <rPh sb="0" eb="1">
      <t>ヒ</t>
    </rPh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</si>
  <si>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</si>
  <si>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</si>
  <si>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11/11</t>
    <phoneticPr fontId="17"/>
  </si>
  <si>
    <t>土</t>
    <rPh sb="0" eb="1">
      <t>ド</t>
    </rPh>
    <phoneticPr fontId="17"/>
  </si>
  <si>
    <t>11/12</t>
    <phoneticPr fontId="17"/>
  </si>
  <si>
    <t>日</t>
    <rPh sb="0" eb="1">
      <t>ニチ</t>
    </rPh>
    <phoneticPr fontId="17"/>
  </si>
  <si>
    <t>月</t>
    <rPh sb="0" eb="1">
      <t>ゲツ</t>
    </rPh>
    <phoneticPr fontId="17"/>
  </si>
  <si>
    <t>11/18</t>
    <phoneticPr fontId="17"/>
  </si>
  <si>
    <t>11/19</t>
    <phoneticPr fontId="17"/>
  </si>
  <si>
    <t>11/25</t>
    <phoneticPr fontId="17"/>
  </si>
  <si>
    <t>11/26</t>
    <phoneticPr fontId="17"/>
  </si>
  <si>
    <t>11/27</t>
    <phoneticPr fontId="17"/>
  </si>
  <si>
    <t>11/28</t>
    <phoneticPr fontId="17"/>
  </si>
  <si>
    <t>11/30</t>
    <phoneticPr fontId="17"/>
  </si>
  <si>
    <t>12/1</t>
    <phoneticPr fontId="17"/>
  </si>
  <si>
    <t>12/2</t>
    <phoneticPr fontId="17"/>
  </si>
  <si>
    <t>12/3</t>
    <phoneticPr fontId="17"/>
  </si>
  <si>
    <t>木</t>
    <rPh sb="0" eb="1">
      <t>モク</t>
    </rPh>
    <phoneticPr fontId="17"/>
  </si>
  <si>
    <t>金</t>
    <rPh sb="0" eb="1">
      <t>キン</t>
    </rPh>
    <phoneticPr fontId="17"/>
  </si>
  <si>
    <t>11/20</t>
    <phoneticPr fontId="17"/>
  </si>
  <si>
    <t>月</t>
    <rPh sb="0" eb="1">
      <t>ゲツ</t>
    </rPh>
    <phoneticPr fontId="17"/>
  </si>
  <si>
    <t>11/21</t>
    <phoneticPr fontId="17"/>
  </si>
  <si>
    <t>火</t>
    <rPh sb="0" eb="1">
      <t>ヒ</t>
    </rPh>
    <phoneticPr fontId="17"/>
  </si>
  <si>
    <t>11/22</t>
    <phoneticPr fontId="17"/>
  </si>
  <si>
    <t>水</t>
    <rPh sb="0" eb="1">
      <t>スイ</t>
    </rPh>
    <phoneticPr fontId="17"/>
  </si>
  <si>
    <t>11/23</t>
    <phoneticPr fontId="17"/>
  </si>
  <si>
    <t>11/24</t>
    <phoneticPr fontId="17"/>
  </si>
  <si>
    <t>11/7</t>
    <phoneticPr fontId="17"/>
  </si>
  <si>
    <t>火</t>
    <rPh sb="0" eb="1">
      <t>ヒ</t>
    </rPh>
    <phoneticPr fontId="17"/>
  </si>
  <si>
    <t>11/13</t>
    <phoneticPr fontId="17"/>
  </si>
  <si>
    <t>月</t>
    <rPh sb="0" eb="1">
      <t>ゲツ</t>
    </rPh>
    <phoneticPr fontId="17"/>
  </si>
  <si>
    <t>11/14</t>
    <phoneticPr fontId="17"/>
  </si>
  <si>
    <t>10/31</t>
    <phoneticPr fontId="17"/>
  </si>
  <si>
    <t>火</t>
    <rPh sb="0" eb="1">
      <t>ヒ</t>
    </rPh>
    <phoneticPr fontId="17"/>
  </si>
  <si>
    <t>ルミラー２部工材課</t>
  </si>
  <si>
    <t>2023/11/07</t>
  </si>
  <si>
    <t>T62M</t>
    <phoneticPr fontId="20"/>
  </si>
  <si>
    <t>11/10</t>
    <phoneticPr fontId="17"/>
  </si>
  <si>
    <t>金</t>
    <rPh sb="0" eb="1">
      <t>キン</t>
    </rPh>
    <phoneticPr fontId="17"/>
  </si>
  <si>
    <t>ルミラー１部情材１課</t>
  </si>
  <si>
    <t>2023/12/28</t>
  </si>
  <si>
    <t>ルミラー２部大阪</t>
  </si>
  <si>
    <t>工程管理S4 11/15</t>
    <rPh sb="0" eb="1">
      <t>コウテイ</t>
    </rPh>
    <rPh sb="1" eb="3">
      <t>カンリ</t>
    </rPh>
    <phoneticPr fontId="17"/>
  </si>
  <si>
    <t>工程管理 S5 11/16</t>
    <rPh sb="0" eb="1">
      <t>コウテイ</t>
    </rPh>
    <rPh sb="1" eb="3">
      <t>カンリ</t>
    </rPh>
    <phoneticPr fontId="17"/>
  </si>
  <si>
    <t>11/17</t>
    <phoneticPr fontId="17"/>
  </si>
  <si>
    <t>金</t>
    <rPh sb="0" eb="1">
      <t>キン</t>
    </rPh>
    <phoneticPr fontId="17"/>
  </si>
  <si>
    <t>2023/11/20</t>
  </si>
  <si>
    <t>2023/11/22</t>
  </si>
  <si>
    <t>2023/12/31</t>
  </si>
  <si>
    <t>2023/12/25</t>
  </si>
  <si>
    <t>2023/12/30</t>
  </si>
  <si>
    <t>2024/01/12</t>
  </si>
  <si>
    <t>ルミラー２部光学課</t>
  </si>
  <si>
    <t>ＣＥＲＡＰＥＥＬ　ＢＫＥ（０９）</t>
  </si>
  <si>
    <t>2023/12/27</t>
  </si>
  <si>
    <t>2023/12/15</t>
  </si>
  <si>
    <t>3X</t>
  </si>
  <si>
    <t>2023/12/18</t>
  </si>
  <si>
    <t>2023/12/26</t>
  </si>
  <si>
    <t>保留品処置</t>
    <rPh sb="0" eb="2">
      <t>ホリュウ</t>
    </rPh>
    <rPh sb="2" eb="3">
      <t>ヒン</t>
    </rPh>
    <rPh sb="3" eb="5">
      <t>ショチ</t>
    </rPh>
    <phoneticPr fontId="17"/>
  </si>
  <si>
    <t>リード作成</t>
    <rPh sb="3" eb="5">
      <t>サクセイ</t>
    </rPh>
    <phoneticPr fontId="17"/>
  </si>
  <si>
    <t>11/29</t>
    <phoneticPr fontId="17"/>
  </si>
  <si>
    <t>水</t>
    <rPh sb="0" eb="1">
      <t>スイ</t>
    </rPh>
    <phoneticPr fontId="17"/>
  </si>
  <si>
    <t>3X</t>
    <phoneticPr fontId="20"/>
  </si>
  <si>
    <t>12/9</t>
    <phoneticPr fontId="17"/>
  </si>
  <si>
    <t>土</t>
    <rPh sb="0" eb="1">
      <t>ド</t>
    </rPh>
    <phoneticPr fontId="17"/>
  </si>
  <si>
    <t>12/10</t>
    <phoneticPr fontId="17"/>
  </si>
  <si>
    <t>日</t>
    <rPh sb="0" eb="1">
      <t>ニチ</t>
    </rPh>
    <phoneticPr fontId="17"/>
  </si>
  <si>
    <t>12/11</t>
    <phoneticPr fontId="17"/>
  </si>
  <si>
    <t>月</t>
    <rPh sb="0" eb="1">
      <t>ゲツ</t>
    </rPh>
    <phoneticPr fontId="17"/>
  </si>
  <si>
    <t>12/16</t>
    <phoneticPr fontId="17"/>
  </si>
  <si>
    <t>12/17</t>
    <phoneticPr fontId="17"/>
  </si>
  <si>
    <t>12/4</t>
    <phoneticPr fontId="17"/>
  </si>
  <si>
    <t>月</t>
    <rPh sb="0" eb="1">
      <t>ゲツ</t>
    </rPh>
    <phoneticPr fontId="17"/>
  </si>
  <si>
    <t>12/5</t>
  </si>
  <si>
    <t>12/6</t>
  </si>
  <si>
    <t>12/7</t>
  </si>
  <si>
    <t>12/9</t>
  </si>
  <si>
    <t>12/10</t>
  </si>
  <si>
    <t>12/8</t>
    <phoneticPr fontId="17"/>
  </si>
  <si>
    <t>金</t>
    <rPh sb="0" eb="1">
      <t>キン</t>
    </rPh>
    <phoneticPr fontId="17"/>
  </si>
  <si>
    <t>12/11</t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</si>
  <si>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</si>
  <si>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</si>
  <si>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</si>
  <si>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12/16</t>
    <phoneticPr fontId="17"/>
  </si>
  <si>
    <t>12/17</t>
    <phoneticPr fontId="17"/>
  </si>
  <si>
    <t>12/19</t>
    <phoneticPr fontId="17"/>
  </si>
  <si>
    <t>12/20</t>
    <phoneticPr fontId="17"/>
  </si>
  <si>
    <t>12/26</t>
    <phoneticPr fontId="17"/>
  </si>
  <si>
    <t>12/27</t>
    <phoneticPr fontId="17"/>
  </si>
  <si>
    <t>12/28</t>
    <phoneticPr fontId="17"/>
  </si>
  <si>
    <t>12/29</t>
  </si>
  <si>
    <t>12/30</t>
  </si>
  <si>
    <t>12/31</t>
  </si>
  <si>
    <t>1/1</t>
    <phoneticPr fontId="17"/>
  </si>
  <si>
    <t>1/2</t>
  </si>
  <si>
    <t>1/3</t>
  </si>
  <si>
    <t>1/4</t>
  </si>
  <si>
    <t>1/5</t>
  </si>
  <si>
    <t>1/6</t>
  </si>
  <si>
    <t>1/7</t>
  </si>
  <si>
    <t>1/8</t>
  </si>
  <si>
    <t>1/9</t>
  </si>
  <si>
    <t>掃除</t>
    <rPh sb="0" eb="2">
      <t>ソウジ</t>
    </rPh>
    <phoneticPr fontId="17"/>
  </si>
  <si>
    <t>公休</t>
    <rPh sb="0" eb="2">
      <t>コウキュウ</t>
    </rPh>
    <phoneticPr fontId="17"/>
  </si>
  <si>
    <t>12/29</t>
    <phoneticPr fontId="17"/>
  </si>
  <si>
    <t>－</t>
    <phoneticPr fontId="17"/>
  </si>
  <si>
    <t>※キズ懸念原反投入</t>
    <rPh sb="2" eb="4">
      <t>ケネン</t>
    </rPh>
    <rPh sb="4" eb="6">
      <t>ゲンタン</t>
    </rPh>
    <rPh sb="6" eb="8">
      <t>トウニュウ</t>
    </rPh>
    <phoneticPr fontId="17"/>
  </si>
  <si>
    <t>※巻芯ピラミッド懸念原反投入</t>
    <rPh sb="1" eb="2">
      <t>マ</t>
    </rPh>
    <rPh sb="2" eb="3">
      <t>シン</t>
    </rPh>
    <rPh sb="7" eb="9">
      <t>ケネン</t>
    </rPh>
    <rPh sb="8" eb="10">
      <t>ゲンタン</t>
    </rPh>
    <rPh sb="10" eb="12">
      <t>トウニュウ</t>
    </rPh>
    <phoneticPr fontId="17"/>
  </si>
  <si>
    <t>12/13</t>
    <phoneticPr fontId="17"/>
  </si>
  <si>
    <t>水</t>
    <rPh sb="0" eb="1">
      <t>スイ</t>
    </rPh>
    <phoneticPr fontId="17"/>
  </si>
  <si>
    <t>12/5</t>
    <phoneticPr fontId="17"/>
  </si>
  <si>
    <t>火</t>
    <rPh sb="0" eb="1">
      <t>ヒ</t>
    </rPh>
    <phoneticPr fontId="17"/>
  </si>
  <si>
    <t>12/12</t>
    <phoneticPr fontId="17"/>
  </si>
  <si>
    <t>ｽﾘｯﾄ</t>
    <phoneticPr fontId="17"/>
  </si>
  <si>
    <t>MSF</t>
    <phoneticPr fontId="17"/>
  </si>
  <si>
    <t>3ｲﾝﾁABS</t>
    <phoneticPr fontId="17"/>
  </si>
  <si>
    <t>指示なし</t>
    <rPh sb="0" eb="2">
      <t>シジ</t>
    </rPh>
    <phoneticPr fontId="17"/>
  </si>
  <si>
    <t>2023/12/11</t>
  </si>
  <si>
    <t>12/15</t>
  </si>
  <si>
    <t>2023/12/14</t>
  </si>
  <si>
    <t>3UYKNZMCRALCB</t>
  </si>
  <si>
    <t>Metalumy CR aluminum surface coat B</t>
  </si>
  <si>
    <t>QZ54</t>
    <phoneticPr fontId="17"/>
  </si>
  <si>
    <t>－</t>
    <phoneticPr fontId="17"/>
  </si>
  <si>
    <t>調整停機</t>
    <rPh sb="0" eb="2">
      <t>チョウセイ</t>
    </rPh>
    <rPh sb="2" eb="4">
      <t>テイキ</t>
    </rPh>
    <phoneticPr fontId="17"/>
  </si>
  <si>
    <t>調整停機</t>
    <rPh sb="0" eb="2">
      <t>チョウセイ</t>
    </rPh>
    <rPh sb="2" eb="4">
      <t>テイキ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</si>
  <si>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</si>
  <si>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1/10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</si>
  <si>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</si>
  <si>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</si>
  <si>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</si>
  <si>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</si>
  <si>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</si>
  <si>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</si>
  <si>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</si>
  <si>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</si>
  <si>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</si>
  <si>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</si>
  <si>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</si>
  <si>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</si>
  <si>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</si>
  <si>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</si>
  <si>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</si>
  <si>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</si>
  <si>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</si>
  <si>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</si>
  <si>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</si>
  <si>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</si>
  <si>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</si>
  <si>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  <phoneticPr fontId="17"/>
  </si>
  <si>
    <t>調整停機</t>
    <rPh sb="0" eb="2">
      <t>チョウセイ</t>
    </rPh>
    <rPh sb="2" eb="4">
      <t>テイキ</t>
    </rPh>
    <phoneticPr fontId="17"/>
  </si>
  <si>
    <t>木</t>
    <phoneticPr fontId="17"/>
  </si>
  <si>
    <t>1/12</t>
    <phoneticPr fontId="17"/>
  </si>
  <si>
    <t>金</t>
    <rPh sb="0" eb="1">
      <t>キン</t>
    </rPh>
    <phoneticPr fontId="17"/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</si>
  <si>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</si>
  <si>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</si>
  <si>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</si>
  <si>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</si>
  <si>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</si>
  <si>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</si>
  <si>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</si>
  <si>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</si>
  <si>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</si>
  <si>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</si>
  <si>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</si>
  <si>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</si>
  <si>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</si>
  <si>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2/16</t>
  </si>
  <si>
    <t>2/17</t>
  </si>
  <si>
    <t>2/18</t>
  </si>
  <si>
    <t>2/19</t>
  </si>
  <si>
    <t>2/20</t>
  </si>
  <si>
    <t>2/21</t>
  </si>
  <si>
    <t>2/22</t>
  </si>
  <si>
    <t>2/23</t>
  </si>
  <si>
    <t>2/24</t>
  </si>
  <si>
    <t>2/25</t>
  </si>
  <si>
    <t>2/26</t>
  </si>
  <si>
    <t>2/27</t>
  </si>
  <si>
    <t>2/28</t>
  </si>
  <si>
    <t>2/29</t>
  </si>
  <si>
    <t>3/3</t>
  </si>
  <si>
    <t>2024/01/22</t>
  </si>
  <si>
    <t>2024/02/27</t>
  </si>
  <si>
    <t>2024/02/16</t>
  </si>
  <si>
    <t>2024/02/29</t>
  </si>
  <si>
    <t>2024/03/08</t>
  </si>
  <si>
    <t>2024/03/04</t>
  </si>
  <si>
    <t>ルミラー１部情材２課</t>
  </si>
  <si>
    <t>2024/03/15</t>
  </si>
  <si>
    <t>2024/03/06</t>
  </si>
  <si>
    <t>2024/03/13</t>
  </si>
  <si>
    <t>2024/03/12</t>
  </si>
  <si>
    <t>2024/03/22</t>
  </si>
  <si>
    <t>メタルミー　ＴＥ－Ｓ消　ＶＯＩＤ　Ｖ　輸出梱包</t>
  </si>
  <si>
    <t>2024/02/22</t>
  </si>
  <si>
    <t>2/15</t>
    <phoneticPr fontId="17"/>
  </si>
  <si>
    <t>木</t>
    <rPh sb="0" eb="1">
      <t>モク</t>
    </rPh>
    <phoneticPr fontId="17"/>
  </si>
  <si>
    <t>3/2</t>
    <phoneticPr fontId="17"/>
  </si>
  <si>
    <t>掃除</t>
    <rPh sb="0" eb="2">
      <t>ソウジ</t>
    </rPh>
    <phoneticPr fontId="17"/>
  </si>
  <si>
    <t>リード作成</t>
    <rPh sb="3" eb="5">
      <t>サクセイ</t>
    </rPh>
    <phoneticPr fontId="17"/>
  </si>
  <si>
    <t>2/16</t>
    <phoneticPr fontId="17"/>
  </si>
  <si>
    <t>2/17</t>
    <phoneticPr fontId="17"/>
  </si>
  <si>
    <t>2024/02/28</t>
  </si>
  <si>
    <t>2/19</t>
    <phoneticPr fontId="17"/>
  </si>
  <si>
    <t>月</t>
    <rPh sb="0" eb="1">
      <t>ゲツ</t>
    </rPh>
    <phoneticPr fontId="17"/>
  </si>
  <si>
    <t>3/1</t>
    <phoneticPr fontId="17"/>
  </si>
  <si>
    <t>金</t>
    <rPh sb="0" eb="1">
      <t>キン</t>
    </rPh>
    <phoneticPr fontId="17"/>
  </si>
  <si>
    <t>2/27</t>
    <phoneticPr fontId="17"/>
  </si>
  <si>
    <t>火</t>
    <rPh sb="0" eb="1">
      <t>カ</t>
    </rPh>
    <phoneticPr fontId="17"/>
  </si>
  <si>
    <t>2/28</t>
    <phoneticPr fontId="17"/>
  </si>
  <si>
    <t>水</t>
    <rPh sb="0" eb="1">
      <t>スイ</t>
    </rPh>
    <phoneticPr fontId="17"/>
  </si>
  <si>
    <t>木</t>
    <rPh sb="0" eb="1">
      <t>モク</t>
    </rPh>
    <phoneticPr fontId="17"/>
  </si>
  <si>
    <t>2/23</t>
    <phoneticPr fontId="17"/>
  </si>
  <si>
    <t>2/24</t>
    <phoneticPr fontId="17"/>
  </si>
  <si>
    <t>土</t>
    <rPh sb="0" eb="1">
      <t>ド</t>
    </rPh>
    <phoneticPr fontId="17"/>
  </si>
  <si>
    <t>2/25</t>
    <phoneticPr fontId="17"/>
  </si>
  <si>
    <t>日</t>
    <rPh sb="0" eb="1">
      <t>ニチ</t>
    </rPh>
    <phoneticPr fontId="17"/>
  </si>
  <si>
    <t>2/26</t>
    <phoneticPr fontId="17"/>
  </si>
  <si>
    <t>2/29</t>
    <phoneticPr fontId="17"/>
  </si>
  <si>
    <t>3/2</t>
    <phoneticPr fontId="17"/>
  </si>
  <si>
    <t>3/3</t>
    <phoneticPr fontId="17"/>
  </si>
  <si>
    <t>3/4</t>
    <phoneticPr fontId="17"/>
  </si>
  <si>
    <t>2/20</t>
    <phoneticPr fontId="17"/>
  </si>
  <si>
    <t>2/21</t>
    <phoneticPr fontId="17"/>
  </si>
  <si>
    <t>棚卸し</t>
    <rPh sb="0" eb="2">
      <t>タナオロシ</t>
    </rPh>
    <phoneticPr fontId="17"/>
  </si>
  <si>
    <t>調整停機</t>
    <rPh sb="0" eb="2">
      <t>チョウセイ</t>
    </rPh>
    <rPh sb="2" eb="4">
      <t>テイキ</t>
    </rPh>
    <phoneticPr fontId="17"/>
  </si>
  <si>
    <t>S28</t>
    <phoneticPr fontId="20"/>
  </si>
  <si>
    <t>R75X</t>
    <phoneticPr fontId="20"/>
  </si>
  <si>
    <t>R75XK</t>
    <phoneticPr fontId="20"/>
  </si>
  <si>
    <t>MK-1</t>
    <phoneticPr fontId="20"/>
  </si>
  <si>
    <t>25E</t>
    <phoneticPr fontId="20"/>
  </si>
  <si>
    <t>S105</t>
    <phoneticPr fontId="20"/>
  </si>
  <si>
    <t>S-4</t>
    <phoneticPr fontId="20"/>
  </si>
  <si>
    <t>3ｲﾝﾁSｺｱ</t>
    <phoneticPr fontId="20"/>
  </si>
  <si>
    <t>X44</t>
    <phoneticPr fontId="20"/>
  </si>
  <si>
    <t>-</t>
    <phoneticPr fontId="17"/>
  </si>
  <si>
    <t>33S</t>
    <phoneticPr fontId="17"/>
  </si>
  <si>
    <t>S10</t>
    <phoneticPr fontId="20"/>
  </si>
  <si>
    <t>SL-3</t>
    <phoneticPr fontId="17"/>
  </si>
  <si>
    <t>U483N</t>
    <phoneticPr fontId="20"/>
  </si>
  <si>
    <t>RM1Z</t>
    <phoneticPr fontId="20"/>
  </si>
  <si>
    <t>Kｺｱ</t>
    <phoneticPr fontId="20"/>
  </si>
  <si>
    <t>3KS</t>
    <phoneticPr fontId="17"/>
  </si>
  <si>
    <t>MK1</t>
    <phoneticPr fontId="17"/>
  </si>
  <si>
    <t>CF2</t>
    <phoneticPr fontId="20"/>
  </si>
  <si>
    <t>SL-1</t>
    <phoneticPr fontId="20"/>
  </si>
  <si>
    <t>QZ43</t>
    <phoneticPr fontId="20"/>
  </si>
  <si>
    <t>X30</t>
    <phoneticPr fontId="20"/>
  </si>
  <si>
    <t>E20</t>
    <phoneticPr fontId="20"/>
  </si>
  <si>
    <t>MR1E</t>
    <phoneticPr fontId="20"/>
  </si>
  <si>
    <t>U48K</t>
    <phoneticPr fontId="20"/>
  </si>
  <si>
    <t>XD5AD2</t>
    <phoneticPr fontId="20"/>
  </si>
  <si>
    <t>T6AM</t>
    <phoneticPr fontId="20"/>
  </si>
  <si>
    <t>RP44</t>
    <phoneticPr fontId="20"/>
  </si>
  <si>
    <t>RS1T</t>
    <phoneticPr fontId="20"/>
  </si>
  <si>
    <t>A56</t>
    <phoneticPr fontId="20"/>
  </si>
  <si>
    <t>QZR1</t>
    <phoneticPr fontId="20"/>
  </si>
  <si>
    <t>650～720㎜</t>
    <phoneticPr fontId="20"/>
  </si>
  <si>
    <t>XD500N</t>
    <phoneticPr fontId="17"/>
  </si>
  <si>
    <t>S10</t>
    <phoneticPr fontId="17"/>
  </si>
  <si>
    <t>CF3</t>
    <phoneticPr fontId="20"/>
  </si>
  <si>
    <t>T70A</t>
    <phoneticPr fontId="20"/>
  </si>
  <si>
    <t>F68</t>
    <phoneticPr fontId="20"/>
  </si>
  <si>
    <t>3ｲﾝﾁMｺｱ</t>
    <phoneticPr fontId="20"/>
  </si>
  <si>
    <t>S28離型ｲﾁﾏﾂ</t>
    <phoneticPr fontId="17"/>
  </si>
  <si>
    <t>セラピール　ＢＫＥ（０９）</t>
    <phoneticPr fontId="20"/>
  </si>
  <si>
    <t>Y</t>
    <phoneticPr fontId="20"/>
  </si>
  <si>
    <t>セラピール　ＢＫＥ（ＲＸ）</t>
    <phoneticPr fontId="17"/>
  </si>
  <si>
    <t>セラピール　ＢＫ（Ｕ）</t>
    <phoneticPr fontId="17"/>
  </si>
  <si>
    <t>BX8AD</t>
    <phoneticPr fontId="20"/>
  </si>
  <si>
    <t>セラピール　ＢＸ８Ａ（Ｄ）</t>
    <phoneticPr fontId="20"/>
  </si>
  <si>
    <t>セラピール　ＢＸ８Ａ（Ｘ）</t>
    <phoneticPr fontId="20"/>
  </si>
  <si>
    <t>セラピール　ＢＸ８Ａ(Ｓ)</t>
    <phoneticPr fontId="20"/>
  </si>
  <si>
    <t>トーヨーケム</t>
    <phoneticPr fontId="20"/>
  </si>
  <si>
    <t>セラピール　ＢＸ８Ａ（１４）</t>
    <phoneticPr fontId="20"/>
  </si>
  <si>
    <t>セラピール　ＢＸ９Ａ(Ｓ)</t>
    <phoneticPr fontId="20"/>
  </si>
  <si>
    <t>MDAR</t>
    <phoneticPr fontId="20"/>
  </si>
  <si>
    <t>セラピール　ＭＤＡ（Ｒ）</t>
    <phoneticPr fontId="20"/>
  </si>
  <si>
    <t>3K4A</t>
    <phoneticPr fontId="20"/>
  </si>
  <si>
    <t>セラピール　ＷＺ（Ｓ）</t>
    <phoneticPr fontId="20"/>
  </si>
  <si>
    <t>藤産業㈱</t>
    <phoneticPr fontId="20"/>
  </si>
  <si>
    <t>セラピール　ＷＺ（34）</t>
    <phoneticPr fontId="20"/>
  </si>
  <si>
    <t>不要</t>
    <phoneticPr fontId="20"/>
  </si>
  <si>
    <t>3K1A</t>
    <phoneticPr fontId="20"/>
  </si>
  <si>
    <t>リンテック㈱</t>
    <phoneticPr fontId="20"/>
  </si>
  <si>
    <t>PETV44</t>
    <phoneticPr fontId="20"/>
  </si>
  <si>
    <t>ＰＥＴ　Ｖ（Ｘ－４４）</t>
    <phoneticPr fontId="20"/>
  </si>
  <si>
    <t>要</t>
    <phoneticPr fontId="20"/>
  </si>
  <si>
    <t>MSKTLHG</t>
    <phoneticPr fontId="20"/>
  </si>
  <si>
    <t>ＭＳＫ　ＴＬ（ＨＧ）</t>
    <phoneticPr fontId="20"/>
  </si>
  <si>
    <t>TEKV0V</t>
    <phoneticPr fontId="17"/>
  </si>
  <si>
    <t>要→×</t>
    <phoneticPr fontId="20"/>
  </si>
  <si>
    <t>メタルミー　ネーマー銀消　Ｂ</t>
    <phoneticPr fontId="17"/>
  </si>
  <si>
    <t>ＭＥＴＡＬＵＭＹ　ＳＩＬＶＥＲ　Ｎ－ＭＡＴＴＥ　Ｘ４４Ｍ　Ｂ</t>
    <phoneticPr fontId="20"/>
  </si>
  <si>
    <t>TONGDA</t>
    <phoneticPr fontId="20"/>
  </si>
  <si>
    <t>THS</t>
    <phoneticPr fontId="20"/>
  </si>
  <si>
    <t>タフトップ　ＴＨＳ</t>
    <phoneticPr fontId="20"/>
  </si>
  <si>
    <t>J-ETC</t>
    <phoneticPr fontId="20"/>
  </si>
  <si>
    <t>ADX44</t>
    <phoneticPr fontId="20"/>
  </si>
  <si>
    <t>MFAS</t>
    <phoneticPr fontId="20"/>
  </si>
  <si>
    <t>セラピール　ＭＦＡ（Ｓ）</t>
    <phoneticPr fontId="20"/>
  </si>
  <si>
    <t>MFAX</t>
    <phoneticPr fontId="20"/>
  </si>
  <si>
    <t>セラピール　ＭＦＡ（X）</t>
    <phoneticPr fontId="20"/>
  </si>
  <si>
    <t>MFA01</t>
    <phoneticPr fontId="20"/>
  </si>
  <si>
    <t>セラピール　ＭＦＡ（０１）</t>
    <phoneticPr fontId="20"/>
  </si>
  <si>
    <t>Apple</t>
    <phoneticPr fontId="20"/>
  </si>
  <si>
    <t>マルワ</t>
    <phoneticPr fontId="20"/>
  </si>
  <si>
    <t>MFA45</t>
    <phoneticPr fontId="20"/>
  </si>
  <si>
    <t>セラピール　ＭＦＡ（４５）</t>
    <phoneticPr fontId="20"/>
  </si>
  <si>
    <t>MFA46</t>
    <phoneticPr fontId="20"/>
  </si>
  <si>
    <t>セラピール　ＭＦＡ（４６）</t>
    <phoneticPr fontId="20"/>
  </si>
  <si>
    <t>MFA09</t>
    <phoneticPr fontId="20"/>
  </si>
  <si>
    <t>セラピール　ＭＦＡ（０９）</t>
    <phoneticPr fontId="20"/>
  </si>
  <si>
    <t>NGKｴﾚｸﾄﾛﾃﾞﾊﾞｲｽ</t>
    <phoneticPr fontId="20"/>
  </si>
  <si>
    <t>MFA14</t>
    <phoneticPr fontId="20"/>
  </si>
  <si>
    <t>セラピール　ＭＦＡ（１４）</t>
    <phoneticPr fontId="20"/>
  </si>
  <si>
    <t>ＭＡＲＵＷＡ</t>
    <phoneticPr fontId="20"/>
  </si>
  <si>
    <t>JMFAJ</t>
    <phoneticPr fontId="20"/>
  </si>
  <si>
    <t>セラピール　ＪＭＦＡ（Ｊ）</t>
    <phoneticPr fontId="20"/>
  </si>
  <si>
    <t>JTKA07J</t>
    <phoneticPr fontId="20"/>
  </si>
  <si>
    <t>セラピール　ＪＴＫＡ０７（Ｊ）</t>
    <phoneticPr fontId="20"/>
  </si>
  <si>
    <t>JTKA07H</t>
    <phoneticPr fontId="20"/>
  </si>
  <si>
    <t>セラピール　ＪＴＫＡ０７（Ｈ）</t>
    <phoneticPr fontId="20"/>
  </si>
  <si>
    <t>デンカ</t>
    <phoneticPr fontId="20"/>
  </si>
  <si>
    <t>WZ26</t>
    <phoneticPr fontId="20"/>
  </si>
  <si>
    <t>セラピール　ＷＺ（26）</t>
    <phoneticPr fontId="20"/>
  </si>
  <si>
    <t>パナック</t>
    <phoneticPr fontId="20"/>
  </si>
  <si>
    <t>古河電気工業㈱</t>
    <phoneticPr fontId="20"/>
  </si>
  <si>
    <t>WZ48</t>
    <phoneticPr fontId="20"/>
  </si>
  <si>
    <t>セラピール　ＷＺ（48）</t>
    <phoneticPr fontId="20"/>
  </si>
  <si>
    <t>SY14</t>
    <phoneticPr fontId="20"/>
  </si>
  <si>
    <t>セラピール　ＳＹ（１４）</t>
    <phoneticPr fontId="20"/>
  </si>
  <si>
    <t>SY18</t>
    <phoneticPr fontId="20"/>
  </si>
  <si>
    <t>セラピール　ＳＹ（１８）</t>
    <phoneticPr fontId="20"/>
  </si>
  <si>
    <t>ＴＳＭＣ</t>
    <phoneticPr fontId="20"/>
  </si>
  <si>
    <t>27121BM</t>
    <phoneticPr fontId="20"/>
  </si>
  <si>
    <t>セラピール　ＰＪ２７１（２１）ＢＭ</t>
    <phoneticPr fontId="20"/>
  </si>
  <si>
    <t>カネカ</t>
    <phoneticPr fontId="20"/>
  </si>
  <si>
    <t>3J1A</t>
    <phoneticPr fontId="20"/>
  </si>
  <si>
    <t>セラピール　ＰＪ１０１（０６）</t>
    <phoneticPr fontId="20"/>
  </si>
  <si>
    <t>デクセリアルズ</t>
    <phoneticPr fontId="20"/>
  </si>
  <si>
    <t>セラピール　ＰＪ２７１（１８）</t>
    <phoneticPr fontId="20"/>
  </si>
  <si>
    <t>3M</t>
    <phoneticPr fontId="20"/>
  </si>
  <si>
    <t>ＰＯＬＯＭＯ</t>
    <phoneticPr fontId="20"/>
  </si>
  <si>
    <t>セラピール　ＰＪ２７１（１４）</t>
    <phoneticPr fontId="20"/>
  </si>
  <si>
    <t>27114MA</t>
    <phoneticPr fontId="20"/>
  </si>
  <si>
    <t>27114MB</t>
    <phoneticPr fontId="20"/>
  </si>
  <si>
    <t>セラピール　ＰＪ２７２（１４）</t>
    <phoneticPr fontId="20"/>
  </si>
  <si>
    <t>3MUS</t>
    <phoneticPr fontId="20"/>
  </si>
  <si>
    <t>下田工業/デンソー</t>
    <phoneticPr fontId="20"/>
  </si>
  <si>
    <t>3FAB</t>
    <phoneticPr fontId="20"/>
  </si>
  <si>
    <t>PJ3114</t>
    <phoneticPr fontId="20"/>
  </si>
  <si>
    <t>セラピール　ＰＪ３１（１４）</t>
    <phoneticPr fontId="20"/>
  </si>
  <si>
    <t>G14</t>
    <phoneticPr fontId="20"/>
  </si>
  <si>
    <t>セラピール　Ｇ（１４）</t>
    <phoneticPr fontId="20"/>
  </si>
  <si>
    <t>271G14</t>
    <phoneticPr fontId="20"/>
  </si>
  <si>
    <t>セラピール　ＰＪ２７１Ｇ（１４）</t>
    <phoneticPr fontId="20"/>
  </si>
  <si>
    <t>271/G14</t>
    <phoneticPr fontId="20"/>
  </si>
  <si>
    <t>セラピール　ＰＪ２７１／Ｇ（１４）</t>
    <phoneticPr fontId="20"/>
  </si>
  <si>
    <t>セラピール　ＰＪ２７１（４０）</t>
    <phoneticPr fontId="20"/>
  </si>
  <si>
    <t>27114T1</t>
    <phoneticPr fontId="20"/>
  </si>
  <si>
    <t>セラピール　ＰＪ２７１ＢＳ（１４）</t>
    <phoneticPr fontId="20"/>
  </si>
  <si>
    <t>フジコピアン</t>
    <phoneticPr fontId="20"/>
  </si>
  <si>
    <t>3M2A</t>
    <phoneticPr fontId="20"/>
  </si>
  <si>
    <t>セラピール　ＰＪ２７１（１６）</t>
    <phoneticPr fontId="20"/>
  </si>
  <si>
    <t>セラピール　ＰＪ１１１（１６）</t>
    <phoneticPr fontId="20"/>
  </si>
  <si>
    <t>セラピール　ＰＪ２７１（３６）</t>
    <phoneticPr fontId="20"/>
  </si>
  <si>
    <t>HP316</t>
    <phoneticPr fontId="20"/>
  </si>
  <si>
    <t>セラピール　ＨＰ３（１６）</t>
    <phoneticPr fontId="20"/>
  </si>
  <si>
    <t>HP2SDF</t>
    <phoneticPr fontId="20"/>
  </si>
  <si>
    <t>セラピール　ＨＰ２（Ｓ）Ｄ</t>
    <phoneticPr fontId="20"/>
  </si>
  <si>
    <t>HP216</t>
    <phoneticPr fontId="20"/>
  </si>
  <si>
    <t>セラピール　ＨＰ２（１６）</t>
    <phoneticPr fontId="20"/>
  </si>
  <si>
    <t>ニッパ</t>
    <phoneticPr fontId="20"/>
  </si>
  <si>
    <t>ＰＥＴ２５ｘ１－ＪＯＬ</t>
    <phoneticPr fontId="20"/>
  </si>
  <si>
    <t>ＰＥＴ２５ｘ１－ＪＯ</t>
    <phoneticPr fontId="20"/>
  </si>
  <si>
    <t>日東電工</t>
    <phoneticPr fontId="20"/>
  </si>
  <si>
    <t>3JAB</t>
    <phoneticPr fontId="20"/>
  </si>
  <si>
    <t>MDA01</t>
    <phoneticPr fontId="20"/>
  </si>
  <si>
    <t>セラピール　ＭＤＡ（０１）</t>
    <phoneticPr fontId="20"/>
  </si>
  <si>
    <t>ＡＳコート</t>
    <phoneticPr fontId="20"/>
  </si>
  <si>
    <t>ＡＳＥ</t>
    <phoneticPr fontId="20"/>
  </si>
  <si>
    <t>3Z1A</t>
    <phoneticPr fontId="20"/>
  </si>
  <si>
    <t>セラピール　ＰＪ２７１（１１）</t>
    <phoneticPr fontId="20"/>
  </si>
  <si>
    <t>J22B</t>
    <phoneticPr fontId="20"/>
  </si>
  <si>
    <t>セラピール　ＪＰＪ２２（Ｂ）</t>
    <phoneticPr fontId="20"/>
  </si>
  <si>
    <t>JPJ113B</t>
    <phoneticPr fontId="20"/>
  </si>
  <si>
    <t>セラピール　ＪＰＪ１１３（Ｂ）</t>
    <phoneticPr fontId="20"/>
  </si>
  <si>
    <t>WZCR</t>
    <phoneticPr fontId="20"/>
  </si>
  <si>
    <t>セラピール　ＷＺ（ＣＲ）</t>
    <phoneticPr fontId="20"/>
  </si>
  <si>
    <t>ＰＨＣ</t>
    <phoneticPr fontId="20"/>
  </si>
  <si>
    <t>JWZ(B)</t>
    <phoneticPr fontId="20"/>
  </si>
  <si>
    <t>セラピール　ＪＷＺ（Ｂ）</t>
    <phoneticPr fontId="20"/>
  </si>
  <si>
    <t>JWZK</t>
    <phoneticPr fontId="20"/>
  </si>
  <si>
    <t>セラピール　ＪＷＺ（Ｋ）</t>
    <phoneticPr fontId="20"/>
  </si>
  <si>
    <t>JTK14B</t>
    <phoneticPr fontId="20"/>
  </si>
  <si>
    <t>セラピール　ＪＴＫ１４（Ｂ）</t>
    <phoneticPr fontId="20"/>
  </si>
  <si>
    <t>JTKE14B</t>
    <phoneticPr fontId="20"/>
  </si>
  <si>
    <t>セラピール　ＪＴＫＥ１４（Ｂ）</t>
    <phoneticPr fontId="20"/>
  </si>
  <si>
    <t>JTKA16B</t>
    <phoneticPr fontId="20"/>
  </si>
  <si>
    <t>セラピール　ＪＴＫＡ１６（Ｂ）</t>
    <phoneticPr fontId="20"/>
  </si>
  <si>
    <t>JTKG16B</t>
    <phoneticPr fontId="20"/>
  </si>
  <si>
    <t>セラピール　ＪＴＫG１６（Ｂ）</t>
    <phoneticPr fontId="20"/>
  </si>
  <si>
    <t>BX8A33</t>
    <phoneticPr fontId="17"/>
  </si>
  <si>
    <t>BX8A26</t>
    <phoneticPr fontId="17"/>
  </si>
  <si>
    <t>セラピール　ＢＸ８Ａ（２６）</t>
    <phoneticPr fontId="20"/>
  </si>
  <si>
    <t>BX8A01</t>
    <phoneticPr fontId="20"/>
  </si>
  <si>
    <t>セラピール　ＢＸ８Ａ（０１）</t>
    <phoneticPr fontId="20"/>
  </si>
  <si>
    <t>BX9A09</t>
    <phoneticPr fontId="20"/>
  </si>
  <si>
    <t>セラピール　ＢＸ９Ａ（０９）</t>
    <phoneticPr fontId="20"/>
  </si>
  <si>
    <t>TKA1214</t>
    <phoneticPr fontId="20"/>
  </si>
  <si>
    <t>セラピール　ＴＫＡ１２（１４）</t>
    <phoneticPr fontId="20"/>
  </si>
  <si>
    <t>リケンテクノス</t>
    <phoneticPr fontId="20"/>
  </si>
  <si>
    <t>JMDAB</t>
    <phoneticPr fontId="20"/>
  </si>
  <si>
    <t>セラピール　ＪＭＤＡ（Ｂ）</t>
    <phoneticPr fontId="20"/>
  </si>
  <si>
    <t>JMDGB</t>
    <phoneticPr fontId="20"/>
  </si>
  <si>
    <t>セラピール　ＪＭＤＧ（Ｂ）</t>
    <phoneticPr fontId="20"/>
  </si>
  <si>
    <t>JMDEB</t>
    <phoneticPr fontId="20"/>
  </si>
  <si>
    <t>セラピール　ＪＭＤＥ（Ｂ）</t>
    <phoneticPr fontId="20"/>
  </si>
  <si>
    <t>セラピール　ＭＤ（Ａ）（Ｒ）</t>
    <phoneticPr fontId="20"/>
  </si>
  <si>
    <t>TKA0709</t>
    <phoneticPr fontId="20"/>
  </si>
  <si>
    <t>セラピール　ＴＫＡ０７（０９）</t>
    <phoneticPr fontId="20"/>
  </si>
  <si>
    <t>TKA1440</t>
    <phoneticPr fontId="20"/>
  </si>
  <si>
    <t>セラピール　ＴＫＡ１４（４０）</t>
    <phoneticPr fontId="20"/>
  </si>
  <si>
    <t>TKA1540</t>
    <phoneticPr fontId="20"/>
  </si>
  <si>
    <t>セラピール　ＴＫＡ１５（４０）</t>
    <phoneticPr fontId="20"/>
  </si>
  <si>
    <t>TKA0909</t>
    <phoneticPr fontId="20"/>
  </si>
  <si>
    <t>セラピール　ＴＫＡ０９（０９）</t>
    <phoneticPr fontId="20"/>
  </si>
  <si>
    <t>TKA09RX</t>
    <phoneticPr fontId="20"/>
  </si>
  <si>
    <t>セラピール　ＴＫＡ０９（ＲＸ）</t>
    <phoneticPr fontId="20"/>
  </si>
  <si>
    <t>TKA07X</t>
    <phoneticPr fontId="20"/>
  </si>
  <si>
    <t>セラピール　ＴＫＡ０７（Ｘ）</t>
    <phoneticPr fontId="20"/>
  </si>
  <si>
    <t>セラピール　ＴＫＡ０７Ｘ</t>
    <phoneticPr fontId="20"/>
  </si>
  <si>
    <t>BX8AX</t>
    <phoneticPr fontId="20"/>
  </si>
  <si>
    <t>セラピール　ＢＸ８ＡＸ</t>
    <phoneticPr fontId="20"/>
  </si>
  <si>
    <t>BX8A37</t>
    <phoneticPr fontId="20"/>
  </si>
  <si>
    <t>セラピール　ＢＸ８Ａ（３７）</t>
    <phoneticPr fontId="20"/>
  </si>
  <si>
    <t>JBX8AB</t>
    <phoneticPr fontId="20"/>
  </si>
  <si>
    <t>セラピール　ＪＢＸ８Ａ（Ｂ）</t>
    <phoneticPr fontId="20"/>
  </si>
  <si>
    <t>JBX9AB</t>
    <phoneticPr fontId="20"/>
  </si>
  <si>
    <t>セラピール　ＪＢＸ９Ａ（Ｂ）</t>
    <phoneticPr fontId="20"/>
  </si>
  <si>
    <t>BX8E26</t>
    <phoneticPr fontId="20"/>
  </si>
  <si>
    <t>セラピール　ＢＸ８Ｅ（２６）</t>
    <phoneticPr fontId="20"/>
  </si>
  <si>
    <t>BKE26</t>
    <phoneticPr fontId="20"/>
  </si>
  <si>
    <t>セラピール　ＢＫＥ（２６）</t>
    <phoneticPr fontId="20"/>
  </si>
  <si>
    <t>BX8APF</t>
    <phoneticPr fontId="17"/>
  </si>
  <si>
    <t>セラピール　ＢＸ８Ａ（ＰＲＦ）</t>
    <phoneticPr fontId="17"/>
  </si>
  <si>
    <t>BX8AX</t>
    <phoneticPr fontId="17"/>
  </si>
  <si>
    <t>セラピール　ＢＸ８Ａ（Ｘ）</t>
    <phoneticPr fontId="17"/>
  </si>
  <si>
    <t>BX8G07</t>
    <phoneticPr fontId="20"/>
  </si>
  <si>
    <t>セラピール　ＢＸ８Ｇ（０７）</t>
    <phoneticPr fontId="20"/>
  </si>
  <si>
    <t>TKG0707</t>
    <phoneticPr fontId="20"/>
  </si>
  <si>
    <t>セラピール　ＴＫＧ０７（０７）</t>
    <phoneticPr fontId="20"/>
  </si>
  <si>
    <t>TKA12PF</t>
    <phoneticPr fontId="17"/>
  </si>
  <si>
    <t>セラピール　ＴＫＡ１２（ＰＲＦ）</t>
    <phoneticPr fontId="17"/>
  </si>
  <si>
    <t>TKA13PF</t>
    <phoneticPr fontId="17"/>
  </si>
  <si>
    <t>セラピール　ＴＫＡ１３（ＰＲＦ）</t>
    <phoneticPr fontId="17"/>
  </si>
  <si>
    <t>TKA15PF</t>
    <phoneticPr fontId="17"/>
  </si>
  <si>
    <t>セラピール　ＴＫＡ１５（ＰＲＦ）</t>
    <phoneticPr fontId="17"/>
  </si>
  <si>
    <t>TT405D</t>
    <phoneticPr fontId="17"/>
  </si>
  <si>
    <t>５０ＴＴ４０５Ｄ</t>
    <phoneticPr fontId="17"/>
  </si>
  <si>
    <t>TT405B</t>
    <phoneticPr fontId="17"/>
  </si>
  <si>
    <t>５０ＴＴ４０５Ｂ</t>
    <phoneticPr fontId="17"/>
  </si>
  <si>
    <t>TTP</t>
    <phoneticPr fontId="20"/>
  </si>
  <si>
    <t>3K4A</t>
    <phoneticPr fontId="17"/>
  </si>
  <si>
    <t>KNZ</t>
    <phoneticPr fontId="20"/>
  </si>
  <si>
    <t>MCRALCB</t>
    <phoneticPr fontId="20"/>
  </si>
  <si>
    <t>Metalumy CR aluminum surface coat B</t>
    <phoneticPr fontId="20"/>
  </si>
  <si>
    <t>PETV</t>
    <phoneticPr fontId="20"/>
  </si>
  <si>
    <t>ＰＥＴ　Ｖ</t>
    <phoneticPr fontId="20"/>
  </si>
  <si>
    <t>MBSF</t>
    <phoneticPr fontId="20"/>
  </si>
  <si>
    <t>メタルミー ＢＳ</t>
    <phoneticPr fontId="20"/>
  </si>
  <si>
    <t>DMSEYK</t>
    <phoneticPr fontId="20"/>
  </si>
  <si>
    <t>ＤＭＳ　ＥＹＫ</t>
    <phoneticPr fontId="20"/>
  </si>
  <si>
    <t>HLGTF</t>
    <phoneticPr fontId="20"/>
  </si>
  <si>
    <t>3/4</t>
    <phoneticPr fontId="17"/>
  </si>
  <si>
    <t>月</t>
    <rPh sb="0" eb="1">
      <t>ゲツ</t>
    </rPh>
    <phoneticPr fontId="17"/>
  </si>
  <si>
    <t>※輸出梱包(ﾘﾝﾃｯｸ蘇州向け)</t>
    <rPh sb="0" eb="2">
      <t>ユシュツ</t>
    </rPh>
    <rPh sb="2" eb="4">
      <t>コンポウ</t>
    </rPh>
    <rPh sb="11" eb="13">
      <t>ソシュウ</t>
    </rPh>
    <rPh sb="13" eb="14">
      <t>ム</t>
    </rPh>
    <phoneticPr fontId="17"/>
  </si>
  <si>
    <t>※1本ﾘｰﾄﾞ付けしない</t>
    <rPh sb="1" eb="2">
      <t>ポン</t>
    </rPh>
    <rPh sb="6" eb="7">
      <t>ツ</t>
    </rPh>
    <phoneticPr fontId="17"/>
  </si>
  <si>
    <t>3/5</t>
  </si>
  <si>
    <t>3/6</t>
  </si>
  <si>
    <t>3/7</t>
  </si>
  <si>
    <t>3/8</t>
  </si>
  <si>
    <t>3/9</t>
  </si>
  <si>
    <t>3/10</t>
  </si>
  <si>
    <t>3/16</t>
  </si>
  <si>
    <t>3/17</t>
  </si>
  <si>
    <t>3/24</t>
  </si>
  <si>
    <t>3/26</t>
  </si>
  <si>
    <t>3/27</t>
  </si>
  <si>
    <t>2024/02/09</t>
  </si>
  <si>
    <t>3/1</t>
    <phoneticPr fontId="17"/>
  </si>
  <si>
    <t>金</t>
    <rPh sb="0" eb="1">
      <t>キン</t>
    </rPh>
    <phoneticPr fontId="17"/>
  </si>
  <si>
    <t>6ｲﾝﾁSｺｱ</t>
    <phoneticPr fontId="17"/>
  </si>
  <si>
    <t>2024/02/14</t>
  </si>
  <si>
    <t>2024/03/20</t>
  </si>
  <si>
    <t>2024/03/29</t>
  </si>
  <si>
    <t>4/18</t>
    <phoneticPr fontId="17"/>
  </si>
  <si>
    <t>木</t>
    <rPh sb="0" eb="1">
      <t>モク</t>
    </rPh>
    <phoneticPr fontId="17"/>
  </si>
  <si>
    <t>4/19</t>
    <phoneticPr fontId="17"/>
  </si>
  <si>
    <t>金</t>
    <rPh sb="0" eb="1">
      <t>キン</t>
    </rPh>
    <phoneticPr fontId="17"/>
  </si>
  <si>
    <t>2024/02/19</t>
  </si>
  <si>
    <t>2024/03/31</t>
  </si>
  <si>
    <t>2024/02/20</t>
  </si>
  <si>
    <t>2024/04/01</t>
  </si>
  <si>
    <t>メタルミー　ヘヤライン金艶V</t>
    <rPh sb="11" eb="12">
      <t>キン</t>
    </rPh>
    <rPh sb="12" eb="13">
      <t>ツヤ</t>
    </rPh>
    <phoneticPr fontId="17"/>
  </si>
  <si>
    <t>メタルミー　ヘヤライン銅艶V</t>
    <rPh sb="11" eb="12">
      <t>ドウ</t>
    </rPh>
    <rPh sb="12" eb="13">
      <t>ツヤ</t>
    </rPh>
    <phoneticPr fontId="17"/>
  </si>
  <si>
    <t>3/8</t>
    <phoneticPr fontId="17"/>
  </si>
  <si>
    <t>金</t>
    <rPh sb="0" eb="1">
      <t>キン</t>
    </rPh>
    <phoneticPr fontId="17"/>
  </si>
  <si>
    <t>3/5</t>
    <phoneticPr fontId="17"/>
  </si>
  <si>
    <t>火</t>
    <rPh sb="0" eb="1">
      <t>ヒ</t>
    </rPh>
    <phoneticPr fontId="17"/>
  </si>
  <si>
    <t>3/6</t>
    <phoneticPr fontId="17"/>
  </si>
  <si>
    <t>水</t>
    <rPh sb="0" eb="1">
      <t>スイ</t>
    </rPh>
    <phoneticPr fontId="17"/>
  </si>
  <si>
    <t>3/12</t>
    <phoneticPr fontId="17"/>
  </si>
  <si>
    <t>3/13</t>
    <phoneticPr fontId="17"/>
  </si>
  <si>
    <t>3/11</t>
    <phoneticPr fontId="17"/>
  </si>
  <si>
    <t>月</t>
    <rPh sb="0" eb="1">
      <t>ゲツ</t>
    </rPh>
    <phoneticPr fontId="17"/>
  </si>
  <si>
    <t>2024/02/26</t>
  </si>
  <si>
    <t>2024/04/10</t>
  </si>
  <si>
    <t>3/11</t>
    <phoneticPr fontId="17"/>
  </si>
  <si>
    <t>月</t>
    <rPh sb="0" eb="1">
      <t>ゲツ</t>
    </rPh>
    <phoneticPr fontId="17"/>
  </si>
  <si>
    <t>3/12</t>
    <phoneticPr fontId="17"/>
  </si>
  <si>
    <t>火</t>
    <rPh sb="0" eb="1">
      <t>ヒ</t>
    </rPh>
    <phoneticPr fontId="17"/>
  </si>
  <si>
    <t>水</t>
    <rPh sb="0" eb="1">
      <t>スイ</t>
    </rPh>
    <phoneticPr fontId="17"/>
  </si>
  <si>
    <t>3/15</t>
    <phoneticPr fontId="17"/>
  </si>
  <si>
    <t>金</t>
    <rPh sb="0" eb="1">
      <t>キン</t>
    </rPh>
    <phoneticPr fontId="17"/>
  </si>
  <si>
    <t>3/18</t>
    <phoneticPr fontId="17"/>
  </si>
  <si>
    <t>3/19</t>
    <phoneticPr fontId="17"/>
  </si>
  <si>
    <t>3/20</t>
    <phoneticPr fontId="17"/>
  </si>
  <si>
    <t>土</t>
    <rPh sb="0" eb="1">
      <t>ド</t>
    </rPh>
    <phoneticPr fontId="17"/>
  </si>
  <si>
    <t>保留品処置</t>
    <rPh sb="0" eb="2">
      <t>ホリュウ</t>
    </rPh>
    <rPh sb="2" eb="3">
      <t>ヒン</t>
    </rPh>
    <rPh sb="3" eb="5">
      <t>ショチ</t>
    </rPh>
    <phoneticPr fontId="17"/>
  </si>
  <si>
    <t>3/30</t>
    <phoneticPr fontId="17"/>
  </si>
  <si>
    <t>3/31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</si>
  <si>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</si>
  <si>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</si>
  <si>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3/14</t>
    <phoneticPr fontId="17"/>
  </si>
  <si>
    <t>木</t>
    <rPh sb="0" eb="1">
      <t>モク</t>
    </rPh>
    <phoneticPr fontId="17"/>
  </si>
  <si>
    <t>3/15</t>
    <phoneticPr fontId="17"/>
  </si>
  <si>
    <t>金</t>
    <rPh sb="0" eb="1">
      <t>キン</t>
    </rPh>
    <phoneticPr fontId="17"/>
  </si>
  <si>
    <t>3/16</t>
    <phoneticPr fontId="17"/>
  </si>
  <si>
    <t>土</t>
    <rPh sb="0" eb="1">
      <t>ド</t>
    </rPh>
    <phoneticPr fontId="17"/>
  </si>
  <si>
    <t>3/17</t>
    <phoneticPr fontId="17"/>
  </si>
  <si>
    <t>日</t>
    <rPh sb="0" eb="1">
      <t>ニチ</t>
    </rPh>
    <phoneticPr fontId="17"/>
  </si>
  <si>
    <t>3/18</t>
    <phoneticPr fontId="17"/>
  </si>
  <si>
    <t>月</t>
    <rPh sb="0" eb="1">
      <t>ゲツ</t>
    </rPh>
    <phoneticPr fontId="17"/>
  </si>
  <si>
    <t>火</t>
    <rPh sb="0" eb="1">
      <t>ヒ</t>
    </rPh>
    <phoneticPr fontId="17"/>
  </si>
  <si>
    <t>3/20</t>
    <phoneticPr fontId="17"/>
  </si>
  <si>
    <t>水</t>
    <rPh sb="0" eb="1">
      <t>スイ</t>
    </rPh>
    <phoneticPr fontId="17"/>
  </si>
  <si>
    <t>3/21</t>
    <phoneticPr fontId="17"/>
  </si>
  <si>
    <t>3/24</t>
    <phoneticPr fontId="17"/>
  </si>
  <si>
    <t>公休</t>
    <rPh sb="0" eb="2">
      <t>コウキュウ</t>
    </rPh>
    <phoneticPr fontId="17"/>
  </si>
  <si>
    <t>3/25</t>
    <phoneticPr fontId="17"/>
  </si>
  <si>
    <t>3/26</t>
    <phoneticPr fontId="17"/>
  </si>
  <si>
    <t>3/31</t>
    <phoneticPr fontId="17"/>
  </si>
  <si>
    <t>3/30</t>
    <phoneticPr fontId="17"/>
  </si>
  <si>
    <t>※メタルミーCRテスト予定</t>
    <rPh sb="10" eb="12">
      <t>ヨテイ</t>
    </rPh>
    <phoneticPr fontId="17"/>
  </si>
  <si>
    <t>3/14</t>
    <phoneticPr fontId="17"/>
  </si>
  <si>
    <t>木</t>
    <rPh sb="0" eb="1">
      <t>モク</t>
    </rPh>
    <phoneticPr fontId="17"/>
  </si>
  <si>
    <t>※納期急ぎ</t>
    <rPh sb="0" eb="2">
      <t>ノウキ</t>
    </rPh>
    <rPh sb="2" eb="3">
      <t>イソ</t>
    </rPh>
    <phoneticPr fontId="17"/>
  </si>
  <si>
    <t>3/29</t>
    <phoneticPr fontId="17"/>
  </si>
  <si>
    <t>金</t>
    <rPh sb="0" eb="1">
      <t>キン</t>
    </rPh>
    <phoneticPr fontId="17"/>
  </si>
  <si>
    <t>3/25</t>
    <phoneticPr fontId="17"/>
  </si>
  <si>
    <t>月</t>
    <rPh sb="0" eb="1">
      <t>ゲツ</t>
    </rPh>
    <phoneticPr fontId="17"/>
  </si>
  <si>
    <t>ﾘｰﾄﾞ作成</t>
    <rPh sb="4" eb="6">
      <t>サクセイ</t>
    </rPh>
    <phoneticPr fontId="17"/>
  </si>
  <si>
    <t>※納期急ぎ、8,000ｍ仕上げに変更</t>
    <rPh sb="0" eb="2">
      <t>ノウキ</t>
    </rPh>
    <rPh sb="2" eb="3">
      <t>イソ</t>
    </rPh>
    <rPh sb="12" eb="14">
      <t>シア</t>
    </rPh>
    <rPh sb="16" eb="18">
      <t>ヘンコウ</t>
    </rPh>
    <phoneticPr fontId="17"/>
  </si>
  <si>
    <t>※輸出梱包</t>
    <rPh sb="0" eb="2">
      <t>ユシュツ</t>
    </rPh>
    <rPh sb="2" eb="4">
      <t>コンポウ</t>
    </rPh>
    <phoneticPr fontId="17"/>
  </si>
  <si>
    <t>3/23</t>
  </si>
  <si>
    <t>2024/03/14</t>
  </si>
  <si>
    <t>E50柄印刷</t>
    <rPh sb="3" eb="4">
      <t>ガラ</t>
    </rPh>
    <rPh sb="4" eb="6">
      <t>インサツ</t>
    </rPh>
    <phoneticPr fontId="39"/>
  </si>
  <si>
    <t>JR70</t>
  </si>
  <si>
    <t>HL25/EC</t>
    <phoneticPr fontId="20"/>
  </si>
  <si>
    <t>HL50/EC</t>
    <phoneticPr fontId="20"/>
  </si>
  <si>
    <t>WZ14</t>
  </si>
  <si>
    <t>セラピール　ＷＺ（１４）</t>
  </si>
  <si>
    <t>27118MC</t>
    <phoneticPr fontId="20"/>
  </si>
  <si>
    <t>PSPB18</t>
  </si>
  <si>
    <t>セラピール　ＰＳＰＢ（１８）</t>
  </si>
  <si>
    <t>JMDA(B)</t>
  </si>
  <si>
    <t>TKA07RX</t>
    <phoneticPr fontId="20"/>
  </si>
  <si>
    <t>セラピール　ＴＫＡ０７（ＲＸ）</t>
    <phoneticPr fontId="20"/>
  </si>
  <si>
    <t>TKA12PF</t>
  </si>
  <si>
    <t>セラピール　ＴＫＡ１２（ＰＲＦ）</t>
  </si>
  <si>
    <t>3/21</t>
    <phoneticPr fontId="17"/>
  </si>
  <si>
    <t>木</t>
    <rPh sb="0" eb="1">
      <t>モク</t>
    </rPh>
    <phoneticPr fontId="17"/>
  </si>
  <si>
    <t>3/22</t>
    <phoneticPr fontId="17"/>
  </si>
  <si>
    <t>金</t>
    <rPh sb="0" eb="1">
      <t>キン</t>
    </rPh>
    <phoneticPr fontId="17"/>
  </si>
  <si>
    <t>3/23</t>
    <phoneticPr fontId="17"/>
  </si>
  <si>
    <t>土</t>
    <rPh sb="0" eb="1">
      <t>ド</t>
    </rPh>
    <phoneticPr fontId="17"/>
  </si>
  <si>
    <t>機能材料G　中野部員</t>
    <rPh sb="0" eb="2">
      <t>ザイリョウ</t>
    </rPh>
    <rPh sb="4" eb="6">
      <t>ナカノ</t>
    </rPh>
    <rPh sb="6" eb="8">
      <t>ブイン</t>
    </rPh>
    <phoneticPr fontId="2"/>
  </si>
  <si>
    <t>メタルミー　ヘヤライン金艶</t>
    <rPh sb="11" eb="12">
      <t>キン</t>
    </rPh>
    <rPh sb="12" eb="13">
      <t>ツヤ</t>
    </rPh>
    <phoneticPr fontId="17"/>
  </si>
  <si>
    <t>メタルミー　ヘヤライン銅艶</t>
    <rPh sb="11" eb="12">
      <t>ドウ</t>
    </rPh>
    <rPh sb="12" eb="13">
      <t>ツヤ</t>
    </rPh>
    <phoneticPr fontId="17"/>
  </si>
  <si>
    <t>2024/03/21</t>
  </si>
  <si>
    <t>2024/04/19</t>
  </si>
  <si>
    <t>2024/04/26</t>
  </si>
  <si>
    <t>2024/05/10</t>
  </si>
  <si>
    <t>2024/05/07</t>
  </si>
  <si>
    <t>2024/05/13</t>
  </si>
  <si>
    <t>2024/05/15</t>
  </si>
  <si>
    <t>2024/04/15</t>
  </si>
  <si>
    <t>2024/04/22</t>
  </si>
  <si>
    <t>2024/04/30</t>
  </si>
  <si>
    <t>2024/03/25</t>
  </si>
  <si>
    <t>4/2</t>
    <phoneticPr fontId="17"/>
  </si>
  <si>
    <t>火</t>
    <rPh sb="0" eb="1">
      <t>ヒ</t>
    </rPh>
    <phoneticPr fontId="17"/>
  </si>
  <si>
    <t>4/3</t>
    <phoneticPr fontId="17"/>
  </si>
  <si>
    <t>水</t>
    <rPh sb="0" eb="1">
      <t>スイ</t>
    </rPh>
    <phoneticPr fontId="17"/>
  </si>
  <si>
    <t>3H</t>
    <phoneticPr fontId="20"/>
  </si>
  <si>
    <t>T62M</t>
    <phoneticPr fontId="17"/>
  </si>
  <si>
    <t>4/4</t>
    <phoneticPr fontId="17"/>
  </si>
  <si>
    <t>木</t>
    <rPh sb="0" eb="1">
      <t>モク</t>
    </rPh>
    <phoneticPr fontId="17"/>
  </si>
  <si>
    <t>4/5</t>
    <phoneticPr fontId="17"/>
  </si>
  <si>
    <t>金</t>
    <rPh sb="0" eb="1">
      <t>キン</t>
    </rPh>
    <phoneticPr fontId="17"/>
  </si>
  <si>
    <t>4/6</t>
    <phoneticPr fontId="17"/>
  </si>
  <si>
    <t>土</t>
    <rPh sb="0" eb="1">
      <t>ド</t>
    </rPh>
    <phoneticPr fontId="17"/>
  </si>
  <si>
    <t>4/7</t>
    <phoneticPr fontId="17"/>
  </si>
  <si>
    <t>日</t>
    <rPh sb="0" eb="1">
      <t>ニチ</t>
    </rPh>
    <phoneticPr fontId="17"/>
  </si>
  <si>
    <t>4/8</t>
    <phoneticPr fontId="17"/>
  </si>
  <si>
    <t>月</t>
    <rPh sb="0" eb="1">
      <t>ゲツ</t>
    </rPh>
    <phoneticPr fontId="17"/>
  </si>
  <si>
    <t>4/9</t>
    <phoneticPr fontId="17"/>
  </si>
  <si>
    <t>4/10</t>
    <phoneticPr fontId="17"/>
  </si>
  <si>
    <t>4/13</t>
    <phoneticPr fontId="17"/>
  </si>
  <si>
    <t>4/14</t>
    <phoneticPr fontId="17"/>
  </si>
  <si>
    <t>4/1</t>
    <phoneticPr fontId="17"/>
  </si>
  <si>
    <t>T70M</t>
    <phoneticPr fontId="17"/>
  </si>
  <si>
    <t>A1</t>
  </si>
  <si>
    <t>バリアロックス</t>
  </si>
  <si>
    <t>31HG</t>
  </si>
  <si>
    <t>3C</t>
  </si>
  <si>
    <t>2024/04</t>
  </si>
  <si>
    <t>31HGM</t>
  </si>
  <si>
    <t>HG</t>
  </si>
  <si>
    <t>3A</t>
  </si>
  <si>
    <t>3G</t>
  </si>
  <si>
    <t>HGM</t>
  </si>
  <si>
    <t>SBJ2</t>
  </si>
  <si>
    <t>3M5</t>
  </si>
  <si>
    <t>A1C</t>
  </si>
  <si>
    <t>バリアロックスコート</t>
  </si>
  <si>
    <t>14HGCW</t>
  </si>
  <si>
    <t>31HGCR</t>
  </si>
  <si>
    <t>31HGMCR</t>
  </si>
  <si>
    <t>CXR</t>
  </si>
  <si>
    <t>33</t>
  </si>
  <si>
    <t>3M35</t>
  </si>
  <si>
    <t>3M55</t>
  </si>
  <si>
    <t>EGC1</t>
  </si>
  <si>
    <t>3F</t>
  </si>
  <si>
    <t>3M</t>
  </si>
  <si>
    <t>HGAS</t>
  </si>
  <si>
    <t>HGCA</t>
  </si>
  <si>
    <t>HGCH</t>
  </si>
  <si>
    <t>HGCR</t>
  </si>
  <si>
    <t>3B</t>
  </si>
  <si>
    <t>HGCW</t>
  </si>
  <si>
    <t>HGCX</t>
  </si>
  <si>
    <t>HGMAS</t>
  </si>
  <si>
    <t>HGMCR</t>
  </si>
  <si>
    <t>HGMCW</t>
  </si>
  <si>
    <t>RGCR</t>
  </si>
  <si>
    <t>RGCW</t>
  </si>
  <si>
    <t>SBMR2</t>
  </si>
  <si>
    <t>3IF</t>
  </si>
  <si>
    <t>SBR2</t>
  </si>
  <si>
    <t>3I</t>
  </si>
  <si>
    <t>SBR2A</t>
  </si>
  <si>
    <t>SBR2AK</t>
  </si>
  <si>
    <t>SBR2E</t>
  </si>
  <si>
    <t>SBR2I</t>
  </si>
  <si>
    <t>SBR2K</t>
  </si>
  <si>
    <t>BR</t>
  </si>
  <si>
    <t>ＢＲ－ＰＥＴ</t>
  </si>
  <si>
    <t>1005</t>
  </si>
  <si>
    <t>1005CR</t>
  </si>
  <si>
    <t>1012</t>
  </si>
  <si>
    <t>3B7</t>
  </si>
  <si>
    <t>3C7</t>
  </si>
  <si>
    <t>3L5</t>
  </si>
  <si>
    <t>1012A</t>
  </si>
  <si>
    <t>7F</t>
  </si>
  <si>
    <t>1012ED</t>
  </si>
  <si>
    <t>7FT</t>
  </si>
  <si>
    <t>1012J</t>
  </si>
  <si>
    <t>1012JD</t>
  </si>
  <si>
    <t>1012M</t>
  </si>
  <si>
    <t>1012TJ</t>
  </si>
  <si>
    <t>1019</t>
  </si>
  <si>
    <t>3A5</t>
  </si>
  <si>
    <t>1062</t>
  </si>
  <si>
    <t>1075</t>
  </si>
  <si>
    <t>1075N</t>
  </si>
  <si>
    <t>1312</t>
  </si>
  <si>
    <t>3C5</t>
  </si>
  <si>
    <t>1312M</t>
  </si>
  <si>
    <t>1412</t>
  </si>
  <si>
    <t>1512</t>
  </si>
  <si>
    <t>1517</t>
  </si>
  <si>
    <t>1712TTB</t>
  </si>
  <si>
    <t>1812</t>
  </si>
  <si>
    <t>BRON</t>
  </si>
  <si>
    <t>ＢＲ－ＯＮ</t>
  </si>
  <si>
    <t>7012</t>
  </si>
  <si>
    <t>3</t>
  </si>
  <si>
    <t>331</t>
  </si>
  <si>
    <t>330</t>
  </si>
  <si>
    <t>BKUN</t>
  </si>
  <si>
    <t>9</t>
  </si>
  <si>
    <t>Y</t>
    <phoneticPr fontId="17"/>
  </si>
  <si>
    <t>3313</t>
  </si>
  <si>
    <t>3321</t>
  </si>
  <si>
    <t>MFSBS</t>
  </si>
  <si>
    <t>WDS</t>
  </si>
  <si>
    <t>CF10</t>
  </si>
  <si>
    <t>”トレテック”</t>
  </si>
  <si>
    <t>7111</t>
  </si>
  <si>
    <t>2</t>
  </si>
  <si>
    <t>7111D</t>
  </si>
  <si>
    <t>7116B</t>
  </si>
  <si>
    <t>7116DB</t>
  </si>
  <si>
    <t>7121</t>
  </si>
  <si>
    <t>7121D</t>
  </si>
  <si>
    <t>7232</t>
  </si>
  <si>
    <t>7232D</t>
  </si>
  <si>
    <t>7234D</t>
  </si>
  <si>
    <t>7332</t>
  </si>
  <si>
    <t>8</t>
  </si>
  <si>
    <t>7332D</t>
  </si>
  <si>
    <t>7332K</t>
  </si>
  <si>
    <t>7332N</t>
  </si>
  <si>
    <t>7461</t>
  </si>
  <si>
    <t>7531</t>
  </si>
  <si>
    <t>7531D</t>
  </si>
  <si>
    <t>7536DG</t>
  </si>
  <si>
    <t>7536G</t>
  </si>
  <si>
    <t>7571</t>
  </si>
  <si>
    <t>7571D</t>
  </si>
  <si>
    <t>7721</t>
  </si>
  <si>
    <t>7721D</t>
  </si>
  <si>
    <t>7726DP</t>
  </si>
  <si>
    <t>7726DY</t>
  </si>
  <si>
    <t>7726P</t>
  </si>
  <si>
    <t>7726Y</t>
  </si>
  <si>
    <t>7832</t>
  </si>
  <si>
    <t>7832C</t>
  </si>
  <si>
    <t>7832C_</t>
  </si>
  <si>
    <t>7A62</t>
  </si>
  <si>
    <t>7E42</t>
  </si>
  <si>
    <t>7H52</t>
  </si>
  <si>
    <t>7H52D</t>
  </si>
  <si>
    <t>7H56G</t>
  </si>
  <si>
    <t>A521</t>
  </si>
  <si>
    <t>CF470</t>
  </si>
  <si>
    <t>CF470SB</t>
  </si>
  <si>
    <t>CF47W</t>
  </si>
  <si>
    <t>L252</t>
  </si>
  <si>
    <t>72C</t>
  </si>
  <si>
    <t>R034</t>
  </si>
  <si>
    <t>R307K</t>
  </si>
  <si>
    <t>S500A</t>
  </si>
  <si>
    <t>CF100</t>
  </si>
  <si>
    <t>”トレファン”ＮＯ</t>
  </si>
  <si>
    <t>9021T</t>
  </si>
  <si>
    <t>9041</t>
  </si>
  <si>
    <t>9405S</t>
  </si>
  <si>
    <t>9407</t>
  </si>
  <si>
    <t>9710B4</t>
  </si>
  <si>
    <t>9720</t>
  </si>
  <si>
    <t>9720NK</t>
  </si>
  <si>
    <t>CF100P</t>
  </si>
  <si>
    <t>ＣＦフィルム</t>
  </si>
  <si>
    <t>9501A</t>
  </si>
  <si>
    <t>9501C</t>
  </si>
  <si>
    <t>9501E</t>
  </si>
  <si>
    <t>9501F</t>
  </si>
  <si>
    <t>9501G</t>
  </si>
  <si>
    <t>9501H</t>
  </si>
  <si>
    <t>9501HG</t>
  </si>
  <si>
    <t>9501K2</t>
  </si>
  <si>
    <t>9501KF</t>
  </si>
  <si>
    <t>9521T</t>
  </si>
  <si>
    <t>CX8</t>
  </si>
  <si>
    <t>CF10P</t>
  </si>
  <si>
    <t>7601A</t>
  </si>
  <si>
    <t>7601AA</t>
  </si>
  <si>
    <t>7601C</t>
  </si>
  <si>
    <t>7601EA</t>
  </si>
  <si>
    <t>7601EB</t>
  </si>
  <si>
    <t>7601ED</t>
  </si>
  <si>
    <t>7601EK</t>
  </si>
  <si>
    <t>7601TA</t>
  </si>
  <si>
    <t>7603B</t>
  </si>
  <si>
    <t>7603C</t>
  </si>
  <si>
    <t>7603MS</t>
  </si>
  <si>
    <t>761HF4</t>
  </si>
  <si>
    <t>GR01</t>
  </si>
  <si>
    <t>GR02</t>
  </si>
  <si>
    <t>CPP</t>
  </si>
  <si>
    <t>3419</t>
  </si>
  <si>
    <t>3429K</t>
  </si>
  <si>
    <t>3501</t>
  </si>
  <si>
    <t>3701J</t>
  </si>
  <si>
    <t>3721</t>
  </si>
  <si>
    <t>3951</t>
  </si>
  <si>
    <t>9801TS</t>
  </si>
  <si>
    <t>ZK100</t>
  </si>
  <si>
    <t>ZK205</t>
  </si>
  <si>
    <t>ZK207</t>
  </si>
  <si>
    <t>ZK209</t>
  </si>
  <si>
    <t>ZK401</t>
  </si>
  <si>
    <t>ZK500</t>
  </si>
  <si>
    <t>ZK500R</t>
  </si>
  <si>
    <t>ZK59H9</t>
  </si>
  <si>
    <t>ZK93FM</t>
  </si>
  <si>
    <t>ZK99S</t>
  </si>
  <si>
    <t>F-FILM</t>
  </si>
  <si>
    <t>”トヨフロン”フィルム</t>
  </si>
  <si>
    <t>E</t>
  </si>
  <si>
    <t>EAM</t>
  </si>
  <si>
    <t>ER</t>
  </si>
  <si>
    <t>EV2</t>
  </si>
  <si>
    <t>F</t>
  </si>
  <si>
    <t>FR</t>
  </si>
  <si>
    <t>FV</t>
  </si>
  <si>
    <t>F-LH</t>
  </si>
  <si>
    <t>FL</t>
  </si>
  <si>
    <t>F-PC</t>
  </si>
  <si>
    <t>FRP</t>
  </si>
  <si>
    <t>MCL</t>
  </si>
  <si>
    <t>メタクリアー</t>
  </si>
  <si>
    <t>MCPET</t>
  </si>
  <si>
    <t>32</t>
  </si>
  <si>
    <t>MCP</t>
  </si>
  <si>
    <t>ＶＭ－ＣＰＰ</t>
  </si>
  <si>
    <t>2203</t>
  </si>
  <si>
    <t>2703</t>
  </si>
  <si>
    <t>3K</t>
  </si>
  <si>
    <t>3S</t>
  </si>
  <si>
    <t>2803EZ</t>
  </si>
  <si>
    <t>MOP</t>
  </si>
  <si>
    <t>ＶＭ－ＯＰＰ</t>
  </si>
  <si>
    <t>MS33</t>
  </si>
  <si>
    <t>7C</t>
  </si>
  <si>
    <t>MPET</t>
  </si>
  <si>
    <t>ＶＭ－ＰＥＴ</t>
  </si>
  <si>
    <t>1018</t>
  </si>
  <si>
    <t>8A</t>
  </si>
  <si>
    <t>1200</t>
  </si>
  <si>
    <t>1300</t>
  </si>
  <si>
    <t>1310</t>
  </si>
  <si>
    <t>7A</t>
  </si>
  <si>
    <t>1310F</t>
  </si>
  <si>
    <t>1310M</t>
  </si>
  <si>
    <t>1360</t>
  </si>
  <si>
    <t>1510</t>
  </si>
  <si>
    <t>1519</t>
  </si>
  <si>
    <t>PFR1010</t>
  </si>
  <si>
    <t>VM1010</t>
  </si>
  <si>
    <t>OPP</t>
  </si>
  <si>
    <t>トレファンＢＯ</t>
  </si>
  <si>
    <t>Y333</t>
  </si>
  <si>
    <t>6603</t>
  </si>
  <si>
    <t>YT49</t>
  </si>
  <si>
    <t>PET</t>
  </si>
  <si>
    <t>ルミラー</t>
  </si>
  <si>
    <t>F865</t>
  </si>
  <si>
    <t>6360</t>
  </si>
  <si>
    <t>P60</t>
  </si>
  <si>
    <t>6370</t>
  </si>
  <si>
    <t>6371</t>
  </si>
  <si>
    <t>6372</t>
  </si>
  <si>
    <t>6376</t>
  </si>
  <si>
    <t>6377</t>
  </si>
  <si>
    <t>6378</t>
  </si>
  <si>
    <t>P60C</t>
  </si>
  <si>
    <t>P60D</t>
  </si>
  <si>
    <t>P60K</t>
  </si>
  <si>
    <t>6260</t>
  </si>
  <si>
    <t>P60M</t>
  </si>
  <si>
    <t>P60P</t>
  </si>
  <si>
    <t>P60T</t>
  </si>
  <si>
    <t>P60W</t>
  </si>
  <si>
    <t>タフトップ</t>
  </si>
  <si>
    <t>XL</t>
  </si>
  <si>
    <t>エクセル</t>
  </si>
  <si>
    <t>XP35P</t>
  </si>
  <si>
    <t>6240</t>
  </si>
  <si>
    <t>XP37</t>
  </si>
  <si>
    <t>XP37C</t>
  </si>
  <si>
    <t>XP55</t>
  </si>
  <si>
    <t>HG6</t>
  </si>
  <si>
    <t>31HGCX</t>
  </si>
  <si>
    <t>HGCX6</t>
  </si>
  <si>
    <t>SBR2-T</t>
  </si>
  <si>
    <t>SBR2A6</t>
  </si>
  <si>
    <t>SBR2AT</t>
  </si>
  <si>
    <t>7832CH</t>
  </si>
  <si>
    <t>R405CZ</t>
  </si>
  <si>
    <t>ZK207Y</t>
  </si>
  <si>
    <t>EA</t>
  </si>
  <si>
    <t>3S5G</t>
  </si>
  <si>
    <t>3H55</t>
  </si>
  <si>
    <t>27114</t>
  </si>
  <si>
    <t>7116DP</t>
  </si>
  <si>
    <t>7236CB</t>
  </si>
  <si>
    <t>7721HT</t>
  </si>
  <si>
    <t>7A82</t>
  </si>
  <si>
    <t>A521U</t>
  </si>
  <si>
    <t>CF567</t>
  </si>
  <si>
    <t>CF588</t>
  </si>
  <si>
    <t>CF604</t>
  </si>
  <si>
    <t>CF619E</t>
  </si>
  <si>
    <t>CF622E</t>
  </si>
  <si>
    <t>CF625</t>
  </si>
  <si>
    <t>CF626</t>
  </si>
  <si>
    <t>CF657</t>
  </si>
  <si>
    <t>L352</t>
  </si>
  <si>
    <t>L356OR</t>
  </si>
  <si>
    <t>R210H</t>
  </si>
  <si>
    <t>R213</t>
  </si>
  <si>
    <t>R587FB</t>
  </si>
  <si>
    <t>72B</t>
  </si>
  <si>
    <t>R587KB</t>
  </si>
  <si>
    <t>R701</t>
  </si>
  <si>
    <t>R701CB</t>
  </si>
  <si>
    <t>R702</t>
  </si>
  <si>
    <t>SC470</t>
  </si>
  <si>
    <t>9061</t>
  </si>
  <si>
    <t>9500SB</t>
  </si>
  <si>
    <t>9500SE</t>
  </si>
  <si>
    <t>3301S</t>
  </si>
  <si>
    <t>3700J</t>
  </si>
  <si>
    <t>3701JK</t>
  </si>
  <si>
    <t>9801RT</t>
  </si>
  <si>
    <t>ZK500X</t>
  </si>
  <si>
    <t>ＤＭＳ</t>
  </si>
  <si>
    <t>FVF</t>
  </si>
  <si>
    <t>FVF-2</t>
  </si>
  <si>
    <t>機能材料</t>
  </si>
  <si>
    <t>39H</t>
  </si>
  <si>
    <t>2704</t>
  </si>
  <si>
    <t>3S7</t>
  </si>
  <si>
    <t>2755</t>
  </si>
  <si>
    <t>MNKKCT</t>
  </si>
  <si>
    <t>39C</t>
  </si>
  <si>
    <t>MNMKTT</t>
  </si>
  <si>
    <t>27111</t>
  </si>
  <si>
    <t>27118</t>
  </si>
  <si>
    <t>CF633A</t>
  </si>
  <si>
    <t>CF634F</t>
  </si>
  <si>
    <t>CF636</t>
  </si>
  <si>
    <t>R304C</t>
  </si>
  <si>
    <t>R307CBK</t>
  </si>
  <si>
    <t>FBC101</t>
  </si>
  <si>
    <t>STHCE2</t>
  </si>
  <si>
    <t>S</t>
    <phoneticPr fontId="17"/>
  </si>
  <si>
    <t>3X</t>
    <phoneticPr fontId="17"/>
  </si>
  <si>
    <t xml:space="preserve">MCLB  </t>
    <phoneticPr fontId="17"/>
  </si>
  <si>
    <t>3X</t>
    <phoneticPr fontId="17"/>
  </si>
  <si>
    <t>4/4</t>
    <phoneticPr fontId="17"/>
  </si>
  <si>
    <t>木</t>
    <rPh sb="0" eb="1">
      <t>モク</t>
    </rPh>
    <phoneticPr fontId="17"/>
  </si>
  <si>
    <t>4/5</t>
    <phoneticPr fontId="17"/>
  </si>
  <si>
    <t>金</t>
    <rPh sb="0" eb="1">
      <t>キン</t>
    </rPh>
    <phoneticPr fontId="17"/>
  </si>
  <si>
    <t>4/8</t>
    <phoneticPr fontId="17"/>
  </si>
  <si>
    <t>月</t>
    <rPh sb="0" eb="1">
      <t>ゲツ</t>
    </rPh>
    <phoneticPr fontId="17"/>
  </si>
  <si>
    <t>4/25</t>
    <phoneticPr fontId="17"/>
  </si>
  <si>
    <t>4/26</t>
    <phoneticPr fontId="17"/>
  </si>
  <si>
    <t xml:space="preserve">MLB   </t>
  </si>
  <si>
    <t>4/15</t>
    <phoneticPr fontId="17"/>
  </si>
  <si>
    <t>月</t>
    <rPh sb="0" eb="1">
      <t>ゲツ</t>
    </rPh>
    <phoneticPr fontId="17"/>
  </si>
  <si>
    <t>4/16</t>
  </si>
  <si>
    <t>4/17</t>
  </si>
  <si>
    <t>4/20</t>
    <phoneticPr fontId="17"/>
  </si>
  <si>
    <t>土</t>
    <rPh sb="0" eb="1">
      <t>ド</t>
    </rPh>
    <phoneticPr fontId="17"/>
  </si>
  <si>
    <t>4/21</t>
    <phoneticPr fontId="17"/>
  </si>
  <si>
    <t>日</t>
    <rPh sb="0" eb="1">
      <t>ニチ</t>
    </rPh>
    <phoneticPr fontId="17"/>
  </si>
  <si>
    <t>4/27</t>
    <phoneticPr fontId="17"/>
  </si>
  <si>
    <t>4/28</t>
    <phoneticPr fontId="17"/>
  </si>
  <si>
    <t>2024/04/04</t>
  </si>
  <si>
    <t>2024/04/25</t>
  </si>
  <si>
    <t>4/12</t>
    <phoneticPr fontId="17"/>
  </si>
  <si>
    <t>金</t>
    <rPh sb="0" eb="1">
      <t>キン</t>
    </rPh>
    <phoneticPr fontId="17"/>
  </si>
  <si>
    <t>安全カメラ配線工事(原反・製品ストッカー内)</t>
    <rPh sb="0" eb="2">
      <t>アンゼン</t>
    </rPh>
    <rPh sb="5" eb="7">
      <t>ハイセン</t>
    </rPh>
    <rPh sb="6" eb="8">
      <t>コウジ</t>
    </rPh>
    <rPh sb="20" eb="21">
      <t>ナイ</t>
    </rPh>
    <phoneticPr fontId="17"/>
  </si>
  <si>
    <t>ＬＥＤ工事、安全カメラ工事</t>
    <rPh sb="2" eb="4">
      <t>コウジ</t>
    </rPh>
    <rPh sb="6" eb="8">
      <t>アンゼン</t>
    </rPh>
    <rPh sb="11" eb="13">
      <t>コウジ</t>
    </rPh>
    <phoneticPr fontId="17"/>
  </si>
  <si>
    <t>安全カメラ工事</t>
    <phoneticPr fontId="17"/>
  </si>
  <si>
    <t>2024/04/05</t>
  </si>
  <si>
    <t>2024/05/29</t>
  </si>
  <si>
    <t>2024/04/09</t>
  </si>
  <si>
    <t>加工ﾏｼﾝ</t>
    <rPh sb="0" eb="2">
      <t>カコウ</t>
    </rPh>
    <phoneticPr fontId="1"/>
  </si>
  <si>
    <t>3H</t>
    <phoneticPr fontId="20"/>
  </si>
  <si>
    <t>月</t>
    <rPh sb="0" eb="1">
      <t>ゲツ</t>
    </rPh>
    <phoneticPr fontId="17"/>
  </si>
  <si>
    <t>金</t>
    <rPh sb="0" eb="1">
      <t>キン</t>
    </rPh>
    <phoneticPr fontId="17"/>
  </si>
  <si>
    <t>5/3</t>
    <phoneticPr fontId="17"/>
  </si>
  <si>
    <t>公休</t>
    <rPh sb="0" eb="2">
      <t>コウキュウ</t>
    </rPh>
    <phoneticPr fontId="17"/>
  </si>
  <si>
    <t>5/4</t>
    <phoneticPr fontId="17"/>
  </si>
  <si>
    <t>土</t>
    <rPh sb="0" eb="1">
      <t>ド</t>
    </rPh>
    <phoneticPr fontId="17"/>
  </si>
  <si>
    <t>5/5</t>
    <phoneticPr fontId="17"/>
  </si>
  <si>
    <t>日</t>
    <rPh sb="0" eb="1">
      <t>ニチ</t>
    </rPh>
    <phoneticPr fontId="17"/>
  </si>
  <si>
    <t>5/6</t>
    <phoneticPr fontId="17"/>
  </si>
  <si>
    <t>※５BT分　CF4直出し</t>
    <rPh sb="3" eb="4">
      <t>ブン</t>
    </rPh>
    <rPh sb="8" eb="9">
      <t>チョク</t>
    </rPh>
    <rPh sb="9" eb="10">
      <t>ダ</t>
    </rPh>
    <phoneticPr fontId="17"/>
  </si>
  <si>
    <t>※輸出梱包</t>
    <rPh sb="0" eb="2">
      <t>ユシュツ</t>
    </rPh>
    <rPh sb="2" eb="4">
      <t>コンポウ</t>
    </rPh>
    <phoneticPr fontId="17"/>
  </si>
  <si>
    <t>2024/05/21</t>
  </si>
  <si>
    <t>2024/05/31</t>
  </si>
  <si>
    <t>2024/05/20</t>
  </si>
  <si>
    <t>積水化学工業多賀工場</t>
  </si>
  <si>
    <t>2024/06/03</t>
  </si>
  <si>
    <t>2024/05/24</t>
  </si>
  <si>
    <t>メタルミー　ネーマー銀消改　Ｂ　輸出梱包</t>
  </si>
  <si>
    <t>2024/05/30</t>
  </si>
  <si>
    <t>2024/05/17</t>
  </si>
  <si>
    <t>2024/05/22</t>
  </si>
  <si>
    <t>2024/05/28</t>
  </si>
  <si>
    <t>5/1</t>
    <phoneticPr fontId="17"/>
  </si>
  <si>
    <t>水</t>
    <rPh sb="0" eb="1">
      <t>スイ</t>
    </rPh>
    <phoneticPr fontId="17"/>
  </si>
  <si>
    <t>5/2</t>
    <phoneticPr fontId="17"/>
  </si>
  <si>
    <t>木</t>
    <rPh sb="0" eb="1">
      <t>モク</t>
    </rPh>
    <phoneticPr fontId="17"/>
  </si>
  <si>
    <t>5/7</t>
    <phoneticPr fontId="17"/>
  </si>
  <si>
    <t>火</t>
    <rPh sb="0" eb="1">
      <t>ヒ</t>
    </rPh>
    <phoneticPr fontId="17"/>
  </si>
  <si>
    <t>5/8</t>
    <phoneticPr fontId="17"/>
  </si>
  <si>
    <t>金</t>
    <rPh sb="0" eb="1">
      <t>キン</t>
    </rPh>
    <phoneticPr fontId="17"/>
  </si>
  <si>
    <t>土</t>
    <rPh sb="0" eb="1">
      <t>ド</t>
    </rPh>
    <phoneticPr fontId="17"/>
  </si>
  <si>
    <t>5/12</t>
    <phoneticPr fontId="17"/>
  </si>
  <si>
    <t>日</t>
    <rPh sb="0" eb="1">
      <t>ニチ</t>
    </rPh>
    <phoneticPr fontId="17"/>
  </si>
  <si>
    <t>公休</t>
    <rPh sb="0" eb="2">
      <t>コウキュウ</t>
    </rPh>
    <phoneticPr fontId="17"/>
  </si>
  <si>
    <t>月</t>
    <rPh sb="0" eb="1">
      <t>ゲツ</t>
    </rPh>
    <phoneticPr fontId="17"/>
  </si>
  <si>
    <t>4/29</t>
    <phoneticPr fontId="17"/>
  </si>
  <si>
    <t>4/30</t>
    <phoneticPr fontId="17"/>
  </si>
  <si>
    <t>5/3</t>
    <phoneticPr fontId="17"/>
  </si>
  <si>
    <t>5/4</t>
    <phoneticPr fontId="17"/>
  </si>
  <si>
    <t>5/5</t>
    <phoneticPr fontId="17"/>
  </si>
  <si>
    <t>5/6</t>
    <phoneticPr fontId="17"/>
  </si>
  <si>
    <t>5/1</t>
    <phoneticPr fontId="17"/>
  </si>
  <si>
    <t>水</t>
    <rPh sb="0" eb="1">
      <t>スイ</t>
    </rPh>
    <phoneticPr fontId="17"/>
  </si>
  <si>
    <t>5/11</t>
    <phoneticPr fontId="17"/>
  </si>
  <si>
    <t>土</t>
    <rPh sb="0" eb="1">
      <t>ド</t>
    </rPh>
    <phoneticPr fontId="17"/>
  </si>
  <si>
    <t>原反コア</t>
  </si>
  <si>
    <t>3UNMLBKF9BF</t>
  </si>
  <si>
    <t>3SNMLBMNQR66F</t>
  </si>
  <si>
    <t>3SNMLBMNGTBF</t>
  </si>
  <si>
    <t>3SYMLBMSNMBF</t>
  </si>
  <si>
    <t>3SYMLBMSNMBZF</t>
  </si>
  <si>
    <t>3SNMLBMNGKBF</t>
  </si>
  <si>
    <t>3SYMLBMSBBF</t>
  </si>
  <si>
    <t>3SNMLBMNNGKBF</t>
  </si>
  <si>
    <t>3ｲﾝﾁMｺｱ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</si>
</sst>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mm/dd"/>
    <numFmt numFmtId="177" formatCode="m/d"/>
    <numFmt numFmtId="178" formatCode="m/d;@"/>
    <numFmt numFmtId="179" formatCode="#,##0_ "/>
    <numFmt numFmtId="180" formatCode="#,##0_ ;[Red]\-#,##0\ "/>
    <numFmt numFmtId="181" formatCode="#,##0_);[Red]\(#,##0\)"/>
    <numFmt numFmtId="182" formatCode="yyyy/m/d;@"/>
  </numFmts>
  <fonts count="6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9"/>
      <color indexed="9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  <scheme val="major"/>
    </font>
    <font>
      <u/>
      <sz val="24"/>
      <name val="ＭＳ Ｐゴシック"/>
      <family val="3"/>
      <charset val="128"/>
      <scheme val="major"/>
    </font>
    <font>
      <sz val="14"/>
      <name val="ＭＳ Ｐゴシック"/>
      <family val="3"/>
      <charset val="128"/>
      <scheme val="major"/>
    </font>
    <font>
      <b/>
      <sz val="18"/>
      <name val="ＭＳ Ｐゴシック"/>
      <family val="3"/>
      <charset val="128"/>
      <scheme val="major"/>
    </font>
    <font>
      <b/>
      <sz val="18"/>
      <color theme="0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  <font>
      <sz val="16"/>
      <color rgb="FFFF0000"/>
      <name val="ＭＳ Ｐゴシック"/>
      <family val="3"/>
      <charset val="128"/>
      <scheme val="major"/>
    </font>
    <font>
      <sz val="24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6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0"/>
      <name val="Arial"/>
      <family val="2"/>
    </font>
    <font>
      <sz val="10"/>
      <color rgb="FF0000FF"/>
      <name val="ＭＳ Ｐゴシック"/>
      <family val="3"/>
      <charset val="128"/>
    </font>
    <font>
      <sz val="11"/>
      <color rgb="FF0000FF"/>
      <name val="ＭＳ Ｐゴシック"/>
      <family val="3"/>
      <charset val="128"/>
    </font>
    <font>
      <sz val="11"/>
      <color rgb="FF0000FF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rgb="FFFF0000"/>
      <name val="Arial"/>
      <family val="2"/>
    </font>
    <font>
      <sz val="14"/>
      <color theme="0"/>
      <name val="ＭＳ Ｐゴシック"/>
      <family val="3"/>
      <charset val="128"/>
      <scheme val="major"/>
    </font>
    <font>
      <sz val="11"/>
      <color theme="0"/>
      <name val="ＭＳ Ｐゴシック"/>
      <family val="3"/>
      <charset val="128"/>
      <scheme val="major"/>
    </font>
    <font>
      <b/>
      <sz val="22"/>
      <color rgb="FFFF0000"/>
      <name val="ＭＳ Ｐゴシック"/>
      <family val="3"/>
      <charset val="128"/>
      <scheme val="major"/>
    </font>
    <font>
      <sz val="16"/>
      <color rgb="FF0000FF"/>
      <name val="ＭＳ Ｐゴシック"/>
      <family val="3"/>
      <charset val="128"/>
      <scheme val="major"/>
    </font>
    <font>
      <b/>
      <sz val="16"/>
      <color rgb="FFFF0000"/>
      <name val="ＭＳ Ｐゴシック"/>
      <family val="3"/>
      <charset val="128"/>
      <scheme val="major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medium">
        <color indexed="8"/>
      </bottom>
      <diagonal/>
    </border>
    <border>
      <left/>
      <right/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medium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  <border>
      <left/>
      <right/>
      <top style="dotted">
        <color indexed="8"/>
      </top>
      <bottom style="dotted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9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/>
      <diagonal/>
    </border>
    <border>
      <left style="thin">
        <color indexed="8"/>
      </left>
      <right style="thin">
        <color auto="1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dotted">
        <color indexed="8"/>
      </top>
      <bottom style="dotted">
        <color indexed="8"/>
      </bottom>
      <diagonal/>
    </border>
    <border>
      <left style="medium">
        <color indexed="8"/>
      </left>
      <right/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dotted">
        <color indexed="8"/>
      </top>
      <bottom style="dotted">
        <color indexed="8"/>
      </bottom>
      <diagonal/>
    </border>
    <border>
      <left/>
      <right style="medium">
        <color indexed="8"/>
      </right>
      <top style="dotted">
        <color indexed="8"/>
      </top>
      <bottom style="medium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8"/>
      </left>
      <right/>
      <top style="dotted">
        <color indexed="8"/>
      </top>
      <bottom/>
      <diagonal/>
    </border>
    <border>
      <left/>
      <right/>
      <top style="dotted">
        <color indexed="8"/>
      </top>
      <bottom/>
      <diagonal/>
    </border>
    <border>
      <left style="thin">
        <color indexed="8"/>
      </left>
      <right/>
      <top style="dotted">
        <color indexed="8"/>
      </top>
      <bottom/>
      <diagonal/>
    </border>
    <border>
      <left/>
      <right style="thin">
        <color indexed="8"/>
      </right>
      <top style="dotted">
        <color indexed="8"/>
      </top>
      <bottom/>
      <diagonal/>
    </border>
    <border>
      <left style="thin">
        <color indexed="8"/>
      </left>
      <right style="medium">
        <color indexed="8"/>
      </right>
      <top style="dotted">
        <color indexed="8"/>
      </top>
      <bottom/>
      <diagonal/>
    </border>
    <border>
      <left style="medium">
        <color indexed="8"/>
      </left>
      <right style="medium">
        <color indexed="8"/>
      </right>
      <top style="dotted">
        <color indexed="8"/>
      </top>
      <bottom/>
      <diagonal/>
    </border>
    <border>
      <left/>
      <right style="medium">
        <color indexed="8"/>
      </right>
      <top style="dotted">
        <color indexed="8"/>
      </top>
      <bottom/>
      <diagonal/>
    </border>
    <border>
      <left style="medium">
        <color indexed="8"/>
      </left>
      <right style="thin">
        <color indexed="8"/>
      </right>
      <top style="dotted">
        <color indexed="8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/>
      <diagonal/>
    </border>
  </borders>
  <cellStyleXfs count="185">
    <xf numFmtId="0" fontId="0" fillId="0" borderId="0"/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6" borderId="16" applyNumberFormat="0" applyAlignment="0" applyProtection="0">
      <alignment vertical="center"/>
    </xf>
    <xf numFmtId="0" fontId="29" fillId="7" borderId="17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8" borderId="1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9" borderId="20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9" borderId="20" applyNumberFormat="0" applyFont="0" applyAlignment="0" applyProtection="0">
      <alignment vertical="center"/>
    </xf>
    <xf numFmtId="0" fontId="14" fillId="0" borderId="0">
      <alignment vertical="center"/>
    </xf>
    <xf numFmtId="0" fontId="14" fillId="9" borderId="20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9" borderId="20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9" borderId="20" applyNumberFormat="0" applyFont="0" applyAlignment="0" applyProtection="0">
      <alignment vertical="center"/>
    </xf>
    <xf numFmtId="0" fontId="13" fillId="0" borderId="0">
      <alignment vertical="center"/>
    </xf>
    <xf numFmtId="0" fontId="13" fillId="9" borderId="20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9" borderId="2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9" borderId="20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9" borderId="20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9" borderId="20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9" borderId="20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</cellStyleXfs>
  <cellXfs count="350">
    <xf numFmtId="0" fontId="0" fillId="0" borderId="0" xfId="0"/>
    <xf numFmtId="0" fontId="40" fillId="0" borderId="0" xfId="0" applyFont="1"/>
    <xf numFmtId="0" fontId="41" fillId="0" borderId="0" xfId="0" applyFont="1"/>
    <xf numFmtId="49" fontId="40" fillId="0" borderId="0" xfId="0" applyNumberFormat="1" applyFont="1" applyAlignment="1">
      <alignment horizontal="left"/>
    </xf>
    <xf numFmtId="0" fontId="40" fillId="0" borderId="0" xfId="0" applyFont="1" applyAlignment="1">
      <alignment horizontal="center" shrinkToFit="1"/>
    </xf>
    <xf numFmtId="0" fontId="40" fillId="0" borderId="0" xfId="0" applyFont="1" applyAlignment="1">
      <alignment horizontal="center"/>
    </xf>
    <xf numFmtId="180" fontId="40" fillId="0" borderId="0" xfId="0" applyNumberFormat="1" applyFont="1"/>
    <xf numFmtId="49" fontId="40" fillId="0" borderId="0" xfId="0" applyNumberFormat="1" applyFont="1" applyAlignment="1">
      <alignment horizontal="center"/>
    </xf>
    <xf numFmtId="0" fontId="42" fillId="0" borderId="30" xfId="0" applyFont="1" applyBorder="1" applyAlignment="1">
      <alignment horizontal="center"/>
    </xf>
    <xf numFmtId="176" fontId="42" fillId="0" borderId="22" xfId="0" applyNumberFormat="1" applyFont="1" applyBorder="1" applyAlignment="1">
      <alignment horizontal="center"/>
    </xf>
    <xf numFmtId="0" fontId="42" fillId="0" borderId="22" xfId="0" applyFont="1" applyBorder="1" applyAlignment="1">
      <alignment horizontal="center"/>
    </xf>
    <xf numFmtId="178" fontId="40" fillId="0" borderId="0" xfId="0" applyNumberFormat="1" applyFont="1"/>
    <xf numFmtId="0" fontId="43" fillId="0" borderId="0" xfId="0" applyFont="1"/>
    <xf numFmtId="0" fontId="44" fillId="0" borderId="0" xfId="0" applyFont="1"/>
    <xf numFmtId="0" fontId="45" fillId="0" borderId="0" xfId="0" applyFont="1"/>
    <xf numFmtId="0" fontId="41" fillId="0" borderId="0" xfId="0" quotePrefix="1" applyFont="1" applyAlignment="1">
      <alignment horizontal="left"/>
    </xf>
    <xf numFmtId="0" fontId="46" fillId="0" borderId="0" xfId="0" applyFont="1"/>
    <xf numFmtId="0" fontId="40" fillId="0" borderId="30" xfId="0" applyFont="1" applyBorder="1"/>
    <xf numFmtId="176" fontId="40" fillId="0" borderId="22" xfId="0" applyNumberFormat="1" applyFont="1" applyBorder="1"/>
    <xf numFmtId="0" fontId="40" fillId="0" borderId="22" xfId="0" applyFont="1" applyBorder="1"/>
    <xf numFmtId="179" fontId="45" fillId="0" borderId="0" xfId="0" applyNumberFormat="1" applyFont="1"/>
    <xf numFmtId="176" fontId="40" fillId="0" borderId="0" xfId="0" applyNumberFormat="1" applyFont="1"/>
    <xf numFmtId="176" fontId="40" fillId="0" borderId="0" xfId="0" applyNumberFormat="1" applyFont="1" applyAlignment="1">
      <alignment horizontal="center"/>
    </xf>
    <xf numFmtId="0" fontId="42" fillId="0" borderId="23" xfId="0" applyFont="1" applyBorder="1" applyAlignment="1">
      <alignment horizontal="center" wrapText="1"/>
    </xf>
    <xf numFmtId="178" fontId="42" fillId="0" borderId="0" xfId="0" applyNumberFormat="1" applyFont="1" applyAlignment="1">
      <alignment horizont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178" fontId="46" fillId="0" borderId="0" xfId="0" applyNumberFormat="1" applyFont="1"/>
    <xf numFmtId="0" fontId="46" fillId="0" borderId="8" xfId="0" applyFont="1" applyBorder="1" applyAlignment="1">
      <alignment horizontal="center"/>
    </xf>
    <xf numFmtId="0" fontId="46" fillId="0" borderId="7" xfId="0" applyFont="1" applyBorder="1"/>
    <xf numFmtId="0" fontId="46" fillId="0" borderId="12" xfId="0" applyFont="1" applyBorder="1"/>
    <xf numFmtId="0" fontId="46" fillId="0" borderId="3" xfId="0" applyFont="1" applyBorder="1" applyAlignment="1">
      <alignment horizontal="center"/>
    </xf>
    <xf numFmtId="0" fontId="46" fillId="0" borderId="2" xfId="0" applyFont="1" applyBorder="1"/>
    <xf numFmtId="0" fontId="46" fillId="0" borderId="4" xfId="0" applyFont="1" applyBorder="1"/>
    <xf numFmtId="49" fontId="46" fillId="0" borderId="31" xfId="0" applyNumberFormat="1" applyFont="1" applyBorder="1" applyAlignment="1">
      <alignment horizontal="center"/>
    </xf>
    <xf numFmtId="0" fontId="46" fillId="0" borderId="12" xfId="0" applyFont="1" applyBorder="1" applyAlignment="1">
      <alignment horizontal="center"/>
    </xf>
    <xf numFmtId="181" fontId="46" fillId="0" borderId="8" xfId="0" applyNumberFormat="1" applyFont="1" applyBorder="1"/>
    <xf numFmtId="181" fontId="46" fillId="0" borderId="8" xfId="0" applyNumberFormat="1" applyFont="1" applyBorder="1" applyAlignment="1">
      <alignment horizontal="center"/>
    </xf>
    <xf numFmtId="49" fontId="46" fillId="0" borderId="32" xfId="0" applyNumberFormat="1" applyFont="1" applyBorder="1" applyAlignment="1">
      <alignment horizontal="center"/>
    </xf>
    <xf numFmtId="0" fontId="46" fillId="0" borderId="4" xfId="0" applyFont="1" applyBorder="1" applyAlignment="1">
      <alignment horizontal="center"/>
    </xf>
    <xf numFmtId="181" fontId="46" fillId="0" borderId="12" xfId="0" applyNumberFormat="1" applyFont="1" applyBorder="1"/>
    <xf numFmtId="0" fontId="42" fillId="0" borderId="25" xfId="0" applyFont="1" applyBorder="1" applyAlignment="1">
      <alignment horizontal="center"/>
    </xf>
    <xf numFmtId="49" fontId="46" fillId="0" borderId="31" xfId="0" applyNumberFormat="1" applyFont="1" applyBorder="1" applyAlignment="1">
      <alignment horizontal="left"/>
    </xf>
    <xf numFmtId="49" fontId="46" fillId="0" borderId="32" xfId="0" applyNumberFormat="1" applyFont="1" applyBorder="1" applyAlignment="1">
      <alignment horizontal="left"/>
    </xf>
    <xf numFmtId="181" fontId="46" fillId="0" borderId="10" xfId="0" applyNumberFormat="1" applyFont="1" applyBorder="1"/>
    <xf numFmtId="181" fontId="46" fillId="0" borderId="3" xfId="0" applyNumberFormat="1" applyFont="1" applyBorder="1"/>
    <xf numFmtId="181" fontId="46" fillId="0" borderId="11" xfId="0" applyNumberFormat="1" applyFont="1" applyBorder="1"/>
    <xf numFmtId="181" fontId="46" fillId="0" borderId="3" xfId="0" applyNumberFormat="1" applyFont="1" applyBorder="1" applyAlignment="1">
      <alignment horizontal="center"/>
    </xf>
    <xf numFmtId="0" fontId="42" fillId="0" borderId="0" xfId="0" applyFont="1" applyAlignment="1">
      <alignment horizontal="center"/>
    </xf>
    <xf numFmtId="0" fontId="40" fillId="0" borderId="33" xfId="0" applyFont="1" applyBorder="1"/>
    <xf numFmtId="0" fontId="46" fillId="0" borderId="33" xfId="0" applyFont="1" applyBorder="1"/>
    <xf numFmtId="181" fontId="46" fillId="0" borderId="9" xfId="0" applyNumberFormat="1" applyFont="1" applyBorder="1"/>
    <xf numFmtId="181" fontId="46" fillId="0" borderId="6" xfId="0" applyNumberFormat="1" applyFont="1" applyBorder="1"/>
    <xf numFmtId="178" fontId="46" fillId="0" borderId="1" xfId="0" applyNumberFormat="1" applyFont="1" applyBorder="1" applyAlignment="1">
      <alignment horizontal="center"/>
    </xf>
    <xf numFmtId="178" fontId="46" fillId="0" borderId="5" xfId="0" applyNumberFormat="1" applyFont="1" applyBorder="1" applyAlignment="1">
      <alignment horizontal="center"/>
    </xf>
    <xf numFmtId="0" fontId="40" fillId="2" borderId="0" xfId="0" applyFont="1" applyFill="1" applyAlignment="1">
      <alignment horizontal="center" shrinkToFit="1"/>
    </xf>
    <xf numFmtId="0" fontId="19" fillId="0" borderId="0" xfId="184" applyFont="1">
      <alignment vertical="center"/>
    </xf>
    <xf numFmtId="0" fontId="19" fillId="0" borderId="0" xfId="184" applyFont="1" applyAlignment="1">
      <alignment horizontal="center" vertical="center"/>
    </xf>
    <xf numFmtId="0" fontId="48" fillId="0" borderId="0" xfId="184" applyFont="1">
      <alignment vertical="center"/>
    </xf>
    <xf numFmtId="0" fontId="19" fillId="0" borderId="39" xfId="184" applyFont="1" applyBorder="1" applyAlignment="1">
      <alignment horizontal="center" vertical="center" wrapText="1"/>
    </xf>
    <xf numFmtId="0" fontId="19" fillId="0" borderId="40" xfId="184" applyFont="1" applyBorder="1" applyAlignment="1">
      <alignment horizontal="center" vertical="center" wrapText="1"/>
    </xf>
    <xf numFmtId="0" fontId="39" fillId="0" borderId="29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19" fillId="0" borderId="41" xfId="184" applyFont="1" applyBorder="1" applyAlignment="1">
      <alignment horizontal="center" vertical="center" wrapText="1"/>
    </xf>
    <xf numFmtId="0" fontId="19" fillId="0" borderId="42" xfId="184" applyFont="1" applyBorder="1" applyAlignment="1">
      <alignment horizontal="center" vertical="center" wrapText="1"/>
    </xf>
    <xf numFmtId="0" fontId="19" fillId="0" borderId="43" xfId="184" applyFont="1" applyBorder="1" applyAlignment="1">
      <alignment horizontal="center" vertical="center" wrapText="1"/>
    </xf>
    <xf numFmtId="0" fontId="19" fillId="0" borderId="44" xfId="184" applyFont="1" applyBorder="1" applyAlignment="1">
      <alignment horizontal="center" vertical="center" wrapText="1"/>
    </xf>
    <xf numFmtId="0" fontId="19" fillId="0" borderId="0" xfId="184" applyFont="1" applyAlignment="1">
      <alignment horizontal="center" vertical="center" wrapText="1"/>
    </xf>
    <xf numFmtId="0" fontId="19" fillId="0" borderId="45" xfId="184" applyFont="1" applyBorder="1">
      <alignment vertical="center"/>
    </xf>
    <xf numFmtId="0" fontId="19" fillId="0" borderId="35" xfId="184" applyFont="1" applyBorder="1">
      <alignment vertical="center"/>
    </xf>
    <xf numFmtId="179" fontId="19" fillId="0" borderId="35" xfId="184" applyNumberFormat="1" applyFont="1" applyBorder="1">
      <alignment vertical="center"/>
    </xf>
    <xf numFmtId="179" fontId="19" fillId="0" borderId="46" xfId="184" applyNumberFormat="1" applyFont="1" applyBorder="1">
      <alignment vertical="center"/>
    </xf>
    <xf numFmtId="179" fontId="19" fillId="0" borderId="47" xfId="184" applyNumberFormat="1" applyFont="1" applyBorder="1" applyAlignment="1">
      <alignment horizontal="center" vertical="center"/>
    </xf>
    <xf numFmtId="0" fontId="19" fillId="0" borderId="45" xfId="184" applyFont="1" applyBorder="1" applyAlignment="1">
      <alignment horizontal="center" vertical="center"/>
    </xf>
    <xf numFmtId="0" fontId="19" fillId="0" borderId="48" xfId="184" applyFont="1" applyBorder="1" applyAlignment="1">
      <alignment horizontal="center" vertical="center"/>
    </xf>
    <xf numFmtId="0" fontId="19" fillId="0" borderId="35" xfId="184" applyFont="1" applyBorder="1" applyAlignment="1">
      <alignment horizontal="center" vertical="center"/>
    </xf>
    <xf numFmtId="0" fontId="19" fillId="0" borderId="46" xfId="184" applyFont="1" applyBorder="1" applyAlignment="1">
      <alignment horizontal="center" vertical="center"/>
    </xf>
    <xf numFmtId="0" fontId="19" fillId="0" borderId="49" xfId="184" applyFont="1" applyBorder="1" applyAlignment="1">
      <alignment horizontal="center" vertical="center"/>
    </xf>
    <xf numFmtId="0" fontId="19" fillId="0" borderId="46" xfId="184" applyFont="1" applyBorder="1">
      <alignment vertical="center"/>
    </xf>
    <xf numFmtId="0" fontId="19" fillId="0" borderId="50" xfId="184" applyFont="1" applyBorder="1">
      <alignment vertical="center"/>
    </xf>
    <xf numFmtId="179" fontId="19" fillId="0" borderId="51" xfId="184" applyNumberFormat="1" applyFont="1" applyBorder="1">
      <alignment vertical="center"/>
    </xf>
    <xf numFmtId="179" fontId="19" fillId="0" borderId="52" xfId="184" applyNumberFormat="1" applyFont="1" applyBorder="1" applyAlignment="1">
      <alignment horizontal="center" vertical="center"/>
    </xf>
    <xf numFmtId="0" fontId="19" fillId="0" borderId="50" xfId="184" applyFont="1" applyBorder="1" applyAlignment="1">
      <alignment horizontal="center" vertical="center"/>
    </xf>
    <xf numFmtId="0" fontId="19" fillId="0" borderId="36" xfId="184" applyFont="1" applyBorder="1" applyAlignment="1">
      <alignment horizontal="center" vertical="center"/>
    </xf>
    <xf numFmtId="0" fontId="19" fillId="0" borderId="53" xfId="184" applyFont="1" applyBorder="1" applyAlignment="1">
      <alignment horizontal="center" vertical="center"/>
    </xf>
    <xf numFmtId="0" fontId="19" fillId="0" borderId="51" xfId="184" applyFont="1" applyBorder="1" applyAlignment="1">
      <alignment horizontal="center" vertical="center"/>
    </xf>
    <xf numFmtId="0" fontId="19" fillId="0" borderId="54" xfId="184" applyFont="1" applyBorder="1" applyAlignment="1">
      <alignment horizontal="center" vertical="center"/>
    </xf>
    <xf numFmtId="0" fontId="19" fillId="0" borderId="51" xfId="184" applyFont="1" applyBorder="1">
      <alignment vertical="center"/>
    </xf>
    <xf numFmtId="0" fontId="19" fillId="0" borderId="53" xfId="184" applyFont="1" applyBorder="1">
      <alignment vertical="center"/>
    </xf>
    <xf numFmtId="179" fontId="19" fillId="0" borderId="53" xfId="184" applyNumberFormat="1" applyFont="1" applyBorder="1">
      <alignment vertical="center"/>
    </xf>
    <xf numFmtId="0" fontId="19" fillId="0" borderId="37" xfId="184" applyFont="1" applyBorder="1">
      <alignment vertical="center"/>
    </xf>
    <xf numFmtId="0" fontId="19" fillId="2" borderId="51" xfId="184" applyFont="1" applyFill="1" applyBorder="1" applyAlignment="1">
      <alignment horizontal="center" vertical="center"/>
    </xf>
    <xf numFmtId="0" fontId="19" fillId="2" borderId="53" xfId="184" applyFont="1" applyFill="1" applyBorder="1">
      <alignment vertical="center"/>
    </xf>
    <xf numFmtId="0" fontId="19" fillId="0" borderId="55" xfId="184" applyFont="1" applyBorder="1">
      <alignment vertical="center"/>
    </xf>
    <xf numFmtId="0" fontId="19" fillId="0" borderId="38" xfId="184" applyFont="1" applyBorder="1">
      <alignment vertical="center"/>
    </xf>
    <xf numFmtId="179" fontId="19" fillId="0" borderId="38" xfId="184" applyNumberFormat="1" applyFont="1" applyBorder="1">
      <alignment vertical="center"/>
    </xf>
    <xf numFmtId="179" fontId="19" fillId="0" borderId="56" xfId="184" applyNumberFormat="1" applyFont="1" applyBorder="1">
      <alignment vertical="center"/>
    </xf>
    <xf numFmtId="179" fontId="19" fillId="0" borderId="57" xfId="184" applyNumberFormat="1" applyFont="1" applyBorder="1" applyAlignment="1">
      <alignment horizontal="center" vertical="center"/>
    </xf>
    <xf numFmtId="0" fontId="19" fillId="0" borderId="55" xfId="184" applyFont="1" applyBorder="1" applyAlignment="1">
      <alignment horizontal="center" vertical="center"/>
    </xf>
    <xf numFmtId="0" fontId="19" fillId="0" borderId="58" xfId="184" applyFont="1" applyBorder="1" applyAlignment="1">
      <alignment horizontal="center" vertical="center"/>
    </xf>
    <xf numFmtId="0" fontId="19" fillId="0" borderId="38" xfId="184" applyFont="1" applyBorder="1" applyAlignment="1">
      <alignment horizontal="center" vertical="center"/>
    </xf>
    <xf numFmtId="0" fontId="19" fillId="0" borderId="56" xfId="184" applyFont="1" applyBorder="1" applyAlignment="1">
      <alignment horizontal="center" vertical="center"/>
    </xf>
    <xf numFmtId="0" fontId="19" fillId="0" borderId="59" xfId="184" applyFont="1" applyBorder="1" applyAlignment="1">
      <alignment horizontal="center" vertical="center"/>
    </xf>
    <xf numFmtId="0" fontId="19" fillId="0" borderId="56" xfId="184" applyFont="1" applyBorder="1">
      <alignment vertical="center"/>
    </xf>
    <xf numFmtId="0" fontId="19" fillId="0" borderId="60" xfId="184" applyFont="1" applyBorder="1">
      <alignment vertical="center"/>
    </xf>
    <xf numFmtId="0" fontId="19" fillId="0" borderId="27" xfId="184" applyFont="1" applyBorder="1">
      <alignment vertical="center"/>
    </xf>
    <xf numFmtId="179" fontId="19" fillId="0" borderId="27" xfId="184" applyNumberFormat="1" applyFont="1" applyBorder="1">
      <alignment vertical="center"/>
    </xf>
    <xf numFmtId="179" fontId="19" fillId="0" borderId="61" xfId="184" applyNumberFormat="1" applyFont="1" applyBorder="1">
      <alignment vertical="center"/>
    </xf>
    <xf numFmtId="179" fontId="19" fillId="0" borderId="62" xfId="184" applyNumberFormat="1" applyFont="1" applyBorder="1" applyAlignment="1">
      <alignment horizontal="center" vertical="center"/>
    </xf>
    <xf numFmtId="0" fontId="19" fillId="0" borderId="60" xfId="184" applyFont="1" applyBorder="1" applyAlignment="1">
      <alignment horizontal="center" vertical="center"/>
    </xf>
    <xf numFmtId="0" fontId="19" fillId="0" borderId="63" xfId="184" applyFont="1" applyBorder="1" applyAlignment="1">
      <alignment horizontal="center" vertical="center"/>
    </xf>
    <xf numFmtId="0" fontId="19" fillId="0" borderId="27" xfId="184" applyFont="1" applyBorder="1" applyAlignment="1">
      <alignment horizontal="center" vertical="center"/>
    </xf>
    <xf numFmtId="0" fontId="19" fillId="0" borderId="61" xfId="184" applyFont="1" applyBorder="1" applyAlignment="1">
      <alignment horizontal="center" vertical="center"/>
    </xf>
    <xf numFmtId="0" fontId="19" fillId="0" borderId="64" xfId="184" applyFont="1" applyBorder="1" applyAlignment="1">
      <alignment horizontal="center" vertical="center"/>
    </xf>
    <xf numFmtId="0" fontId="19" fillId="0" borderId="61" xfId="184" applyFont="1" applyBorder="1">
      <alignment vertical="center"/>
    </xf>
    <xf numFmtId="0" fontId="19" fillId="0" borderId="65" xfId="184" applyFont="1" applyBorder="1">
      <alignment vertical="center"/>
    </xf>
    <xf numFmtId="179" fontId="19" fillId="0" borderId="37" xfId="184" applyNumberFormat="1" applyFont="1" applyBorder="1">
      <alignment vertical="center"/>
    </xf>
    <xf numFmtId="179" fontId="19" fillId="0" borderId="66" xfId="184" applyNumberFormat="1" applyFont="1" applyBorder="1">
      <alignment vertical="center"/>
    </xf>
    <xf numFmtId="179" fontId="19" fillId="0" borderId="67" xfId="184" applyNumberFormat="1" applyFont="1" applyBorder="1" applyAlignment="1">
      <alignment horizontal="center" vertical="center"/>
    </xf>
    <xf numFmtId="0" fontId="19" fillId="0" borderId="65" xfId="184" applyFont="1" applyBorder="1" applyAlignment="1">
      <alignment horizontal="center" vertical="center"/>
    </xf>
    <xf numFmtId="0" fontId="19" fillId="0" borderId="68" xfId="184" applyFont="1" applyBorder="1" applyAlignment="1">
      <alignment horizontal="center" vertical="center"/>
    </xf>
    <xf numFmtId="0" fontId="19" fillId="0" borderId="37" xfId="184" applyFont="1" applyBorder="1" applyAlignment="1">
      <alignment horizontal="center" vertical="center"/>
    </xf>
    <xf numFmtId="0" fontId="19" fillId="0" borderId="66" xfId="184" applyFont="1" applyBorder="1" applyAlignment="1">
      <alignment horizontal="center" vertical="center"/>
    </xf>
    <xf numFmtId="0" fontId="19" fillId="0" borderId="69" xfId="184" applyFont="1" applyBorder="1" applyAlignment="1">
      <alignment horizontal="center" vertical="center"/>
    </xf>
    <xf numFmtId="0" fontId="19" fillId="0" borderId="66" xfId="184" applyFont="1" applyBorder="1">
      <alignment vertical="center"/>
    </xf>
    <xf numFmtId="0" fontId="19" fillId="2" borderId="53" xfId="184" applyFont="1" applyFill="1" applyBorder="1" applyAlignment="1">
      <alignment horizontal="center" vertical="center"/>
    </xf>
    <xf numFmtId="179" fontId="19" fillId="0" borderId="49" xfId="184" applyNumberFormat="1" applyFont="1" applyBorder="1" applyAlignment="1">
      <alignment horizontal="center" vertical="center"/>
    </xf>
    <xf numFmtId="0" fontId="19" fillId="0" borderId="70" xfId="184" applyFont="1" applyBorder="1">
      <alignment vertical="center"/>
    </xf>
    <xf numFmtId="0" fontId="19" fillId="0" borderId="71" xfId="184" applyFont="1" applyBorder="1">
      <alignment vertical="center"/>
    </xf>
    <xf numFmtId="179" fontId="19" fillId="0" borderId="71" xfId="184" applyNumberFormat="1" applyFont="1" applyBorder="1">
      <alignment vertical="center"/>
    </xf>
    <xf numFmtId="179" fontId="19" fillId="0" borderId="72" xfId="184" applyNumberFormat="1" applyFont="1" applyBorder="1">
      <alignment vertical="center"/>
    </xf>
    <xf numFmtId="179" fontId="19" fillId="0" borderId="73" xfId="184" applyNumberFormat="1" applyFont="1" applyBorder="1" applyAlignment="1">
      <alignment horizontal="center" vertical="center"/>
    </xf>
    <xf numFmtId="0" fontId="19" fillId="0" borderId="74" xfId="184" applyFont="1" applyBorder="1" applyAlignment="1">
      <alignment horizontal="center" vertical="center"/>
    </xf>
    <xf numFmtId="0" fontId="19" fillId="0" borderId="75" xfId="184" applyFont="1" applyBorder="1" applyAlignment="1">
      <alignment horizontal="center" vertical="center"/>
    </xf>
    <xf numFmtId="0" fontId="19" fillId="0" borderId="34" xfId="184" applyFont="1" applyBorder="1" applyAlignment="1">
      <alignment horizontal="center" vertical="center"/>
    </xf>
    <xf numFmtId="0" fontId="19" fillId="0" borderId="76" xfId="184" applyFont="1" applyBorder="1" applyAlignment="1">
      <alignment horizontal="center" vertical="center"/>
    </xf>
    <xf numFmtId="0" fontId="19" fillId="0" borderId="77" xfId="184" applyFont="1" applyBorder="1" applyAlignment="1">
      <alignment horizontal="center" vertical="center"/>
    </xf>
    <xf numFmtId="0" fontId="19" fillId="0" borderId="76" xfId="184" applyFont="1" applyBorder="1">
      <alignment vertical="center"/>
    </xf>
    <xf numFmtId="0" fontId="19" fillId="2" borderId="50" xfId="184" applyFont="1" applyFill="1" applyBorder="1" applyAlignment="1">
      <alignment horizontal="center" vertical="center"/>
    </xf>
    <xf numFmtId="0" fontId="37" fillId="34" borderId="26" xfId="0" applyFont="1" applyFill="1" applyBorder="1" applyProtection="1">
      <protection locked="0"/>
    </xf>
    <xf numFmtId="0" fontId="38" fillId="0" borderId="0" xfId="0" applyFont="1" applyProtection="1">
      <protection locked="0"/>
    </xf>
    <xf numFmtId="0" fontId="38" fillId="0" borderId="0" xfId="0" applyFont="1" applyAlignment="1" applyProtection="1">
      <alignment horizontal="center" vertical="center" wrapText="1"/>
      <protection locked="0"/>
    </xf>
    <xf numFmtId="0" fontId="39" fillId="0" borderId="0" xfId="0" applyFont="1" applyProtection="1">
      <protection locked="0"/>
    </xf>
    <xf numFmtId="180" fontId="39" fillId="0" borderId="0" xfId="0" applyNumberFormat="1" applyFont="1" applyProtection="1">
      <protection locked="0"/>
    </xf>
    <xf numFmtId="182" fontId="39" fillId="0" borderId="0" xfId="0" applyNumberFormat="1" applyFont="1" applyProtection="1">
      <protection locked="0"/>
    </xf>
    <xf numFmtId="0" fontId="38" fillId="0" borderId="0" xfId="0" applyFont="1"/>
    <xf numFmtId="0" fontId="38" fillId="0" borderId="0" xfId="0" applyFont="1" applyAlignment="1">
      <alignment horizontal="center" vertical="center" wrapText="1"/>
    </xf>
    <xf numFmtId="0" fontId="39" fillId="0" borderId="0" xfId="0" applyFont="1"/>
    <xf numFmtId="0" fontId="38" fillId="0" borderId="53" xfId="0" applyFont="1" applyBorder="1" applyAlignment="1" applyProtection="1">
      <alignment horizontal="center" vertical="center" wrapText="1"/>
      <protection locked="0"/>
    </xf>
    <xf numFmtId="180" fontId="38" fillId="0" borderId="53" xfId="0" applyNumberFormat="1" applyFont="1" applyBorder="1" applyAlignment="1" applyProtection="1">
      <alignment horizontal="center" vertical="center" wrapText="1"/>
      <protection locked="0"/>
    </xf>
    <xf numFmtId="182" fontId="38" fillId="0" borderId="53" xfId="0" applyNumberFormat="1" applyFont="1" applyBorder="1" applyAlignment="1" applyProtection="1">
      <alignment horizontal="center" vertical="center" wrapText="1"/>
      <protection locked="0"/>
    </xf>
    <xf numFmtId="0" fontId="19" fillId="0" borderId="70" xfId="184" applyFont="1" applyBorder="1" applyAlignment="1">
      <alignment horizontal="center" vertical="center"/>
    </xf>
    <xf numFmtId="181" fontId="46" fillId="0" borderId="78" xfId="0" applyNumberFormat="1" applyFont="1" applyBorder="1"/>
    <xf numFmtId="181" fontId="46" fillId="0" borderId="79" xfId="0" applyNumberFormat="1" applyFont="1" applyBorder="1"/>
    <xf numFmtId="180" fontId="42" fillId="0" borderId="81" xfId="0" applyNumberFormat="1" applyFont="1" applyBorder="1" applyAlignment="1">
      <alignment horizontal="center"/>
    </xf>
    <xf numFmtId="0" fontId="42" fillId="0" borderId="82" xfId="0" applyFont="1" applyBorder="1" applyAlignment="1">
      <alignment horizontal="center" wrapText="1"/>
    </xf>
    <xf numFmtId="0" fontId="42" fillId="0" borderId="83" xfId="0" applyFont="1" applyBorder="1" applyAlignment="1">
      <alignment horizontal="center" wrapText="1"/>
    </xf>
    <xf numFmtId="177" fontId="42" fillId="0" borderId="22" xfId="0" applyNumberFormat="1" applyFont="1" applyBorder="1" applyAlignment="1">
      <alignment horizontal="center" wrapText="1"/>
    </xf>
    <xf numFmtId="176" fontId="42" fillId="0" borderId="80" xfId="0" applyNumberFormat="1" applyFont="1" applyBorder="1" applyAlignment="1">
      <alignment horizontal="center" wrapText="1"/>
    </xf>
    <xf numFmtId="176" fontId="42" fillId="0" borderId="81" xfId="0" applyNumberFormat="1" applyFont="1" applyBorder="1" applyAlignment="1">
      <alignment horizontal="center"/>
    </xf>
    <xf numFmtId="49" fontId="42" fillId="0" borderId="81" xfId="0" applyNumberFormat="1" applyFont="1" applyBorder="1" applyAlignment="1">
      <alignment horizontal="center" wrapText="1"/>
    </xf>
    <xf numFmtId="0" fontId="42" fillId="0" borderId="81" xfId="0" applyFont="1" applyBorder="1" applyAlignment="1">
      <alignment horizontal="center"/>
    </xf>
    <xf numFmtId="0" fontId="42" fillId="0" borderId="82" xfId="0" applyFont="1" applyBorder="1" applyAlignment="1">
      <alignment horizontal="center"/>
    </xf>
    <xf numFmtId="49" fontId="42" fillId="0" borderId="82" xfId="0" applyNumberFormat="1" applyFont="1" applyBorder="1" applyAlignment="1">
      <alignment horizontal="center"/>
    </xf>
    <xf numFmtId="49" fontId="42" fillId="0" borderId="81" xfId="0" applyNumberFormat="1" applyFont="1" applyBorder="1" applyAlignment="1">
      <alignment horizontal="center"/>
    </xf>
    <xf numFmtId="0" fontId="42" fillId="0" borderId="81" xfId="0" applyFont="1" applyBorder="1" applyAlignment="1">
      <alignment horizontal="center" shrinkToFit="1"/>
    </xf>
    <xf numFmtId="0" fontId="42" fillId="0" borderId="81" xfId="0" applyFont="1" applyBorder="1" applyAlignment="1">
      <alignment horizontal="center" wrapText="1"/>
    </xf>
    <xf numFmtId="0" fontId="42" fillId="0" borderId="81" xfId="0" applyFont="1" applyBorder="1" applyAlignment="1">
      <alignment horizontal="centerContinuous"/>
    </xf>
    <xf numFmtId="180" fontId="42" fillId="0" borderId="81" xfId="0" applyNumberFormat="1" applyFont="1" applyBorder="1" applyAlignment="1">
      <alignment horizontal="center" wrapText="1"/>
    </xf>
    <xf numFmtId="0" fontId="42" fillId="0" borderId="83" xfId="0" applyFont="1" applyBorder="1" applyAlignment="1">
      <alignment horizontal="center"/>
    </xf>
    <xf numFmtId="49" fontId="42" fillId="0" borderId="82" xfId="0" applyNumberFormat="1" applyFont="1" applyBorder="1" applyAlignment="1">
      <alignment horizontal="center" wrapText="1"/>
    </xf>
    <xf numFmtId="180" fontId="42" fillId="0" borderId="82" xfId="0" applyNumberFormat="1" applyFont="1" applyBorder="1" applyAlignment="1">
      <alignment horizontal="center" wrapText="1"/>
    </xf>
    <xf numFmtId="0" fontId="38" fillId="0" borderId="53" xfId="0" applyFont="1" applyBorder="1" applyProtection="1">
      <protection locked="0"/>
    </xf>
    <xf numFmtId="180" fontId="38" fillId="0" borderId="53" xfId="0" applyNumberFormat="1" applyFont="1" applyBorder="1" applyProtection="1">
      <protection locked="0"/>
    </xf>
    <xf numFmtId="182" fontId="38" fillId="0" borderId="53" xfId="0" applyNumberFormat="1" applyFont="1" applyBorder="1" applyProtection="1">
      <protection locked="0"/>
    </xf>
    <xf numFmtId="0" fontId="38" fillId="0" borderId="27" xfId="0" applyFont="1" applyBorder="1" applyProtection="1">
      <protection locked="0"/>
    </xf>
    <xf numFmtId="180" fontId="38" fillId="0" borderId="27" xfId="0" applyNumberFormat="1" applyFont="1" applyBorder="1" applyProtection="1">
      <protection locked="0"/>
    </xf>
    <xf numFmtId="182" fontId="38" fillId="0" borderId="27" xfId="0" applyNumberFormat="1" applyFont="1" applyBorder="1" applyProtection="1">
      <protection locked="0"/>
    </xf>
    <xf numFmtId="49" fontId="42" fillId="0" borderId="84" xfId="0" applyNumberFormat="1" applyFont="1" applyBorder="1" applyAlignment="1">
      <alignment horizontal="center"/>
    </xf>
    <xf numFmtId="0" fontId="42" fillId="0" borderId="80" xfId="0" applyFont="1" applyBorder="1" applyAlignment="1">
      <alignment horizontal="center"/>
    </xf>
    <xf numFmtId="49" fontId="42" fillId="0" borderId="84" xfId="0" applyNumberFormat="1" applyFont="1" applyBorder="1" applyAlignment="1">
      <alignment horizontal="center" wrapText="1"/>
    </xf>
    <xf numFmtId="0" fontId="40" fillId="0" borderId="80" xfId="0" applyFont="1" applyBorder="1" applyAlignment="1">
      <alignment horizontal="centerContinuous"/>
    </xf>
    <xf numFmtId="0" fontId="40" fillId="0" borderId="86" xfId="0" applyFont="1" applyBorder="1" applyAlignment="1">
      <alignment horizontal="centerContinuous"/>
    </xf>
    <xf numFmtId="0" fontId="46" fillId="0" borderId="87" xfId="0" applyFont="1" applyBorder="1"/>
    <xf numFmtId="0" fontId="46" fillId="0" borderId="88" xfId="0" applyFont="1" applyBorder="1"/>
    <xf numFmtId="0" fontId="40" fillId="0" borderId="24" xfId="0" applyFont="1" applyBorder="1"/>
    <xf numFmtId="49" fontId="40" fillId="0" borderId="24" xfId="0" applyNumberFormat="1" applyFont="1" applyBorder="1" applyAlignment="1">
      <alignment horizontal="left"/>
    </xf>
    <xf numFmtId="0" fontId="40" fillId="0" borderId="24" xfId="0" applyFont="1" applyBorder="1" applyAlignment="1">
      <alignment horizontal="center" shrinkToFit="1"/>
    </xf>
    <xf numFmtId="0" fontId="40" fillId="0" borderId="24" xfId="0" applyFont="1" applyBorder="1" applyAlignment="1">
      <alignment horizontal="center"/>
    </xf>
    <xf numFmtId="180" fontId="40" fillId="0" borderId="24" xfId="0" applyNumberFormat="1" applyFont="1" applyBorder="1"/>
    <xf numFmtId="176" fontId="40" fillId="0" borderId="24" xfId="0" applyNumberFormat="1" applyFont="1" applyBorder="1"/>
    <xf numFmtId="176" fontId="40" fillId="0" borderId="24" xfId="0" applyNumberFormat="1" applyFont="1" applyBorder="1" applyAlignment="1">
      <alignment horizontal="center"/>
    </xf>
    <xf numFmtId="49" fontId="40" fillId="0" borderId="24" xfId="0" applyNumberFormat="1" applyFont="1" applyBorder="1" applyAlignment="1">
      <alignment horizontal="center"/>
    </xf>
    <xf numFmtId="0" fontId="19" fillId="0" borderId="49" xfId="184" applyFont="1" applyBorder="1">
      <alignment vertical="center"/>
    </xf>
    <xf numFmtId="0" fontId="19" fillId="0" borderId="76" xfId="184" applyFont="1" applyBorder="1" applyAlignment="1">
      <alignment vertical="center" wrapText="1"/>
    </xf>
    <xf numFmtId="0" fontId="19" fillId="0" borderId="69" xfId="184" applyFont="1" applyBorder="1">
      <alignment vertical="center"/>
    </xf>
    <xf numFmtId="0" fontId="19" fillId="0" borderId="73" xfId="184" applyFont="1" applyBorder="1">
      <alignment vertical="center"/>
    </xf>
    <xf numFmtId="0" fontId="19" fillId="0" borderId="51" xfId="184" applyFont="1" applyBorder="1" applyAlignment="1">
      <alignment vertical="center" wrapText="1"/>
    </xf>
    <xf numFmtId="0" fontId="19" fillId="2" borderId="51" xfId="184" applyFont="1" applyFill="1" applyBorder="1">
      <alignment vertical="center"/>
    </xf>
    <xf numFmtId="0" fontId="46" fillId="0" borderId="8" xfId="0" quotePrefix="1" applyFont="1" applyBorder="1"/>
    <xf numFmtId="0" fontId="40" fillId="0" borderId="0" xfId="0" applyFont="1" applyAlignment="1">
      <alignment shrinkToFit="1"/>
    </xf>
    <xf numFmtId="0" fontId="42" fillId="0" borderId="85" xfId="0" applyFont="1" applyBorder="1" applyAlignment="1">
      <alignment horizontal="centerContinuous" shrinkToFit="1"/>
    </xf>
    <xf numFmtId="0" fontId="46" fillId="0" borderId="7" xfId="0" applyFont="1" applyBorder="1" applyAlignment="1">
      <alignment shrinkToFit="1"/>
    </xf>
    <xf numFmtId="0" fontId="46" fillId="0" borderId="2" xfId="0" applyFont="1" applyBorder="1" applyAlignment="1">
      <alignment shrinkToFit="1"/>
    </xf>
    <xf numFmtId="181" fontId="46" fillId="0" borderId="4" xfId="0" applyNumberFormat="1" applyFont="1" applyBorder="1"/>
    <xf numFmtId="178" fontId="46" fillId="2" borderId="1" xfId="0" applyNumberFormat="1" applyFont="1" applyFill="1" applyBorder="1" applyAlignment="1">
      <alignment horizontal="center"/>
    </xf>
    <xf numFmtId="181" fontId="46" fillId="0" borderId="0" xfId="0" applyNumberFormat="1" applyFont="1"/>
    <xf numFmtId="0" fontId="42" fillId="0" borderId="24" xfId="0" applyFont="1" applyBorder="1" applyAlignment="1">
      <alignment horizontal="center" wrapText="1"/>
    </xf>
    <xf numFmtId="49" fontId="46" fillId="2" borderId="31" xfId="0" applyNumberFormat="1" applyFont="1" applyFill="1" applyBorder="1" applyAlignment="1">
      <alignment horizontal="center"/>
    </xf>
    <xf numFmtId="0" fontId="46" fillId="2" borderId="12" xfId="0" applyFont="1" applyFill="1" applyBorder="1" applyAlignment="1">
      <alignment horizontal="center"/>
    </xf>
    <xf numFmtId="0" fontId="46" fillId="2" borderId="8" xfId="0" applyFont="1" applyFill="1" applyBorder="1" applyAlignment="1">
      <alignment horizontal="center"/>
    </xf>
    <xf numFmtId="0" fontId="46" fillId="2" borderId="7" xfId="0" applyFont="1" applyFill="1" applyBorder="1"/>
    <xf numFmtId="181" fontId="46" fillId="2" borderId="8" xfId="0" applyNumberFormat="1" applyFont="1" applyFill="1" applyBorder="1"/>
    <xf numFmtId="181" fontId="46" fillId="2" borderId="10" xfId="0" applyNumberFormat="1" applyFont="1" applyFill="1" applyBorder="1"/>
    <xf numFmtId="181" fontId="46" fillId="2" borderId="12" xfId="0" applyNumberFormat="1" applyFont="1" applyFill="1" applyBorder="1"/>
    <xf numFmtId="181" fontId="46" fillId="2" borderId="8" xfId="0" applyNumberFormat="1" applyFont="1" applyFill="1" applyBorder="1" applyAlignment="1">
      <alignment horizontal="center"/>
    </xf>
    <xf numFmtId="0" fontId="46" fillId="2" borderId="12" xfId="0" applyFont="1" applyFill="1" applyBorder="1"/>
    <xf numFmtId="0" fontId="46" fillId="2" borderId="87" xfId="0" applyFont="1" applyFill="1" applyBorder="1"/>
    <xf numFmtId="0" fontId="46" fillId="2" borderId="33" xfId="0" applyFont="1" applyFill="1" applyBorder="1"/>
    <xf numFmtId="181" fontId="46" fillId="2" borderId="9" xfId="0" applyNumberFormat="1" applyFont="1" applyFill="1" applyBorder="1"/>
    <xf numFmtId="178" fontId="46" fillId="2" borderId="0" xfId="0" applyNumberFormat="1" applyFont="1" applyFill="1"/>
    <xf numFmtId="0" fontId="43" fillId="2" borderId="0" xfId="0" applyFont="1" applyFill="1"/>
    <xf numFmtId="0" fontId="44" fillId="2" borderId="0" xfId="0" applyFont="1" applyFill="1"/>
    <xf numFmtId="0" fontId="45" fillId="2" borderId="0" xfId="0" applyFont="1" applyFill="1"/>
    <xf numFmtId="0" fontId="46" fillId="2" borderId="0" xfId="0" applyFont="1" applyFill="1"/>
    <xf numFmtId="181" fontId="50" fillId="2" borderId="10" xfId="0" applyNumberFormat="1" applyFont="1" applyFill="1" applyBorder="1"/>
    <xf numFmtId="0" fontId="51" fillId="0" borderId="41" xfId="184" applyFont="1" applyBorder="1" applyAlignment="1">
      <alignment horizontal="center" vertical="center" wrapText="1"/>
    </xf>
    <xf numFmtId="0" fontId="51" fillId="0" borderId="40" xfId="184" applyFont="1" applyBorder="1" applyAlignment="1">
      <alignment horizontal="center" vertical="center" wrapText="1"/>
    </xf>
    <xf numFmtId="176" fontId="42" fillId="0" borderId="82" xfId="0" applyNumberFormat="1" applyFont="1" applyBorder="1" applyAlignment="1">
      <alignment horizontal="center"/>
    </xf>
    <xf numFmtId="0" fontId="19" fillId="0" borderId="54" xfId="184" applyFont="1" applyBorder="1">
      <alignment vertical="center"/>
    </xf>
    <xf numFmtId="0" fontId="19" fillId="0" borderId="59" xfId="184" applyFont="1" applyBorder="1">
      <alignment vertical="center"/>
    </xf>
    <xf numFmtId="0" fontId="19" fillId="0" borderId="64" xfId="184" applyFont="1" applyBorder="1">
      <alignment vertical="center"/>
    </xf>
    <xf numFmtId="0" fontId="19" fillId="0" borderId="89" xfId="184" applyFont="1" applyBorder="1">
      <alignment vertical="center"/>
    </xf>
    <xf numFmtId="0" fontId="19" fillId="0" borderId="89" xfId="184" applyFont="1" applyBorder="1" applyAlignment="1">
      <alignment vertical="center" wrapText="1"/>
    </xf>
    <xf numFmtId="0" fontId="19" fillId="0" borderId="90" xfId="184" applyFont="1" applyBorder="1">
      <alignment vertical="center"/>
    </xf>
    <xf numFmtId="0" fontId="19" fillId="0" borderId="91" xfId="184" applyFont="1" applyBorder="1">
      <alignment vertical="center"/>
    </xf>
    <xf numFmtId="0" fontId="19" fillId="0" borderId="92" xfId="184" applyFont="1" applyBorder="1">
      <alignment vertical="center"/>
    </xf>
    <xf numFmtId="0" fontId="38" fillId="35" borderId="27" xfId="0" applyFont="1" applyFill="1" applyBorder="1" applyProtection="1">
      <protection locked="0"/>
    </xf>
    <xf numFmtId="0" fontId="0" fillId="0" borderId="0" xfId="0" applyAlignment="1">
      <alignment vertical="center"/>
    </xf>
    <xf numFmtId="0" fontId="52" fillId="0" borderId="0" xfId="0" applyFont="1"/>
    <xf numFmtId="0" fontId="52" fillId="36" borderId="0" xfId="0" applyFont="1" applyFill="1"/>
    <xf numFmtId="0" fontId="19" fillId="36" borderId="0" xfId="0" applyFont="1" applyFill="1"/>
    <xf numFmtId="0" fontId="53" fillId="0" borderId="0" xfId="0" applyFont="1"/>
    <xf numFmtId="0" fontId="54" fillId="0" borderId="0" xfId="0" applyFont="1" applyAlignment="1">
      <alignment vertical="center"/>
    </xf>
    <xf numFmtId="17" fontId="0" fillId="0" borderId="0" xfId="0" applyNumberFormat="1" applyAlignment="1">
      <alignment vertical="center"/>
    </xf>
    <xf numFmtId="0" fontId="55" fillId="0" borderId="0" xfId="0" applyFont="1" applyAlignment="1">
      <alignment vertical="center"/>
    </xf>
    <xf numFmtId="17" fontId="55" fillId="0" borderId="0" xfId="0" applyNumberFormat="1" applyFont="1" applyAlignment="1">
      <alignment vertical="center"/>
    </xf>
    <xf numFmtId="0" fontId="57" fillId="0" borderId="0" xfId="0" applyFont="1"/>
    <xf numFmtId="17" fontId="57" fillId="0" borderId="0" xfId="0" applyNumberFormat="1" applyFont="1"/>
    <xf numFmtId="0" fontId="58" fillId="0" borderId="80" xfId="0" applyFont="1" applyBorder="1" applyAlignment="1">
      <alignment horizontal="centerContinuous"/>
    </xf>
    <xf numFmtId="0" fontId="59" fillId="0" borderId="80" xfId="0" applyFont="1" applyBorder="1" applyAlignment="1">
      <alignment horizontal="centerContinuous"/>
    </xf>
    <xf numFmtId="0" fontId="59" fillId="0" borderId="86" xfId="0" applyFont="1" applyBorder="1" applyAlignment="1">
      <alignment horizontal="centerContinuous"/>
    </xf>
    <xf numFmtId="0" fontId="59" fillId="0" borderId="33" xfId="0" applyFont="1" applyBorder="1"/>
    <xf numFmtId="20" fontId="46" fillId="0" borderId="12" xfId="0" applyNumberFormat="1" applyFont="1" applyBorder="1" applyAlignment="1">
      <alignment horizontal="center"/>
    </xf>
    <xf numFmtId="0" fontId="46" fillId="0" borderId="8" xfId="0" quotePrefix="1" applyFont="1" applyBorder="1" applyAlignment="1">
      <alignment shrinkToFit="1"/>
    </xf>
    <xf numFmtId="0" fontId="46" fillId="0" borderId="8" xfId="0" quotePrefix="1" applyFont="1" applyBorder="1" applyAlignment="1">
      <alignment horizontal="center"/>
    </xf>
    <xf numFmtId="181" fontId="46" fillId="0" borderId="31" xfId="0" quotePrefix="1" applyNumberFormat="1" applyFont="1" applyBorder="1"/>
    <xf numFmtId="181" fontId="46" fillId="0" borderId="8" xfId="0" quotePrefix="1" applyNumberFormat="1" applyFont="1" applyBorder="1"/>
    <xf numFmtId="181" fontId="46" fillId="0" borderId="78" xfId="0" quotePrefix="1" applyNumberFormat="1" applyFont="1" applyBorder="1" applyAlignment="1">
      <alignment horizontal="center"/>
    </xf>
    <xf numFmtId="181" fontId="46" fillId="0" borderId="12" xfId="0" quotePrefix="1" applyNumberFormat="1" applyFont="1" applyBorder="1"/>
    <xf numFmtId="181" fontId="46" fillId="0" borderId="8" xfId="0" quotePrefix="1" applyNumberFormat="1" applyFont="1" applyBorder="1" applyAlignment="1">
      <alignment horizontal="center"/>
    </xf>
    <xf numFmtId="49" fontId="46" fillId="2" borderId="31" xfId="0" applyNumberFormat="1" applyFont="1" applyFill="1" applyBorder="1" applyAlignment="1">
      <alignment horizontal="left"/>
    </xf>
    <xf numFmtId="0" fontId="46" fillId="2" borderId="8" xfId="0" quotePrefix="1" applyFont="1" applyFill="1" applyBorder="1" applyAlignment="1">
      <alignment shrinkToFit="1"/>
    </xf>
    <xf numFmtId="0" fontId="46" fillId="2" borderId="8" xfId="0" quotePrefix="1" applyFont="1" applyFill="1" applyBorder="1" applyAlignment="1">
      <alignment horizontal="center"/>
    </xf>
    <xf numFmtId="0" fontId="46" fillId="2" borderId="8" xfId="0" quotePrefix="1" applyFont="1" applyFill="1" applyBorder="1"/>
    <xf numFmtId="181" fontId="46" fillId="2" borderId="12" xfId="0" quotePrefix="1" applyNumberFormat="1" applyFont="1" applyFill="1" applyBorder="1"/>
    <xf numFmtId="181" fontId="46" fillId="2" borderId="8" xfId="0" quotePrefix="1" applyNumberFormat="1" applyFont="1" applyFill="1" applyBorder="1" applyAlignment="1">
      <alignment horizontal="center"/>
    </xf>
    <xf numFmtId="0" fontId="46" fillId="2" borderId="7" xfId="0" applyFont="1" applyFill="1" applyBorder="1" applyAlignment="1">
      <alignment shrinkToFit="1"/>
    </xf>
    <xf numFmtId="181" fontId="46" fillId="2" borderId="78" xfId="0" applyNumberFormat="1" applyFont="1" applyFill="1" applyBorder="1"/>
    <xf numFmtId="181" fontId="46" fillId="2" borderId="31" xfId="0" quotePrefix="1" applyNumberFormat="1" applyFont="1" applyFill="1" applyBorder="1"/>
    <xf numFmtId="181" fontId="46" fillId="2" borderId="8" xfId="0" quotePrefix="1" applyNumberFormat="1" applyFont="1" applyFill="1" applyBorder="1"/>
    <xf numFmtId="181" fontId="46" fillId="2" borderId="78" xfId="0" quotePrefix="1" applyNumberFormat="1" applyFont="1" applyFill="1" applyBorder="1" applyAlignment="1">
      <alignment horizontal="center"/>
    </xf>
    <xf numFmtId="181" fontId="50" fillId="2" borderId="0" xfId="0" applyNumberFormat="1" applyFont="1" applyFill="1"/>
    <xf numFmtId="0" fontId="0" fillId="0" borderId="53" xfId="0" applyBorder="1" applyAlignment="1">
      <alignment vertical="center"/>
    </xf>
    <xf numFmtId="4" fontId="0" fillId="0" borderId="53" xfId="0" applyNumberFormat="1" applyBorder="1" applyAlignment="1">
      <alignment vertical="center"/>
    </xf>
    <xf numFmtId="14" fontId="0" fillId="0" borderId="53" xfId="0" applyNumberFormat="1" applyBorder="1" applyAlignment="1">
      <alignment vertical="center"/>
    </xf>
    <xf numFmtId="178" fontId="42" fillId="0" borderId="1" xfId="0" applyNumberFormat="1" applyFont="1" applyBorder="1" applyAlignment="1">
      <alignment horizontal="center"/>
    </xf>
    <xf numFmtId="0" fontId="47" fillId="0" borderId="8" xfId="0" applyFont="1" applyBorder="1" applyAlignment="1">
      <alignment horizontal="center"/>
    </xf>
    <xf numFmtId="0" fontId="47" fillId="0" borderId="8" xfId="0" quotePrefix="1" applyFont="1" applyBorder="1"/>
    <xf numFmtId="0" fontId="61" fillId="0" borderId="8" xfId="0" quotePrefix="1" applyFont="1" applyBorder="1"/>
    <xf numFmtId="0" fontId="0" fillId="35" borderId="53" xfId="0" applyFill="1" applyBorder="1" applyAlignment="1">
      <alignment vertical="center"/>
    </xf>
    <xf numFmtId="16" fontId="0" fillId="0" borderId="0" xfId="0" applyNumberFormat="1" applyAlignment="1">
      <alignment vertical="center"/>
    </xf>
    <xf numFmtId="0" fontId="47" fillId="0" borderId="7" xfId="0" applyFont="1" applyBorder="1" applyAlignment="1">
      <alignment shrinkToFit="1"/>
    </xf>
    <xf numFmtId="0" fontId="19" fillId="0" borderId="77" xfId="184" applyFont="1" applyBorder="1">
      <alignment vertical="center"/>
    </xf>
    <xf numFmtId="0" fontId="38" fillId="35" borderId="53" xfId="0" applyFont="1" applyFill="1" applyBorder="1" applyProtection="1">
      <protection locked="0"/>
    </xf>
    <xf numFmtId="0" fontId="19" fillId="0" borderId="40" xfId="184" applyFont="1" applyBorder="1">
      <alignment vertical="center"/>
    </xf>
    <xf numFmtId="179" fontId="19" fillId="0" borderId="40" xfId="184" applyNumberFormat="1" applyFont="1" applyBorder="1">
      <alignment vertical="center"/>
    </xf>
    <xf numFmtId="179" fontId="19" fillId="0" borderId="41" xfId="184" applyNumberFormat="1" applyFont="1" applyBorder="1">
      <alignment vertical="center"/>
    </xf>
    <xf numFmtId="179" fontId="19" fillId="0" borderId="42" xfId="184" applyNumberFormat="1" applyFont="1" applyBorder="1" applyAlignment="1">
      <alignment horizontal="center" vertical="center"/>
    </xf>
    <xf numFmtId="0" fontId="19" fillId="0" borderId="39" xfId="184" applyFont="1" applyBorder="1" applyAlignment="1">
      <alignment horizontal="center" vertical="center"/>
    </xf>
    <xf numFmtId="0" fontId="19" fillId="0" borderId="43" xfId="184" applyFont="1" applyBorder="1" applyAlignment="1">
      <alignment horizontal="center" vertical="center"/>
    </xf>
    <xf numFmtId="0" fontId="19" fillId="0" borderId="41" xfId="184" applyFont="1" applyBorder="1" applyAlignment="1">
      <alignment horizontal="center" vertical="center"/>
    </xf>
    <xf numFmtId="0" fontId="19" fillId="0" borderId="40" xfId="184" applyFont="1" applyBorder="1" applyAlignment="1">
      <alignment horizontal="center" vertical="center"/>
    </xf>
    <xf numFmtId="0" fontId="19" fillId="0" borderId="44" xfId="184" applyFont="1" applyBorder="1" applyAlignment="1">
      <alignment horizontal="center" vertical="center"/>
    </xf>
    <xf numFmtId="0" fontId="19" fillId="0" borderId="41" xfId="184" applyFont="1" applyBorder="1">
      <alignment vertical="center"/>
    </xf>
    <xf numFmtId="0" fontId="19" fillId="0" borderId="44" xfId="184" applyFont="1" applyBorder="1">
      <alignment vertical="center"/>
    </xf>
    <xf numFmtId="0" fontId="19" fillId="0" borderId="39" xfId="184" applyFont="1" applyBorder="1">
      <alignment vertical="center"/>
    </xf>
    <xf numFmtId="0" fontId="46" fillId="0" borderId="8" xfId="0" applyFont="1" applyBorder="1" applyAlignment="1">
      <alignment shrinkToFit="1"/>
    </xf>
    <xf numFmtId="0" fontId="46" fillId="0" borderId="8" xfId="0" applyFont="1" applyBorder="1"/>
    <xf numFmtId="178" fontId="46" fillId="0" borderId="10" xfId="0" applyNumberFormat="1" applyFont="1" applyBorder="1"/>
    <xf numFmtId="0" fontId="62" fillId="0" borderId="8" xfId="0" quotePrefix="1" applyFont="1" applyBorder="1"/>
    <xf numFmtId="56" fontId="46" fillId="0" borderId="12" xfId="0" applyNumberFormat="1" applyFont="1" applyBorder="1" applyAlignment="1">
      <alignment horizontal="center"/>
    </xf>
    <xf numFmtId="49" fontId="46" fillId="0" borderId="93" xfId="0" applyNumberFormat="1" applyFont="1" applyBorder="1" applyAlignment="1">
      <alignment horizontal="center"/>
    </xf>
    <xf numFmtId="0" fontId="46" fillId="0" borderId="94" xfId="0" applyFont="1" applyBorder="1" applyAlignment="1">
      <alignment horizontal="center"/>
    </xf>
    <xf numFmtId="49" fontId="46" fillId="0" borderId="93" xfId="0" applyNumberFormat="1" applyFont="1" applyBorder="1" applyAlignment="1">
      <alignment horizontal="left"/>
    </xf>
    <xf numFmtId="0" fontId="46" fillId="0" borderId="95" xfId="0" applyFont="1" applyBorder="1" applyAlignment="1">
      <alignment horizontal="center"/>
    </xf>
    <xf numFmtId="0" fontId="46" fillId="0" borderId="96" xfId="0" applyFont="1" applyBorder="1"/>
    <xf numFmtId="181" fontId="46" fillId="0" borderId="95" xfId="0" applyNumberFormat="1" applyFont="1" applyBorder="1"/>
    <xf numFmtId="181" fontId="46" fillId="0" borderId="97" xfId="0" applyNumberFormat="1" applyFont="1" applyBorder="1"/>
    <xf numFmtId="178" fontId="46" fillId="0" borderId="98" xfId="0" applyNumberFormat="1" applyFont="1" applyBorder="1" applyAlignment="1">
      <alignment horizontal="center"/>
    </xf>
    <xf numFmtId="181" fontId="46" fillId="0" borderId="95" xfId="0" applyNumberFormat="1" applyFont="1" applyBorder="1" applyAlignment="1">
      <alignment horizontal="center"/>
    </xf>
    <xf numFmtId="0" fontId="46" fillId="0" borderId="94" xfId="0" applyFont="1" applyBorder="1"/>
    <xf numFmtId="0" fontId="46" fillId="0" borderId="99" xfId="0" applyFont="1" applyBorder="1"/>
    <xf numFmtId="181" fontId="46" fillId="0" borderId="100" xfId="0" applyNumberFormat="1" applyFont="1" applyBorder="1"/>
    <xf numFmtId="181" fontId="46" fillId="0" borderId="94" xfId="0" applyNumberFormat="1" applyFont="1" applyBorder="1"/>
    <xf numFmtId="178" fontId="46" fillId="2" borderId="98" xfId="0" applyNumberFormat="1" applyFont="1" applyFill="1" applyBorder="1" applyAlignment="1">
      <alignment horizontal="center"/>
    </xf>
    <xf numFmtId="49" fontId="46" fillId="2" borderId="93" xfId="0" applyNumberFormat="1" applyFont="1" applyFill="1" applyBorder="1" applyAlignment="1">
      <alignment horizontal="center"/>
    </xf>
    <xf numFmtId="0" fontId="46" fillId="2" borderId="94" xfId="0" applyFont="1" applyFill="1" applyBorder="1" applyAlignment="1">
      <alignment horizontal="center"/>
    </xf>
    <xf numFmtId="49" fontId="46" fillId="2" borderId="93" xfId="0" applyNumberFormat="1" applyFont="1" applyFill="1" applyBorder="1" applyAlignment="1">
      <alignment horizontal="left"/>
    </xf>
    <xf numFmtId="0" fontId="46" fillId="2" borderId="95" xfId="0" applyFont="1" applyFill="1" applyBorder="1" applyAlignment="1">
      <alignment horizontal="center"/>
    </xf>
    <xf numFmtId="0" fontId="46" fillId="2" borderId="96" xfId="0" applyFont="1" applyFill="1" applyBorder="1"/>
    <xf numFmtId="181" fontId="46" fillId="2" borderId="95" xfId="0" applyNumberFormat="1" applyFont="1" applyFill="1" applyBorder="1"/>
    <xf numFmtId="181" fontId="46" fillId="2" borderId="97" xfId="0" applyNumberFormat="1" applyFont="1" applyFill="1" applyBorder="1"/>
    <xf numFmtId="181" fontId="46" fillId="2" borderId="95" xfId="0" applyNumberFormat="1" applyFont="1" applyFill="1" applyBorder="1" applyAlignment="1">
      <alignment horizontal="center"/>
    </xf>
    <xf numFmtId="0" fontId="46" fillId="2" borderId="94" xfId="0" applyFont="1" applyFill="1" applyBorder="1"/>
    <xf numFmtId="0" fontId="46" fillId="2" borderId="99" xfId="0" applyFont="1" applyFill="1" applyBorder="1"/>
    <xf numFmtId="181" fontId="46" fillId="2" borderId="100" xfId="0" applyNumberFormat="1" applyFont="1" applyFill="1" applyBorder="1"/>
    <xf numFmtId="181" fontId="46" fillId="2" borderId="94" xfId="0" applyNumberFormat="1" applyFont="1" applyFill="1" applyBorder="1"/>
    <xf numFmtId="181" fontId="50" fillId="2" borderId="97" xfId="0" applyNumberFormat="1" applyFont="1" applyFill="1" applyBorder="1"/>
    <xf numFmtId="0" fontId="63" fillId="0" borderId="53" xfId="0" applyFont="1" applyBorder="1" applyAlignment="1">
      <alignment vertical="center"/>
    </xf>
    <xf numFmtId="0" fontId="38" fillId="0" borderId="53" xfId="0" applyFont="1" applyBorder="1" applyAlignment="1">
      <alignment vertical="center"/>
    </xf>
    <xf numFmtId="0" fontId="64" fillId="0" borderId="53" xfId="0" applyFont="1" applyBorder="1" applyAlignment="1">
      <alignment vertical="center"/>
    </xf>
    <xf numFmtId="0" fontId="47" fillId="0" borderId="87" xfId="0" applyFont="1" applyBorder="1"/>
    <xf numFmtId="0" fontId="0" fillId="0" borderId="38" xfId="0" applyBorder="1" applyAlignment="1">
      <alignment vertical="center"/>
    </xf>
    <xf numFmtId="14" fontId="0" fillId="0" borderId="0" xfId="0" applyNumberFormat="1" applyAlignment="1">
      <alignment vertical="center"/>
    </xf>
    <xf numFmtId="0" fontId="47" fillId="0" borderId="95" xfId="0" applyFont="1" applyBorder="1" applyAlignment="1">
      <alignment horizontal="center"/>
    </xf>
    <xf numFmtId="0" fontId="42" fillId="0" borderId="8" xfId="0" applyFont="1" applyBorder="1" applyAlignment="1">
      <alignment horizontal="center"/>
    </xf>
    <xf numFmtId="181" fontId="46" fillId="0" borderId="87" xfId="0" applyNumberFormat="1" applyFont="1" applyBorder="1"/>
    <xf numFmtId="0" fontId="39" fillId="0" borderId="53" xfId="0" applyFont="1" applyBorder="1" applyProtection="1">
      <protection locked="0"/>
    </xf>
    <xf numFmtId="0" fontId="61" fillId="0" borderId="7" xfId="0" applyFont="1" applyBorder="1" applyAlignment="1">
      <alignment shrinkToFit="1"/>
    </xf>
    <xf numFmtId="178" fontId="46" fillId="37" borderId="1" xfId="0" applyNumberFormat="1" applyFont="1" applyFill="1" applyBorder="1" applyAlignment="1">
      <alignment horizontal="center"/>
    </xf>
    <xf numFmtId="178" fontId="46" fillId="37" borderId="98" xfId="0" applyNumberFormat="1" applyFont="1" applyFill="1" applyBorder="1" applyAlignment="1">
      <alignment horizontal="center"/>
    </xf>
    <xf numFmtId="181" fontId="46" fillId="0" borderId="8" xfId="0" applyNumberFormat="1" applyFont="1" applyBorder="1" applyAlignment="1">
      <alignment horizontal="right"/>
    </xf>
    <xf numFmtId="181" fontId="62" fillId="0" borderId="8" xfId="0" quotePrefix="1" applyNumberFormat="1" applyFont="1" applyBorder="1" applyAlignment="1">
      <alignment horizontal="center"/>
    </xf>
    <xf numFmtId="181" fontId="62" fillId="0" borderId="8" xfId="0" applyNumberFormat="1" applyFont="1" applyBorder="1" applyAlignment="1">
      <alignment horizontal="center"/>
    </xf>
    <xf numFmtId="0" fontId="39" fillId="0" borderId="38" xfId="0" applyFont="1" applyBorder="1" applyProtection="1">
      <protection locked="0"/>
    </xf>
    <xf numFmtId="0" fontId="46" fillId="0" borderId="96" xfId="0" applyFont="1" applyBorder="1" applyAlignment="1">
      <alignment shrinkToFit="1"/>
    </xf>
    <xf numFmtId="181" fontId="46" fillId="0" borderId="101" xfId="0" applyNumberFormat="1" applyFont="1" applyBorder="1"/>
    <xf numFmtId="0" fontId="60" fillId="0" borderId="0" xfId="0" applyFont="1" applyAlignment="1">
      <alignment wrapText="1"/>
    </xf>
  </cellXfs>
  <cellStyles count="185">
    <cellStyle name="20% - アクセント 1" xfId="18" builtinId="30" customBuiltin="1"/>
    <cellStyle name="20% - アクセント 1 2" xfId="43" xr:uid="{00000000-0005-0000-0000-000001000000}"/>
    <cellStyle name="20% - アクセント 1 2 2" xfId="85" xr:uid="{00000000-0005-0000-0000-000002000000}"/>
    <cellStyle name="20% - アクセント 1 3" xfId="59" xr:uid="{00000000-0005-0000-0000-000003000000}"/>
    <cellStyle name="20% - アクセント 1 3 2" xfId="101" xr:uid="{00000000-0005-0000-0000-000004000000}"/>
    <cellStyle name="20% - アクセント 1 4" xfId="71" xr:uid="{00000000-0005-0000-0000-000005000000}"/>
    <cellStyle name="20% - アクセント 1 5" xfId="115" xr:uid="{00000000-0005-0000-0000-000006000000}"/>
    <cellStyle name="20% - アクセント 1 6" xfId="129" xr:uid="{00000000-0005-0000-0000-000007000000}"/>
    <cellStyle name="20% - アクセント 1 7" xfId="143" xr:uid="{00000000-0005-0000-0000-000008000000}"/>
    <cellStyle name="20% - アクセント 1 8" xfId="157" xr:uid="{00000000-0005-0000-0000-000009000000}"/>
    <cellStyle name="20% - アクセント 1 9" xfId="171" xr:uid="{00000000-0005-0000-0000-00000A000000}"/>
    <cellStyle name="20% - アクセント 2" xfId="22" builtinId="34" customBuiltin="1"/>
    <cellStyle name="20% - アクセント 2 2" xfId="45" xr:uid="{00000000-0005-0000-0000-00000C000000}"/>
    <cellStyle name="20% - アクセント 2 2 2" xfId="87" xr:uid="{00000000-0005-0000-0000-00000D000000}"/>
    <cellStyle name="20% - アクセント 2 3" xfId="61" xr:uid="{00000000-0005-0000-0000-00000E000000}"/>
    <cellStyle name="20% - アクセント 2 3 2" xfId="103" xr:uid="{00000000-0005-0000-0000-00000F000000}"/>
    <cellStyle name="20% - アクセント 2 4" xfId="73" xr:uid="{00000000-0005-0000-0000-000010000000}"/>
    <cellStyle name="20% - アクセント 2 5" xfId="117" xr:uid="{00000000-0005-0000-0000-000011000000}"/>
    <cellStyle name="20% - アクセント 2 6" xfId="131" xr:uid="{00000000-0005-0000-0000-000012000000}"/>
    <cellStyle name="20% - アクセント 2 7" xfId="145" xr:uid="{00000000-0005-0000-0000-000013000000}"/>
    <cellStyle name="20% - アクセント 2 8" xfId="159" xr:uid="{00000000-0005-0000-0000-000014000000}"/>
    <cellStyle name="20% - アクセント 2 9" xfId="173" xr:uid="{00000000-0005-0000-0000-000015000000}"/>
    <cellStyle name="20% - アクセント 3" xfId="26" builtinId="38" customBuiltin="1"/>
    <cellStyle name="20% - アクセント 3 2" xfId="47" xr:uid="{00000000-0005-0000-0000-000017000000}"/>
    <cellStyle name="20% - アクセント 3 2 2" xfId="89" xr:uid="{00000000-0005-0000-0000-000018000000}"/>
    <cellStyle name="20% - アクセント 3 3" xfId="63" xr:uid="{00000000-0005-0000-0000-000019000000}"/>
    <cellStyle name="20% - アクセント 3 3 2" xfId="105" xr:uid="{00000000-0005-0000-0000-00001A000000}"/>
    <cellStyle name="20% - アクセント 3 4" xfId="75" xr:uid="{00000000-0005-0000-0000-00001B000000}"/>
    <cellStyle name="20% - アクセント 3 5" xfId="119" xr:uid="{00000000-0005-0000-0000-00001C000000}"/>
    <cellStyle name="20% - アクセント 3 6" xfId="133" xr:uid="{00000000-0005-0000-0000-00001D000000}"/>
    <cellStyle name="20% - アクセント 3 7" xfId="147" xr:uid="{00000000-0005-0000-0000-00001E000000}"/>
    <cellStyle name="20% - アクセント 3 8" xfId="161" xr:uid="{00000000-0005-0000-0000-00001F000000}"/>
    <cellStyle name="20% - アクセント 3 9" xfId="175" xr:uid="{00000000-0005-0000-0000-000020000000}"/>
    <cellStyle name="20% - アクセント 4" xfId="30" builtinId="42" customBuiltin="1"/>
    <cellStyle name="20% - アクセント 4 2" xfId="49" xr:uid="{00000000-0005-0000-0000-000022000000}"/>
    <cellStyle name="20% - アクセント 4 2 2" xfId="91" xr:uid="{00000000-0005-0000-0000-000023000000}"/>
    <cellStyle name="20% - アクセント 4 3" xfId="65" xr:uid="{00000000-0005-0000-0000-000024000000}"/>
    <cellStyle name="20% - アクセント 4 3 2" xfId="107" xr:uid="{00000000-0005-0000-0000-000025000000}"/>
    <cellStyle name="20% - アクセント 4 4" xfId="77" xr:uid="{00000000-0005-0000-0000-000026000000}"/>
    <cellStyle name="20% - アクセント 4 5" xfId="121" xr:uid="{00000000-0005-0000-0000-000027000000}"/>
    <cellStyle name="20% - アクセント 4 6" xfId="135" xr:uid="{00000000-0005-0000-0000-000028000000}"/>
    <cellStyle name="20% - アクセント 4 7" xfId="149" xr:uid="{00000000-0005-0000-0000-000029000000}"/>
    <cellStyle name="20% - アクセント 4 8" xfId="163" xr:uid="{00000000-0005-0000-0000-00002A000000}"/>
    <cellStyle name="20% - アクセント 4 9" xfId="177" xr:uid="{00000000-0005-0000-0000-00002B000000}"/>
    <cellStyle name="20% - アクセント 5" xfId="34" builtinId="46" customBuiltin="1"/>
    <cellStyle name="20% - アクセント 5 2" xfId="51" xr:uid="{00000000-0005-0000-0000-00002D000000}"/>
    <cellStyle name="20% - アクセント 5 2 2" xfId="93" xr:uid="{00000000-0005-0000-0000-00002E000000}"/>
    <cellStyle name="20% - アクセント 5 3" xfId="67" xr:uid="{00000000-0005-0000-0000-00002F000000}"/>
    <cellStyle name="20% - アクセント 5 3 2" xfId="109" xr:uid="{00000000-0005-0000-0000-000030000000}"/>
    <cellStyle name="20% - アクセント 5 4" xfId="79" xr:uid="{00000000-0005-0000-0000-000031000000}"/>
    <cellStyle name="20% - アクセント 5 5" xfId="123" xr:uid="{00000000-0005-0000-0000-000032000000}"/>
    <cellStyle name="20% - アクセント 5 6" xfId="137" xr:uid="{00000000-0005-0000-0000-000033000000}"/>
    <cellStyle name="20% - アクセント 5 7" xfId="151" xr:uid="{00000000-0005-0000-0000-000034000000}"/>
    <cellStyle name="20% - アクセント 5 8" xfId="165" xr:uid="{00000000-0005-0000-0000-000035000000}"/>
    <cellStyle name="20% - アクセント 5 9" xfId="179" xr:uid="{00000000-0005-0000-0000-000036000000}"/>
    <cellStyle name="20% - アクセント 6" xfId="38" builtinId="50" customBuiltin="1"/>
    <cellStyle name="20% - アクセント 6 2" xfId="53" xr:uid="{00000000-0005-0000-0000-000038000000}"/>
    <cellStyle name="20% - アクセント 6 2 2" xfId="95" xr:uid="{00000000-0005-0000-0000-000039000000}"/>
    <cellStyle name="20% - アクセント 6 3" xfId="69" xr:uid="{00000000-0005-0000-0000-00003A000000}"/>
    <cellStyle name="20% - アクセント 6 3 2" xfId="111" xr:uid="{00000000-0005-0000-0000-00003B000000}"/>
    <cellStyle name="20% - アクセント 6 4" xfId="81" xr:uid="{00000000-0005-0000-0000-00003C000000}"/>
    <cellStyle name="20% - アクセント 6 5" xfId="125" xr:uid="{00000000-0005-0000-0000-00003D000000}"/>
    <cellStyle name="20% - アクセント 6 6" xfId="139" xr:uid="{00000000-0005-0000-0000-00003E000000}"/>
    <cellStyle name="20% - アクセント 6 7" xfId="153" xr:uid="{00000000-0005-0000-0000-00003F000000}"/>
    <cellStyle name="20% - アクセント 6 8" xfId="167" xr:uid="{00000000-0005-0000-0000-000040000000}"/>
    <cellStyle name="20% - アクセント 6 9" xfId="181" xr:uid="{00000000-0005-0000-0000-000041000000}"/>
    <cellStyle name="40% - アクセント 1" xfId="19" builtinId="31" customBuiltin="1"/>
    <cellStyle name="40% - アクセント 1 2" xfId="44" xr:uid="{00000000-0005-0000-0000-000043000000}"/>
    <cellStyle name="40% - アクセント 1 2 2" xfId="86" xr:uid="{00000000-0005-0000-0000-000044000000}"/>
    <cellStyle name="40% - アクセント 1 3" xfId="60" xr:uid="{00000000-0005-0000-0000-000045000000}"/>
    <cellStyle name="40% - アクセント 1 3 2" xfId="102" xr:uid="{00000000-0005-0000-0000-000046000000}"/>
    <cellStyle name="40% - アクセント 1 4" xfId="72" xr:uid="{00000000-0005-0000-0000-000047000000}"/>
    <cellStyle name="40% - アクセント 1 5" xfId="116" xr:uid="{00000000-0005-0000-0000-000048000000}"/>
    <cellStyle name="40% - アクセント 1 6" xfId="130" xr:uid="{00000000-0005-0000-0000-000049000000}"/>
    <cellStyle name="40% - アクセント 1 7" xfId="144" xr:uid="{00000000-0005-0000-0000-00004A000000}"/>
    <cellStyle name="40% - アクセント 1 8" xfId="158" xr:uid="{00000000-0005-0000-0000-00004B000000}"/>
    <cellStyle name="40% - アクセント 1 9" xfId="172" xr:uid="{00000000-0005-0000-0000-00004C000000}"/>
    <cellStyle name="40% - アクセント 2" xfId="23" builtinId="35" customBuiltin="1"/>
    <cellStyle name="40% - アクセント 2 2" xfId="46" xr:uid="{00000000-0005-0000-0000-00004E000000}"/>
    <cellStyle name="40% - アクセント 2 2 2" xfId="88" xr:uid="{00000000-0005-0000-0000-00004F000000}"/>
    <cellStyle name="40% - アクセント 2 3" xfId="62" xr:uid="{00000000-0005-0000-0000-000050000000}"/>
    <cellStyle name="40% - アクセント 2 3 2" xfId="104" xr:uid="{00000000-0005-0000-0000-000051000000}"/>
    <cellStyle name="40% - アクセント 2 4" xfId="74" xr:uid="{00000000-0005-0000-0000-000052000000}"/>
    <cellStyle name="40% - アクセント 2 5" xfId="118" xr:uid="{00000000-0005-0000-0000-000053000000}"/>
    <cellStyle name="40% - アクセント 2 6" xfId="132" xr:uid="{00000000-0005-0000-0000-000054000000}"/>
    <cellStyle name="40% - アクセント 2 7" xfId="146" xr:uid="{00000000-0005-0000-0000-000055000000}"/>
    <cellStyle name="40% - アクセント 2 8" xfId="160" xr:uid="{00000000-0005-0000-0000-000056000000}"/>
    <cellStyle name="40% - アクセント 2 9" xfId="174" xr:uid="{00000000-0005-0000-0000-000057000000}"/>
    <cellStyle name="40% - アクセント 3" xfId="27" builtinId="39" customBuiltin="1"/>
    <cellStyle name="40% - アクセント 3 2" xfId="48" xr:uid="{00000000-0005-0000-0000-000059000000}"/>
    <cellStyle name="40% - アクセント 3 2 2" xfId="90" xr:uid="{00000000-0005-0000-0000-00005A000000}"/>
    <cellStyle name="40% - アクセント 3 3" xfId="64" xr:uid="{00000000-0005-0000-0000-00005B000000}"/>
    <cellStyle name="40% - アクセント 3 3 2" xfId="106" xr:uid="{00000000-0005-0000-0000-00005C000000}"/>
    <cellStyle name="40% - アクセント 3 4" xfId="76" xr:uid="{00000000-0005-0000-0000-00005D000000}"/>
    <cellStyle name="40% - アクセント 3 5" xfId="120" xr:uid="{00000000-0005-0000-0000-00005E000000}"/>
    <cellStyle name="40% - アクセント 3 6" xfId="134" xr:uid="{00000000-0005-0000-0000-00005F000000}"/>
    <cellStyle name="40% - アクセント 3 7" xfId="148" xr:uid="{00000000-0005-0000-0000-000060000000}"/>
    <cellStyle name="40% - アクセント 3 8" xfId="162" xr:uid="{00000000-0005-0000-0000-000061000000}"/>
    <cellStyle name="40% - アクセント 3 9" xfId="176" xr:uid="{00000000-0005-0000-0000-000062000000}"/>
    <cellStyle name="40% - アクセント 4" xfId="31" builtinId="43" customBuiltin="1"/>
    <cellStyle name="40% - アクセント 4 2" xfId="50" xr:uid="{00000000-0005-0000-0000-000064000000}"/>
    <cellStyle name="40% - アクセント 4 2 2" xfId="92" xr:uid="{00000000-0005-0000-0000-000065000000}"/>
    <cellStyle name="40% - アクセント 4 3" xfId="66" xr:uid="{00000000-0005-0000-0000-000066000000}"/>
    <cellStyle name="40% - アクセント 4 3 2" xfId="108" xr:uid="{00000000-0005-0000-0000-000067000000}"/>
    <cellStyle name="40% - アクセント 4 4" xfId="78" xr:uid="{00000000-0005-0000-0000-000068000000}"/>
    <cellStyle name="40% - アクセント 4 5" xfId="122" xr:uid="{00000000-0005-0000-0000-000069000000}"/>
    <cellStyle name="40% - アクセント 4 6" xfId="136" xr:uid="{00000000-0005-0000-0000-00006A000000}"/>
    <cellStyle name="40% - アクセント 4 7" xfId="150" xr:uid="{00000000-0005-0000-0000-00006B000000}"/>
    <cellStyle name="40% - アクセント 4 8" xfId="164" xr:uid="{00000000-0005-0000-0000-00006C000000}"/>
    <cellStyle name="40% - アクセント 4 9" xfId="178" xr:uid="{00000000-0005-0000-0000-00006D000000}"/>
    <cellStyle name="40% - アクセント 5" xfId="35" builtinId="47" customBuiltin="1"/>
    <cellStyle name="40% - アクセント 5 2" xfId="52" xr:uid="{00000000-0005-0000-0000-00006F000000}"/>
    <cellStyle name="40% - アクセント 5 2 2" xfId="94" xr:uid="{00000000-0005-0000-0000-000070000000}"/>
    <cellStyle name="40% - アクセント 5 3" xfId="68" xr:uid="{00000000-0005-0000-0000-000071000000}"/>
    <cellStyle name="40% - アクセント 5 3 2" xfId="110" xr:uid="{00000000-0005-0000-0000-000072000000}"/>
    <cellStyle name="40% - アクセント 5 4" xfId="80" xr:uid="{00000000-0005-0000-0000-000073000000}"/>
    <cellStyle name="40% - アクセント 5 5" xfId="124" xr:uid="{00000000-0005-0000-0000-000074000000}"/>
    <cellStyle name="40% - アクセント 5 6" xfId="138" xr:uid="{00000000-0005-0000-0000-000075000000}"/>
    <cellStyle name="40% - アクセント 5 7" xfId="152" xr:uid="{00000000-0005-0000-0000-000076000000}"/>
    <cellStyle name="40% - アクセント 5 8" xfId="166" xr:uid="{00000000-0005-0000-0000-000077000000}"/>
    <cellStyle name="40% - アクセント 5 9" xfId="180" xr:uid="{00000000-0005-0000-0000-000078000000}"/>
    <cellStyle name="40% - アクセント 6" xfId="39" builtinId="51" customBuiltin="1"/>
    <cellStyle name="40% - アクセント 6 2" xfId="54" xr:uid="{00000000-0005-0000-0000-00007A000000}"/>
    <cellStyle name="40% - アクセント 6 2 2" xfId="96" xr:uid="{00000000-0005-0000-0000-00007B000000}"/>
    <cellStyle name="40% - アクセント 6 3" xfId="70" xr:uid="{00000000-0005-0000-0000-00007C000000}"/>
    <cellStyle name="40% - アクセント 6 3 2" xfId="112" xr:uid="{00000000-0005-0000-0000-00007D000000}"/>
    <cellStyle name="40% - アクセント 6 4" xfId="82" xr:uid="{00000000-0005-0000-0000-00007E000000}"/>
    <cellStyle name="40% - アクセント 6 5" xfId="126" xr:uid="{00000000-0005-0000-0000-00007F000000}"/>
    <cellStyle name="40% - アクセント 6 6" xfId="140" xr:uid="{00000000-0005-0000-0000-000080000000}"/>
    <cellStyle name="40% - アクセント 6 7" xfId="154" xr:uid="{00000000-0005-0000-0000-000081000000}"/>
    <cellStyle name="40% - アクセント 6 8" xfId="168" xr:uid="{00000000-0005-0000-0000-000082000000}"/>
    <cellStyle name="40% - アクセント 6 9" xfId="182" xr:uid="{00000000-0005-0000-0000-000083000000}"/>
    <cellStyle name="60% - アクセント 1" xfId="20" builtinId="32" customBuiltin="1"/>
    <cellStyle name="60% - アクセント 2" xfId="24" builtinId="36" customBuiltin="1"/>
    <cellStyle name="60% - アクセント 3" xfId="28" builtinId="40" customBuiltin="1"/>
    <cellStyle name="60% - アクセント 4" xfId="32" builtinId="44" customBuiltin="1"/>
    <cellStyle name="60% - アクセント 5" xfId="36" builtinId="48" customBuiltin="1"/>
    <cellStyle name="60% - アクセント 6" xfId="40" builtinId="52" customBuiltin="1"/>
    <cellStyle name="アクセント 1" xfId="17" builtinId="29" customBuiltin="1"/>
    <cellStyle name="アクセント 2" xfId="21" builtinId="33" customBuiltin="1"/>
    <cellStyle name="アクセント 3" xfId="25" builtinId="37" customBuiltin="1"/>
    <cellStyle name="アクセント 4" xfId="29" builtinId="41" customBuiltin="1"/>
    <cellStyle name="アクセント 5" xfId="33" builtinId="45" customBuiltin="1"/>
    <cellStyle name="アクセント 6" xfId="37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 2" xfId="42" xr:uid="{00000000-0005-0000-0000-000093000000}"/>
    <cellStyle name="メモ 2 2" xfId="56" xr:uid="{00000000-0005-0000-0000-000094000000}"/>
    <cellStyle name="メモ 2 2 2" xfId="98" xr:uid="{00000000-0005-0000-0000-000095000000}"/>
    <cellStyle name="メモ 2 3" xfId="84" xr:uid="{00000000-0005-0000-0000-000096000000}"/>
    <cellStyle name="メモ 3" xfId="58" xr:uid="{00000000-0005-0000-0000-000097000000}"/>
    <cellStyle name="メモ 3 2" xfId="100" xr:uid="{00000000-0005-0000-0000-000098000000}"/>
    <cellStyle name="メモ 4" xfId="114" xr:uid="{00000000-0005-0000-0000-000099000000}"/>
    <cellStyle name="メモ 5" xfId="128" xr:uid="{00000000-0005-0000-0000-00009A000000}"/>
    <cellStyle name="メモ 6" xfId="142" xr:uid="{00000000-0005-0000-0000-00009B000000}"/>
    <cellStyle name="メモ 7" xfId="156" xr:uid="{00000000-0005-0000-0000-00009C000000}"/>
    <cellStyle name="メモ 8" xfId="170" xr:uid="{00000000-0005-0000-0000-00009D000000}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6" builtinId="25" customBuiltin="1"/>
    <cellStyle name="出力" xfId="10" builtinId="21" customBuiltin="1"/>
    <cellStyle name="説明文" xfId="15" builtinId="53" customBuiltin="1"/>
    <cellStyle name="入力" xfId="9" builtinId="20" customBuiltin="1"/>
    <cellStyle name="標準" xfId="0" builtinId="0"/>
    <cellStyle name="標準 10" xfId="184" xr:uid="{00000000-0005-0000-0000-0000AB000000}"/>
    <cellStyle name="標準 2" xfId="41" xr:uid="{00000000-0005-0000-0000-0000AC000000}"/>
    <cellStyle name="標準 2 2" xfId="55" xr:uid="{00000000-0005-0000-0000-0000AD000000}"/>
    <cellStyle name="標準 2 2 2" xfId="97" xr:uid="{00000000-0005-0000-0000-0000AE000000}"/>
    <cellStyle name="標準 2 3" xfId="83" xr:uid="{00000000-0005-0000-0000-0000AF000000}"/>
    <cellStyle name="標準 3" xfId="57" xr:uid="{00000000-0005-0000-0000-0000B0000000}"/>
    <cellStyle name="標準 3 2" xfId="99" xr:uid="{00000000-0005-0000-0000-0000B1000000}"/>
    <cellStyle name="標準 4" xfId="113" xr:uid="{00000000-0005-0000-0000-0000B2000000}"/>
    <cellStyle name="標準 5" xfId="127" xr:uid="{00000000-0005-0000-0000-0000B3000000}"/>
    <cellStyle name="標準 6" xfId="141" xr:uid="{00000000-0005-0000-0000-0000B4000000}"/>
    <cellStyle name="標準 7" xfId="155" xr:uid="{00000000-0005-0000-0000-0000B5000000}"/>
    <cellStyle name="標準 8" xfId="169" xr:uid="{00000000-0005-0000-0000-0000B6000000}"/>
    <cellStyle name="標準 9" xfId="183" xr:uid="{00000000-0005-0000-0000-0000B7000000}"/>
    <cellStyle name="良い" xfId="6" builtinId="26" customBuiltin="1"/>
  </cellStyles>
  <dxfs count="12">
    <dxf>
      <fill>
        <patternFill>
          <bgColor rgb="FFFFFF6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6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66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CCFF"/>
      <color rgb="FFFFFF66"/>
      <color rgb="FFFFFFCC"/>
      <color rgb="FFFF66FF"/>
      <color rgb="FFF8F8F8"/>
      <color rgb="FFEAEAEA"/>
      <color rgb="FFFF3300"/>
      <color rgb="FF66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476250</xdr:colOff>
      <xdr:row>103</xdr:row>
      <xdr:rowOff>76200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E82291F-82B5-4C6F-A0D7-CA54C6AC93AF}"/>
            </a:ext>
          </a:extLst>
        </xdr:cNvPr>
        <xdr:cNvSpPr txBox="1"/>
      </xdr:nvSpPr>
      <xdr:spPr>
        <a:xfrm>
          <a:off x="4191000" y="764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307</xdr:row>
      <xdr:rowOff>76200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FBBC2C4-B54D-4C5D-BA08-AB7F0CA219E6}"/>
            </a:ext>
          </a:extLst>
        </xdr:cNvPr>
        <xdr:cNvSpPr txBox="1"/>
      </xdr:nvSpPr>
      <xdr:spPr>
        <a:xfrm>
          <a:off x="4191000" y="3537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983</xdr:row>
      <xdr:rowOff>76200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384D3D3-4EB8-4F20-A0E0-4D10BF1680AD}"/>
            </a:ext>
          </a:extLst>
        </xdr:cNvPr>
        <xdr:cNvSpPr txBox="1"/>
      </xdr:nvSpPr>
      <xdr:spPr>
        <a:xfrm>
          <a:off x="4191000" y="279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1003</xdr:row>
      <xdr:rowOff>76200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9F0A10C-7624-470C-9F64-9CBE49A5DD6C}"/>
            </a:ext>
          </a:extLst>
        </xdr:cNvPr>
        <xdr:cNvSpPr txBox="1"/>
      </xdr:nvSpPr>
      <xdr:spPr>
        <a:xfrm>
          <a:off x="41910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454"/>
  <sheetViews>
    <sheetView workbookViewId="0">
      <pane xSplit="15" ySplit="4" topLeftCell="P5" activePane="bottomRight" state="frozen"/>
      <selection pane="topRight" activeCell="P1" sqref="P1"/>
      <selection pane="bottomLeft" activeCell="A5" sqref="A5"/>
      <selection pane="bottomRight" activeCell="A5" sqref="A5:L454"/>
    </sheetView>
  </sheetViews>
  <sheetFormatPr defaultColWidth="9" defaultRowHeight="12" x14ac:dyDescent="0.15"/>
  <cols>
    <col min="1" max="1" width="8" style="57" bestFit="1" customWidth="1"/>
    <col min="2" max="2" width="5.375" style="57" bestFit="1" customWidth="1"/>
    <col min="3" max="3" width="6.75" style="57" bestFit="1" customWidth="1"/>
    <col min="4" max="4" width="21" style="57" bestFit="1" customWidth="1"/>
    <col min="5" max="5" width="5.5" style="57" bestFit="1" customWidth="1"/>
    <col min="6" max="6" width="8.125" style="57" bestFit="1" customWidth="1"/>
    <col min="7" max="7" width="19" style="57" bestFit="1" customWidth="1"/>
    <col min="8" max="8" width="4.75" style="57" customWidth="1"/>
    <col min="9" max="9" width="4.75" style="57" bestFit="1" customWidth="1"/>
    <col min="10" max="10" width="7.5" style="57" bestFit="1" customWidth="1"/>
    <col min="11" max="11" width="8.75" style="57" bestFit="1" customWidth="1"/>
    <col min="12" max="12" width="41.25" style="57" bestFit="1" customWidth="1"/>
    <col min="13" max="14" width="41.25" style="57" hidden="1" customWidth="1"/>
    <col min="15" max="15" width="4.875" style="57" bestFit="1" customWidth="1"/>
    <col min="16" max="16" width="5" style="57" customWidth="1"/>
    <col min="17" max="17" width="8.375" style="57" bestFit="1" customWidth="1"/>
    <col min="18" max="18" width="5.875" style="57" bestFit="1" customWidth="1"/>
    <col min="19" max="19" width="6.75" style="57" bestFit="1" customWidth="1"/>
    <col min="20" max="20" width="6.375" style="57" bestFit="1" customWidth="1"/>
    <col min="21" max="21" width="6.5" style="57" bestFit="1" customWidth="1"/>
    <col min="22" max="22" width="6.75" style="57" bestFit="1" customWidth="1"/>
    <col min="23" max="23" width="4.75" style="57" bestFit="1" customWidth="1"/>
    <col min="24" max="24" width="4.75" style="57" customWidth="1"/>
    <col min="25" max="25" width="6.375" style="58" bestFit="1" customWidth="1"/>
    <col min="26" max="26" width="5.875" style="58" bestFit="1" customWidth="1"/>
    <col min="27" max="27" width="8.125" style="58" bestFit="1" customWidth="1"/>
    <col min="28" max="28" width="10" style="58" bestFit="1" customWidth="1"/>
    <col min="29" max="29" width="6.5" style="58" bestFit="1" customWidth="1"/>
    <col min="30" max="30" width="9" style="58"/>
    <col min="31" max="31" width="6.5" style="58" bestFit="1" customWidth="1"/>
    <col min="32" max="32" width="6.5" style="58" customWidth="1"/>
    <col min="33" max="33" width="8" style="58" customWidth="1"/>
    <col min="34" max="37" width="7.625" style="58" customWidth="1"/>
    <col min="38" max="38" width="9" style="58"/>
    <col min="39" max="39" width="27.5" style="57" bestFit="1" customWidth="1"/>
    <col min="40" max="40" width="29.75" style="57" bestFit="1" customWidth="1"/>
    <col min="41" max="41" width="21" style="57" customWidth="1"/>
    <col min="42" max="16384" width="9" style="57"/>
  </cols>
  <sheetData>
    <row r="1" spans="1:41" ht="15" customHeight="1" x14ac:dyDescent="0.15"/>
    <row r="2" spans="1:41" ht="28.5" x14ac:dyDescent="0.1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41" ht="15" customHeight="1" thickBot="1" x14ac:dyDescent="0.2">
      <c r="M3" s="57">
        <v>1</v>
      </c>
      <c r="N3" s="57">
        <v>2</v>
      </c>
      <c r="O3" s="57">
        <v>3</v>
      </c>
      <c r="P3" s="57">
        <v>4</v>
      </c>
      <c r="Q3" s="57">
        <v>5</v>
      </c>
      <c r="R3" s="57">
        <v>6</v>
      </c>
      <c r="S3" s="57">
        <v>7</v>
      </c>
      <c r="T3" s="57">
        <v>8</v>
      </c>
      <c r="U3" s="57">
        <v>9</v>
      </c>
      <c r="V3" s="57">
        <v>10</v>
      </c>
      <c r="W3" s="57">
        <v>11</v>
      </c>
      <c r="X3" s="57">
        <v>12</v>
      </c>
      <c r="Y3" s="57">
        <v>13</v>
      </c>
      <c r="Z3" s="57">
        <v>14</v>
      </c>
      <c r="AA3" s="57">
        <v>15</v>
      </c>
      <c r="AB3" s="57">
        <v>16</v>
      </c>
      <c r="AC3" s="57">
        <v>17</v>
      </c>
      <c r="AD3" s="57">
        <v>18</v>
      </c>
      <c r="AE3" s="57">
        <v>19</v>
      </c>
      <c r="AF3" s="57">
        <v>20</v>
      </c>
      <c r="AG3" s="57">
        <v>21</v>
      </c>
      <c r="AH3" s="57">
        <v>22</v>
      </c>
      <c r="AI3" s="57">
        <v>23</v>
      </c>
      <c r="AJ3" s="57">
        <v>24</v>
      </c>
      <c r="AK3" s="57">
        <v>25</v>
      </c>
    </row>
    <row r="4" spans="1:41" s="68" customFormat="1" ht="33.75" customHeight="1" thickBot="1" x14ac:dyDescent="0.2">
      <c r="A4" s="60" t="s">
        <v>0</v>
      </c>
      <c r="B4" s="61" t="s">
        <v>1</v>
      </c>
      <c r="C4" s="61" t="s">
        <v>2</v>
      </c>
      <c r="D4" s="61" t="s">
        <v>625</v>
      </c>
      <c r="E4" s="61" t="s">
        <v>626</v>
      </c>
      <c r="F4" s="61" t="s">
        <v>3</v>
      </c>
      <c r="G4" s="62" t="s">
        <v>627</v>
      </c>
      <c r="H4" s="61" t="s">
        <v>4</v>
      </c>
      <c r="I4" s="61" t="s">
        <v>5</v>
      </c>
      <c r="J4" s="61" t="s">
        <v>628</v>
      </c>
      <c r="K4" s="61" t="s">
        <v>6</v>
      </c>
      <c r="L4" s="61" t="s">
        <v>629</v>
      </c>
      <c r="M4" s="63" t="s">
        <v>630</v>
      </c>
      <c r="N4" s="63" t="s">
        <v>602</v>
      </c>
      <c r="O4" s="61" t="s">
        <v>7</v>
      </c>
      <c r="P4" s="61" t="s">
        <v>603</v>
      </c>
      <c r="Q4" s="61" t="s">
        <v>604</v>
      </c>
      <c r="R4" s="61" t="s">
        <v>605</v>
      </c>
      <c r="S4" s="61" t="s">
        <v>606</v>
      </c>
      <c r="T4" s="61" t="s">
        <v>607</v>
      </c>
      <c r="U4" s="61" t="s">
        <v>608</v>
      </c>
      <c r="V4" s="61" t="s">
        <v>609</v>
      </c>
      <c r="W4" s="64" t="s">
        <v>610</v>
      </c>
      <c r="X4" s="65" t="s">
        <v>2756</v>
      </c>
      <c r="Y4" s="60" t="s">
        <v>611</v>
      </c>
      <c r="Z4" s="66" t="s">
        <v>612</v>
      </c>
      <c r="AA4" s="61" t="s">
        <v>8</v>
      </c>
      <c r="AB4" s="64" t="s">
        <v>9</v>
      </c>
      <c r="AC4" s="60" t="s">
        <v>613</v>
      </c>
      <c r="AD4" s="61" t="s">
        <v>614</v>
      </c>
      <c r="AE4" s="64" t="s">
        <v>615</v>
      </c>
      <c r="AF4" s="60" t="s">
        <v>616</v>
      </c>
      <c r="AG4" s="61" t="s">
        <v>617</v>
      </c>
      <c r="AH4" s="227" t="s">
        <v>617</v>
      </c>
      <c r="AI4" s="60" t="s">
        <v>616</v>
      </c>
      <c r="AJ4" s="228" t="s">
        <v>617</v>
      </c>
      <c r="AK4" s="227" t="s">
        <v>617</v>
      </c>
      <c r="AL4" s="67" t="s">
        <v>618</v>
      </c>
      <c r="AM4" s="64" t="s">
        <v>619</v>
      </c>
      <c r="AN4" s="64" t="s">
        <v>620</v>
      </c>
      <c r="AO4" s="68" t="s">
        <v>621</v>
      </c>
    </row>
    <row r="5" spans="1:41" ht="15" customHeight="1" x14ac:dyDescent="0.15">
      <c r="A5" s="297">
        <v>333</v>
      </c>
      <c r="B5" s="286">
        <v>271</v>
      </c>
      <c r="C5" s="286">
        <v>380604</v>
      </c>
      <c r="D5" s="286" t="s">
        <v>10</v>
      </c>
      <c r="E5" s="286" t="s">
        <v>11</v>
      </c>
      <c r="F5" s="286" t="s">
        <v>12</v>
      </c>
      <c r="G5" s="286" t="str">
        <f>CONCATENATE(P5,H5,I5,J5,K5)</f>
        <v>3SNCERABKE09</v>
      </c>
      <c r="H5" s="286" t="s">
        <v>1549</v>
      </c>
      <c r="I5" s="286" t="s">
        <v>1550</v>
      </c>
      <c r="J5" s="286" t="s">
        <v>1552</v>
      </c>
      <c r="K5" s="286" t="s">
        <v>1566</v>
      </c>
      <c r="L5" s="286" t="s">
        <v>2035</v>
      </c>
      <c r="M5" s="286" t="str">
        <f>G5&amp;O5&amp;R5</f>
        <v>3SNCERABKE09381037</v>
      </c>
      <c r="N5" s="286" t="str">
        <f>G5&amp;O5&amp;U5</f>
        <v>3SNCERABKE09381030</v>
      </c>
      <c r="O5" s="287">
        <v>38</v>
      </c>
      <c r="P5" s="286">
        <v>3</v>
      </c>
      <c r="Q5" s="286" t="s">
        <v>13</v>
      </c>
      <c r="R5" s="287">
        <v>1037</v>
      </c>
      <c r="S5" s="287">
        <v>8450</v>
      </c>
      <c r="T5" s="287">
        <v>1037</v>
      </c>
      <c r="U5" s="287">
        <v>1030</v>
      </c>
      <c r="V5" s="287">
        <v>8400</v>
      </c>
      <c r="W5" s="288">
        <v>2</v>
      </c>
      <c r="X5" s="289" t="s">
        <v>14</v>
      </c>
      <c r="Y5" s="290" t="s">
        <v>15</v>
      </c>
      <c r="Z5" s="291">
        <v>6</v>
      </c>
      <c r="AA5" s="135" t="s">
        <v>266</v>
      </c>
      <c r="AB5" s="292">
        <v>1450</v>
      </c>
      <c r="AC5" s="290"/>
      <c r="AD5" s="293"/>
      <c r="AE5" s="292"/>
      <c r="AF5" s="290"/>
      <c r="AG5" s="293"/>
      <c r="AH5" s="292"/>
      <c r="AI5" s="290"/>
      <c r="AJ5" s="293"/>
      <c r="AK5" s="292"/>
      <c r="AL5" s="294"/>
      <c r="AM5" s="295"/>
      <c r="AN5" s="295" t="s">
        <v>471</v>
      </c>
      <c r="AO5" s="296" t="str">
        <f>G5&amp;O5</f>
        <v>3SNCERABKE0938</v>
      </c>
    </row>
    <row r="6" spans="1:41" ht="15" customHeight="1" x14ac:dyDescent="0.15">
      <c r="A6" s="80">
        <v>333</v>
      </c>
      <c r="B6" s="89">
        <v>271</v>
      </c>
      <c r="C6" s="89">
        <v>380604</v>
      </c>
      <c r="D6" s="89" t="s">
        <v>10</v>
      </c>
      <c r="E6" s="89" t="s">
        <v>11</v>
      </c>
      <c r="F6" s="89" t="s">
        <v>12</v>
      </c>
      <c r="G6" s="89" t="str">
        <f>CONCATENATE(P6,H6,I6,J6,K6)</f>
        <v>3SYCERABKE09</v>
      </c>
      <c r="H6" s="89" t="s">
        <v>1549</v>
      </c>
      <c r="I6" s="89" t="s">
        <v>2036</v>
      </c>
      <c r="J6" s="89" t="s">
        <v>1552</v>
      </c>
      <c r="K6" s="89" t="s">
        <v>1566</v>
      </c>
      <c r="L6" s="89" t="s">
        <v>2035</v>
      </c>
      <c r="M6" s="89" t="str">
        <f>G6&amp;O6&amp;R6</f>
        <v>3SYCERABKE09381037</v>
      </c>
      <c r="N6" s="89" t="str">
        <f>G6&amp;O6&amp;U6</f>
        <v>3SYCERABKE09381030</v>
      </c>
      <c r="O6" s="90">
        <v>38</v>
      </c>
      <c r="P6" s="89">
        <v>3</v>
      </c>
      <c r="Q6" s="89" t="s">
        <v>13</v>
      </c>
      <c r="R6" s="90">
        <v>1037</v>
      </c>
      <c r="S6" s="90">
        <v>8550</v>
      </c>
      <c r="T6" s="90">
        <v>1037</v>
      </c>
      <c r="U6" s="90">
        <v>1030</v>
      </c>
      <c r="V6" s="90">
        <v>8500</v>
      </c>
      <c r="W6" s="81">
        <v>2</v>
      </c>
      <c r="X6" s="82" t="s">
        <v>14</v>
      </c>
      <c r="Y6" s="83" t="s">
        <v>15</v>
      </c>
      <c r="Z6" s="84">
        <v>6</v>
      </c>
      <c r="AA6" s="85" t="s">
        <v>16</v>
      </c>
      <c r="AB6" s="86">
        <v>1170</v>
      </c>
      <c r="AC6" s="83"/>
      <c r="AD6" s="85"/>
      <c r="AE6" s="86"/>
      <c r="AF6" s="83"/>
      <c r="AG6" s="85"/>
      <c r="AH6" s="86"/>
      <c r="AI6" s="83"/>
      <c r="AJ6" s="85"/>
      <c r="AK6" s="86"/>
      <c r="AL6" s="87"/>
      <c r="AM6" s="88"/>
      <c r="AN6" s="88" t="s">
        <v>471</v>
      </c>
      <c r="AO6" s="230" t="str">
        <f>G6&amp;O6</f>
        <v>3SYCERABKE0938</v>
      </c>
    </row>
    <row r="7" spans="1:41" ht="15" customHeight="1" x14ac:dyDescent="0.15">
      <c r="A7" s="80">
        <v>333</v>
      </c>
      <c r="B7" s="89">
        <v>271</v>
      </c>
      <c r="C7" s="89">
        <v>380604</v>
      </c>
      <c r="D7" s="89" t="s">
        <v>17</v>
      </c>
      <c r="E7" s="89" t="s">
        <v>18</v>
      </c>
      <c r="F7" s="89" t="s">
        <v>12</v>
      </c>
      <c r="G7" s="89" t="str">
        <f t="shared" ref="G7:G98" si="0">CONCATENATE(P7,H7,I7,J7,K7)</f>
        <v>3SNCERABKE09</v>
      </c>
      <c r="H7" s="89" t="s">
        <v>19</v>
      </c>
      <c r="I7" s="89" t="s">
        <v>20</v>
      </c>
      <c r="J7" s="89" t="s">
        <v>21</v>
      </c>
      <c r="K7" s="89" t="s">
        <v>22</v>
      </c>
      <c r="L7" s="89" t="s">
        <v>23</v>
      </c>
      <c r="M7" s="89" t="str">
        <f t="shared" ref="M7:M98" si="1">G7&amp;O7&amp;R7</f>
        <v>3SNCERABKE09381057</v>
      </c>
      <c r="N7" s="89" t="str">
        <f t="shared" ref="N7:N98" si="2">G7&amp;O7&amp;U7</f>
        <v>3SNCERABKE09381050</v>
      </c>
      <c r="O7" s="90">
        <v>38</v>
      </c>
      <c r="P7" s="89">
        <v>3</v>
      </c>
      <c r="Q7" s="89" t="s">
        <v>13</v>
      </c>
      <c r="R7" s="90">
        <v>1057</v>
      </c>
      <c r="S7" s="90">
        <v>8450</v>
      </c>
      <c r="T7" s="90">
        <v>1057</v>
      </c>
      <c r="U7" s="90">
        <v>1050</v>
      </c>
      <c r="V7" s="90">
        <v>8400</v>
      </c>
      <c r="W7" s="81">
        <v>2</v>
      </c>
      <c r="X7" s="82" t="s">
        <v>14</v>
      </c>
      <c r="Y7" s="83" t="s">
        <v>15</v>
      </c>
      <c r="Z7" s="84">
        <v>6</v>
      </c>
      <c r="AA7" s="85" t="s">
        <v>24</v>
      </c>
      <c r="AB7" s="86">
        <v>1450</v>
      </c>
      <c r="AC7" s="83"/>
      <c r="AD7" s="85"/>
      <c r="AE7" s="86"/>
      <c r="AF7" s="83"/>
      <c r="AG7" s="85"/>
      <c r="AH7" s="86"/>
      <c r="AI7" s="83"/>
      <c r="AJ7" s="85"/>
      <c r="AK7" s="86"/>
      <c r="AL7" s="87"/>
      <c r="AM7" s="88"/>
      <c r="AN7" s="88" t="s">
        <v>471</v>
      </c>
      <c r="AO7" s="230" t="str">
        <f t="shared" ref="AO7:AO89" si="3">G7&amp;O7</f>
        <v>3SNCERABKE0938</v>
      </c>
    </row>
    <row r="8" spans="1:41" ht="15" customHeight="1" x14ac:dyDescent="0.15">
      <c r="A8" s="80">
        <v>333</v>
      </c>
      <c r="B8" s="89">
        <v>271</v>
      </c>
      <c r="C8" s="89">
        <v>380604</v>
      </c>
      <c r="D8" s="89" t="s">
        <v>17</v>
      </c>
      <c r="E8" s="89" t="s">
        <v>18</v>
      </c>
      <c r="F8" s="89" t="s">
        <v>12</v>
      </c>
      <c r="G8" s="89" t="str">
        <f t="shared" si="0"/>
        <v>330SYCERABKE09</v>
      </c>
      <c r="H8" s="89" t="s">
        <v>19</v>
      </c>
      <c r="I8" s="89" t="s">
        <v>2036</v>
      </c>
      <c r="J8" s="89" t="s">
        <v>21</v>
      </c>
      <c r="K8" s="89" t="s">
        <v>22</v>
      </c>
      <c r="L8" s="89" t="s">
        <v>23</v>
      </c>
      <c r="M8" s="89" t="str">
        <f t="shared" si="1"/>
        <v>330SYCERABKE09381037</v>
      </c>
      <c r="N8" s="89" t="str">
        <f>G8&amp;O8&amp;U8</f>
        <v>330SYCERABKE09381030</v>
      </c>
      <c r="O8" s="90">
        <v>38</v>
      </c>
      <c r="P8" s="91">
        <v>330</v>
      </c>
      <c r="Q8" s="89" t="s">
        <v>13</v>
      </c>
      <c r="R8" s="90">
        <v>1037</v>
      </c>
      <c r="S8" s="90">
        <v>12800</v>
      </c>
      <c r="T8" s="90">
        <v>1037</v>
      </c>
      <c r="U8" s="90">
        <v>1030</v>
      </c>
      <c r="V8" s="90">
        <v>8400</v>
      </c>
      <c r="W8" s="81">
        <v>2</v>
      </c>
      <c r="X8" s="82" t="s">
        <v>14</v>
      </c>
      <c r="Y8" s="83" t="s">
        <v>25</v>
      </c>
      <c r="Z8" s="84">
        <v>6</v>
      </c>
      <c r="AA8" s="85" t="s">
        <v>16</v>
      </c>
      <c r="AB8" s="86">
        <v>1170</v>
      </c>
      <c r="AC8" s="83">
        <v>6</v>
      </c>
      <c r="AD8" s="85" t="s">
        <v>16</v>
      </c>
      <c r="AE8" s="86">
        <v>1170</v>
      </c>
      <c r="AF8" s="83"/>
      <c r="AG8" s="85"/>
      <c r="AH8" s="86"/>
      <c r="AI8" s="83"/>
      <c r="AJ8" s="85"/>
      <c r="AK8" s="86"/>
      <c r="AL8" s="87"/>
      <c r="AM8" s="88"/>
      <c r="AN8" s="88" t="s">
        <v>471</v>
      </c>
      <c r="AO8" s="230" t="str">
        <f t="shared" si="3"/>
        <v>330SYCERABKE0938</v>
      </c>
    </row>
    <row r="9" spans="1:41" ht="15" customHeight="1" x14ac:dyDescent="0.15">
      <c r="A9" s="80">
        <v>333</v>
      </c>
      <c r="B9" s="89">
        <v>271</v>
      </c>
      <c r="C9" s="89">
        <v>380604</v>
      </c>
      <c r="D9" s="89" t="s">
        <v>17</v>
      </c>
      <c r="E9" s="89" t="s">
        <v>18</v>
      </c>
      <c r="F9" s="89" t="s">
        <v>12</v>
      </c>
      <c r="G9" s="89" t="str">
        <f t="shared" si="0"/>
        <v>330SYCERABKE09</v>
      </c>
      <c r="H9" s="89" t="s">
        <v>19</v>
      </c>
      <c r="I9" s="89" t="s">
        <v>2036</v>
      </c>
      <c r="J9" s="89" t="s">
        <v>21</v>
      </c>
      <c r="K9" s="89" t="s">
        <v>22</v>
      </c>
      <c r="L9" s="89" t="s">
        <v>23</v>
      </c>
      <c r="M9" s="89" t="str">
        <f t="shared" si="1"/>
        <v>330SYCERABKE09381037</v>
      </c>
      <c r="N9" s="89" t="str">
        <f t="shared" si="2"/>
        <v>330SYCERABKE09381030</v>
      </c>
      <c r="O9" s="90">
        <v>38</v>
      </c>
      <c r="P9" s="89">
        <v>330</v>
      </c>
      <c r="Q9" s="89" t="s">
        <v>13</v>
      </c>
      <c r="R9" s="90">
        <v>1037</v>
      </c>
      <c r="S9" s="90">
        <v>12800</v>
      </c>
      <c r="T9" s="90">
        <v>1037</v>
      </c>
      <c r="U9" s="90">
        <v>1030</v>
      </c>
      <c r="V9" s="90">
        <v>4200</v>
      </c>
      <c r="W9" s="81">
        <v>2</v>
      </c>
      <c r="X9" s="82" t="s">
        <v>14</v>
      </c>
      <c r="Y9" s="83" t="s">
        <v>25</v>
      </c>
      <c r="Z9" s="84">
        <v>6</v>
      </c>
      <c r="AA9" s="85" t="s">
        <v>16</v>
      </c>
      <c r="AB9" s="86">
        <v>1170</v>
      </c>
      <c r="AC9" s="83">
        <v>6</v>
      </c>
      <c r="AD9" s="85" t="s">
        <v>16</v>
      </c>
      <c r="AE9" s="86">
        <v>1170</v>
      </c>
      <c r="AF9" s="83"/>
      <c r="AG9" s="85"/>
      <c r="AH9" s="86"/>
      <c r="AI9" s="83"/>
      <c r="AJ9" s="85"/>
      <c r="AK9" s="86"/>
      <c r="AL9" s="87"/>
      <c r="AM9" s="88"/>
      <c r="AN9" s="88" t="s">
        <v>471</v>
      </c>
      <c r="AO9" s="230" t="str">
        <f t="shared" si="3"/>
        <v>330SYCERABKE0938</v>
      </c>
    </row>
    <row r="10" spans="1:41" ht="15" customHeight="1" x14ac:dyDescent="0.15">
      <c r="A10" s="80">
        <v>333</v>
      </c>
      <c r="B10" s="89">
        <v>271</v>
      </c>
      <c r="C10" s="89">
        <v>380604</v>
      </c>
      <c r="D10" s="89" t="s">
        <v>17</v>
      </c>
      <c r="E10" s="89" t="s">
        <v>18</v>
      </c>
      <c r="F10" s="89" t="s">
        <v>26</v>
      </c>
      <c r="G10" s="89" t="str">
        <f t="shared" si="0"/>
        <v>331SNCERABKE09</v>
      </c>
      <c r="H10" s="89" t="s">
        <v>19</v>
      </c>
      <c r="I10" s="89" t="s">
        <v>20</v>
      </c>
      <c r="J10" s="89" t="s">
        <v>21</v>
      </c>
      <c r="K10" s="89" t="s">
        <v>22</v>
      </c>
      <c r="L10" s="89" t="s">
        <v>23</v>
      </c>
      <c r="M10" s="89" t="str">
        <f t="shared" si="1"/>
        <v>331SNCERABKE09381337</v>
      </c>
      <c r="N10" s="89" t="str">
        <f t="shared" si="2"/>
        <v>331SNCERABKE09381330</v>
      </c>
      <c r="O10" s="90">
        <v>38</v>
      </c>
      <c r="P10" s="89">
        <v>331</v>
      </c>
      <c r="Q10" s="89" t="s">
        <v>13</v>
      </c>
      <c r="R10" s="90">
        <v>1337</v>
      </c>
      <c r="S10" s="90">
        <v>12800</v>
      </c>
      <c r="T10" s="90">
        <v>1337</v>
      </c>
      <c r="U10" s="90">
        <v>1330</v>
      </c>
      <c r="V10" s="90">
        <v>6000</v>
      </c>
      <c r="W10" s="81">
        <v>2</v>
      </c>
      <c r="X10" s="82" t="s">
        <v>14</v>
      </c>
      <c r="Y10" s="83" t="s">
        <v>27</v>
      </c>
      <c r="Z10" s="84">
        <v>6</v>
      </c>
      <c r="AA10" s="85" t="s">
        <v>24</v>
      </c>
      <c r="AB10" s="86">
        <v>1450</v>
      </c>
      <c r="AC10" s="83"/>
      <c r="AD10" s="85"/>
      <c r="AE10" s="86"/>
      <c r="AF10" s="83"/>
      <c r="AG10" s="85"/>
      <c r="AH10" s="86"/>
      <c r="AI10" s="83"/>
      <c r="AJ10" s="85"/>
      <c r="AK10" s="86"/>
      <c r="AL10" s="87"/>
      <c r="AM10" s="88"/>
      <c r="AN10" s="88" t="s">
        <v>471</v>
      </c>
      <c r="AO10" s="230" t="str">
        <f t="shared" si="3"/>
        <v>331SNCERABKE0938</v>
      </c>
    </row>
    <row r="11" spans="1:41" ht="15" customHeight="1" x14ac:dyDescent="0.15">
      <c r="A11" s="80">
        <v>333</v>
      </c>
      <c r="B11" s="89">
        <v>271</v>
      </c>
      <c r="C11" s="89">
        <v>380604</v>
      </c>
      <c r="D11" s="89" t="s">
        <v>17</v>
      </c>
      <c r="E11" s="89" t="s">
        <v>18</v>
      </c>
      <c r="F11" s="89" t="s">
        <v>26</v>
      </c>
      <c r="G11" s="89" t="str">
        <f t="shared" si="0"/>
        <v>331SNCERABKE09</v>
      </c>
      <c r="H11" s="89" t="s">
        <v>19</v>
      </c>
      <c r="I11" s="89" t="s">
        <v>20</v>
      </c>
      <c r="J11" s="89" t="s">
        <v>21</v>
      </c>
      <c r="K11" s="89" t="s">
        <v>22</v>
      </c>
      <c r="L11" s="89" t="s">
        <v>23</v>
      </c>
      <c r="M11" s="89" t="str">
        <f t="shared" si="1"/>
        <v>331SNCERABKE09381335</v>
      </c>
      <c r="N11" s="89" t="str">
        <f t="shared" si="2"/>
        <v>331SNCERABKE09381330</v>
      </c>
      <c r="O11" s="90">
        <v>38</v>
      </c>
      <c r="P11" s="89">
        <v>331</v>
      </c>
      <c r="Q11" s="89" t="s">
        <v>13</v>
      </c>
      <c r="R11" s="90">
        <v>1335</v>
      </c>
      <c r="S11" s="90">
        <v>12200</v>
      </c>
      <c r="T11" s="90">
        <v>1335</v>
      </c>
      <c r="U11" s="90">
        <v>1330</v>
      </c>
      <c r="V11" s="90">
        <v>6000</v>
      </c>
      <c r="W11" s="81">
        <v>2</v>
      </c>
      <c r="X11" s="82" t="s">
        <v>14</v>
      </c>
      <c r="Y11" s="83" t="s">
        <v>27</v>
      </c>
      <c r="Z11" s="84">
        <v>6</v>
      </c>
      <c r="AA11" s="85" t="s">
        <v>24</v>
      </c>
      <c r="AB11" s="86">
        <v>1450</v>
      </c>
      <c r="AC11" s="83"/>
      <c r="AD11" s="85"/>
      <c r="AE11" s="86"/>
      <c r="AF11" s="83"/>
      <c r="AG11" s="85"/>
      <c r="AH11" s="86"/>
      <c r="AI11" s="83"/>
      <c r="AJ11" s="85"/>
      <c r="AK11" s="86"/>
      <c r="AL11" s="87"/>
      <c r="AM11" s="88"/>
      <c r="AN11" s="88" t="s">
        <v>471</v>
      </c>
      <c r="AO11" s="230" t="str">
        <f t="shared" si="3"/>
        <v>331SNCERABKE0938</v>
      </c>
    </row>
    <row r="12" spans="1:41" ht="15" customHeight="1" x14ac:dyDescent="0.15">
      <c r="A12" s="80">
        <v>333</v>
      </c>
      <c r="B12" s="89">
        <v>271</v>
      </c>
      <c r="C12" s="89">
        <v>380604</v>
      </c>
      <c r="D12" s="89" t="s">
        <v>17</v>
      </c>
      <c r="E12" s="89" t="s">
        <v>18</v>
      </c>
      <c r="F12" s="89" t="s">
        <v>12</v>
      </c>
      <c r="G12" s="89" t="str">
        <f t="shared" si="0"/>
        <v>331SNCERABKE09</v>
      </c>
      <c r="H12" s="89" t="s">
        <v>19</v>
      </c>
      <c r="I12" s="89" t="s">
        <v>20</v>
      </c>
      <c r="J12" s="89" t="s">
        <v>21</v>
      </c>
      <c r="K12" s="89" t="s">
        <v>22</v>
      </c>
      <c r="L12" s="89" t="s">
        <v>23</v>
      </c>
      <c r="M12" s="89" t="str">
        <f t="shared" si="1"/>
        <v>331SNCERABKE09381367</v>
      </c>
      <c r="N12" s="89" t="str">
        <f t="shared" si="2"/>
        <v>331SNCERABKE09381360</v>
      </c>
      <c r="O12" s="90">
        <v>38</v>
      </c>
      <c r="P12" s="89">
        <v>331</v>
      </c>
      <c r="Q12" s="89" t="s">
        <v>13</v>
      </c>
      <c r="R12" s="90">
        <v>1367</v>
      </c>
      <c r="S12" s="90">
        <v>12800</v>
      </c>
      <c r="T12" s="90">
        <v>1367</v>
      </c>
      <c r="U12" s="90">
        <v>1360</v>
      </c>
      <c r="V12" s="90">
        <v>6000</v>
      </c>
      <c r="W12" s="81">
        <v>2</v>
      </c>
      <c r="X12" s="82" t="s">
        <v>14</v>
      </c>
      <c r="Y12" s="83" t="s">
        <v>27</v>
      </c>
      <c r="Z12" s="84">
        <v>6</v>
      </c>
      <c r="AA12" s="85" t="s">
        <v>24</v>
      </c>
      <c r="AB12" s="86">
        <v>1600</v>
      </c>
      <c r="AC12" s="83"/>
      <c r="AD12" s="85"/>
      <c r="AE12" s="86"/>
      <c r="AF12" s="83"/>
      <c r="AG12" s="85"/>
      <c r="AH12" s="86"/>
      <c r="AI12" s="83"/>
      <c r="AJ12" s="85"/>
      <c r="AK12" s="86"/>
      <c r="AL12" s="87"/>
      <c r="AM12" s="88"/>
      <c r="AN12" s="88" t="s">
        <v>471</v>
      </c>
      <c r="AO12" s="230" t="str">
        <f t="shared" si="3"/>
        <v>331SNCERABKE0938</v>
      </c>
    </row>
    <row r="13" spans="1:41" ht="15" customHeight="1" x14ac:dyDescent="0.15">
      <c r="A13" s="80">
        <v>333</v>
      </c>
      <c r="B13" s="89">
        <v>271</v>
      </c>
      <c r="C13" s="89">
        <v>380604</v>
      </c>
      <c r="D13" s="89" t="s">
        <v>17</v>
      </c>
      <c r="E13" s="89" t="s">
        <v>18</v>
      </c>
      <c r="F13" s="89" t="s">
        <v>12</v>
      </c>
      <c r="G13" s="89" t="str">
        <f t="shared" si="0"/>
        <v>331SNCERABKE09</v>
      </c>
      <c r="H13" s="89" t="s">
        <v>19</v>
      </c>
      <c r="I13" s="89" t="s">
        <v>20</v>
      </c>
      <c r="J13" s="89" t="s">
        <v>21</v>
      </c>
      <c r="K13" s="89" t="s">
        <v>22</v>
      </c>
      <c r="L13" s="89" t="s">
        <v>23</v>
      </c>
      <c r="M13" s="89" t="str">
        <f t="shared" si="1"/>
        <v>331SNCERABKE09381367</v>
      </c>
      <c r="N13" s="89" t="str">
        <f t="shared" si="2"/>
        <v>331SNCERABKE09381360</v>
      </c>
      <c r="O13" s="90">
        <v>38</v>
      </c>
      <c r="P13" s="89">
        <v>331</v>
      </c>
      <c r="Q13" s="89" t="s">
        <v>13</v>
      </c>
      <c r="R13" s="90">
        <v>1367</v>
      </c>
      <c r="S13" s="90">
        <v>12200</v>
      </c>
      <c r="T13" s="90">
        <v>1367</v>
      </c>
      <c r="U13" s="90">
        <v>1360</v>
      </c>
      <c r="V13" s="90">
        <v>6000</v>
      </c>
      <c r="W13" s="81">
        <v>2</v>
      </c>
      <c r="X13" s="82" t="s">
        <v>14</v>
      </c>
      <c r="Y13" s="83" t="s">
        <v>27</v>
      </c>
      <c r="Z13" s="84">
        <v>6</v>
      </c>
      <c r="AA13" s="85" t="s">
        <v>24</v>
      </c>
      <c r="AB13" s="86">
        <v>1600</v>
      </c>
      <c r="AC13" s="83"/>
      <c r="AD13" s="85"/>
      <c r="AE13" s="86"/>
      <c r="AF13" s="83"/>
      <c r="AG13" s="85"/>
      <c r="AH13" s="86"/>
      <c r="AI13" s="83"/>
      <c r="AJ13" s="85"/>
      <c r="AK13" s="86"/>
      <c r="AL13" s="87"/>
      <c r="AM13" s="88"/>
      <c r="AN13" s="88" t="s">
        <v>471</v>
      </c>
      <c r="AO13" s="230" t="str">
        <f t="shared" si="3"/>
        <v>331SNCERABKE0938</v>
      </c>
    </row>
    <row r="14" spans="1:41" ht="15" customHeight="1" x14ac:dyDescent="0.15">
      <c r="A14" s="80">
        <v>333</v>
      </c>
      <c r="B14" s="89">
        <v>271</v>
      </c>
      <c r="C14" s="89">
        <v>380604</v>
      </c>
      <c r="D14" s="89" t="s">
        <v>17</v>
      </c>
      <c r="E14" s="89" t="s">
        <v>18</v>
      </c>
      <c r="F14" s="89" t="s">
        <v>12</v>
      </c>
      <c r="G14" s="89" t="str">
        <f t="shared" si="0"/>
        <v>331SYCERABKERXPT</v>
      </c>
      <c r="H14" s="89" t="s">
        <v>19</v>
      </c>
      <c r="I14" s="89" t="s">
        <v>28</v>
      </c>
      <c r="J14" s="89" t="s">
        <v>21</v>
      </c>
      <c r="K14" s="89" t="s">
        <v>29</v>
      </c>
      <c r="L14" s="89" t="s">
        <v>30</v>
      </c>
      <c r="M14" s="89" t="str">
        <f t="shared" si="1"/>
        <v>331SYCERABKERXPT381035</v>
      </c>
      <c r="N14" s="89" t="str">
        <f t="shared" si="2"/>
        <v>331SYCERABKERXPT381030</v>
      </c>
      <c r="O14" s="90">
        <v>38</v>
      </c>
      <c r="P14" s="89">
        <v>331</v>
      </c>
      <c r="Q14" s="89" t="s">
        <v>31</v>
      </c>
      <c r="R14" s="90">
        <v>1035</v>
      </c>
      <c r="S14" s="90">
        <v>8500</v>
      </c>
      <c r="T14" s="90">
        <v>1030</v>
      </c>
      <c r="U14" s="90">
        <v>1030</v>
      </c>
      <c r="V14" s="90">
        <v>8400</v>
      </c>
      <c r="W14" s="81">
        <v>2</v>
      </c>
      <c r="X14" s="82" t="s">
        <v>14</v>
      </c>
      <c r="Y14" s="83" t="s">
        <v>15</v>
      </c>
      <c r="Z14" s="84">
        <v>6</v>
      </c>
      <c r="AA14" s="85" t="s">
        <v>16</v>
      </c>
      <c r="AB14" s="86">
        <v>1170</v>
      </c>
      <c r="AC14" s="83">
        <v>6</v>
      </c>
      <c r="AD14" s="85" t="s">
        <v>16</v>
      </c>
      <c r="AE14" s="86">
        <v>1170</v>
      </c>
      <c r="AF14" s="83"/>
      <c r="AG14" s="85"/>
      <c r="AH14" s="86"/>
      <c r="AI14" s="83"/>
      <c r="AJ14" s="85"/>
      <c r="AK14" s="86"/>
      <c r="AL14" s="87"/>
      <c r="AM14" s="88"/>
      <c r="AN14" s="88" t="s">
        <v>471</v>
      </c>
      <c r="AO14" s="230" t="str">
        <f t="shared" si="3"/>
        <v>331SYCERABKERXPT38</v>
      </c>
    </row>
    <row r="15" spans="1:41" ht="15" customHeight="1" x14ac:dyDescent="0.15">
      <c r="A15" s="80">
        <v>333</v>
      </c>
      <c r="B15" s="89">
        <v>271</v>
      </c>
      <c r="C15" s="89">
        <v>380604</v>
      </c>
      <c r="D15" s="89" t="s">
        <v>17</v>
      </c>
      <c r="E15" s="89" t="s">
        <v>18</v>
      </c>
      <c r="F15" s="89" t="s">
        <v>12</v>
      </c>
      <c r="G15" s="89" t="str">
        <f t="shared" si="0"/>
        <v>331SNCERABKERXPT</v>
      </c>
      <c r="H15" s="89" t="s">
        <v>19</v>
      </c>
      <c r="I15" s="89" t="s">
        <v>1550</v>
      </c>
      <c r="J15" s="89" t="s">
        <v>21</v>
      </c>
      <c r="K15" s="89" t="s">
        <v>29</v>
      </c>
      <c r="L15" s="89" t="s">
        <v>30</v>
      </c>
      <c r="M15" s="89" t="str">
        <f t="shared" si="1"/>
        <v>331SNCERABKERXPT381035</v>
      </c>
      <c r="N15" s="89" t="str">
        <f t="shared" si="2"/>
        <v>331SNCERABKERXPT381030</v>
      </c>
      <c r="O15" s="90">
        <v>38</v>
      </c>
      <c r="P15" s="89">
        <v>331</v>
      </c>
      <c r="Q15" s="89" t="s">
        <v>31</v>
      </c>
      <c r="R15" s="90">
        <v>1035</v>
      </c>
      <c r="S15" s="90">
        <v>8500</v>
      </c>
      <c r="T15" s="90">
        <v>1030</v>
      </c>
      <c r="U15" s="90">
        <v>1030</v>
      </c>
      <c r="V15" s="90">
        <v>8400</v>
      </c>
      <c r="W15" s="81">
        <v>2</v>
      </c>
      <c r="X15" s="82" t="s">
        <v>14</v>
      </c>
      <c r="Y15" s="83" t="s">
        <v>15</v>
      </c>
      <c r="Z15" s="83">
        <v>6</v>
      </c>
      <c r="AA15" s="85" t="s">
        <v>24</v>
      </c>
      <c r="AB15" s="86">
        <v>1450</v>
      </c>
      <c r="AC15" s="83">
        <v>6</v>
      </c>
      <c r="AD15" s="85" t="s">
        <v>24</v>
      </c>
      <c r="AE15" s="86">
        <v>1450</v>
      </c>
      <c r="AF15" s="83"/>
      <c r="AG15" s="85"/>
      <c r="AH15" s="86"/>
      <c r="AI15" s="83"/>
      <c r="AJ15" s="85"/>
      <c r="AK15" s="86"/>
      <c r="AL15" s="87"/>
      <c r="AM15" s="88"/>
      <c r="AN15" s="88" t="s">
        <v>471</v>
      </c>
      <c r="AO15" s="230" t="str">
        <f t="shared" si="3"/>
        <v>331SNCERABKERXPT38</v>
      </c>
    </row>
    <row r="16" spans="1:41" ht="15" customHeight="1" x14ac:dyDescent="0.15">
      <c r="A16" s="80">
        <v>333</v>
      </c>
      <c r="B16" s="89">
        <v>271</v>
      </c>
      <c r="C16" s="89">
        <v>380604</v>
      </c>
      <c r="D16" s="89" t="s">
        <v>17</v>
      </c>
      <c r="E16" s="89" t="s">
        <v>18</v>
      </c>
      <c r="F16" s="89" t="s">
        <v>12</v>
      </c>
      <c r="G16" s="89" t="str">
        <f t="shared" si="0"/>
        <v>331SNCERABKERXPT</v>
      </c>
      <c r="H16" s="89" t="s">
        <v>19</v>
      </c>
      <c r="I16" s="89" t="s">
        <v>20</v>
      </c>
      <c r="J16" s="89" t="s">
        <v>21</v>
      </c>
      <c r="K16" s="89" t="s">
        <v>29</v>
      </c>
      <c r="L16" s="89" t="s">
        <v>30</v>
      </c>
      <c r="M16" s="89" t="str">
        <f t="shared" si="1"/>
        <v>331SNCERABKERXPT381335</v>
      </c>
      <c r="N16" s="89" t="str">
        <f t="shared" si="2"/>
        <v>331SNCERABKERXPT381330</v>
      </c>
      <c r="O16" s="90">
        <v>38</v>
      </c>
      <c r="P16" s="89">
        <v>331</v>
      </c>
      <c r="Q16" s="89" t="s">
        <v>31</v>
      </c>
      <c r="R16" s="90">
        <v>1335</v>
      </c>
      <c r="S16" s="90">
        <v>12200</v>
      </c>
      <c r="T16" s="90">
        <v>1330</v>
      </c>
      <c r="U16" s="90">
        <v>1330</v>
      </c>
      <c r="V16" s="90">
        <v>6000</v>
      </c>
      <c r="W16" s="81">
        <v>2</v>
      </c>
      <c r="X16" s="82" t="s">
        <v>14</v>
      </c>
      <c r="Y16" s="83" t="s">
        <v>27</v>
      </c>
      <c r="Z16" s="84">
        <v>6</v>
      </c>
      <c r="AA16" s="85" t="s">
        <v>24</v>
      </c>
      <c r="AB16" s="86">
        <v>1450</v>
      </c>
      <c r="AC16" s="83">
        <v>6</v>
      </c>
      <c r="AD16" s="85" t="s">
        <v>24</v>
      </c>
      <c r="AE16" s="86">
        <v>1450</v>
      </c>
      <c r="AF16" s="83"/>
      <c r="AG16" s="85"/>
      <c r="AH16" s="86"/>
      <c r="AI16" s="83"/>
      <c r="AJ16" s="85"/>
      <c r="AK16" s="86"/>
      <c r="AL16" s="87"/>
      <c r="AM16" s="88"/>
      <c r="AN16" s="88" t="s">
        <v>471</v>
      </c>
      <c r="AO16" s="230" t="str">
        <f t="shared" si="3"/>
        <v>331SNCERABKERXPT38</v>
      </c>
    </row>
    <row r="17" spans="1:41" ht="15" customHeight="1" x14ac:dyDescent="0.15">
      <c r="A17" s="80">
        <v>333</v>
      </c>
      <c r="B17" s="89">
        <v>271</v>
      </c>
      <c r="C17" s="89">
        <v>380604</v>
      </c>
      <c r="D17" s="89" t="s">
        <v>17</v>
      </c>
      <c r="E17" s="89" t="s">
        <v>18</v>
      </c>
      <c r="F17" s="89" t="s">
        <v>12</v>
      </c>
      <c r="G17" s="89" t="str">
        <f t="shared" si="0"/>
        <v>331SNCERABKERXPT</v>
      </c>
      <c r="H17" s="89" t="s">
        <v>19</v>
      </c>
      <c r="I17" s="89" t="s">
        <v>20</v>
      </c>
      <c r="J17" s="89" t="s">
        <v>21</v>
      </c>
      <c r="K17" s="89" t="s">
        <v>29</v>
      </c>
      <c r="L17" s="89" t="s">
        <v>30</v>
      </c>
      <c r="M17" s="89" t="str">
        <f t="shared" si="1"/>
        <v>331SNCERABKERXPT381333</v>
      </c>
      <c r="N17" s="89" t="str">
        <f t="shared" si="2"/>
        <v>331SNCERABKERXPT381330</v>
      </c>
      <c r="O17" s="90">
        <v>38</v>
      </c>
      <c r="P17" s="89">
        <v>331</v>
      </c>
      <c r="Q17" s="89" t="s">
        <v>31</v>
      </c>
      <c r="R17" s="90">
        <v>1333</v>
      </c>
      <c r="S17" s="90">
        <v>12200</v>
      </c>
      <c r="T17" s="90">
        <v>1330</v>
      </c>
      <c r="U17" s="90">
        <v>1330</v>
      </c>
      <c r="V17" s="90">
        <v>6000</v>
      </c>
      <c r="W17" s="81">
        <v>2</v>
      </c>
      <c r="X17" s="82" t="s">
        <v>14</v>
      </c>
      <c r="Y17" s="83" t="s">
        <v>27</v>
      </c>
      <c r="Z17" s="84">
        <v>6</v>
      </c>
      <c r="AA17" s="85" t="s">
        <v>24</v>
      </c>
      <c r="AB17" s="86">
        <v>1450</v>
      </c>
      <c r="AC17" s="83">
        <v>6</v>
      </c>
      <c r="AD17" s="85" t="s">
        <v>24</v>
      </c>
      <c r="AE17" s="86">
        <v>1450</v>
      </c>
      <c r="AF17" s="83"/>
      <c r="AG17" s="85"/>
      <c r="AH17" s="86"/>
      <c r="AI17" s="83"/>
      <c r="AJ17" s="85"/>
      <c r="AK17" s="86"/>
      <c r="AL17" s="87"/>
      <c r="AM17" s="88"/>
      <c r="AN17" s="88" t="s">
        <v>471</v>
      </c>
      <c r="AO17" s="230" t="str">
        <f t="shared" si="3"/>
        <v>331SNCERABKERXPT38</v>
      </c>
    </row>
    <row r="18" spans="1:41" ht="15" customHeight="1" x14ac:dyDescent="0.15">
      <c r="A18" s="80">
        <v>333</v>
      </c>
      <c r="B18" s="89">
        <v>271</v>
      </c>
      <c r="C18" s="89">
        <v>380604</v>
      </c>
      <c r="D18" s="89" t="s">
        <v>17</v>
      </c>
      <c r="E18" s="89" t="s">
        <v>18</v>
      </c>
      <c r="F18" s="89" t="s">
        <v>26</v>
      </c>
      <c r="G18" s="89" t="str">
        <f t="shared" si="0"/>
        <v>3SNCERABKERXPT</v>
      </c>
      <c r="H18" s="89" t="s">
        <v>19</v>
      </c>
      <c r="I18" s="89" t="s">
        <v>20</v>
      </c>
      <c r="J18" s="89" t="s">
        <v>21</v>
      </c>
      <c r="K18" s="89" t="s">
        <v>29</v>
      </c>
      <c r="L18" s="89" t="s">
        <v>30</v>
      </c>
      <c r="M18" s="89" t="str">
        <f t="shared" si="1"/>
        <v>3SNCERABKERXPT381335</v>
      </c>
      <c r="N18" s="89" t="str">
        <f t="shared" si="2"/>
        <v>3SNCERABKERXPT381330</v>
      </c>
      <c r="O18" s="90">
        <v>38</v>
      </c>
      <c r="P18" s="89">
        <v>3</v>
      </c>
      <c r="Q18" s="89" t="s">
        <v>31</v>
      </c>
      <c r="R18" s="90">
        <v>1335</v>
      </c>
      <c r="S18" s="90">
        <v>12200</v>
      </c>
      <c r="T18" s="90">
        <v>1330</v>
      </c>
      <c r="U18" s="90">
        <v>1330</v>
      </c>
      <c r="V18" s="90">
        <v>6000</v>
      </c>
      <c r="W18" s="81">
        <v>2</v>
      </c>
      <c r="X18" s="82" t="s">
        <v>14</v>
      </c>
      <c r="Y18" s="83" t="s">
        <v>27</v>
      </c>
      <c r="Z18" s="84">
        <v>6</v>
      </c>
      <c r="AA18" s="85" t="s">
        <v>24</v>
      </c>
      <c r="AB18" s="86">
        <v>1450</v>
      </c>
      <c r="AC18" s="83">
        <v>6</v>
      </c>
      <c r="AD18" s="85" t="s">
        <v>24</v>
      </c>
      <c r="AE18" s="86">
        <v>1450</v>
      </c>
      <c r="AF18" s="83"/>
      <c r="AG18" s="85"/>
      <c r="AH18" s="86"/>
      <c r="AI18" s="83"/>
      <c r="AJ18" s="85"/>
      <c r="AK18" s="86"/>
      <c r="AL18" s="87"/>
      <c r="AM18" s="88"/>
      <c r="AN18" s="88" t="s">
        <v>471</v>
      </c>
      <c r="AO18" s="230" t="str">
        <f t="shared" si="3"/>
        <v>3SNCERABKERXPT38</v>
      </c>
    </row>
    <row r="19" spans="1:41" ht="15" customHeight="1" x14ac:dyDescent="0.15">
      <c r="A19" s="80">
        <v>333</v>
      </c>
      <c r="B19" s="89">
        <v>271</v>
      </c>
      <c r="C19" s="89">
        <v>35541</v>
      </c>
      <c r="D19" s="89" t="s">
        <v>32</v>
      </c>
      <c r="E19" s="89" t="s">
        <v>18</v>
      </c>
      <c r="F19" s="89" t="s">
        <v>12</v>
      </c>
      <c r="G19" s="89" t="str">
        <f t="shared" si="0"/>
        <v>331SNCERABKERXT</v>
      </c>
      <c r="H19" s="89" t="s">
        <v>19</v>
      </c>
      <c r="I19" s="89" t="s">
        <v>20</v>
      </c>
      <c r="J19" s="89" t="s">
        <v>21</v>
      </c>
      <c r="K19" s="89" t="s">
        <v>33</v>
      </c>
      <c r="L19" s="89" t="s">
        <v>30</v>
      </c>
      <c r="M19" s="89" t="str">
        <f t="shared" si="1"/>
        <v>331SNCERABKERXT251337</v>
      </c>
      <c r="N19" s="89" t="str">
        <f t="shared" si="2"/>
        <v>331SNCERABKERXT251330</v>
      </c>
      <c r="O19" s="90">
        <v>25</v>
      </c>
      <c r="P19" s="89">
        <v>331</v>
      </c>
      <c r="Q19" s="89" t="s">
        <v>34</v>
      </c>
      <c r="R19" s="90">
        <v>1337</v>
      </c>
      <c r="S19" s="90">
        <v>12300</v>
      </c>
      <c r="T19" s="90">
        <v>1330</v>
      </c>
      <c r="U19" s="90">
        <v>1330</v>
      </c>
      <c r="V19" s="90">
        <v>6000</v>
      </c>
      <c r="W19" s="81">
        <v>2</v>
      </c>
      <c r="X19" s="82" t="s">
        <v>14</v>
      </c>
      <c r="Y19" s="83" t="s">
        <v>295</v>
      </c>
      <c r="Z19" s="84">
        <v>6</v>
      </c>
      <c r="AA19" s="85" t="s">
        <v>24</v>
      </c>
      <c r="AB19" s="86">
        <v>1450</v>
      </c>
      <c r="AC19" s="83">
        <v>6</v>
      </c>
      <c r="AD19" s="85" t="s">
        <v>24</v>
      </c>
      <c r="AE19" s="86">
        <v>1450</v>
      </c>
      <c r="AF19" s="83"/>
      <c r="AG19" s="85"/>
      <c r="AH19" s="86"/>
      <c r="AI19" s="83"/>
      <c r="AJ19" s="85"/>
      <c r="AK19" s="86"/>
      <c r="AL19" s="87"/>
      <c r="AM19" s="88"/>
      <c r="AN19" s="88" t="s">
        <v>471</v>
      </c>
      <c r="AO19" s="230" t="str">
        <f t="shared" si="3"/>
        <v>331SNCERABKERXT25</v>
      </c>
    </row>
    <row r="20" spans="1:41" ht="15" customHeight="1" x14ac:dyDescent="0.15">
      <c r="A20" s="80">
        <v>333</v>
      </c>
      <c r="B20" s="89">
        <v>271</v>
      </c>
      <c r="C20" s="89">
        <v>35541</v>
      </c>
      <c r="D20" s="89" t="s">
        <v>32</v>
      </c>
      <c r="E20" s="89" t="s">
        <v>18</v>
      </c>
      <c r="F20" s="89" t="s">
        <v>12</v>
      </c>
      <c r="G20" s="89" t="str">
        <f t="shared" si="0"/>
        <v>331SNCERABKERXT</v>
      </c>
      <c r="H20" s="89" t="s">
        <v>19</v>
      </c>
      <c r="I20" s="89" t="s">
        <v>20</v>
      </c>
      <c r="J20" s="89" t="s">
        <v>21</v>
      </c>
      <c r="K20" s="89" t="s">
        <v>33</v>
      </c>
      <c r="L20" s="89" t="s">
        <v>30</v>
      </c>
      <c r="M20" s="89" t="str">
        <f t="shared" si="1"/>
        <v>331SNCERABKERXT381335</v>
      </c>
      <c r="N20" s="89" t="str">
        <f t="shared" si="2"/>
        <v>331SNCERABKERXT381330</v>
      </c>
      <c r="O20" s="90">
        <v>38</v>
      </c>
      <c r="P20" s="89">
        <v>331</v>
      </c>
      <c r="Q20" s="89" t="s">
        <v>34</v>
      </c>
      <c r="R20" s="90">
        <v>1335</v>
      </c>
      <c r="S20" s="90">
        <v>12200</v>
      </c>
      <c r="T20" s="90">
        <v>1330</v>
      </c>
      <c r="U20" s="90">
        <v>1330</v>
      </c>
      <c r="V20" s="90">
        <v>6000</v>
      </c>
      <c r="W20" s="81">
        <v>2</v>
      </c>
      <c r="X20" s="82" t="s">
        <v>14</v>
      </c>
      <c r="Y20" s="83" t="s">
        <v>295</v>
      </c>
      <c r="Z20" s="84">
        <v>6</v>
      </c>
      <c r="AA20" s="85" t="s">
        <v>24</v>
      </c>
      <c r="AB20" s="86">
        <v>1450</v>
      </c>
      <c r="AC20" s="83">
        <v>6</v>
      </c>
      <c r="AD20" s="85" t="s">
        <v>24</v>
      </c>
      <c r="AE20" s="86">
        <v>1450</v>
      </c>
      <c r="AF20" s="83"/>
      <c r="AG20" s="85"/>
      <c r="AH20" s="86"/>
      <c r="AI20" s="83"/>
      <c r="AJ20" s="85"/>
      <c r="AK20" s="86"/>
      <c r="AL20" s="87"/>
      <c r="AM20" s="88"/>
      <c r="AN20" s="88" t="s">
        <v>471</v>
      </c>
      <c r="AO20" s="230" t="str">
        <f t="shared" si="3"/>
        <v>331SNCERABKERXT38</v>
      </c>
    </row>
    <row r="21" spans="1:41" ht="15" customHeight="1" x14ac:dyDescent="0.15">
      <c r="A21" s="80">
        <v>333</v>
      </c>
      <c r="B21" s="89">
        <v>271</v>
      </c>
      <c r="C21" s="89">
        <v>35541</v>
      </c>
      <c r="D21" s="89" t="s">
        <v>32</v>
      </c>
      <c r="E21" s="89" t="s">
        <v>18</v>
      </c>
      <c r="F21" s="89" t="s">
        <v>12</v>
      </c>
      <c r="G21" s="89" t="str">
        <f t="shared" si="0"/>
        <v>331SNCERABKERXT</v>
      </c>
      <c r="H21" s="89" t="s">
        <v>19</v>
      </c>
      <c r="I21" s="89" t="s">
        <v>20</v>
      </c>
      <c r="J21" s="89" t="s">
        <v>21</v>
      </c>
      <c r="K21" s="89" t="s">
        <v>33</v>
      </c>
      <c r="L21" s="89" t="s">
        <v>2037</v>
      </c>
      <c r="M21" s="89" t="str">
        <f t="shared" si="1"/>
        <v>331SNCERABKERXT381585</v>
      </c>
      <c r="N21" s="89" t="str">
        <f t="shared" si="2"/>
        <v>331SNCERABKERXT381580</v>
      </c>
      <c r="O21" s="90">
        <v>38</v>
      </c>
      <c r="P21" s="89">
        <v>331</v>
      </c>
      <c r="Q21" s="89" t="s">
        <v>34</v>
      </c>
      <c r="R21" s="90">
        <v>1585</v>
      </c>
      <c r="S21" s="90">
        <v>12200</v>
      </c>
      <c r="T21" s="90">
        <v>1580</v>
      </c>
      <c r="U21" s="90">
        <v>1580</v>
      </c>
      <c r="V21" s="90">
        <v>6000</v>
      </c>
      <c r="W21" s="81">
        <v>2</v>
      </c>
      <c r="X21" s="82" t="s">
        <v>14</v>
      </c>
      <c r="Y21" s="83" t="s">
        <v>295</v>
      </c>
      <c r="Z21" s="84">
        <v>6</v>
      </c>
      <c r="AA21" s="85" t="s">
        <v>24</v>
      </c>
      <c r="AB21" s="86">
        <v>1700</v>
      </c>
      <c r="AC21" s="83">
        <v>6</v>
      </c>
      <c r="AD21" s="85" t="s">
        <v>24</v>
      </c>
      <c r="AE21" s="86">
        <v>1700</v>
      </c>
      <c r="AF21" s="83"/>
      <c r="AG21" s="85"/>
      <c r="AH21" s="86"/>
      <c r="AI21" s="83"/>
      <c r="AJ21" s="85"/>
      <c r="AK21" s="86"/>
      <c r="AL21" s="87"/>
      <c r="AM21" s="88"/>
      <c r="AN21" s="88" t="s">
        <v>471</v>
      </c>
      <c r="AO21" s="230" t="str">
        <f t="shared" si="3"/>
        <v>331SNCERABKERXT38</v>
      </c>
    </row>
    <row r="22" spans="1:41" ht="15" customHeight="1" x14ac:dyDescent="0.15">
      <c r="A22" s="80">
        <v>333</v>
      </c>
      <c r="B22" s="89">
        <v>271</v>
      </c>
      <c r="C22" s="89">
        <v>30961</v>
      </c>
      <c r="D22" s="89" t="s">
        <v>35</v>
      </c>
      <c r="E22" s="89" t="s">
        <v>18</v>
      </c>
      <c r="F22" s="89" t="s">
        <v>12</v>
      </c>
      <c r="G22" s="89" t="str">
        <f t="shared" si="0"/>
        <v>3SNCERABKU</v>
      </c>
      <c r="H22" s="89" t="s">
        <v>19</v>
      </c>
      <c r="I22" s="89" t="s">
        <v>20</v>
      </c>
      <c r="J22" s="89" t="s">
        <v>21</v>
      </c>
      <c r="K22" s="89" t="s">
        <v>36</v>
      </c>
      <c r="L22" s="89" t="s">
        <v>2038</v>
      </c>
      <c r="M22" s="89" t="str">
        <f t="shared" si="1"/>
        <v>3SNCERABKU25895</v>
      </c>
      <c r="N22" s="89" t="str">
        <f t="shared" si="2"/>
        <v>3SNCERABKU25890</v>
      </c>
      <c r="O22" s="90">
        <v>25</v>
      </c>
      <c r="P22" s="89">
        <v>3</v>
      </c>
      <c r="Q22" s="89" t="s">
        <v>19</v>
      </c>
      <c r="R22" s="90">
        <v>895</v>
      </c>
      <c r="S22" s="90">
        <v>12400</v>
      </c>
      <c r="T22" s="90">
        <v>890</v>
      </c>
      <c r="U22" s="90">
        <v>890</v>
      </c>
      <c r="V22" s="90">
        <v>3800</v>
      </c>
      <c r="W22" s="81">
        <v>2</v>
      </c>
      <c r="X22" s="82" t="s">
        <v>14</v>
      </c>
      <c r="Y22" s="83" t="s">
        <v>295</v>
      </c>
      <c r="Z22" s="84">
        <v>6</v>
      </c>
      <c r="AA22" s="85" t="s">
        <v>24</v>
      </c>
      <c r="AB22" s="86" t="s">
        <v>38</v>
      </c>
      <c r="AC22" s="83">
        <v>3</v>
      </c>
      <c r="AD22" s="85" t="s">
        <v>39</v>
      </c>
      <c r="AE22" s="86">
        <v>898</v>
      </c>
      <c r="AF22" s="83"/>
      <c r="AG22" s="85"/>
      <c r="AH22" s="86"/>
      <c r="AI22" s="83"/>
      <c r="AJ22" s="85"/>
      <c r="AK22" s="86"/>
      <c r="AL22" s="87"/>
      <c r="AM22" s="88"/>
      <c r="AN22" s="88" t="s">
        <v>471</v>
      </c>
      <c r="AO22" s="230" t="str">
        <f t="shared" si="3"/>
        <v>3SNCERABKU25</v>
      </c>
    </row>
    <row r="23" spans="1:41" ht="15" customHeight="1" x14ac:dyDescent="0.15">
      <c r="A23" s="80">
        <v>333</v>
      </c>
      <c r="B23" s="89">
        <v>273</v>
      </c>
      <c r="C23" s="89">
        <v>23652</v>
      </c>
      <c r="D23" s="89" t="s">
        <v>40</v>
      </c>
      <c r="E23" s="89" t="s">
        <v>41</v>
      </c>
      <c r="F23" s="89" t="s">
        <v>12</v>
      </c>
      <c r="G23" s="89" t="str">
        <f t="shared" si="0"/>
        <v>3SNCERABKUK</v>
      </c>
      <c r="H23" s="89" t="s">
        <v>19</v>
      </c>
      <c r="I23" s="89" t="s">
        <v>20</v>
      </c>
      <c r="J23" s="89" t="s">
        <v>21</v>
      </c>
      <c r="K23" s="89" t="s">
        <v>42</v>
      </c>
      <c r="L23" s="89" t="s">
        <v>43</v>
      </c>
      <c r="M23" s="89" t="str">
        <f t="shared" si="1"/>
        <v>3SNCERABKUK251045</v>
      </c>
      <c r="N23" s="89" t="str">
        <f t="shared" si="2"/>
        <v>3SNCERABKUK251040</v>
      </c>
      <c r="O23" s="90">
        <v>25</v>
      </c>
      <c r="P23" s="89">
        <v>3</v>
      </c>
      <c r="Q23" s="89" t="s">
        <v>19</v>
      </c>
      <c r="R23" s="90">
        <v>1045</v>
      </c>
      <c r="S23" s="90">
        <v>12400</v>
      </c>
      <c r="T23" s="90">
        <v>1045</v>
      </c>
      <c r="U23" s="90">
        <v>1040</v>
      </c>
      <c r="V23" s="90">
        <v>6000</v>
      </c>
      <c r="W23" s="81">
        <v>2</v>
      </c>
      <c r="X23" s="82" t="s">
        <v>14</v>
      </c>
      <c r="Y23" s="83" t="s">
        <v>27</v>
      </c>
      <c r="Z23" s="84">
        <v>6</v>
      </c>
      <c r="AA23" s="85" t="s">
        <v>24</v>
      </c>
      <c r="AB23" s="86">
        <v>1170</v>
      </c>
      <c r="AC23" s="83"/>
      <c r="AD23" s="85"/>
      <c r="AE23" s="86"/>
      <c r="AF23" s="83"/>
      <c r="AG23" s="85"/>
      <c r="AH23" s="86"/>
      <c r="AI23" s="83"/>
      <c r="AJ23" s="85"/>
      <c r="AK23" s="86"/>
      <c r="AL23" s="87"/>
      <c r="AM23" s="88"/>
      <c r="AN23" s="88" t="s">
        <v>471</v>
      </c>
      <c r="AO23" s="230" t="str">
        <f t="shared" si="3"/>
        <v>3SNCERABKUK25</v>
      </c>
    </row>
    <row r="24" spans="1:41" ht="15" customHeight="1" x14ac:dyDescent="0.15">
      <c r="A24" s="80">
        <v>333</v>
      </c>
      <c r="B24" s="89">
        <v>273</v>
      </c>
      <c r="C24" s="89">
        <v>23652</v>
      </c>
      <c r="D24" s="89" t="s">
        <v>40</v>
      </c>
      <c r="E24" s="89" t="s">
        <v>41</v>
      </c>
      <c r="F24" s="89" t="s">
        <v>12</v>
      </c>
      <c r="G24" s="89" t="str">
        <f t="shared" si="0"/>
        <v>3SNCERABKUK</v>
      </c>
      <c r="H24" s="89" t="s">
        <v>19</v>
      </c>
      <c r="I24" s="89" t="s">
        <v>20</v>
      </c>
      <c r="J24" s="89" t="s">
        <v>21</v>
      </c>
      <c r="K24" s="89" t="s">
        <v>42</v>
      </c>
      <c r="L24" s="89" t="s">
        <v>43</v>
      </c>
      <c r="M24" s="89" t="str">
        <f t="shared" si="1"/>
        <v>3SNCERABKUK251085</v>
      </c>
      <c r="N24" s="89" t="str">
        <f t="shared" si="2"/>
        <v>3SNCERABKUK251080</v>
      </c>
      <c r="O24" s="90">
        <v>25</v>
      </c>
      <c r="P24" s="89">
        <v>3</v>
      </c>
      <c r="Q24" s="89" t="s">
        <v>19</v>
      </c>
      <c r="R24" s="90">
        <v>1085</v>
      </c>
      <c r="S24" s="90">
        <v>12400</v>
      </c>
      <c r="T24" s="90">
        <v>1085</v>
      </c>
      <c r="U24" s="90">
        <v>1080</v>
      </c>
      <c r="V24" s="90">
        <v>6000</v>
      </c>
      <c r="W24" s="81">
        <v>2</v>
      </c>
      <c r="X24" s="82" t="s">
        <v>14</v>
      </c>
      <c r="Y24" s="83" t="s">
        <v>27</v>
      </c>
      <c r="Z24" s="84">
        <v>6</v>
      </c>
      <c r="AA24" s="85" t="s">
        <v>24</v>
      </c>
      <c r="AB24" s="86">
        <v>1170</v>
      </c>
      <c r="AC24" s="83"/>
      <c r="AD24" s="85"/>
      <c r="AE24" s="86"/>
      <c r="AF24" s="83"/>
      <c r="AG24" s="85"/>
      <c r="AH24" s="86"/>
      <c r="AI24" s="83"/>
      <c r="AJ24" s="85"/>
      <c r="AK24" s="86"/>
      <c r="AL24" s="87"/>
      <c r="AM24" s="88"/>
      <c r="AN24" s="88" t="s">
        <v>471</v>
      </c>
      <c r="AO24" s="230" t="str">
        <f t="shared" si="3"/>
        <v>3SNCERABKUK25</v>
      </c>
    </row>
    <row r="25" spans="1:41" ht="15" customHeight="1" x14ac:dyDescent="0.15">
      <c r="A25" s="80">
        <v>333</v>
      </c>
      <c r="B25" s="89">
        <v>272</v>
      </c>
      <c r="C25" s="89">
        <v>89711</v>
      </c>
      <c r="D25" s="89" t="s">
        <v>44</v>
      </c>
      <c r="E25" s="89" t="s">
        <v>45</v>
      </c>
      <c r="F25" s="89" t="s">
        <v>46</v>
      </c>
      <c r="G25" s="89" t="str">
        <f t="shared" si="0"/>
        <v>3SNCERABX8ARX</v>
      </c>
      <c r="H25" s="89" t="s">
        <v>19</v>
      </c>
      <c r="I25" s="89" t="s">
        <v>20</v>
      </c>
      <c r="J25" s="89" t="s">
        <v>21</v>
      </c>
      <c r="K25" s="89" t="s">
        <v>47</v>
      </c>
      <c r="L25" s="89" t="s">
        <v>48</v>
      </c>
      <c r="M25" s="89" t="str">
        <f t="shared" si="1"/>
        <v>3SNCERABX8ARX251520</v>
      </c>
      <c r="N25" s="89" t="str">
        <f t="shared" si="2"/>
        <v>3SNCERABX8ARX25740</v>
      </c>
      <c r="O25" s="90">
        <v>25</v>
      </c>
      <c r="P25" s="89">
        <v>3</v>
      </c>
      <c r="Q25" s="89" t="s">
        <v>31</v>
      </c>
      <c r="R25" s="90">
        <v>1520</v>
      </c>
      <c r="S25" s="90">
        <v>13000</v>
      </c>
      <c r="T25" s="90">
        <v>740</v>
      </c>
      <c r="U25" s="90">
        <v>740</v>
      </c>
      <c r="V25" s="90">
        <v>2100</v>
      </c>
      <c r="W25" s="81">
        <v>1</v>
      </c>
      <c r="X25" s="82" t="s">
        <v>14</v>
      </c>
      <c r="Y25" s="83" t="s">
        <v>295</v>
      </c>
      <c r="Z25" s="84">
        <v>6</v>
      </c>
      <c r="AA25" s="85" t="s">
        <v>24</v>
      </c>
      <c r="AB25" s="86">
        <v>1700</v>
      </c>
      <c r="AC25" s="83">
        <v>3</v>
      </c>
      <c r="AD25" s="85" t="s">
        <v>39</v>
      </c>
      <c r="AE25" s="86">
        <v>750</v>
      </c>
      <c r="AF25" s="83"/>
      <c r="AG25" s="85"/>
      <c r="AH25" s="86"/>
      <c r="AI25" s="83"/>
      <c r="AJ25" s="85"/>
      <c r="AK25" s="86"/>
      <c r="AL25" s="87">
        <v>14</v>
      </c>
      <c r="AM25" s="88" t="s">
        <v>49</v>
      </c>
      <c r="AN25" s="88" t="s">
        <v>472</v>
      </c>
      <c r="AO25" s="230" t="str">
        <f t="shared" si="3"/>
        <v>3SNCERABX8ARX25</v>
      </c>
    </row>
    <row r="26" spans="1:41" ht="15" customHeight="1" x14ac:dyDescent="0.15">
      <c r="A26" s="80">
        <v>333</v>
      </c>
      <c r="B26" s="89">
        <v>272</v>
      </c>
      <c r="C26" s="89">
        <v>7485</v>
      </c>
      <c r="D26" s="89" t="s">
        <v>50</v>
      </c>
      <c r="E26" s="89" t="s">
        <v>45</v>
      </c>
      <c r="F26" s="89"/>
      <c r="G26" s="89" t="str">
        <f t="shared" si="0"/>
        <v>3SNCERABX8ARX</v>
      </c>
      <c r="H26" s="89" t="s">
        <v>19</v>
      </c>
      <c r="I26" s="89" t="s">
        <v>20</v>
      </c>
      <c r="J26" s="89" t="s">
        <v>21</v>
      </c>
      <c r="K26" s="89" t="s">
        <v>47</v>
      </c>
      <c r="L26" s="89" t="s">
        <v>48</v>
      </c>
      <c r="M26" s="89" t="str">
        <f t="shared" si="1"/>
        <v>3SNCERABX8ARX381135</v>
      </c>
      <c r="N26" s="89" t="str">
        <f t="shared" si="2"/>
        <v>3SNCERABX8ARX38535</v>
      </c>
      <c r="O26" s="90">
        <v>38</v>
      </c>
      <c r="P26" s="89">
        <v>3</v>
      </c>
      <c r="Q26" s="89" t="s">
        <v>31</v>
      </c>
      <c r="R26" s="90">
        <v>1135</v>
      </c>
      <c r="S26" s="90">
        <v>12200</v>
      </c>
      <c r="T26" s="90">
        <v>535</v>
      </c>
      <c r="U26" s="90">
        <v>535</v>
      </c>
      <c r="V26" s="90">
        <v>2000</v>
      </c>
      <c r="W26" s="81">
        <v>2</v>
      </c>
      <c r="X26" s="82" t="s">
        <v>14</v>
      </c>
      <c r="Y26" s="83" t="s">
        <v>295</v>
      </c>
      <c r="Z26" s="84">
        <v>6</v>
      </c>
      <c r="AA26" s="85" t="s">
        <v>24</v>
      </c>
      <c r="AB26" s="86">
        <v>1450</v>
      </c>
      <c r="AC26" s="83">
        <v>3</v>
      </c>
      <c r="AD26" s="85" t="s">
        <v>51</v>
      </c>
      <c r="AE26" s="86">
        <v>570</v>
      </c>
      <c r="AF26" s="83"/>
      <c r="AG26" s="85"/>
      <c r="AH26" s="86"/>
      <c r="AI26" s="83"/>
      <c r="AJ26" s="85"/>
      <c r="AK26" s="86"/>
      <c r="AL26" s="87">
        <v>6</v>
      </c>
      <c r="AM26" s="88" t="s">
        <v>49</v>
      </c>
      <c r="AN26" s="88" t="s">
        <v>472</v>
      </c>
      <c r="AO26" s="230" t="str">
        <f t="shared" si="3"/>
        <v>3SNCERABX8ARX38</v>
      </c>
    </row>
    <row r="27" spans="1:41" ht="15" customHeight="1" x14ac:dyDescent="0.15">
      <c r="A27" s="80">
        <v>333</v>
      </c>
      <c r="B27" s="89">
        <v>272</v>
      </c>
      <c r="C27" s="89">
        <v>7485</v>
      </c>
      <c r="D27" s="89" t="s">
        <v>50</v>
      </c>
      <c r="E27" s="89" t="s">
        <v>45</v>
      </c>
      <c r="F27" s="89"/>
      <c r="G27" s="89" t="str">
        <f t="shared" si="0"/>
        <v>331SNCERABX8ARX</v>
      </c>
      <c r="H27" s="89" t="s">
        <v>19</v>
      </c>
      <c r="I27" s="89" t="s">
        <v>20</v>
      </c>
      <c r="J27" s="89" t="s">
        <v>21</v>
      </c>
      <c r="K27" s="89" t="s">
        <v>47</v>
      </c>
      <c r="L27" s="89" t="s">
        <v>48</v>
      </c>
      <c r="M27" s="89" t="str">
        <f t="shared" si="1"/>
        <v>331SNCERABX8ARX381135</v>
      </c>
      <c r="N27" s="89" t="str">
        <f t="shared" si="2"/>
        <v>331SNCERABX8ARX38535</v>
      </c>
      <c r="O27" s="90">
        <v>38</v>
      </c>
      <c r="P27" s="89">
        <v>331</v>
      </c>
      <c r="Q27" s="89" t="s">
        <v>31</v>
      </c>
      <c r="R27" s="90">
        <v>1135</v>
      </c>
      <c r="S27" s="90">
        <v>12200</v>
      </c>
      <c r="T27" s="90">
        <v>535</v>
      </c>
      <c r="U27" s="90">
        <v>535</v>
      </c>
      <c r="V27" s="90">
        <v>2000</v>
      </c>
      <c r="W27" s="81">
        <v>2</v>
      </c>
      <c r="X27" s="82" t="s">
        <v>14</v>
      </c>
      <c r="Y27" s="83" t="s">
        <v>295</v>
      </c>
      <c r="Z27" s="84">
        <v>6</v>
      </c>
      <c r="AA27" s="85" t="s">
        <v>24</v>
      </c>
      <c r="AB27" s="86">
        <v>1450</v>
      </c>
      <c r="AC27" s="83">
        <v>3</v>
      </c>
      <c r="AD27" s="85" t="s">
        <v>51</v>
      </c>
      <c r="AE27" s="86">
        <v>570</v>
      </c>
      <c r="AF27" s="83"/>
      <c r="AG27" s="85"/>
      <c r="AH27" s="86"/>
      <c r="AI27" s="83"/>
      <c r="AJ27" s="85"/>
      <c r="AK27" s="86"/>
      <c r="AL27" s="87">
        <v>6</v>
      </c>
      <c r="AM27" s="88" t="s">
        <v>49</v>
      </c>
      <c r="AN27" s="88" t="s">
        <v>472</v>
      </c>
      <c r="AO27" s="230" t="str">
        <f t="shared" si="3"/>
        <v>331SNCERABX8ARX38</v>
      </c>
    </row>
    <row r="28" spans="1:41" ht="15" customHeight="1" x14ac:dyDescent="0.15">
      <c r="A28" s="80">
        <v>333</v>
      </c>
      <c r="B28" s="89">
        <v>271</v>
      </c>
      <c r="C28" s="89">
        <v>380604</v>
      </c>
      <c r="D28" s="89" t="s">
        <v>17</v>
      </c>
      <c r="E28" s="89" t="s">
        <v>18</v>
      </c>
      <c r="F28" s="89" t="s">
        <v>12</v>
      </c>
      <c r="G28" s="89" t="str">
        <f t="shared" si="0"/>
        <v>331SNCERABX8ARXA</v>
      </c>
      <c r="H28" s="89" t="s">
        <v>19</v>
      </c>
      <c r="I28" s="89" t="s">
        <v>20</v>
      </c>
      <c r="J28" s="89" t="s">
        <v>21</v>
      </c>
      <c r="K28" s="89" t="s">
        <v>52</v>
      </c>
      <c r="L28" s="89" t="s">
        <v>48</v>
      </c>
      <c r="M28" s="89" t="str">
        <f t="shared" si="1"/>
        <v>331SNCERABX8ARXA381335</v>
      </c>
      <c r="N28" s="89" t="str">
        <f t="shared" si="2"/>
        <v>331SNCERABX8ARXA381330</v>
      </c>
      <c r="O28" s="90">
        <v>38</v>
      </c>
      <c r="P28" s="89">
        <v>331</v>
      </c>
      <c r="Q28" s="89" t="s">
        <v>31</v>
      </c>
      <c r="R28" s="90">
        <v>1335</v>
      </c>
      <c r="S28" s="90">
        <v>12200</v>
      </c>
      <c r="T28" s="90">
        <v>1330</v>
      </c>
      <c r="U28" s="90">
        <v>1330</v>
      </c>
      <c r="V28" s="90">
        <v>6000</v>
      </c>
      <c r="W28" s="81">
        <v>2</v>
      </c>
      <c r="X28" s="82" t="s">
        <v>14</v>
      </c>
      <c r="Y28" s="83" t="s">
        <v>27</v>
      </c>
      <c r="Z28" s="84">
        <v>6</v>
      </c>
      <c r="AA28" s="85" t="s">
        <v>24</v>
      </c>
      <c r="AB28" s="86">
        <v>1450</v>
      </c>
      <c r="AC28" s="83">
        <v>6</v>
      </c>
      <c r="AD28" s="85" t="s">
        <v>24</v>
      </c>
      <c r="AE28" s="86">
        <v>1450</v>
      </c>
      <c r="AF28" s="83"/>
      <c r="AG28" s="85"/>
      <c r="AH28" s="86"/>
      <c r="AI28" s="83"/>
      <c r="AJ28" s="85"/>
      <c r="AK28" s="86"/>
      <c r="AL28" s="87">
        <v>6</v>
      </c>
      <c r="AM28" s="88"/>
      <c r="AN28" s="88" t="s">
        <v>472</v>
      </c>
      <c r="AO28" s="230" t="str">
        <f t="shared" si="3"/>
        <v>331SNCERABX8ARXA38</v>
      </c>
    </row>
    <row r="29" spans="1:41" ht="15" customHeight="1" x14ac:dyDescent="0.15">
      <c r="A29" s="80">
        <v>333</v>
      </c>
      <c r="B29" s="89">
        <v>271</v>
      </c>
      <c r="C29" s="89">
        <v>380604</v>
      </c>
      <c r="D29" s="89" t="s">
        <v>17</v>
      </c>
      <c r="E29" s="89" t="s">
        <v>18</v>
      </c>
      <c r="F29" s="89" t="s">
        <v>12</v>
      </c>
      <c r="G29" s="89" t="str">
        <f t="shared" si="0"/>
        <v>331SNCERABX8ARXA</v>
      </c>
      <c r="H29" s="89" t="s">
        <v>19</v>
      </c>
      <c r="I29" s="89" t="s">
        <v>20</v>
      </c>
      <c r="J29" s="89" t="s">
        <v>21</v>
      </c>
      <c r="K29" s="89" t="s">
        <v>52</v>
      </c>
      <c r="L29" s="89" t="s">
        <v>48</v>
      </c>
      <c r="M29" s="89" t="str">
        <f t="shared" si="1"/>
        <v>331SNCERABX8ARXA381333</v>
      </c>
      <c r="N29" s="89" t="str">
        <f t="shared" si="2"/>
        <v>331SNCERABX8ARXA381330</v>
      </c>
      <c r="O29" s="90">
        <v>38</v>
      </c>
      <c r="P29" s="89">
        <v>331</v>
      </c>
      <c r="Q29" s="89" t="s">
        <v>31</v>
      </c>
      <c r="R29" s="90">
        <v>1333</v>
      </c>
      <c r="S29" s="90">
        <v>12200</v>
      </c>
      <c r="T29" s="90">
        <v>1330</v>
      </c>
      <c r="U29" s="90">
        <v>1330</v>
      </c>
      <c r="V29" s="90">
        <v>6000</v>
      </c>
      <c r="W29" s="81">
        <v>2</v>
      </c>
      <c r="X29" s="82" t="s">
        <v>14</v>
      </c>
      <c r="Y29" s="83" t="s">
        <v>27</v>
      </c>
      <c r="Z29" s="84">
        <v>6</v>
      </c>
      <c r="AA29" s="85" t="s">
        <v>24</v>
      </c>
      <c r="AB29" s="86">
        <v>1450</v>
      </c>
      <c r="AC29" s="83">
        <v>6</v>
      </c>
      <c r="AD29" s="85" t="s">
        <v>24</v>
      </c>
      <c r="AE29" s="86">
        <v>1450</v>
      </c>
      <c r="AF29" s="83"/>
      <c r="AG29" s="85"/>
      <c r="AH29" s="86"/>
      <c r="AI29" s="83"/>
      <c r="AJ29" s="85"/>
      <c r="AK29" s="86"/>
      <c r="AL29" s="87">
        <v>6</v>
      </c>
      <c r="AM29" s="88"/>
      <c r="AN29" s="88" t="s">
        <v>472</v>
      </c>
      <c r="AO29" s="230" t="str">
        <f t="shared" si="3"/>
        <v>331SNCERABX8ARXA38</v>
      </c>
    </row>
    <row r="30" spans="1:41" ht="15" customHeight="1" x14ac:dyDescent="0.15">
      <c r="A30" s="80">
        <v>333</v>
      </c>
      <c r="B30" s="89">
        <v>271</v>
      </c>
      <c r="C30" s="89">
        <v>380604</v>
      </c>
      <c r="D30" s="89" t="s">
        <v>17</v>
      </c>
      <c r="E30" s="89" t="s">
        <v>18</v>
      </c>
      <c r="F30" s="89" t="s">
        <v>12</v>
      </c>
      <c r="G30" s="89" t="str">
        <f t="shared" si="0"/>
        <v>3303SNCERABX8ARXA</v>
      </c>
      <c r="H30" s="89" t="s">
        <v>19</v>
      </c>
      <c r="I30" s="89" t="s">
        <v>20</v>
      </c>
      <c r="J30" s="89" t="s">
        <v>21</v>
      </c>
      <c r="K30" s="89" t="s">
        <v>52</v>
      </c>
      <c r="L30" s="89" t="s">
        <v>48</v>
      </c>
      <c r="M30" s="89" t="str">
        <f t="shared" si="1"/>
        <v>3303SNCERABX8ARXA381335</v>
      </c>
      <c r="N30" s="89" t="str">
        <f t="shared" si="2"/>
        <v>3303SNCERABX8ARXA381330</v>
      </c>
      <c r="O30" s="90">
        <v>38</v>
      </c>
      <c r="P30" s="89">
        <v>3303</v>
      </c>
      <c r="Q30" s="89" t="s">
        <v>31</v>
      </c>
      <c r="R30" s="90">
        <v>1335</v>
      </c>
      <c r="S30" s="90">
        <v>12200</v>
      </c>
      <c r="T30" s="90">
        <v>1330</v>
      </c>
      <c r="U30" s="90">
        <v>1330</v>
      </c>
      <c r="V30" s="90">
        <v>6000</v>
      </c>
      <c r="W30" s="81">
        <v>2</v>
      </c>
      <c r="X30" s="82" t="s">
        <v>14</v>
      </c>
      <c r="Y30" s="83" t="s">
        <v>27</v>
      </c>
      <c r="Z30" s="84">
        <v>6</v>
      </c>
      <c r="AA30" s="85" t="s">
        <v>24</v>
      </c>
      <c r="AB30" s="86">
        <v>1450</v>
      </c>
      <c r="AC30" s="83">
        <v>6</v>
      </c>
      <c r="AD30" s="85" t="s">
        <v>24</v>
      </c>
      <c r="AE30" s="86">
        <v>1450</v>
      </c>
      <c r="AF30" s="83"/>
      <c r="AG30" s="85"/>
      <c r="AH30" s="86"/>
      <c r="AI30" s="83"/>
      <c r="AJ30" s="85"/>
      <c r="AK30" s="86"/>
      <c r="AL30" s="87">
        <v>6</v>
      </c>
      <c r="AM30" s="88"/>
      <c r="AN30" s="88" t="s">
        <v>472</v>
      </c>
      <c r="AO30" s="230" t="str">
        <f t="shared" si="3"/>
        <v>3303SNCERABX8ARXA38</v>
      </c>
    </row>
    <row r="31" spans="1:41" ht="15" customHeight="1" x14ac:dyDescent="0.15">
      <c r="A31" s="80">
        <v>333</v>
      </c>
      <c r="B31" s="89">
        <v>271</v>
      </c>
      <c r="C31" s="89">
        <v>35541</v>
      </c>
      <c r="D31" s="89" t="s">
        <v>32</v>
      </c>
      <c r="E31" s="89" t="s">
        <v>18</v>
      </c>
      <c r="F31" s="89" t="s">
        <v>12</v>
      </c>
      <c r="G31" s="89" t="str">
        <f t="shared" si="0"/>
        <v>331SNCERABX8ARXT</v>
      </c>
      <c r="H31" s="89" t="s">
        <v>19</v>
      </c>
      <c r="I31" s="89" t="s">
        <v>20</v>
      </c>
      <c r="J31" s="89" t="s">
        <v>21</v>
      </c>
      <c r="K31" s="89" t="s">
        <v>54</v>
      </c>
      <c r="L31" s="89" t="s">
        <v>48</v>
      </c>
      <c r="M31" s="89" t="str">
        <f t="shared" si="1"/>
        <v>331SNCERABX8ARXT381335</v>
      </c>
      <c r="N31" s="89" t="str">
        <f t="shared" si="2"/>
        <v>331SNCERABX8ARXT381330</v>
      </c>
      <c r="O31" s="90">
        <v>38</v>
      </c>
      <c r="P31" s="89">
        <v>331</v>
      </c>
      <c r="Q31" s="89" t="s">
        <v>34</v>
      </c>
      <c r="R31" s="90">
        <v>1335</v>
      </c>
      <c r="S31" s="90">
        <v>12200</v>
      </c>
      <c r="T31" s="90">
        <v>1330</v>
      </c>
      <c r="U31" s="90">
        <v>1330</v>
      </c>
      <c r="V31" s="90">
        <v>6000</v>
      </c>
      <c r="W31" s="81">
        <v>2</v>
      </c>
      <c r="X31" s="82" t="s">
        <v>14</v>
      </c>
      <c r="Y31" s="83" t="s">
        <v>295</v>
      </c>
      <c r="Z31" s="84">
        <v>6</v>
      </c>
      <c r="AA31" s="85" t="s">
        <v>24</v>
      </c>
      <c r="AB31" s="86">
        <v>1450</v>
      </c>
      <c r="AC31" s="83">
        <v>6</v>
      </c>
      <c r="AD31" s="85" t="s">
        <v>24</v>
      </c>
      <c r="AE31" s="86">
        <v>1450</v>
      </c>
      <c r="AF31" s="83"/>
      <c r="AG31" s="85"/>
      <c r="AH31" s="86"/>
      <c r="AI31" s="83"/>
      <c r="AJ31" s="85"/>
      <c r="AK31" s="86"/>
      <c r="AL31" s="87">
        <v>6</v>
      </c>
      <c r="AM31" s="88" t="s">
        <v>49</v>
      </c>
      <c r="AN31" s="88" t="s">
        <v>472</v>
      </c>
      <c r="AO31" s="230" t="str">
        <f t="shared" si="3"/>
        <v>331SNCERABX8ARXT38</v>
      </c>
    </row>
    <row r="32" spans="1:41" ht="15" customHeight="1" x14ac:dyDescent="0.15">
      <c r="A32" s="80">
        <v>333</v>
      </c>
      <c r="B32" s="89">
        <v>271</v>
      </c>
      <c r="C32" s="89">
        <v>35541</v>
      </c>
      <c r="D32" s="89" t="s">
        <v>32</v>
      </c>
      <c r="E32" s="89" t="s">
        <v>18</v>
      </c>
      <c r="F32" s="89" t="s">
        <v>12</v>
      </c>
      <c r="G32" s="89" t="str">
        <f t="shared" si="0"/>
        <v>3303SNCERABX8ARXT</v>
      </c>
      <c r="H32" s="89" t="s">
        <v>19</v>
      </c>
      <c r="I32" s="89" t="s">
        <v>20</v>
      </c>
      <c r="J32" s="89" t="s">
        <v>21</v>
      </c>
      <c r="K32" s="89" t="s">
        <v>54</v>
      </c>
      <c r="L32" s="89" t="s">
        <v>48</v>
      </c>
      <c r="M32" s="89" t="str">
        <f t="shared" si="1"/>
        <v>3303SNCERABX8ARXT381335</v>
      </c>
      <c r="N32" s="89" t="str">
        <f t="shared" si="2"/>
        <v>3303SNCERABX8ARXT381330</v>
      </c>
      <c r="O32" s="90">
        <v>38</v>
      </c>
      <c r="P32" s="89">
        <v>3303</v>
      </c>
      <c r="Q32" s="89" t="s">
        <v>34</v>
      </c>
      <c r="R32" s="90">
        <v>1335</v>
      </c>
      <c r="S32" s="90">
        <v>12200</v>
      </c>
      <c r="T32" s="90">
        <v>1330</v>
      </c>
      <c r="U32" s="90">
        <v>1330</v>
      </c>
      <c r="V32" s="90">
        <v>6000</v>
      </c>
      <c r="W32" s="81">
        <v>2</v>
      </c>
      <c r="X32" s="82" t="s">
        <v>14</v>
      </c>
      <c r="Y32" s="83" t="s">
        <v>295</v>
      </c>
      <c r="Z32" s="84">
        <v>6</v>
      </c>
      <c r="AA32" s="85" t="s">
        <v>24</v>
      </c>
      <c r="AB32" s="86">
        <v>1450</v>
      </c>
      <c r="AC32" s="83">
        <v>6</v>
      </c>
      <c r="AD32" s="85" t="s">
        <v>24</v>
      </c>
      <c r="AE32" s="86">
        <v>1450</v>
      </c>
      <c r="AF32" s="83"/>
      <c r="AG32" s="85"/>
      <c r="AH32" s="86"/>
      <c r="AI32" s="83"/>
      <c r="AJ32" s="85"/>
      <c r="AK32" s="86"/>
      <c r="AL32" s="87">
        <v>6</v>
      </c>
      <c r="AM32" s="88" t="s">
        <v>449</v>
      </c>
      <c r="AN32" s="88" t="s">
        <v>472</v>
      </c>
      <c r="AO32" s="230" t="str">
        <f t="shared" si="3"/>
        <v>3303SNCERABX8ARXT38</v>
      </c>
    </row>
    <row r="33" spans="1:41" ht="15" customHeight="1" x14ac:dyDescent="0.15">
      <c r="A33" s="80">
        <v>333</v>
      </c>
      <c r="B33" s="89">
        <v>271</v>
      </c>
      <c r="C33" s="89">
        <v>35541</v>
      </c>
      <c r="D33" s="89" t="s">
        <v>32</v>
      </c>
      <c r="E33" s="89" t="s">
        <v>18</v>
      </c>
      <c r="F33" s="89" t="s">
        <v>12</v>
      </c>
      <c r="G33" s="89" t="str">
        <f t="shared" si="0"/>
        <v>331SNCERABX8ARXT</v>
      </c>
      <c r="H33" s="89" t="s">
        <v>19</v>
      </c>
      <c r="I33" s="89" t="s">
        <v>20</v>
      </c>
      <c r="J33" s="89" t="s">
        <v>21</v>
      </c>
      <c r="K33" s="89" t="s">
        <v>54</v>
      </c>
      <c r="L33" s="89" t="s">
        <v>48</v>
      </c>
      <c r="M33" s="89" t="str">
        <f t="shared" si="1"/>
        <v>331SNCERABX8ARXT381585</v>
      </c>
      <c r="N33" s="89" t="str">
        <f t="shared" si="2"/>
        <v>331SNCERABX8ARXT381580</v>
      </c>
      <c r="O33" s="90">
        <v>38</v>
      </c>
      <c r="P33" s="89">
        <v>331</v>
      </c>
      <c r="Q33" s="89" t="s">
        <v>34</v>
      </c>
      <c r="R33" s="90">
        <v>1585</v>
      </c>
      <c r="S33" s="90">
        <v>12200</v>
      </c>
      <c r="T33" s="90">
        <v>1580</v>
      </c>
      <c r="U33" s="90">
        <v>1580</v>
      </c>
      <c r="V33" s="90">
        <v>6000</v>
      </c>
      <c r="W33" s="81">
        <v>2</v>
      </c>
      <c r="X33" s="82" t="s">
        <v>14</v>
      </c>
      <c r="Y33" s="83" t="s">
        <v>295</v>
      </c>
      <c r="Z33" s="84">
        <v>6</v>
      </c>
      <c r="AA33" s="85" t="s">
        <v>24</v>
      </c>
      <c r="AB33" s="86">
        <v>1700</v>
      </c>
      <c r="AC33" s="83">
        <v>6</v>
      </c>
      <c r="AD33" s="85" t="s">
        <v>24</v>
      </c>
      <c r="AE33" s="86">
        <v>1700</v>
      </c>
      <c r="AF33" s="83"/>
      <c r="AG33" s="85"/>
      <c r="AH33" s="86"/>
      <c r="AI33" s="83"/>
      <c r="AJ33" s="85"/>
      <c r="AK33" s="86"/>
      <c r="AL33" s="87">
        <v>6</v>
      </c>
      <c r="AM33" s="88" t="s">
        <v>49</v>
      </c>
      <c r="AN33" s="88" t="s">
        <v>472</v>
      </c>
      <c r="AO33" s="230" t="str">
        <f t="shared" si="3"/>
        <v>331SNCERABX8ARXT38</v>
      </c>
    </row>
    <row r="34" spans="1:41" ht="15" customHeight="1" x14ac:dyDescent="0.15">
      <c r="A34" s="80">
        <v>333</v>
      </c>
      <c r="B34" s="89">
        <v>271</v>
      </c>
      <c r="C34" s="89">
        <v>380604</v>
      </c>
      <c r="D34" s="89" t="s">
        <v>17</v>
      </c>
      <c r="E34" s="89" t="s">
        <v>18</v>
      </c>
      <c r="F34" s="89" t="s">
        <v>26</v>
      </c>
      <c r="G34" s="89" t="str">
        <f t="shared" si="0"/>
        <v>3SNCERABX8AD</v>
      </c>
      <c r="H34" s="89" t="s">
        <v>19</v>
      </c>
      <c r="I34" s="89" t="s">
        <v>20</v>
      </c>
      <c r="J34" s="89" t="s">
        <v>21</v>
      </c>
      <c r="K34" s="89" t="s">
        <v>2039</v>
      </c>
      <c r="L34" s="89" t="s">
        <v>2040</v>
      </c>
      <c r="M34" s="89" t="str">
        <f t="shared" si="1"/>
        <v>3SNCERABX8AD751337</v>
      </c>
      <c r="N34" s="89" t="str">
        <f t="shared" si="2"/>
        <v>3SNCERABX8AD751330</v>
      </c>
      <c r="O34" s="90">
        <v>75</v>
      </c>
      <c r="P34" s="89">
        <v>3</v>
      </c>
      <c r="Q34" s="89" t="s">
        <v>55</v>
      </c>
      <c r="R34" s="90">
        <v>1337</v>
      </c>
      <c r="S34" s="90">
        <v>5200</v>
      </c>
      <c r="T34" s="90">
        <v>1337</v>
      </c>
      <c r="U34" s="90">
        <v>1330</v>
      </c>
      <c r="V34" s="90">
        <v>5000</v>
      </c>
      <c r="W34" s="81">
        <v>2</v>
      </c>
      <c r="X34" s="82" t="s">
        <v>14</v>
      </c>
      <c r="Y34" s="83" t="s">
        <v>15</v>
      </c>
      <c r="Z34" s="84">
        <v>6</v>
      </c>
      <c r="AA34" s="85" t="s">
        <v>24</v>
      </c>
      <c r="AB34" s="86">
        <v>1450</v>
      </c>
      <c r="AC34" s="83">
        <v>6</v>
      </c>
      <c r="AD34" s="85" t="s">
        <v>24</v>
      </c>
      <c r="AE34" s="86">
        <v>1450</v>
      </c>
      <c r="AF34" s="83"/>
      <c r="AG34" s="85"/>
      <c r="AH34" s="86"/>
      <c r="AI34" s="83"/>
      <c r="AJ34" s="85"/>
      <c r="AK34" s="86"/>
      <c r="AL34" s="87">
        <v>6</v>
      </c>
      <c r="AM34" s="88"/>
      <c r="AN34" s="88" t="s">
        <v>472</v>
      </c>
      <c r="AO34" s="230" t="str">
        <f t="shared" si="3"/>
        <v>3SNCERABX8AD75</v>
      </c>
    </row>
    <row r="35" spans="1:41" ht="15" customHeight="1" x14ac:dyDescent="0.15">
      <c r="A35" s="80">
        <v>333</v>
      </c>
      <c r="B35" s="89">
        <v>271</v>
      </c>
      <c r="C35" s="89">
        <v>380604</v>
      </c>
      <c r="D35" s="89" t="s">
        <v>17</v>
      </c>
      <c r="E35" s="89" t="s">
        <v>18</v>
      </c>
      <c r="F35" s="89" t="s">
        <v>26</v>
      </c>
      <c r="G35" s="89" t="str">
        <f t="shared" si="0"/>
        <v>3SNCERABX8AD</v>
      </c>
      <c r="H35" s="89" t="s">
        <v>19</v>
      </c>
      <c r="I35" s="89" t="s">
        <v>20</v>
      </c>
      <c r="J35" s="89" t="s">
        <v>21</v>
      </c>
      <c r="K35" s="89" t="s">
        <v>2039</v>
      </c>
      <c r="L35" s="89" t="s">
        <v>2040</v>
      </c>
      <c r="M35" s="89" t="str">
        <f t="shared" si="1"/>
        <v>3SNCERABX8AD751335</v>
      </c>
      <c r="N35" s="89" t="str">
        <f t="shared" si="2"/>
        <v>3SNCERABX8AD751330</v>
      </c>
      <c r="O35" s="90">
        <v>75</v>
      </c>
      <c r="P35" s="89">
        <v>3</v>
      </c>
      <c r="Q35" s="89" t="s">
        <v>55</v>
      </c>
      <c r="R35" s="90">
        <v>1335</v>
      </c>
      <c r="S35" s="90">
        <v>5200</v>
      </c>
      <c r="T35" s="90">
        <v>1335</v>
      </c>
      <c r="U35" s="90">
        <v>1330</v>
      </c>
      <c r="V35" s="90">
        <v>5000</v>
      </c>
      <c r="W35" s="81">
        <v>2</v>
      </c>
      <c r="X35" s="82" t="s">
        <v>14</v>
      </c>
      <c r="Y35" s="83" t="s">
        <v>15</v>
      </c>
      <c r="Z35" s="84">
        <v>6</v>
      </c>
      <c r="AA35" s="85" t="s">
        <v>24</v>
      </c>
      <c r="AB35" s="86">
        <v>1450</v>
      </c>
      <c r="AC35" s="83">
        <v>6</v>
      </c>
      <c r="AD35" s="85" t="s">
        <v>24</v>
      </c>
      <c r="AE35" s="86">
        <v>1450</v>
      </c>
      <c r="AF35" s="83"/>
      <c r="AG35" s="85"/>
      <c r="AH35" s="86"/>
      <c r="AI35" s="83"/>
      <c r="AJ35" s="85"/>
      <c r="AK35" s="86"/>
      <c r="AL35" s="87">
        <v>6</v>
      </c>
      <c r="AM35" s="88"/>
      <c r="AN35" s="88" t="s">
        <v>472</v>
      </c>
      <c r="AO35" s="230" t="str">
        <f t="shared" si="3"/>
        <v>3SNCERABX8AD75</v>
      </c>
    </row>
    <row r="36" spans="1:41" ht="15" customHeight="1" x14ac:dyDescent="0.15">
      <c r="A36" s="80">
        <v>333</v>
      </c>
      <c r="B36" s="89">
        <v>271</v>
      </c>
      <c r="C36" s="89">
        <v>35541</v>
      </c>
      <c r="D36" s="89" t="s">
        <v>32</v>
      </c>
      <c r="E36" s="89" t="s">
        <v>18</v>
      </c>
      <c r="F36" s="89" t="s">
        <v>12</v>
      </c>
      <c r="G36" s="89" t="str">
        <f t="shared" si="0"/>
        <v>3SNCERABX8AX</v>
      </c>
      <c r="H36" s="89" t="s">
        <v>19</v>
      </c>
      <c r="I36" s="89" t="s">
        <v>20</v>
      </c>
      <c r="J36" s="89" t="s">
        <v>21</v>
      </c>
      <c r="K36" s="89" t="s">
        <v>56</v>
      </c>
      <c r="L36" s="89" t="s">
        <v>2041</v>
      </c>
      <c r="M36" s="89" t="str">
        <f t="shared" si="1"/>
        <v>3SNCERABX8AX751335</v>
      </c>
      <c r="N36" s="89" t="str">
        <f t="shared" si="2"/>
        <v>3SNCERABX8AX751330</v>
      </c>
      <c r="O36" s="90">
        <v>75</v>
      </c>
      <c r="P36" s="89">
        <v>3</v>
      </c>
      <c r="Q36" s="89" t="s">
        <v>13</v>
      </c>
      <c r="R36" s="90">
        <v>1335</v>
      </c>
      <c r="S36" s="90">
        <v>4300</v>
      </c>
      <c r="T36" s="90">
        <v>1330</v>
      </c>
      <c r="U36" s="90">
        <v>1330</v>
      </c>
      <c r="V36" s="90">
        <v>4100</v>
      </c>
      <c r="W36" s="81">
        <v>2</v>
      </c>
      <c r="X36" s="82" t="s">
        <v>14</v>
      </c>
      <c r="Y36" s="83" t="s">
        <v>15</v>
      </c>
      <c r="Z36" s="84">
        <v>6</v>
      </c>
      <c r="AA36" s="85" t="s">
        <v>24</v>
      </c>
      <c r="AB36" s="86">
        <v>1450</v>
      </c>
      <c r="AC36" s="83">
        <v>6</v>
      </c>
      <c r="AD36" s="85" t="s">
        <v>24</v>
      </c>
      <c r="AE36" s="86">
        <v>1450</v>
      </c>
      <c r="AF36" s="83"/>
      <c r="AG36" s="85"/>
      <c r="AH36" s="86"/>
      <c r="AI36" s="83"/>
      <c r="AJ36" s="85"/>
      <c r="AK36" s="86"/>
      <c r="AL36" s="87">
        <v>6</v>
      </c>
      <c r="AM36" s="88"/>
      <c r="AN36" s="88" t="s">
        <v>472</v>
      </c>
      <c r="AO36" s="230" t="str">
        <f t="shared" si="3"/>
        <v>3SNCERABX8AX75</v>
      </c>
    </row>
    <row r="37" spans="1:41" ht="15" customHeight="1" x14ac:dyDescent="0.15">
      <c r="A37" s="80">
        <v>333</v>
      </c>
      <c r="B37" s="89">
        <v>276</v>
      </c>
      <c r="C37" s="89">
        <v>3621</v>
      </c>
      <c r="D37" s="89" t="s">
        <v>57</v>
      </c>
      <c r="E37" s="89" t="s">
        <v>58</v>
      </c>
      <c r="F37" s="89" t="s">
        <v>12</v>
      </c>
      <c r="G37" s="89" t="str">
        <f t="shared" si="0"/>
        <v>3SNCERABX8AX</v>
      </c>
      <c r="H37" s="89" t="s">
        <v>19</v>
      </c>
      <c r="I37" s="89" t="s">
        <v>20</v>
      </c>
      <c r="J37" s="89" t="s">
        <v>21</v>
      </c>
      <c r="K37" s="89" t="s">
        <v>56</v>
      </c>
      <c r="L37" s="89" t="s">
        <v>2041</v>
      </c>
      <c r="M37" s="89" t="str">
        <f t="shared" si="1"/>
        <v>3SNCERABX8AX751110</v>
      </c>
      <c r="N37" s="89" t="str">
        <f t="shared" si="2"/>
        <v>3SNCERABX8AX751100</v>
      </c>
      <c r="O37" s="90">
        <v>75</v>
      </c>
      <c r="P37" s="89">
        <v>3</v>
      </c>
      <c r="Q37" s="89" t="s">
        <v>13</v>
      </c>
      <c r="R37" s="90">
        <v>1110</v>
      </c>
      <c r="S37" s="90">
        <v>4200</v>
      </c>
      <c r="T37" s="90">
        <v>1110</v>
      </c>
      <c r="U37" s="90">
        <v>1100</v>
      </c>
      <c r="V37" s="90">
        <v>4000</v>
      </c>
      <c r="W37" s="81">
        <v>2</v>
      </c>
      <c r="X37" s="82" t="s">
        <v>14</v>
      </c>
      <c r="Y37" s="83" t="s">
        <v>15</v>
      </c>
      <c r="Z37" s="84">
        <v>6</v>
      </c>
      <c r="AA37" s="85" t="s">
        <v>24</v>
      </c>
      <c r="AB37" s="86">
        <v>1450</v>
      </c>
      <c r="AC37" s="83"/>
      <c r="AD37" s="85"/>
      <c r="AE37" s="86"/>
      <c r="AF37" s="83"/>
      <c r="AG37" s="85"/>
      <c r="AH37" s="86"/>
      <c r="AI37" s="83"/>
      <c r="AJ37" s="85"/>
      <c r="AK37" s="86"/>
      <c r="AL37" s="87">
        <v>6</v>
      </c>
      <c r="AM37" s="88"/>
      <c r="AN37" s="88" t="s">
        <v>472</v>
      </c>
      <c r="AO37" s="230" t="str">
        <f t="shared" si="3"/>
        <v>3SNCERABX8AX75</v>
      </c>
    </row>
    <row r="38" spans="1:41" ht="15" customHeight="1" x14ac:dyDescent="0.15">
      <c r="A38" s="80">
        <v>333</v>
      </c>
      <c r="B38" s="89">
        <v>276</v>
      </c>
      <c r="C38" s="89">
        <v>3621</v>
      </c>
      <c r="D38" s="89" t="s">
        <v>57</v>
      </c>
      <c r="E38" s="89" t="s">
        <v>58</v>
      </c>
      <c r="F38" s="89" t="s">
        <v>46</v>
      </c>
      <c r="G38" s="89" t="str">
        <f t="shared" si="0"/>
        <v>3SYCERABX8AS</v>
      </c>
      <c r="H38" s="89" t="s">
        <v>19</v>
      </c>
      <c r="I38" s="89" t="s">
        <v>28</v>
      </c>
      <c r="J38" s="89" t="s">
        <v>21</v>
      </c>
      <c r="K38" s="89" t="s">
        <v>1562</v>
      </c>
      <c r="L38" s="89" t="s">
        <v>2042</v>
      </c>
      <c r="M38" s="89" t="str">
        <f t="shared" si="1"/>
        <v>3SYCERABX8AS751045</v>
      </c>
      <c r="N38" s="89" t="str">
        <f t="shared" si="2"/>
        <v>3SYCERABX8AS751040</v>
      </c>
      <c r="O38" s="90">
        <v>75</v>
      </c>
      <c r="P38" s="89">
        <v>3</v>
      </c>
      <c r="Q38" s="89" t="s">
        <v>59</v>
      </c>
      <c r="R38" s="90">
        <v>1045</v>
      </c>
      <c r="S38" s="90">
        <v>4200</v>
      </c>
      <c r="T38" s="90">
        <v>1040</v>
      </c>
      <c r="U38" s="90">
        <v>1040</v>
      </c>
      <c r="V38" s="90">
        <v>4000</v>
      </c>
      <c r="W38" s="81">
        <v>1</v>
      </c>
      <c r="X38" s="82" t="s">
        <v>14</v>
      </c>
      <c r="Y38" s="83" t="s">
        <v>15</v>
      </c>
      <c r="Z38" s="84">
        <v>6</v>
      </c>
      <c r="AA38" s="85" t="s">
        <v>16</v>
      </c>
      <c r="AB38" s="86">
        <v>1060</v>
      </c>
      <c r="AC38" s="83">
        <v>6</v>
      </c>
      <c r="AD38" s="85" t="s">
        <v>16</v>
      </c>
      <c r="AE38" s="86">
        <v>1060</v>
      </c>
      <c r="AF38" s="83"/>
      <c r="AG38" s="85"/>
      <c r="AH38" s="86"/>
      <c r="AI38" s="83"/>
      <c r="AJ38" s="85"/>
      <c r="AK38" s="86"/>
      <c r="AL38" s="87">
        <v>6</v>
      </c>
      <c r="AM38" s="88"/>
      <c r="AN38" s="88" t="s">
        <v>472</v>
      </c>
      <c r="AO38" s="230" t="str">
        <f t="shared" si="3"/>
        <v>3SYCERABX8AS75</v>
      </c>
    </row>
    <row r="39" spans="1:41" ht="15" customHeight="1" x14ac:dyDescent="0.15">
      <c r="A39" s="80">
        <v>333</v>
      </c>
      <c r="B39" s="89">
        <v>271</v>
      </c>
      <c r="C39" s="89">
        <v>347301</v>
      </c>
      <c r="D39" s="89" t="s">
        <v>2043</v>
      </c>
      <c r="E39" s="89" t="s">
        <v>11</v>
      </c>
      <c r="F39" s="89" t="s">
        <v>210</v>
      </c>
      <c r="G39" s="89" t="str">
        <f t="shared" si="0"/>
        <v>3SNCERABX8A14</v>
      </c>
      <c r="H39" s="89" t="s">
        <v>1549</v>
      </c>
      <c r="I39" s="89" t="s">
        <v>1550</v>
      </c>
      <c r="J39" s="89" t="s">
        <v>21</v>
      </c>
      <c r="K39" s="89" t="s">
        <v>1561</v>
      </c>
      <c r="L39" s="89" t="s">
        <v>2044</v>
      </c>
      <c r="M39" s="89" t="str">
        <f t="shared" si="1"/>
        <v>3SNCERABX8A14751310</v>
      </c>
      <c r="N39" s="89" t="str">
        <f t="shared" si="2"/>
        <v>3SNCERABX8A14751300</v>
      </c>
      <c r="O39" s="90">
        <v>75</v>
      </c>
      <c r="P39" s="89">
        <v>3</v>
      </c>
      <c r="Q39" s="89" t="s">
        <v>1996</v>
      </c>
      <c r="R39" s="90">
        <v>1310</v>
      </c>
      <c r="S39" s="90">
        <v>4500</v>
      </c>
      <c r="T39" s="90">
        <v>1300</v>
      </c>
      <c r="U39" s="90">
        <v>1300</v>
      </c>
      <c r="V39" s="90">
        <v>4300</v>
      </c>
      <c r="W39" s="81">
        <v>2</v>
      </c>
      <c r="X39" s="82" t="s">
        <v>14</v>
      </c>
      <c r="Y39" s="83" t="s">
        <v>15</v>
      </c>
      <c r="Z39" s="84">
        <v>6</v>
      </c>
      <c r="AA39" s="85" t="s">
        <v>24</v>
      </c>
      <c r="AB39" s="86">
        <v>1320</v>
      </c>
      <c r="AC39" s="83"/>
      <c r="AD39" s="85"/>
      <c r="AE39" s="86"/>
      <c r="AF39" s="83"/>
      <c r="AG39" s="85"/>
      <c r="AH39" s="86"/>
      <c r="AI39" s="83"/>
      <c r="AJ39" s="85"/>
      <c r="AK39" s="86"/>
      <c r="AL39" s="87">
        <v>6</v>
      </c>
      <c r="AM39" s="88"/>
      <c r="AN39" s="88" t="s">
        <v>472</v>
      </c>
      <c r="AO39" s="230" t="str">
        <f t="shared" si="3"/>
        <v>3SNCERABX8A1475</v>
      </c>
    </row>
    <row r="40" spans="1:41" ht="15" customHeight="1" x14ac:dyDescent="0.15">
      <c r="A40" s="80">
        <v>333</v>
      </c>
      <c r="B40" s="89">
        <v>276</v>
      </c>
      <c r="C40" s="89">
        <v>3621</v>
      </c>
      <c r="D40" s="89" t="s">
        <v>57</v>
      </c>
      <c r="E40" s="89" t="s">
        <v>58</v>
      </c>
      <c r="F40" s="89" t="s">
        <v>46</v>
      </c>
      <c r="G40" s="89" t="str">
        <f t="shared" si="0"/>
        <v>3SYCERABX9AS</v>
      </c>
      <c r="H40" s="89" t="s">
        <v>19</v>
      </c>
      <c r="I40" s="89" t="s">
        <v>28</v>
      </c>
      <c r="J40" s="89" t="s">
        <v>21</v>
      </c>
      <c r="K40" s="89" t="s">
        <v>60</v>
      </c>
      <c r="L40" s="89" t="s">
        <v>2045</v>
      </c>
      <c r="M40" s="89" t="str">
        <f t="shared" si="1"/>
        <v>3SYCERABX9AS751045</v>
      </c>
      <c r="N40" s="89" t="str">
        <f t="shared" si="2"/>
        <v>3SYCERABX9AS751040</v>
      </c>
      <c r="O40" s="90">
        <v>75</v>
      </c>
      <c r="P40" s="89">
        <v>3</v>
      </c>
      <c r="Q40" s="89" t="s">
        <v>59</v>
      </c>
      <c r="R40" s="90">
        <v>1045</v>
      </c>
      <c r="S40" s="90">
        <v>4200</v>
      </c>
      <c r="T40" s="90">
        <v>1040</v>
      </c>
      <c r="U40" s="90">
        <v>1040</v>
      </c>
      <c r="V40" s="90">
        <v>4000</v>
      </c>
      <c r="W40" s="81">
        <v>1</v>
      </c>
      <c r="X40" s="82" t="s">
        <v>14</v>
      </c>
      <c r="Y40" s="83" t="s">
        <v>15</v>
      </c>
      <c r="Z40" s="84">
        <v>6</v>
      </c>
      <c r="AA40" s="85" t="s">
        <v>16</v>
      </c>
      <c r="AB40" s="86">
        <v>1060</v>
      </c>
      <c r="AC40" s="83">
        <v>6</v>
      </c>
      <c r="AD40" s="85" t="s">
        <v>16</v>
      </c>
      <c r="AE40" s="86">
        <v>1060</v>
      </c>
      <c r="AF40" s="83"/>
      <c r="AG40" s="85"/>
      <c r="AH40" s="86"/>
      <c r="AI40" s="83"/>
      <c r="AJ40" s="85"/>
      <c r="AK40" s="86"/>
      <c r="AL40" s="87">
        <v>6</v>
      </c>
      <c r="AM40" s="88"/>
      <c r="AN40" s="88" t="s">
        <v>472</v>
      </c>
      <c r="AO40" s="230" t="str">
        <f t="shared" si="3"/>
        <v>3SYCERABX9AS75</v>
      </c>
    </row>
    <row r="41" spans="1:41" ht="15" customHeight="1" x14ac:dyDescent="0.15">
      <c r="A41" s="80">
        <v>333</v>
      </c>
      <c r="B41" s="89">
        <v>272</v>
      </c>
      <c r="C41" s="89">
        <v>36882</v>
      </c>
      <c r="D41" s="89" t="s">
        <v>61</v>
      </c>
      <c r="E41" s="89" t="s">
        <v>45</v>
      </c>
      <c r="F41" s="89" t="s">
        <v>12</v>
      </c>
      <c r="G41" s="89" t="str">
        <f t="shared" si="0"/>
        <v>3313SNCERAMD(A)R</v>
      </c>
      <c r="H41" s="89" t="s">
        <v>19</v>
      </c>
      <c r="I41" s="89" t="s">
        <v>20</v>
      </c>
      <c r="J41" s="89" t="s">
        <v>21</v>
      </c>
      <c r="K41" s="89" t="s">
        <v>62</v>
      </c>
      <c r="L41" s="89" t="s">
        <v>63</v>
      </c>
      <c r="M41" s="89" t="str">
        <f t="shared" si="1"/>
        <v>3313SNCERAMD(A)R381550</v>
      </c>
      <c r="N41" s="89" t="str">
        <f t="shared" si="2"/>
        <v>3313SNCERAMD(A)R38750</v>
      </c>
      <c r="O41" s="90">
        <v>38</v>
      </c>
      <c r="P41" s="89">
        <v>3313</v>
      </c>
      <c r="Q41" s="89" t="s">
        <v>31</v>
      </c>
      <c r="R41" s="90">
        <v>1550</v>
      </c>
      <c r="S41" s="90">
        <v>12200</v>
      </c>
      <c r="T41" s="90">
        <v>750</v>
      </c>
      <c r="U41" s="90">
        <v>750</v>
      </c>
      <c r="V41" s="90">
        <v>6000</v>
      </c>
      <c r="W41" s="81">
        <v>2</v>
      </c>
      <c r="X41" s="82" t="s">
        <v>14</v>
      </c>
      <c r="Y41" s="83" t="s">
        <v>295</v>
      </c>
      <c r="Z41" s="84">
        <v>6</v>
      </c>
      <c r="AA41" s="85" t="s">
        <v>24</v>
      </c>
      <c r="AB41" s="86">
        <v>1700</v>
      </c>
      <c r="AC41" s="83">
        <v>6</v>
      </c>
      <c r="AD41" s="85" t="s">
        <v>24</v>
      </c>
      <c r="AE41" s="86">
        <v>930</v>
      </c>
      <c r="AF41" s="83"/>
      <c r="AG41" s="85"/>
      <c r="AH41" s="86"/>
      <c r="AI41" s="83"/>
      <c r="AJ41" s="85"/>
      <c r="AK41" s="86"/>
      <c r="AL41" s="87"/>
      <c r="AM41" s="88"/>
      <c r="AN41" s="88" t="s">
        <v>473</v>
      </c>
      <c r="AO41" s="230" t="str">
        <f t="shared" si="3"/>
        <v>3313SNCERAMD(A)R38</v>
      </c>
    </row>
    <row r="42" spans="1:41" ht="15" customHeight="1" x14ac:dyDescent="0.15">
      <c r="A42" s="80">
        <v>333</v>
      </c>
      <c r="B42" s="89">
        <v>272</v>
      </c>
      <c r="C42" s="89">
        <v>36882</v>
      </c>
      <c r="D42" s="89" t="s">
        <v>61</v>
      </c>
      <c r="E42" s="89" t="s">
        <v>45</v>
      </c>
      <c r="F42" s="89" t="s">
        <v>12</v>
      </c>
      <c r="G42" s="89" t="str">
        <f t="shared" si="0"/>
        <v>3313SNCERAMD(A)R</v>
      </c>
      <c r="H42" s="89" t="s">
        <v>19</v>
      </c>
      <c r="I42" s="89" t="s">
        <v>20</v>
      </c>
      <c r="J42" s="89" t="s">
        <v>21</v>
      </c>
      <c r="K42" s="89" t="s">
        <v>62</v>
      </c>
      <c r="L42" s="89" t="s">
        <v>63</v>
      </c>
      <c r="M42" s="89" t="str">
        <f t="shared" si="1"/>
        <v>3313SNCERAMD(A)R381025</v>
      </c>
      <c r="N42" s="89" t="str">
        <f t="shared" si="2"/>
        <v>3313SNCERAMD(A)R38750</v>
      </c>
      <c r="O42" s="90">
        <v>38</v>
      </c>
      <c r="P42" s="89">
        <v>3313</v>
      </c>
      <c r="Q42" s="89" t="s">
        <v>31</v>
      </c>
      <c r="R42" s="90">
        <v>1025</v>
      </c>
      <c r="S42" s="90">
        <v>12200</v>
      </c>
      <c r="T42" s="90">
        <v>750</v>
      </c>
      <c r="U42" s="90">
        <v>750</v>
      </c>
      <c r="V42" s="90">
        <v>6000</v>
      </c>
      <c r="W42" s="81">
        <v>2</v>
      </c>
      <c r="X42" s="82" t="s">
        <v>14</v>
      </c>
      <c r="Y42" s="83" t="s">
        <v>295</v>
      </c>
      <c r="Z42" s="84">
        <v>6</v>
      </c>
      <c r="AA42" s="85" t="s">
        <v>24</v>
      </c>
      <c r="AB42" s="86">
        <v>1450</v>
      </c>
      <c r="AC42" s="83">
        <v>6</v>
      </c>
      <c r="AD42" s="85" t="s">
        <v>24</v>
      </c>
      <c r="AE42" s="86">
        <v>930</v>
      </c>
      <c r="AF42" s="83"/>
      <c r="AG42" s="85"/>
      <c r="AH42" s="86"/>
      <c r="AI42" s="83"/>
      <c r="AJ42" s="85"/>
      <c r="AK42" s="86"/>
      <c r="AL42" s="87"/>
      <c r="AM42" s="88"/>
      <c r="AN42" s="88" t="s">
        <v>473</v>
      </c>
      <c r="AO42" s="230" t="str">
        <f t="shared" si="3"/>
        <v>3313SNCERAMD(A)R38</v>
      </c>
    </row>
    <row r="43" spans="1:41" ht="15" customHeight="1" x14ac:dyDescent="0.15">
      <c r="A43" s="80">
        <v>333</v>
      </c>
      <c r="B43" s="89">
        <v>272</v>
      </c>
      <c r="C43" s="89">
        <v>36882</v>
      </c>
      <c r="D43" s="89" t="s">
        <v>61</v>
      </c>
      <c r="E43" s="89" t="s">
        <v>45</v>
      </c>
      <c r="F43" s="89" t="s">
        <v>12</v>
      </c>
      <c r="G43" s="89" t="str">
        <f t="shared" si="0"/>
        <v>331SNCERAMD(A)R</v>
      </c>
      <c r="H43" s="89" t="s">
        <v>19</v>
      </c>
      <c r="I43" s="89" t="s">
        <v>20</v>
      </c>
      <c r="J43" s="89" t="s">
        <v>21</v>
      </c>
      <c r="K43" s="89" t="s">
        <v>62</v>
      </c>
      <c r="L43" s="89" t="s">
        <v>63</v>
      </c>
      <c r="M43" s="89" t="str">
        <f t="shared" si="1"/>
        <v>331SNCERAMD(A)R381025</v>
      </c>
      <c r="N43" s="89" t="str">
        <f t="shared" si="2"/>
        <v>331SNCERAMD(A)R381020</v>
      </c>
      <c r="O43" s="90">
        <v>38</v>
      </c>
      <c r="P43" s="89">
        <v>331</v>
      </c>
      <c r="Q43" s="89" t="s">
        <v>31</v>
      </c>
      <c r="R43" s="90">
        <v>1025</v>
      </c>
      <c r="S43" s="90">
        <v>12200</v>
      </c>
      <c r="T43" s="90">
        <v>1025</v>
      </c>
      <c r="U43" s="90">
        <v>1020</v>
      </c>
      <c r="V43" s="90">
        <v>6000</v>
      </c>
      <c r="W43" s="81">
        <v>2</v>
      </c>
      <c r="X43" s="82" t="s">
        <v>14</v>
      </c>
      <c r="Y43" s="83" t="s">
        <v>27</v>
      </c>
      <c r="Z43" s="84">
        <v>6</v>
      </c>
      <c r="AA43" s="85" t="s">
        <v>24</v>
      </c>
      <c r="AB43" s="86">
        <v>1040</v>
      </c>
      <c r="AC43" s="83">
        <v>6</v>
      </c>
      <c r="AD43" s="85" t="s">
        <v>24</v>
      </c>
      <c r="AE43" s="86">
        <v>1040</v>
      </c>
      <c r="AF43" s="83"/>
      <c r="AG43" s="85"/>
      <c r="AH43" s="86"/>
      <c r="AI43" s="83"/>
      <c r="AJ43" s="85"/>
      <c r="AK43" s="86"/>
      <c r="AL43" s="87"/>
      <c r="AM43" s="88"/>
      <c r="AN43" s="88" t="s">
        <v>473</v>
      </c>
      <c r="AO43" s="230" t="str">
        <f t="shared" si="3"/>
        <v>331SNCERAMD(A)R38</v>
      </c>
    </row>
    <row r="44" spans="1:41" ht="15" customHeight="1" x14ac:dyDescent="0.15">
      <c r="A44" s="80">
        <v>333</v>
      </c>
      <c r="B44" s="89">
        <v>272</v>
      </c>
      <c r="C44" s="89">
        <v>36882</v>
      </c>
      <c r="D44" s="89" t="s">
        <v>61</v>
      </c>
      <c r="E44" s="89" t="s">
        <v>45</v>
      </c>
      <c r="F44" s="89" t="s">
        <v>12</v>
      </c>
      <c r="G44" s="89" t="str">
        <f t="shared" si="0"/>
        <v>331SNCERAMD(A)R</v>
      </c>
      <c r="H44" s="89" t="s">
        <v>19</v>
      </c>
      <c r="I44" s="89" t="s">
        <v>20</v>
      </c>
      <c r="J44" s="89" t="s">
        <v>21</v>
      </c>
      <c r="K44" s="89" t="s">
        <v>62</v>
      </c>
      <c r="L44" s="89" t="s">
        <v>63</v>
      </c>
      <c r="M44" s="89" t="str">
        <f t="shared" si="1"/>
        <v>331SNCERAMD(A)R381255</v>
      </c>
      <c r="N44" s="89" t="str">
        <f t="shared" si="2"/>
        <v>331SNCERAMD(A)R381250</v>
      </c>
      <c r="O44" s="90">
        <v>38</v>
      </c>
      <c r="P44" s="89">
        <v>331</v>
      </c>
      <c r="Q44" s="89" t="s">
        <v>31</v>
      </c>
      <c r="R44" s="90">
        <v>1255</v>
      </c>
      <c r="S44" s="90">
        <v>12200</v>
      </c>
      <c r="T44" s="90">
        <v>1255</v>
      </c>
      <c r="U44" s="90">
        <v>1250</v>
      </c>
      <c r="V44" s="90">
        <v>6000</v>
      </c>
      <c r="W44" s="81">
        <v>2</v>
      </c>
      <c r="X44" s="82" t="s">
        <v>14</v>
      </c>
      <c r="Y44" s="83" t="s">
        <v>27</v>
      </c>
      <c r="Z44" s="84">
        <v>6</v>
      </c>
      <c r="AA44" s="85" t="s">
        <v>24</v>
      </c>
      <c r="AB44" s="86">
        <v>1270</v>
      </c>
      <c r="AC44" s="83">
        <v>6</v>
      </c>
      <c r="AD44" s="85" t="s">
        <v>24</v>
      </c>
      <c r="AE44" s="86">
        <v>1270</v>
      </c>
      <c r="AF44" s="83"/>
      <c r="AG44" s="85"/>
      <c r="AH44" s="86"/>
      <c r="AI44" s="83"/>
      <c r="AJ44" s="85"/>
      <c r="AK44" s="86"/>
      <c r="AL44" s="87"/>
      <c r="AM44" s="88"/>
      <c r="AN44" s="88" t="s">
        <v>473</v>
      </c>
      <c r="AO44" s="230" t="str">
        <f t="shared" si="3"/>
        <v>331SNCERAMD(A)R38</v>
      </c>
    </row>
    <row r="45" spans="1:41" ht="15" customHeight="1" x14ac:dyDescent="0.15">
      <c r="A45" s="80">
        <v>333</v>
      </c>
      <c r="B45" s="89">
        <v>272</v>
      </c>
      <c r="C45" s="89">
        <v>36882</v>
      </c>
      <c r="D45" s="89" t="s">
        <v>61</v>
      </c>
      <c r="E45" s="89" t="s">
        <v>45</v>
      </c>
      <c r="F45" s="89" t="s">
        <v>26</v>
      </c>
      <c r="G45" s="89" t="str">
        <f t="shared" si="0"/>
        <v>331SNCERAMD(A)R</v>
      </c>
      <c r="H45" s="89" t="s">
        <v>19</v>
      </c>
      <c r="I45" s="89" t="s">
        <v>20</v>
      </c>
      <c r="J45" s="89" t="s">
        <v>21</v>
      </c>
      <c r="K45" s="89" t="s">
        <v>62</v>
      </c>
      <c r="L45" s="89" t="s">
        <v>63</v>
      </c>
      <c r="M45" s="89" t="str">
        <f t="shared" si="1"/>
        <v>331SNCERAMD(A)R381585</v>
      </c>
      <c r="N45" s="89" t="str">
        <f t="shared" si="2"/>
        <v>331SNCERAMD(A)R381580</v>
      </c>
      <c r="O45" s="90">
        <v>38</v>
      </c>
      <c r="P45" s="89">
        <v>331</v>
      </c>
      <c r="Q45" s="89" t="s">
        <v>31</v>
      </c>
      <c r="R45" s="90">
        <v>1585</v>
      </c>
      <c r="S45" s="90">
        <v>12200</v>
      </c>
      <c r="T45" s="90">
        <v>1585</v>
      </c>
      <c r="U45" s="90">
        <v>1580</v>
      </c>
      <c r="V45" s="90">
        <v>4000</v>
      </c>
      <c r="W45" s="81">
        <v>2</v>
      </c>
      <c r="X45" s="82" t="s">
        <v>14</v>
      </c>
      <c r="Y45" s="83" t="s">
        <v>64</v>
      </c>
      <c r="Z45" s="84">
        <v>6</v>
      </c>
      <c r="AA45" s="85" t="s">
        <v>24</v>
      </c>
      <c r="AB45" s="86">
        <v>1700</v>
      </c>
      <c r="AC45" s="83">
        <v>6</v>
      </c>
      <c r="AD45" s="85" t="s">
        <v>24</v>
      </c>
      <c r="AE45" s="86">
        <v>1700</v>
      </c>
      <c r="AF45" s="83"/>
      <c r="AG45" s="85"/>
      <c r="AH45" s="86"/>
      <c r="AI45" s="83"/>
      <c r="AJ45" s="85"/>
      <c r="AK45" s="86"/>
      <c r="AL45" s="87"/>
      <c r="AM45" s="88"/>
      <c r="AN45" s="88" t="s">
        <v>473</v>
      </c>
      <c r="AO45" s="230" t="str">
        <f t="shared" si="3"/>
        <v>331SNCERAMD(A)R38</v>
      </c>
    </row>
    <row r="46" spans="1:41" ht="15" customHeight="1" x14ac:dyDescent="0.15">
      <c r="A46" s="80">
        <v>333</v>
      </c>
      <c r="B46" s="89">
        <v>274</v>
      </c>
      <c r="C46" s="89">
        <v>36888</v>
      </c>
      <c r="D46" s="89" t="s">
        <v>65</v>
      </c>
      <c r="E46" s="89" t="s">
        <v>66</v>
      </c>
      <c r="F46" s="89" t="s">
        <v>12</v>
      </c>
      <c r="G46" s="89" t="str">
        <f t="shared" si="0"/>
        <v>3321SNCERAMDACPFL</v>
      </c>
      <c r="H46" s="89" t="s">
        <v>19</v>
      </c>
      <c r="I46" s="89" t="s">
        <v>20</v>
      </c>
      <c r="J46" s="89" t="s">
        <v>21</v>
      </c>
      <c r="K46" s="89" t="s">
        <v>67</v>
      </c>
      <c r="L46" s="89" t="s">
        <v>68</v>
      </c>
      <c r="M46" s="89" t="str">
        <f t="shared" si="1"/>
        <v>3321SNCERAMDACPFL381336</v>
      </c>
      <c r="N46" s="89" t="str">
        <f t="shared" si="2"/>
        <v>3321SNCERAMDACPFL381325</v>
      </c>
      <c r="O46" s="90">
        <v>38</v>
      </c>
      <c r="P46" s="89">
        <v>3321</v>
      </c>
      <c r="Q46" s="89" t="s">
        <v>69</v>
      </c>
      <c r="R46" s="90">
        <v>1336</v>
      </c>
      <c r="S46" s="90">
        <v>12050</v>
      </c>
      <c r="T46" s="90">
        <v>1336</v>
      </c>
      <c r="U46" s="90">
        <v>1325</v>
      </c>
      <c r="V46" s="90">
        <v>12000</v>
      </c>
      <c r="W46" s="81">
        <v>2</v>
      </c>
      <c r="X46" s="82" t="s">
        <v>14</v>
      </c>
      <c r="Y46" s="83" t="s">
        <v>15</v>
      </c>
      <c r="Z46" s="84">
        <v>6</v>
      </c>
      <c r="AA46" s="85" t="s">
        <v>24</v>
      </c>
      <c r="AB46" s="86">
        <v>1450</v>
      </c>
      <c r="AC46" s="83"/>
      <c r="AD46" s="85"/>
      <c r="AE46" s="86"/>
      <c r="AF46" s="83"/>
      <c r="AG46" s="85"/>
      <c r="AH46" s="86"/>
      <c r="AI46" s="83"/>
      <c r="AJ46" s="85"/>
      <c r="AK46" s="86"/>
      <c r="AL46" s="87"/>
      <c r="AM46" s="88"/>
      <c r="AN46" s="88" t="s">
        <v>473</v>
      </c>
      <c r="AO46" s="230" t="str">
        <f t="shared" si="3"/>
        <v>3321SNCERAMDACPFL38</v>
      </c>
    </row>
    <row r="47" spans="1:41" ht="15" customHeight="1" x14ac:dyDescent="0.15">
      <c r="A47" s="80">
        <v>333</v>
      </c>
      <c r="B47" s="89">
        <v>274</v>
      </c>
      <c r="C47" s="89">
        <v>36888</v>
      </c>
      <c r="D47" s="89" t="s">
        <v>65</v>
      </c>
      <c r="E47" s="89" t="s">
        <v>66</v>
      </c>
      <c r="F47" s="89" t="s">
        <v>12</v>
      </c>
      <c r="G47" s="89" t="str">
        <f t="shared" si="0"/>
        <v>3321SNCERAMDAPFL</v>
      </c>
      <c r="H47" s="89" t="s">
        <v>19</v>
      </c>
      <c r="I47" s="89" t="s">
        <v>20</v>
      </c>
      <c r="J47" s="89" t="s">
        <v>21</v>
      </c>
      <c r="K47" s="89" t="s">
        <v>70</v>
      </c>
      <c r="L47" s="89" t="s">
        <v>71</v>
      </c>
      <c r="M47" s="89" t="str">
        <f t="shared" si="1"/>
        <v>3321SNCERAMDAPFL381336</v>
      </c>
      <c r="N47" s="89" t="str">
        <f t="shared" si="2"/>
        <v>3321SNCERAMDAPFL381325</v>
      </c>
      <c r="O47" s="90">
        <v>38</v>
      </c>
      <c r="P47" s="89">
        <v>3321</v>
      </c>
      <c r="Q47" s="89" t="s">
        <v>69</v>
      </c>
      <c r="R47" s="90">
        <v>1336</v>
      </c>
      <c r="S47" s="90">
        <v>12050</v>
      </c>
      <c r="T47" s="90">
        <v>1336</v>
      </c>
      <c r="U47" s="90">
        <v>1325</v>
      </c>
      <c r="V47" s="90">
        <v>12000</v>
      </c>
      <c r="W47" s="81">
        <v>2</v>
      </c>
      <c r="X47" s="82" t="s">
        <v>14</v>
      </c>
      <c r="Y47" s="83" t="s">
        <v>15</v>
      </c>
      <c r="Z47" s="84">
        <v>6</v>
      </c>
      <c r="AA47" s="85" t="s">
        <v>24</v>
      </c>
      <c r="AB47" s="86">
        <v>1450</v>
      </c>
      <c r="AC47" s="83"/>
      <c r="AD47" s="85"/>
      <c r="AE47" s="86"/>
      <c r="AF47" s="83"/>
      <c r="AG47" s="85"/>
      <c r="AH47" s="86"/>
      <c r="AI47" s="83"/>
      <c r="AJ47" s="85"/>
      <c r="AK47" s="86"/>
      <c r="AL47" s="87"/>
      <c r="AM47" s="88"/>
      <c r="AN47" s="88" t="s">
        <v>473</v>
      </c>
      <c r="AO47" s="230" t="str">
        <f t="shared" si="3"/>
        <v>3321SNCERAMDAPFL38</v>
      </c>
    </row>
    <row r="48" spans="1:41" ht="15" customHeight="1" x14ac:dyDescent="0.15">
      <c r="A48" s="80">
        <v>333</v>
      </c>
      <c r="B48" s="89">
        <v>274</v>
      </c>
      <c r="C48" s="89">
        <v>36888</v>
      </c>
      <c r="D48" s="89" t="s">
        <v>65</v>
      </c>
      <c r="E48" s="89" t="s">
        <v>66</v>
      </c>
      <c r="F48" s="89" t="s">
        <v>12</v>
      </c>
      <c r="G48" s="89" t="str">
        <f t="shared" si="0"/>
        <v>3321SNCERAMDACPFL</v>
      </c>
      <c r="H48" s="89" t="s">
        <v>19</v>
      </c>
      <c r="I48" s="89" t="s">
        <v>20</v>
      </c>
      <c r="J48" s="89" t="s">
        <v>21</v>
      </c>
      <c r="K48" s="89" t="s">
        <v>67</v>
      </c>
      <c r="L48" s="89" t="s">
        <v>68</v>
      </c>
      <c r="M48" s="89" t="str">
        <f t="shared" si="1"/>
        <v>3321SNCERAMDACPFL381336</v>
      </c>
      <c r="N48" s="89" t="str">
        <f t="shared" si="2"/>
        <v>3321SNCERAMDACPFL381325</v>
      </c>
      <c r="O48" s="90">
        <v>38</v>
      </c>
      <c r="P48" s="89">
        <v>3321</v>
      </c>
      <c r="Q48" s="89" t="s">
        <v>504</v>
      </c>
      <c r="R48" s="90">
        <v>1336</v>
      </c>
      <c r="S48" s="90">
        <v>12050</v>
      </c>
      <c r="T48" s="90">
        <v>1336</v>
      </c>
      <c r="U48" s="90">
        <v>1325</v>
      </c>
      <c r="V48" s="90">
        <v>12000</v>
      </c>
      <c r="W48" s="81">
        <v>2</v>
      </c>
      <c r="X48" s="82" t="s">
        <v>14</v>
      </c>
      <c r="Y48" s="83" t="s">
        <v>15</v>
      </c>
      <c r="Z48" s="84">
        <v>6</v>
      </c>
      <c r="AA48" s="85" t="s">
        <v>24</v>
      </c>
      <c r="AB48" s="86">
        <v>1450</v>
      </c>
      <c r="AC48" s="83"/>
      <c r="AD48" s="85"/>
      <c r="AE48" s="86"/>
      <c r="AF48" s="83"/>
      <c r="AG48" s="85"/>
      <c r="AH48" s="86"/>
      <c r="AI48" s="83"/>
      <c r="AJ48" s="85"/>
      <c r="AK48" s="86"/>
      <c r="AL48" s="87"/>
      <c r="AM48" s="88"/>
      <c r="AN48" s="88" t="s">
        <v>473</v>
      </c>
      <c r="AO48" s="230" t="str">
        <f t="shared" si="3"/>
        <v>3321SNCERAMDACPFL38</v>
      </c>
    </row>
    <row r="49" spans="1:41" ht="15" customHeight="1" x14ac:dyDescent="0.15">
      <c r="A49" s="80">
        <v>333</v>
      </c>
      <c r="B49" s="89">
        <v>274</v>
      </c>
      <c r="C49" s="89">
        <v>36888</v>
      </c>
      <c r="D49" s="89" t="s">
        <v>65</v>
      </c>
      <c r="E49" s="89" t="s">
        <v>66</v>
      </c>
      <c r="F49" s="89" t="s">
        <v>12</v>
      </c>
      <c r="G49" s="89" t="str">
        <f t="shared" si="0"/>
        <v>3321SNCERAMDAPFL</v>
      </c>
      <c r="H49" s="89" t="s">
        <v>19</v>
      </c>
      <c r="I49" s="89" t="s">
        <v>20</v>
      </c>
      <c r="J49" s="89" t="s">
        <v>21</v>
      </c>
      <c r="K49" s="89" t="s">
        <v>70</v>
      </c>
      <c r="L49" s="89" t="s">
        <v>71</v>
      </c>
      <c r="M49" s="89" t="str">
        <f t="shared" si="1"/>
        <v>3321SNCERAMDAPFL381336</v>
      </c>
      <c r="N49" s="89" t="str">
        <f t="shared" si="2"/>
        <v>3321SNCERAMDAPFL381325</v>
      </c>
      <c r="O49" s="90">
        <v>38</v>
      </c>
      <c r="P49" s="89">
        <v>3321</v>
      </c>
      <c r="Q49" s="89" t="s">
        <v>504</v>
      </c>
      <c r="R49" s="90">
        <v>1336</v>
      </c>
      <c r="S49" s="90">
        <v>12050</v>
      </c>
      <c r="T49" s="90">
        <v>1336</v>
      </c>
      <c r="U49" s="90">
        <v>1325</v>
      </c>
      <c r="V49" s="90">
        <v>12000</v>
      </c>
      <c r="W49" s="81">
        <v>2</v>
      </c>
      <c r="X49" s="82" t="s">
        <v>14</v>
      </c>
      <c r="Y49" s="83" t="s">
        <v>15</v>
      </c>
      <c r="Z49" s="84">
        <v>6</v>
      </c>
      <c r="AA49" s="85" t="s">
        <v>24</v>
      </c>
      <c r="AB49" s="86">
        <v>1450</v>
      </c>
      <c r="AC49" s="83"/>
      <c r="AD49" s="85"/>
      <c r="AE49" s="86"/>
      <c r="AF49" s="83"/>
      <c r="AG49" s="85"/>
      <c r="AH49" s="86"/>
      <c r="AI49" s="83"/>
      <c r="AJ49" s="85"/>
      <c r="AK49" s="86"/>
      <c r="AL49" s="87"/>
      <c r="AM49" s="88"/>
      <c r="AN49" s="88" t="s">
        <v>473</v>
      </c>
      <c r="AO49" s="230" t="str">
        <f t="shared" si="3"/>
        <v>3321SNCERAMDAPFL38</v>
      </c>
    </row>
    <row r="50" spans="1:41" ht="15" customHeight="1" x14ac:dyDescent="0.15">
      <c r="A50" s="80">
        <v>333</v>
      </c>
      <c r="B50" s="89">
        <v>274</v>
      </c>
      <c r="C50" s="89">
        <v>36888</v>
      </c>
      <c r="D50" s="89" t="s">
        <v>65</v>
      </c>
      <c r="E50" s="89" t="s">
        <v>66</v>
      </c>
      <c r="F50" s="89" t="s">
        <v>12</v>
      </c>
      <c r="G50" s="89" t="str">
        <f t="shared" si="0"/>
        <v>330SNCERAMDAR</v>
      </c>
      <c r="H50" s="89" t="s">
        <v>1549</v>
      </c>
      <c r="I50" s="89" t="s">
        <v>1550</v>
      </c>
      <c r="J50" s="89" t="s">
        <v>1552</v>
      </c>
      <c r="K50" s="89" t="s">
        <v>2046</v>
      </c>
      <c r="L50" s="89" t="s">
        <v>2047</v>
      </c>
      <c r="M50" s="89" t="str">
        <f t="shared" si="1"/>
        <v>330SNCERAMDAR1251105</v>
      </c>
      <c r="N50" s="89" t="str">
        <f t="shared" si="2"/>
        <v>330SNCERAMDAR1251100</v>
      </c>
      <c r="O50" s="90">
        <v>125</v>
      </c>
      <c r="P50" s="89">
        <v>330</v>
      </c>
      <c r="Q50" s="89" t="s">
        <v>72</v>
      </c>
      <c r="R50" s="90">
        <v>1105</v>
      </c>
      <c r="S50" s="90">
        <v>3450</v>
      </c>
      <c r="T50" s="90">
        <v>1105</v>
      </c>
      <c r="U50" s="90">
        <v>1100</v>
      </c>
      <c r="V50" s="90">
        <v>3400</v>
      </c>
      <c r="W50" s="81">
        <v>2</v>
      </c>
      <c r="X50" s="82" t="s">
        <v>14</v>
      </c>
      <c r="Y50" s="83" t="s">
        <v>15</v>
      </c>
      <c r="Z50" s="84">
        <v>6</v>
      </c>
      <c r="AA50" s="85" t="s">
        <v>24</v>
      </c>
      <c r="AB50" s="86">
        <v>1450</v>
      </c>
      <c r="AC50" s="83"/>
      <c r="AD50" s="85"/>
      <c r="AE50" s="86"/>
      <c r="AF50" s="83"/>
      <c r="AG50" s="85"/>
      <c r="AH50" s="86"/>
      <c r="AI50" s="83"/>
      <c r="AJ50" s="85"/>
      <c r="AK50" s="86"/>
      <c r="AL50" s="87"/>
      <c r="AM50" s="88"/>
      <c r="AN50" s="88" t="s">
        <v>473</v>
      </c>
      <c r="AO50" s="230" t="str">
        <f t="shared" si="3"/>
        <v>330SNCERAMDAR125</v>
      </c>
    </row>
    <row r="51" spans="1:41" ht="15" customHeight="1" x14ac:dyDescent="0.15">
      <c r="A51" s="80">
        <v>333</v>
      </c>
      <c r="B51" s="89">
        <v>272</v>
      </c>
      <c r="C51" s="89">
        <v>30671</v>
      </c>
      <c r="D51" s="89" t="s">
        <v>73</v>
      </c>
      <c r="E51" s="89" t="s">
        <v>45</v>
      </c>
      <c r="F51" s="89" t="s">
        <v>26</v>
      </c>
      <c r="G51" s="89" t="str">
        <f t="shared" si="0"/>
        <v>331SNCERAMDARX</v>
      </c>
      <c r="H51" s="89" t="s">
        <v>19</v>
      </c>
      <c r="I51" s="89" t="s">
        <v>20</v>
      </c>
      <c r="J51" s="89" t="s">
        <v>21</v>
      </c>
      <c r="K51" s="89" t="s">
        <v>74</v>
      </c>
      <c r="L51" s="89" t="s">
        <v>75</v>
      </c>
      <c r="M51" s="89" t="str">
        <f t="shared" si="1"/>
        <v>331SNCERAMDARX381305</v>
      </c>
      <c r="N51" s="89" t="str">
        <f t="shared" si="2"/>
        <v>331SNCERAMDARX38315</v>
      </c>
      <c r="O51" s="90">
        <v>38</v>
      </c>
      <c r="P51" s="89">
        <v>331</v>
      </c>
      <c r="Q51" s="89" t="s">
        <v>31</v>
      </c>
      <c r="R51" s="90">
        <v>1305</v>
      </c>
      <c r="S51" s="90">
        <v>12200</v>
      </c>
      <c r="T51" s="90">
        <v>315</v>
      </c>
      <c r="U51" s="90">
        <v>315</v>
      </c>
      <c r="V51" s="90">
        <v>1950</v>
      </c>
      <c r="W51" s="81">
        <v>2</v>
      </c>
      <c r="X51" s="82" t="s">
        <v>14</v>
      </c>
      <c r="Y51" s="83" t="s">
        <v>295</v>
      </c>
      <c r="Z51" s="84">
        <v>6</v>
      </c>
      <c r="AA51" s="85" t="s">
        <v>24</v>
      </c>
      <c r="AB51" s="86">
        <v>1450</v>
      </c>
      <c r="AC51" s="83">
        <v>3</v>
      </c>
      <c r="AD51" s="85" t="s">
        <v>39</v>
      </c>
      <c r="AE51" s="86">
        <v>322</v>
      </c>
      <c r="AF51" s="83"/>
      <c r="AG51" s="85"/>
      <c r="AH51" s="86"/>
      <c r="AI51" s="83"/>
      <c r="AJ51" s="85"/>
      <c r="AK51" s="86"/>
      <c r="AL51" s="87"/>
      <c r="AM51" s="88"/>
      <c r="AN51" s="88" t="s">
        <v>471</v>
      </c>
      <c r="AO51" s="230" t="str">
        <f t="shared" si="3"/>
        <v>331SNCERAMDARX38</v>
      </c>
    </row>
    <row r="52" spans="1:41" ht="15" customHeight="1" x14ac:dyDescent="0.15">
      <c r="A52" s="80">
        <v>333</v>
      </c>
      <c r="B52" s="89">
        <v>272</v>
      </c>
      <c r="C52" s="89">
        <v>30671</v>
      </c>
      <c r="D52" s="89" t="s">
        <v>73</v>
      </c>
      <c r="E52" s="89" t="s">
        <v>45</v>
      </c>
      <c r="F52" s="89" t="s">
        <v>12</v>
      </c>
      <c r="G52" s="89" t="str">
        <f t="shared" si="0"/>
        <v>331SNCERAMDARX</v>
      </c>
      <c r="H52" s="89" t="s">
        <v>19</v>
      </c>
      <c r="I52" s="89" t="s">
        <v>20</v>
      </c>
      <c r="J52" s="89" t="s">
        <v>21</v>
      </c>
      <c r="K52" s="89" t="s">
        <v>74</v>
      </c>
      <c r="L52" s="89" t="s">
        <v>75</v>
      </c>
      <c r="M52" s="89" t="str">
        <f t="shared" si="1"/>
        <v>331SNCERAMDARX381305</v>
      </c>
      <c r="N52" s="89" t="str">
        <f t="shared" si="2"/>
        <v>331SNCERAMDARX38415</v>
      </c>
      <c r="O52" s="90">
        <v>38</v>
      </c>
      <c r="P52" s="89">
        <v>331</v>
      </c>
      <c r="Q52" s="89" t="s">
        <v>31</v>
      </c>
      <c r="R52" s="90">
        <v>1305</v>
      </c>
      <c r="S52" s="90">
        <v>12200</v>
      </c>
      <c r="T52" s="90">
        <v>415</v>
      </c>
      <c r="U52" s="90">
        <v>415</v>
      </c>
      <c r="V52" s="90">
        <v>1950</v>
      </c>
      <c r="W52" s="81">
        <v>2</v>
      </c>
      <c r="X52" s="82" t="s">
        <v>14</v>
      </c>
      <c r="Y52" s="83" t="s">
        <v>295</v>
      </c>
      <c r="Z52" s="84">
        <v>6</v>
      </c>
      <c r="AA52" s="85" t="s">
        <v>24</v>
      </c>
      <c r="AB52" s="86">
        <v>1450</v>
      </c>
      <c r="AC52" s="83">
        <v>3</v>
      </c>
      <c r="AD52" s="85" t="s">
        <v>39</v>
      </c>
      <c r="AE52" s="86">
        <v>422</v>
      </c>
      <c r="AF52" s="83"/>
      <c r="AG52" s="85"/>
      <c r="AH52" s="86"/>
      <c r="AI52" s="83"/>
      <c r="AJ52" s="85"/>
      <c r="AK52" s="86"/>
      <c r="AL52" s="87"/>
      <c r="AM52" s="88"/>
      <c r="AN52" s="88" t="s">
        <v>471</v>
      </c>
      <c r="AO52" s="230" t="str">
        <f t="shared" si="3"/>
        <v>331SNCERAMDARX38</v>
      </c>
    </row>
    <row r="53" spans="1:41" ht="15" customHeight="1" x14ac:dyDescent="0.15">
      <c r="A53" s="80">
        <v>333</v>
      </c>
      <c r="B53" s="89">
        <v>272</v>
      </c>
      <c r="C53" s="89">
        <v>36882</v>
      </c>
      <c r="D53" s="89" t="s">
        <v>61</v>
      </c>
      <c r="E53" s="89" t="s">
        <v>45</v>
      </c>
      <c r="F53" s="89" t="s">
        <v>26</v>
      </c>
      <c r="G53" s="89" t="str">
        <f t="shared" si="0"/>
        <v>3SNCERAMDAS</v>
      </c>
      <c r="H53" s="89" t="s">
        <v>19</v>
      </c>
      <c r="I53" s="89" t="s">
        <v>20</v>
      </c>
      <c r="J53" s="89" t="s">
        <v>21</v>
      </c>
      <c r="K53" s="89" t="s">
        <v>76</v>
      </c>
      <c r="L53" s="89" t="s">
        <v>77</v>
      </c>
      <c r="M53" s="89" t="str">
        <f t="shared" si="1"/>
        <v>3SNCERAMDAS501310</v>
      </c>
      <c r="N53" s="89" t="str">
        <f t="shared" si="2"/>
        <v>3SNCERAMDAS501300</v>
      </c>
      <c r="O53" s="90">
        <v>50</v>
      </c>
      <c r="P53" s="89">
        <v>3</v>
      </c>
      <c r="Q53" s="89" t="s">
        <v>78</v>
      </c>
      <c r="R53" s="90">
        <v>1310</v>
      </c>
      <c r="S53" s="90">
        <v>6400</v>
      </c>
      <c r="T53" s="90">
        <v>1310</v>
      </c>
      <c r="U53" s="90">
        <v>1300</v>
      </c>
      <c r="V53" s="90">
        <v>6200</v>
      </c>
      <c r="W53" s="81">
        <v>2</v>
      </c>
      <c r="X53" s="82" t="s">
        <v>14</v>
      </c>
      <c r="Y53" s="83" t="s">
        <v>15</v>
      </c>
      <c r="Z53" s="84">
        <v>6</v>
      </c>
      <c r="AA53" s="85" t="s">
        <v>24</v>
      </c>
      <c r="AB53" s="86">
        <v>1320</v>
      </c>
      <c r="AC53" s="83"/>
      <c r="AD53" s="85"/>
      <c r="AE53" s="86"/>
      <c r="AF53" s="83"/>
      <c r="AG53" s="85"/>
      <c r="AH53" s="86"/>
      <c r="AI53" s="83"/>
      <c r="AJ53" s="85"/>
      <c r="AK53" s="86"/>
      <c r="AL53" s="87"/>
      <c r="AM53" s="88"/>
      <c r="AN53" s="88" t="s">
        <v>471</v>
      </c>
      <c r="AO53" s="230" t="str">
        <f t="shared" si="3"/>
        <v>3SNCERAMDAS50</v>
      </c>
    </row>
    <row r="54" spans="1:41" ht="15" customHeight="1" x14ac:dyDescent="0.15">
      <c r="A54" s="80">
        <v>333</v>
      </c>
      <c r="B54" s="89">
        <v>272</v>
      </c>
      <c r="C54" s="89">
        <v>3804</v>
      </c>
      <c r="D54" s="89" t="s">
        <v>79</v>
      </c>
      <c r="E54" s="89" t="s">
        <v>45</v>
      </c>
      <c r="F54" s="89" t="s">
        <v>12</v>
      </c>
      <c r="G54" s="89" t="str">
        <f t="shared" si="0"/>
        <v>3SNCERAMFACR</v>
      </c>
      <c r="H54" s="89" t="s">
        <v>19</v>
      </c>
      <c r="I54" s="89" t="s">
        <v>20</v>
      </c>
      <c r="J54" s="89" t="s">
        <v>21</v>
      </c>
      <c r="K54" s="89" t="s">
        <v>80</v>
      </c>
      <c r="L54" s="89" t="s">
        <v>81</v>
      </c>
      <c r="M54" s="89" t="str">
        <f t="shared" si="1"/>
        <v>3SNCERAMFACR311370</v>
      </c>
      <c r="N54" s="89" t="str">
        <f t="shared" si="2"/>
        <v>3SNCERAMFACR31440</v>
      </c>
      <c r="O54" s="90">
        <v>31</v>
      </c>
      <c r="P54" s="89">
        <v>3</v>
      </c>
      <c r="Q54" s="89" t="s">
        <v>82</v>
      </c>
      <c r="R54" s="90">
        <v>1370</v>
      </c>
      <c r="S54" s="90">
        <v>13450</v>
      </c>
      <c r="T54" s="90">
        <v>440</v>
      </c>
      <c r="U54" s="90">
        <v>440</v>
      </c>
      <c r="V54" s="90">
        <v>6500</v>
      </c>
      <c r="W54" s="81">
        <v>1</v>
      </c>
      <c r="X54" s="82" t="s">
        <v>14</v>
      </c>
      <c r="Y54" s="83" t="s">
        <v>295</v>
      </c>
      <c r="Z54" s="84">
        <v>6</v>
      </c>
      <c r="AA54" s="85" t="s">
        <v>24</v>
      </c>
      <c r="AB54" s="86">
        <v>1450</v>
      </c>
      <c r="AC54" s="83">
        <v>3</v>
      </c>
      <c r="AD54" s="85" t="s">
        <v>51</v>
      </c>
      <c r="AE54" s="86">
        <v>595</v>
      </c>
      <c r="AF54" s="83"/>
      <c r="AG54" s="85"/>
      <c r="AH54" s="86"/>
      <c r="AI54" s="83"/>
      <c r="AJ54" s="85"/>
      <c r="AK54" s="86"/>
      <c r="AL54" s="87"/>
      <c r="AM54" s="88"/>
      <c r="AN54" s="88" t="s">
        <v>471</v>
      </c>
      <c r="AO54" s="230" t="str">
        <f t="shared" si="3"/>
        <v>3SNCERAMFACR31</v>
      </c>
    </row>
    <row r="55" spans="1:41" ht="15" customHeight="1" x14ac:dyDescent="0.15">
      <c r="A55" s="80">
        <v>333</v>
      </c>
      <c r="B55" s="89">
        <v>271</v>
      </c>
      <c r="C55" s="89">
        <v>50713</v>
      </c>
      <c r="D55" s="89" t="s">
        <v>83</v>
      </c>
      <c r="E55" s="89" t="s">
        <v>18</v>
      </c>
      <c r="F55" s="89"/>
      <c r="G55" s="89" t="str">
        <f t="shared" si="0"/>
        <v>3RSNCERAMFARX</v>
      </c>
      <c r="H55" s="89" t="s">
        <v>19</v>
      </c>
      <c r="I55" s="89" t="s">
        <v>20</v>
      </c>
      <c r="J55" s="89" t="s">
        <v>21</v>
      </c>
      <c r="K55" s="89" t="s">
        <v>84</v>
      </c>
      <c r="L55" s="89" t="s">
        <v>85</v>
      </c>
      <c r="M55" s="89" t="str">
        <f t="shared" si="1"/>
        <v>3RSNCERAMFARX381270</v>
      </c>
      <c r="N55" s="89" t="str">
        <f t="shared" si="2"/>
        <v>3RSNCERAMFARX381265</v>
      </c>
      <c r="O55" s="90">
        <v>38</v>
      </c>
      <c r="P55" s="89" t="s">
        <v>86</v>
      </c>
      <c r="Q55" s="89" t="s">
        <v>31</v>
      </c>
      <c r="R55" s="90">
        <v>1270</v>
      </c>
      <c r="S55" s="90">
        <v>12200</v>
      </c>
      <c r="T55" s="90">
        <v>1265</v>
      </c>
      <c r="U55" s="90">
        <v>1265</v>
      </c>
      <c r="V55" s="90">
        <v>4000</v>
      </c>
      <c r="W55" s="81">
        <v>2</v>
      </c>
      <c r="X55" s="82" t="s">
        <v>14</v>
      </c>
      <c r="Y55" s="83" t="s">
        <v>295</v>
      </c>
      <c r="Z55" s="84">
        <v>6</v>
      </c>
      <c r="AA55" s="85" t="s">
        <v>24</v>
      </c>
      <c r="AB55" s="86">
        <v>1450</v>
      </c>
      <c r="AC55" s="83">
        <v>6</v>
      </c>
      <c r="AD55" s="85" t="s">
        <v>24</v>
      </c>
      <c r="AE55" s="86">
        <v>1300</v>
      </c>
      <c r="AF55" s="83"/>
      <c r="AG55" s="85"/>
      <c r="AH55" s="86"/>
      <c r="AI55" s="83"/>
      <c r="AJ55" s="85"/>
      <c r="AK55" s="86"/>
      <c r="AL55" s="87"/>
      <c r="AM55" s="88"/>
      <c r="AN55" s="88" t="s">
        <v>471</v>
      </c>
      <c r="AO55" s="230" t="str">
        <f t="shared" si="3"/>
        <v>3RSNCERAMFARX38</v>
      </c>
    </row>
    <row r="56" spans="1:41" ht="15" customHeight="1" x14ac:dyDescent="0.15">
      <c r="A56" s="80">
        <v>333</v>
      </c>
      <c r="B56" s="89">
        <v>271</v>
      </c>
      <c r="C56" s="89">
        <v>3312</v>
      </c>
      <c r="D56" s="89" t="s">
        <v>87</v>
      </c>
      <c r="E56" s="89" t="s">
        <v>18</v>
      </c>
      <c r="F56" s="89" t="s">
        <v>12</v>
      </c>
      <c r="G56" s="89" t="str">
        <f t="shared" si="0"/>
        <v>3SNCERAMFAS</v>
      </c>
      <c r="H56" s="89" t="s">
        <v>19</v>
      </c>
      <c r="I56" s="89" t="s">
        <v>20</v>
      </c>
      <c r="J56" s="89" t="s">
        <v>21</v>
      </c>
      <c r="K56" s="89" t="s">
        <v>88</v>
      </c>
      <c r="L56" s="89" t="s">
        <v>89</v>
      </c>
      <c r="M56" s="89" t="str">
        <f t="shared" si="1"/>
        <v>3SNCERAMFAS751120</v>
      </c>
      <c r="N56" s="89" t="str">
        <f t="shared" si="2"/>
        <v>3SNCERAMFAS75220</v>
      </c>
      <c r="O56" s="90">
        <v>75</v>
      </c>
      <c r="P56" s="89">
        <v>3</v>
      </c>
      <c r="Q56" s="89" t="s">
        <v>59</v>
      </c>
      <c r="R56" s="90">
        <v>1120</v>
      </c>
      <c r="S56" s="90">
        <v>4000</v>
      </c>
      <c r="T56" s="90">
        <v>220</v>
      </c>
      <c r="U56" s="90">
        <v>220</v>
      </c>
      <c r="V56" s="90">
        <v>1200</v>
      </c>
      <c r="W56" s="81">
        <v>1</v>
      </c>
      <c r="X56" s="82" t="s">
        <v>14</v>
      </c>
      <c r="Y56" s="83" t="s">
        <v>295</v>
      </c>
      <c r="Z56" s="84">
        <v>6</v>
      </c>
      <c r="AA56" s="85" t="s">
        <v>24</v>
      </c>
      <c r="AB56" s="86">
        <v>1450</v>
      </c>
      <c r="AC56" s="83">
        <v>3</v>
      </c>
      <c r="AD56" s="85" t="s">
        <v>39</v>
      </c>
      <c r="AE56" s="86">
        <v>224</v>
      </c>
      <c r="AF56" s="83"/>
      <c r="AG56" s="85"/>
      <c r="AH56" s="86"/>
      <c r="AI56" s="83"/>
      <c r="AJ56" s="85"/>
      <c r="AK56" s="86"/>
      <c r="AL56" s="87"/>
      <c r="AM56" s="88"/>
      <c r="AN56" s="88" t="s">
        <v>471</v>
      </c>
      <c r="AO56" s="230" t="str">
        <f t="shared" si="3"/>
        <v>3SNCERAMFAS75</v>
      </c>
    </row>
    <row r="57" spans="1:41" ht="15" customHeight="1" x14ac:dyDescent="0.15">
      <c r="A57" s="80">
        <v>333</v>
      </c>
      <c r="B57" s="89">
        <v>272</v>
      </c>
      <c r="C57" s="89">
        <v>4138</v>
      </c>
      <c r="D57" s="89" t="s">
        <v>90</v>
      </c>
      <c r="E57" s="89" t="s">
        <v>45</v>
      </c>
      <c r="F57" s="89"/>
      <c r="G57" s="89" t="str">
        <f t="shared" si="0"/>
        <v>3SNCERAMFAS</v>
      </c>
      <c r="H57" s="89" t="s">
        <v>19</v>
      </c>
      <c r="I57" s="89" t="s">
        <v>20</v>
      </c>
      <c r="J57" s="89" t="s">
        <v>21</v>
      </c>
      <c r="K57" s="89" t="s">
        <v>88</v>
      </c>
      <c r="L57" s="89" t="s">
        <v>89</v>
      </c>
      <c r="M57" s="89" t="str">
        <f t="shared" si="1"/>
        <v>3SNCERAMFAS751310</v>
      </c>
      <c r="N57" s="89" t="str">
        <f t="shared" si="2"/>
        <v>3SNCERAMFAS75620</v>
      </c>
      <c r="O57" s="90">
        <v>75</v>
      </c>
      <c r="P57" s="89">
        <v>3</v>
      </c>
      <c r="Q57" s="89" t="s">
        <v>59</v>
      </c>
      <c r="R57" s="90">
        <v>1310</v>
      </c>
      <c r="S57" s="90">
        <v>4000</v>
      </c>
      <c r="T57" s="90">
        <v>620</v>
      </c>
      <c r="U57" s="90">
        <v>620</v>
      </c>
      <c r="V57" s="90">
        <v>400</v>
      </c>
      <c r="W57" s="81">
        <v>2</v>
      </c>
      <c r="X57" s="82" t="s">
        <v>14</v>
      </c>
      <c r="Y57" s="83" t="s">
        <v>295</v>
      </c>
      <c r="Z57" s="84">
        <v>6</v>
      </c>
      <c r="AA57" s="85" t="s">
        <v>24</v>
      </c>
      <c r="AB57" s="86">
        <v>1450</v>
      </c>
      <c r="AC57" s="83">
        <v>3</v>
      </c>
      <c r="AD57" s="85" t="s">
        <v>39</v>
      </c>
      <c r="AE57" s="86">
        <v>625</v>
      </c>
      <c r="AF57" s="83"/>
      <c r="AG57" s="85"/>
      <c r="AH57" s="86"/>
      <c r="AI57" s="83"/>
      <c r="AJ57" s="85"/>
      <c r="AK57" s="86"/>
      <c r="AL57" s="87"/>
      <c r="AM57" s="88"/>
      <c r="AN57" s="88" t="s">
        <v>471</v>
      </c>
      <c r="AO57" s="230" t="str">
        <f t="shared" si="3"/>
        <v>3SNCERAMFAS75</v>
      </c>
    </row>
    <row r="58" spans="1:41" ht="15" customHeight="1" x14ac:dyDescent="0.15">
      <c r="A58" s="80">
        <v>333</v>
      </c>
      <c r="B58" s="89">
        <v>272</v>
      </c>
      <c r="C58" s="89">
        <v>4138</v>
      </c>
      <c r="D58" s="89" t="s">
        <v>90</v>
      </c>
      <c r="E58" s="89" t="s">
        <v>45</v>
      </c>
      <c r="F58" s="89"/>
      <c r="G58" s="89" t="str">
        <f t="shared" si="0"/>
        <v>3SNCERAMFAS</v>
      </c>
      <c r="H58" s="89" t="s">
        <v>19</v>
      </c>
      <c r="I58" s="89" t="s">
        <v>20</v>
      </c>
      <c r="J58" s="89" t="s">
        <v>21</v>
      </c>
      <c r="K58" s="89" t="s">
        <v>88</v>
      </c>
      <c r="L58" s="89" t="s">
        <v>89</v>
      </c>
      <c r="M58" s="89" t="str">
        <f t="shared" si="1"/>
        <v>3SNCERAMFAS751350</v>
      </c>
      <c r="N58" s="89" t="str">
        <f t="shared" si="2"/>
        <v>3SNCERAMFAS75620</v>
      </c>
      <c r="O58" s="90">
        <v>75</v>
      </c>
      <c r="P58" s="89">
        <v>3</v>
      </c>
      <c r="Q58" s="89" t="s">
        <v>59</v>
      </c>
      <c r="R58" s="90">
        <v>1350</v>
      </c>
      <c r="S58" s="90">
        <v>4100</v>
      </c>
      <c r="T58" s="90">
        <v>620</v>
      </c>
      <c r="U58" s="90">
        <v>620</v>
      </c>
      <c r="V58" s="90">
        <v>400</v>
      </c>
      <c r="W58" s="81">
        <v>2</v>
      </c>
      <c r="X58" s="82" t="s">
        <v>14</v>
      </c>
      <c r="Y58" s="83" t="s">
        <v>295</v>
      </c>
      <c r="Z58" s="84">
        <v>6</v>
      </c>
      <c r="AA58" s="85" t="s">
        <v>24</v>
      </c>
      <c r="AB58" s="86">
        <v>1450</v>
      </c>
      <c r="AC58" s="83">
        <v>3</v>
      </c>
      <c r="AD58" s="85" t="s">
        <v>39</v>
      </c>
      <c r="AE58" s="86">
        <v>625</v>
      </c>
      <c r="AF58" s="83"/>
      <c r="AG58" s="85"/>
      <c r="AH58" s="86"/>
      <c r="AI58" s="83"/>
      <c r="AJ58" s="85"/>
      <c r="AK58" s="86"/>
      <c r="AL58" s="87"/>
      <c r="AM58" s="88"/>
      <c r="AN58" s="88" t="s">
        <v>471</v>
      </c>
      <c r="AO58" s="230" t="str">
        <f t="shared" si="3"/>
        <v>3SNCERAMFAS75</v>
      </c>
    </row>
    <row r="59" spans="1:41" ht="15" customHeight="1" x14ac:dyDescent="0.15">
      <c r="A59" s="80">
        <v>333</v>
      </c>
      <c r="B59" s="89">
        <v>276</v>
      </c>
      <c r="C59" s="89">
        <v>3621</v>
      </c>
      <c r="D59" s="89" t="s">
        <v>57</v>
      </c>
      <c r="E59" s="89" t="s">
        <v>2048</v>
      </c>
      <c r="F59" s="89" t="s">
        <v>12</v>
      </c>
      <c r="G59" s="89" t="str">
        <f t="shared" si="0"/>
        <v>3SNCERAMFAS</v>
      </c>
      <c r="H59" s="89" t="s">
        <v>19</v>
      </c>
      <c r="I59" s="89" t="s">
        <v>20</v>
      </c>
      <c r="J59" s="89" t="s">
        <v>21</v>
      </c>
      <c r="K59" s="89" t="s">
        <v>88</v>
      </c>
      <c r="L59" s="89" t="s">
        <v>89</v>
      </c>
      <c r="M59" s="89" t="str">
        <f t="shared" si="1"/>
        <v>3SNCERAMFAS751045</v>
      </c>
      <c r="N59" s="89" t="str">
        <f t="shared" si="2"/>
        <v>3SNCERAMFAS751040</v>
      </c>
      <c r="O59" s="90">
        <v>75</v>
      </c>
      <c r="P59" s="89">
        <v>3</v>
      </c>
      <c r="Q59" s="89" t="s">
        <v>59</v>
      </c>
      <c r="R59" s="90">
        <v>1045</v>
      </c>
      <c r="S59" s="90">
        <v>4200</v>
      </c>
      <c r="T59" s="90">
        <v>1045</v>
      </c>
      <c r="U59" s="90">
        <v>1040</v>
      </c>
      <c r="V59" s="90">
        <v>4000</v>
      </c>
      <c r="W59" s="81">
        <v>2</v>
      </c>
      <c r="X59" s="82" t="s">
        <v>14</v>
      </c>
      <c r="Y59" s="83"/>
      <c r="Z59" s="84">
        <v>6</v>
      </c>
      <c r="AA59" s="85" t="s">
        <v>24</v>
      </c>
      <c r="AB59" s="86">
        <v>1450</v>
      </c>
      <c r="AC59" s="83"/>
      <c r="AD59" s="85"/>
      <c r="AE59" s="86"/>
      <c r="AF59" s="83"/>
      <c r="AG59" s="85"/>
      <c r="AH59" s="86"/>
      <c r="AI59" s="83"/>
      <c r="AJ59" s="85"/>
      <c r="AK59" s="86"/>
      <c r="AL59" s="87"/>
      <c r="AM59" s="88"/>
      <c r="AN59" s="88" t="s">
        <v>471</v>
      </c>
      <c r="AO59" s="230" t="str">
        <f t="shared" si="3"/>
        <v>3SNCERAMFAS75</v>
      </c>
    </row>
    <row r="60" spans="1:41" ht="15" customHeight="1" x14ac:dyDescent="0.15">
      <c r="A60" s="80">
        <v>333</v>
      </c>
      <c r="B60" s="89">
        <v>272</v>
      </c>
      <c r="C60" s="89">
        <v>3426</v>
      </c>
      <c r="D60" s="89" t="s">
        <v>91</v>
      </c>
      <c r="E60" s="89" t="s">
        <v>45</v>
      </c>
      <c r="F60" s="89" t="s">
        <v>12</v>
      </c>
      <c r="G60" s="89" t="str">
        <f t="shared" si="0"/>
        <v>3SNCERAMFAS</v>
      </c>
      <c r="H60" s="89" t="s">
        <v>19</v>
      </c>
      <c r="I60" s="89" t="s">
        <v>20</v>
      </c>
      <c r="J60" s="89" t="s">
        <v>21</v>
      </c>
      <c r="K60" s="89" t="s">
        <v>88</v>
      </c>
      <c r="L60" s="89" t="s">
        <v>89</v>
      </c>
      <c r="M60" s="89" t="str">
        <f t="shared" si="1"/>
        <v>3SNCERAMFAS1001020</v>
      </c>
      <c r="N60" s="89" t="str">
        <f t="shared" si="2"/>
        <v>3SNCERAMFAS100330</v>
      </c>
      <c r="O60" s="90">
        <v>100</v>
      </c>
      <c r="P60" s="89">
        <v>3</v>
      </c>
      <c r="Q60" s="89" t="s">
        <v>59</v>
      </c>
      <c r="R60" s="90">
        <v>1020</v>
      </c>
      <c r="S60" s="90">
        <v>2400</v>
      </c>
      <c r="T60" s="90">
        <v>330</v>
      </c>
      <c r="U60" s="90">
        <v>330</v>
      </c>
      <c r="V60" s="90">
        <v>550</v>
      </c>
      <c r="W60" s="81">
        <v>1</v>
      </c>
      <c r="X60" s="82" t="s">
        <v>14</v>
      </c>
      <c r="Y60" s="83" t="s">
        <v>295</v>
      </c>
      <c r="Z60" s="84">
        <v>6</v>
      </c>
      <c r="AA60" s="85" t="s">
        <v>24</v>
      </c>
      <c r="AB60" s="86" t="s">
        <v>92</v>
      </c>
      <c r="AC60" s="83">
        <v>3</v>
      </c>
      <c r="AD60" s="85" t="s">
        <v>39</v>
      </c>
      <c r="AE60" s="86">
        <v>333</v>
      </c>
      <c r="AF60" s="83"/>
      <c r="AG60" s="85"/>
      <c r="AH60" s="86"/>
      <c r="AI60" s="83"/>
      <c r="AJ60" s="85"/>
      <c r="AK60" s="86"/>
      <c r="AL60" s="87"/>
      <c r="AM60" s="88"/>
      <c r="AN60" s="88" t="s">
        <v>471</v>
      </c>
      <c r="AO60" s="230" t="str">
        <f t="shared" si="3"/>
        <v>3SNCERAMFAS100</v>
      </c>
    </row>
    <row r="61" spans="1:41" ht="15" customHeight="1" x14ac:dyDescent="0.15">
      <c r="A61" s="80">
        <v>333</v>
      </c>
      <c r="B61" s="89">
        <v>276</v>
      </c>
      <c r="C61" s="89">
        <v>2380</v>
      </c>
      <c r="D61" s="89" t="s">
        <v>93</v>
      </c>
      <c r="E61" s="89" t="s">
        <v>58</v>
      </c>
      <c r="F61" s="89" t="s">
        <v>12</v>
      </c>
      <c r="G61" s="89" t="str">
        <f t="shared" si="0"/>
        <v>331SNCERAMFAS</v>
      </c>
      <c r="H61" s="89" t="s">
        <v>19</v>
      </c>
      <c r="I61" s="89" t="s">
        <v>20</v>
      </c>
      <c r="J61" s="89" t="s">
        <v>21</v>
      </c>
      <c r="K61" s="89" t="s">
        <v>88</v>
      </c>
      <c r="L61" s="89" t="s">
        <v>89</v>
      </c>
      <c r="M61" s="89" t="str">
        <f t="shared" si="1"/>
        <v>331SNCERAMFAS1001040</v>
      </c>
      <c r="N61" s="89" t="str">
        <f t="shared" si="2"/>
        <v>331SNCERAMFAS100450</v>
      </c>
      <c r="O61" s="90">
        <v>100</v>
      </c>
      <c r="P61" s="89">
        <v>331</v>
      </c>
      <c r="Q61" s="89" t="s">
        <v>59</v>
      </c>
      <c r="R61" s="90">
        <v>1040</v>
      </c>
      <c r="S61" s="90">
        <v>2100</v>
      </c>
      <c r="T61" s="90">
        <v>450</v>
      </c>
      <c r="U61" s="90">
        <v>450</v>
      </c>
      <c r="V61" s="90">
        <v>800</v>
      </c>
      <c r="W61" s="81">
        <v>2</v>
      </c>
      <c r="X61" s="82" t="s">
        <v>14</v>
      </c>
      <c r="Y61" s="83" t="s">
        <v>295</v>
      </c>
      <c r="Z61" s="84">
        <v>6</v>
      </c>
      <c r="AA61" s="85" t="s">
        <v>24</v>
      </c>
      <c r="AB61" s="86">
        <v>1450</v>
      </c>
      <c r="AC61" s="83">
        <v>3</v>
      </c>
      <c r="AD61" s="85" t="s">
        <v>39</v>
      </c>
      <c r="AE61" s="86">
        <v>455</v>
      </c>
      <c r="AF61" s="83"/>
      <c r="AG61" s="85"/>
      <c r="AH61" s="86"/>
      <c r="AI61" s="83"/>
      <c r="AJ61" s="85"/>
      <c r="AK61" s="86"/>
      <c r="AL61" s="87"/>
      <c r="AM61" s="88"/>
      <c r="AN61" s="88" t="s">
        <v>471</v>
      </c>
      <c r="AO61" s="230" t="str">
        <f t="shared" si="3"/>
        <v>331SNCERAMFAS100</v>
      </c>
    </row>
    <row r="62" spans="1:41" ht="15" customHeight="1" x14ac:dyDescent="0.15">
      <c r="A62" s="80">
        <v>333</v>
      </c>
      <c r="B62" s="89">
        <v>276</v>
      </c>
      <c r="C62" s="89">
        <v>2380</v>
      </c>
      <c r="D62" s="89" t="s">
        <v>93</v>
      </c>
      <c r="E62" s="89" t="s">
        <v>58</v>
      </c>
      <c r="F62" s="89" t="s">
        <v>12</v>
      </c>
      <c r="G62" s="89" t="str">
        <f t="shared" si="0"/>
        <v>331SNCERAMFAS</v>
      </c>
      <c r="H62" s="89" t="s">
        <v>19</v>
      </c>
      <c r="I62" s="89" t="s">
        <v>20</v>
      </c>
      <c r="J62" s="89" t="s">
        <v>21</v>
      </c>
      <c r="K62" s="89" t="s">
        <v>88</v>
      </c>
      <c r="L62" s="89" t="s">
        <v>89</v>
      </c>
      <c r="M62" s="89" t="str">
        <f t="shared" si="1"/>
        <v>331SNCERAMFAS1001020</v>
      </c>
      <c r="N62" s="89" t="str">
        <f t="shared" si="2"/>
        <v>331SNCERAMFAS100450</v>
      </c>
      <c r="O62" s="90">
        <v>100</v>
      </c>
      <c r="P62" s="89">
        <v>331</v>
      </c>
      <c r="Q62" s="89" t="s">
        <v>59</v>
      </c>
      <c r="R62" s="90">
        <v>1020</v>
      </c>
      <c r="S62" s="90">
        <v>2400</v>
      </c>
      <c r="T62" s="90">
        <v>450</v>
      </c>
      <c r="U62" s="90">
        <v>450</v>
      </c>
      <c r="V62" s="90">
        <v>800</v>
      </c>
      <c r="W62" s="81">
        <v>2</v>
      </c>
      <c r="X62" s="82" t="s">
        <v>14</v>
      </c>
      <c r="Y62" s="83" t="s">
        <v>295</v>
      </c>
      <c r="Z62" s="84">
        <v>6</v>
      </c>
      <c r="AA62" s="85" t="s">
        <v>24</v>
      </c>
      <c r="AB62" s="86">
        <v>1450</v>
      </c>
      <c r="AC62" s="83">
        <v>3</v>
      </c>
      <c r="AD62" s="85" t="s">
        <v>39</v>
      </c>
      <c r="AE62" s="86">
        <v>455</v>
      </c>
      <c r="AF62" s="83"/>
      <c r="AG62" s="85"/>
      <c r="AH62" s="86"/>
      <c r="AI62" s="83"/>
      <c r="AJ62" s="85"/>
      <c r="AK62" s="86"/>
      <c r="AL62" s="87"/>
      <c r="AM62" s="88"/>
      <c r="AN62" s="88" t="s">
        <v>471</v>
      </c>
      <c r="AO62" s="230" t="str">
        <f t="shared" si="3"/>
        <v>331SNCERAMFAS100</v>
      </c>
    </row>
    <row r="63" spans="1:41" ht="15" customHeight="1" x14ac:dyDescent="0.15">
      <c r="A63" s="80">
        <v>333</v>
      </c>
      <c r="B63" s="89">
        <v>272</v>
      </c>
      <c r="C63" s="89">
        <v>3426</v>
      </c>
      <c r="D63" s="89" t="s">
        <v>91</v>
      </c>
      <c r="E63" s="89" t="s">
        <v>45</v>
      </c>
      <c r="F63" s="89" t="s">
        <v>12</v>
      </c>
      <c r="G63" s="89" t="str">
        <f t="shared" si="0"/>
        <v>3SNCERAMFAS</v>
      </c>
      <c r="H63" s="89" t="s">
        <v>19</v>
      </c>
      <c r="I63" s="89" t="s">
        <v>20</v>
      </c>
      <c r="J63" s="89" t="s">
        <v>21</v>
      </c>
      <c r="K63" s="89" t="s">
        <v>88</v>
      </c>
      <c r="L63" s="89" t="s">
        <v>89</v>
      </c>
      <c r="M63" s="89" t="str">
        <f t="shared" si="1"/>
        <v>3SNCERAMFAS1251250</v>
      </c>
      <c r="N63" s="89" t="str">
        <f t="shared" si="2"/>
        <v>3SNCERAMFAS125150</v>
      </c>
      <c r="O63" s="90">
        <v>125</v>
      </c>
      <c r="P63" s="89">
        <v>3</v>
      </c>
      <c r="Q63" s="89" t="s">
        <v>59</v>
      </c>
      <c r="R63" s="90">
        <v>1250</v>
      </c>
      <c r="S63" s="90">
        <v>2000</v>
      </c>
      <c r="T63" s="90">
        <v>150</v>
      </c>
      <c r="U63" s="90">
        <v>150</v>
      </c>
      <c r="V63" s="90">
        <v>200</v>
      </c>
      <c r="W63" s="81">
        <v>1</v>
      </c>
      <c r="X63" s="82" t="s">
        <v>14</v>
      </c>
      <c r="Y63" s="83" t="s">
        <v>295</v>
      </c>
      <c r="Z63" s="84">
        <v>6</v>
      </c>
      <c r="AA63" s="85" t="s">
        <v>24</v>
      </c>
      <c r="AB63" s="86">
        <v>1450</v>
      </c>
      <c r="AC63" s="83">
        <v>3</v>
      </c>
      <c r="AD63" s="85" t="s">
        <v>39</v>
      </c>
      <c r="AE63" s="86">
        <v>151</v>
      </c>
      <c r="AF63" s="83"/>
      <c r="AG63" s="85"/>
      <c r="AH63" s="86"/>
      <c r="AI63" s="83"/>
      <c r="AJ63" s="85"/>
      <c r="AK63" s="86"/>
      <c r="AL63" s="87"/>
      <c r="AM63" s="88"/>
      <c r="AN63" s="88" t="s">
        <v>471</v>
      </c>
      <c r="AO63" s="230" t="str">
        <f t="shared" si="3"/>
        <v>3SNCERAMFAS125</v>
      </c>
    </row>
    <row r="64" spans="1:41" ht="15" customHeight="1" x14ac:dyDescent="0.15">
      <c r="A64" s="80">
        <v>333</v>
      </c>
      <c r="B64" s="89">
        <v>271</v>
      </c>
      <c r="C64" s="89">
        <v>41605</v>
      </c>
      <c r="D64" s="89" t="s">
        <v>94</v>
      </c>
      <c r="E64" s="89" t="s">
        <v>18</v>
      </c>
      <c r="F64" s="89" t="s">
        <v>26</v>
      </c>
      <c r="G64" s="89" t="str">
        <f t="shared" si="0"/>
        <v>3SNCERAMFAS</v>
      </c>
      <c r="H64" s="89" t="s">
        <v>19</v>
      </c>
      <c r="I64" s="89" t="s">
        <v>20</v>
      </c>
      <c r="J64" s="89" t="s">
        <v>21</v>
      </c>
      <c r="K64" s="89" t="s">
        <v>88</v>
      </c>
      <c r="L64" s="89" t="s">
        <v>89</v>
      </c>
      <c r="M64" s="89" t="str">
        <f t="shared" si="1"/>
        <v>3SNCERAMFAS1251250</v>
      </c>
      <c r="N64" s="89" t="str">
        <f t="shared" si="2"/>
        <v>3SNCERAMFAS125200</v>
      </c>
      <c r="O64" s="90">
        <v>125</v>
      </c>
      <c r="P64" s="89">
        <v>3</v>
      </c>
      <c r="Q64" s="89" t="s">
        <v>59</v>
      </c>
      <c r="R64" s="90">
        <v>1250</v>
      </c>
      <c r="S64" s="90">
        <v>2000</v>
      </c>
      <c r="T64" s="90">
        <v>200</v>
      </c>
      <c r="U64" s="90">
        <v>200</v>
      </c>
      <c r="V64" s="90">
        <v>400</v>
      </c>
      <c r="W64" s="81">
        <v>1</v>
      </c>
      <c r="X64" s="82" t="s">
        <v>14</v>
      </c>
      <c r="Y64" s="83" t="s">
        <v>295</v>
      </c>
      <c r="Z64" s="84">
        <v>6</v>
      </c>
      <c r="AA64" s="85" t="s">
        <v>24</v>
      </c>
      <c r="AB64" s="86">
        <v>1450</v>
      </c>
      <c r="AC64" s="83">
        <v>3</v>
      </c>
      <c r="AD64" s="85" t="s">
        <v>39</v>
      </c>
      <c r="AE64" s="86">
        <v>210</v>
      </c>
      <c r="AF64" s="83"/>
      <c r="AG64" s="85"/>
      <c r="AH64" s="86"/>
      <c r="AI64" s="83"/>
      <c r="AJ64" s="85"/>
      <c r="AK64" s="86"/>
      <c r="AL64" s="87"/>
      <c r="AM64" s="88"/>
      <c r="AN64" s="88" t="s">
        <v>471</v>
      </c>
      <c r="AO64" s="230" t="str">
        <f t="shared" si="3"/>
        <v>3SNCERAMFAS125</v>
      </c>
    </row>
    <row r="65" spans="1:41" ht="15" customHeight="1" x14ac:dyDescent="0.15">
      <c r="A65" s="80">
        <v>333</v>
      </c>
      <c r="B65" s="89">
        <v>272</v>
      </c>
      <c r="C65" s="89">
        <v>2153</v>
      </c>
      <c r="D65" s="89" t="s">
        <v>95</v>
      </c>
      <c r="E65" s="89" t="s">
        <v>45</v>
      </c>
      <c r="F65" s="89" t="s">
        <v>46</v>
      </c>
      <c r="G65" s="89" t="str">
        <f t="shared" si="0"/>
        <v>3HSNCERAMFAS</v>
      </c>
      <c r="H65" s="89" t="s">
        <v>19</v>
      </c>
      <c r="I65" s="89" t="s">
        <v>20</v>
      </c>
      <c r="J65" s="89" t="s">
        <v>21</v>
      </c>
      <c r="K65" s="89" t="s">
        <v>88</v>
      </c>
      <c r="L65" s="89" t="s">
        <v>89</v>
      </c>
      <c r="M65" s="89" t="str">
        <f t="shared" si="1"/>
        <v>3HSNCERAMFAS1881230</v>
      </c>
      <c r="N65" s="89" t="str">
        <f t="shared" si="2"/>
        <v>3HSNCERAMFAS188270</v>
      </c>
      <c r="O65" s="90">
        <v>188</v>
      </c>
      <c r="P65" s="89" t="s">
        <v>96</v>
      </c>
      <c r="Q65" s="89" t="s">
        <v>78</v>
      </c>
      <c r="R65" s="90">
        <v>1230</v>
      </c>
      <c r="S65" s="90">
        <v>1800</v>
      </c>
      <c r="T65" s="90">
        <v>270</v>
      </c>
      <c r="U65" s="90">
        <v>270</v>
      </c>
      <c r="V65" s="90">
        <v>250</v>
      </c>
      <c r="W65" s="81">
        <v>2</v>
      </c>
      <c r="X65" s="82" t="s">
        <v>14</v>
      </c>
      <c r="Y65" s="83" t="s">
        <v>295</v>
      </c>
      <c r="Z65" s="84">
        <v>6</v>
      </c>
      <c r="AA65" s="85" t="s">
        <v>24</v>
      </c>
      <c r="AB65" s="86">
        <v>1450</v>
      </c>
      <c r="AC65" s="83">
        <v>3</v>
      </c>
      <c r="AD65" s="85" t="s">
        <v>39</v>
      </c>
      <c r="AE65" s="86">
        <v>400</v>
      </c>
      <c r="AF65" s="83"/>
      <c r="AG65" s="85"/>
      <c r="AH65" s="86"/>
      <c r="AI65" s="83"/>
      <c r="AJ65" s="85"/>
      <c r="AK65" s="86"/>
      <c r="AL65" s="87"/>
      <c r="AM65" s="88"/>
      <c r="AN65" s="88" t="s">
        <v>471</v>
      </c>
      <c r="AO65" s="230" t="str">
        <f t="shared" si="3"/>
        <v>3HSNCERAMFAS188</v>
      </c>
    </row>
    <row r="66" spans="1:41" ht="15" customHeight="1" x14ac:dyDescent="0.15">
      <c r="A66" s="80">
        <v>333</v>
      </c>
      <c r="B66" s="89">
        <v>272</v>
      </c>
      <c r="C66" s="89">
        <v>2153</v>
      </c>
      <c r="D66" s="89" t="s">
        <v>95</v>
      </c>
      <c r="E66" s="89" t="s">
        <v>45</v>
      </c>
      <c r="F66" s="89" t="s">
        <v>46</v>
      </c>
      <c r="G66" s="89" t="str">
        <f t="shared" si="0"/>
        <v>3HSNCERAMFAS</v>
      </c>
      <c r="H66" s="89" t="s">
        <v>19</v>
      </c>
      <c r="I66" s="89" t="s">
        <v>20</v>
      </c>
      <c r="J66" s="89" t="s">
        <v>21</v>
      </c>
      <c r="K66" s="89" t="s">
        <v>88</v>
      </c>
      <c r="L66" s="89" t="s">
        <v>89</v>
      </c>
      <c r="M66" s="89" t="str">
        <f t="shared" si="1"/>
        <v>3HSNCERAMFAS1881230</v>
      </c>
      <c r="N66" s="89" t="str">
        <f t="shared" si="2"/>
        <v>3HSNCERAMFAS188360</v>
      </c>
      <c r="O66" s="90">
        <v>188</v>
      </c>
      <c r="P66" s="89" t="s">
        <v>96</v>
      </c>
      <c r="Q66" s="89" t="s">
        <v>78</v>
      </c>
      <c r="R66" s="90">
        <v>1230</v>
      </c>
      <c r="S66" s="90">
        <v>1800</v>
      </c>
      <c r="T66" s="90">
        <v>360</v>
      </c>
      <c r="U66" s="90">
        <v>360</v>
      </c>
      <c r="V66" s="90">
        <v>250</v>
      </c>
      <c r="W66" s="81">
        <v>2</v>
      </c>
      <c r="X66" s="82" t="s">
        <v>14</v>
      </c>
      <c r="Y66" s="83" t="s">
        <v>295</v>
      </c>
      <c r="Z66" s="84">
        <v>6</v>
      </c>
      <c r="AA66" s="85" t="s">
        <v>24</v>
      </c>
      <c r="AB66" s="86">
        <v>1450</v>
      </c>
      <c r="AC66" s="83">
        <v>3</v>
      </c>
      <c r="AD66" s="85" t="s">
        <v>39</v>
      </c>
      <c r="AE66" s="86">
        <v>400</v>
      </c>
      <c r="AF66" s="83"/>
      <c r="AG66" s="85"/>
      <c r="AH66" s="86"/>
      <c r="AI66" s="83"/>
      <c r="AJ66" s="85"/>
      <c r="AK66" s="86"/>
      <c r="AL66" s="87"/>
      <c r="AM66" s="88"/>
      <c r="AN66" s="88" t="s">
        <v>471</v>
      </c>
      <c r="AO66" s="230" t="str">
        <f t="shared" si="3"/>
        <v>3HSNCERAMFAS188</v>
      </c>
    </row>
    <row r="67" spans="1:41" ht="15" customHeight="1" x14ac:dyDescent="0.15">
      <c r="A67" s="80">
        <v>333</v>
      </c>
      <c r="B67" s="89">
        <v>271</v>
      </c>
      <c r="C67" s="89">
        <v>6092</v>
      </c>
      <c r="D67" s="89" t="s">
        <v>97</v>
      </c>
      <c r="E67" s="89" t="s">
        <v>18</v>
      </c>
      <c r="F67" s="89" t="s">
        <v>12</v>
      </c>
      <c r="G67" s="89" t="str">
        <f t="shared" si="0"/>
        <v>331SYCERAMFAS</v>
      </c>
      <c r="H67" s="89" t="s">
        <v>19</v>
      </c>
      <c r="I67" s="89" t="s">
        <v>28</v>
      </c>
      <c r="J67" s="89" t="s">
        <v>21</v>
      </c>
      <c r="K67" s="89" t="s">
        <v>88</v>
      </c>
      <c r="L67" s="89" t="s">
        <v>89</v>
      </c>
      <c r="M67" s="89" t="str">
        <f t="shared" si="1"/>
        <v>331SYCERAMFAS1881040</v>
      </c>
      <c r="N67" s="89" t="str">
        <f t="shared" si="2"/>
        <v>331SYCERAMFAS188500</v>
      </c>
      <c r="O67" s="90">
        <v>188</v>
      </c>
      <c r="P67" s="89">
        <v>331</v>
      </c>
      <c r="Q67" s="89" t="s">
        <v>78</v>
      </c>
      <c r="R67" s="90">
        <v>1040</v>
      </c>
      <c r="S67" s="90">
        <v>1800</v>
      </c>
      <c r="T67" s="90">
        <v>500</v>
      </c>
      <c r="U67" s="90">
        <v>500</v>
      </c>
      <c r="V67" s="90">
        <v>200</v>
      </c>
      <c r="W67" s="81">
        <v>1</v>
      </c>
      <c r="X67" s="82" t="s">
        <v>14</v>
      </c>
      <c r="Y67" s="83" t="s">
        <v>295</v>
      </c>
      <c r="Z67" s="84">
        <v>6</v>
      </c>
      <c r="AA67" s="85" t="s">
        <v>24</v>
      </c>
      <c r="AB67" s="86">
        <v>1450</v>
      </c>
      <c r="AC67" s="83">
        <v>6</v>
      </c>
      <c r="AD67" s="85" t="s">
        <v>16</v>
      </c>
      <c r="AE67" s="86">
        <v>505</v>
      </c>
      <c r="AF67" s="83"/>
      <c r="AG67" s="85"/>
      <c r="AH67" s="86"/>
      <c r="AI67" s="83"/>
      <c r="AJ67" s="85"/>
      <c r="AK67" s="86"/>
      <c r="AL67" s="87"/>
      <c r="AM67" s="88"/>
      <c r="AN67" s="88" t="s">
        <v>471</v>
      </c>
      <c r="AO67" s="230" t="str">
        <f t="shared" si="3"/>
        <v>331SYCERAMFAS188</v>
      </c>
    </row>
    <row r="68" spans="1:41" ht="15" customHeight="1" x14ac:dyDescent="0.15">
      <c r="A68" s="80">
        <v>333</v>
      </c>
      <c r="B68" s="89">
        <v>272</v>
      </c>
      <c r="C68" s="89">
        <v>3426</v>
      </c>
      <c r="D68" s="89" t="s">
        <v>91</v>
      </c>
      <c r="E68" s="89" t="s">
        <v>45</v>
      </c>
      <c r="F68" s="89" t="s">
        <v>12</v>
      </c>
      <c r="G68" s="89" t="str">
        <f t="shared" si="0"/>
        <v>3SNCERAMFAS</v>
      </c>
      <c r="H68" s="89" t="s">
        <v>19</v>
      </c>
      <c r="I68" s="89" t="s">
        <v>20</v>
      </c>
      <c r="J68" s="89" t="s">
        <v>21</v>
      </c>
      <c r="K68" s="89" t="s">
        <v>88</v>
      </c>
      <c r="L68" s="89" t="s">
        <v>89</v>
      </c>
      <c r="M68" s="89" t="str">
        <f t="shared" si="1"/>
        <v>3SNCERAMFAS1881134</v>
      </c>
      <c r="N68" s="89" t="str">
        <f t="shared" si="2"/>
        <v>3SNCERAMFAS1881130</v>
      </c>
      <c r="O68" s="90">
        <v>188</v>
      </c>
      <c r="P68" s="89">
        <v>3</v>
      </c>
      <c r="Q68" s="89" t="s">
        <v>78</v>
      </c>
      <c r="R68" s="90">
        <v>1134</v>
      </c>
      <c r="S68" s="90">
        <v>1800</v>
      </c>
      <c r="T68" s="90">
        <v>1130</v>
      </c>
      <c r="U68" s="90">
        <v>1130</v>
      </c>
      <c r="V68" s="90">
        <v>1620</v>
      </c>
      <c r="W68" s="81">
        <v>2</v>
      </c>
      <c r="X68" s="82" t="s">
        <v>14</v>
      </c>
      <c r="Y68" s="83" t="s">
        <v>15</v>
      </c>
      <c r="Z68" s="84">
        <v>6</v>
      </c>
      <c r="AA68" s="85" t="s">
        <v>24</v>
      </c>
      <c r="AB68" s="86">
        <v>1170</v>
      </c>
      <c r="AC68" s="83"/>
      <c r="AD68" s="85"/>
      <c r="AE68" s="86"/>
      <c r="AF68" s="83"/>
      <c r="AG68" s="85"/>
      <c r="AH68" s="86"/>
      <c r="AI68" s="83"/>
      <c r="AJ68" s="85"/>
      <c r="AK68" s="86"/>
      <c r="AL68" s="87"/>
      <c r="AM68" s="88"/>
      <c r="AN68" s="88" t="s">
        <v>471</v>
      </c>
      <c r="AO68" s="230" t="str">
        <f t="shared" si="3"/>
        <v>3SNCERAMFAS188</v>
      </c>
    </row>
    <row r="69" spans="1:41" ht="15" customHeight="1" x14ac:dyDescent="0.15">
      <c r="A69" s="80">
        <v>333</v>
      </c>
      <c r="B69" s="89">
        <v>272</v>
      </c>
      <c r="C69" s="89">
        <v>2153</v>
      </c>
      <c r="D69" s="89" t="s">
        <v>95</v>
      </c>
      <c r="E69" s="89" t="s">
        <v>45</v>
      </c>
      <c r="F69" s="89" t="s">
        <v>46</v>
      </c>
      <c r="G69" s="89" t="str">
        <f t="shared" si="0"/>
        <v>3SNCERAMFAS</v>
      </c>
      <c r="H69" s="89" t="s">
        <v>19</v>
      </c>
      <c r="I69" s="89" t="s">
        <v>20</v>
      </c>
      <c r="J69" s="89" t="s">
        <v>21</v>
      </c>
      <c r="K69" s="89" t="s">
        <v>88</v>
      </c>
      <c r="L69" s="89" t="s">
        <v>89</v>
      </c>
      <c r="M69" s="89" t="str">
        <f t="shared" si="1"/>
        <v>3SNCERAMFAS1881230</v>
      </c>
      <c r="N69" s="89" t="str">
        <f t="shared" si="2"/>
        <v>3SNCERAMFAS1881220</v>
      </c>
      <c r="O69" s="90">
        <v>188</v>
      </c>
      <c r="P69" s="89">
        <v>3</v>
      </c>
      <c r="Q69" s="89" t="s">
        <v>78</v>
      </c>
      <c r="R69" s="90">
        <v>1230</v>
      </c>
      <c r="S69" s="90">
        <v>1800</v>
      </c>
      <c r="T69" s="90">
        <v>1230</v>
      </c>
      <c r="U69" s="90">
        <v>1220</v>
      </c>
      <c r="V69" s="90">
        <v>800</v>
      </c>
      <c r="W69" s="81">
        <v>2</v>
      </c>
      <c r="X69" s="82" t="s">
        <v>14</v>
      </c>
      <c r="Y69" s="83" t="s">
        <v>295</v>
      </c>
      <c r="Z69" s="84">
        <v>6</v>
      </c>
      <c r="AA69" s="85" t="s">
        <v>24</v>
      </c>
      <c r="AB69" s="86">
        <v>1450</v>
      </c>
      <c r="AC69" s="83">
        <v>6</v>
      </c>
      <c r="AD69" s="85" t="s">
        <v>16</v>
      </c>
      <c r="AE69" s="86">
        <v>1235</v>
      </c>
      <c r="AF69" s="83"/>
      <c r="AG69" s="85"/>
      <c r="AH69" s="86"/>
      <c r="AI69" s="83"/>
      <c r="AJ69" s="85"/>
      <c r="AK69" s="86"/>
      <c r="AL69" s="87"/>
      <c r="AM69" s="88"/>
      <c r="AN69" s="88" t="s">
        <v>471</v>
      </c>
      <c r="AO69" s="230" t="str">
        <f t="shared" si="3"/>
        <v>3SNCERAMFAS188</v>
      </c>
    </row>
    <row r="70" spans="1:41" ht="15" customHeight="1" x14ac:dyDescent="0.15">
      <c r="A70" s="80">
        <v>333</v>
      </c>
      <c r="B70" s="89">
        <v>272</v>
      </c>
      <c r="C70" s="89">
        <v>4641</v>
      </c>
      <c r="D70" s="89" t="s">
        <v>98</v>
      </c>
      <c r="E70" s="89" t="s">
        <v>45</v>
      </c>
      <c r="F70" s="89" t="s">
        <v>46</v>
      </c>
      <c r="G70" s="89" t="str">
        <f t="shared" si="0"/>
        <v>3SNCERASY08</v>
      </c>
      <c r="H70" s="89" t="s">
        <v>19</v>
      </c>
      <c r="I70" s="89" t="s">
        <v>20</v>
      </c>
      <c r="J70" s="89" t="s">
        <v>21</v>
      </c>
      <c r="K70" s="89" t="s">
        <v>99</v>
      </c>
      <c r="L70" s="89" t="s">
        <v>100</v>
      </c>
      <c r="M70" s="89" t="str">
        <f t="shared" si="1"/>
        <v>3SNCERASY08251045</v>
      </c>
      <c r="N70" s="89" t="str">
        <f t="shared" si="2"/>
        <v>3SNCERASY0825500</v>
      </c>
      <c r="O70" s="90">
        <v>25</v>
      </c>
      <c r="P70" s="89">
        <v>3</v>
      </c>
      <c r="Q70" s="89" t="s">
        <v>19</v>
      </c>
      <c r="R70" s="90">
        <v>1045</v>
      </c>
      <c r="S70" s="90">
        <v>12400</v>
      </c>
      <c r="T70" s="90">
        <v>500</v>
      </c>
      <c r="U70" s="90">
        <v>500</v>
      </c>
      <c r="V70" s="90">
        <v>4000</v>
      </c>
      <c r="W70" s="81">
        <v>2</v>
      </c>
      <c r="X70" s="82" t="s">
        <v>14</v>
      </c>
      <c r="Y70" s="83" t="s">
        <v>295</v>
      </c>
      <c r="Z70" s="84">
        <v>6</v>
      </c>
      <c r="AA70" s="85" t="s">
        <v>24</v>
      </c>
      <c r="AB70" s="86">
        <v>1450</v>
      </c>
      <c r="AC70" s="83">
        <v>3</v>
      </c>
      <c r="AD70" s="85" t="s">
        <v>39</v>
      </c>
      <c r="AE70" s="86">
        <v>505</v>
      </c>
      <c r="AF70" s="83"/>
      <c r="AG70" s="85"/>
      <c r="AH70" s="86"/>
      <c r="AI70" s="83"/>
      <c r="AJ70" s="85"/>
      <c r="AK70" s="86"/>
      <c r="AL70" s="87"/>
      <c r="AM70" s="88"/>
      <c r="AN70" s="88" t="s">
        <v>471</v>
      </c>
      <c r="AO70" s="230" t="str">
        <f t="shared" si="3"/>
        <v>3SNCERASY0825</v>
      </c>
    </row>
    <row r="71" spans="1:41" ht="15" customHeight="1" x14ac:dyDescent="0.15">
      <c r="A71" s="80">
        <v>333</v>
      </c>
      <c r="B71" s="89">
        <v>271</v>
      </c>
      <c r="C71" s="89">
        <v>2425</v>
      </c>
      <c r="D71" s="89" t="s">
        <v>101</v>
      </c>
      <c r="E71" s="89" t="s">
        <v>18</v>
      </c>
      <c r="F71" s="89" t="s">
        <v>12</v>
      </c>
      <c r="G71" s="89" t="str">
        <f t="shared" si="0"/>
        <v>3SYCERASY09</v>
      </c>
      <c r="H71" s="89" t="s">
        <v>19</v>
      </c>
      <c r="I71" s="89" t="s">
        <v>28</v>
      </c>
      <c r="J71" s="89" t="s">
        <v>21</v>
      </c>
      <c r="K71" s="89" t="s">
        <v>102</v>
      </c>
      <c r="L71" s="89" t="s">
        <v>103</v>
      </c>
      <c r="M71" s="89" t="str">
        <f t="shared" si="1"/>
        <v>3SYCERASY09501050</v>
      </c>
      <c r="N71" s="89" t="str">
        <f t="shared" si="2"/>
        <v>3SYCERASY09501040</v>
      </c>
      <c r="O71" s="90">
        <v>50</v>
      </c>
      <c r="P71" s="89">
        <v>3</v>
      </c>
      <c r="Q71" s="89" t="s">
        <v>13</v>
      </c>
      <c r="R71" s="90">
        <v>1050</v>
      </c>
      <c r="S71" s="90">
        <v>4200</v>
      </c>
      <c r="T71" s="90">
        <v>1050</v>
      </c>
      <c r="U71" s="90">
        <v>1040</v>
      </c>
      <c r="V71" s="90">
        <v>4000</v>
      </c>
      <c r="W71" s="81">
        <v>2</v>
      </c>
      <c r="X71" s="82" t="s">
        <v>14</v>
      </c>
      <c r="Y71" s="83" t="s">
        <v>15</v>
      </c>
      <c r="Z71" s="84">
        <v>6</v>
      </c>
      <c r="AA71" s="85" t="s">
        <v>16</v>
      </c>
      <c r="AB71" s="86">
        <v>1100</v>
      </c>
      <c r="AC71" s="83"/>
      <c r="AD71" s="85"/>
      <c r="AE71" s="86"/>
      <c r="AF71" s="83"/>
      <c r="AG71" s="85"/>
      <c r="AH71" s="86"/>
      <c r="AI71" s="83"/>
      <c r="AJ71" s="85"/>
      <c r="AK71" s="86"/>
      <c r="AL71" s="87"/>
      <c r="AM71" s="88"/>
      <c r="AN71" s="88" t="s">
        <v>471</v>
      </c>
      <c r="AO71" s="230" t="str">
        <f t="shared" si="3"/>
        <v>3SYCERASY0950</v>
      </c>
    </row>
    <row r="72" spans="1:41" ht="15" customHeight="1" x14ac:dyDescent="0.15">
      <c r="A72" s="80">
        <v>333</v>
      </c>
      <c r="B72" s="89">
        <v>271</v>
      </c>
      <c r="C72" s="89">
        <v>380604</v>
      </c>
      <c r="D72" s="89" t="s">
        <v>17</v>
      </c>
      <c r="E72" s="89" t="s">
        <v>18</v>
      </c>
      <c r="F72" s="89" t="s">
        <v>12</v>
      </c>
      <c r="G72" s="89" t="str">
        <f t="shared" si="0"/>
        <v>3SNCERAWZ</v>
      </c>
      <c r="H72" s="89" t="s">
        <v>19</v>
      </c>
      <c r="I72" s="89" t="s">
        <v>20</v>
      </c>
      <c r="J72" s="89" t="s">
        <v>21</v>
      </c>
      <c r="K72" s="89" t="s">
        <v>104</v>
      </c>
      <c r="L72" s="89" t="s">
        <v>105</v>
      </c>
      <c r="M72" s="89" t="str">
        <f t="shared" si="1"/>
        <v>3SNCERAWZ251040</v>
      </c>
      <c r="N72" s="89" t="str">
        <f t="shared" si="2"/>
        <v>3SNCERAWZ251030</v>
      </c>
      <c r="O72" s="90">
        <v>25</v>
      </c>
      <c r="P72" s="89">
        <v>3</v>
      </c>
      <c r="Q72" s="89" t="s">
        <v>31</v>
      </c>
      <c r="R72" s="90">
        <v>1040</v>
      </c>
      <c r="S72" s="90">
        <v>12300</v>
      </c>
      <c r="T72" s="90">
        <v>1040</v>
      </c>
      <c r="U72" s="90">
        <v>1030</v>
      </c>
      <c r="V72" s="90">
        <v>12000</v>
      </c>
      <c r="W72" s="81">
        <v>2</v>
      </c>
      <c r="X72" s="82" t="s">
        <v>14</v>
      </c>
      <c r="Y72" s="83" t="s">
        <v>15</v>
      </c>
      <c r="Z72" s="84">
        <v>6</v>
      </c>
      <c r="AA72" s="85" t="s">
        <v>24</v>
      </c>
      <c r="AB72" s="86">
        <v>1450</v>
      </c>
      <c r="AC72" s="83"/>
      <c r="AD72" s="85"/>
      <c r="AE72" s="86"/>
      <c r="AF72" s="83"/>
      <c r="AG72" s="85"/>
      <c r="AH72" s="86"/>
      <c r="AI72" s="83"/>
      <c r="AJ72" s="85"/>
      <c r="AK72" s="86"/>
      <c r="AL72" s="87"/>
      <c r="AM72" s="88"/>
      <c r="AN72" s="88" t="s">
        <v>474</v>
      </c>
      <c r="AO72" s="230" t="str">
        <f t="shared" si="3"/>
        <v>3SNCERAWZ25</v>
      </c>
    </row>
    <row r="73" spans="1:41" ht="15" customHeight="1" x14ac:dyDescent="0.15">
      <c r="A73" s="80">
        <v>333</v>
      </c>
      <c r="B73" s="89">
        <v>271</v>
      </c>
      <c r="C73" s="89">
        <v>380604</v>
      </c>
      <c r="D73" s="89" t="s">
        <v>17</v>
      </c>
      <c r="E73" s="89" t="s">
        <v>18</v>
      </c>
      <c r="F73" s="89" t="s">
        <v>12</v>
      </c>
      <c r="G73" s="89" t="str">
        <f t="shared" si="0"/>
        <v>3SNCERAWZ</v>
      </c>
      <c r="H73" s="89" t="s">
        <v>19</v>
      </c>
      <c r="I73" s="89" t="s">
        <v>20</v>
      </c>
      <c r="J73" s="89" t="s">
        <v>21</v>
      </c>
      <c r="K73" s="89" t="s">
        <v>104</v>
      </c>
      <c r="L73" s="89" t="s">
        <v>105</v>
      </c>
      <c r="M73" s="89" t="str">
        <f t="shared" si="1"/>
        <v>3SNCERAWZ251150</v>
      </c>
      <c r="N73" s="89" t="str">
        <f t="shared" si="2"/>
        <v>3SNCERAWZ251145</v>
      </c>
      <c r="O73" s="90">
        <v>25</v>
      </c>
      <c r="P73" s="89">
        <v>3</v>
      </c>
      <c r="Q73" s="89" t="s">
        <v>31</v>
      </c>
      <c r="R73" s="90">
        <v>1150</v>
      </c>
      <c r="S73" s="90">
        <v>16600</v>
      </c>
      <c r="T73" s="90">
        <v>1150</v>
      </c>
      <c r="U73" s="90">
        <v>1145</v>
      </c>
      <c r="V73" s="90">
        <v>16300</v>
      </c>
      <c r="W73" s="81">
        <v>2</v>
      </c>
      <c r="X73" s="82" t="s">
        <v>14</v>
      </c>
      <c r="Y73" s="83" t="s">
        <v>15</v>
      </c>
      <c r="Z73" s="84">
        <v>6</v>
      </c>
      <c r="AA73" s="85" t="s">
        <v>24</v>
      </c>
      <c r="AB73" s="86">
        <v>1450</v>
      </c>
      <c r="AC73" s="83"/>
      <c r="AD73" s="85"/>
      <c r="AE73" s="86"/>
      <c r="AF73" s="83"/>
      <c r="AG73" s="85"/>
      <c r="AH73" s="86"/>
      <c r="AI73" s="83"/>
      <c r="AJ73" s="85"/>
      <c r="AK73" s="86"/>
      <c r="AL73" s="87"/>
      <c r="AM73" s="88"/>
      <c r="AN73" s="88" t="s">
        <v>474</v>
      </c>
      <c r="AO73" s="230" t="str">
        <f t="shared" si="3"/>
        <v>3SNCERAWZ25</v>
      </c>
    </row>
    <row r="74" spans="1:41" ht="15" customHeight="1" x14ac:dyDescent="0.15">
      <c r="A74" s="80">
        <v>333</v>
      </c>
      <c r="B74" s="89">
        <v>271</v>
      </c>
      <c r="C74" s="89">
        <v>380604</v>
      </c>
      <c r="D74" s="89" t="s">
        <v>17</v>
      </c>
      <c r="E74" s="89" t="s">
        <v>18</v>
      </c>
      <c r="F74" s="89" t="s">
        <v>12</v>
      </c>
      <c r="G74" s="89" t="str">
        <f t="shared" si="0"/>
        <v>3SNCERAWZ</v>
      </c>
      <c r="H74" s="89" t="s">
        <v>19</v>
      </c>
      <c r="I74" s="89" t="s">
        <v>20</v>
      </c>
      <c r="J74" s="89" t="s">
        <v>21</v>
      </c>
      <c r="K74" s="89" t="s">
        <v>104</v>
      </c>
      <c r="L74" s="89" t="s">
        <v>105</v>
      </c>
      <c r="M74" s="89" t="str">
        <f t="shared" si="1"/>
        <v>3SNCERAWZ251325</v>
      </c>
      <c r="N74" s="89" t="str">
        <f t="shared" si="2"/>
        <v>3SNCERAWZ251320</v>
      </c>
      <c r="O74" s="90">
        <v>25</v>
      </c>
      <c r="P74" s="89">
        <v>3</v>
      </c>
      <c r="Q74" s="89" t="s">
        <v>31</v>
      </c>
      <c r="R74" s="90">
        <v>1325</v>
      </c>
      <c r="S74" s="90">
        <v>12300</v>
      </c>
      <c r="T74" s="90">
        <v>1325</v>
      </c>
      <c r="U74" s="90">
        <v>1320</v>
      </c>
      <c r="V74" s="90">
        <v>6000</v>
      </c>
      <c r="W74" s="81">
        <v>2</v>
      </c>
      <c r="X74" s="82" t="s">
        <v>14</v>
      </c>
      <c r="Y74" s="83" t="s">
        <v>27</v>
      </c>
      <c r="Z74" s="84">
        <v>6</v>
      </c>
      <c r="AA74" s="85" t="s">
        <v>24</v>
      </c>
      <c r="AB74" s="86">
        <v>1450</v>
      </c>
      <c r="AC74" s="83"/>
      <c r="AD74" s="85"/>
      <c r="AE74" s="86"/>
      <c r="AF74" s="83"/>
      <c r="AG74" s="85"/>
      <c r="AH74" s="86"/>
      <c r="AI74" s="83"/>
      <c r="AJ74" s="85"/>
      <c r="AK74" s="86"/>
      <c r="AL74" s="87"/>
      <c r="AM74" s="88"/>
      <c r="AN74" s="88" t="s">
        <v>474</v>
      </c>
      <c r="AO74" s="230" t="str">
        <f t="shared" si="3"/>
        <v>3SNCERAWZ25</v>
      </c>
    </row>
    <row r="75" spans="1:41" ht="15" customHeight="1" x14ac:dyDescent="0.15">
      <c r="A75" s="80">
        <v>333</v>
      </c>
      <c r="B75" s="89">
        <v>271</v>
      </c>
      <c r="C75" s="89">
        <v>380604</v>
      </c>
      <c r="D75" s="89" t="s">
        <v>17</v>
      </c>
      <c r="E75" s="89" t="s">
        <v>18</v>
      </c>
      <c r="F75" s="89" t="s">
        <v>12</v>
      </c>
      <c r="G75" s="89" t="str">
        <f t="shared" si="0"/>
        <v>3SNCERAWZ</v>
      </c>
      <c r="H75" s="89" t="s">
        <v>19</v>
      </c>
      <c r="I75" s="89" t="s">
        <v>20</v>
      </c>
      <c r="J75" s="89" t="s">
        <v>21</v>
      </c>
      <c r="K75" s="89" t="s">
        <v>104</v>
      </c>
      <c r="L75" s="89" t="s">
        <v>105</v>
      </c>
      <c r="M75" s="89" t="str">
        <f t="shared" si="1"/>
        <v>3SNCERAWZ251105</v>
      </c>
      <c r="N75" s="89" t="str">
        <f t="shared" si="2"/>
        <v>3SNCERAWZ251100</v>
      </c>
      <c r="O75" s="90">
        <v>25</v>
      </c>
      <c r="P75" s="89">
        <v>3</v>
      </c>
      <c r="Q75" s="89" t="s">
        <v>31</v>
      </c>
      <c r="R75" s="90">
        <v>1105</v>
      </c>
      <c r="S75" s="90">
        <v>12300</v>
      </c>
      <c r="T75" s="90">
        <v>1100</v>
      </c>
      <c r="U75" s="90">
        <v>1100</v>
      </c>
      <c r="V75" s="90">
        <v>12000</v>
      </c>
      <c r="W75" s="81">
        <v>2</v>
      </c>
      <c r="X75" s="82" t="s">
        <v>14</v>
      </c>
      <c r="Y75" s="83" t="s">
        <v>15</v>
      </c>
      <c r="Z75" s="84">
        <v>6</v>
      </c>
      <c r="AA75" s="85" t="s">
        <v>24</v>
      </c>
      <c r="AB75" s="86">
        <v>1450</v>
      </c>
      <c r="AC75" s="83"/>
      <c r="AD75" s="85"/>
      <c r="AE75" s="86"/>
      <c r="AF75" s="83"/>
      <c r="AG75" s="85"/>
      <c r="AH75" s="86"/>
      <c r="AI75" s="83"/>
      <c r="AJ75" s="85"/>
      <c r="AK75" s="86"/>
      <c r="AL75" s="87"/>
      <c r="AM75" s="88"/>
      <c r="AN75" s="88" t="s">
        <v>474</v>
      </c>
      <c r="AO75" s="230" t="str">
        <f t="shared" si="3"/>
        <v>3SNCERAWZ25</v>
      </c>
    </row>
    <row r="76" spans="1:41" ht="15" customHeight="1" x14ac:dyDescent="0.15">
      <c r="A76" s="80">
        <v>333</v>
      </c>
      <c r="B76" s="89">
        <v>271</v>
      </c>
      <c r="C76" s="89">
        <v>380604</v>
      </c>
      <c r="D76" s="89" t="s">
        <v>17</v>
      </c>
      <c r="E76" s="89" t="s">
        <v>18</v>
      </c>
      <c r="F76" s="89" t="s">
        <v>12</v>
      </c>
      <c r="G76" s="89" t="str">
        <f t="shared" si="0"/>
        <v>3SNCERAWZ</v>
      </c>
      <c r="H76" s="89" t="s">
        <v>19</v>
      </c>
      <c r="I76" s="89" t="s">
        <v>20</v>
      </c>
      <c r="J76" s="89" t="s">
        <v>21</v>
      </c>
      <c r="K76" s="89" t="s">
        <v>104</v>
      </c>
      <c r="L76" s="89" t="s">
        <v>105</v>
      </c>
      <c r="M76" s="89" t="str">
        <f t="shared" si="1"/>
        <v>3SNCERAWZ251060</v>
      </c>
      <c r="N76" s="89" t="str">
        <f t="shared" si="2"/>
        <v>3SNCERAWZ251050</v>
      </c>
      <c r="O76" s="90">
        <v>25</v>
      </c>
      <c r="P76" s="89">
        <v>3</v>
      </c>
      <c r="Q76" s="89" t="s">
        <v>31</v>
      </c>
      <c r="R76" s="90">
        <v>1060</v>
      </c>
      <c r="S76" s="90">
        <v>12300</v>
      </c>
      <c r="T76" s="90">
        <v>1050</v>
      </c>
      <c r="U76" s="90">
        <v>1050</v>
      </c>
      <c r="V76" s="90">
        <v>12000</v>
      </c>
      <c r="W76" s="81">
        <v>2</v>
      </c>
      <c r="X76" s="82" t="s">
        <v>14</v>
      </c>
      <c r="Y76" s="83" t="s">
        <v>15</v>
      </c>
      <c r="Z76" s="84">
        <v>6</v>
      </c>
      <c r="AA76" s="85" t="s">
        <v>24</v>
      </c>
      <c r="AB76" s="86">
        <v>1450</v>
      </c>
      <c r="AC76" s="83"/>
      <c r="AD76" s="85"/>
      <c r="AE76" s="86"/>
      <c r="AF76" s="83"/>
      <c r="AG76" s="85"/>
      <c r="AH76" s="86"/>
      <c r="AI76" s="83"/>
      <c r="AJ76" s="85"/>
      <c r="AK76" s="86"/>
      <c r="AL76" s="87"/>
      <c r="AM76" s="88"/>
      <c r="AN76" s="88" t="s">
        <v>474</v>
      </c>
      <c r="AO76" s="230" t="str">
        <f t="shared" si="3"/>
        <v>3SNCERAWZ25</v>
      </c>
    </row>
    <row r="77" spans="1:41" ht="15" customHeight="1" x14ac:dyDescent="0.15">
      <c r="A77" s="80">
        <v>333</v>
      </c>
      <c r="B77" s="89">
        <v>271</v>
      </c>
      <c r="C77" s="89">
        <v>2721</v>
      </c>
      <c r="D77" s="89" t="s">
        <v>106</v>
      </c>
      <c r="E77" s="89" t="s">
        <v>18</v>
      </c>
      <c r="F77" s="89" t="s">
        <v>12</v>
      </c>
      <c r="G77" s="89" t="str">
        <f t="shared" si="0"/>
        <v>3SNCERAWZE</v>
      </c>
      <c r="H77" s="89" t="s">
        <v>19</v>
      </c>
      <c r="I77" s="89" t="s">
        <v>20</v>
      </c>
      <c r="J77" s="89" t="s">
        <v>21</v>
      </c>
      <c r="K77" s="89" t="s">
        <v>107</v>
      </c>
      <c r="L77" s="89" t="s">
        <v>108</v>
      </c>
      <c r="M77" s="89" t="str">
        <f t="shared" si="1"/>
        <v>3SNCERAWZE251045</v>
      </c>
      <c r="N77" s="89" t="str">
        <f t="shared" si="2"/>
        <v>3SNCERAWZE251040</v>
      </c>
      <c r="O77" s="90">
        <v>25</v>
      </c>
      <c r="P77" s="89">
        <v>3</v>
      </c>
      <c r="Q77" s="89" t="s">
        <v>109</v>
      </c>
      <c r="R77" s="90">
        <v>1045</v>
      </c>
      <c r="S77" s="90">
        <v>12300</v>
      </c>
      <c r="T77" s="90">
        <v>1040</v>
      </c>
      <c r="U77" s="90">
        <v>1040</v>
      </c>
      <c r="V77" s="90">
        <v>6000</v>
      </c>
      <c r="W77" s="81">
        <v>2</v>
      </c>
      <c r="X77" s="82" t="s">
        <v>14</v>
      </c>
      <c r="Y77" s="83" t="s">
        <v>27</v>
      </c>
      <c r="Z77" s="84">
        <v>6</v>
      </c>
      <c r="AA77" s="85" t="s">
        <v>24</v>
      </c>
      <c r="AB77" s="86">
        <v>1500</v>
      </c>
      <c r="AC77" s="83">
        <v>6</v>
      </c>
      <c r="AD77" s="85" t="s">
        <v>24</v>
      </c>
      <c r="AE77" s="86">
        <v>1500</v>
      </c>
      <c r="AF77" s="83"/>
      <c r="AG77" s="85"/>
      <c r="AH77" s="86"/>
      <c r="AI77" s="83"/>
      <c r="AJ77" s="85"/>
      <c r="AK77" s="86"/>
      <c r="AL77" s="87"/>
      <c r="AM77" s="88"/>
      <c r="AN77" s="88" t="s">
        <v>474</v>
      </c>
      <c r="AO77" s="230" t="str">
        <f t="shared" si="3"/>
        <v>3SNCERAWZE25</v>
      </c>
    </row>
    <row r="78" spans="1:41" ht="15" customHeight="1" x14ac:dyDescent="0.15">
      <c r="A78" s="80">
        <v>333</v>
      </c>
      <c r="B78" s="89">
        <v>271</v>
      </c>
      <c r="C78" s="89">
        <v>2721</v>
      </c>
      <c r="D78" s="89" t="s">
        <v>106</v>
      </c>
      <c r="E78" s="89" t="s">
        <v>18</v>
      </c>
      <c r="F78" s="89" t="s">
        <v>12</v>
      </c>
      <c r="G78" s="89" t="str">
        <f t="shared" si="0"/>
        <v>3SNCERAWZE</v>
      </c>
      <c r="H78" s="89" t="s">
        <v>19</v>
      </c>
      <c r="I78" s="89" t="s">
        <v>20</v>
      </c>
      <c r="J78" s="89" t="s">
        <v>21</v>
      </c>
      <c r="K78" s="89" t="s">
        <v>107</v>
      </c>
      <c r="L78" s="89" t="s">
        <v>108</v>
      </c>
      <c r="M78" s="89" t="str">
        <f t="shared" si="1"/>
        <v>3SNCERAWZE381045</v>
      </c>
      <c r="N78" s="89" t="str">
        <f t="shared" si="2"/>
        <v>3SNCERAWZE381040</v>
      </c>
      <c r="O78" s="90">
        <v>38</v>
      </c>
      <c r="P78" s="89">
        <v>3</v>
      </c>
      <c r="Q78" s="89" t="s">
        <v>109</v>
      </c>
      <c r="R78" s="90">
        <v>1045</v>
      </c>
      <c r="S78" s="90">
        <v>6200</v>
      </c>
      <c r="T78" s="90">
        <v>1040</v>
      </c>
      <c r="U78" s="90">
        <v>1040</v>
      </c>
      <c r="V78" s="90">
        <v>6000</v>
      </c>
      <c r="W78" s="81">
        <v>2</v>
      </c>
      <c r="X78" s="82" t="s">
        <v>14</v>
      </c>
      <c r="Y78" s="83" t="s">
        <v>15</v>
      </c>
      <c r="Z78" s="84">
        <v>6</v>
      </c>
      <c r="AA78" s="85" t="s">
        <v>24</v>
      </c>
      <c r="AB78" s="86">
        <v>1500</v>
      </c>
      <c r="AC78" s="83"/>
      <c r="AD78" s="85"/>
      <c r="AE78" s="86"/>
      <c r="AF78" s="83"/>
      <c r="AG78" s="85"/>
      <c r="AH78" s="86"/>
      <c r="AI78" s="83"/>
      <c r="AJ78" s="85"/>
      <c r="AK78" s="86"/>
      <c r="AL78" s="87"/>
      <c r="AM78" s="88"/>
      <c r="AN78" s="88" t="s">
        <v>474</v>
      </c>
      <c r="AO78" s="230" t="str">
        <f t="shared" si="3"/>
        <v>3SNCERAWZE38</v>
      </c>
    </row>
    <row r="79" spans="1:41" ht="15" customHeight="1" x14ac:dyDescent="0.15">
      <c r="A79" s="80">
        <v>333</v>
      </c>
      <c r="B79" s="89">
        <v>271</v>
      </c>
      <c r="C79" s="89">
        <v>2721</v>
      </c>
      <c r="D79" s="89" t="s">
        <v>106</v>
      </c>
      <c r="E79" s="89" t="s">
        <v>18</v>
      </c>
      <c r="F79" s="89" t="s">
        <v>12</v>
      </c>
      <c r="G79" s="89" t="str">
        <f t="shared" si="0"/>
        <v>3303SNCERAWZE</v>
      </c>
      <c r="H79" s="89" t="s">
        <v>19</v>
      </c>
      <c r="I79" s="89" t="s">
        <v>20</v>
      </c>
      <c r="J79" s="89" t="s">
        <v>21</v>
      </c>
      <c r="K79" s="89" t="s">
        <v>107</v>
      </c>
      <c r="L79" s="89" t="s">
        <v>108</v>
      </c>
      <c r="M79" s="89" t="str">
        <f t="shared" si="1"/>
        <v>3303SNCERAWZE251045</v>
      </c>
      <c r="N79" s="89" t="str">
        <f t="shared" si="2"/>
        <v>3303SNCERAWZE251040</v>
      </c>
      <c r="O79" s="90">
        <v>25</v>
      </c>
      <c r="P79" s="89">
        <v>3303</v>
      </c>
      <c r="Q79" s="89" t="s">
        <v>109</v>
      </c>
      <c r="R79" s="90">
        <v>1045</v>
      </c>
      <c r="S79" s="90">
        <v>12300</v>
      </c>
      <c r="T79" s="90">
        <v>1040</v>
      </c>
      <c r="U79" s="90">
        <v>1040</v>
      </c>
      <c r="V79" s="90">
        <v>6000</v>
      </c>
      <c r="W79" s="81">
        <v>2</v>
      </c>
      <c r="X79" s="82" t="s">
        <v>14</v>
      </c>
      <c r="Y79" s="83" t="s">
        <v>27</v>
      </c>
      <c r="Z79" s="84">
        <v>6</v>
      </c>
      <c r="AA79" s="85" t="s">
        <v>24</v>
      </c>
      <c r="AB79" s="86">
        <v>1500</v>
      </c>
      <c r="AC79" s="83">
        <v>6</v>
      </c>
      <c r="AD79" s="85" t="s">
        <v>24</v>
      </c>
      <c r="AE79" s="86">
        <v>1500</v>
      </c>
      <c r="AF79" s="83"/>
      <c r="AG79" s="85"/>
      <c r="AH79" s="86"/>
      <c r="AI79" s="83"/>
      <c r="AJ79" s="85"/>
      <c r="AK79" s="86"/>
      <c r="AL79" s="87"/>
      <c r="AM79" s="88"/>
      <c r="AN79" s="88" t="s">
        <v>474</v>
      </c>
      <c r="AO79" s="230" t="str">
        <f t="shared" si="3"/>
        <v>3303SNCERAWZE25</v>
      </c>
    </row>
    <row r="80" spans="1:41" ht="15" customHeight="1" x14ac:dyDescent="0.15">
      <c r="A80" s="80">
        <v>333</v>
      </c>
      <c r="B80" s="89">
        <v>271</v>
      </c>
      <c r="C80" s="89">
        <v>2721</v>
      </c>
      <c r="D80" s="89" t="s">
        <v>106</v>
      </c>
      <c r="E80" s="89" t="s">
        <v>18</v>
      </c>
      <c r="F80" s="89" t="s">
        <v>12</v>
      </c>
      <c r="G80" s="89" t="str">
        <f t="shared" si="0"/>
        <v>3SNCERAWZE</v>
      </c>
      <c r="H80" s="89" t="s">
        <v>19</v>
      </c>
      <c r="I80" s="89" t="s">
        <v>20</v>
      </c>
      <c r="J80" s="89" t="s">
        <v>21</v>
      </c>
      <c r="K80" s="89" t="s">
        <v>107</v>
      </c>
      <c r="L80" s="89" t="s">
        <v>108</v>
      </c>
      <c r="M80" s="89" t="str">
        <f t="shared" si="1"/>
        <v>3SNCERAWZE251245</v>
      </c>
      <c r="N80" s="89" t="str">
        <f t="shared" si="2"/>
        <v>3SNCERAWZE251240</v>
      </c>
      <c r="O80" s="90">
        <v>25</v>
      </c>
      <c r="P80" s="89">
        <v>3</v>
      </c>
      <c r="Q80" s="89" t="s">
        <v>109</v>
      </c>
      <c r="R80" s="90">
        <v>1245</v>
      </c>
      <c r="S80" s="90">
        <v>12300</v>
      </c>
      <c r="T80" s="90">
        <v>1240</v>
      </c>
      <c r="U80" s="90">
        <v>1240</v>
      </c>
      <c r="V80" s="90">
        <v>6000</v>
      </c>
      <c r="W80" s="81">
        <v>2</v>
      </c>
      <c r="X80" s="82" t="s">
        <v>14</v>
      </c>
      <c r="Y80" s="83" t="s">
        <v>27</v>
      </c>
      <c r="Z80" s="84">
        <v>6</v>
      </c>
      <c r="AA80" s="85" t="s">
        <v>24</v>
      </c>
      <c r="AB80" s="86">
        <v>1500</v>
      </c>
      <c r="AC80" s="83">
        <v>6</v>
      </c>
      <c r="AD80" s="85" t="s">
        <v>24</v>
      </c>
      <c r="AE80" s="86">
        <v>1500</v>
      </c>
      <c r="AF80" s="83"/>
      <c r="AG80" s="85"/>
      <c r="AH80" s="86"/>
      <c r="AI80" s="83"/>
      <c r="AJ80" s="85"/>
      <c r="AK80" s="86"/>
      <c r="AL80" s="87"/>
      <c r="AM80" s="88"/>
      <c r="AN80" s="88" t="s">
        <v>474</v>
      </c>
      <c r="AO80" s="230" t="str">
        <f t="shared" si="3"/>
        <v>3SNCERAWZE25</v>
      </c>
    </row>
    <row r="81" spans="1:41" ht="15" customHeight="1" x14ac:dyDescent="0.15">
      <c r="A81" s="80">
        <v>333</v>
      </c>
      <c r="B81" s="89">
        <v>271</v>
      </c>
      <c r="C81" s="89">
        <v>2721</v>
      </c>
      <c r="D81" s="89" t="s">
        <v>106</v>
      </c>
      <c r="E81" s="89" t="s">
        <v>18</v>
      </c>
      <c r="F81" s="89" t="s">
        <v>12</v>
      </c>
      <c r="G81" s="89" t="str">
        <f t="shared" si="0"/>
        <v>3SNCERAWZE</v>
      </c>
      <c r="H81" s="89" t="s">
        <v>19</v>
      </c>
      <c r="I81" s="89" t="s">
        <v>20</v>
      </c>
      <c r="J81" s="89" t="s">
        <v>21</v>
      </c>
      <c r="K81" s="89" t="s">
        <v>107</v>
      </c>
      <c r="L81" s="89" t="s">
        <v>108</v>
      </c>
      <c r="M81" s="89" t="str">
        <f t="shared" si="1"/>
        <v>3SNCERAWZE381245</v>
      </c>
      <c r="N81" s="89" t="str">
        <f t="shared" si="2"/>
        <v>3SNCERAWZE381040</v>
      </c>
      <c r="O81" s="90">
        <v>38</v>
      </c>
      <c r="P81" s="89">
        <v>3</v>
      </c>
      <c r="Q81" s="89" t="s">
        <v>109</v>
      </c>
      <c r="R81" s="90">
        <v>1245</v>
      </c>
      <c r="S81" s="90">
        <v>6200</v>
      </c>
      <c r="T81" s="90">
        <v>1040</v>
      </c>
      <c r="U81" s="90">
        <v>1040</v>
      </c>
      <c r="V81" s="90">
        <v>6000</v>
      </c>
      <c r="W81" s="81">
        <v>2</v>
      </c>
      <c r="X81" s="82" t="s">
        <v>14</v>
      </c>
      <c r="Y81" s="83" t="s">
        <v>15</v>
      </c>
      <c r="Z81" s="84">
        <v>6</v>
      </c>
      <c r="AA81" s="85" t="s">
        <v>24</v>
      </c>
      <c r="AB81" s="86">
        <v>1500</v>
      </c>
      <c r="AC81" s="83">
        <v>6</v>
      </c>
      <c r="AD81" s="85" t="s">
        <v>24</v>
      </c>
      <c r="AE81" s="86">
        <v>1500</v>
      </c>
      <c r="AF81" s="83"/>
      <c r="AG81" s="85"/>
      <c r="AH81" s="86"/>
      <c r="AI81" s="83"/>
      <c r="AJ81" s="85"/>
      <c r="AK81" s="86"/>
      <c r="AL81" s="87"/>
      <c r="AM81" s="88"/>
      <c r="AN81" s="88" t="s">
        <v>474</v>
      </c>
      <c r="AO81" s="230" t="str">
        <f t="shared" si="3"/>
        <v>3SNCERAWZE38</v>
      </c>
    </row>
    <row r="82" spans="1:41" ht="15" customHeight="1" x14ac:dyDescent="0.15">
      <c r="A82" s="80">
        <v>333</v>
      </c>
      <c r="B82" s="89">
        <v>271</v>
      </c>
      <c r="C82" s="89">
        <v>2721</v>
      </c>
      <c r="D82" s="89" t="s">
        <v>106</v>
      </c>
      <c r="E82" s="89" t="s">
        <v>18</v>
      </c>
      <c r="F82" s="89" t="s">
        <v>12</v>
      </c>
      <c r="G82" s="89" t="str">
        <f t="shared" si="0"/>
        <v>3SNCERAWZE</v>
      </c>
      <c r="H82" s="89" t="s">
        <v>19</v>
      </c>
      <c r="I82" s="89" t="s">
        <v>20</v>
      </c>
      <c r="J82" s="89" t="s">
        <v>21</v>
      </c>
      <c r="K82" s="89" t="s">
        <v>107</v>
      </c>
      <c r="L82" s="89" t="s">
        <v>108</v>
      </c>
      <c r="M82" s="89" t="str">
        <f t="shared" si="1"/>
        <v>3SNCERAWZE381245</v>
      </c>
      <c r="N82" s="89" t="str">
        <f t="shared" si="2"/>
        <v>3SNCERAWZE381240</v>
      </c>
      <c r="O82" s="90">
        <v>38</v>
      </c>
      <c r="P82" s="89">
        <v>3</v>
      </c>
      <c r="Q82" s="89" t="s">
        <v>109</v>
      </c>
      <c r="R82" s="90">
        <v>1245</v>
      </c>
      <c r="S82" s="90">
        <v>6200</v>
      </c>
      <c r="T82" s="90">
        <v>1240</v>
      </c>
      <c r="U82" s="90">
        <v>1240</v>
      </c>
      <c r="V82" s="90">
        <v>6000</v>
      </c>
      <c r="W82" s="81">
        <v>2</v>
      </c>
      <c r="X82" s="82" t="s">
        <v>14</v>
      </c>
      <c r="Y82" s="83" t="s">
        <v>15</v>
      </c>
      <c r="Z82" s="84">
        <v>6</v>
      </c>
      <c r="AA82" s="85" t="s">
        <v>24</v>
      </c>
      <c r="AB82" s="86">
        <v>1500</v>
      </c>
      <c r="AC82" s="83">
        <v>6</v>
      </c>
      <c r="AD82" s="85" t="s">
        <v>24</v>
      </c>
      <c r="AE82" s="86">
        <v>1500</v>
      </c>
      <c r="AF82" s="83"/>
      <c r="AG82" s="85"/>
      <c r="AH82" s="86"/>
      <c r="AI82" s="83"/>
      <c r="AJ82" s="85"/>
      <c r="AK82" s="86"/>
      <c r="AL82" s="87"/>
      <c r="AM82" s="88"/>
      <c r="AN82" s="88" t="s">
        <v>474</v>
      </c>
      <c r="AO82" s="230" t="str">
        <f t="shared" si="3"/>
        <v>3SNCERAWZE38</v>
      </c>
    </row>
    <row r="83" spans="1:41" ht="15" customHeight="1" x14ac:dyDescent="0.15">
      <c r="A83" s="80">
        <v>333</v>
      </c>
      <c r="B83" s="89">
        <v>272</v>
      </c>
      <c r="C83" s="89">
        <v>36884</v>
      </c>
      <c r="D83" s="89" t="s">
        <v>110</v>
      </c>
      <c r="E83" s="89" t="s">
        <v>45</v>
      </c>
      <c r="F83" s="89" t="s">
        <v>111</v>
      </c>
      <c r="G83" s="89" t="str">
        <f t="shared" si="0"/>
        <v>3SNCERAWZRX</v>
      </c>
      <c r="H83" s="89" t="s">
        <v>19</v>
      </c>
      <c r="I83" s="89" t="s">
        <v>20</v>
      </c>
      <c r="J83" s="89" t="s">
        <v>21</v>
      </c>
      <c r="K83" s="89" t="s">
        <v>112</v>
      </c>
      <c r="L83" s="89" t="s">
        <v>113</v>
      </c>
      <c r="M83" s="89" t="str">
        <f t="shared" si="1"/>
        <v>3SNCERAWZRX251040</v>
      </c>
      <c r="N83" s="89" t="str">
        <f t="shared" si="2"/>
        <v>3SNCERAWZRX25450</v>
      </c>
      <c r="O83" s="90">
        <v>25</v>
      </c>
      <c r="P83" s="89">
        <v>3</v>
      </c>
      <c r="Q83" s="89" t="s">
        <v>31</v>
      </c>
      <c r="R83" s="90">
        <v>1040</v>
      </c>
      <c r="S83" s="90">
        <v>12300</v>
      </c>
      <c r="T83" s="90">
        <v>450</v>
      </c>
      <c r="U83" s="90">
        <v>450</v>
      </c>
      <c r="V83" s="90">
        <v>4000</v>
      </c>
      <c r="W83" s="81">
        <v>2</v>
      </c>
      <c r="X83" s="82" t="s">
        <v>14</v>
      </c>
      <c r="Y83" s="83" t="s">
        <v>295</v>
      </c>
      <c r="Z83" s="84">
        <v>6</v>
      </c>
      <c r="AA83" s="85" t="s">
        <v>24</v>
      </c>
      <c r="AB83" s="86">
        <v>1450</v>
      </c>
      <c r="AC83" s="83">
        <v>6</v>
      </c>
      <c r="AD83" s="85" t="s">
        <v>24</v>
      </c>
      <c r="AE83" s="86">
        <v>460</v>
      </c>
      <c r="AF83" s="83"/>
      <c r="AG83" s="85"/>
      <c r="AH83" s="86"/>
      <c r="AI83" s="83"/>
      <c r="AJ83" s="85"/>
      <c r="AK83" s="86"/>
      <c r="AL83" s="87"/>
      <c r="AM83" s="88"/>
      <c r="AN83" s="88" t="s">
        <v>474</v>
      </c>
      <c r="AO83" s="230" t="str">
        <f t="shared" si="3"/>
        <v>3SNCERAWZRX25</v>
      </c>
    </row>
    <row r="84" spans="1:41" ht="15" customHeight="1" x14ac:dyDescent="0.15">
      <c r="A84" s="80">
        <v>333</v>
      </c>
      <c r="B84" s="89">
        <v>272</v>
      </c>
      <c r="C84" s="89">
        <v>36884</v>
      </c>
      <c r="D84" s="89" t="s">
        <v>110</v>
      </c>
      <c r="E84" s="89" t="s">
        <v>45</v>
      </c>
      <c r="F84" s="89" t="s">
        <v>111</v>
      </c>
      <c r="G84" s="89" t="str">
        <f t="shared" si="0"/>
        <v>3SNCERAWZRX</v>
      </c>
      <c r="H84" s="89" t="s">
        <v>19</v>
      </c>
      <c r="I84" s="89" t="s">
        <v>20</v>
      </c>
      <c r="J84" s="89" t="s">
        <v>21</v>
      </c>
      <c r="K84" s="89" t="s">
        <v>112</v>
      </c>
      <c r="L84" s="89" t="s">
        <v>113</v>
      </c>
      <c r="M84" s="89" t="str">
        <f t="shared" si="1"/>
        <v>3SNCERAWZRX251060</v>
      </c>
      <c r="N84" s="89" t="str">
        <f t="shared" si="2"/>
        <v>3SNCERAWZRX25450</v>
      </c>
      <c r="O84" s="90">
        <v>25</v>
      </c>
      <c r="P84" s="89">
        <v>3</v>
      </c>
      <c r="Q84" s="89" t="s">
        <v>31</v>
      </c>
      <c r="R84" s="90">
        <v>1060</v>
      </c>
      <c r="S84" s="90">
        <v>12300</v>
      </c>
      <c r="T84" s="90">
        <v>450</v>
      </c>
      <c r="U84" s="90">
        <v>450</v>
      </c>
      <c r="V84" s="90">
        <v>4000</v>
      </c>
      <c r="W84" s="81">
        <v>2</v>
      </c>
      <c r="X84" s="82" t="s">
        <v>14</v>
      </c>
      <c r="Y84" s="83" t="s">
        <v>295</v>
      </c>
      <c r="Z84" s="84">
        <v>6</v>
      </c>
      <c r="AA84" s="85" t="s">
        <v>24</v>
      </c>
      <c r="AB84" s="86">
        <v>1450</v>
      </c>
      <c r="AC84" s="83">
        <v>6</v>
      </c>
      <c r="AD84" s="85" t="s">
        <v>24</v>
      </c>
      <c r="AE84" s="86">
        <v>460</v>
      </c>
      <c r="AF84" s="83"/>
      <c r="AG84" s="85"/>
      <c r="AH84" s="86"/>
      <c r="AI84" s="83"/>
      <c r="AJ84" s="85"/>
      <c r="AK84" s="86"/>
      <c r="AL84" s="87"/>
      <c r="AM84" s="88"/>
      <c r="AN84" s="88" t="s">
        <v>474</v>
      </c>
      <c r="AO84" s="230" t="str">
        <f t="shared" si="3"/>
        <v>3SNCERAWZRX25</v>
      </c>
    </row>
    <row r="85" spans="1:41" ht="15" customHeight="1" x14ac:dyDescent="0.15">
      <c r="A85" s="80">
        <v>333</v>
      </c>
      <c r="B85" s="89">
        <v>272</v>
      </c>
      <c r="C85" s="89">
        <v>36884</v>
      </c>
      <c r="D85" s="89" t="s">
        <v>110</v>
      </c>
      <c r="E85" s="89" t="s">
        <v>45</v>
      </c>
      <c r="F85" s="89" t="s">
        <v>111</v>
      </c>
      <c r="G85" s="89" t="str">
        <f t="shared" si="0"/>
        <v>331SNCERAWZRX</v>
      </c>
      <c r="H85" s="89" t="s">
        <v>19</v>
      </c>
      <c r="I85" s="89" t="s">
        <v>20</v>
      </c>
      <c r="J85" s="89" t="s">
        <v>21</v>
      </c>
      <c r="K85" s="89" t="s">
        <v>112</v>
      </c>
      <c r="L85" s="89" t="s">
        <v>113</v>
      </c>
      <c r="M85" s="89" t="str">
        <f t="shared" si="1"/>
        <v>331SNCERAWZRX251060</v>
      </c>
      <c r="N85" s="89" t="str">
        <f t="shared" si="2"/>
        <v>331SNCERAWZRX25450</v>
      </c>
      <c r="O85" s="90">
        <v>25</v>
      </c>
      <c r="P85" s="89">
        <v>331</v>
      </c>
      <c r="Q85" s="89" t="s">
        <v>31</v>
      </c>
      <c r="R85" s="90">
        <v>1060</v>
      </c>
      <c r="S85" s="90">
        <v>12300</v>
      </c>
      <c r="T85" s="90">
        <v>450</v>
      </c>
      <c r="U85" s="90">
        <v>450</v>
      </c>
      <c r="V85" s="90">
        <v>4000</v>
      </c>
      <c r="W85" s="81">
        <v>2</v>
      </c>
      <c r="X85" s="82" t="s">
        <v>14</v>
      </c>
      <c r="Y85" s="83" t="s">
        <v>295</v>
      </c>
      <c r="Z85" s="84">
        <v>6</v>
      </c>
      <c r="AA85" s="85" t="s">
        <v>24</v>
      </c>
      <c r="AB85" s="86">
        <v>1450</v>
      </c>
      <c r="AC85" s="83">
        <v>6</v>
      </c>
      <c r="AD85" s="85" t="s">
        <v>24</v>
      </c>
      <c r="AE85" s="86">
        <v>460</v>
      </c>
      <c r="AF85" s="83"/>
      <c r="AG85" s="85"/>
      <c r="AH85" s="86"/>
      <c r="AI85" s="83"/>
      <c r="AJ85" s="85"/>
      <c r="AK85" s="86"/>
      <c r="AL85" s="87"/>
      <c r="AM85" s="88"/>
      <c r="AN85" s="88" t="s">
        <v>474</v>
      </c>
      <c r="AO85" s="230" t="str">
        <f t="shared" si="3"/>
        <v>331SNCERAWZRX25</v>
      </c>
    </row>
    <row r="86" spans="1:41" ht="15" customHeight="1" x14ac:dyDescent="0.15">
      <c r="A86" s="80">
        <v>333</v>
      </c>
      <c r="B86" s="89">
        <v>272</v>
      </c>
      <c r="C86" s="89">
        <v>36884</v>
      </c>
      <c r="D86" s="89" t="s">
        <v>110</v>
      </c>
      <c r="E86" s="89" t="s">
        <v>45</v>
      </c>
      <c r="F86" s="89" t="s">
        <v>111</v>
      </c>
      <c r="G86" s="89" t="str">
        <f t="shared" si="0"/>
        <v>331SNCERAWZRX</v>
      </c>
      <c r="H86" s="89" t="s">
        <v>19</v>
      </c>
      <c r="I86" s="89" t="s">
        <v>20</v>
      </c>
      <c r="J86" s="89" t="s">
        <v>21</v>
      </c>
      <c r="K86" s="89" t="s">
        <v>112</v>
      </c>
      <c r="L86" s="89" t="s">
        <v>113</v>
      </c>
      <c r="M86" s="89" t="str">
        <f t="shared" si="1"/>
        <v>331SNCERAWZRX251105</v>
      </c>
      <c r="N86" s="89" t="str">
        <f t="shared" si="2"/>
        <v>331SNCERAWZRX25450</v>
      </c>
      <c r="O86" s="90">
        <v>25</v>
      </c>
      <c r="P86" s="89">
        <v>331</v>
      </c>
      <c r="Q86" s="89" t="s">
        <v>31</v>
      </c>
      <c r="R86" s="90">
        <v>1105</v>
      </c>
      <c r="S86" s="90">
        <v>12300</v>
      </c>
      <c r="T86" s="90">
        <v>450</v>
      </c>
      <c r="U86" s="90">
        <v>450</v>
      </c>
      <c r="V86" s="90">
        <v>4000</v>
      </c>
      <c r="W86" s="81">
        <v>2</v>
      </c>
      <c r="X86" s="82" t="s">
        <v>14</v>
      </c>
      <c r="Y86" s="83" t="s">
        <v>295</v>
      </c>
      <c r="Z86" s="84">
        <v>6</v>
      </c>
      <c r="AA86" s="85" t="s">
        <v>24</v>
      </c>
      <c r="AB86" s="86">
        <v>1450</v>
      </c>
      <c r="AC86" s="83">
        <v>6</v>
      </c>
      <c r="AD86" s="85" t="s">
        <v>24</v>
      </c>
      <c r="AE86" s="86">
        <v>460</v>
      </c>
      <c r="AF86" s="83"/>
      <c r="AG86" s="85"/>
      <c r="AH86" s="86"/>
      <c r="AI86" s="83"/>
      <c r="AJ86" s="85"/>
      <c r="AK86" s="86"/>
      <c r="AL86" s="87"/>
      <c r="AM86" s="88"/>
      <c r="AN86" s="88" t="s">
        <v>474</v>
      </c>
      <c r="AO86" s="230" t="str">
        <f t="shared" si="3"/>
        <v>331SNCERAWZRX25</v>
      </c>
    </row>
    <row r="87" spans="1:41" ht="15" customHeight="1" x14ac:dyDescent="0.15">
      <c r="A87" s="80">
        <v>333</v>
      </c>
      <c r="B87" s="89">
        <v>271</v>
      </c>
      <c r="C87" s="89">
        <v>2553</v>
      </c>
      <c r="D87" s="89" t="s">
        <v>114</v>
      </c>
      <c r="E87" s="89" t="s">
        <v>18</v>
      </c>
      <c r="F87" s="89" t="s">
        <v>26</v>
      </c>
      <c r="G87" s="89" t="str">
        <f t="shared" si="0"/>
        <v>3SNCERAWZRX</v>
      </c>
      <c r="H87" s="89" t="s">
        <v>19</v>
      </c>
      <c r="I87" s="89" t="s">
        <v>20</v>
      </c>
      <c r="J87" s="89" t="s">
        <v>21</v>
      </c>
      <c r="K87" s="89" t="s">
        <v>112</v>
      </c>
      <c r="L87" s="89" t="s">
        <v>113</v>
      </c>
      <c r="M87" s="89" t="str">
        <f t="shared" si="1"/>
        <v>3SNCERAWZRX251325</v>
      </c>
      <c r="N87" s="89" t="str">
        <f t="shared" si="2"/>
        <v>3SNCERAWZRX25640</v>
      </c>
      <c r="O87" s="90">
        <v>25</v>
      </c>
      <c r="P87" s="89">
        <v>3</v>
      </c>
      <c r="Q87" s="89" t="s">
        <v>1997</v>
      </c>
      <c r="R87" s="90">
        <v>1325</v>
      </c>
      <c r="S87" s="90">
        <v>12300</v>
      </c>
      <c r="T87" s="90">
        <v>640</v>
      </c>
      <c r="U87" s="90">
        <v>640</v>
      </c>
      <c r="V87" s="90">
        <v>2000</v>
      </c>
      <c r="W87" s="81">
        <v>2</v>
      </c>
      <c r="X87" s="82" t="s">
        <v>14</v>
      </c>
      <c r="Y87" s="83" t="s">
        <v>295</v>
      </c>
      <c r="Z87" s="84">
        <v>6</v>
      </c>
      <c r="AA87" s="85" t="s">
        <v>24</v>
      </c>
      <c r="AB87" s="86">
        <v>1450</v>
      </c>
      <c r="AC87" s="83">
        <v>3</v>
      </c>
      <c r="AD87" s="85" t="s">
        <v>39</v>
      </c>
      <c r="AE87" s="86">
        <v>645</v>
      </c>
      <c r="AF87" s="83"/>
      <c r="AG87" s="85"/>
      <c r="AH87" s="86"/>
      <c r="AI87" s="83"/>
      <c r="AJ87" s="85"/>
      <c r="AK87" s="86"/>
      <c r="AL87" s="87"/>
      <c r="AM87" s="88"/>
      <c r="AN87" s="88" t="s">
        <v>474</v>
      </c>
      <c r="AO87" s="230" t="str">
        <f t="shared" si="3"/>
        <v>3SNCERAWZRX25</v>
      </c>
    </row>
    <row r="88" spans="1:41" ht="15" customHeight="1" x14ac:dyDescent="0.15">
      <c r="A88" s="80">
        <v>333</v>
      </c>
      <c r="B88" s="89">
        <v>271</v>
      </c>
      <c r="C88" s="89">
        <v>2553</v>
      </c>
      <c r="D88" s="89" t="s">
        <v>114</v>
      </c>
      <c r="E88" s="89" t="s">
        <v>18</v>
      </c>
      <c r="F88" s="89" t="s">
        <v>26</v>
      </c>
      <c r="G88" s="89" t="str">
        <f t="shared" si="0"/>
        <v>3SNCERAWZRX</v>
      </c>
      <c r="H88" s="89" t="s">
        <v>19</v>
      </c>
      <c r="I88" s="89" t="s">
        <v>20</v>
      </c>
      <c r="J88" s="89" t="s">
        <v>21</v>
      </c>
      <c r="K88" s="89" t="s">
        <v>112</v>
      </c>
      <c r="L88" s="89" t="s">
        <v>113</v>
      </c>
      <c r="M88" s="89" t="str">
        <f t="shared" si="1"/>
        <v>3SNCERAWZRX251337</v>
      </c>
      <c r="N88" s="89" t="str">
        <f t="shared" si="2"/>
        <v>3SNCERAWZRX25640</v>
      </c>
      <c r="O88" s="90">
        <v>25</v>
      </c>
      <c r="P88" s="89">
        <v>3</v>
      </c>
      <c r="Q88" s="89" t="s">
        <v>1998</v>
      </c>
      <c r="R88" s="90">
        <v>1337</v>
      </c>
      <c r="S88" s="90">
        <v>12300</v>
      </c>
      <c r="T88" s="90">
        <v>640</v>
      </c>
      <c r="U88" s="90">
        <v>640</v>
      </c>
      <c r="V88" s="90">
        <v>2000</v>
      </c>
      <c r="W88" s="81">
        <v>2</v>
      </c>
      <c r="X88" s="82" t="s">
        <v>14</v>
      </c>
      <c r="Y88" s="83" t="s">
        <v>295</v>
      </c>
      <c r="Z88" s="84">
        <v>6</v>
      </c>
      <c r="AA88" s="85" t="s">
        <v>24</v>
      </c>
      <c r="AB88" s="86">
        <v>1450</v>
      </c>
      <c r="AC88" s="83">
        <v>3</v>
      </c>
      <c r="AD88" s="85" t="s">
        <v>39</v>
      </c>
      <c r="AE88" s="86">
        <v>645</v>
      </c>
      <c r="AF88" s="83"/>
      <c r="AG88" s="85"/>
      <c r="AH88" s="86"/>
      <c r="AI88" s="83"/>
      <c r="AJ88" s="85"/>
      <c r="AK88" s="86"/>
      <c r="AL88" s="87"/>
      <c r="AM88" s="88"/>
      <c r="AN88" s="88" t="s">
        <v>474</v>
      </c>
      <c r="AO88" s="230" t="str">
        <f t="shared" si="3"/>
        <v>3SNCERAWZRX25</v>
      </c>
    </row>
    <row r="89" spans="1:41" ht="15" customHeight="1" x14ac:dyDescent="0.15">
      <c r="A89" s="80">
        <v>333</v>
      </c>
      <c r="B89" s="89">
        <v>271</v>
      </c>
      <c r="C89" s="89">
        <v>2553</v>
      </c>
      <c r="D89" s="89" t="s">
        <v>114</v>
      </c>
      <c r="E89" s="89" t="s">
        <v>18</v>
      </c>
      <c r="F89" s="89" t="s">
        <v>26</v>
      </c>
      <c r="G89" s="89" t="str">
        <f t="shared" si="0"/>
        <v>3SNCERAWZRX</v>
      </c>
      <c r="H89" s="89" t="s">
        <v>19</v>
      </c>
      <c r="I89" s="89" t="s">
        <v>20</v>
      </c>
      <c r="J89" s="89" t="s">
        <v>21</v>
      </c>
      <c r="K89" s="89" t="s">
        <v>112</v>
      </c>
      <c r="L89" s="89" t="s">
        <v>113</v>
      </c>
      <c r="M89" s="89" t="str">
        <f t="shared" si="1"/>
        <v>3SNCERAWZRX251337</v>
      </c>
      <c r="N89" s="89" t="str">
        <f t="shared" si="2"/>
        <v>3SNCERAWZRX25540</v>
      </c>
      <c r="O89" s="90">
        <v>25</v>
      </c>
      <c r="P89" s="89">
        <v>3</v>
      </c>
      <c r="Q89" s="89" t="s">
        <v>34</v>
      </c>
      <c r="R89" s="90">
        <v>1337</v>
      </c>
      <c r="S89" s="90">
        <v>12300</v>
      </c>
      <c r="T89" s="90">
        <v>540</v>
      </c>
      <c r="U89" s="90">
        <v>540</v>
      </c>
      <c r="V89" s="90">
        <v>2000</v>
      </c>
      <c r="W89" s="81">
        <v>2</v>
      </c>
      <c r="X89" s="82" t="s">
        <v>14</v>
      </c>
      <c r="Y89" s="83" t="s">
        <v>295</v>
      </c>
      <c r="Z89" s="84">
        <v>6</v>
      </c>
      <c r="AA89" s="85" t="s">
        <v>24</v>
      </c>
      <c r="AB89" s="86">
        <v>1450</v>
      </c>
      <c r="AC89" s="83">
        <v>3</v>
      </c>
      <c r="AD89" s="85" t="s">
        <v>39</v>
      </c>
      <c r="AE89" s="86">
        <v>545</v>
      </c>
      <c r="AF89" s="83"/>
      <c r="AG89" s="85"/>
      <c r="AH89" s="86"/>
      <c r="AI89" s="83"/>
      <c r="AJ89" s="85"/>
      <c r="AK89" s="86"/>
      <c r="AL89" s="87"/>
      <c r="AM89" s="88"/>
      <c r="AN89" s="88" t="s">
        <v>474</v>
      </c>
      <c r="AO89" s="230" t="str">
        <f t="shared" si="3"/>
        <v>3SNCERAWZRX25</v>
      </c>
    </row>
    <row r="90" spans="1:41" ht="15" customHeight="1" x14ac:dyDescent="0.15">
      <c r="A90" s="80">
        <v>333</v>
      </c>
      <c r="B90" s="89">
        <v>271</v>
      </c>
      <c r="C90" s="89">
        <v>2553</v>
      </c>
      <c r="D90" s="89" t="s">
        <v>114</v>
      </c>
      <c r="E90" s="89" t="s">
        <v>18</v>
      </c>
      <c r="F90" s="89" t="s">
        <v>26</v>
      </c>
      <c r="G90" s="89" t="str">
        <f t="shared" si="0"/>
        <v>331SNCERAWZRX</v>
      </c>
      <c r="H90" s="89" t="s">
        <v>19</v>
      </c>
      <c r="I90" s="89" t="s">
        <v>20</v>
      </c>
      <c r="J90" s="89" t="s">
        <v>21</v>
      </c>
      <c r="K90" s="89" t="s">
        <v>112</v>
      </c>
      <c r="L90" s="89" t="s">
        <v>113</v>
      </c>
      <c r="M90" s="89" t="str">
        <f t="shared" si="1"/>
        <v>331SNCERAWZRX251520</v>
      </c>
      <c r="N90" s="89" t="str">
        <f t="shared" si="2"/>
        <v>331SNCERAWZRX25640</v>
      </c>
      <c r="O90" s="90">
        <v>25</v>
      </c>
      <c r="P90" s="89">
        <v>331</v>
      </c>
      <c r="Q90" s="89" t="s">
        <v>1997</v>
      </c>
      <c r="R90" s="90">
        <v>1520</v>
      </c>
      <c r="S90" s="90">
        <v>13000</v>
      </c>
      <c r="T90" s="90">
        <v>640</v>
      </c>
      <c r="U90" s="90">
        <v>640</v>
      </c>
      <c r="V90" s="90">
        <v>2000</v>
      </c>
      <c r="W90" s="81">
        <v>2</v>
      </c>
      <c r="X90" s="82" t="s">
        <v>14</v>
      </c>
      <c r="Y90" s="83" t="s">
        <v>295</v>
      </c>
      <c r="Z90" s="84">
        <v>6</v>
      </c>
      <c r="AA90" s="85" t="s">
        <v>24</v>
      </c>
      <c r="AB90" s="86">
        <v>1600</v>
      </c>
      <c r="AC90" s="83">
        <v>3</v>
      </c>
      <c r="AD90" s="85" t="s">
        <v>39</v>
      </c>
      <c r="AE90" s="86">
        <v>645</v>
      </c>
      <c r="AF90" s="83"/>
      <c r="AG90" s="85"/>
      <c r="AH90" s="86"/>
      <c r="AI90" s="83"/>
      <c r="AJ90" s="85"/>
      <c r="AK90" s="86"/>
      <c r="AL90" s="87"/>
      <c r="AM90" s="88"/>
      <c r="AN90" s="88" t="s">
        <v>474</v>
      </c>
      <c r="AO90" s="230" t="str">
        <f t="shared" ref="AO90:AO168" si="4">G90&amp;O90</f>
        <v>331SNCERAWZRX25</v>
      </c>
    </row>
    <row r="91" spans="1:41" ht="15" customHeight="1" x14ac:dyDescent="0.15">
      <c r="A91" s="80">
        <v>333</v>
      </c>
      <c r="B91" s="89">
        <v>271</v>
      </c>
      <c r="C91" s="89">
        <v>2553</v>
      </c>
      <c r="D91" s="89" t="s">
        <v>114</v>
      </c>
      <c r="E91" s="89" t="s">
        <v>18</v>
      </c>
      <c r="F91" s="89" t="s">
        <v>26</v>
      </c>
      <c r="G91" s="89" t="str">
        <f t="shared" si="0"/>
        <v>331SNCERAWZRX</v>
      </c>
      <c r="H91" s="89" t="s">
        <v>19</v>
      </c>
      <c r="I91" s="89" t="s">
        <v>20</v>
      </c>
      <c r="J91" s="89" t="s">
        <v>21</v>
      </c>
      <c r="K91" s="89" t="s">
        <v>112</v>
      </c>
      <c r="L91" s="89" t="s">
        <v>113</v>
      </c>
      <c r="M91" s="89" t="str">
        <f t="shared" si="1"/>
        <v>331SNCERAWZRX251337</v>
      </c>
      <c r="N91" s="89" t="str">
        <f t="shared" si="2"/>
        <v>331SNCERAWZRX25640</v>
      </c>
      <c r="O91" s="90">
        <v>25</v>
      </c>
      <c r="P91" s="89">
        <v>331</v>
      </c>
      <c r="Q91" s="89" t="s">
        <v>1159</v>
      </c>
      <c r="R91" s="90">
        <v>1337</v>
      </c>
      <c r="S91" s="90">
        <v>12300</v>
      </c>
      <c r="T91" s="90">
        <v>640</v>
      </c>
      <c r="U91" s="90">
        <v>640</v>
      </c>
      <c r="V91" s="90">
        <v>2000</v>
      </c>
      <c r="W91" s="81">
        <v>2</v>
      </c>
      <c r="X91" s="82" t="s">
        <v>14</v>
      </c>
      <c r="Y91" s="83" t="s">
        <v>295</v>
      </c>
      <c r="Z91" s="84">
        <v>6</v>
      </c>
      <c r="AA91" s="85" t="s">
        <v>24</v>
      </c>
      <c r="AB91" s="86">
        <v>1600</v>
      </c>
      <c r="AC91" s="83">
        <v>3</v>
      </c>
      <c r="AD91" s="85" t="s">
        <v>39</v>
      </c>
      <c r="AE91" s="86">
        <v>645</v>
      </c>
      <c r="AF91" s="83"/>
      <c r="AG91" s="85"/>
      <c r="AH91" s="86"/>
      <c r="AI91" s="83"/>
      <c r="AJ91" s="85"/>
      <c r="AK91" s="86"/>
      <c r="AL91" s="87"/>
      <c r="AM91" s="88"/>
      <c r="AN91" s="88" t="s">
        <v>474</v>
      </c>
      <c r="AO91" s="230" t="str">
        <f t="shared" si="4"/>
        <v>331SNCERAWZRX25</v>
      </c>
    </row>
    <row r="92" spans="1:41" ht="15" customHeight="1" x14ac:dyDescent="0.15">
      <c r="A92" s="80">
        <v>333</v>
      </c>
      <c r="B92" s="89">
        <v>271</v>
      </c>
      <c r="C92" s="89">
        <v>2553</v>
      </c>
      <c r="D92" s="89" t="s">
        <v>114</v>
      </c>
      <c r="E92" s="89" t="s">
        <v>18</v>
      </c>
      <c r="F92" s="89" t="s">
        <v>26</v>
      </c>
      <c r="G92" s="89" t="str">
        <f t="shared" si="0"/>
        <v>3SNCERAWZRX</v>
      </c>
      <c r="H92" s="89" t="s">
        <v>19</v>
      </c>
      <c r="I92" s="89" t="s">
        <v>20</v>
      </c>
      <c r="J92" s="89" t="s">
        <v>21</v>
      </c>
      <c r="K92" s="89" t="s">
        <v>112</v>
      </c>
      <c r="L92" s="89" t="s">
        <v>113</v>
      </c>
      <c r="M92" s="89" t="str">
        <f t="shared" si="1"/>
        <v>3SNCERAWZRX251520</v>
      </c>
      <c r="N92" s="89" t="str">
        <f t="shared" si="2"/>
        <v>3SNCERAWZRX25540</v>
      </c>
      <c r="O92" s="90">
        <v>25</v>
      </c>
      <c r="P92" s="89">
        <v>3</v>
      </c>
      <c r="Q92" s="89" t="s">
        <v>1997</v>
      </c>
      <c r="R92" s="90">
        <v>1520</v>
      </c>
      <c r="S92" s="90">
        <v>13000</v>
      </c>
      <c r="T92" s="90">
        <v>540</v>
      </c>
      <c r="U92" s="90">
        <v>540</v>
      </c>
      <c r="V92" s="90">
        <v>2000</v>
      </c>
      <c r="W92" s="81">
        <v>2</v>
      </c>
      <c r="X92" s="82" t="s">
        <v>14</v>
      </c>
      <c r="Y92" s="83" t="s">
        <v>295</v>
      </c>
      <c r="Z92" s="84">
        <v>6</v>
      </c>
      <c r="AA92" s="85" t="s">
        <v>24</v>
      </c>
      <c r="AB92" s="86">
        <v>1600</v>
      </c>
      <c r="AC92" s="83">
        <v>3</v>
      </c>
      <c r="AD92" s="85" t="s">
        <v>39</v>
      </c>
      <c r="AE92" s="86">
        <v>545</v>
      </c>
      <c r="AF92" s="83"/>
      <c r="AG92" s="85"/>
      <c r="AH92" s="86"/>
      <c r="AI92" s="83"/>
      <c r="AJ92" s="85"/>
      <c r="AK92" s="86"/>
      <c r="AL92" s="87"/>
      <c r="AM92" s="88"/>
      <c r="AN92" s="88" t="s">
        <v>474</v>
      </c>
      <c r="AO92" s="230" t="str">
        <f t="shared" si="4"/>
        <v>3SNCERAWZRX25</v>
      </c>
    </row>
    <row r="93" spans="1:41" ht="15" customHeight="1" x14ac:dyDescent="0.15">
      <c r="A93" s="80">
        <v>333</v>
      </c>
      <c r="B93" s="89">
        <v>271</v>
      </c>
      <c r="C93" s="89">
        <v>2553</v>
      </c>
      <c r="D93" s="89" t="s">
        <v>114</v>
      </c>
      <c r="E93" s="89" t="s">
        <v>18</v>
      </c>
      <c r="F93" s="89" t="s">
        <v>26</v>
      </c>
      <c r="G93" s="89" t="str">
        <f t="shared" si="0"/>
        <v>331SNCERAWZRX</v>
      </c>
      <c r="H93" s="89" t="s">
        <v>19</v>
      </c>
      <c r="I93" s="89" t="s">
        <v>20</v>
      </c>
      <c r="J93" s="89" t="s">
        <v>21</v>
      </c>
      <c r="K93" s="89" t="s">
        <v>112</v>
      </c>
      <c r="L93" s="89" t="s">
        <v>113</v>
      </c>
      <c r="M93" s="89" t="str">
        <f t="shared" si="1"/>
        <v>331SNCERAWZRX251325</v>
      </c>
      <c r="N93" s="89" t="str">
        <f t="shared" si="2"/>
        <v>331SNCERAWZRX25640</v>
      </c>
      <c r="O93" s="90">
        <v>25</v>
      </c>
      <c r="P93" s="89">
        <v>331</v>
      </c>
      <c r="Q93" s="89" t="s">
        <v>1159</v>
      </c>
      <c r="R93" s="90">
        <v>1325</v>
      </c>
      <c r="S93" s="90">
        <v>12300</v>
      </c>
      <c r="T93" s="90">
        <v>640</v>
      </c>
      <c r="U93" s="90">
        <v>640</v>
      </c>
      <c r="V93" s="90">
        <v>2000</v>
      </c>
      <c r="W93" s="81">
        <v>2</v>
      </c>
      <c r="X93" s="82" t="s">
        <v>14</v>
      </c>
      <c r="Y93" s="83" t="s">
        <v>295</v>
      </c>
      <c r="Z93" s="84">
        <v>6</v>
      </c>
      <c r="AA93" s="85" t="s">
        <v>24</v>
      </c>
      <c r="AB93" s="86">
        <v>1450</v>
      </c>
      <c r="AC93" s="83">
        <v>3</v>
      </c>
      <c r="AD93" s="85" t="s">
        <v>39</v>
      </c>
      <c r="AE93" s="86">
        <v>645</v>
      </c>
      <c r="AF93" s="83"/>
      <c r="AG93" s="85"/>
      <c r="AH93" s="86"/>
      <c r="AI93" s="83"/>
      <c r="AJ93" s="85"/>
      <c r="AK93" s="86"/>
      <c r="AL93" s="87"/>
      <c r="AM93" s="88"/>
      <c r="AN93" s="88" t="s">
        <v>474</v>
      </c>
      <c r="AO93" s="230" t="str">
        <f t="shared" si="4"/>
        <v>331SNCERAWZRX25</v>
      </c>
    </row>
    <row r="94" spans="1:41" ht="15" customHeight="1" x14ac:dyDescent="0.15">
      <c r="A94" s="80">
        <v>333</v>
      </c>
      <c r="B94" s="89">
        <v>271</v>
      </c>
      <c r="C94" s="89">
        <v>3512</v>
      </c>
      <c r="D94" s="89" t="s">
        <v>115</v>
      </c>
      <c r="E94" s="89" t="s">
        <v>18</v>
      </c>
      <c r="F94" s="89" t="s">
        <v>111</v>
      </c>
      <c r="G94" s="89" t="str">
        <f t="shared" si="0"/>
        <v>3SNCERAWZRX</v>
      </c>
      <c r="H94" s="89" t="s">
        <v>19</v>
      </c>
      <c r="I94" s="89" t="s">
        <v>20</v>
      </c>
      <c r="J94" s="89" t="s">
        <v>21</v>
      </c>
      <c r="K94" s="89" t="s">
        <v>112</v>
      </c>
      <c r="L94" s="89" t="s">
        <v>113</v>
      </c>
      <c r="M94" s="89" t="str">
        <f t="shared" si="1"/>
        <v>3SNCERAWZRX381135</v>
      </c>
      <c r="N94" s="89" t="str">
        <f t="shared" si="2"/>
        <v>3SNCERAWZRX381130</v>
      </c>
      <c r="O94" s="90">
        <v>38</v>
      </c>
      <c r="P94" s="89">
        <v>3</v>
      </c>
      <c r="Q94" s="89" t="s">
        <v>31</v>
      </c>
      <c r="R94" s="90">
        <v>1135</v>
      </c>
      <c r="S94" s="90">
        <v>12200</v>
      </c>
      <c r="T94" s="90">
        <v>1135</v>
      </c>
      <c r="U94" s="90">
        <v>1130</v>
      </c>
      <c r="V94" s="90">
        <v>6000</v>
      </c>
      <c r="W94" s="81">
        <v>2</v>
      </c>
      <c r="X94" s="82" t="s">
        <v>14</v>
      </c>
      <c r="Y94" s="83" t="s">
        <v>27</v>
      </c>
      <c r="Z94" s="84">
        <v>6</v>
      </c>
      <c r="AA94" s="85" t="s">
        <v>24</v>
      </c>
      <c r="AB94" s="86">
        <v>1450</v>
      </c>
      <c r="AC94" s="83">
        <v>6</v>
      </c>
      <c r="AD94" s="85" t="s">
        <v>24</v>
      </c>
      <c r="AE94" s="86">
        <v>1450</v>
      </c>
      <c r="AF94" s="83"/>
      <c r="AG94" s="85"/>
      <c r="AH94" s="86"/>
      <c r="AI94" s="83"/>
      <c r="AJ94" s="85"/>
      <c r="AK94" s="86"/>
      <c r="AL94" s="87"/>
      <c r="AM94" s="88"/>
      <c r="AN94" s="88" t="s">
        <v>475</v>
      </c>
      <c r="AO94" s="230" t="str">
        <f t="shared" si="4"/>
        <v>3SNCERAWZRX38</v>
      </c>
    </row>
    <row r="95" spans="1:41" ht="15" customHeight="1" x14ac:dyDescent="0.15">
      <c r="A95" s="80">
        <v>333</v>
      </c>
      <c r="B95" s="89">
        <v>275</v>
      </c>
      <c r="C95" s="89">
        <v>5174</v>
      </c>
      <c r="D95" s="89" t="s">
        <v>116</v>
      </c>
      <c r="E95" s="89" t="s">
        <v>117</v>
      </c>
      <c r="F95" s="89"/>
      <c r="G95" s="89" t="str">
        <f t="shared" si="0"/>
        <v>3SNCERAWZS</v>
      </c>
      <c r="H95" s="89" t="s">
        <v>19</v>
      </c>
      <c r="I95" s="89" t="s">
        <v>20</v>
      </c>
      <c r="J95" s="89" t="s">
        <v>21</v>
      </c>
      <c r="K95" s="89" t="s">
        <v>118</v>
      </c>
      <c r="L95" s="89" t="s">
        <v>2049</v>
      </c>
      <c r="M95" s="89" t="str">
        <f t="shared" si="1"/>
        <v>3SNCERAWZS381005</v>
      </c>
      <c r="N95" s="89" t="str">
        <f t="shared" si="2"/>
        <v>3SNCERAWZS381000</v>
      </c>
      <c r="O95" s="90">
        <v>38</v>
      </c>
      <c r="P95" s="89">
        <v>3</v>
      </c>
      <c r="Q95" s="89" t="s">
        <v>59</v>
      </c>
      <c r="R95" s="90">
        <v>1005</v>
      </c>
      <c r="S95" s="90">
        <v>8000</v>
      </c>
      <c r="T95" s="90">
        <v>1005</v>
      </c>
      <c r="U95" s="90">
        <v>1000</v>
      </c>
      <c r="V95" s="90">
        <v>8000</v>
      </c>
      <c r="W95" s="81">
        <v>2</v>
      </c>
      <c r="X95" s="82" t="s">
        <v>14</v>
      </c>
      <c r="Y95" s="83" t="s">
        <v>15</v>
      </c>
      <c r="Z95" s="84">
        <v>6</v>
      </c>
      <c r="AA95" s="85" t="s">
        <v>24</v>
      </c>
      <c r="AB95" s="86">
        <v>1170</v>
      </c>
      <c r="AC95" s="83">
        <v>6</v>
      </c>
      <c r="AD95" s="85" t="s">
        <v>24</v>
      </c>
      <c r="AE95" s="86">
        <v>1170</v>
      </c>
      <c r="AF95" s="83"/>
      <c r="AG95" s="85"/>
      <c r="AH95" s="86"/>
      <c r="AI95" s="83"/>
      <c r="AJ95" s="85"/>
      <c r="AK95" s="86"/>
      <c r="AL95" s="87"/>
      <c r="AM95" s="88"/>
      <c r="AN95" s="88" t="s">
        <v>475</v>
      </c>
      <c r="AO95" s="230" t="str">
        <f t="shared" si="4"/>
        <v>3SNCERAWZS38</v>
      </c>
    </row>
    <row r="96" spans="1:41" ht="15" customHeight="1" x14ac:dyDescent="0.15">
      <c r="A96" s="80">
        <v>333</v>
      </c>
      <c r="B96" s="89">
        <v>275</v>
      </c>
      <c r="C96" s="89">
        <v>5174</v>
      </c>
      <c r="D96" s="89" t="s">
        <v>116</v>
      </c>
      <c r="E96" s="89" t="s">
        <v>117</v>
      </c>
      <c r="F96" s="89"/>
      <c r="G96" s="89" t="str">
        <f t="shared" si="0"/>
        <v>3SNCERAWZS</v>
      </c>
      <c r="H96" s="89" t="s">
        <v>19</v>
      </c>
      <c r="I96" s="89" t="s">
        <v>20</v>
      </c>
      <c r="J96" s="89" t="s">
        <v>21</v>
      </c>
      <c r="K96" s="89" t="s">
        <v>118</v>
      </c>
      <c r="L96" s="89" t="s">
        <v>2049</v>
      </c>
      <c r="M96" s="89" t="str">
        <f t="shared" si="1"/>
        <v>3SNCERAWZS381125</v>
      </c>
      <c r="N96" s="89" t="str">
        <f t="shared" si="2"/>
        <v>3SNCERAWZS381120</v>
      </c>
      <c r="O96" s="90">
        <v>38</v>
      </c>
      <c r="P96" s="89">
        <v>3</v>
      </c>
      <c r="Q96" s="89" t="s">
        <v>59</v>
      </c>
      <c r="R96" s="90">
        <v>1125</v>
      </c>
      <c r="S96" s="90">
        <v>6000</v>
      </c>
      <c r="T96" s="90">
        <v>1125</v>
      </c>
      <c r="U96" s="90">
        <v>1120</v>
      </c>
      <c r="V96" s="90">
        <v>6000</v>
      </c>
      <c r="W96" s="81">
        <v>2</v>
      </c>
      <c r="X96" s="82" t="s">
        <v>14</v>
      </c>
      <c r="Y96" s="83" t="s">
        <v>15</v>
      </c>
      <c r="Z96" s="84">
        <v>6</v>
      </c>
      <c r="AA96" s="85" t="s">
        <v>24</v>
      </c>
      <c r="AB96" s="86">
        <v>1170</v>
      </c>
      <c r="AC96" s="83"/>
      <c r="AD96" s="85"/>
      <c r="AE96" s="86"/>
      <c r="AF96" s="83"/>
      <c r="AG96" s="85"/>
      <c r="AH96" s="86"/>
      <c r="AI96" s="83"/>
      <c r="AJ96" s="85"/>
      <c r="AK96" s="86"/>
      <c r="AL96" s="87"/>
      <c r="AM96" s="88"/>
      <c r="AN96" s="88" t="s">
        <v>475</v>
      </c>
      <c r="AO96" s="230" t="str">
        <f t="shared" si="4"/>
        <v>3SNCERAWZS38</v>
      </c>
    </row>
    <row r="97" spans="1:41" ht="15" customHeight="1" x14ac:dyDescent="0.15">
      <c r="A97" s="80">
        <v>333</v>
      </c>
      <c r="B97" s="89">
        <v>275</v>
      </c>
      <c r="C97" s="89">
        <v>5174</v>
      </c>
      <c r="D97" s="89" t="s">
        <v>116</v>
      </c>
      <c r="E97" s="89" t="s">
        <v>117</v>
      </c>
      <c r="F97" s="89"/>
      <c r="G97" s="89" t="str">
        <f t="shared" si="0"/>
        <v>3SNCERAWZS</v>
      </c>
      <c r="H97" s="89" t="s">
        <v>19</v>
      </c>
      <c r="I97" s="89" t="s">
        <v>20</v>
      </c>
      <c r="J97" s="89" t="s">
        <v>21</v>
      </c>
      <c r="K97" s="89" t="s">
        <v>118</v>
      </c>
      <c r="L97" s="89" t="s">
        <v>2049</v>
      </c>
      <c r="M97" s="89" t="str">
        <f t="shared" si="1"/>
        <v>3SNCERAWZS381415</v>
      </c>
      <c r="N97" s="89" t="str">
        <f t="shared" si="2"/>
        <v>3SNCERAWZS381410</v>
      </c>
      <c r="O97" s="90">
        <v>38</v>
      </c>
      <c r="P97" s="89">
        <v>3</v>
      </c>
      <c r="Q97" s="89" t="s">
        <v>59</v>
      </c>
      <c r="R97" s="90">
        <v>1415</v>
      </c>
      <c r="S97" s="90">
        <v>8000</v>
      </c>
      <c r="T97" s="90">
        <v>1415</v>
      </c>
      <c r="U97" s="90">
        <v>1410</v>
      </c>
      <c r="V97" s="90">
        <v>8000</v>
      </c>
      <c r="W97" s="81">
        <v>2</v>
      </c>
      <c r="X97" s="82" t="s">
        <v>14</v>
      </c>
      <c r="Y97" s="83" t="s">
        <v>15</v>
      </c>
      <c r="Z97" s="84">
        <v>6</v>
      </c>
      <c r="AA97" s="85" t="s">
        <v>24</v>
      </c>
      <c r="AB97" s="86">
        <v>1450</v>
      </c>
      <c r="AC97" s="83"/>
      <c r="AD97" s="85"/>
      <c r="AE97" s="86"/>
      <c r="AF97" s="83"/>
      <c r="AG97" s="85"/>
      <c r="AH97" s="86"/>
      <c r="AI97" s="83"/>
      <c r="AJ97" s="85"/>
      <c r="AK97" s="86"/>
      <c r="AL97" s="87"/>
      <c r="AM97" s="88"/>
      <c r="AN97" s="88" t="s">
        <v>475</v>
      </c>
      <c r="AO97" s="230" t="str">
        <f t="shared" si="4"/>
        <v>3SNCERAWZS38</v>
      </c>
    </row>
    <row r="98" spans="1:41" ht="15" customHeight="1" x14ac:dyDescent="0.15">
      <c r="A98" s="80">
        <v>333</v>
      </c>
      <c r="B98" s="89">
        <v>272</v>
      </c>
      <c r="C98" s="89">
        <v>3864</v>
      </c>
      <c r="D98" s="89" t="s">
        <v>120</v>
      </c>
      <c r="E98" s="89" t="s">
        <v>45</v>
      </c>
      <c r="F98" s="89" t="s">
        <v>111</v>
      </c>
      <c r="G98" s="89" t="str">
        <f t="shared" si="0"/>
        <v>3SNCERAWZS</v>
      </c>
      <c r="H98" s="89" t="s">
        <v>19</v>
      </c>
      <c r="I98" s="89" t="s">
        <v>20</v>
      </c>
      <c r="J98" s="89" t="s">
        <v>21</v>
      </c>
      <c r="K98" s="89" t="s">
        <v>118</v>
      </c>
      <c r="L98" s="89" t="s">
        <v>121</v>
      </c>
      <c r="M98" s="89" t="str">
        <f t="shared" si="1"/>
        <v>3SNCERAWZS1251230</v>
      </c>
      <c r="N98" s="89" t="str">
        <f t="shared" si="2"/>
        <v>3SNCERAWZS1251225</v>
      </c>
      <c r="O98" s="90">
        <v>125</v>
      </c>
      <c r="P98" s="89">
        <v>3</v>
      </c>
      <c r="Q98" s="89" t="s">
        <v>59</v>
      </c>
      <c r="R98" s="90">
        <v>1230</v>
      </c>
      <c r="S98" s="90">
        <v>2000</v>
      </c>
      <c r="T98" s="90">
        <v>1230</v>
      </c>
      <c r="U98" s="90">
        <v>1225</v>
      </c>
      <c r="V98" s="90">
        <v>1800</v>
      </c>
      <c r="W98" s="81">
        <v>2</v>
      </c>
      <c r="X98" s="82" t="s">
        <v>14</v>
      </c>
      <c r="Y98" s="83" t="s">
        <v>15</v>
      </c>
      <c r="Z98" s="84">
        <v>6</v>
      </c>
      <c r="AA98" s="85" t="s">
        <v>24</v>
      </c>
      <c r="AB98" s="86">
        <v>1450</v>
      </c>
      <c r="AC98" s="83"/>
      <c r="AD98" s="85"/>
      <c r="AE98" s="86"/>
      <c r="AF98" s="83"/>
      <c r="AG98" s="85"/>
      <c r="AH98" s="86"/>
      <c r="AI98" s="83"/>
      <c r="AJ98" s="85"/>
      <c r="AK98" s="86"/>
      <c r="AL98" s="87"/>
      <c r="AM98" s="88"/>
      <c r="AN98" s="88" t="s">
        <v>474</v>
      </c>
      <c r="AO98" s="230" t="str">
        <f t="shared" si="4"/>
        <v>3SNCERAWZS125</v>
      </c>
    </row>
    <row r="99" spans="1:41" ht="15" customHeight="1" x14ac:dyDescent="0.15">
      <c r="A99" s="80">
        <v>333</v>
      </c>
      <c r="B99" s="89">
        <v>272</v>
      </c>
      <c r="C99" s="89">
        <v>3864</v>
      </c>
      <c r="D99" s="89" t="s">
        <v>120</v>
      </c>
      <c r="E99" s="89" t="s">
        <v>45</v>
      </c>
      <c r="F99" s="89" t="s">
        <v>111</v>
      </c>
      <c r="G99" s="89" t="str">
        <f t="shared" ref="G99:G162" si="5">CONCATENATE(P99,H99,I99,J99,K99)</f>
        <v>3SNCERAWZS</v>
      </c>
      <c r="H99" s="89" t="s">
        <v>19</v>
      </c>
      <c r="I99" s="89" t="s">
        <v>20</v>
      </c>
      <c r="J99" s="89" t="s">
        <v>21</v>
      </c>
      <c r="K99" s="89" t="s">
        <v>118</v>
      </c>
      <c r="L99" s="89" t="s">
        <v>121</v>
      </c>
      <c r="M99" s="89" t="str">
        <f t="shared" ref="M99:M162" si="6">G99&amp;O99&amp;R99</f>
        <v>3SNCERAWZS1251250</v>
      </c>
      <c r="N99" s="89" t="str">
        <f t="shared" ref="N99:N162" si="7">G99&amp;O99&amp;U99</f>
        <v>3SNCERAWZS1251225</v>
      </c>
      <c r="O99" s="90">
        <v>125</v>
      </c>
      <c r="P99" s="89">
        <v>3</v>
      </c>
      <c r="Q99" s="89" t="s">
        <v>59</v>
      </c>
      <c r="R99" s="90">
        <v>1250</v>
      </c>
      <c r="S99" s="90">
        <v>2000</v>
      </c>
      <c r="T99" s="90">
        <v>1230</v>
      </c>
      <c r="U99" s="90">
        <v>1225</v>
      </c>
      <c r="V99" s="90">
        <v>1800</v>
      </c>
      <c r="W99" s="81">
        <v>2</v>
      </c>
      <c r="X99" s="82" t="s">
        <v>14</v>
      </c>
      <c r="Y99" s="83" t="s">
        <v>295</v>
      </c>
      <c r="Z99" s="84">
        <v>6</v>
      </c>
      <c r="AA99" s="85" t="s">
        <v>24</v>
      </c>
      <c r="AB99" s="86">
        <v>1450</v>
      </c>
      <c r="AC99" s="83">
        <v>6</v>
      </c>
      <c r="AD99" s="85" t="s">
        <v>24</v>
      </c>
      <c r="AE99" s="86">
        <v>1450</v>
      </c>
      <c r="AF99" s="83"/>
      <c r="AG99" s="85"/>
      <c r="AH99" s="86"/>
      <c r="AI99" s="83"/>
      <c r="AJ99" s="85"/>
      <c r="AK99" s="86"/>
      <c r="AL99" s="87"/>
      <c r="AM99" s="88"/>
      <c r="AN99" s="88" t="s">
        <v>474</v>
      </c>
      <c r="AO99" s="230" t="str">
        <f t="shared" si="4"/>
        <v>3SNCERAWZS125</v>
      </c>
    </row>
    <row r="100" spans="1:41" ht="15" customHeight="1" x14ac:dyDescent="0.15">
      <c r="A100" s="80">
        <v>333</v>
      </c>
      <c r="B100" s="89">
        <v>271</v>
      </c>
      <c r="C100" s="89">
        <v>3512</v>
      </c>
      <c r="D100" s="89" t="s">
        <v>115</v>
      </c>
      <c r="E100" s="89" t="s">
        <v>18</v>
      </c>
      <c r="F100" s="89" t="s">
        <v>111</v>
      </c>
      <c r="G100" s="89" t="str">
        <f t="shared" si="5"/>
        <v>3SNCERAWZT</v>
      </c>
      <c r="H100" s="89" t="s">
        <v>19</v>
      </c>
      <c r="I100" s="89" t="s">
        <v>20</v>
      </c>
      <c r="J100" s="89" t="s">
        <v>21</v>
      </c>
      <c r="K100" s="89" t="s">
        <v>122</v>
      </c>
      <c r="L100" s="89" t="s">
        <v>123</v>
      </c>
      <c r="M100" s="89" t="str">
        <f t="shared" si="6"/>
        <v>3SNCERAWZT251325</v>
      </c>
      <c r="N100" s="89" t="str">
        <f t="shared" si="7"/>
        <v>3SNCERAWZT251320</v>
      </c>
      <c r="O100" s="90">
        <v>25</v>
      </c>
      <c r="P100" s="89">
        <v>3</v>
      </c>
      <c r="Q100" s="89" t="s">
        <v>124</v>
      </c>
      <c r="R100" s="90">
        <v>1325</v>
      </c>
      <c r="S100" s="90">
        <v>8200</v>
      </c>
      <c r="T100" s="90">
        <v>1325</v>
      </c>
      <c r="U100" s="90">
        <v>1320</v>
      </c>
      <c r="V100" s="90">
        <v>8000</v>
      </c>
      <c r="W100" s="81">
        <v>2</v>
      </c>
      <c r="X100" s="82" t="s">
        <v>14</v>
      </c>
      <c r="Y100" s="83" t="s">
        <v>15</v>
      </c>
      <c r="Z100" s="84">
        <v>6</v>
      </c>
      <c r="AA100" s="85" t="s">
        <v>24</v>
      </c>
      <c r="AB100" s="86">
        <v>1450</v>
      </c>
      <c r="AC100" s="83"/>
      <c r="AD100" s="85"/>
      <c r="AE100" s="86"/>
      <c r="AF100" s="83"/>
      <c r="AG100" s="85"/>
      <c r="AH100" s="86"/>
      <c r="AI100" s="83"/>
      <c r="AJ100" s="85"/>
      <c r="AK100" s="86"/>
      <c r="AL100" s="87"/>
      <c r="AM100" s="88"/>
      <c r="AN100" s="88" t="s">
        <v>475</v>
      </c>
      <c r="AO100" s="230" t="str">
        <f t="shared" si="4"/>
        <v>3SNCERAWZT25</v>
      </c>
    </row>
    <row r="101" spans="1:41" ht="15" customHeight="1" x14ac:dyDescent="0.15">
      <c r="A101" s="80">
        <v>333</v>
      </c>
      <c r="B101" s="89">
        <v>275</v>
      </c>
      <c r="C101" s="89">
        <v>5174</v>
      </c>
      <c r="D101" s="89" t="s">
        <v>116</v>
      </c>
      <c r="E101" s="89" t="s">
        <v>117</v>
      </c>
      <c r="F101" s="89"/>
      <c r="G101" s="89" t="str">
        <f t="shared" si="5"/>
        <v>3SNCERAWZT</v>
      </c>
      <c r="H101" s="89" t="s">
        <v>1549</v>
      </c>
      <c r="I101" s="89" t="s">
        <v>1550</v>
      </c>
      <c r="J101" s="89" t="s">
        <v>1552</v>
      </c>
      <c r="K101" s="89" t="s">
        <v>1570</v>
      </c>
      <c r="L101" s="89" t="s">
        <v>123</v>
      </c>
      <c r="M101" s="89" t="str">
        <f t="shared" si="6"/>
        <v>3SNCERAWZT381005</v>
      </c>
      <c r="N101" s="89" t="str">
        <f t="shared" si="7"/>
        <v>3SNCERAWZT381000</v>
      </c>
      <c r="O101" s="90">
        <v>38</v>
      </c>
      <c r="P101" s="89">
        <v>3</v>
      </c>
      <c r="Q101" s="89" t="s">
        <v>125</v>
      </c>
      <c r="R101" s="90">
        <v>1005</v>
      </c>
      <c r="S101" s="90">
        <v>6000</v>
      </c>
      <c r="T101" s="90">
        <v>1000</v>
      </c>
      <c r="U101" s="90">
        <v>1000</v>
      </c>
      <c r="V101" s="90">
        <v>6000</v>
      </c>
      <c r="W101" s="81">
        <v>2</v>
      </c>
      <c r="X101" s="82" t="s">
        <v>14</v>
      </c>
      <c r="Y101" s="83" t="s">
        <v>15</v>
      </c>
      <c r="Z101" s="84">
        <v>6</v>
      </c>
      <c r="AA101" s="85" t="s">
        <v>24</v>
      </c>
      <c r="AB101" s="86"/>
      <c r="AC101" s="83"/>
      <c r="AD101" s="85"/>
      <c r="AE101" s="86"/>
      <c r="AF101" s="83"/>
      <c r="AG101" s="85"/>
      <c r="AH101" s="86"/>
      <c r="AI101" s="83"/>
      <c r="AJ101" s="85"/>
      <c r="AK101" s="86"/>
      <c r="AL101" s="87"/>
      <c r="AM101" s="88"/>
      <c r="AN101" s="88" t="s">
        <v>474</v>
      </c>
      <c r="AO101" s="230" t="str">
        <f t="shared" si="4"/>
        <v>3SNCERAWZT38</v>
      </c>
    </row>
    <row r="102" spans="1:41" ht="15" customHeight="1" x14ac:dyDescent="0.15">
      <c r="A102" s="80">
        <v>333</v>
      </c>
      <c r="B102" s="89">
        <v>279</v>
      </c>
      <c r="C102" s="89">
        <v>26911</v>
      </c>
      <c r="D102" s="89" t="s">
        <v>126</v>
      </c>
      <c r="E102" s="89" t="s">
        <v>127</v>
      </c>
      <c r="F102" s="89" t="s">
        <v>12</v>
      </c>
      <c r="G102" s="89" t="str">
        <f t="shared" si="5"/>
        <v>3SNCERAWZU</v>
      </c>
      <c r="H102" s="89" t="s">
        <v>19</v>
      </c>
      <c r="I102" s="89" t="s">
        <v>20</v>
      </c>
      <c r="J102" s="89" t="s">
        <v>21</v>
      </c>
      <c r="K102" s="89" t="s">
        <v>128</v>
      </c>
      <c r="L102" s="89" t="s">
        <v>129</v>
      </c>
      <c r="M102" s="89" t="str">
        <f t="shared" si="6"/>
        <v>3SNCERAWZU251155</v>
      </c>
      <c r="N102" s="89" t="str">
        <f t="shared" si="7"/>
        <v>3SNCERAWZU251150</v>
      </c>
      <c r="O102" s="90">
        <v>25</v>
      </c>
      <c r="P102" s="89">
        <v>3</v>
      </c>
      <c r="Q102" s="89" t="s">
        <v>19</v>
      </c>
      <c r="R102" s="90">
        <v>1155</v>
      </c>
      <c r="S102" s="90">
        <v>12600</v>
      </c>
      <c r="T102" s="90">
        <v>1155</v>
      </c>
      <c r="U102" s="90">
        <v>1150</v>
      </c>
      <c r="V102" s="90">
        <v>12400</v>
      </c>
      <c r="W102" s="81">
        <v>2</v>
      </c>
      <c r="X102" s="82" t="s">
        <v>14</v>
      </c>
      <c r="Y102" s="83" t="s">
        <v>15</v>
      </c>
      <c r="Z102" s="84">
        <v>6</v>
      </c>
      <c r="AA102" s="85" t="s">
        <v>24</v>
      </c>
      <c r="AB102" s="86">
        <v>1270</v>
      </c>
      <c r="AC102" s="83"/>
      <c r="AD102" s="85"/>
      <c r="AE102" s="86"/>
      <c r="AF102" s="83"/>
      <c r="AG102" s="85"/>
      <c r="AH102" s="86"/>
      <c r="AI102" s="83"/>
      <c r="AJ102" s="85"/>
      <c r="AK102" s="86"/>
      <c r="AL102" s="87"/>
      <c r="AM102" s="88"/>
      <c r="AN102" s="88" t="s">
        <v>474</v>
      </c>
      <c r="AO102" s="230" t="str">
        <f t="shared" si="4"/>
        <v>3SNCERAWZU25</v>
      </c>
    </row>
    <row r="103" spans="1:41" ht="15" customHeight="1" x14ac:dyDescent="0.15">
      <c r="A103" s="80">
        <v>333</v>
      </c>
      <c r="B103" s="89">
        <v>271</v>
      </c>
      <c r="C103" s="89">
        <v>3918</v>
      </c>
      <c r="D103" s="89" t="s">
        <v>130</v>
      </c>
      <c r="E103" s="89" t="s">
        <v>18</v>
      </c>
      <c r="F103" s="89" t="s">
        <v>26</v>
      </c>
      <c r="G103" s="89" t="str">
        <f t="shared" si="5"/>
        <v>3SNCERAWZU</v>
      </c>
      <c r="H103" s="89" t="s">
        <v>19</v>
      </c>
      <c r="I103" s="89" t="s">
        <v>20</v>
      </c>
      <c r="J103" s="89" t="s">
        <v>21</v>
      </c>
      <c r="K103" s="89" t="s">
        <v>128</v>
      </c>
      <c r="L103" s="89" t="s">
        <v>129</v>
      </c>
      <c r="M103" s="89" t="str">
        <f t="shared" si="6"/>
        <v>3SNCERAWZU251415</v>
      </c>
      <c r="N103" s="89" t="str">
        <f t="shared" si="7"/>
        <v>3SNCERAWZU251410</v>
      </c>
      <c r="O103" s="90">
        <v>25</v>
      </c>
      <c r="P103" s="89">
        <v>3</v>
      </c>
      <c r="Q103" s="89" t="s">
        <v>19</v>
      </c>
      <c r="R103" s="90">
        <v>1415</v>
      </c>
      <c r="S103" s="90">
        <v>12300</v>
      </c>
      <c r="T103" s="90">
        <v>1410</v>
      </c>
      <c r="U103" s="90">
        <v>1410</v>
      </c>
      <c r="V103" s="90">
        <v>6000</v>
      </c>
      <c r="W103" s="81">
        <v>2</v>
      </c>
      <c r="X103" s="82" t="s">
        <v>14</v>
      </c>
      <c r="Y103" s="83" t="s">
        <v>27</v>
      </c>
      <c r="Z103" s="84">
        <v>6</v>
      </c>
      <c r="AA103" s="85" t="s">
        <v>24</v>
      </c>
      <c r="AB103" s="86">
        <v>1600</v>
      </c>
      <c r="AC103" s="83">
        <v>6</v>
      </c>
      <c r="AD103" s="85" t="s">
        <v>24</v>
      </c>
      <c r="AE103" s="86">
        <v>1600</v>
      </c>
      <c r="AF103" s="83"/>
      <c r="AG103" s="85"/>
      <c r="AH103" s="86"/>
      <c r="AI103" s="83"/>
      <c r="AJ103" s="85"/>
      <c r="AK103" s="86"/>
      <c r="AL103" s="87"/>
      <c r="AM103" s="88"/>
      <c r="AN103" s="88" t="s">
        <v>474</v>
      </c>
      <c r="AO103" s="196" t="str">
        <f t="shared" si="4"/>
        <v>3SNCERAWZU25</v>
      </c>
    </row>
    <row r="104" spans="1:41" ht="15" customHeight="1" x14ac:dyDescent="0.15">
      <c r="A104" s="116">
        <v>333</v>
      </c>
      <c r="B104" s="91">
        <v>276</v>
      </c>
      <c r="C104" s="91">
        <v>3621</v>
      </c>
      <c r="D104" s="91" t="s">
        <v>57</v>
      </c>
      <c r="E104" s="91" t="s">
        <v>58</v>
      </c>
      <c r="F104" s="91" t="s">
        <v>12</v>
      </c>
      <c r="G104" s="91" t="str">
        <f t="shared" si="5"/>
        <v>3SNCERAWZU</v>
      </c>
      <c r="H104" s="91" t="s">
        <v>19</v>
      </c>
      <c r="I104" s="91" t="s">
        <v>20</v>
      </c>
      <c r="J104" s="91" t="s">
        <v>21</v>
      </c>
      <c r="K104" s="91" t="s">
        <v>128</v>
      </c>
      <c r="L104" s="91" t="s">
        <v>129</v>
      </c>
      <c r="M104" s="91" t="str">
        <f t="shared" si="6"/>
        <v>3SNCERAWZU251425</v>
      </c>
      <c r="N104" s="91" t="str">
        <f t="shared" si="7"/>
        <v>3SNCERAWZU251420</v>
      </c>
      <c r="O104" s="117">
        <v>25</v>
      </c>
      <c r="P104" s="91">
        <v>3</v>
      </c>
      <c r="Q104" s="91" t="s">
        <v>19</v>
      </c>
      <c r="R104" s="117">
        <v>1425</v>
      </c>
      <c r="S104" s="117">
        <v>12600</v>
      </c>
      <c r="T104" s="117">
        <v>1425</v>
      </c>
      <c r="U104" s="117">
        <v>1420</v>
      </c>
      <c r="V104" s="117">
        <v>12400</v>
      </c>
      <c r="W104" s="118">
        <v>2</v>
      </c>
      <c r="X104" s="119" t="s">
        <v>14</v>
      </c>
      <c r="Y104" s="120" t="s">
        <v>1999</v>
      </c>
      <c r="Z104" s="121">
        <v>6</v>
      </c>
      <c r="AA104" s="122" t="s">
        <v>24</v>
      </c>
      <c r="AB104" s="123">
        <v>1500</v>
      </c>
      <c r="AC104" s="120">
        <v>6</v>
      </c>
      <c r="AD104" s="122" t="s">
        <v>24</v>
      </c>
      <c r="AE104" s="123">
        <v>1500</v>
      </c>
      <c r="AF104" s="120"/>
      <c r="AG104" s="122"/>
      <c r="AH104" s="123"/>
      <c r="AI104" s="120"/>
      <c r="AJ104" s="122"/>
      <c r="AK104" s="123"/>
      <c r="AL104" s="124"/>
      <c r="AM104" s="125"/>
      <c r="AN104" s="125" t="s">
        <v>474</v>
      </c>
      <c r="AO104" s="196" t="str">
        <f t="shared" si="4"/>
        <v>3SNCERAWZU25</v>
      </c>
    </row>
    <row r="105" spans="1:41" ht="15" customHeight="1" x14ac:dyDescent="0.15">
      <c r="A105" s="116">
        <v>333</v>
      </c>
      <c r="B105" s="91">
        <v>271</v>
      </c>
      <c r="C105" s="91">
        <v>3918</v>
      </c>
      <c r="D105" s="91" t="s">
        <v>2050</v>
      </c>
      <c r="E105" s="91" t="s">
        <v>11</v>
      </c>
      <c r="F105" s="91" t="s">
        <v>184</v>
      </c>
      <c r="G105" s="91" t="str">
        <f t="shared" si="5"/>
        <v>331SNCERAWZ34</v>
      </c>
      <c r="H105" s="91" t="s">
        <v>450</v>
      </c>
      <c r="I105" s="91" t="s">
        <v>1550</v>
      </c>
      <c r="J105" s="91" t="s">
        <v>21</v>
      </c>
      <c r="K105" s="91" t="s">
        <v>1569</v>
      </c>
      <c r="L105" s="91" t="s">
        <v>2051</v>
      </c>
      <c r="M105" s="91" t="str">
        <f t="shared" si="6"/>
        <v>331SNCERAWZ3425E1420</v>
      </c>
      <c r="N105" s="91" t="str">
        <f t="shared" si="7"/>
        <v>331SNCERAWZ3425E1410</v>
      </c>
      <c r="O105" s="117" t="s">
        <v>2000</v>
      </c>
      <c r="P105" s="91">
        <v>331</v>
      </c>
      <c r="Q105" s="91" t="s">
        <v>2001</v>
      </c>
      <c r="R105" s="117">
        <v>1420</v>
      </c>
      <c r="S105" s="117">
        <v>12700</v>
      </c>
      <c r="T105" s="117">
        <v>1410</v>
      </c>
      <c r="U105" s="117">
        <v>1410</v>
      </c>
      <c r="V105" s="117">
        <v>6000</v>
      </c>
      <c r="W105" s="118">
        <v>1</v>
      </c>
      <c r="X105" s="119" t="s">
        <v>14</v>
      </c>
      <c r="Y105" s="120" t="s">
        <v>27</v>
      </c>
      <c r="Z105" s="121">
        <v>6</v>
      </c>
      <c r="AA105" s="122" t="s">
        <v>24</v>
      </c>
      <c r="AB105" s="123">
        <v>1600</v>
      </c>
      <c r="AC105" s="120"/>
      <c r="AD105" s="122"/>
      <c r="AE105" s="123"/>
      <c r="AF105" s="120"/>
      <c r="AG105" s="122"/>
      <c r="AH105" s="123"/>
      <c r="AI105" s="120"/>
      <c r="AJ105" s="122"/>
      <c r="AK105" s="123"/>
      <c r="AL105" s="124"/>
      <c r="AM105" s="125"/>
      <c r="AN105" s="125" t="s">
        <v>474</v>
      </c>
      <c r="AO105" s="196" t="str">
        <f t="shared" si="4"/>
        <v>331SNCERAWZ3425E</v>
      </c>
    </row>
    <row r="106" spans="1:41" ht="15" customHeight="1" x14ac:dyDescent="0.15">
      <c r="A106" s="80">
        <v>333</v>
      </c>
      <c r="B106" s="89">
        <v>276</v>
      </c>
      <c r="C106" s="89">
        <v>3621</v>
      </c>
      <c r="D106" s="89" t="s">
        <v>57</v>
      </c>
      <c r="E106" s="89" t="s">
        <v>2048</v>
      </c>
      <c r="F106" s="89" t="s">
        <v>210</v>
      </c>
      <c r="G106" s="89" t="str">
        <f t="shared" si="5"/>
        <v>330SNCERAWZS</v>
      </c>
      <c r="H106" s="89" t="s">
        <v>1549</v>
      </c>
      <c r="I106" s="89" t="s">
        <v>1550</v>
      </c>
      <c r="J106" s="89" t="s">
        <v>21</v>
      </c>
      <c r="K106" s="89" t="s">
        <v>1568</v>
      </c>
      <c r="L106" s="89" t="s">
        <v>121</v>
      </c>
      <c r="M106" s="89" t="str">
        <f t="shared" si="6"/>
        <v>330SNCERAWZS251158</v>
      </c>
      <c r="N106" s="89" t="str">
        <f t="shared" si="7"/>
        <v>330SNCERAWZS251150</v>
      </c>
      <c r="O106" s="90">
        <v>25</v>
      </c>
      <c r="P106" s="89">
        <v>330</v>
      </c>
      <c r="Q106" s="89" t="s">
        <v>78</v>
      </c>
      <c r="R106" s="90">
        <v>1158</v>
      </c>
      <c r="S106" s="90">
        <v>12500</v>
      </c>
      <c r="T106" s="90">
        <v>1155</v>
      </c>
      <c r="U106" s="90">
        <v>1150</v>
      </c>
      <c r="V106" s="90">
        <v>4200</v>
      </c>
      <c r="W106" s="81">
        <v>2</v>
      </c>
      <c r="X106" s="82" t="s">
        <v>14</v>
      </c>
      <c r="Y106" s="83" t="s">
        <v>25</v>
      </c>
      <c r="Z106" s="84">
        <v>6</v>
      </c>
      <c r="AA106" s="85" t="s">
        <v>24</v>
      </c>
      <c r="AB106" s="86">
        <v>1170</v>
      </c>
      <c r="AC106" s="83">
        <v>6</v>
      </c>
      <c r="AD106" s="85" t="s">
        <v>266</v>
      </c>
      <c r="AE106" s="86">
        <v>1170</v>
      </c>
      <c r="AF106" s="83"/>
      <c r="AG106" s="85"/>
      <c r="AH106" s="86"/>
      <c r="AI106" s="83"/>
      <c r="AJ106" s="85"/>
      <c r="AK106" s="86"/>
      <c r="AL106" s="87"/>
      <c r="AM106" s="88"/>
      <c r="AN106" s="88" t="s">
        <v>474</v>
      </c>
      <c r="AO106" s="230" t="str">
        <f t="shared" si="4"/>
        <v>330SNCERAWZS25</v>
      </c>
    </row>
    <row r="107" spans="1:41" ht="15" customHeight="1" thickBot="1" x14ac:dyDescent="0.2">
      <c r="A107" s="94">
        <v>333</v>
      </c>
      <c r="B107" s="95">
        <v>276</v>
      </c>
      <c r="C107" s="95">
        <v>3621</v>
      </c>
      <c r="D107" s="95" t="s">
        <v>57</v>
      </c>
      <c r="E107" s="95" t="s">
        <v>2048</v>
      </c>
      <c r="F107" s="95" t="s">
        <v>210</v>
      </c>
      <c r="G107" s="95" t="str">
        <f t="shared" si="5"/>
        <v>331SNCERAWZS</v>
      </c>
      <c r="H107" s="95" t="s">
        <v>1549</v>
      </c>
      <c r="I107" s="95" t="s">
        <v>1550</v>
      </c>
      <c r="J107" s="95" t="s">
        <v>21</v>
      </c>
      <c r="K107" s="95" t="s">
        <v>1568</v>
      </c>
      <c r="L107" s="95" t="s">
        <v>121</v>
      </c>
      <c r="M107" s="95" t="str">
        <f t="shared" si="6"/>
        <v>331SNCERAWZS251428</v>
      </c>
      <c r="N107" s="95" t="str">
        <f t="shared" si="7"/>
        <v>331SNCERAWZS251420</v>
      </c>
      <c r="O107" s="96">
        <v>25</v>
      </c>
      <c r="P107" s="95">
        <v>331</v>
      </c>
      <c r="Q107" s="95" t="s">
        <v>78</v>
      </c>
      <c r="R107" s="96">
        <v>1428</v>
      </c>
      <c r="S107" s="96">
        <v>12500</v>
      </c>
      <c r="T107" s="96">
        <v>1425</v>
      </c>
      <c r="U107" s="96">
        <v>1420</v>
      </c>
      <c r="V107" s="96">
        <v>12400</v>
      </c>
      <c r="W107" s="97">
        <v>2</v>
      </c>
      <c r="X107" s="98" t="s">
        <v>14</v>
      </c>
      <c r="Y107" s="99" t="s">
        <v>25</v>
      </c>
      <c r="Z107" s="100">
        <v>6</v>
      </c>
      <c r="AA107" s="101" t="s">
        <v>24</v>
      </c>
      <c r="AB107" s="102">
        <v>1500</v>
      </c>
      <c r="AC107" s="99">
        <v>6</v>
      </c>
      <c r="AD107" s="101" t="s">
        <v>266</v>
      </c>
      <c r="AE107" s="102">
        <v>1500</v>
      </c>
      <c r="AF107" s="99"/>
      <c r="AG107" s="101"/>
      <c r="AH107" s="102"/>
      <c r="AI107" s="99"/>
      <c r="AJ107" s="101"/>
      <c r="AK107" s="102"/>
      <c r="AL107" s="103"/>
      <c r="AM107" s="104"/>
      <c r="AN107" s="104" t="s">
        <v>474</v>
      </c>
      <c r="AO107" s="231" t="str">
        <f t="shared" si="4"/>
        <v>331SNCERAWZS25</v>
      </c>
    </row>
    <row r="108" spans="1:41" ht="15" customHeight="1" x14ac:dyDescent="0.15">
      <c r="A108" s="105">
        <v>333</v>
      </c>
      <c r="B108" s="106">
        <v>272</v>
      </c>
      <c r="C108" s="106">
        <v>3122</v>
      </c>
      <c r="D108" s="106" t="s">
        <v>131</v>
      </c>
      <c r="E108" s="106" t="s">
        <v>45</v>
      </c>
      <c r="F108" s="106" t="s">
        <v>46</v>
      </c>
      <c r="G108" s="106" t="str">
        <f t="shared" si="5"/>
        <v>3SNCERANSHP2UDF</v>
      </c>
      <c r="H108" s="106" t="s">
        <v>19</v>
      </c>
      <c r="I108" s="106" t="s">
        <v>20</v>
      </c>
      <c r="J108" s="106" t="s">
        <v>132</v>
      </c>
      <c r="K108" s="106" t="s">
        <v>133</v>
      </c>
      <c r="L108" s="106" t="s">
        <v>134</v>
      </c>
      <c r="M108" s="106" t="str">
        <f t="shared" si="6"/>
        <v>3SNCERANSHP2UDF751230</v>
      </c>
      <c r="N108" s="106" t="str">
        <f t="shared" si="7"/>
        <v>3SNCERANSHP2UDF75600</v>
      </c>
      <c r="O108" s="107">
        <v>75</v>
      </c>
      <c r="P108" s="106">
        <v>3</v>
      </c>
      <c r="Q108" s="106" t="s">
        <v>135</v>
      </c>
      <c r="R108" s="107">
        <v>1230</v>
      </c>
      <c r="S108" s="107">
        <v>2100</v>
      </c>
      <c r="T108" s="107">
        <v>600</v>
      </c>
      <c r="U108" s="107">
        <v>600</v>
      </c>
      <c r="V108" s="107">
        <v>600</v>
      </c>
      <c r="W108" s="108">
        <v>2</v>
      </c>
      <c r="X108" s="109" t="s">
        <v>136</v>
      </c>
      <c r="Y108" s="110" t="s">
        <v>295</v>
      </c>
      <c r="Z108" s="111">
        <v>6</v>
      </c>
      <c r="AA108" s="112" t="s">
        <v>24</v>
      </c>
      <c r="AB108" s="113">
        <v>1450</v>
      </c>
      <c r="AC108" s="110">
        <v>3</v>
      </c>
      <c r="AD108" s="112" t="s">
        <v>39</v>
      </c>
      <c r="AE108" s="113">
        <v>605</v>
      </c>
      <c r="AF108" s="110"/>
      <c r="AG108" s="112"/>
      <c r="AH108" s="113"/>
      <c r="AI108" s="110"/>
      <c r="AJ108" s="112"/>
      <c r="AK108" s="113"/>
      <c r="AL108" s="114"/>
      <c r="AM108" s="115"/>
      <c r="AN108" s="115" t="s">
        <v>471</v>
      </c>
      <c r="AO108" s="284" t="str">
        <f t="shared" si="4"/>
        <v>3SNCERANSHP2UDF75</v>
      </c>
    </row>
    <row r="109" spans="1:41" ht="15" customHeight="1" thickBot="1" x14ac:dyDescent="0.2">
      <c r="A109" s="116">
        <v>333</v>
      </c>
      <c r="B109" s="91">
        <v>277</v>
      </c>
      <c r="C109" s="91">
        <v>38474</v>
      </c>
      <c r="D109" s="91" t="s">
        <v>137</v>
      </c>
      <c r="E109" s="91" t="s">
        <v>138</v>
      </c>
      <c r="F109" s="91" t="s">
        <v>12</v>
      </c>
      <c r="G109" s="91" t="str">
        <f t="shared" si="5"/>
        <v>3SNCERANSPJ27103</v>
      </c>
      <c r="H109" s="91" t="s">
        <v>19</v>
      </c>
      <c r="I109" s="91" t="s">
        <v>20</v>
      </c>
      <c r="J109" s="91" t="s">
        <v>132</v>
      </c>
      <c r="K109" s="91" t="s">
        <v>139</v>
      </c>
      <c r="L109" s="91" t="s">
        <v>140</v>
      </c>
      <c r="M109" s="91" t="str">
        <f t="shared" si="6"/>
        <v>3SNCERANSPJ27103251580</v>
      </c>
      <c r="N109" s="91" t="str">
        <f t="shared" si="7"/>
        <v>3SNCERANSPJ27103251575</v>
      </c>
      <c r="O109" s="117">
        <v>25</v>
      </c>
      <c r="P109" s="91">
        <v>3</v>
      </c>
      <c r="Q109" s="91" t="s">
        <v>141</v>
      </c>
      <c r="R109" s="117">
        <v>1580</v>
      </c>
      <c r="S109" s="117">
        <v>12300</v>
      </c>
      <c r="T109" s="117">
        <v>1575</v>
      </c>
      <c r="U109" s="117">
        <v>1575</v>
      </c>
      <c r="V109" s="117">
        <v>12000</v>
      </c>
      <c r="W109" s="118">
        <v>2</v>
      </c>
      <c r="X109" s="119" t="s">
        <v>142</v>
      </c>
      <c r="Y109" s="120" t="s">
        <v>15</v>
      </c>
      <c r="Z109" s="121">
        <v>6</v>
      </c>
      <c r="AA109" s="122" t="s">
        <v>24</v>
      </c>
      <c r="AB109" s="123">
        <v>1640</v>
      </c>
      <c r="AC109" s="120"/>
      <c r="AD109" s="122"/>
      <c r="AE109" s="123"/>
      <c r="AF109" s="120"/>
      <c r="AG109" s="122"/>
      <c r="AH109" s="123"/>
      <c r="AI109" s="120"/>
      <c r="AJ109" s="122"/>
      <c r="AK109" s="123"/>
      <c r="AL109" s="124"/>
      <c r="AM109" s="125"/>
      <c r="AN109" s="125" t="s">
        <v>471</v>
      </c>
      <c r="AO109" s="231" t="str">
        <f t="shared" si="4"/>
        <v>3SNCERANSPJ2710325</v>
      </c>
    </row>
    <row r="110" spans="1:41" ht="15" customHeight="1" x14ac:dyDescent="0.15">
      <c r="A110" s="69">
        <v>333</v>
      </c>
      <c r="B110" s="70">
        <v>275</v>
      </c>
      <c r="C110" s="70">
        <v>5174</v>
      </c>
      <c r="D110" s="70" t="s">
        <v>116</v>
      </c>
      <c r="E110" s="70" t="s">
        <v>117</v>
      </c>
      <c r="F110" s="70" t="s">
        <v>2052</v>
      </c>
      <c r="G110" s="70" t="str">
        <f t="shared" si="5"/>
        <v>3SNCLBE20V</v>
      </c>
      <c r="H110" s="70" t="s">
        <v>19</v>
      </c>
      <c r="I110" s="70" t="s">
        <v>20</v>
      </c>
      <c r="J110" s="70" t="s">
        <v>143</v>
      </c>
      <c r="K110" s="70" t="s">
        <v>144</v>
      </c>
      <c r="L110" s="70" t="s">
        <v>145</v>
      </c>
      <c r="M110" s="70" t="str">
        <f t="shared" si="6"/>
        <v>3SNCLBE20V381005</v>
      </c>
      <c r="N110" s="70" t="str">
        <f t="shared" si="7"/>
        <v>3SNCLBE20V381000</v>
      </c>
      <c r="O110" s="71">
        <v>38</v>
      </c>
      <c r="P110" s="70">
        <v>3</v>
      </c>
      <c r="Q110" s="70" t="s">
        <v>146</v>
      </c>
      <c r="R110" s="71">
        <v>1005</v>
      </c>
      <c r="S110" s="71">
        <v>4000</v>
      </c>
      <c r="T110" s="71">
        <v>1005</v>
      </c>
      <c r="U110" s="71">
        <v>1000</v>
      </c>
      <c r="V110" s="71">
        <v>4000</v>
      </c>
      <c r="W110" s="72">
        <v>2</v>
      </c>
      <c r="X110" s="73" t="s">
        <v>136</v>
      </c>
      <c r="Y110" s="74" t="s">
        <v>15</v>
      </c>
      <c r="Z110" s="75">
        <v>6</v>
      </c>
      <c r="AA110" s="76" t="s">
        <v>147</v>
      </c>
      <c r="AB110" s="77">
        <v>1015</v>
      </c>
      <c r="AC110" s="74"/>
      <c r="AD110" s="76"/>
      <c r="AE110" s="77"/>
      <c r="AF110" s="74"/>
      <c r="AG110" s="76"/>
      <c r="AH110" s="77"/>
      <c r="AI110" s="74"/>
      <c r="AJ110" s="76"/>
      <c r="AK110" s="77"/>
      <c r="AL110" s="78"/>
      <c r="AM110" s="79" t="s">
        <v>501</v>
      </c>
      <c r="AN110" s="194" t="s">
        <v>471</v>
      </c>
      <c r="AO110" s="232" t="str">
        <f t="shared" si="4"/>
        <v>3SNCLBE20V38</v>
      </c>
    </row>
    <row r="111" spans="1:41" ht="15" customHeight="1" x14ac:dyDescent="0.15">
      <c r="A111" s="80">
        <v>333</v>
      </c>
      <c r="B111" s="89">
        <v>275</v>
      </c>
      <c r="C111" s="89">
        <v>5174</v>
      </c>
      <c r="D111" s="89" t="s">
        <v>116</v>
      </c>
      <c r="E111" s="89" t="s">
        <v>117</v>
      </c>
      <c r="F111" s="89" t="s">
        <v>2052</v>
      </c>
      <c r="G111" s="89" t="str">
        <f t="shared" si="5"/>
        <v>3SNCLBE20V</v>
      </c>
      <c r="H111" s="89" t="s">
        <v>19</v>
      </c>
      <c r="I111" s="89" t="s">
        <v>20</v>
      </c>
      <c r="J111" s="89" t="s">
        <v>143</v>
      </c>
      <c r="K111" s="89" t="s">
        <v>144</v>
      </c>
      <c r="L111" s="89" t="s">
        <v>145</v>
      </c>
      <c r="M111" s="89" t="str">
        <f t="shared" si="6"/>
        <v>3SNCLBE20V501002</v>
      </c>
      <c r="N111" s="89" t="str">
        <f t="shared" si="7"/>
        <v>3SNCLBE20V501000</v>
      </c>
      <c r="O111" s="90">
        <v>50</v>
      </c>
      <c r="P111" s="89">
        <v>3</v>
      </c>
      <c r="Q111" s="89" t="s">
        <v>146</v>
      </c>
      <c r="R111" s="90">
        <v>1002</v>
      </c>
      <c r="S111" s="90">
        <v>4000</v>
      </c>
      <c r="T111" s="90">
        <v>1002</v>
      </c>
      <c r="U111" s="90">
        <v>1000</v>
      </c>
      <c r="V111" s="90">
        <v>4000</v>
      </c>
      <c r="W111" s="81">
        <v>2</v>
      </c>
      <c r="X111" s="82" t="s">
        <v>136</v>
      </c>
      <c r="Y111" s="83" t="s">
        <v>15</v>
      </c>
      <c r="Z111" s="84">
        <v>6</v>
      </c>
      <c r="AA111" s="85" t="s">
        <v>147</v>
      </c>
      <c r="AB111" s="86">
        <v>1015</v>
      </c>
      <c r="AC111" s="83"/>
      <c r="AD111" s="85"/>
      <c r="AE111" s="86"/>
      <c r="AF111" s="83"/>
      <c r="AG111" s="85"/>
      <c r="AH111" s="86"/>
      <c r="AI111" s="83"/>
      <c r="AJ111" s="85"/>
      <c r="AK111" s="86"/>
      <c r="AL111" s="87"/>
      <c r="AM111" s="88" t="s">
        <v>501</v>
      </c>
      <c r="AN111" s="88" t="s">
        <v>471</v>
      </c>
      <c r="AO111" s="230" t="str">
        <f t="shared" si="4"/>
        <v>3SNCLBE20V50</v>
      </c>
    </row>
    <row r="112" spans="1:41" ht="15" customHeight="1" x14ac:dyDescent="0.15">
      <c r="A112" s="80">
        <v>333</v>
      </c>
      <c r="B112" s="89">
        <v>275</v>
      </c>
      <c r="C112" s="89">
        <v>5174</v>
      </c>
      <c r="D112" s="89" t="s">
        <v>116</v>
      </c>
      <c r="E112" s="89" t="s">
        <v>117</v>
      </c>
      <c r="F112" s="89" t="s">
        <v>2052</v>
      </c>
      <c r="G112" s="89" t="str">
        <f t="shared" si="5"/>
        <v>3SNCLBE20V</v>
      </c>
      <c r="H112" s="89" t="s">
        <v>19</v>
      </c>
      <c r="I112" s="89" t="s">
        <v>20</v>
      </c>
      <c r="J112" s="89" t="s">
        <v>143</v>
      </c>
      <c r="K112" s="89" t="s">
        <v>144</v>
      </c>
      <c r="L112" s="89" t="s">
        <v>145</v>
      </c>
      <c r="M112" s="89" t="str">
        <f t="shared" si="6"/>
        <v>3SNCLBE20V501002</v>
      </c>
      <c r="N112" s="89" t="str">
        <f t="shared" si="7"/>
        <v>3SNCLBE20V501000</v>
      </c>
      <c r="O112" s="90">
        <v>50</v>
      </c>
      <c r="P112" s="89">
        <v>3</v>
      </c>
      <c r="Q112" s="89" t="s">
        <v>146</v>
      </c>
      <c r="R112" s="90">
        <v>1002</v>
      </c>
      <c r="S112" s="90">
        <v>4000</v>
      </c>
      <c r="T112" s="90">
        <v>1005</v>
      </c>
      <c r="U112" s="90">
        <v>1000</v>
      </c>
      <c r="V112" s="90">
        <v>4000</v>
      </c>
      <c r="W112" s="81">
        <v>2</v>
      </c>
      <c r="X112" s="82" t="s">
        <v>136</v>
      </c>
      <c r="Y112" s="83" t="s">
        <v>15</v>
      </c>
      <c r="Z112" s="84">
        <v>6</v>
      </c>
      <c r="AA112" s="85" t="s">
        <v>147</v>
      </c>
      <c r="AB112" s="86">
        <v>1015</v>
      </c>
      <c r="AC112" s="83"/>
      <c r="AD112" s="85"/>
      <c r="AE112" s="86"/>
      <c r="AF112" s="83"/>
      <c r="AG112" s="85"/>
      <c r="AH112" s="86"/>
      <c r="AI112" s="83"/>
      <c r="AJ112" s="85"/>
      <c r="AK112" s="86"/>
      <c r="AL112" s="87"/>
      <c r="AM112" s="88" t="s">
        <v>501</v>
      </c>
      <c r="AN112" s="88" t="s">
        <v>471</v>
      </c>
      <c r="AO112" s="230" t="str">
        <f t="shared" si="4"/>
        <v>3SNCLBE20V50</v>
      </c>
    </row>
    <row r="113" spans="1:41" ht="15" customHeight="1" x14ac:dyDescent="0.15">
      <c r="A113" s="80">
        <v>333</v>
      </c>
      <c r="B113" s="89">
        <v>275</v>
      </c>
      <c r="C113" s="89">
        <v>5174</v>
      </c>
      <c r="D113" s="89" t="s">
        <v>116</v>
      </c>
      <c r="E113" s="89" t="s">
        <v>117</v>
      </c>
      <c r="F113" s="89" t="s">
        <v>2052</v>
      </c>
      <c r="G113" s="89" t="str">
        <f t="shared" si="5"/>
        <v>3SNCLBE20V</v>
      </c>
      <c r="H113" s="89" t="s">
        <v>19</v>
      </c>
      <c r="I113" s="89" t="s">
        <v>20</v>
      </c>
      <c r="J113" s="89" t="s">
        <v>143</v>
      </c>
      <c r="K113" s="89" t="s">
        <v>144</v>
      </c>
      <c r="L113" s="89" t="s">
        <v>145</v>
      </c>
      <c r="M113" s="89" t="str">
        <f t="shared" si="6"/>
        <v>3SNCLBE20V751002</v>
      </c>
      <c r="N113" s="89" t="str">
        <f t="shared" si="7"/>
        <v>3SNCLBE20V751000</v>
      </c>
      <c r="O113" s="90">
        <v>75</v>
      </c>
      <c r="P113" s="89">
        <v>3</v>
      </c>
      <c r="Q113" s="89" t="s">
        <v>146</v>
      </c>
      <c r="R113" s="90">
        <v>1002</v>
      </c>
      <c r="S113" s="90">
        <v>3000</v>
      </c>
      <c r="T113" s="90">
        <v>1002</v>
      </c>
      <c r="U113" s="90">
        <v>1000</v>
      </c>
      <c r="V113" s="90">
        <v>3000</v>
      </c>
      <c r="W113" s="81">
        <v>2</v>
      </c>
      <c r="X113" s="82" t="s">
        <v>136</v>
      </c>
      <c r="Y113" s="83" t="s">
        <v>15</v>
      </c>
      <c r="Z113" s="84">
        <v>6</v>
      </c>
      <c r="AA113" s="85" t="s">
        <v>147</v>
      </c>
      <c r="AB113" s="86">
        <v>1015</v>
      </c>
      <c r="AC113" s="83"/>
      <c r="AD113" s="85"/>
      <c r="AE113" s="86"/>
      <c r="AF113" s="83"/>
      <c r="AG113" s="85"/>
      <c r="AH113" s="86"/>
      <c r="AI113" s="83"/>
      <c r="AJ113" s="85"/>
      <c r="AK113" s="86"/>
      <c r="AL113" s="87"/>
      <c r="AM113" s="88" t="s">
        <v>501</v>
      </c>
      <c r="AN113" s="88" t="s">
        <v>471</v>
      </c>
      <c r="AO113" s="230" t="str">
        <f t="shared" si="4"/>
        <v>3SNCLBE20V75</v>
      </c>
    </row>
    <row r="114" spans="1:41" ht="15" customHeight="1" x14ac:dyDescent="0.15">
      <c r="A114" s="80">
        <v>333</v>
      </c>
      <c r="B114" s="89">
        <v>275</v>
      </c>
      <c r="C114" s="89">
        <v>5174</v>
      </c>
      <c r="D114" s="89" t="s">
        <v>116</v>
      </c>
      <c r="E114" s="89" t="s">
        <v>117</v>
      </c>
      <c r="F114" s="89" t="s">
        <v>2052</v>
      </c>
      <c r="G114" s="89" t="str">
        <f t="shared" si="5"/>
        <v>3SNCLBE20V</v>
      </c>
      <c r="H114" s="89" t="s">
        <v>19</v>
      </c>
      <c r="I114" s="89" t="s">
        <v>20</v>
      </c>
      <c r="J114" s="89" t="s">
        <v>143</v>
      </c>
      <c r="K114" s="89" t="s">
        <v>144</v>
      </c>
      <c r="L114" s="89" t="s">
        <v>145</v>
      </c>
      <c r="M114" s="89" t="str">
        <f t="shared" si="6"/>
        <v>3SNCLBE20V751002</v>
      </c>
      <c r="N114" s="89" t="str">
        <f t="shared" si="7"/>
        <v>3SNCLBE20V751000</v>
      </c>
      <c r="O114" s="90">
        <v>75</v>
      </c>
      <c r="P114" s="89">
        <v>3</v>
      </c>
      <c r="Q114" s="89" t="s">
        <v>146</v>
      </c>
      <c r="R114" s="90">
        <v>1002</v>
      </c>
      <c r="S114" s="90">
        <v>3000</v>
      </c>
      <c r="T114" s="90">
        <v>1005</v>
      </c>
      <c r="U114" s="90">
        <v>1000</v>
      </c>
      <c r="V114" s="90">
        <v>3000</v>
      </c>
      <c r="W114" s="81">
        <v>2</v>
      </c>
      <c r="X114" s="82" t="s">
        <v>136</v>
      </c>
      <c r="Y114" s="83" t="s">
        <v>15</v>
      </c>
      <c r="Z114" s="84">
        <v>6</v>
      </c>
      <c r="AA114" s="85" t="s">
        <v>147</v>
      </c>
      <c r="AB114" s="86">
        <v>1015</v>
      </c>
      <c r="AC114" s="83"/>
      <c r="AD114" s="85"/>
      <c r="AE114" s="86"/>
      <c r="AF114" s="83"/>
      <c r="AG114" s="85"/>
      <c r="AH114" s="86"/>
      <c r="AI114" s="83"/>
      <c r="AJ114" s="85"/>
      <c r="AK114" s="86"/>
      <c r="AL114" s="87"/>
      <c r="AM114" s="88" t="s">
        <v>501</v>
      </c>
      <c r="AN114" s="88" t="s">
        <v>471</v>
      </c>
      <c r="AO114" s="230" t="str">
        <f t="shared" si="4"/>
        <v>3SNCLBE20V75</v>
      </c>
    </row>
    <row r="115" spans="1:41" ht="15" customHeight="1" x14ac:dyDescent="0.15">
      <c r="A115" s="80">
        <v>333</v>
      </c>
      <c r="B115" s="89">
        <v>275</v>
      </c>
      <c r="C115" s="89">
        <v>5174</v>
      </c>
      <c r="D115" s="89" t="s">
        <v>116</v>
      </c>
      <c r="E115" s="89" t="s">
        <v>117</v>
      </c>
      <c r="F115" s="89" t="s">
        <v>2052</v>
      </c>
      <c r="G115" s="89" t="str">
        <f t="shared" si="5"/>
        <v>3SNCLBE20V</v>
      </c>
      <c r="H115" s="89" t="s">
        <v>19</v>
      </c>
      <c r="I115" s="89" t="s">
        <v>20</v>
      </c>
      <c r="J115" s="89" t="s">
        <v>143</v>
      </c>
      <c r="K115" s="89" t="s">
        <v>144</v>
      </c>
      <c r="L115" s="89" t="s">
        <v>145</v>
      </c>
      <c r="M115" s="89" t="str">
        <f t="shared" si="6"/>
        <v>3SNCLBE20V1001005</v>
      </c>
      <c r="N115" s="89" t="str">
        <f t="shared" si="7"/>
        <v>3SNCLBE20V1001000</v>
      </c>
      <c r="O115" s="90">
        <v>100</v>
      </c>
      <c r="P115" s="89">
        <v>3</v>
      </c>
      <c r="Q115" s="89" t="s">
        <v>146</v>
      </c>
      <c r="R115" s="90">
        <v>1005</v>
      </c>
      <c r="S115" s="90">
        <v>2000</v>
      </c>
      <c r="T115" s="90">
        <v>1005</v>
      </c>
      <c r="U115" s="90">
        <v>1000</v>
      </c>
      <c r="V115" s="90">
        <v>2000</v>
      </c>
      <c r="W115" s="81">
        <v>2</v>
      </c>
      <c r="X115" s="82" t="s">
        <v>136</v>
      </c>
      <c r="Y115" s="83" t="s">
        <v>15</v>
      </c>
      <c r="Z115" s="84">
        <v>6</v>
      </c>
      <c r="AA115" s="85" t="s">
        <v>147</v>
      </c>
      <c r="AB115" s="86">
        <v>1015</v>
      </c>
      <c r="AC115" s="83"/>
      <c r="AD115" s="85"/>
      <c r="AE115" s="86"/>
      <c r="AF115" s="83"/>
      <c r="AG115" s="85"/>
      <c r="AH115" s="86"/>
      <c r="AI115" s="83"/>
      <c r="AJ115" s="85"/>
      <c r="AK115" s="86"/>
      <c r="AL115" s="87"/>
      <c r="AM115" s="88" t="s">
        <v>501</v>
      </c>
      <c r="AN115" s="88" t="s">
        <v>471</v>
      </c>
      <c r="AO115" s="230" t="str">
        <f t="shared" si="4"/>
        <v>3SNCLBE20V100</v>
      </c>
    </row>
    <row r="116" spans="1:41" ht="15" customHeight="1" x14ac:dyDescent="0.15">
      <c r="A116" s="80">
        <v>333</v>
      </c>
      <c r="B116" s="89">
        <v>276</v>
      </c>
      <c r="C116" s="89">
        <v>33042</v>
      </c>
      <c r="D116" s="89" t="s">
        <v>148</v>
      </c>
      <c r="E116" s="89" t="s">
        <v>58</v>
      </c>
      <c r="F116" s="89" t="s">
        <v>46</v>
      </c>
      <c r="G116" s="89" t="str">
        <f t="shared" si="5"/>
        <v>3SNCLBLEYK</v>
      </c>
      <c r="H116" s="89" t="s">
        <v>19</v>
      </c>
      <c r="I116" s="89" t="s">
        <v>20</v>
      </c>
      <c r="J116" s="89" t="s">
        <v>143</v>
      </c>
      <c r="K116" s="89" t="s">
        <v>149</v>
      </c>
      <c r="L116" s="89" t="s">
        <v>150</v>
      </c>
      <c r="M116" s="89" t="str">
        <f t="shared" si="6"/>
        <v>3SNCLBLEYK251120</v>
      </c>
      <c r="N116" s="89" t="str">
        <f t="shared" si="7"/>
        <v>3SNCLBLEYK251120</v>
      </c>
      <c r="O116" s="90">
        <v>25</v>
      </c>
      <c r="P116" s="89">
        <v>3</v>
      </c>
      <c r="Q116" s="89" t="s">
        <v>151</v>
      </c>
      <c r="R116" s="90">
        <v>1120</v>
      </c>
      <c r="S116" s="90">
        <v>12100</v>
      </c>
      <c r="T116" s="90">
        <v>1120</v>
      </c>
      <c r="U116" s="90">
        <v>1120</v>
      </c>
      <c r="V116" s="90">
        <v>6000</v>
      </c>
      <c r="W116" s="81">
        <v>2</v>
      </c>
      <c r="X116" s="82" t="s">
        <v>136</v>
      </c>
      <c r="Y116" s="83" t="s">
        <v>2002</v>
      </c>
      <c r="Z116" s="84">
        <v>6</v>
      </c>
      <c r="AA116" s="85" t="s">
        <v>24</v>
      </c>
      <c r="AB116" s="86">
        <v>1450</v>
      </c>
      <c r="AC116" s="83">
        <v>6</v>
      </c>
      <c r="AD116" s="85" t="s">
        <v>147</v>
      </c>
      <c r="AE116" s="86">
        <v>1140</v>
      </c>
      <c r="AF116" s="83"/>
      <c r="AG116" s="85"/>
      <c r="AH116" s="86"/>
      <c r="AI116" s="83"/>
      <c r="AJ116" s="85"/>
      <c r="AK116" s="86"/>
      <c r="AL116" s="87"/>
      <c r="AM116" s="88"/>
      <c r="AN116" s="88" t="s">
        <v>476</v>
      </c>
      <c r="AO116" s="230" t="str">
        <f t="shared" si="4"/>
        <v>3SNCLBLEYK25</v>
      </c>
    </row>
    <row r="117" spans="1:41" ht="15" customHeight="1" x14ac:dyDescent="0.15">
      <c r="A117" s="80">
        <v>333</v>
      </c>
      <c r="B117" s="89">
        <v>276</v>
      </c>
      <c r="C117" s="89">
        <v>33042</v>
      </c>
      <c r="D117" s="89" t="s">
        <v>148</v>
      </c>
      <c r="E117" s="89" t="s">
        <v>58</v>
      </c>
      <c r="F117" s="89" t="s">
        <v>46</v>
      </c>
      <c r="G117" s="89" t="str">
        <f t="shared" si="5"/>
        <v>3SNCLBLEYK</v>
      </c>
      <c r="H117" s="89" t="s">
        <v>19</v>
      </c>
      <c r="I117" s="89" t="s">
        <v>20</v>
      </c>
      <c r="J117" s="89" t="s">
        <v>143</v>
      </c>
      <c r="K117" s="89" t="s">
        <v>149</v>
      </c>
      <c r="L117" s="89" t="s">
        <v>150</v>
      </c>
      <c r="M117" s="89" t="str">
        <f t="shared" si="6"/>
        <v>3SNCLBLEYK251125</v>
      </c>
      <c r="N117" s="89" t="str">
        <f t="shared" si="7"/>
        <v>3SNCLBLEYK251120</v>
      </c>
      <c r="O117" s="90">
        <v>25</v>
      </c>
      <c r="P117" s="89">
        <v>3</v>
      </c>
      <c r="Q117" s="89" t="s">
        <v>151</v>
      </c>
      <c r="R117" s="90">
        <v>1125</v>
      </c>
      <c r="S117" s="90">
        <v>12100</v>
      </c>
      <c r="T117" s="90">
        <v>1120</v>
      </c>
      <c r="U117" s="90">
        <v>1120</v>
      </c>
      <c r="V117" s="90">
        <v>6000</v>
      </c>
      <c r="W117" s="81">
        <v>2</v>
      </c>
      <c r="X117" s="82" t="s">
        <v>136</v>
      </c>
      <c r="Y117" s="83" t="s">
        <v>2002</v>
      </c>
      <c r="Z117" s="84">
        <v>6</v>
      </c>
      <c r="AA117" s="85" t="s">
        <v>24</v>
      </c>
      <c r="AB117" s="86">
        <v>1450</v>
      </c>
      <c r="AC117" s="83">
        <v>6</v>
      </c>
      <c r="AD117" s="85" t="s">
        <v>147</v>
      </c>
      <c r="AE117" s="86">
        <v>1140</v>
      </c>
      <c r="AF117" s="83"/>
      <c r="AG117" s="85"/>
      <c r="AH117" s="86"/>
      <c r="AI117" s="83"/>
      <c r="AJ117" s="85"/>
      <c r="AK117" s="86"/>
      <c r="AL117" s="87"/>
      <c r="AM117" s="88"/>
      <c r="AN117" s="88" t="s">
        <v>476</v>
      </c>
      <c r="AO117" s="230" t="str">
        <f t="shared" si="4"/>
        <v>3SNCLBLEYK25</v>
      </c>
    </row>
    <row r="118" spans="1:41" ht="15" customHeight="1" x14ac:dyDescent="0.15">
      <c r="A118" s="80">
        <v>333</v>
      </c>
      <c r="B118" s="89">
        <v>276</v>
      </c>
      <c r="C118" s="89">
        <v>33042</v>
      </c>
      <c r="D118" s="89" t="s">
        <v>148</v>
      </c>
      <c r="E118" s="89" t="s">
        <v>58</v>
      </c>
      <c r="F118" s="89" t="s">
        <v>46</v>
      </c>
      <c r="G118" s="89" t="str">
        <f t="shared" si="5"/>
        <v>3XSNCLBLEYK</v>
      </c>
      <c r="H118" s="89" t="s">
        <v>19</v>
      </c>
      <c r="I118" s="89" t="s">
        <v>20</v>
      </c>
      <c r="J118" s="89" t="s">
        <v>143</v>
      </c>
      <c r="K118" s="89" t="s">
        <v>149</v>
      </c>
      <c r="L118" s="89" t="s">
        <v>150</v>
      </c>
      <c r="M118" s="89" t="str">
        <f t="shared" si="6"/>
        <v>3XSNCLBLEYK251240</v>
      </c>
      <c r="N118" s="89" t="str">
        <f t="shared" si="7"/>
        <v>3XSNCLBLEYK251120</v>
      </c>
      <c r="O118" s="90">
        <v>25</v>
      </c>
      <c r="P118" s="89" t="s">
        <v>1830</v>
      </c>
      <c r="Q118" s="89" t="s">
        <v>151</v>
      </c>
      <c r="R118" s="90">
        <v>1240</v>
      </c>
      <c r="S118" s="90">
        <v>12200</v>
      </c>
      <c r="T118" s="90">
        <v>1120</v>
      </c>
      <c r="U118" s="90">
        <v>1120</v>
      </c>
      <c r="V118" s="90">
        <v>6000</v>
      </c>
      <c r="W118" s="81">
        <v>2</v>
      </c>
      <c r="X118" s="82" t="s">
        <v>136</v>
      </c>
      <c r="Y118" s="83" t="s">
        <v>2002</v>
      </c>
      <c r="Z118" s="84">
        <v>6</v>
      </c>
      <c r="AA118" s="85" t="s">
        <v>24</v>
      </c>
      <c r="AB118" s="86">
        <v>1450</v>
      </c>
      <c r="AC118" s="83">
        <v>6</v>
      </c>
      <c r="AD118" s="85" t="s">
        <v>147</v>
      </c>
      <c r="AE118" s="86">
        <v>1140</v>
      </c>
      <c r="AF118" s="83"/>
      <c r="AG118" s="85"/>
      <c r="AH118" s="86"/>
      <c r="AI118" s="83"/>
      <c r="AJ118" s="85"/>
      <c r="AK118" s="86"/>
      <c r="AL118" s="87"/>
      <c r="AM118" s="88"/>
      <c r="AN118" s="88" t="s">
        <v>476</v>
      </c>
      <c r="AO118" s="230" t="str">
        <f t="shared" si="4"/>
        <v>3XSNCLBLEYK25</v>
      </c>
    </row>
    <row r="119" spans="1:41" ht="15" customHeight="1" x14ac:dyDescent="0.15">
      <c r="A119" s="80">
        <v>333</v>
      </c>
      <c r="B119" s="89">
        <v>275</v>
      </c>
      <c r="C119" s="89">
        <v>2042</v>
      </c>
      <c r="D119" s="89" t="s">
        <v>500</v>
      </c>
      <c r="E119" s="89" t="s">
        <v>2053</v>
      </c>
      <c r="F119" s="89" t="s">
        <v>46</v>
      </c>
      <c r="G119" s="89" t="str">
        <f t="shared" si="5"/>
        <v>3SNCLBLEYK</v>
      </c>
      <c r="H119" s="89" t="s">
        <v>19</v>
      </c>
      <c r="I119" s="89" t="s">
        <v>20</v>
      </c>
      <c r="J119" s="89" t="s">
        <v>143</v>
      </c>
      <c r="K119" s="89" t="s">
        <v>149</v>
      </c>
      <c r="L119" s="89" t="s">
        <v>150</v>
      </c>
      <c r="M119" s="89" t="str">
        <f t="shared" si="6"/>
        <v>3SNCLBLEYK381125</v>
      </c>
      <c r="N119" s="89" t="str">
        <f t="shared" si="7"/>
        <v>3SNCLBLEYK381120</v>
      </c>
      <c r="O119" s="90">
        <v>38</v>
      </c>
      <c r="P119" s="89">
        <v>3</v>
      </c>
      <c r="Q119" s="89" t="s">
        <v>125</v>
      </c>
      <c r="R119" s="90">
        <v>1125</v>
      </c>
      <c r="S119" s="90">
        <v>4000</v>
      </c>
      <c r="T119" s="90">
        <v>1125</v>
      </c>
      <c r="U119" s="90">
        <v>1120</v>
      </c>
      <c r="V119" s="90">
        <v>4000</v>
      </c>
      <c r="W119" s="81">
        <v>2</v>
      </c>
      <c r="X119" s="82" t="s">
        <v>136</v>
      </c>
      <c r="Y119" s="83" t="s">
        <v>2002</v>
      </c>
      <c r="Z119" s="84">
        <v>6</v>
      </c>
      <c r="AA119" s="85" t="s">
        <v>24</v>
      </c>
      <c r="AB119" s="86">
        <v>1450</v>
      </c>
      <c r="AC119" s="83">
        <v>6</v>
      </c>
      <c r="AD119" s="85" t="s">
        <v>147</v>
      </c>
      <c r="AE119" s="86">
        <v>1140</v>
      </c>
      <c r="AF119" s="83"/>
      <c r="AG119" s="85"/>
      <c r="AH119" s="86"/>
      <c r="AI119" s="83"/>
      <c r="AJ119" s="85"/>
      <c r="AK119" s="86"/>
      <c r="AL119" s="87"/>
      <c r="AM119" s="88"/>
      <c r="AN119" s="88" t="s">
        <v>476</v>
      </c>
      <c r="AO119" s="230" t="str">
        <f t="shared" si="4"/>
        <v>3SNCLBLEYK38</v>
      </c>
    </row>
    <row r="120" spans="1:41" ht="15" customHeight="1" x14ac:dyDescent="0.15">
      <c r="A120" s="80">
        <v>333</v>
      </c>
      <c r="B120" s="89">
        <v>276</v>
      </c>
      <c r="C120" s="89">
        <v>33042</v>
      </c>
      <c r="D120" s="89" t="s">
        <v>148</v>
      </c>
      <c r="E120" s="89" t="s">
        <v>58</v>
      </c>
      <c r="F120" s="89" t="s">
        <v>46</v>
      </c>
      <c r="G120" s="89" t="str">
        <f t="shared" si="5"/>
        <v>3SNCLBLEYK</v>
      </c>
      <c r="H120" s="89" t="s">
        <v>19</v>
      </c>
      <c r="I120" s="89" t="s">
        <v>20</v>
      </c>
      <c r="J120" s="89" t="s">
        <v>143</v>
      </c>
      <c r="K120" s="89" t="s">
        <v>149</v>
      </c>
      <c r="L120" s="89" t="s">
        <v>150</v>
      </c>
      <c r="M120" s="89" t="str">
        <f t="shared" si="6"/>
        <v>3SNCLBLEYK501125</v>
      </c>
      <c r="N120" s="89" t="str">
        <f t="shared" si="7"/>
        <v>3SNCLBLEYK501120</v>
      </c>
      <c r="O120" s="90">
        <v>50</v>
      </c>
      <c r="P120" s="89">
        <v>3</v>
      </c>
      <c r="Q120" s="89" t="s">
        <v>151</v>
      </c>
      <c r="R120" s="90">
        <v>1125</v>
      </c>
      <c r="S120" s="90">
        <v>6200</v>
      </c>
      <c r="T120" s="90">
        <v>1120</v>
      </c>
      <c r="U120" s="90">
        <v>1120</v>
      </c>
      <c r="V120" s="90">
        <v>6000</v>
      </c>
      <c r="W120" s="81">
        <v>2</v>
      </c>
      <c r="X120" s="82" t="s">
        <v>136</v>
      </c>
      <c r="Y120" s="83" t="s">
        <v>2002</v>
      </c>
      <c r="Z120" s="84">
        <v>6</v>
      </c>
      <c r="AA120" s="85" t="s">
        <v>24</v>
      </c>
      <c r="AB120" s="86">
        <v>1450</v>
      </c>
      <c r="AC120" s="83">
        <v>6</v>
      </c>
      <c r="AD120" s="85" t="s">
        <v>147</v>
      </c>
      <c r="AE120" s="86">
        <v>1140</v>
      </c>
      <c r="AF120" s="83"/>
      <c r="AG120" s="85"/>
      <c r="AH120" s="86"/>
      <c r="AI120" s="83"/>
      <c r="AJ120" s="85"/>
      <c r="AK120" s="86"/>
      <c r="AL120" s="87"/>
      <c r="AM120" s="88" t="s">
        <v>501</v>
      </c>
      <c r="AN120" s="88" t="s">
        <v>476</v>
      </c>
      <c r="AO120" s="230" t="str">
        <f t="shared" si="4"/>
        <v>3SNCLBLEYK50</v>
      </c>
    </row>
    <row r="121" spans="1:41" ht="15" customHeight="1" x14ac:dyDescent="0.15">
      <c r="A121" s="80">
        <v>333</v>
      </c>
      <c r="B121" s="89">
        <v>275</v>
      </c>
      <c r="C121" s="89">
        <v>5174</v>
      </c>
      <c r="D121" s="89" t="s">
        <v>116</v>
      </c>
      <c r="E121" s="89" t="s">
        <v>117</v>
      </c>
      <c r="F121" s="89" t="s">
        <v>2052</v>
      </c>
      <c r="G121" s="89" t="str">
        <f t="shared" si="5"/>
        <v>3SNCLBLMEYK</v>
      </c>
      <c r="H121" s="89" t="s">
        <v>19</v>
      </c>
      <c r="I121" s="89" t="s">
        <v>20</v>
      </c>
      <c r="J121" s="89" t="s">
        <v>143</v>
      </c>
      <c r="K121" s="89" t="s">
        <v>152</v>
      </c>
      <c r="L121" s="89" t="s">
        <v>153</v>
      </c>
      <c r="M121" s="89" t="str">
        <f t="shared" si="6"/>
        <v>3SNCLBLMEYK381005</v>
      </c>
      <c r="N121" s="89" t="str">
        <f t="shared" si="7"/>
        <v>3SNCLBLMEYK381000</v>
      </c>
      <c r="O121" s="90">
        <v>38</v>
      </c>
      <c r="P121" s="89">
        <v>3</v>
      </c>
      <c r="Q121" s="89" t="s">
        <v>154</v>
      </c>
      <c r="R121" s="90">
        <v>1005</v>
      </c>
      <c r="S121" s="90">
        <v>8000</v>
      </c>
      <c r="T121" s="90">
        <v>1005</v>
      </c>
      <c r="U121" s="90">
        <v>1000</v>
      </c>
      <c r="V121" s="90">
        <v>4000</v>
      </c>
      <c r="W121" s="81">
        <v>2</v>
      </c>
      <c r="X121" s="82" t="s">
        <v>136</v>
      </c>
      <c r="Y121" s="83" t="s">
        <v>2002</v>
      </c>
      <c r="Z121" s="84">
        <v>6</v>
      </c>
      <c r="AA121" s="85" t="s">
        <v>24</v>
      </c>
      <c r="AB121" s="86">
        <v>1450</v>
      </c>
      <c r="AC121" s="83">
        <v>3</v>
      </c>
      <c r="AD121" s="85" t="s">
        <v>2003</v>
      </c>
      <c r="AE121" s="86">
        <v>1015</v>
      </c>
      <c r="AF121" s="83"/>
      <c r="AG121" s="85"/>
      <c r="AH121" s="86"/>
      <c r="AI121" s="83"/>
      <c r="AJ121" s="85"/>
      <c r="AK121" s="86"/>
      <c r="AL121" s="87"/>
      <c r="AM121" s="88"/>
      <c r="AN121" s="88" t="s">
        <v>476</v>
      </c>
      <c r="AO121" s="230" t="str">
        <f t="shared" si="4"/>
        <v>3SNCLBLMEYK38</v>
      </c>
    </row>
    <row r="122" spans="1:41" ht="15" customHeight="1" x14ac:dyDescent="0.15">
      <c r="A122" s="80">
        <v>333</v>
      </c>
      <c r="B122" s="89">
        <v>275</v>
      </c>
      <c r="C122" s="89">
        <v>2201</v>
      </c>
      <c r="D122" s="89" t="s">
        <v>155</v>
      </c>
      <c r="E122" s="89" t="s">
        <v>117</v>
      </c>
      <c r="F122" s="89" t="s">
        <v>111</v>
      </c>
      <c r="G122" s="89" t="str">
        <f t="shared" si="5"/>
        <v>33SSNCLBLTL</v>
      </c>
      <c r="H122" s="89" t="s">
        <v>19</v>
      </c>
      <c r="I122" s="89" t="s">
        <v>20</v>
      </c>
      <c r="J122" s="89" t="s">
        <v>143</v>
      </c>
      <c r="K122" s="89" t="s">
        <v>156</v>
      </c>
      <c r="L122" s="89" t="s">
        <v>157</v>
      </c>
      <c r="M122" s="89" t="str">
        <f t="shared" si="6"/>
        <v>33SSNCLBLTL251125</v>
      </c>
      <c r="N122" s="89" t="str">
        <f t="shared" si="7"/>
        <v>33SSNCLBLTL251120</v>
      </c>
      <c r="O122" s="90">
        <v>25</v>
      </c>
      <c r="P122" s="89" t="s">
        <v>158</v>
      </c>
      <c r="Q122" s="89" t="s">
        <v>151</v>
      </c>
      <c r="R122" s="90">
        <v>1125</v>
      </c>
      <c r="S122" s="90">
        <v>12100</v>
      </c>
      <c r="T122" s="90">
        <v>1120</v>
      </c>
      <c r="U122" s="90">
        <v>1120</v>
      </c>
      <c r="V122" s="90">
        <v>12000</v>
      </c>
      <c r="W122" s="81">
        <v>2</v>
      </c>
      <c r="X122" s="82" t="s">
        <v>136</v>
      </c>
      <c r="Y122" s="83" t="s">
        <v>15</v>
      </c>
      <c r="Z122" s="84">
        <v>6</v>
      </c>
      <c r="AA122" s="85" t="s">
        <v>147</v>
      </c>
      <c r="AB122" s="86">
        <v>1140</v>
      </c>
      <c r="AC122" s="83"/>
      <c r="AD122" s="85"/>
      <c r="AE122" s="86"/>
      <c r="AF122" s="83"/>
      <c r="AG122" s="85"/>
      <c r="AH122" s="86"/>
      <c r="AI122" s="83"/>
      <c r="AJ122" s="85"/>
      <c r="AK122" s="86"/>
      <c r="AL122" s="87"/>
      <c r="AM122" s="88"/>
      <c r="AN122" s="88" t="s">
        <v>471</v>
      </c>
      <c r="AO122" s="230" t="str">
        <f t="shared" si="4"/>
        <v>33SSNCLBLTL25</v>
      </c>
    </row>
    <row r="123" spans="1:41" ht="15" customHeight="1" x14ac:dyDescent="0.15">
      <c r="A123" s="80">
        <v>333</v>
      </c>
      <c r="B123" s="89">
        <v>275</v>
      </c>
      <c r="C123" s="89">
        <v>5174</v>
      </c>
      <c r="D123" s="89" t="s">
        <v>116</v>
      </c>
      <c r="E123" s="89" t="s">
        <v>117</v>
      </c>
      <c r="F123" s="89" t="s">
        <v>2052</v>
      </c>
      <c r="G123" s="89" t="str">
        <f t="shared" si="5"/>
        <v>3SNCLBPETMV</v>
      </c>
      <c r="H123" s="89" t="s">
        <v>19</v>
      </c>
      <c r="I123" s="89" t="s">
        <v>20</v>
      </c>
      <c r="J123" s="89" t="s">
        <v>143</v>
      </c>
      <c r="K123" s="89" t="s">
        <v>159</v>
      </c>
      <c r="L123" s="89" t="s">
        <v>160</v>
      </c>
      <c r="M123" s="89" t="str">
        <f t="shared" si="6"/>
        <v>3SNCLBPETMV251005</v>
      </c>
      <c r="N123" s="89" t="str">
        <f t="shared" si="7"/>
        <v>3SNCLBPETMV251000</v>
      </c>
      <c r="O123" s="90">
        <v>25</v>
      </c>
      <c r="P123" s="89">
        <v>3</v>
      </c>
      <c r="Q123" s="89" t="s">
        <v>154</v>
      </c>
      <c r="R123" s="90">
        <v>1005</v>
      </c>
      <c r="S123" s="90">
        <v>4000</v>
      </c>
      <c r="T123" s="90">
        <v>1005</v>
      </c>
      <c r="U123" s="90">
        <v>1000</v>
      </c>
      <c r="V123" s="90">
        <v>4000</v>
      </c>
      <c r="W123" s="81">
        <v>2</v>
      </c>
      <c r="X123" s="82" t="s">
        <v>136</v>
      </c>
      <c r="Y123" s="83" t="s">
        <v>15</v>
      </c>
      <c r="Z123" s="84">
        <v>6</v>
      </c>
      <c r="AA123" s="85" t="s">
        <v>147</v>
      </c>
      <c r="AB123" s="86">
        <v>1015</v>
      </c>
      <c r="AC123" s="83"/>
      <c r="AD123" s="85"/>
      <c r="AE123" s="86"/>
      <c r="AF123" s="83"/>
      <c r="AG123" s="85"/>
      <c r="AH123" s="86"/>
      <c r="AI123" s="83"/>
      <c r="AJ123" s="85"/>
      <c r="AK123" s="86"/>
      <c r="AL123" s="87"/>
      <c r="AM123" s="88"/>
      <c r="AN123" s="88" t="s">
        <v>471</v>
      </c>
      <c r="AO123" s="230" t="str">
        <f t="shared" si="4"/>
        <v>3SNCLBPETMV25</v>
      </c>
    </row>
    <row r="124" spans="1:41" ht="15" customHeight="1" x14ac:dyDescent="0.15">
      <c r="A124" s="80">
        <v>333</v>
      </c>
      <c r="B124" s="89">
        <v>275</v>
      </c>
      <c r="C124" s="89">
        <v>5174</v>
      </c>
      <c r="D124" s="89" t="s">
        <v>116</v>
      </c>
      <c r="E124" s="89" t="s">
        <v>117</v>
      </c>
      <c r="F124" s="89" t="s">
        <v>2052</v>
      </c>
      <c r="G124" s="89" t="str">
        <f t="shared" si="5"/>
        <v>3HSNCLBPETMV</v>
      </c>
      <c r="H124" s="89" t="s">
        <v>19</v>
      </c>
      <c r="I124" s="89" t="s">
        <v>20</v>
      </c>
      <c r="J124" s="89" t="s">
        <v>143</v>
      </c>
      <c r="K124" s="89" t="s">
        <v>159</v>
      </c>
      <c r="L124" s="89" t="s">
        <v>160</v>
      </c>
      <c r="M124" s="89" t="str">
        <f t="shared" si="6"/>
        <v>3HSNCLBPETMV251005</v>
      </c>
      <c r="N124" s="89" t="str">
        <f t="shared" si="7"/>
        <v>3HSNCLBPETMV251000</v>
      </c>
      <c r="O124" s="90">
        <v>25</v>
      </c>
      <c r="P124" s="89" t="s">
        <v>468</v>
      </c>
      <c r="Q124" s="89" t="s">
        <v>154</v>
      </c>
      <c r="R124" s="90">
        <v>1005</v>
      </c>
      <c r="S124" s="90">
        <v>4000</v>
      </c>
      <c r="T124" s="90">
        <v>1005</v>
      </c>
      <c r="U124" s="90">
        <v>1000</v>
      </c>
      <c r="V124" s="90">
        <v>4000</v>
      </c>
      <c r="W124" s="81">
        <v>2</v>
      </c>
      <c r="X124" s="82" t="s">
        <v>136</v>
      </c>
      <c r="Y124" s="83" t="s">
        <v>15</v>
      </c>
      <c r="Z124" s="84">
        <v>6</v>
      </c>
      <c r="AA124" s="85" t="s">
        <v>147</v>
      </c>
      <c r="AB124" s="86">
        <v>1015</v>
      </c>
      <c r="AC124" s="83"/>
      <c r="AD124" s="85"/>
      <c r="AE124" s="86"/>
      <c r="AF124" s="83"/>
      <c r="AG124" s="85"/>
      <c r="AH124" s="86"/>
      <c r="AI124" s="83"/>
      <c r="AJ124" s="85"/>
      <c r="AK124" s="86"/>
      <c r="AL124" s="87"/>
      <c r="AM124" s="88"/>
      <c r="AN124" s="88" t="s">
        <v>471</v>
      </c>
      <c r="AO124" s="230" t="str">
        <f t="shared" si="4"/>
        <v>3HSNCLBPETMV25</v>
      </c>
    </row>
    <row r="125" spans="1:41" ht="15" customHeight="1" x14ac:dyDescent="0.15">
      <c r="A125" s="80">
        <v>333</v>
      </c>
      <c r="B125" s="89">
        <v>275</v>
      </c>
      <c r="C125" s="89">
        <v>5174</v>
      </c>
      <c r="D125" s="89" t="s">
        <v>116</v>
      </c>
      <c r="E125" s="89" t="s">
        <v>117</v>
      </c>
      <c r="F125" s="89" t="s">
        <v>2052</v>
      </c>
      <c r="G125" s="89" t="str">
        <f t="shared" si="5"/>
        <v>3SYCLBPETMV</v>
      </c>
      <c r="H125" s="89" t="s">
        <v>19</v>
      </c>
      <c r="I125" s="89" t="s">
        <v>28</v>
      </c>
      <c r="J125" s="89" t="s">
        <v>143</v>
      </c>
      <c r="K125" s="89" t="s">
        <v>159</v>
      </c>
      <c r="L125" s="89" t="s">
        <v>160</v>
      </c>
      <c r="M125" s="89" t="str">
        <f t="shared" si="6"/>
        <v>3SYCLBPETMV501005</v>
      </c>
      <c r="N125" s="89" t="str">
        <f t="shared" si="7"/>
        <v>3SYCLBPETMV501000</v>
      </c>
      <c r="O125" s="90">
        <v>50</v>
      </c>
      <c r="P125" s="89">
        <v>3</v>
      </c>
      <c r="Q125" s="89" t="s">
        <v>161</v>
      </c>
      <c r="R125" s="90">
        <v>1005</v>
      </c>
      <c r="S125" s="90">
        <v>4100</v>
      </c>
      <c r="T125" s="90">
        <v>1005</v>
      </c>
      <c r="U125" s="90">
        <v>1000</v>
      </c>
      <c r="V125" s="90">
        <v>4000</v>
      </c>
      <c r="W125" s="81">
        <v>2</v>
      </c>
      <c r="X125" s="82" t="s">
        <v>136</v>
      </c>
      <c r="Y125" s="83" t="s">
        <v>15</v>
      </c>
      <c r="Z125" s="84">
        <v>6</v>
      </c>
      <c r="AA125" s="85" t="s">
        <v>147</v>
      </c>
      <c r="AB125" s="86">
        <v>1015</v>
      </c>
      <c r="AC125" s="83"/>
      <c r="AD125" s="85"/>
      <c r="AE125" s="86"/>
      <c r="AF125" s="83"/>
      <c r="AG125" s="85"/>
      <c r="AH125" s="86"/>
      <c r="AI125" s="83"/>
      <c r="AJ125" s="85"/>
      <c r="AK125" s="86"/>
      <c r="AL125" s="87"/>
      <c r="AM125" s="88"/>
      <c r="AN125" s="88" t="s">
        <v>471</v>
      </c>
      <c r="AO125" s="230" t="str">
        <f t="shared" si="4"/>
        <v>3SYCLBPETMV50</v>
      </c>
    </row>
    <row r="126" spans="1:41" ht="15" customHeight="1" x14ac:dyDescent="0.15">
      <c r="A126" s="80">
        <v>333</v>
      </c>
      <c r="B126" s="89">
        <v>275</v>
      </c>
      <c r="C126" s="89">
        <v>39526</v>
      </c>
      <c r="D126" s="89" t="s">
        <v>162</v>
      </c>
      <c r="E126" s="89" t="s">
        <v>58</v>
      </c>
      <c r="F126" s="89" t="s">
        <v>46</v>
      </c>
      <c r="G126" s="89" t="str">
        <f t="shared" si="5"/>
        <v>3SNCLBPETTL</v>
      </c>
      <c r="H126" s="89" t="s">
        <v>19</v>
      </c>
      <c r="I126" s="89" t="s">
        <v>20</v>
      </c>
      <c r="J126" s="89" t="s">
        <v>143</v>
      </c>
      <c r="K126" s="89" t="s">
        <v>163</v>
      </c>
      <c r="L126" s="89" t="s">
        <v>164</v>
      </c>
      <c r="M126" s="89" t="str">
        <f t="shared" si="6"/>
        <v>3SNCLBPETTL381350</v>
      </c>
      <c r="N126" s="89" t="str">
        <f t="shared" si="7"/>
        <v>3SNCLBPETTL381320</v>
      </c>
      <c r="O126" s="90">
        <v>38</v>
      </c>
      <c r="P126" s="89">
        <v>3</v>
      </c>
      <c r="Q126" s="89" t="s">
        <v>109</v>
      </c>
      <c r="R126" s="90">
        <v>1350</v>
      </c>
      <c r="S126" s="90">
        <v>4400</v>
      </c>
      <c r="T126" s="90">
        <v>1320</v>
      </c>
      <c r="U126" s="90">
        <v>1320</v>
      </c>
      <c r="V126" s="90">
        <v>4200</v>
      </c>
      <c r="W126" s="81">
        <v>2</v>
      </c>
      <c r="X126" s="82" t="s">
        <v>136</v>
      </c>
      <c r="Y126" s="83" t="s">
        <v>295</v>
      </c>
      <c r="Z126" s="84">
        <v>6</v>
      </c>
      <c r="AA126" s="85" t="s">
        <v>24</v>
      </c>
      <c r="AB126" s="86">
        <v>1450</v>
      </c>
      <c r="AC126" s="83">
        <v>6</v>
      </c>
      <c r="AD126" s="85" t="s">
        <v>266</v>
      </c>
      <c r="AE126" s="86">
        <v>1450</v>
      </c>
      <c r="AF126" s="83"/>
      <c r="AG126" s="85"/>
      <c r="AH126" s="86"/>
      <c r="AI126" s="83"/>
      <c r="AJ126" s="85"/>
      <c r="AK126" s="86"/>
      <c r="AL126" s="87"/>
      <c r="AM126" s="88"/>
      <c r="AN126" s="88" t="s">
        <v>476</v>
      </c>
      <c r="AO126" s="196" t="str">
        <f t="shared" si="4"/>
        <v>3SNCLBPETTL38</v>
      </c>
    </row>
    <row r="127" spans="1:41" ht="15" customHeight="1" x14ac:dyDescent="0.15">
      <c r="A127" s="116">
        <v>333</v>
      </c>
      <c r="B127" s="91">
        <v>275</v>
      </c>
      <c r="C127" s="91">
        <v>39526</v>
      </c>
      <c r="D127" s="91" t="s">
        <v>162</v>
      </c>
      <c r="E127" s="91" t="s">
        <v>58</v>
      </c>
      <c r="F127" s="91" t="s">
        <v>46</v>
      </c>
      <c r="G127" s="91" t="str">
        <f t="shared" si="5"/>
        <v>3SNCLBPETTL</v>
      </c>
      <c r="H127" s="91" t="s">
        <v>19</v>
      </c>
      <c r="I127" s="91" t="s">
        <v>20</v>
      </c>
      <c r="J127" s="91" t="s">
        <v>143</v>
      </c>
      <c r="K127" s="91" t="s">
        <v>163</v>
      </c>
      <c r="L127" s="91" t="s">
        <v>164</v>
      </c>
      <c r="M127" s="91" t="str">
        <f t="shared" si="6"/>
        <v>3SNCLBPETTL501350</v>
      </c>
      <c r="N127" s="91" t="str">
        <f t="shared" si="7"/>
        <v>3SNCLBPETTL501320</v>
      </c>
      <c r="O127" s="117">
        <v>50</v>
      </c>
      <c r="P127" s="91">
        <v>3</v>
      </c>
      <c r="Q127" s="91" t="s">
        <v>109</v>
      </c>
      <c r="R127" s="117">
        <v>1350</v>
      </c>
      <c r="S127" s="117">
        <v>4400</v>
      </c>
      <c r="T127" s="117">
        <v>1320</v>
      </c>
      <c r="U127" s="117">
        <v>1320</v>
      </c>
      <c r="V127" s="117">
        <v>4200</v>
      </c>
      <c r="W127" s="118">
        <v>2</v>
      </c>
      <c r="X127" s="119" t="s">
        <v>136</v>
      </c>
      <c r="Y127" s="120" t="s">
        <v>295</v>
      </c>
      <c r="Z127" s="121">
        <v>6</v>
      </c>
      <c r="AA127" s="122" t="s">
        <v>24</v>
      </c>
      <c r="AB127" s="123">
        <v>1450</v>
      </c>
      <c r="AC127" s="120">
        <v>6</v>
      </c>
      <c r="AD127" s="122" t="s">
        <v>266</v>
      </c>
      <c r="AE127" s="123">
        <v>1450</v>
      </c>
      <c r="AF127" s="120"/>
      <c r="AG127" s="122"/>
      <c r="AH127" s="123"/>
      <c r="AI127" s="120"/>
      <c r="AJ127" s="122"/>
      <c r="AK127" s="123"/>
      <c r="AL127" s="124"/>
      <c r="AM127" s="125"/>
      <c r="AN127" s="125" t="s">
        <v>476</v>
      </c>
      <c r="AO127" s="196" t="str">
        <f t="shared" si="4"/>
        <v>3SNCLBPETTL50</v>
      </c>
    </row>
    <row r="128" spans="1:41" ht="15" customHeight="1" thickBot="1" x14ac:dyDescent="0.2">
      <c r="A128" s="94">
        <v>333</v>
      </c>
      <c r="B128" s="95">
        <v>275</v>
      </c>
      <c r="C128" s="95">
        <v>5174</v>
      </c>
      <c r="D128" s="95" t="s">
        <v>2054</v>
      </c>
      <c r="E128" s="95" t="s">
        <v>2053</v>
      </c>
      <c r="F128" s="95" t="s">
        <v>2052</v>
      </c>
      <c r="G128" s="95" t="str">
        <f t="shared" si="5"/>
        <v>3SNCLBPETV44</v>
      </c>
      <c r="H128" s="95" t="s">
        <v>19</v>
      </c>
      <c r="I128" s="95" t="s">
        <v>20</v>
      </c>
      <c r="J128" s="95" t="s">
        <v>143</v>
      </c>
      <c r="K128" s="95" t="s">
        <v>2055</v>
      </c>
      <c r="L128" s="95" t="s">
        <v>2056</v>
      </c>
      <c r="M128" s="95" t="str">
        <f t="shared" si="6"/>
        <v>3SNCLBPETV44501005</v>
      </c>
      <c r="N128" s="95" t="str">
        <f t="shared" si="7"/>
        <v>3SNCLBPETV44501000</v>
      </c>
      <c r="O128" s="96">
        <v>50</v>
      </c>
      <c r="P128" s="95">
        <v>3</v>
      </c>
      <c r="Q128" s="95" t="s">
        <v>2004</v>
      </c>
      <c r="R128" s="96">
        <v>1005</v>
      </c>
      <c r="S128" s="96">
        <v>4100</v>
      </c>
      <c r="T128" s="96">
        <v>1005</v>
      </c>
      <c r="U128" s="96">
        <v>1000</v>
      </c>
      <c r="V128" s="96">
        <v>4000</v>
      </c>
      <c r="W128" s="97">
        <v>2</v>
      </c>
      <c r="X128" s="98" t="s">
        <v>136</v>
      </c>
      <c r="Y128" s="99" t="s">
        <v>15</v>
      </c>
      <c r="Z128" s="100">
        <v>6</v>
      </c>
      <c r="AA128" s="101" t="s">
        <v>175</v>
      </c>
      <c r="AB128" s="102">
        <v>1015</v>
      </c>
      <c r="AC128" s="99"/>
      <c r="AD128" s="101"/>
      <c r="AE128" s="102"/>
      <c r="AF128" s="99"/>
      <c r="AG128" s="101"/>
      <c r="AH128" s="102"/>
      <c r="AI128" s="99"/>
      <c r="AJ128" s="101"/>
      <c r="AK128" s="102"/>
      <c r="AL128" s="103"/>
      <c r="AM128" s="104"/>
      <c r="AN128" s="104" t="s">
        <v>476</v>
      </c>
      <c r="AO128" s="231" t="str">
        <f t="shared" si="4"/>
        <v>3SNCLBPETV4450</v>
      </c>
    </row>
    <row r="129" spans="1:41" ht="15" customHeight="1" x14ac:dyDescent="0.15">
      <c r="A129" s="69">
        <v>333</v>
      </c>
      <c r="B129" s="70">
        <v>275</v>
      </c>
      <c r="C129" s="70">
        <v>5174</v>
      </c>
      <c r="D129" s="70" t="s">
        <v>116</v>
      </c>
      <c r="E129" s="70" t="s">
        <v>117</v>
      </c>
      <c r="F129" s="70" t="s">
        <v>2052</v>
      </c>
      <c r="G129" s="70" t="str">
        <f t="shared" si="5"/>
        <v>3SNMCLBDMSV</v>
      </c>
      <c r="H129" s="70" t="s">
        <v>19</v>
      </c>
      <c r="I129" s="70" t="s">
        <v>20</v>
      </c>
      <c r="J129" s="70" t="s">
        <v>165</v>
      </c>
      <c r="K129" s="70" t="s">
        <v>166</v>
      </c>
      <c r="L129" s="70" t="s">
        <v>167</v>
      </c>
      <c r="M129" s="70" t="str">
        <f t="shared" si="6"/>
        <v>3SNMCLBDMSV501005</v>
      </c>
      <c r="N129" s="70" t="str">
        <f t="shared" si="7"/>
        <v>3SNMCLBDMSV501000</v>
      </c>
      <c r="O129" s="71">
        <v>50</v>
      </c>
      <c r="P129" s="70">
        <v>3</v>
      </c>
      <c r="Q129" s="70" t="s">
        <v>168</v>
      </c>
      <c r="R129" s="71">
        <v>1005</v>
      </c>
      <c r="S129" s="71">
        <v>4000</v>
      </c>
      <c r="T129" s="71">
        <v>1005</v>
      </c>
      <c r="U129" s="71">
        <v>1000</v>
      </c>
      <c r="V129" s="71">
        <v>2000</v>
      </c>
      <c r="W129" s="72">
        <v>2</v>
      </c>
      <c r="X129" s="109" t="s">
        <v>136</v>
      </c>
      <c r="Y129" s="110" t="s">
        <v>2002</v>
      </c>
      <c r="Z129" s="111">
        <v>6</v>
      </c>
      <c r="AA129" s="112" t="s">
        <v>24</v>
      </c>
      <c r="AB129" s="113">
        <v>1450</v>
      </c>
      <c r="AC129" s="110">
        <v>6</v>
      </c>
      <c r="AD129" s="112" t="s">
        <v>147</v>
      </c>
      <c r="AE129" s="113">
        <v>1020</v>
      </c>
      <c r="AF129" s="110">
        <v>2</v>
      </c>
      <c r="AG129" s="112" t="s">
        <v>24</v>
      </c>
      <c r="AH129" s="113">
        <v>1450</v>
      </c>
      <c r="AI129" s="110">
        <v>3</v>
      </c>
      <c r="AJ129" s="112" t="s">
        <v>24</v>
      </c>
      <c r="AK129" s="113">
        <v>1450</v>
      </c>
      <c r="AL129" s="114"/>
      <c r="AM129" s="115"/>
      <c r="AN129" s="115" t="s">
        <v>476</v>
      </c>
      <c r="AO129" s="232" t="str">
        <f t="shared" si="4"/>
        <v>3SNMCLBDMSV50</v>
      </c>
    </row>
    <row r="130" spans="1:41" ht="15" customHeight="1" x14ac:dyDescent="0.15">
      <c r="A130" s="80">
        <v>333</v>
      </c>
      <c r="B130" s="89">
        <v>275</v>
      </c>
      <c r="C130" s="89">
        <v>33042</v>
      </c>
      <c r="D130" s="89" t="s">
        <v>148</v>
      </c>
      <c r="E130" s="89" t="s">
        <v>58</v>
      </c>
      <c r="F130" s="89" t="s">
        <v>46</v>
      </c>
      <c r="G130" s="89" t="str">
        <f t="shared" si="5"/>
        <v>3SNMCLBEYK</v>
      </c>
      <c r="H130" s="89" t="s">
        <v>19</v>
      </c>
      <c r="I130" s="89" t="s">
        <v>20</v>
      </c>
      <c r="J130" s="89" t="s">
        <v>165</v>
      </c>
      <c r="K130" s="89" t="s">
        <v>169</v>
      </c>
      <c r="L130" s="89" t="s">
        <v>170</v>
      </c>
      <c r="M130" s="89" t="str">
        <f t="shared" si="6"/>
        <v>3SNMCLBEYK501125</v>
      </c>
      <c r="N130" s="89" t="str">
        <f t="shared" si="7"/>
        <v>3SNMCLBEYK501120</v>
      </c>
      <c r="O130" s="90">
        <v>50</v>
      </c>
      <c r="P130" s="89">
        <v>3</v>
      </c>
      <c r="Q130" s="89" t="s">
        <v>151</v>
      </c>
      <c r="R130" s="90">
        <v>1125</v>
      </c>
      <c r="S130" s="90">
        <v>6100</v>
      </c>
      <c r="T130" s="90">
        <v>1120</v>
      </c>
      <c r="U130" s="90">
        <v>1120</v>
      </c>
      <c r="V130" s="90">
        <v>6000</v>
      </c>
      <c r="W130" s="81">
        <v>2</v>
      </c>
      <c r="X130" s="82" t="s">
        <v>136</v>
      </c>
      <c r="Y130" s="83" t="s">
        <v>2002</v>
      </c>
      <c r="Z130" s="84">
        <v>6</v>
      </c>
      <c r="AA130" s="85" t="s">
        <v>24</v>
      </c>
      <c r="AB130" s="86">
        <v>1450</v>
      </c>
      <c r="AC130" s="83">
        <v>6</v>
      </c>
      <c r="AD130" s="85" t="s">
        <v>147</v>
      </c>
      <c r="AE130" s="86">
        <v>1140</v>
      </c>
      <c r="AF130" s="110">
        <v>2</v>
      </c>
      <c r="AG130" s="85" t="s">
        <v>24</v>
      </c>
      <c r="AH130" s="86">
        <v>1450</v>
      </c>
      <c r="AI130" s="110">
        <v>3</v>
      </c>
      <c r="AJ130" s="85" t="s">
        <v>24</v>
      </c>
      <c r="AK130" s="86">
        <v>1450</v>
      </c>
      <c r="AL130" s="87"/>
      <c r="AM130" s="88" t="s">
        <v>501</v>
      </c>
      <c r="AN130" s="88" t="s">
        <v>476</v>
      </c>
      <c r="AO130" s="230" t="str">
        <f t="shared" si="4"/>
        <v>3SNMCLBEYK50</v>
      </c>
    </row>
    <row r="131" spans="1:41" ht="15" customHeight="1" x14ac:dyDescent="0.15">
      <c r="A131" s="80">
        <v>333</v>
      </c>
      <c r="B131" s="89">
        <v>275</v>
      </c>
      <c r="C131" s="89">
        <v>33042</v>
      </c>
      <c r="D131" s="89" t="s">
        <v>148</v>
      </c>
      <c r="E131" s="89" t="s">
        <v>58</v>
      </c>
      <c r="F131" s="89" t="s">
        <v>46</v>
      </c>
      <c r="G131" s="89" t="str">
        <f t="shared" si="5"/>
        <v>3XSNMCLBEYK</v>
      </c>
      <c r="H131" s="89" t="s">
        <v>19</v>
      </c>
      <c r="I131" s="89" t="s">
        <v>20</v>
      </c>
      <c r="J131" s="89" t="s">
        <v>165</v>
      </c>
      <c r="K131" s="89" t="s">
        <v>169</v>
      </c>
      <c r="L131" s="89" t="s">
        <v>170</v>
      </c>
      <c r="M131" s="89" t="str">
        <f t="shared" si="6"/>
        <v>3XSNMCLBEYK501195</v>
      </c>
      <c r="N131" s="89" t="str">
        <f t="shared" si="7"/>
        <v>3XSNMCLBEYK501120</v>
      </c>
      <c r="O131" s="90">
        <v>50</v>
      </c>
      <c r="P131" s="89" t="s">
        <v>1830</v>
      </c>
      <c r="Q131" s="89" t="s">
        <v>151</v>
      </c>
      <c r="R131" s="90">
        <v>1195</v>
      </c>
      <c r="S131" s="90">
        <v>6100</v>
      </c>
      <c r="T131" s="90">
        <v>1120</v>
      </c>
      <c r="U131" s="90">
        <v>1120</v>
      </c>
      <c r="V131" s="90">
        <v>6000</v>
      </c>
      <c r="W131" s="81">
        <v>2</v>
      </c>
      <c r="X131" s="82" t="s">
        <v>136</v>
      </c>
      <c r="Y131" s="83" t="s">
        <v>2002</v>
      </c>
      <c r="Z131" s="84">
        <v>6</v>
      </c>
      <c r="AA131" s="85" t="s">
        <v>24</v>
      </c>
      <c r="AB131" s="86">
        <v>1450</v>
      </c>
      <c r="AC131" s="83">
        <v>6</v>
      </c>
      <c r="AD131" s="85" t="s">
        <v>147</v>
      </c>
      <c r="AE131" s="86">
        <v>1140</v>
      </c>
      <c r="AF131" s="110">
        <v>2</v>
      </c>
      <c r="AG131" s="85" t="s">
        <v>24</v>
      </c>
      <c r="AH131" s="86">
        <v>1450</v>
      </c>
      <c r="AI131" s="110">
        <v>3</v>
      </c>
      <c r="AJ131" s="85" t="s">
        <v>24</v>
      </c>
      <c r="AK131" s="86">
        <v>1450</v>
      </c>
      <c r="AL131" s="87"/>
      <c r="AM131" s="88" t="s">
        <v>501</v>
      </c>
      <c r="AN131" s="88" t="s">
        <v>476</v>
      </c>
      <c r="AO131" s="230" t="str">
        <f t="shared" si="4"/>
        <v>3XSNMCLBEYK50</v>
      </c>
    </row>
    <row r="132" spans="1:41" ht="15" customHeight="1" x14ac:dyDescent="0.15">
      <c r="A132" s="80">
        <v>333</v>
      </c>
      <c r="B132" s="89">
        <v>276</v>
      </c>
      <c r="C132" s="89">
        <v>2220</v>
      </c>
      <c r="D132" s="89" t="s">
        <v>171</v>
      </c>
      <c r="E132" s="89" t="s">
        <v>58</v>
      </c>
      <c r="F132" s="89" t="s">
        <v>46</v>
      </c>
      <c r="G132" s="89" t="str">
        <f t="shared" si="5"/>
        <v>3HSNMCLBEYK</v>
      </c>
      <c r="H132" s="89" t="s">
        <v>19</v>
      </c>
      <c r="I132" s="89" t="s">
        <v>20</v>
      </c>
      <c r="J132" s="89" t="s">
        <v>165</v>
      </c>
      <c r="K132" s="89" t="s">
        <v>169</v>
      </c>
      <c r="L132" s="89" t="s">
        <v>170</v>
      </c>
      <c r="M132" s="89" t="str">
        <f t="shared" si="6"/>
        <v>3HSNMCLBEYK501195</v>
      </c>
      <c r="N132" s="89" t="str">
        <f t="shared" si="7"/>
        <v>3HSNMCLBEYK501190</v>
      </c>
      <c r="O132" s="90">
        <v>50</v>
      </c>
      <c r="P132" s="89" t="s">
        <v>96</v>
      </c>
      <c r="Q132" s="89" t="s">
        <v>151</v>
      </c>
      <c r="R132" s="90">
        <v>1195</v>
      </c>
      <c r="S132" s="90">
        <v>6100</v>
      </c>
      <c r="T132" s="90">
        <v>1190</v>
      </c>
      <c r="U132" s="90">
        <v>1190</v>
      </c>
      <c r="V132" s="90">
        <v>6000</v>
      </c>
      <c r="W132" s="81">
        <v>2</v>
      </c>
      <c r="X132" s="82" t="s">
        <v>136</v>
      </c>
      <c r="Y132" s="83" t="s">
        <v>2002</v>
      </c>
      <c r="Z132" s="84">
        <v>6</v>
      </c>
      <c r="AA132" s="85" t="s">
        <v>24</v>
      </c>
      <c r="AB132" s="86">
        <v>1450</v>
      </c>
      <c r="AC132" s="83">
        <v>6</v>
      </c>
      <c r="AD132" s="85" t="s">
        <v>147</v>
      </c>
      <c r="AE132" s="86">
        <v>1220</v>
      </c>
      <c r="AF132" s="110">
        <v>2</v>
      </c>
      <c r="AG132" s="85" t="s">
        <v>24</v>
      </c>
      <c r="AH132" s="86">
        <v>1450</v>
      </c>
      <c r="AI132" s="110">
        <v>3</v>
      </c>
      <c r="AJ132" s="85" t="s">
        <v>24</v>
      </c>
      <c r="AK132" s="86">
        <v>1450</v>
      </c>
      <c r="AL132" s="87"/>
      <c r="AM132" s="88" t="s">
        <v>501</v>
      </c>
      <c r="AN132" s="88" t="s">
        <v>476</v>
      </c>
      <c r="AO132" s="230" t="str">
        <f t="shared" si="4"/>
        <v>3HSNMCLBEYK50</v>
      </c>
    </row>
    <row r="133" spans="1:41" ht="15" customHeight="1" x14ac:dyDescent="0.15">
      <c r="A133" s="80">
        <v>333</v>
      </c>
      <c r="B133" s="89">
        <v>275</v>
      </c>
      <c r="C133" s="89">
        <v>5174</v>
      </c>
      <c r="D133" s="89" t="s">
        <v>116</v>
      </c>
      <c r="E133" s="89" t="s">
        <v>117</v>
      </c>
      <c r="F133" s="89" t="s">
        <v>2052</v>
      </c>
      <c r="G133" s="89" t="str">
        <f t="shared" si="5"/>
        <v>3SNMCLBHLGKJV</v>
      </c>
      <c r="H133" s="89" t="s">
        <v>19</v>
      </c>
      <c r="I133" s="89" t="s">
        <v>20</v>
      </c>
      <c r="J133" s="89" t="s">
        <v>165</v>
      </c>
      <c r="K133" s="89" t="s">
        <v>172</v>
      </c>
      <c r="L133" s="89" t="s">
        <v>173</v>
      </c>
      <c r="M133" s="89" t="str">
        <f t="shared" si="6"/>
        <v>3SNMCLBHLGKJV251005</v>
      </c>
      <c r="N133" s="89" t="str">
        <f t="shared" si="7"/>
        <v>3SNMCLBHLGKJV251000</v>
      </c>
      <c r="O133" s="90">
        <v>25</v>
      </c>
      <c r="P133" s="89">
        <v>3</v>
      </c>
      <c r="Q133" s="89" t="s">
        <v>174</v>
      </c>
      <c r="R133" s="90">
        <v>1005</v>
      </c>
      <c r="S133" s="90">
        <v>2000</v>
      </c>
      <c r="T133" s="90">
        <v>1005</v>
      </c>
      <c r="U133" s="90">
        <v>1000</v>
      </c>
      <c r="V133" s="90">
        <v>2000</v>
      </c>
      <c r="W133" s="81">
        <v>2</v>
      </c>
      <c r="X133" s="82" t="s">
        <v>136</v>
      </c>
      <c r="Y133" s="83" t="s">
        <v>2002</v>
      </c>
      <c r="Z133" s="84">
        <v>6</v>
      </c>
      <c r="AA133" s="85" t="s">
        <v>24</v>
      </c>
      <c r="AB133" s="86">
        <v>1450</v>
      </c>
      <c r="AC133" s="83">
        <v>6</v>
      </c>
      <c r="AD133" s="85" t="s">
        <v>175</v>
      </c>
      <c r="AE133" s="86">
        <v>1015</v>
      </c>
      <c r="AF133" s="110">
        <v>2</v>
      </c>
      <c r="AG133" s="85" t="s">
        <v>24</v>
      </c>
      <c r="AH133" s="86">
        <v>1450</v>
      </c>
      <c r="AI133" s="110">
        <v>3</v>
      </c>
      <c r="AJ133" s="85" t="s">
        <v>24</v>
      </c>
      <c r="AK133" s="86">
        <v>1450</v>
      </c>
      <c r="AL133" s="87"/>
      <c r="AM133" s="88"/>
      <c r="AN133" s="88" t="s">
        <v>476</v>
      </c>
      <c r="AO133" s="230" t="str">
        <f t="shared" si="4"/>
        <v>3SNMCLBHLGKJV25</v>
      </c>
    </row>
    <row r="134" spans="1:41" ht="15" customHeight="1" x14ac:dyDescent="0.15">
      <c r="A134" s="80">
        <v>333</v>
      </c>
      <c r="B134" s="89">
        <v>275</v>
      </c>
      <c r="C134" s="89">
        <v>5174</v>
      </c>
      <c r="D134" s="89" t="s">
        <v>116</v>
      </c>
      <c r="E134" s="89" t="s">
        <v>117</v>
      </c>
      <c r="F134" s="89" t="s">
        <v>2052</v>
      </c>
      <c r="G134" s="89" t="str">
        <f t="shared" si="5"/>
        <v>3SNMCLBHLGKJV</v>
      </c>
      <c r="H134" s="89" t="s">
        <v>19</v>
      </c>
      <c r="I134" s="89" t="s">
        <v>20</v>
      </c>
      <c r="J134" s="89" t="s">
        <v>165</v>
      </c>
      <c r="K134" s="89" t="s">
        <v>172</v>
      </c>
      <c r="L134" s="89" t="s">
        <v>173</v>
      </c>
      <c r="M134" s="89" t="str">
        <f t="shared" si="6"/>
        <v>3SNMCLBHLGKJV501005</v>
      </c>
      <c r="N134" s="89" t="str">
        <f t="shared" si="7"/>
        <v>3SNMCLBHLGKJV501000</v>
      </c>
      <c r="O134" s="90">
        <v>50</v>
      </c>
      <c r="P134" s="89">
        <v>3</v>
      </c>
      <c r="Q134" s="89" t="s">
        <v>174</v>
      </c>
      <c r="R134" s="90">
        <v>1005</v>
      </c>
      <c r="S134" s="90">
        <v>4000</v>
      </c>
      <c r="T134" s="90">
        <v>1005</v>
      </c>
      <c r="U134" s="90">
        <v>1000</v>
      </c>
      <c r="V134" s="90">
        <v>2000</v>
      </c>
      <c r="W134" s="81">
        <v>2</v>
      </c>
      <c r="X134" s="82" t="s">
        <v>136</v>
      </c>
      <c r="Y134" s="83" t="s">
        <v>2002</v>
      </c>
      <c r="Z134" s="84">
        <v>6</v>
      </c>
      <c r="AA134" s="85" t="s">
        <v>24</v>
      </c>
      <c r="AB134" s="86">
        <v>1450</v>
      </c>
      <c r="AC134" s="83">
        <v>6</v>
      </c>
      <c r="AD134" s="85" t="s">
        <v>175</v>
      </c>
      <c r="AE134" s="86">
        <v>1015</v>
      </c>
      <c r="AF134" s="110">
        <v>2</v>
      </c>
      <c r="AG134" s="85" t="s">
        <v>24</v>
      </c>
      <c r="AH134" s="86">
        <v>1450</v>
      </c>
      <c r="AI134" s="110">
        <v>3</v>
      </c>
      <c r="AJ134" s="85" t="s">
        <v>24</v>
      </c>
      <c r="AK134" s="86">
        <v>1450</v>
      </c>
      <c r="AL134" s="87"/>
      <c r="AM134" s="88"/>
      <c r="AN134" s="88" t="s">
        <v>476</v>
      </c>
      <c r="AO134" s="230" t="str">
        <f t="shared" si="4"/>
        <v>3SNMCLBHLGKJV50</v>
      </c>
    </row>
    <row r="135" spans="1:41" ht="15" customHeight="1" x14ac:dyDescent="0.15">
      <c r="A135" s="80">
        <v>333</v>
      </c>
      <c r="B135" s="89">
        <v>275</v>
      </c>
      <c r="C135" s="89">
        <v>5174</v>
      </c>
      <c r="D135" s="89" t="s">
        <v>116</v>
      </c>
      <c r="E135" s="89" t="s">
        <v>117</v>
      </c>
      <c r="F135" s="89" t="s">
        <v>2057</v>
      </c>
      <c r="G135" s="89" t="str">
        <f t="shared" si="5"/>
        <v>3SNMCLBHLGTV</v>
      </c>
      <c r="H135" s="89" t="s">
        <v>19</v>
      </c>
      <c r="I135" s="89" t="s">
        <v>20</v>
      </c>
      <c r="J135" s="89" t="s">
        <v>165</v>
      </c>
      <c r="K135" s="89" t="s">
        <v>176</v>
      </c>
      <c r="L135" s="89" t="s">
        <v>177</v>
      </c>
      <c r="M135" s="89" t="str">
        <f t="shared" si="6"/>
        <v>3SNMCLBHLGTV251005</v>
      </c>
      <c r="N135" s="89" t="str">
        <f t="shared" si="7"/>
        <v>3SNMCLBHLGTV251000</v>
      </c>
      <c r="O135" s="90">
        <v>25</v>
      </c>
      <c r="P135" s="89">
        <v>3</v>
      </c>
      <c r="Q135" s="89" t="s">
        <v>178</v>
      </c>
      <c r="R135" s="90">
        <v>1005</v>
      </c>
      <c r="S135" s="90">
        <v>8000</v>
      </c>
      <c r="T135" s="90">
        <v>1005</v>
      </c>
      <c r="U135" s="90">
        <v>1000</v>
      </c>
      <c r="V135" s="90">
        <v>2000</v>
      </c>
      <c r="W135" s="81">
        <v>2</v>
      </c>
      <c r="X135" s="82" t="s">
        <v>136</v>
      </c>
      <c r="Y135" s="83" t="s">
        <v>2002</v>
      </c>
      <c r="Z135" s="84">
        <v>6</v>
      </c>
      <c r="AA135" s="85" t="s">
        <v>24</v>
      </c>
      <c r="AB135" s="86">
        <v>1450</v>
      </c>
      <c r="AC135" s="83">
        <v>6</v>
      </c>
      <c r="AD135" s="85" t="s">
        <v>175</v>
      </c>
      <c r="AE135" s="86">
        <v>1015</v>
      </c>
      <c r="AF135" s="110">
        <v>2</v>
      </c>
      <c r="AG135" s="85" t="s">
        <v>24</v>
      </c>
      <c r="AH135" s="86">
        <v>1450</v>
      </c>
      <c r="AI135" s="110">
        <v>3</v>
      </c>
      <c r="AJ135" s="85" t="s">
        <v>24</v>
      </c>
      <c r="AK135" s="86">
        <v>1450</v>
      </c>
      <c r="AL135" s="87"/>
      <c r="AM135" s="88"/>
      <c r="AN135" s="88" t="s">
        <v>476</v>
      </c>
      <c r="AO135" s="230" t="str">
        <f t="shared" si="4"/>
        <v>3SNMCLBHLGTV25</v>
      </c>
    </row>
    <row r="136" spans="1:41" ht="15" customHeight="1" x14ac:dyDescent="0.15">
      <c r="A136" s="80">
        <v>333</v>
      </c>
      <c r="B136" s="89">
        <v>275</v>
      </c>
      <c r="C136" s="89">
        <v>5174</v>
      </c>
      <c r="D136" s="89" t="s">
        <v>116</v>
      </c>
      <c r="E136" s="89" t="s">
        <v>117</v>
      </c>
      <c r="F136" s="89" t="s">
        <v>2057</v>
      </c>
      <c r="G136" s="89" t="str">
        <f t="shared" si="5"/>
        <v>3SNMCLBHLGTV</v>
      </c>
      <c r="H136" s="89" t="s">
        <v>19</v>
      </c>
      <c r="I136" s="89" t="s">
        <v>20</v>
      </c>
      <c r="J136" s="89" t="s">
        <v>165</v>
      </c>
      <c r="K136" s="89" t="s">
        <v>176</v>
      </c>
      <c r="L136" s="89" t="s">
        <v>177</v>
      </c>
      <c r="M136" s="89" t="str">
        <f t="shared" si="6"/>
        <v>3SNMCLBHLGTV501005</v>
      </c>
      <c r="N136" s="89" t="str">
        <f t="shared" si="7"/>
        <v>3SNMCLBHLGTV501000</v>
      </c>
      <c r="O136" s="90">
        <v>50</v>
      </c>
      <c r="P136" s="89">
        <v>3</v>
      </c>
      <c r="Q136" s="89" t="s">
        <v>178</v>
      </c>
      <c r="R136" s="90">
        <v>1005</v>
      </c>
      <c r="S136" s="90">
        <v>4100</v>
      </c>
      <c r="T136" s="90">
        <v>1005</v>
      </c>
      <c r="U136" s="90">
        <v>1000</v>
      </c>
      <c r="V136" s="90">
        <v>2000</v>
      </c>
      <c r="W136" s="81">
        <v>2</v>
      </c>
      <c r="X136" s="82" t="s">
        <v>136</v>
      </c>
      <c r="Y136" s="83" t="s">
        <v>2002</v>
      </c>
      <c r="Z136" s="84">
        <v>6</v>
      </c>
      <c r="AA136" s="85" t="s">
        <v>24</v>
      </c>
      <c r="AB136" s="86">
        <v>1450</v>
      </c>
      <c r="AC136" s="83">
        <v>6</v>
      </c>
      <c r="AD136" s="85" t="s">
        <v>175</v>
      </c>
      <c r="AE136" s="86">
        <v>1015</v>
      </c>
      <c r="AF136" s="110">
        <v>2</v>
      </c>
      <c r="AG136" s="85" t="s">
        <v>24</v>
      </c>
      <c r="AH136" s="86">
        <v>1450</v>
      </c>
      <c r="AI136" s="110">
        <v>3</v>
      </c>
      <c r="AJ136" s="85" t="s">
        <v>24</v>
      </c>
      <c r="AK136" s="86">
        <v>1450</v>
      </c>
      <c r="AL136" s="87"/>
      <c r="AM136" s="88"/>
      <c r="AN136" s="88" t="s">
        <v>476</v>
      </c>
      <c r="AO136" s="230" t="str">
        <f t="shared" si="4"/>
        <v>3SNMCLBHLGTV50</v>
      </c>
    </row>
    <row r="137" spans="1:41" ht="15" customHeight="1" x14ac:dyDescent="0.15">
      <c r="A137" s="80">
        <v>333</v>
      </c>
      <c r="B137" s="89">
        <v>275</v>
      </c>
      <c r="C137" s="89">
        <v>5174</v>
      </c>
      <c r="D137" s="89" t="s">
        <v>116</v>
      </c>
      <c r="E137" s="89" t="s">
        <v>117</v>
      </c>
      <c r="F137" s="89" t="s">
        <v>2057</v>
      </c>
      <c r="G137" s="89" t="str">
        <f t="shared" si="5"/>
        <v>3SNMCLBHLGTV</v>
      </c>
      <c r="H137" s="89" t="s">
        <v>19</v>
      </c>
      <c r="I137" s="89" t="s">
        <v>20</v>
      </c>
      <c r="J137" s="89" t="s">
        <v>165</v>
      </c>
      <c r="K137" s="89" t="s">
        <v>176</v>
      </c>
      <c r="L137" s="89" t="s">
        <v>177</v>
      </c>
      <c r="M137" s="89" t="str">
        <f t="shared" si="6"/>
        <v>3SNMCLBHLGTV501125</v>
      </c>
      <c r="N137" s="89" t="str">
        <f t="shared" si="7"/>
        <v>3SNMCLBHLGTV501120</v>
      </c>
      <c r="O137" s="90">
        <v>50</v>
      </c>
      <c r="P137" s="89">
        <v>3</v>
      </c>
      <c r="Q137" s="89" t="s">
        <v>178</v>
      </c>
      <c r="R137" s="90">
        <v>1125</v>
      </c>
      <c r="S137" s="90">
        <v>4100</v>
      </c>
      <c r="T137" s="90">
        <v>1125</v>
      </c>
      <c r="U137" s="90">
        <v>1120</v>
      </c>
      <c r="V137" s="90">
        <v>2000</v>
      </c>
      <c r="W137" s="81">
        <v>2</v>
      </c>
      <c r="X137" s="82" t="s">
        <v>136</v>
      </c>
      <c r="Y137" s="83" t="s">
        <v>2002</v>
      </c>
      <c r="Z137" s="84">
        <v>6</v>
      </c>
      <c r="AA137" s="85" t="s">
        <v>24</v>
      </c>
      <c r="AB137" s="86">
        <v>1450</v>
      </c>
      <c r="AC137" s="83">
        <v>6</v>
      </c>
      <c r="AD137" s="85" t="s">
        <v>175</v>
      </c>
      <c r="AE137" s="86">
        <v>1140</v>
      </c>
      <c r="AF137" s="110">
        <v>2</v>
      </c>
      <c r="AG137" s="85" t="s">
        <v>24</v>
      </c>
      <c r="AH137" s="86">
        <v>1450</v>
      </c>
      <c r="AI137" s="110">
        <v>3</v>
      </c>
      <c r="AJ137" s="85" t="s">
        <v>24</v>
      </c>
      <c r="AK137" s="86">
        <v>1450</v>
      </c>
      <c r="AL137" s="87"/>
      <c r="AM137" s="88"/>
      <c r="AN137" s="88" t="s">
        <v>476</v>
      </c>
      <c r="AO137" s="230" t="str">
        <f t="shared" si="4"/>
        <v>3SNMCLBHLGTV50</v>
      </c>
    </row>
    <row r="138" spans="1:41" ht="15" customHeight="1" x14ac:dyDescent="0.15">
      <c r="A138" s="80">
        <v>333</v>
      </c>
      <c r="B138" s="89">
        <v>275</v>
      </c>
      <c r="C138" s="89">
        <v>5174</v>
      </c>
      <c r="D138" s="89" t="s">
        <v>116</v>
      </c>
      <c r="E138" s="89" t="s">
        <v>117</v>
      </c>
      <c r="F138" s="89" t="s">
        <v>2057</v>
      </c>
      <c r="G138" s="89" t="str">
        <f t="shared" si="5"/>
        <v>3SYMCLBHLGTV</v>
      </c>
      <c r="H138" s="89" t="s">
        <v>19</v>
      </c>
      <c r="I138" s="89" t="s">
        <v>2036</v>
      </c>
      <c r="J138" s="89" t="s">
        <v>165</v>
      </c>
      <c r="K138" s="89" t="s">
        <v>176</v>
      </c>
      <c r="L138" s="89" t="s">
        <v>177</v>
      </c>
      <c r="M138" s="89" t="str">
        <f t="shared" si="6"/>
        <v>3SYMCLBHLGTV501005</v>
      </c>
      <c r="N138" s="89" t="str">
        <f t="shared" si="7"/>
        <v>3SYMCLBHLGTV501000</v>
      </c>
      <c r="O138" s="90">
        <v>50</v>
      </c>
      <c r="P138" s="89">
        <v>3</v>
      </c>
      <c r="Q138" s="89" t="s">
        <v>178</v>
      </c>
      <c r="R138" s="90">
        <v>1005</v>
      </c>
      <c r="S138" s="90">
        <v>4100</v>
      </c>
      <c r="T138" s="90">
        <v>1005</v>
      </c>
      <c r="U138" s="90">
        <v>1000</v>
      </c>
      <c r="V138" s="90">
        <v>4000</v>
      </c>
      <c r="W138" s="81">
        <v>2</v>
      </c>
      <c r="X138" s="82" t="s">
        <v>136</v>
      </c>
      <c r="Y138" s="83" t="s">
        <v>2002</v>
      </c>
      <c r="Z138" s="84">
        <v>6</v>
      </c>
      <c r="AA138" s="85" t="s">
        <v>24</v>
      </c>
      <c r="AB138" s="86">
        <v>1450</v>
      </c>
      <c r="AC138" s="83">
        <v>6</v>
      </c>
      <c r="AD138" s="85" t="s">
        <v>175</v>
      </c>
      <c r="AE138" s="86">
        <v>1015</v>
      </c>
      <c r="AF138" s="110">
        <v>2</v>
      </c>
      <c r="AG138" s="85" t="s">
        <v>24</v>
      </c>
      <c r="AH138" s="86">
        <v>1450</v>
      </c>
      <c r="AI138" s="110">
        <v>3</v>
      </c>
      <c r="AJ138" s="85" t="s">
        <v>24</v>
      </c>
      <c r="AK138" s="86">
        <v>1450</v>
      </c>
      <c r="AL138" s="87"/>
      <c r="AM138" s="88"/>
      <c r="AN138" s="88" t="s">
        <v>476</v>
      </c>
      <c r="AO138" s="230" t="str">
        <f t="shared" si="4"/>
        <v>3SYMCLBHLGTV50</v>
      </c>
    </row>
    <row r="139" spans="1:41" ht="15" customHeight="1" x14ac:dyDescent="0.15">
      <c r="A139" s="80">
        <v>333</v>
      </c>
      <c r="B139" s="89">
        <v>276</v>
      </c>
      <c r="C139" s="89">
        <v>3621</v>
      </c>
      <c r="D139" s="89" t="s">
        <v>57</v>
      </c>
      <c r="E139" s="89" t="s">
        <v>58</v>
      </c>
      <c r="F139" s="89" t="s">
        <v>2052</v>
      </c>
      <c r="G139" s="89" t="str">
        <f t="shared" si="5"/>
        <v>3SNMCLBMSKTLHG</v>
      </c>
      <c r="H139" s="89" t="s">
        <v>1549</v>
      </c>
      <c r="I139" s="89" t="s">
        <v>1550</v>
      </c>
      <c r="J139" s="89" t="s">
        <v>1555</v>
      </c>
      <c r="K139" s="89" t="s">
        <v>2058</v>
      </c>
      <c r="L139" s="89" t="s">
        <v>2059</v>
      </c>
      <c r="M139" s="89" t="str">
        <f t="shared" si="6"/>
        <v>3SNMCLBMSKTLHG1001020</v>
      </c>
      <c r="N139" s="89" t="str">
        <f t="shared" si="7"/>
        <v>3SNMCLBMSKTLHG1001020</v>
      </c>
      <c r="O139" s="90">
        <v>100</v>
      </c>
      <c r="P139" s="89">
        <v>3</v>
      </c>
      <c r="Q139" s="89" t="s">
        <v>179</v>
      </c>
      <c r="R139" s="90">
        <v>1020</v>
      </c>
      <c r="S139" s="90">
        <v>2400</v>
      </c>
      <c r="T139" s="90">
        <v>1020</v>
      </c>
      <c r="U139" s="90">
        <v>1020</v>
      </c>
      <c r="V139" s="90">
        <v>2400</v>
      </c>
      <c r="W139" s="81">
        <v>2</v>
      </c>
      <c r="X139" s="82" t="s">
        <v>136</v>
      </c>
      <c r="Y139" s="83" t="s">
        <v>15</v>
      </c>
      <c r="Z139" s="84">
        <v>6</v>
      </c>
      <c r="AA139" s="85" t="s">
        <v>24</v>
      </c>
      <c r="AB139" s="86">
        <v>1450</v>
      </c>
      <c r="AC139" s="83"/>
      <c r="AD139" s="85"/>
      <c r="AE139" s="86"/>
      <c r="AF139" s="110">
        <v>2</v>
      </c>
      <c r="AG139" s="85" t="s">
        <v>24</v>
      </c>
      <c r="AH139" s="86">
        <v>1450</v>
      </c>
      <c r="AI139" s="110">
        <v>3</v>
      </c>
      <c r="AJ139" s="85" t="s">
        <v>24</v>
      </c>
      <c r="AK139" s="86">
        <v>1450</v>
      </c>
      <c r="AL139" s="87"/>
      <c r="AM139" s="88"/>
      <c r="AN139" s="88" t="s">
        <v>476</v>
      </c>
      <c r="AO139" s="230" t="str">
        <f t="shared" si="4"/>
        <v>3SNMCLBMSKTLHG100</v>
      </c>
    </row>
    <row r="140" spans="1:41" ht="15" customHeight="1" x14ac:dyDescent="0.15">
      <c r="A140" s="80">
        <v>333</v>
      </c>
      <c r="B140" s="89">
        <v>276</v>
      </c>
      <c r="C140" s="89">
        <v>33042</v>
      </c>
      <c r="D140" s="89" t="s">
        <v>148</v>
      </c>
      <c r="E140" s="89" t="s">
        <v>58</v>
      </c>
      <c r="F140" s="89" t="s">
        <v>46</v>
      </c>
      <c r="G140" s="89" t="str">
        <f t="shared" si="5"/>
        <v>3SNMCLBMSNEYK</v>
      </c>
      <c r="H140" s="89" t="s">
        <v>19</v>
      </c>
      <c r="I140" s="89" t="s">
        <v>20</v>
      </c>
      <c r="J140" s="89" t="s">
        <v>165</v>
      </c>
      <c r="K140" s="89" t="s">
        <v>180</v>
      </c>
      <c r="L140" s="89" t="s">
        <v>181</v>
      </c>
      <c r="M140" s="89" t="str">
        <f t="shared" si="6"/>
        <v>3SNMCLBMSNEYK251120</v>
      </c>
      <c r="N140" s="89" t="str">
        <f t="shared" si="7"/>
        <v>3SNMCLBMSNEYK251120</v>
      </c>
      <c r="O140" s="90">
        <v>25</v>
      </c>
      <c r="P140" s="89">
        <v>3</v>
      </c>
      <c r="Q140" s="89" t="s">
        <v>182</v>
      </c>
      <c r="R140" s="90">
        <v>1120</v>
      </c>
      <c r="S140" s="90">
        <v>4000</v>
      </c>
      <c r="T140" s="90">
        <v>1120</v>
      </c>
      <c r="U140" s="90">
        <v>1120</v>
      </c>
      <c r="V140" s="90">
        <v>4000</v>
      </c>
      <c r="W140" s="81">
        <v>2</v>
      </c>
      <c r="X140" s="82" t="s">
        <v>136</v>
      </c>
      <c r="Y140" s="83" t="s">
        <v>2002</v>
      </c>
      <c r="Z140" s="84">
        <v>6</v>
      </c>
      <c r="AA140" s="85" t="s">
        <v>24</v>
      </c>
      <c r="AB140" s="86">
        <v>1450</v>
      </c>
      <c r="AC140" s="83">
        <v>6</v>
      </c>
      <c r="AD140" s="85" t="s">
        <v>147</v>
      </c>
      <c r="AE140" s="86">
        <v>1140</v>
      </c>
      <c r="AF140" s="110">
        <v>2</v>
      </c>
      <c r="AG140" s="85" t="s">
        <v>24</v>
      </c>
      <c r="AH140" s="86">
        <v>1450</v>
      </c>
      <c r="AI140" s="110">
        <v>3</v>
      </c>
      <c r="AJ140" s="85" t="s">
        <v>24</v>
      </c>
      <c r="AK140" s="86">
        <v>1450</v>
      </c>
      <c r="AL140" s="87"/>
      <c r="AM140" s="88"/>
      <c r="AN140" s="88" t="s">
        <v>476</v>
      </c>
      <c r="AO140" s="230" t="str">
        <f t="shared" si="4"/>
        <v>3SNMCLBMSNEYK25</v>
      </c>
    </row>
    <row r="141" spans="1:41" ht="15" customHeight="1" x14ac:dyDescent="0.15">
      <c r="A141" s="80">
        <v>333</v>
      </c>
      <c r="B141" s="89">
        <v>276</v>
      </c>
      <c r="C141" s="89">
        <v>33042</v>
      </c>
      <c r="D141" s="89" t="s">
        <v>148</v>
      </c>
      <c r="E141" s="89" t="s">
        <v>58</v>
      </c>
      <c r="F141" s="89" t="s">
        <v>46</v>
      </c>
      <c r="G141" s="89" t="str">
        <f t="shared" si="5"/>
        <v>3SNMCLBMSNEYK</v>
      </c>
      <c r="H141" s="89" t="s">
        <v>19</v>
      </c>
      <c r="I141" s="89" t="s">
        <v>20</v>
      </c>
      <c r="J141" s="89" t="s">
        <v>165</v>
      </c>
      <c r="K141" s="89" t="s">
        <v>180</v>
      </c>
      <c r="L141" s="89" t="s">
        <v>181</v>
      </c>
      <c r="M141" s="89" t="str">
        <f t="shared" si="6"/>
        <v>3SNMCLBMSNEYK501120</v>
      </c>
      <c r="N141" s="89" t="str">
        <f t="shared" si="7"/>
        <v>3SNMCLBMSNEYK501120</v>
      </c>
      <c r="O141" s="90">
        <v>50</v>
      </c>
      <c r="P141" s="89">
        <v>3</v>
      </c>
      <c r="Q141" s="89" t="s">
        <v>182</v>
      </c>
      <c r="R141" s="90">
        <v>1120</v>
      </c>
      <c r="S141" s="90">
        <v>4000</v>
      </c>
      <c r="T141" s="90">
        <v>1120</v>
      </c>
      <c r="U141" s="90">
        <v>1120</v>
      </c>
      <c r="V141" s="90">
        <v>4000</v>
      </c>
      <c r="W141" s="81">
        <v>2</v>
      </c>
      <c r="X141" s="82" t="s">
        <v>136</v>
      </c>
      <c r="Y141" s="83" t="s">
        <v>2002</v>
      </c>
      <c r="Z141" s="84">
        <v>6</v>
      </c>
      <c r="AA141" s="85" t="s">
        <v>24</v>
      </c>
      <c r="AB141" s="86">
        <v>1450</v>
      </c>
      <c r="AC141" s="83">
        <v>6</v>
      </c>
      <c r="AD141" s="85" t="s">
        <v>147</v>
      </c>
      <c r="AE141" s="86">
        <v>1140</v>
      </c>
      <c r="AF141" s="110">
        <v>2</v>
      </c>
      <c r="AG141" s="85" t="s">
        <v>24</v>
      </c>
      <c r="AH141" s="86">
        <v>1450</v>
      </c>
      <c r="AI141" s="110">
        <v>3</v>
      </c>
      <c r="AJ141" s="85" t="s">
        <v>24</v>
      </c>
      <c r="AK141" s="86">
        <v>1450</v>
      </c>
      <c r="AL141" s="87"/>
      <c r="AM141" s="88" t="s">
        <v>501</v>
      </c>
      <c r="AN141" s="88" t="s">
        <v>476</v>
      </c>
      <c r="AO141" s="230" t="str">
        <f t="shared" si="4"/>
        <v>3SNMCLBMSNEYK50</v>
      </c>
    </row>
    <row r="142" spans="1:41" ht="15" customHeight="1" x14ac:dyDescent="0.15">
      <c r="A142" s="80">
        <v>333</v>
      </c>
      <c r="B142" s="89">
        <v>276</v>
      </c>
      <c r="C142" s="89">
        <v>2220</v>
      </c>
      <c r="D142" s="89" t="s">
        <v>171</v>
      </c>
      <c r="E142" s="89" t="s">
        <v>58</v>
      </c>
      <c r="F142" s="89" t="s">
        <v>46</v>
      </c>
      <c r="G142" s="89" t="str">
        <f t="shared" si="5"/>
        <v>3SNMCLBMSNEYK</v>
      </c>
      <c r="H142" s="89" t="s">
        <v>19</v>
      </c>
      <c r="I142" s="89" t="s">
        <v>20</v>
      </c>
      <c r="J142" s="89" t="s">
        <v>165</v>
      </c>
      <c r="K142" s="89" t="s">
        <v>180</v>
      </c>
      <c r="L142" s="89" t="s">
        <v>181</v>
      </c>
      <c r="M142" s="89" t="str">
        <f t="shared" si="6"/>
        <v>3SNMCLBMSNEYK501200</v>
      </c>
      <c r="N142" s="89" t="str">
        <f t="shared" si="7"/>
        <v>3SNMCLBMSNEYK501190</v>
      </c>
      <c r="O142" s="90">
        <v>50</v>
      </c>
      <c r="P142" s="89">
        <v>3</v>
      </c>
      <c r="Q142" s="89" t="s">
        <v>182</v>
      </c>
      <c r="R142" s="90">
        <v>1200</v>
      </c>
      <c r="S142" s="90">
        <v>6000</v>
      </c>
      <c r="T142" s="90">
        <v>1200</v>
      </c>
      <c r="U142" s="90">
        <v>1190</v>
      </c>
      <c r="V142" s="90">
        <v>6000</v>
      </c>
      <c r="W142" s="81">
        <v>2</v>
      </c>
      <c r="X142" s="82" t="s">
        <v>136</v>
      </c>
      <c r="Y142" s="83" t="s">
        <v>2002</v>
      </c>
      <c r="Z142" s="84">
        <v>6</v>
      </c>
      <c r="AA142" s="85" t="s">
        <v>24</v>
      </c>
      <c r="AB142" s="86">
        <v>1450</v>
      </c>
      <c r="AC142" s="83">
        <v>6</v>
      </c>
      <c r="AD142" s="85" t="s">
        <v>147</v>
      </c>
      <c r="AE142" s="86">
        <v>1220</v>
      </c>
      <c r="AF142" s="110">
        <v>2</v>
      </c>
      <c r="AG142" s="85" t="s">
        <v>24</v>
      </c>
      <c r="AH142" s="86">
        <v>1450</v>
      </c>
      <c r="AI142" s="110">
        <v>3</v>
      </c>
      <c r="AJ142" s="85" t="s">
        <v>24</v>
      </c>
      <c r="AK142" s="86">
        <v>1450</v>
      </c>
      <c r="AL142" s="87"/>
      <c r="AM142" s="88" t="s">
        <v>501</v>
      </c>
      <c r="AN142" s="88" t="s">
        <v>476</v>
      </c>
      <c r="AO142" s="230" t="str">
        <f t="shared" si="4"/>
        <v>3SNMCLBMSNEYK50</v>
      </c>
    </row>
    <row r="143" spans="1:41" ht="15" customHeight="1" x14ac:dyDescent="0.15">
      <c r="A143" s="80">
        <v>333</v>
      </c>
      <c r="B143" s="89">
        <v>276</v>
      </c>
      <c r="C143" s="89">
        <v>4089</v>
      </c>
      <c r="D143" s="89" t="s">
        <v>183</v>
      </c>
      <c r="E143" s="89" t="s">
        <v>58</v>
      </c>
      <c r="F143" s="89" t="s">
        <v>184</v>
      </c>
      <c r="G143" s="89" t="str">
        <f t="shared" si="5"/>
        <v>3SNMCLBMSNEYK</v>
      </c>
      <c r="H143" s="89" t="s">
        <v>19</v>
      </c>
      <c r="I143" s="89" t="s">
        <v>20</v>
      </c>
      <c r="J143" s="89" t="s">
        <v>165</v>
      </c>
      <c r="K143" s="89" t="s">
        <v>180</v>
      </c>
      <c r="L143" s="89" t="s">
        <v>181</v>
      </c>
      <c r="M143" s="89" t="str">
        <f t="shared" si="6"/>
        <v>3SNMCLBMSNEYK1001205</v>
      </c>
      <c r="N143" s="89" t="str">
        <f t="shared" si="7"/>
        <v>3SNMCLBMSNEYK1001205</v>
      </c>
      <c r="O143" s="90">
        <v>100</v>
      </c>
      <c r="P143" s="89">
        <v>3</v>
      </c>
      <c r="Q143" s="89" t="s">
        <v>182</v>
      </c>
      <c r="R143" s="90">
        <v>1205</v>
      </c>
      <c r="S143" s="90">
        <v>2500</v>
      </c>
      <c r="T143" s="90">
        <v>1205</v>
      </c>
      <c r="U143" s="90">
        <v>1205</v>
      </c>
      <c r="V143" s="90">
        <v>2500</v>
      </c>
      <c r="W143" s="81">
        <v>2</v>
      </c>
      <c r="X143" s="82" t="s">
        <v>136</v>
      </c>
      <c r="Y143" s="83" t="s">
        <v>2002</v>
      </c>
      <c r="Z143" s="84">
        <v>6</v>
      </c>
      <c r="AA143" s="85" t="s">
        <v>24</v>
      </c>
      <c r="AB143" s="86">
        <v>1450</v>
      </c>
      <c r="AC143" s="83">
        <v>6</v>
      </c>
      <c r="AD143" s="85" t="s">
        <v>147</v>
      </c>
      <c r="AE143" s="86">
        <v>1220</v>
      </c>
      <c r="AF143" s="110">
        <v>2</v>
      </c>
      <c r="AG143" s="85" t="s">
        <v>24</v>
      </c>
      <c r="AH143" s="86">
        <v>1450</v>
      </c>
      <c r="AI143" s="110">
        <v>3</v>
      </c>
      <c r="AJ143" s="85" t="s">
        <v>24</v>
      </c>
      <c r="AK143" s="86">
        <v>1450</v>
      </c>
      <c r="AL143" s="87"/>
      <c r="AM143" s="88" t="s">
        <v>501</v>
      </c>
      <c r="AN143" s="88" t="s">
        <v>476</v>
      </c>
      <c r="AO143" s="230" t="str">
        <f t="shared" si="4"/>
        <v>3SNMCLBMSNEYK100</v>
      </c>
    </row>
    <row r="144" spans="1:41" ht="15" customHeight="1" x14ac:dyDescent="0.15">
      <c r="A144" s="80">
        <v>333</v>
      </c>
      <c r="B144" s="89">
        <v>275</v>
      </c>
      <c r="C144" s="89">
        <v>5174</v>
      </c>
      <c r="D144" s="89" t="s">
        <v>116</v>
      </c>
      <c r="E144" s="89" t="s">
        <v>117</v>
      </c>
      <c r="F144" s="89" t="s">
        <v>2052</v>
      </c>
      <c r="G144" s="89" t="str">
        <f>CONCATENATE(P144,H144,I144,J144,K144)</f>
        <v>3SNMCLBNGKEYKB</v>
      </c>
      <c r="H144" s="89" t="s">
        <v>19</v>
      </c>
      <c r="I144" s="89" t="s">
        <v>20</v>
      </c>
      <c r="J144" s="89" t="s">
        <v>1555</v>
      </c>
      <c r="K144" s="89" t="s">
        <v>245</v>
      </c>
      <c r="L144" s="89" t="s">
        <v>246</v>
      </c>
      <c r="M144" s="89" t="str">
        <f>G144&amp;O144&amp;R144</f>
        <v>3SNMCLBNGKEYKB161005</v>
      </c>
      <c r="N144" s="89" t="str">
        <f>G144&amp;O144&amp;U144</f>
        <v>3SNMCLBNGKEYKB161000</v>
      </c>
      <c r="O144" s="90">
        <v>16</v>
      </c>
      <c r="P144" s="89">
        <v>3</v>
      </c>
      <c r="Q144" s="89" t="s">
        <v>154</v>
      </c>
      <c r="R144" s="90">
        <v>1005</v>
      </c>
      <c r="S144" s="90">
        <v>3000</v>
      </c>
      <c r="T144" s="90">
        <v>1005</v>
      </c>
      <c r="U144" s="90">
        <v>1000</v>
      </c>
      <c r="V144" s="90">
        <v>3000</v>
      </c>
      <c r="W144" s="81">
        <v>2</v>
      </c>
      <c r="X144" s="82" t="s">
        <v>136</v>
      </c>
      <c r="Y144" s="83" t="s">
        <v>2002</v>
      </c>
      <c r="Z144" s="84">
        <v>6</v>
      </c>
      <c r="AA144" s="85" t="s">
        <v>24</v>
      </c>
      <c r="AB144" s="86">
        <v>1450</v>
      </c>
      <c r="AC144" s="84">
        <v>6</v>
      </c>
      <c r="AD144" s="85" t="s">
        <v>147</v>
      </c>
      <c r="AE144" s="86">
        <v>1020</v>
      </c>
      <c r="AF144" s="83">
        <v>2</v>
      </c>
      <c r="AG144" s="85" t="s">
        <v>209</v>
      </c>
      <c r="AH144" s="86" t="s">
        <v>2005</v>
      </c>
      <c r="AI144" s="83">
        <v>3</v>
      </c>
      <c r="AJ144" s="85" t="s">
        <v>24</v>
      </c>
      <c r="AK144" s="86">
        <v>1450</v>
      </c>
      <c r="AL144" s="87"/>
      <c r="AM144" s="88"/>
      <c r="AN144" s="88" t="s">
        <v>476</v>
      </c>
      <c r="AO144" s="196" t="str">
        <f>G144&amp;O144</f>
        <v>3SNMCLBNGKEYKB16</v>
      </c>
    </row>
    <row r="145" spans="1:41" ht="15" customHeight="1" x14ac:dyDescent="0.15">
      <c r="A145" s="80">
        <v>333</v>
      </c>
      <c r="B145" s="89">
        <v>275</v>
      </c>
      <c r="C145" s="89">
        <v>5174</v>
      </c>
      <c r="D145" s="89" t="s">
        <v>116</v>
      </c>
      <c r="E145" s="89" t="s">
        <v>117</v>
      </c>
      <c r="F145" s="89" t="s">
        <v>2052</v>
      </c>
      <c r="G145" s="89" t="str">
        <f t="shared" si="5"/>
        <v>3SNMCLBNGKVB</v>
      </c>
      <c r="H145" s="89" t="s">
        <v>19</v>
      </c>
      <c r="I145" s="89" t="s">
        <v>20</v>
      </c>
      <c r="J145" s="89" t="s">
        <v>165</v>
      </c>
      <c r="K145" s="89" t="s">
        <v>185</v>
      </c>
      <c r="L145" s="89" t="s">
        <v>186</v>
      </c>
      <c r="M145" s="89" t="str">
        <f t="shared" si="6"/>
        <v>3SNMCLBNGKVB501005</v>
      </c>
      <c r="N145" s="89" t="str">
        <f t="shared" si="7"/>
        <v>3SNMCLBNGKVB501000</v>
      </c>
      <c r="O145" s="90">
        <v>50</v>
      </c>
      <c r="P145" s="89">
        <v>3</v>
      </c>
      <c r="Q145" s="89" t="s">
        <v>161</v>
      </c>
      <c r="R145" s="90">
        <v>1005</v>
      </c>
      <c r="S145" s="90">
        <v>4100</v>
      </c>
      <c r="T145" s="90">
        <v>1005</v>
      </c>
      <c r="U145" s="90">
        <v>1000</v>
      </c>
      <c r="V145" s="90">
        <v>4000</v>
      </c>
      <c r="W145" s="81">
        <v>2</v>
      </c>
      <c r="X145" s="82" t="s">
        <v>136</v>
      </c>
      <c r="Y145" s="83" t="s">
        <v>2002</v>
      </c>
      <c r="Z145" s="84">
        <v>6</v>
      </c>
      <c r="AA145" s="85" t="s">
        <v>24</v>
      </c>
      <c r="AB145" s="86">
        <v>1450</v>
      </c>
      <c r="AC145" s="83">
        <v>6</v>
      </c>
      <c r="AD145" s="85" t="s">
        <v>147</v>
      </c>
      <c r="AE145" s="86">
        <v>1020</v>
      </c>
      <c r="AF145" s="110">
        <v>2</v>
      </c>
      <c r="AG145" s="85" t="s">
        <v>24</v>
      </c>
      <c r="AH145" s="86">
        <v>1450</v>
      </c>
      <c r="AI145" s="110">
        <v>3</v>
      </c>
      <c r="AJ145" s="85" t="s">
        <v>24</v>
      </c>
      <c r="AK145" s="86">
        <v>1450</v>
      </c>
      <c r="AL145" s="87"/>
      <c r="AM145" s="88"/>
      <c r="AN145" s="88" t="s">
        <v>476</v>
      </c>
      <c r="AO145" s="230" t="str">
        <f t="shared" si="4"/>
        <v>3SNMCLBNGKVB50</v>
      </c>
    </row>
    <row r="146" spans="1:41" ht="15" customHeight="1" x14ac:dyDescent="0.15">
      <c r="A146" s="80">
        <v>333</v>
      </c>
      <c r="B146" s="89">
        <v>275</v>
      </c>
      <c r="C146" s="89">
        <v>5174</v>
      </c>
      <c r="D146" s="89" t="s">
        <v>116</v>
      </c>
      <c r="E146" s="89" t="s">
        <v>117</v>
      </c>
      <c r="F146" s="89" t="s">
        <v>2052</v>
      </c>
      <c r="G146" s="89" t="str">
        <f t="shared" si="5"/>
        <v>3SNMCLBNGTVB</v>
      </c>
      <c r="H146" s="89" t="s">
        <v>19</v>
      </c>
      <c r="I146" s="89" t="s">
        <v>20</v>
      </c>
      <c r="J146" s="89" t="s">
        <v>165</v>
      </c>
      <c r="K146" s="89" t="s">
        <v>187</v>
      </c>
      <c r="L146" s="89" t="s">
        <v>188</v>
      </c>
      <c r="M146" s="89" t="str">
        <f t="shared" si="6"/>
        <v>3SNMCLBNGTVB501040</v>
      </c>
      <c r="N146" s="89" t="str">
        <f t="shared" si="7"/>
        <v>3SNMCLBNGTVB501000</v>
      </c>
      <c r="O146" s="90">
        <v>50</v>
      </c>
      <c r="P146" s="89">
        <v>3</v>
      </c>
      <c r="Q146" s="89" t="s">
        <v>189</v>
      </c>
      <c r="R146" s="90">
        <v>1040</v>
      </c>
      <c r="S146" s="90">
        <v>5000</v>
      </c>
      <c r="T146" s="90">
        <v>1000</v>
      </c>
      <c r="U146" s="90">
        <v>1000</v>
      </c>
      <c r="V146" s="90">
        <v>2500</v>
      </c>
      <c r="W146" s="81">
        <v>2</v>
      </c>
      <c r="X146" s="82" t="s">
        <v>136</v>
      </c>
      <c r="Y146" s="83" t="s">
        <v>2002</v>
      </c>
      <c r="Z146" s="84">
        <v>6</v>
      </c>
      <c r="AA146" s="85" t="s">
        <v>24</v>
      </c>
      <c r="AB146" s="86">
        <v>1450</v>
      </c>
      <c r="AC146" s="83">
        <v>6</v>
      </c>
      <c r="AD146" s="85" t="s">
        <v>147</v>
      </c>
      <c r="AE146" s="86">
        <v>1020</v>
      </c>
      <c r="AF146" s="110">
        <v>2</v>
      </c>
      <c r="AG146" s="85" t="s">
        <v>24</v>
      </c>
      <c r="AH146" s="86">
        <v>1450</v>
      </c>
      <c r="AI146" s="110">
        <v>3</v>
      </c>
      <c r="AJ146" s="85" t="s">
        <v>24</v>
      </c>
      <c r="AK146" s="86">
        <v>1450</v>
      </c>
      <c r="AL146" s="87"/>
      <c r="AM146" s="88"/>
      <c r="AN146" s="88" t="s">
        <v>476</v>
      </c>
      <c r="AO146" s="230" t="str">
        <f t="shared" si="4"/>
        <v>3SNMCLBNGTVB50</v>
      </c>
    </row>
    <row r="147" spans="1:41" ht="15" customHeight="1" x14ac:dyDescent="0.15">
      <c r="A147" s="80">
        <v>333</v>
      </c>
      <c r="B147" s="89">
        <v>275</v>
      </c>
      <c r="C147" s="89">
        <v>5174</v>
      </c>
      <c r="D147" s="89" t="s">
        <v>116</v>
      </c>
      <c r="E147" s="89" t="s">
        <v>117</v>
      </c>
      <c r="F147" s="89" t="s">
        <v>2052</v>
      </c>
      <c r="G147" s="89" t="str">
        <f t="shared" si="5"/>
        <v>3SNMCLBNGTVB</v>
      </c>
      <c r="H147" s="89" t="s">
        <v>19</v>
      </c>
      <c r="I147" s="89" t="s">
        <v>20</v>
      </c>
      <c r="J147" s="89" t="s">
        <v>165</v>
      </c>
      <c r="K147" s="89" t="s">
        <v>187</v>
      </c>
      <c r="L147" s="89" t="s">
        <v>188</v>
      </c>
      <c r="M147" s="89" t="str">
        <f t="shared" si="6"/>
        <v>3SNMCLBNGTVB501195</v>
      </c>
      <c r="N147" s="89" t="str">
        <f t="shared" si="7"/>
        <v>3SNMCLBNGTVB501190</v>
      </c>
      <c r="O147" s="90">
        <v>50</v>
      </c>
      <c r="P147" s="89">
        <v>3</v>
      </c>
      <c r="Q147" s="89" t="s">
        <v>189</v>
      </c>
      <c r="R147" s="90">
        <v>1195</v>
      </c>
      <c r="S147" s="90">
        <v>6100</v>
      </c>
      <c r="T147" s="90">
        <v>1195</v>
      </c>
      <c r="U147" s="90">
        <v>1190</v>
      </c>
      <c r="V147" s="90">
        <v>6000</v>
      </c>
      <c r="W147" s="81">
        <v>2</v>
      </c>
      <c r="X147" s="82" t="s">
        <v>136</v>
      </c>
      <c r="Y147" s="83" t="s">
        <v>2002</v>
      </c>
      <c r="Z147" s="84">
        <v>6</v>
      </c>
      <c r="AA147" s="85" t="s">
        <v>24</v>
      </c>
      <c r="AB147" s="86">
        <v>1450</v>
      </c>
      <c r="AC147" s="83">
        <v>6</v>
      </c>
      <c r="AD147" s="85" t="s">
        <v>147</v>
      </c>
      <c r="AE147" s="86">
        <v>1220</v>
      </c>
      <c r="AF147" s="110">
        <v>2</v>
      </c>
      <c r="AG147" s="85" t="s">
        <v>24</v>
      </c>
      <c r="AH147" s="86">
        <v>1450</v>
      </c>
      <c r="AI147" s="110">
        <v>3</v>
      </c>
      <c r="AJ147" s="85" t="s">
        <v>24</v>
      </c>
      <c r="AK147" s="86">
        <v>1450</v>
      </c>
      <c r="AL147" s="87"/>
      <c r="AM147" s="88"/>
      <c r="AN147" s="88" t="s">
        <v>476</v>
      </c>
      <c r="AO147" s="230" t="str">
        <f t="shared" si="4"/>
        <v>3SNMCLBNGTVB50</v>
      </c>
    </row>
    <row r="148" spans="1:41" ht="15" customHeight="1" x14ac:dyDescent="0.15">
      <c r="A148" s="80">
        <v>333</v>
      </c>
      <c r="B148" s="89">
        <v>275</v>
      </c>
      <c r="C148" s="89">
        <v>5174</v>
      </c>
      <c r="D148" s="89" t="s">
        <v>116</v>
      </c>
      <c r="E148" s="89" t="s">
        <v>117</v>
      </c>
      <c r="F148" s="89" t="s">
        <v>2052</v>
      </c>
      <c r="G148" s="89" t="str">
        <f t="shared" si="5"/>
        <v>3SNMCLBNGTVB</v>
      </c>
      <c r="H148" s="89" t="s">
        <v>19</v>
      </c>
      <c r="I148" s="89" t="s">
        <v>20</v>
      </c>
      <c r="J148" s="89" t="s">
        <v>165</v>
      </c>
      <c r="K148" s="89" t="s">
        <v>187</v>
      </c>
      <c r="L148" s="89" t="s">
        <v>188</v>
      </c>
      <c r="M148" s="89" t="str">
        <f t="shared" si="6"/>
        <v>3SNMCLBNGTVB501235</v>
      </c>
      <c r="N148" s="89" t="str">
        <f t="shared" si="7"/>
        <v>3SNMCLBNGTVB501195</v>
      </c>
      <c r="O148" s="90">
        <v>50</v>
      </c>
      <c r="P148" s="89">
        <v>3</v>
      </c>
      <c r="Q148" s="89" t="s">
        <v>151</v>
      </c>
      <c r="R148" s="90">
        <v>1235</v>
      </c>
      <c r="S148" s="90">
        <v>6200</v>
      </c>
      <c r="T148" s="90">
        <v>1195</v>
      </c>
      <c r="U148" s="90">
        <v>1195</v>
      </c>
      <c r="V148" s="90">
        <v>6200</v>
      </c>
      <c r="W148" s="81">
        <v>2</v>
      </c>
      <c r="X148" s="82" t="s">
        <v>136</v>
      </c>
      <c r="Y148" s="83" t="s">
        <v>2002</v>
      </c>
      <c r="Z148" s="84">
        <v>6</v>
      </c>
      <c r="AA148" s="85" t="s">
        <v>24</v>
      </c>
      <c r="AB148" s="86">
        <v>1450</v>
      </c>
      <c r="AC148" s="83">
        <v>6</v>
      </c>
      <c r="AD148" s="85" t="s">
        <v>147</v>
      </c>
      <c r="AE148" s="86">
        <v>1220</v>
      </c>
      <c r="AF148" s="110">
        <v>2</v>
      </c>
      <c r="AG148" s="85" t="s">
        <v>24</v>
      </c>
      <c r="AH148" s="86">
        <v>1450</v>
      </c>
      <c r="AI148" s="110">
        <v>3</v>
      </c>
      <c r="AJ148" s="85" t="s">
        <v>24</v>
      </c>
      <c r="AK148" s="86">
        <v>1450</v>
      </c>
      <c r="AL148" s="87"/>
      <c r="AM148" s="88"/>
      <c r="AN148" s="88" t="s">
        <v>476</v>
      </c>
      <c r="AO148" s="230" t="str">
        <f t="shared" si="4"/>
        <v>3SNMCLBNGTVB50</v>
      </c>
    </row>
    <row r="149" spans="1:41" ht="15" customHeight="1" x14ac:dyDescent="0.15">
      <c r="A149" s="80">
        <v>333</v>
      </c>
      <c r="B149" s="89">
        <v>276</v>
      </c>
      <c r="C149" s="89">
        <v>33042</v>
      </c>
      <c r="D149" s="89" t="s">
        <v>148</v>
      </c>
      <c r="E149" s="89" t="s">
        <v>58</v>
      </c>
      <c r="F149" s="89" t="s">
        <v>46</v>
      </c>
      <c r="G149" s="89" t="str">
        <f t="shared" si="5"/>
        <v>3SNMCLBSCB</v>
      </c>
      <c r="H149" s="89" t="s">
        <v>19</v>
      </c>
      <c r="I149" s="89" t="s">
        <v>20</v>
      </c>
      <c r="J149" s="89" t="s">
        <v>165</v>
      </c>
      <c r="K149" s="89" t="s">
        <v>190</v>
      </c>
      <c r="L149" s="89" t="s">
        <v>191</v>
      </c>
      <c r="M149" s="89" t="str">
        <f t="shared" si="6"/>
        <v>3SNMCLBSCB251060</v>
      </c>
      <c r="N149" s="89" t="str">
        <f t="shared" si="7"/>
        <v>3SNMCLBSCB251020</v>
      </c>
      <c r="O149" s="90">
        <v>25</v>
      </c>
      <c r="P149" s="89">
        <v>3</v>
      </c>
      <c r="Q149" s="89" t="s">
        <v>124</v>
      </c>
      <c r="R149" s="90">
        <v>1060</v>
      </c>
      <c r="S149" s="90">
        <v>12200</v>
      </c>
      <c r="T149" s="90">
        <v>1020</v>
      </c>
      <c r="U149" s="90">
        <v>1020</v>
      </c>
      <c r="V149" s="90">
        <v>6000</v>
      </c>
      <c r="W149" s="81">
        <v>2</v>
      </c>
      <c r="X149" s="82" t="s">
        <v>136</v>
      </c>
      <c r="Y149" s="83" t="s">
        <v>2002</v>
      </c>
      <c r="Z149" s="84">
        <v>6</v>
      </c>
      <c r="AA149" s="85" t="s">
        <v>24</v>
      </c>
      <c r="AB149" s="86">
        <v>1450</v>
      </c>
      <c r="AC149" s="83">
        <v>6</v>
      </c>
      <c r="AD149" s="85" t="s">
        <v>175</v>
      </c>
      <c r="AE149" s="86">
        <v>1035</v>
      </c>
      <c r="AF149" s="110">
        <v>2</v>
      </c>
      <c r="AG149" s="85" t="s">
        <v>24</v>
      </c>
      <c r="AH149" s="86">
        <v>1450</v>
      </c>
      <c r="AI149" s="110">
        <v>3</v>
      </c>
      <c r="AJ149" s="85" t="s">
        <v>24</v>
      </c>
      <c r="AK149" s="86">
        <v>1450</v>
      </c>
      <c r="AL149" s="87">
        <v>2</v>
      </c>
      <c r="AM149" s="88" t="s">
        <v>49</v>
      </c>
      <c r="AN149" s="88" t="s">
        <v>476</v>
      </c>
      <c r="AO149" s="230" t="str">
        <f t="shared" si="4"/>
        <v>3SNMCLBSCB25</v>
      </c>
    </row>
    <row r="150" spans="1:41" ht="15" customHeight="1" x14ac:dyDescent="0.15">
      <c r="A150" s="80">
        <v>333</v>
      </c>
      <c r="B150" s="89">
        <v>275</v>
      </c>
      <c r="C150" s="89">
        <v>5174</v>
      </c>
      <c r="D150" s="89" t="s">
        <v>116</v>
      </c>
      <c r="E150" s="89" t="s">
        <v>117</v>
      </c>
      <c r="F150" s="89" t="s">
        <v>2052</v>
      </c>
      <c r="G150" s="89" t="str">
        <f t="shared" si="5"/>
        <v>33SSNMCLBTEKKFV</v>
      </c>
      <c r="H150" s="89" t="s">
        <v>19</v>
      </c>
      <c r="I150" s="89" t="s">
        <v>20</v>
      </c>
      <c r="J150" s="89" t="s">
        <v>165</v>
      </c>
      <c r="K150" s="89" t="s">
        <v>192</v>
      </c>
      <c r="L150" s="89" t="s">
        <v>193</v>
      </c>
      <c r="M150" s="89" t="str">
        <f t="shared" si="6"/>
        <v>33SSNMCLBTEKKFV381005</v>
      </c>
      <c r="N150" s="89" t="str">
        <f t="shared" si="7"/>
        <v>33SSNMCLBTEKKFV381000</v>
      </c>
      <c r="O150" s="90">
        <v>38</v>
      </c>
      <c r="P150" s="89" t="s">
        <v>158</v>
      </c>
      <c r="Q150" s="89" t="s">
        <v>194</v>
      </c>
      <c r="R150" s="90">
        <v>1005</v>
      </c>
      <c r="S150" s="90">
        <v>2000</v>
      </c>
      <c r="T150" s="90">
        <v>1005</v>
      </c>
      <c r="U150" s="90">
        <v>1000</v>
      </c>
      <c r="V150" s="90">
        <v>2000</v>
      </c>
      <c r="W150" s="81">
        <v>2</v>
      </c>
      <c r="X150" s="82" t="s">
        <v>136</v>
      </c>
      <c r="Y150" s="83" t="s">
        <v>2002</v>
      </c>
      <c r="Z150" s="84">
        <v>6</v>
      </c>
      <c r="AA150" s="85" t="s">
        <v>24</v>
      </c>
      <c r="AB150" s="86">
        <v>1450</v>
      </c>
      <c r="AC150" s="83">
        <v>6</v>
      </c>
      <c r="AD150" s="85" t="s">
        <v>175</v>
      </c>
      <c r="AE150" s="86">
        <v>1015</v>
      </c>
      <c r="AF150" s="110">
        <v>2</v>
      </c>
      <c r="AG150" s="85" t="s">
        <v>24</v>
      </c>
      <c r="AH150" s="86">
        <v>1450</v>
      </c>
      <c r="AI150" s="110">
        <v>3</v>
      </c>
      <c r="AJ150" s="85" t="s">
        <v>24</v>
      </c>
      <c r="AK150" s="86">
        <v>1450</v>
      </c>
      <c r="AL150" s="87"/>
      <c r="AM150" s="88"/>
      <c r="AN150" s="88" t="s">
        <v>476</v>
      </c>
      <c r="AO150" s="230" t="str">
        <f t="shared" si="4"/>
        <v>33SSNMCLBTEKKFV38</v>
      </c>
    </row>
    <row r="151" spans="1:41" ht="15" customHeight="1" x14ac:dyDescent="0.15">
      <c r="A151" s="80">
        <v>333</v>
      </c>
      <c r="B151" s="89">
        <v>275</v>
      </c>
      <c r="C151" s="89">
        <v>5174</v>
      </c>
      <c r="D151" s="89" t="s">
        <v>116</v>
      </c>
      <c r="E151" s="89" t="s">
        <v>117</v>
      </c>
      <c r="F151" s="89" t="s">
        <v>2052</v>
      </c>
      <c r="G151" s="89" t="str">
        <f t="shared" si="5"/>
        <v>33SSNMCLBTEKKFV</v>
      </c>
      <c r="H151" s="89" t="s">
        <v>19</v>
      </c>
      <c r="I151" s="89" t="s">
        <v>20</v>
      </c>
      <c r="J151" s="89" t="s">
        <v>165</v>
      </c>
      <c r="K151" s="89" t="s">
        <v>192</v>
      </c>
      <c r="L151" s="89" t="s">
        <v>193</v>
      </c>
      <c r="M151" s="89" t="str">
        <f t="shared" si="6"/>
        <v>33SSNMCLBTEKKFV501005</v>
      </c>
      <c r="N151" s="89" t="str">
        <f t="shared" si="7"/>
        <v>33SSNMCLBTEKKFV501000</v>
      </c>
      <c r="O151" s="90">
        <v>50</v>
      </c>
      <c r="P151" s="89" t="s">
        <v>158</v>
      </c>
      <c r="Q151" s="89" t="s">
        <v>194</v>
      </c>
      <c r="R151" s="90">
        <v>1005</v>
      </c>
      <c r="S151" s="90">
        <v>4000</v>
      </c>
      <c r="T151" s="90">
        <v>1005</v>
      </c>
      <c r="U151" s="90">
        <v>1000</v>
      </c>
      <c r="V151" s="90">
        <v>4000</v>
      </c>
      <c r="W151" s="81">
        <v>2</v>
      </c>
      <c r="X151" s="82" t="s">
        <v>136</v>
      </c>
      <c r="Y151" s="83" t="s">
        <v>2002</v>
      </c>
      <c r="Z151" s="84">
        <v>6</v>
      </c>
      <c r="AA151" s="85" t="s">
        <v>24</v>
      </c>
      <c r="AB151" s="86">
        <v>1450</v>
      </c>
      <c r="AC151" s="83">
        <v>6</v>
      </c>
      <c r="AD151" s="85" t="s">
        <v>175</v>
      </c>
      <c r="AE151" s="86">
        <v>1015</v>
      </c>
      <c r="AF151" s="110">
        <v>2</v>
      </c>
      <c r="AG151" s="85" t="s">
        <v>24</v>
      </c>
      <c r="AH151" s="86">
        <v>1450</v>
      </c>
      <c r="AI151" s="110">
        <v>3</v>
      </c>
      <c r="AJ151" s="85" t="s">
        <v>24</v>
      </c>
      <c r="AK151" s="86">
        <v>1450</v>
      </c>
      <c r="AL151" s="87"/>
      <c r="AM151" s="88"/>
      <c r="AN151" s="88" t="s">
        <v>476</v>
      </c>
      <c r="AO151" s="230" t="str">
        <f t="shared" si="4"/>
        <v>33SSNMCLBTEKKFV50</v>
      </c>
    </row>
    <row r="152" spans="1:41" ht="15" customHeight="1" x14ac:dyDescent="0.15">
      <c r="A152" s="80">
        <v>333</v>
      </c>
      <c r="B152" s="89">
        <v>275</v>
      </c>
      <c r="C152" s="89">
        <v>5174</v>
      </c>
      <c r="D152" s="89" t="s">
        <v>116</v>
      </c>
      <c r="E152" s="89" t="s">
        <v>117</v>
      </c>
      <c r="F152" s="89" t="s">
        <v>2052</v>
      </c>
      <c r="G152" s="89" t="str">
        <f t="shared" si="5"/>
        <v>33SSNMCLBTEKV0V</v>
      </c>
      <c r="H152" s="89" t="s">
        <v>450</v>
      </c>
      <c r="I152" s="89" t="s">
        <v>1550</v>
      </c>
      <c r="J152" s="89" t="s">
        <v>451</v>
      </c>
      <c r="K152" s="89" t="s">
        <v>2060</v>
      </c>
      <c r="L152" s="89" t="s">
        <v>196</v>
      </c>
      <c r="M152" s="89" t="str">
        <f t="shared" si="6"/>
        <v>33SSNMCLBTEKV0V501005</v>
      </c>
      <c r="N152" s="89" t="str">
        <f t="shared" si="7"/>
        <v>33SSNMCLBTEKV0V501000</v>
      </c>
      <c r="O152" s="90">
        <v>50</v>
      </c>
      <c r="P152" s="89" t="s">
        <v>2006</v>
      </c>
      <c r="Q152" s="89" t="s">
        <v>194</v>
      </c>
      <c r="R152" s="90">
        <v>1005</v>
      </c>
      <c r="S152" s="90">
        <v>4000</v>
      </c>
      <c r="T152" s="90">
        <v>1005</v>
      </c>
      <c r="U152" s="90">
        <v>1000</v>
      </c>
      <c r="V152" s="90">
        <v>4000</v>
      </c>
      <c r="W152" s="81">
        <v>2</v>
      </c>
      <c r="X152" s="82" t="s">
        <v>136</v>
      </c>
      <c r="Y152" s="83" t="s">
        <v>2002</v>
      </c>
      <c r="Z152" s="84">
        <v>6</v>
      </c>
      <c r="AA152" s="85" t="s">
        <v>24</v>
      </c>
      <c r="AB152" s="86">
        <v>1450</v>
      </c>
      <c r="AC152" s="83">
        <v>6</v>
      </c>
      <c r="AD152" s="85" t="s">
        <v>175</v>
      </c>
      <c r="AE152" s="86">
        <v>1015</v>
      </c>
      <c r="AF152" s="110">
        <v>2</v>
      </c>
      <c r="AG152" s="85" t="s">
        <v>24</v>
      </c>
      <c r="AH152" s="86">
        <v>1450</v>
      </c>
      <c r="AI152" s="110">
        <v>3</v>
      </c>
      <c r="AJ152" s="85" t="s">
        <v>24</v>
      </c>
      <c r="AK152" s="86">
        <v>1450</v>
      </c>
      <c r="AL152" s="87"/>
      <c r="AM152" s="88"/>
      <c r="AN152" s="88" t="s">
        <v>476</v>
      </c>
      <c r="AO152" s="230" t="str">
        <f t="shared" si="4"/>
        <v>33SSNMCLBTEKV0V50</v>
      </c>
    </row>
    <row r="153" spans="1:41" ht="15" customHeight="1" x14ac:dyDescent="0.15">
      <c r="A153" s="80">
        <v>333</v>
      </c>
      <c r="B153" s="89">
        <v>275</v>
      </c>
      <c r="C153" s="89">
        <v>5174</v>
      </c>
      <c r="D153" s="89" t="s">
        <v>116</v>
      </c>
      <c r="E153" s="89" t="s">
        <v>117</v>
      </c>
      <c r="F153" s="89" t="s">
        <v>2052</v>
      </c>
      <c r="G153" s="89" t="str">
        <f t="shared" si="5"/>
        <v>33SSYMCLBTEKV0V</v>
      </c>
      <c r="H153" s="89" t="s">
        <v>19</v>
      </c>
      <c r="I153" s="89" t="s">
        <v>28</v>
      </c>
      <c r="J153" s="89" t="s">
        <v>165</v>
      </c>
      <c r="K153" s="89" t="s">
        <v>195</v>
      </c>
      <c r="L153" s="89" t="s">
        <v>196</v>
      </c>
      <c r="M153" s="89" t="str">
        <f t="shared" si="6"/>
        <v>33SSYMCLBTEKV0V501005</v>
      </c>
      <c r="N153" s="89" t="str">
        <f t="shared" si="7"/>
        <v>33SSYMCLBTEKV0V501000</v>
      </c>
      <c r="O153" s="90">
        <v>50</v>
      </c>
      <c r="P153" s="89" t="s">
        <v>158</v>
      </c>
      <c r="Q153" s="89" t="s">
        <v>194</v>
      </c>
      <c r="R153" s="90">
        <v>1005</v>
      </c>
      <c r="S153" s="90">
        <v>4000</v>
      </c>
      <c r="T153" s="90">
        <v>1005</v>
      </c>
      <c r="U153" s="90">
        <v>1000</v>
      </c>
      <c r="V153" s="90">
        <v>4000</v>
      </c>
      <c r="W153" s="81">
        <v>2</v>
      </c>
      <c r="X153" s="82" t="s">
        <v>136</v>
      </c>
      <c r="Y153" s="83" t="s">
        <v>2002</v>
      </c>
      <c r="Z153" s="84">
        <v>6</v>
      </c>
      <c r="AA153" s="85" t="s">
        <v>24</v>
      </c>
      <c r="AB153" s="86">
        <v>1450</v>
      </c>
      <c r="AC153" s="83">
        <v>6</v>
      </c>
      <c r="AD153" s="85" t="s">
        <v>175</v>
      </c>
      <c r="AE153" s="86">
        <v>1015</v>
      </c>
      <c r="AF153" s="110">
        <v>2</v>
      </c>
      <c r="AG153" s="85" t="s">
        <v>24</v>
      </c>
      <c r="AH153" s="86">
        <v>1450</v>
      </c>
      <c r="AI153" s="110">
        <v>3</v>
      </c>
      <c r="AJ153" s="85" t="s">
        <v>24</v>
      </c>
      <c r="AK153" s="86">
        <v>1450</v>
      </c>
      <c r="AL153" s="87"/>
      <c r="AM153" s="88"/>
      <c r="AN153" s="88" t="s">
        <v>476</v>
      </c>
      <c r="AO153" s="230" t="str">
        <f t="shared" si="4"/>
        <v>33SSYMCLBTEKV0V50</v>
      </c>
    </row>
    <row r="154" spans="1:41" ht="15" customHeight="1" x14ac:dyDescent="0.15">
      <c r="A154" s="80">
        <v>333</v>
      </c>
      <c r="B154" s="89">
        <v>275</v>
      </c>
      <c r="C154" s="89">
        <v>5174</v>
      </c>
      <c r="D154" s="89" t="s">
        <v>116</v>
      </c>
      <c r="E154" s="89" t="s">
        <v>117</v>
      </c>
      <c r="F154" s="89" t="s">
        <v>2052</v>
      </c>
      <c r="G154" s="89" t="str">
        <f t="shared" si="5"/>
        <v>33SSNMCLBTETKFV</v>
      </c>
      <c r="H154" s="89" t="s">
        <v>19</v>
      </c>
      <c r="I154" s="89" t="s">
        <v>20</v>
      </c>
      <c r="J154" s="89" t="s">
        <v>165</v>
      </c>
      <c r="K154" s="89" t="s">
        <v>197</v>
      </c>
      <c r="L154" s="89" t="s">
        <v>198</v>
      </c>
      <c r="M154" s="89" t="str">
        <f t="shared" si="6"/>
        <v>33SSNMCLBTETKFV501005</v>
      </c>
      <c r="N154" s="89" t="str">
        <f t="shared" si="7"/>
        <v>33SSNMCLBTETKFV501000</v>
      </c>
      <c r="O154" s="90">
        <v>50</v>
      </c>
      <c r="P154" s="89" t="s">
        <v>158</v>
      </c>
      <c r="Q154" s="89" t="s">
        <v>199</v>
      </c>
      <c r="R154" s="90">
        <v>1005</v>
      </c>
      <c r="S154" s="90">
        <v>4100</v>
      </c>
      <c r="T154" s="90">
        <v>1005</v>
      </c>
      <c r="U154" s="90">
        <v>1000</v>
      </c>
      <c r="V154" s="90">
        <v>4000</v>
      </c>
      <c r="W154" s="81">
        <v>2</v>
      </c>
      <c r="X154" s="82" t="s">
        <v>136</v>
      </c>
      <c r="Y154" s="83" t="s">
        <v>2002</v>
      </c>
      <c r="Z154" s="84">
        <v>6</v>
      </c>
      <c r="AA154" s="85" t="s">
        <v>24</v>
      </c>
      <c r="AB154" s="86">
        <v>1450</v>
      </c>
      <c r="AC154" s="83">
        <v>6</v>
      </c>
      <c r="AD154" s="85" t="s">
        <v>175</v>
      </c>
      <c r="AE154" s="86">
        <v>1015</v>
      </c>
      <c r="AF154" s="110">
        <v>2</v>
      </c>
      <c r="AG154" s="85" t="s">
        <v>24</v>
      </c>
      <c r="AH154" s="86">
        <v>1450</v>
      </c>
      <c r="AI154" s="110">
        <v>3</v>
      </c>
      <c r="AJ154" s="85" t="s">
        <v>24</v>
      </c>
      <c r="AK154" s="86">
        <v>1450</v>
      </c>
      <c r="AL154" s="87"/>
      <c r="AM154" s="88"/>
      <c r="AN154" s="88" t="s">
        <v>476</v>
      </c>
      <c r="AO154" s="230" t="str">
        <f t="shared" si="4"/>
        <v>33SSNMCLBTETKFV50</v>
      </c>
    </row>
    <row r="155" spans="1:41" ht="15" customHeight="1" x14ac:dyDescent="0.15">
      <c r="A155" s="80">
        <v>333</v>
      </c>
      <c r="B155" s="89">
        <v>275</v>
      </c>
      <c r="C155" s="89">
        <v>5174</v>
      </c>
      <c r="D155" s="89" t="s">
        <v>116</v>
      </c>
      <c r="E155" s="89" t="s">
        <v>117</v>
      </c>
      <c r="F155" s="89" t="s">
        <v>2052</v>
      </c>
      <c r="G155" s="89" t="str">
        <f t="shared" si="5"/>
        <v>3SNMCLBTETV0V</v>
      </c>
      <c r="H155" s="89" t="s">
        <v>19</v>
      </c>
      <c r="I155" s="89" t="s">
        <v>20</v>
      </c>
      <c r="J155" s="89" t="s">
        <v>165</v>
      </c>
      <c r="K155" s="89" t="s">
        <v>200</v>
      </c>
      <c r="L155" s="89" t="s">
        <v>201</v>
      </c>
      <c r="M155" s="89" t="str">
        <f t="shared" si="6"/>
        <v>3SNMCLBTETV0V501005</v>
      </c>
      <c r="N155" s="89" t="str">
        <f t="shared" si="7"/>
        <v>3SNMCLBTETV0V501000</v>
      </c>
      <c r="O155" s="90">
        <v>50</v>
      </c>
      <c r="P155" s="89">
        <v>3</v>
      </c>
      <c r="Q155" s="89" t="s">
        <v>199</v>
      </c>
      <c r="R155" s="90">
        <v>1005</v>
      </c>
      <c r="S155" s="90">
        <v>4100</v>
      </c>
      <c r="T155" s="90">
        <v>1005</v>
      </c>
      <c r="U155" s="90">
        <v>1000</v>
      </c>
      <c r="V155" s="90">
        <v>4000</v>
      </c>
      <c r="W155" s="81">
        <v>2</v>
      </c>
      <c r="X155" s="82" t="s">
        <v>136</v>
      </c>
      <c r="Y155" s="83" t="s">
        <v>2002</v>
      </c>
      <c r="Z155" s="84">
        <v>6</v>
      </c>
      <c r="AA155" s="85" t="s">
        <v>24</v>
      </c>
      <c r="AB155" s="86">
        <v>1450</v>
      </c>
      <c r="AC155" s="83">
        <v>6</v>
      </c>
      <c r="AD155" s="85" t="s">
        <v>175</v>
      </c>
      <c r="AE155" s="86">
        <v>1015</v>
      </c>
      <c r="AF155" s="110">
        <v>2</v>
      </c>
      <c r="AG155" s="85" t="s">
        <v>24</v>
      </c>
      <c r="AH155" s="86">
        <v>1450</v>
      </c>
      <c r="AI155" s="110">
        <v>3</v>
      </c>
      <c r="AJ155" s="85" t="s">
        <v>24</v>
      </c>
      <c r="AK155" s="86">
        <v>1450</v>
      </c>
      <c r="AL155" s="87"/>
      <c r="AM155" s="88"/>
      <c r="AN155" s="88" t="s">
        <v>476</v>
      </c>
      <c r="AO155" s="196" t="str">
        <f t="shared" si="4"/>
        <v>3SNMCLBTETV0V50</v>
      </c>
    </row>
    <row r="156" spans="1:41" ht="15" customHeight="1" x14ac:dyDescent="0.15">
      <c r="A156" s="116">
        <v>333</v>
      </c>
      <c r="B156" s="91">
        <v>275</v>
      </c>
      <c r="C156" s="91">
        <v>33042</v>
      </c>
      <c r="D156" s="91" t="s">
        <v>148</v>
      </c>
      <c r="E156" s="91" t="s">
        <v>58</v>
      </c>
      <c r="F156" s="91" t="s">
        <v>46</v>
      </c>
      <c r="G156" s="89" t="str">
        <f t="shared" si="5"/>
        <v>3HSNMCLBWCB</v>
      </c>
      <c r="H156" s="91" t="s">
        <v>19</v>
      </c>
      <c r="I156" s="91" t="s">
        <v>20</v>
      </c>
      <c r="J156" s="91" t="s">
        <v>165</v>
      </c>
      <c r="K156" s="91" t="s">
        <v>202</v>
      </c>
      <c r="L156" s="91" t="s">
        <v>203</v>
      </c>
      <c r="M156" s="91" t="s">
        <v>1613</v>
      </c>
      <c r="N156" s="91" t="s">
        <v>1614</v>
      </c>
      <c r="O156" s="117">
        <v>50</v>
      </c>
      <c r="P156" s="91" t="s">
        <v>468</v>
      </c>
      <c r="Q156" s="91" t="s">
        <v>1803</v>
      </c>
      <c r="R156" s="117">
        <v>1195</v>
      </c>
      <c r="S156" s="117">
        <v>6100</v>
      </c>
      <c r="T156" s="117">
        <v>1120</v>
      </c>
      <c r="U156" s="117">
        <v>1120</v>
      </c>
      <c r="V156" s="117">
        <v>5000</v>
      </c>
      <c r="W156" s="118">
        <v>2</v>
      </c>
      <c r="X156" s="119" t="s">
        <v>136</v>
      </c>
      <c r="Y156" s="120" t="s">
        <v>1615</v>
      </c>
      <c r="Z156" s="121">
        <v>6</v>
      </c>
      <c r="AA156" s="122" t="s">
        <v>266</v>
      </c>
      <c r="AB156" s="123">
        <v>1450</v>
      </c>
      <c r="AC156" s="120">
        <v>6</v>
      </c>
      <c r="AD156" s="122" t="s">
        <v>806</v>
      </c>
      <c r="AE156" s="123">
        <v>1140</v>
      </c>
      <c r="AF156" s="110">
        <v>2</v>
      </c>
      <c r="AG156" s="122" t="s">
        <v>266</v>
      </c>
      <c r="AH156" s="123">
        <v>1450</v>
      </c>
      <c r="AI156" s="110">
        <v>3</v>
      </c>
      <c r="AJ156" s="122" t="s">
        <v>266</v>
      </c>
      <c r="AK156" s="123">
        <v>1450</v>
      </c>
      <c r="AL156" s="124">
        <v>2</v>
      </c>
      <c r="AM156" s="125" t="s">
        <v>49</v>
      </c>
      <c r="AN156" s="125" t="s">
        <v>476</v>
      </c>
      <c r="AO156" s="196" t="s">
        <v>1616</v>
      </c>
    </row>
    <row r="157" spans="1:41" ht="15" customHeight="1" thickBot="1" x14ac:dyDescent="0.2">
      <c r="A157" s="94">
        <v>333</v>
      </c>
      <c r="B157" s="95">
        <v>275</v>
      </c>
      <c r="C157" s="95">
        <v>33042</v>
      </c>
      <c r="D157" s="95" t="s">
        <v>148</v>
      </c>
      <c r="E157" s="95" t="s">
        <v>58</v>
      </c>
      <c r="F157" s="95" t="s">
        <v>46</v>
      </c>
      <c r="G157" s="95" t="str">
        <f t="shared" si="5"/>
        <v>3SNMCLBWCB</v>
      </c>
      <c r="H157" s="95" t="s">
        <v>19</v>
      </c>
      <c r="I157" s="95" t="s">
        <v>20</v>
      </c>
      <c r="J157" s="95" t="s">
        <v>165</v>
      </c>
      <c r="K157" s="95" t="s">
        <v>202</v>
      </c>
      <c r="L157" s="95" t="s">
        <v>203</v>
      </c>
      <c r="M157" s="95" t="str">
        <f t="shared" si="6"/>
        <v>3SNMCLBWCB501150</v>
      </c>
      <c r="N157" s="95" t="str">
        <f t="shared" si="7"/>
        <v>3SNMCLBWCB501120</v>
      </c>
      <c r="O157" s="96">
        <v>50</v>
      </c>
      <c r="P157" s="95">
        <v>3</v>
      </c>
      <c r="Q157" s="95" t="s">
        <v>151</v>
      </c>
      <c r="R157" s="96">
        <v>1150</v>
      </c>
      <c r="S157" s="96">
        <v>5000</v>
      </c>
      <c r="T157" s="96">
        <v>1120</v>
      </c>
      <c r="U157" s="96">
        <v>1120</v>
      </c>
      <c r="V157" s="96">
        <v>5000</v>
      </c>
      <c r="W157" s="97">
        <v>2</v>
      </c>
      <c r="X157" s="119" t="s">
        <v>136</v>
      </c>
      <c r="Y157" s="120" t="s">
        <v>2002</v>
      </c>
      <c r="Z157" s="121">
        <v>6</v>
      </c>
      <c r="AA157" s="122" t="s">
        <v>24</v>
      </c>
      <c r="AB157" s="123">
        <v>1450</v>
      </c>
      <c r="AC157" s="120">
        <v>6</v>
      </c>
      <c r="AD157" s="122" t="s">
        <v>175</v>
      </c>
      <c r="AE157" s="123">
        <v>1140</v>
      </c>
      <c r="AF157" s="110">
        <v>2</v>
      </c>
      <c r="AG157" s="122" t="s">
        <v>24</v>
      </c>
      <c r="AH157" s="123">
        <v>1450</v>
      </c>
      <c r="AI157" s="110">
        <v>3</v>
      </c>
      <c r="AJ157" s="122" t="s">
        <v>24</v>
      </c>
      <c r="AK157" s="123">
        <v>1450</v>
      </c>
      <c r="AL157" s="124">
        <v>2</v>
      </c>
      <c r="AM157" s="125" t="s">
        <v>49</v>
      </c>
      <c r="AN157" s="125" t="s">
        <v>476</v>
      </c>
      <c r="AO157" s="231" t="str">
        <f t="shared" si="4"/>
        <v>3SNMCLBWCB50</v>
      </c>
    </row>
    <row r="158" spans="1:41" ht="15" customHeight="1" x14ac:dyDescent="0.15">
      <c r="A158" s="105">
        <v>333</v>
      </c>
      <c r="B158" s="106">
        <v>274</v>
      </c>
      <c r="C158" s="106">
        <v>2517</v>
      </c>
      <c r="D158" s="106" t="s">
        <v>204</v>
      </c>
      <c r="E158" s="106" t="s">
        <v>66</v>
      </c>
      <c r="F158" s="106" t="s">
        <v>2061</v>
      </c>
      <c r="G158" s="106" t="str">
        <f t="shared" si="5"/>
        <v>3SNMLBMDMSJF</v>
      </c>
      <c r="H158" s="106" t="s">
        <v>19</v>
      </c>
      <c r="I158" s="106" t="s">
        <v>20</v>
      </c>
      <c r="J158" s="106" t="s">
        <v>205</v>
      </c>
      <c r="K158" s="106" t="s">
        <v>206</v>
      </c>
      <c r="L158" s="106" t="s">
        <v>207</v>
      </c>
      <c r="M158" s="106" t="str">
        <f t="shared" si="6"/>
        <v>3SNMLBMDMSJF501020</v>
      </c>
      <c r="N158" s="106" t="str">
        <f t="shared" si="7"/>
        <v>3SNMLBMDMSJF501000</v>
      </c>
      <c r="O158" s="107">
        <v>50</v>
      </c>
      <c r="P158" s="106">
        <v>3</v>
      </c>
      <c r="Q158" s="106" t="s">
        <v>168</v>
      </c>
      <c r="R158" s="107">
        <v>1020</v>
      </c>
      <c r="S158" s="107">
        <v>4000</v>
      </c>
      <c r="T158" s="107">
        <v>1020</v>
      </c>
      <c r="U158" s="107">
        <v>1000</v>
      </c>
      <c r="V158" s="107">
        <v>2000</v>
      </c>
      <c r="W158" s="108">
        <v>2</v>
      </c>
      <c r="X158" s="127"/>
      <c r="Y158" s="74" t="s">
        <v>208</v>
      </c>
      <c r="Z158" s="75"/>
      <c r="AA158" s="76"/>
      <c r="AB158" s="77"/>
      <c r="AC158" s="75">
        <v>3</v>
      </c>
      <c r="AD158" s="76" t="s">
        <v>2003</v>
      </c>
      <c r="AE158" s="77">
        <v>1005</v>
      </c>
      <c r="AF158" s="74">
        <v>2</v>
      </c>
      <c r="AG158" s="76" t="s">
        <v>209</v>
      </c>
      <c r="AH158" s="77" t="s">
        <v>2005</v>
      </c>
      <c r="AI158" s="74">
        <v>3</v>
      </c>
      <c r="AJ158" s="76" t="s">
        <v>24</v>
      </c>
      <c r="AK158" s="77">
        <v>1450</v>
      </c>
      <c r="AL158" s="78"/>
      <c r="AM158" s="79"/>
      <c r="AN158" s="79" t="s">
        <v>476</v>
      </c>
      <c r="AO158" s="232" t="str">
        <f t="shared" si="4"/>
        <v>3SNMLBMDMSJF50</v>
      </c>
    </row>
    <row r="159" spans="1:41" ht="15" customHeight="1" x14ac:dyDescent="0.15">
      <c r="A159" s="80">
        <v>333</v>
      </c>
      <c r="B159" s="89">
        <v>275</v>
      </c>
      <c r="C159" s="89">
        <v>5174</v>
      </c>
      <c r="D159" s="89" t="s">
        <v>116</v>
      </c>
      <c r="E159" s="89" t="s">
        <v>117</v>
      </c>
      <c r="F159" s="89" t="s">
        <v>210</v>
      </c>
      <c r="G159" s="89" t="str">
        <f t="shared" si="5"/>
        <v>3SNMLBMNGKBF</v>
      </c>
      <c r="H159" s="89" t="s">
        <v>19</v>
      </c>
      <c r="I159" s="89" t="s">
        <v>20</v>
      </c>
      <c r="J159" s="89" t="s">
        <v>205</v>
      </c>
      <c r="K159" s="89" t="s">
        <v>211</v>
      </c>
      <c r="L159" s="89" t="s">
        <v>2062</v>
      </c>
      <c r="M159" s="89" t="str">
        <f t="shared" si="6"/>
        <v>3SNMLBMNGKBF251005</v>
      </c>
      <c r="N159" s="89" t="str">
        <f t="shared" si="7"/>
        <v>3SNMLBMNGKBF251000</v>
      </c>
      <c r="O159" s="90">
        <v>25</v>
      </c>
      <c r="P159" s="89">
        <v>3</v>
      </c>
      <c r="Q159" s="89" t="s">
        <v>154</v>
      </c>
      <c r="R159" s="90">
        <v>1005</v>
      </c>
      <c r="S159" s="90">
        <v>8000</v>
      </c>
      <c r="T159" s="90">
        <v>1005</v>
      </c>
      <c r="U159" s="90">
        <v>1000</v>
      </c>
      <c r="V159" s="90">
        <v>4000</v>
      </c>
      <c r="W159" s="81">
        <v>2</v>
      </c>
      <c r="X159" s="82"/>
      <c r="Y159" s="83" t="s">
        <v>208</v>
      </c>
      <c r="Z159" s="84"/>
      <c r="AA159" s="85"/>
      <c r="AB159" s="86"/>
      <c r="AC159" s="84">
        <v>6</v>
      </c>
      <c r="AD159" s="85" t="s">
        <v>175</v>
      </c>
      <c r="AE159" s="86">
        <v>1015</v>
      </c>
      <c r="AF159" s="83">
        <v>2</v>
      </c>
      <c r="AG159" s="85" t="s">
        <v>209</v>
      </c>
      <c r="AH159" s="86" t="s">
        <v>2005</v>
      </c>
      <c r="AI159" s="83">
        <v>3</v>
      </c>
      <c r="AJ159" s="85" t="s">
        <v>24</v>
      </c>
      <c r="AK159" s="86">
        <v>1450</v>
      </c>
      <c r="AL159" s="87"/>
      <c r="AM159" s="88"/>
      <c r="AN159" s="88" t="s">
        <v>476</v>
      </c>
      <c r="AO159" s="230" t="str">
        <f t="shared" si="4"/>
        <v>3SNMLBMNGKBF25</v>
      </c>
    </row>
    <row r="160" spans="1:41" ht="15" customHeight="1" x14ac:dyDescent="0.15">
      <c r="A160" s="80">
        <v>333</v>
      </c>
      <c r="B160" s="89">
        <v>275</v>
      </c>
      <c r="C160" s="89">
        <v>5174</v>
      </c>
      <c r="D160" s="89" t="s">
        <v>116</v>
      </c>
      <c r="E160" s="89" t="s">
        <v>117</v>
      </c>
      <c r="F160" s="89" t="s">
        <v>210</v>
      </c>
      <c r="G160" s="89" t="str">
        <f t="shared" si="5"/>
        <v>3SNMLBMNGKBF</v>
      </c>
      <c r="H160" s="89" t="s">
        <v>19</v>
      </c>
      <c r="I160" s="89" t="s">
        <v>20</v>
      </c>
      <c r="J160" s="89" t="s">
        <v>205</v>
      </c>
      <c r="K160" s="89" t="s">
        <v>211</v>
      </c>
      <c r="L160" s="89" t="s">
        <v>2062</v>
      </c>
      <c r="M160" s="89" t="str">
        <f t="shared" si="6"/>
        <v>3SNMLBMNGKBF251050</v>
      </c>
      <c r="N160" s="89" t="str">
        <f t="shared" si="7"/>
        <v>3SNMLBMNGKBF251050</v>
      </c>
      <c r="O160" s="90">
        <v>25</v>
      </c>
      <c r="P160" s="89">
        <v>3</v>
      </c>
      <c r="Q160" s="89" t="s">
        <v>154</v>
      </c>
      <c r="R160" s="90">
        <v>1050</v>
      </c>
      <c r="S160" s="90">
        <v>8000</v>
      </c>
      <c r="T160" s="90">
        <v>1050</v>
      </c>
      <c r="U160" s="90">
        <v>1050</v>
      </c>
      <c r="V160" s="90">
        <v>4000</v>
      </c>
      <c r="W160" s="81">
        <v>2</v>
      </c>
      <c r="X160" s="82"/>
      <c r="Y160" s="83" t="s">
        <v>208</v>
      </c>
      <c r="Z160" s="84"/>
      <c r="AA160" s="85"/>
      <c r="AB160" s="86"/>
      <c r="AC160" s="84">
        <v>6</v>
      </c>
      <c r="AD160" s="85" t="s">
        <v>175</v>
      </c>
      <c r="AE160" s="86">
        <v>1055</v>
      </c>
      <c r="AF160" s="83">
        <v>2</v>
      </c>
      <c r="AG160" s="85" t="s">
        <v>209</v>
      </c>
      <c r="AH160" s="86" t="s">
        <v>2005</v>
      </c>
      <c r="AI160" s="83">
        <v>3</v>
      </c>
      <c r="AJ160" s="85" t="s">
        <v>24</v>
      </c>
      <c r="AK160" s="86">
        <v>1450</v>
      </c>
      <c r="AL160" s="87"/>
      <c r="AM160" s="88"/>
      <c r="AN160" s="88" t="s">
        <v>476</v>
      </c>
      <c r="AO160" s="230" t="str">
        <f t="shared" si="4"/>
        <v>3SNMLBMNGKBF25</v>
      </c>
    </row>
    <row r="161" spans="1:41" ht="15" customHeight="1" x14ac:dyDescent="0.15">
      <c r="A161" s="80">
        <v>333</v>
      </c>
      <c r="B161" s="89">
        <v>275</v>
      </c>
      <c r="C161" s="89">
        <v>5174</v>
      </c>
      <c r="D161" s="89" t="s">
        <v>116</v>
      </c>
      <c r="E161" s="89" t="s">
        <v>117</v>
      </c>
      <c r="F161" s="89" t="s">
        <v>210</v>
      </c>
      <c r="G161" s="89" t="str">
        <f t="shared" si="5"/>
        <v>3SNMLBMNGKBF</v>
      </c>
      <c r="H161" s="89" t="s">
        <v>19</v>
      </c>
      <c r="I161" s="89" t="s">
        <v>20</v>
      </c>
      <c r="J161" s="89" t="s">
        <v>205</v>
      </c>
      <c r="K161" s="89" t="s">
        <v>211</v>
      </c>
      <c r="L161" s="89" t="s">
        <v>2062</v>
      </c>
      <c r="M161" s="89" t="str">
        <f t="shared" si="6"/>
        <v>3SNMLBMNGKBF381005</v>
      </c>
      <c r="N161" s="89" t="str">
        <f t="shared" si="7"/>
        <v>3SNMLBMNGKBF381000</v>
      </c>
      <c r="O161" s="90">
        <v>38</v>
      </c>
      <c r="P161" s="89">
        <v>3</v>
      </c>
      <c r="Q161" s="89" t="s">
        <v>154</v>
      </c>
      <c r="R161" s="90">
        <v>1005</v>
      </c>
      <c r="S161" s="90">
        <v>4100</v>
      </c>
      <c r="T161" s="90">
        <v>1005</v>
      </c>
      <c r="U161" s="90">
        <v>1000</v>
      </c>
      <c r="V161" s="90">
        <v>4000</v>
      </c>
      <c r="W161" s="81">
        <v>2</v>
      </c>
      <c r="X161" s="82"/>
      <c r="Y161" s="83" t="s">
        <v>208</v>
      </c>
      <c r="Z161" s="84"/>
      <c r="AA161" s="85"/>
      <c r="AB161" s="86"/>
      <c r="AC161" s="84">
        <v>6</v>
      </c>
      <c r="AD161" s="85" t="s">
        <v>175</v>
      </c>
      <c r="AE161" s="86">
        <v>1015</v>
      </c>
      <c r="AF161" s="83">
        <v>2</v>
      </c>
      <c r="AG161" s="85" t="s">
        <v>209</v>
      </c>
      <c r="AH161" s="86" t="s">
        <v>2005</v>
      </c>
      <c r="AI161" s="83">
        <v>3</v>
      </c>
      <c r="AJ161" s="85" t="s">
        <v>24</v>
      </c>
      <c r="AK161" s="86">
        <v>1450</v>
      </c>
      <c r="AL161" s="87"/>
      <c r="AM161" s="88"/>
      <c r="AN161" s="88" t="s">
        <v>476</v>
      </c>
      <c r="AO161" s="230" t="str">
        <f t="shared" si="4"/>
        <v>3SNMLBMNGKBF38</v>
      </c>
    </row>
    <row r="162" spans="1:41" ht="15" customHeight="1" x14ac:dyDescent="0.15">
      <c r="A162" s="80">
        <v>333</v>
      </c>
      <c r="B162" s="89">
        <v>275</v>
      </c>
      <c r="C162" s="89">
        <v>5174</v>
      </c>
      <c r="D162" s="89" t="s">
        <v>116</v>
      </c>
      <c r="E162" s="89" t="s">
        <v>117</v>
      </c>
      <c r="F162" s="89" t="s">
        <v>210</v>
      </c>
      <c r="G162" s="89" t="str">
        <f t="shared" si="5"/>
        <v>3SNMLBMNGKBF</v>
      </c>
      <c r="H162" s="89" t="s">
        <v>19</v>
      </c>
      <c r="I162" s="89" t="s">
        <v>20</v>
      </c>
      <c r="J162" s="89" t="s">
        <v>205</v>
      </c>
      <c r="K162" s="89" t="s">
        <v>211</v>
      </c>
      <c r="L162" s="89" t="s">
        <v>2062</v>
      </c>
      <c r="M162" s="89" t="str">
        <f t="shared" si="6"/>
        <v>3SNMLBMNGKBF501050</v>
      </c>
      <c r="N162" s="89" t="str">
        <f t="shared" si="7"/>
        <v>3SNMLBMNGKBF501050</v>
      </c>
      <c r="O162" s="90">
        <v>50</v>
      </c>
      <c r="P162" s="89">
        <v>3</v>
      </c>
      <c r="Q162" s="89" t="s">
        <v>161</v>
      </c>
      <c r="R162" s="90">
        <v>1050</v>
      </c>
      <c r="S162" s="90">
        <v>4100</v>
      </c>
      <c r="T162" s="90">
        <v>1050</v>
      </c>
      <c r="U162" s="90">
        <v>1050</v>
      </c>
      <c r="V162" s="90">
        <v>4100</v>
      </c>
      <c r="W162" s="81">
        <v>2</v>
      </c>
      <c r="X162" s="82"/>
      <c r="Y162" s="83" t="s">
        <v>208</v>
      </c>
      <c r="Z162" s="84"/>
      <c r="AA162" s="85"/>
      <c r="AB162" s="86"/>
      <c r="AC162" s="84">
        <v>6</v>
      </c>
      <c r="AD162" s="85" t="s">
        <v>175</v>
      </c>
      <c r="AE162" s="86">
        <v>1055</v>
      </c>
      <c r="AF162" s="83">
        <v>2</v>
      </c>
      <c r="AG162" s="85" t="s">
        <v>209</v>
      </c>
      <c r="AH162" s="86" t="s">
        <v>2005</v>
      </c>
      <c r="AI162" s="83">
        <v>3</v>
      </c>
      <c r="AJ162" s="85" t="s">
        <v>24</v>
      </c>
      <c r="AK162" s="86">
        <v>1450</v>
      </c>
      <c r="AL162" s="87"/>
      <c r="AM162" s="88"/>
      <c r="AN162" s="88" t="s">
        <v>476</v>
      </c>
      <c r="AO162" s="230" t="str">
        <f t="shared" si="4"/>
        <v>3SNMLBMNGKBF50</v>
      </c>
    </row>
    <row r="163" spans="1:41" ht="15" customHeight="1" x14ac:dyDescent="0.15">
      <c r="A163" s="80">
        <v>333</v>
      </c>
      <c r="B163" s="89">
        <v>275</v>
      </c>
      <c r="C163" s="89">
        <v>5174</v>
      </c>
      <c r="D163" s="89" t="s">
        <v>116</v>
      </c>
      <c r="E163" s="89" t="s">
        <v>117</v>
      </c>
      <c r="F163" s="89" t="s">
        <v>210</v>
      </c>
      <c r="G163" s="89" t="str">
        <f t="shared" ref="G163:G244" si="8">CONCATENATE(P163,H163,I163,J163,K163)</f>
        <v>3SNMLBMNGKBF</v>
      </c>
      <c r="H163" s="89" t="s">
        <v>19</v>
      </c>
      <c r="I163" s="89" t="s">
        <v>20</v>
      </c>
      <c r="J163" s="89" t="s">
        <v>205</v>
      </c>
      <c r="K163" s="89" t="s">
        <v>211</v>
      </c>
      <c r="L163" s="89" t="s">
        <v>2062</v>
      </c>
      <c r="M163" s="89" t="str">
        <f t="shared" ref="M163:M244" si="9">G163&amp;O163&amp;R163</f>
        <v>3SNMLBMNGKBF501170</v>
      </c>
      <c r="N163" s="89" t="str">
        <f t="shared" ref="N163:N244" si="10">G163&amp;O163&amp;U163</f>
        <v>3SNMLBMNGKBF501170</v>
      </c>
      <c r="O163" s="90">
        <v>50</v>
      </c>
      <c r="P163" s="89">
        <v>3</v>
      </c>
      <c r="Q163" s="89" t="s">
        <v>161</v>
      </c>
      <c r="R163" s="90">
        <v>1170</v>
      </c>
      <c r="S163" s="90">
        <v>4000</v>
      </c>
      <c r="T163" s="90">
        <v>1170</v>
      </c>
      <c r="U163" s="90">
        <v>1170</v>
      </c>
      <c r="V163" s="90">
        <v>4000</v>
      </c>
      <c r="W163" s="81">
        <v>2</v>
      </c>
      <c r="X163" s="82"/>
      <c r="Y163" s="83" t="s">
        <v>208</v>
      </c>
      <c r="Z163" s="84"/>
      <c r="AA163" s="85"/>
      <c r="AB163" s="86"/>
      <c r="AC163" s="84">
        <v>6</v>
      </c>
      <c r="AD163" s="85" t="s">
        <v>175</v>
      </c>
      <c r="AE163" s="86">
        <v>1175</v>
      </c>
      <c r="AF163" s="83">
        <v>2</v>
      </c>
      <c r="AG163" s="85" t="s">
        <v>209</v>
      </c>
      <c r="AH163" s="86" t="s">
        <v>2005</v>
      </c>
      <c r="AI163" s="83">
        <v>3</v>
      </c>
      <c r="AJ163" s="85" t="s">
        <v>24</v>
      </c>
      <c r="AK163" s="86">
        <v>1450</v>
      </c>
      <c r="AL163" s="87"/>
      <c r="AM163" s="88"/>
      <c r="AN163" s="88" t="s">
        <v>476</v>
      </c>
      <c r="AO163" s="230" t="str">
        <f t="shared" si="4"/>
        <v>3SNMLBMNGKBF50</v>
      </c>
    </row>
    <row r="164" spans="1:41" ht="15" customHeight="1" x14ac:dyDescent="0.15">
      <c r="A164" s="80">
        <v>333</v>
      </c>
      <c r="B164" s="89">
        <v>275</v>
      </c>
      <c r="C164" s="89">
        <v>5174</v>
      </c>
      <c r="D164" s="89" t="s">
        <v>116</v>
      </c>
      <c r="E164" s="89" t="s">
        <v>117</v>
      </c>
      <c r="F164" s="89" t="s">
        <v>210</v>
      </c>
      <c r="G164" s="89" t="str">
        <f t="shared" si="8"/>
        <v>3SNMLBMNGKBF</v>
      </c>
      <c r="H164" s="89" t="s">
        <v>19</v>
      </c>
      <c r="I164" s="89" t="s">
        <v>20</v>
      </c>
      <c r="J164" s="89" t="s">
        <v>205</v>
      </c>
      <c r="K164" s="89" t="s">
        <v>211</v>
      </c>
      <c r="L164" s="89" t="s">
        <v>2062</v>
      </c>
      <c r="M164" s="89" t="str">
        <f t="shared" si="9"/>
        <v>3SNMLBMNGKBF751050</v>
      </c>
      <c r="N164" s="89" t="str">
        <f t="shared" si="10"/>
        <v>3SNMLBMNGKBF751050</v>
      </c>
      <c r="O164" s="90">
        <v>75</v>
      </c>
      <c r="P164" s="89">
        <v>3</v>
      </c>
      <c r="Q164" s="89" t="s">
        <v>161</v>
      </c>
      <c r="R164" s="90">
        <v>1050</v>
      </c>
      <c r="S164" s="90">
        <v>2000</v>
      </c>
      <c r="T164" s="90">
        <v>1050</v>
      </c>
      <c r="U164" s="90">
        <v>1050</v>
      </c>
      <c r="V164" s="90">
        <v>2000</v>
      </c>
      <c r="W164" s="81">
        <v>2</v>
      </c>
      <c r="X164" s="82"/>
      <c r="Y164" s="83" t="s">
        <v>208</v>
      </c>
      <c r="Z164" s="84"/>
      <c r="AA164" s="85"/>
      <c r="AB164" s="86"/>
      <c r="AC164" s="84">
        <v>6</v>
      </c>
      <c r="AD164" s="85" t="s">
        <v>175</v>
      </c>
      <c r="AE164" s="86">
        <v>1055</v>
      </c>
      <c r="AF164" s="83">
        <v>2</v>
      </c>
      <c r="AG164" s="85" t="s">
        <v>209</v>
      </c>
      <c r="AH164" s="86" t="s">
        <v>2005</v>
      </c>
      <c r="AI164" s="83">
        <v>3</v>
      </c>
      <c r="AJ164" s="85" t="s">
        <v>24</v>
      </c>
      <c r="AK164" s="86">
        <v>1450</v>
      </c>
      <c r="AL164" s="87"/>
      <c r="AM164" s="88"/>
      <c r="AN164" s="88" t="s">
        <v>476</v>
      </c>
      <c r="AO164" s="230" t="str">
        <f t="shared" si="4"/>
        <v>3SNMLBMNGKBF75</v>
      </c>
    </row>
    <row r="165" spans="1:41" ht="15" customHeight="1" x14ac:dyDescent="0.15">
      <c r="A165" s="80">
        <v>333</v>
      </c>
      <c r="B165" s="89">
        <v>275</v>
      </c>
      <c r="C165" s="89">
        <v>5174</v>
      </c>
      <c r="D165" s="89" t="s">
        <v>116</v>
      </c>
      <c r="E165" s="89" t="s">
        <v>117</v>
      </c>
      <c r="F165" s="89" t="s">
        <v>210</v>
      </c>
      <c r="G165" s="89" t="str">
        <f t="shared" si="8"/>
        <v>3SNMLBMNGKKBF</v>
      </c>
      <c r="H165" s="89" t="s">
        <v>19</v>
      </c>
      <c r="I165" s="89" t="s">
        <v>20</v>
      </c>
      <c r="J165" s="89" t="s">
        <v>205</v>
      </c>
      <c r="K165" s="89" t="s">
        <v>212</v>
      </c>
      <c r="L165" s="89" t="s">
        <v>213</v>
      </c>
      <c r="M165" s="89" t="str">
        <f t="shared" si="9"/>
        <v>3SNMLBMNGKKBF251000</v>
      </c>
      <c r="N165" s="89" t="str">
        <f t="shared" si="10"/>
        <v>3SNMLBMNGKKBF251000</v>
      </c>
      <c r="O165" s="90">
        <v>25</v>
      </c>
      <c r="P165" s="89">
        <v>3</v>
      </c>
      <c r="Q165" s="89" t="s">
        <v>214</v>
      </c>
      <c r="R165" s="90">
        <v>1000</v>
      </c>
      <c r="S165" s="90">
        <v>4000</v>
      </c>
      <c r="T165" s="90">
        <v>1000</v>
      </c>
      <c r="U165" s="90">
        <v>1000</v>
      </c>
      <c r="V165" s="90">
        <v>4000</v>
      </c>
      <c r="W165" s="81">
        <v>2</v>
      </c>
      <c r="X165" s="82"/>
      <c r="Y165" s="83" t="s">
        <v>208</v>
      </c>
      <c r="Z165" s="84"/>
      <c r="AA165" s="85"/>
      <c r="AB165" s="86"/>
      <c r="AC165" s="84">
        <v>6</v>
      </c>
      <c r="AD165" s="85" t="s">
        <v>175</v>
      </c>
      <c r="AE165" s="86">
        <v>1005</v>
      </c>
      <c r="AF165" s="83">
        <v>2</v>
      </c>
      <c r="AG165" s="85" t="s">
        <v>209</v>
      </c>
      <c r="AH165" s="86" t="s">
        <v>2005</v>
      </c>
      <c r="AI165" s="83">
        <v>3</v>
      </c>
      <c r="AJ165" s="85" t="s">
        <v>24</v>
      </c>
      <c r="AK165" s="86">
        <v>1450</v>
      </c>
      <c r="AL165" s="87"/>
      <c r="AM165" s="88"/>
      <c r="AN165" s="88" t="s">
        <v>476</v>
      </c>
      <c r="AO165" s="230" t="str">
        <f t="shared" si="4"/>
        <v>3SNMLBMNGKKBF25</v>
      </c>
    </row>
    <row r="166" spans="1:41" ht="15" customHeight="1" x14ac:dyDescent="0.15">
      <c r="A166" s="80">
        <v>333</v>
      </c>
      <c r="B166" s="89">
        <v>275</v>
      </c>
      <c r="C166" s="89">
        <v>5174</v>
      </c>
      <c r="D166" s="89" t="s">
        <v>116</v>
      </c>
      <c r="E166" s="89" t="s">
        <v>117</v>
      </c>
      <c r="F166" s="89" t="s">
        <v>210</v>
      </c>
      <c r="G166" s="89" t="str">
        <f t="shared" si="8"/>
        <v>3SNMLBMNGKKBF</v>
      </c>
      <c r="H166" s="89" t="s">
        <v>19</v>
      </c>
      <c r="I166" s="89" t="s">
        <v>470</v>
      </c>
      <c r="J166" s="89" t="s">
        <v>205</v>
      </c>
      <c r="K166" s="89" t="s">
        <v>212</v>
      </c>
      <c r="L166" s="89" t="s">
        <v>213</v>
      </c>
      <c r="M166" s="89" t="str">
        <f t="shared" si="9"/>
        <v>3SNMLBMNGKKBF251120</v>
      </c>
      <c r="N166" s="89" t="str">
        <f t="shared" si="10"/>
        <v>3SNMLBMNGKKBF251120</v>
      </c>
      <c r="O166" s="90">
        <v>25</v>
      </c>
      <c r="P166" s="89">
        <v>3</v>
      </c>
      <c r="Q166" s="89" t="s">
        <v>214</v>
      </c>
      <c r="R166" s="90">
        <v>1120</v>
      </c>
      <c r="S166" s="90">
        <v>4000</v>
      </c>
      <c r="T166" s="90">
        <v>1120</v>
      </c>
      <c r="U166" s="90">
        <v>1120</v>
      </c>
      <c r="V166" s="90">
        <v>4000</v>
      </c>
      <c r="W166" s="81">
        <v>2</v>
      </c>
      <c r="X166" s="82"/>
      <c r="Y166" s="83" t="s">
        <v>208</v>
      </c>
      <c r="Z166" s="84"/>
      <c r="AA166" s="85"/>
      <c r="AB166" s="86"/>
      <c r="AC166" s="84">
        <v>6</v>
      </c>
      <c r="AD166" s="85" t="s">
        <v>175</v>
      </c>
      <c r="AE166" s="86">
        <v>1125</v>
      </c>
      <c r="AF166" s="83">
        <v>2</v>
      </c>
      <c r="AG166" s="85" t="s">
        <v>209</v>
      </c>
      <c r="AH166" s="86" t="s">
        <v>2005</v>
      </c>
      <c r="AI166" s="83">
        <v>3</v>
      </c>
      <c r="AJ166" s="85" t="s">
        <v>24</v>
      </c>
      <c r="AK166" s="86">
        <v>1450</v>
      </c>
      <c r="AL166" s="87"/>
      <c r="AM166" s="88"/>
      <c r="AN166" s="88" t="s">
        <v>476</v>
      </c>
      <c r="AO166" s="230" t="str">
        <f t="shared" si="4"/>
        <v>3SNMLBMNGKKBF25</v>
      </c>
    </row>
    <row r="167" spans="1:41" ht="15" customHeight="1" x14ac:dyDescent="0.15">
      <c r="A167" s="80">
        <v>333</v>
      </c>
      <c r="B167" s="89">
        <v>275</v>
      </c>
      <c r="C167" s="89">
        <v>5174</v>
      </c>
      <c r="D167" s="89" t="s">
        <v>116</v>
      </c>
      <c r="E167" s="89" t="s">
        <v>117</v>
      </c>
      <c r="F167" s="89" t="s">
        <v>210</v>
      </c>
      <c r="G167" s="89" t="str">
        <f t="shared" si="8"/>
        <v>3SYMLBMNGKKBF</v>
      </c>
      <c r="H167" s="89" t="s">
        <v>19</v>
      </c>
      <c r="I167" s="89" t="s">
        <v>28</v>
      </c>
      <c r="J167" s="89" t="s">
        <v>205</v>
      </c>
      <c r="K167" s="89" t="s">
        <v>212</v>
      </c>
      <c r="L167" s="89" t="s">
        <v>213</v>
      </c>
      <c r="M167" s="89" t="str">
        <f t="shared" si="9"/>
        <v>3SYMLBMNGKKBF251120</v>
      </c>
      <c r="N167" s="89" t="str">
        <f t="shared" si="10"/>
        <v>3SYMLBMNGKKBF251120</v>
      </c>
      <c r="O167" s="90">
        <v>25</v>
      </c>
      <c r="P167" s="89">
        <v>3</v>
      </c>
      <c r="Q167" s="89" t="s">
        <v>214</v>
      </c>
      <c r="R167" s="90">
        <v>1120</v>
      </c>
      <c r="S167" s="90">
        <v>4000</v>
      </c>
      <c r="T167" s="90">
        <v>1120</v>
      </c>
      <c r="U167" s="90">
        <v>1120</v>
      </c>
      <c r="V167" s="90">
        <v>4000</v>
      </c>
      <c r="W167" s="81">
        <v>2</v>
      </c>
      <c r="X167" s="82"/>
      <c r="Y167" s="83" t="s">
        <v>208</v>
      </c>
      <c r="Z167" s="84"/>
      <c r="AA167" s="85"/>
      <c r="AB167" s="86"/>
      <c r="AC167" s="84">
        <v>6</v>
      </c>
      <c r="AD167" s="85" t="s">
        <v>175</v>
      </c>
      <c r="AE167" s="86">
        <v>1125</v>
      </c>
      <c r="AF167" s="83">
        <v>2</v>
      </c>
      <c r="AG167" s="85" t="s">
        <v>209</v>
      </c>
      <c r="AH167" s="86" t="s">
        <v>2005</v>
      </c>
      <c r="AI167" s="83">
        <v>3</v>
      </c>
      <c r="AJ167" s="85" t="s">
        <v>24</v>
      </c>
      <c r="AK167" s="86">
        <v>1450</v>
      </c>
      <c r="AL167" s="87"/>
      <c r="AM167" s="88"/>
      <c r="AN167" s="88" t="s">
        <v>476</v>
      </c>
      <c r="AO167" s="230" t="str">
        <f t="shared" si="4"/>
        <v>3SYMLBMNGKKBF25</v>
      </c>
    </row>
    <row r="168" spans="1:41" ht="15" customHeight="1" x14ac:dyDescent="0.15">
      <c r="A168" s="80">
        <v>333</v>
      </c>
      <c r="B168" s="89">
        <v>275</v>
      </c>
      <c r="C168" s="89">
        <v>5174</v>
      </c>
      <c r="D168" s="89" t="s">
        <v>116</v>
      </c>
      <c r="E168" s="89" t="s">
        <v>117</v>
      </c>
      <c r="F168" s="89" t="s">
        <v>210</v>
      </c>
      <c r="G168" s="89" t="str">
        <f t="shared" si="8"/>
        <v>3SNMLBMNGKKBF</v>
      </c>
      <c r="H168" s="89" t="s">
        <v>19</v>
      </c>
      <c r="I168" s="89" t="s">
        <v>20</v>
      </c>
      <c r="J168" s="89" t="s">
        <v>205</v>
      </c>
      <c r="K168" s="89" t="s">
        <v>212</v>
      </c>
      <c r="L168" s="89" t="s">
        <v>213</v>
      </c>
      <c r="M168" s="89" t="str">
        <f t="shared" si="9"/>
        <v>3SNMLBMNGKKBF501000</v>
      </c>
      <c r="N168" s="89" t="str">
        <f t="shared" si="10"/>
        <v>3SNMLBMNGKKBF501000</v>
      </c>
      <c r="O168" s="90">
        <v>50</v>
      </c>
      <c r="P168" s="89">
        <v>3</v>
      </c>
      <c r="Q168" s="89" t="s">
        <v>215</v>
      </c>
      <c r="R168" s="90">
        <v>1000</v>
      </c>
      <c r="S168" s="90">
        <v>4000</v>
      </c>
      <c r="T168" s="90">
        <v>1000</v>
      </c>
      <c r="U168" s="90">
        <v>1000</v>
      </c>
      <c r="V168" s="90">
        <v>4000</v>
      </c>
      <c r="W168" s="81">
        <v>2</v>
      </c>
      <c r="X168" s="82"/>
      <c r="Y168" s="83" t="s">
        <v>208</v>
      </c>
      <c r="Z168" s="84"/>
      <c r="AA168" s="85"/>
      <c r="AB168" s="86"/>
      <c r="AC168" s="84">
        <v>6</v>
      </c>
      <c r="AD168" s="85" t="s">
        <v>175</v>
      </c>
      <c r="AE168" s="86">
        <v>1005</v>
      </c>
      <c r="AF168" s="83">
        <v>2</v>
      </c>
      <c r="AG168" s="85" t="s">
        <v>209</v>
      </c>
      <c r="AH168" s="86" t="s">
        <v>2005</v>
      </c>
      <c r="AI168" s="83">
        <v>3</v>
      </c>
      <c r="AJ168" s="85" t="s">
        <v>24</v>
      </c>
      <c r="AK168" s="86">
        <v>1450</v>
      </c>
      <c r="AL168" s="87"/>
      <c r="AM168" s="88"/>
      <c r="AN168" s="88" t="s">
        <v>476</v>
      </c>
      <c r="AO168" s="230" t="str">
        <f t="shared" si="4"/>
        <v>3SNMLBMNGKKBF50</v>
      </c>
    </row>
    <row r="169" spans="1:41" ht="15" customHeight="1" x14ac:dyDescent="0.15">
      <c r="A169" s="80">
        <v>333</v>
      </c>
      <c r="B169" s="89">
        <v>275</v>
      </c>
      <c r="C169" s="89">
        <v>5174</v>
      </c>
      <c r="D169" s="89" t="s">
        <v>116</v>
      </c>
      <c r="E169" s="89" t="s">
        <v>117</v>
      </c>
      <c r="F169" s="89" t="s">
        <v>210</v>
      </c>
      <c r="G169" s="89" t="str">
        <f t="shared" si="8"/>
        <v>3SNMLBMNGKKBF</v>
      </c>
      <c r="H169" s="89" t="s">
        <v>19</v>
      </c>
      <c r="I169" s="89" t="s">
        <v>20</v>
      </c>
      <c r="J169" s="89" t="s">
        <v>205</v>
      </c>
      <c r="K169" s="89" t="s">
        <v>212</v>
      </c>
      <c r="L169" s="89" t="s">
        <v>213</v>
      </c>
      <c r="M169" s="89" t="str">
        <f t="shared" si="9"/>
        <v>3SNMLBMNGKKBF501120</v>
      </c>
      <c r="N169" s="89" t="str">
        <f t="shared" si="10"/>
        <v>3SNMLBMNGKKBF501120</v>
      </c>
      <c r="O169" s="90">
        <v>50</v>
      </c>
      <c r="P169" s="89">
        <v>3</v>
      </c>
      <c r="Q169" s="89" t="s">
        <v>215</v>
      </c>
      <c r="R169" s="90">
        <v>1120</v>
      </c>
      <c r="S169" s="90">
        <v>4000</v>
      </c>
      <c r="T169" s="90">
        <v>1120</v>
      </c>
      <c r="U169" s="90">
        <v>1120</v>
      </c>
      <c r="V169" s="90">
        <v>4000</v>
      </c>
      <c r="W169" s="81">
        <v>2</v>
      </c>
      <c r="X169" s="82"/>
      <c r="Y169" s="83" t="s">
        <v>208</v>
      </c>
      <c r="Z169" s="84"/>
      <c r="AA169" s="85"/>
      <c r="AB169" s="86"/>
      <c r="AC169" s="84">
        <v>6</v>
      </c>
      <c r="AD169" s="85" t="s">
        <v>175</v>
      </c>
      <c r="AE169" s="86">
        <v>1125</v>
      </c>
      <c r="AF169" s="83">
        <v>2</v>
      </c>
      <c r="AG169" s="85" t="s">
        <v>209</v>
      </c>
      <c r="AH169" s="86" t="s">
        <v>2005</v>
      </c>
      <c r="AI169" s="83">
        <v>3</v>
      </c>
      <c r="AJ169" s="85" t="s">
        <v>24</v>
      </c>
      <c r="AK169" s="86">
        <v>1450</v>
      </c>
      <c r="AL169" s="87"/>
      <c r="AM169" s="88"/>
      <c r="AN169" s="88" t="s">
        <v>476</v>
      </c>
      <c r="AO169" s="230" t="str">
        <f t="shared" ref="AO169:AO284" si="11">G169&amp;O169</f>
        <v>3SNMLBMNGKKBF50</v>
      </c>
    </row>
    <row r="170" spans="1:41" ht="15" customHeight="1" x14ac:dyDescent="0.15">
      <c r="A170" s="80">
        <v>333</v>
      </c>
      <c r="B170" s="89">
        <v>275</v>
      </c>
      <c r="C170" s="89">
        <v>5174</v>
      </c>
      <c r="D170" s="89" t="s">
        <v>116</v>
      </c>
      <c r="E170" s="89" t="s">
        <v>117</v>
      </c>
      <c r="F170" s="89" t="s">
        <v>210</v>
      </c>
      <c r="G170" s="89" t="str">
        <f t="shared" si="8"/>
        <v>3SNMLBMNGKKBF</v>
      </c>
      <c r="H170" s="89" t="s">
        <v>19</v>
      </c>
      <c r="I170" s="89" t="s">
        <v>20</v>
      </c>
      <c r="J170" s="89" t="s">
        <v>205</v>
      </c>
      <c r="K170" s="89" t="s">
        <v>212</v>
      </c>
      <c r="L170" s="89" t="s">
        <v>213</v>
      </c>
      <c r="M170" s="89" t="str">
        <f t="shared" si="9"/>
        <v>3SNMLBMNGKKBF751000</v>
      </c>
      <c r="N170" s="89" t="str">
        <f t="shared" si="10"/>
        <v>3SNMLBMNGKKBF751000</v>
      </c>
      <c r="O170" s="90">
        <v>75</v>
      </c>
      <c r="P170" s="89">
        <v>3</v>
      </c>
      <c r="Q170" s="89" t="s">
        <v>215</v>
      </c>
      <c r="R170" s="90">
        <v>1000</v>
      </c>
      <c r="S170" s="90">
        <v>2000</v>
      </c>
      <c r="T170" s="90">
        <v>1000</v>
      </c>
      <c r="U170" s="90">
        <v>1000</v>
      </c>
      <c r="V170" s="90">
        <v>2000</v>
      </c>
      <c r="W170" s="81">
        <v>2</v>
      </c>
      <c r="X170" s="82"/>
      <c r="Y170" s="83" t="s">
        <v>208</v>
      </c>
      <c r="Z170" s="84"/>
      <c r="AA170" s="85"/>
      <c r="AB170" s="86"/>
      <c r="AC170" s="84">
        <v>6</v>
      </c>
      <c r="AD170" s="85" t="s">
        <v>175</v>
      </c>
      <c r="AE170" s="86">
        <v>1005</v>
      </c>
      <c r="AF170" s="83">
        <v>2</v>
      </c>
      <c r="AG170" s="85" t="s">
        <v>209</v>
      </c>
      <c r="AH170" s="86" t="s">
        <v>2005</v>
      </c>
      <c r="AI170" s="83">
        <v>3</v>
      </c>
      <c r="AJ170" s="85" t="s">
        <v>24</v>
      </c>
      <c r="AK170" s="86">
        <v>1450</v>
      </c>
      <c r="AL170" s="87"/>
      <c r="AM170" s="88"/>
      <c r="AN170" s="88" t="s">
        <v>476</v>
      </c>
      <c r="AO170" s="230" t="str">
        <f t="shared" si="11"/>
        <v>3SNMLBMNGKKBF75</v>
      </c>
    </row>
    <row r="171" spans="1:41" ht="15" customHeight="1" x14ac:dyDescent="0.15">
      <c r="A171" s="80">
        <v>333</v>
      </c>
      <c r="B171" s="89">
        <v>275</v>
      </c>
      <c r="C171" s="89">
        <v>5174</v>
      </c>
      <c r="D171" s="89" t="s">
        <v>116</v>
      </c>
      <c r="E171" s="89" t="s">
        <v>117</v>
      </c>
      <c r="F171" s="89" t="s">
        <v>210</v>
      </c>
      <c r="G171" s="89" t="str">
        <f t="shared" si="8"/>
        <v>3SNMLBMNGTBF</v>
      </c>
      <c r="H171" s="89" t="s">
        <v>19</v>
      </c>
      <c r="I171" s="89" t="s">
        <v>20</v>
      </c>
      <c r="J171" s="89" t="s">
        <v>205</v>
      </c>
      <c r="K171" s="89" t="s">
        <v>216</v>
      </c>
      <c r="L171" s="89" t="s">
        <v>217</v>
      </c>
      <c r="M171" s="89" t="str">
        <f t="shared" si="9"/>
        <v>3SNMLBMNGTBF251005</v>
      </c>
      <c r="N171" s="89" t="str">
        <f t="shared" si="10"/>
        <v>3SNMLBMNGTBF251000</v>
      </c>
      <c r="O171" s="90">
        <v>25</v>
      </c>
      <c r="P171" s="89">
        <v>3</v>
      </c>
      <c r="Q171" s="89" t="s">
        <v>151</v>
      </c>
      <c r="R171" s="90">
        <v>1005</v>
      </c>
      <c r="S171" s="90">
        <v>12100</v>
      </c>
      <c r="T171" s="90">
        <v>1005</v>
      </c>
      <c r="U171" s="90">
        <v>1000</v>
      </c>
      <c r="V171" s="90">
        <v>4000</v>
      </c>
      <c r="W171" s="81">
        <v>2</v>
      </c>
      <c r="X171" s="82"/>
      <c r="Y171" s="83" t="s">
        <v>208</v>
      </c>
      <c r="Z171" s="84"/>
      <c r="AA171" s="85"/>
      <c r="AB171" s="86"/>
      <c r="AC171" s="84">
        <v>6</v>
      </c>
      <c r="AD171" s="85" t="s">
        <v>175</v>
      </c>
      <c r="AE171" s="86">
        <v>1015</v>
      </c>
      <c r="AF171" s="83">
        <v>2</v>
      </c>
      <c r="AG171" s="85" t="s">
        <v>209</v>
      </c>
      <c r="AH171" s="86" t="s">
        <v>2005</v>
      </c>
      <c r="AI171" s="83"/>
      <c r="AJ171" s="85"/>
      <c r="AK171" s="86"/>
      <c r="AL171" s="87"/>
      <c r="AM171" s="88"/>
      <c r="AN171" s="88" t="s">
        <v>476</v>
      </c>
      <c r="AO171" s="230" t="str">
        <f t="shared" si="11"/>
        <v>3SNMLBMNGTBF25</v>
      </c>
    </row>
    <row r="172" spans="1:41" ht="15" customHeight="1" x14ac:dyDescent="0.15">
      <c r="A172" s="80">
        <v>333</v>
      </c>
      <c r="B172" s="89">
        <v>275</v>
      </c>
      <c r="C172" s="89">
        <v>5174</v>
      </c>
      <c r="D172" s="89" t="s">
        <v>116</v>
      </c>
      <c r="E172" s="89" t="s">
        <v>117</v>
      </c>
      <c r="F172" s="89" t="s">
        <v>210</v>
      </c>
      <c r="G172" s="89" t="str">
        <f t="shared" si="8"/>
        <v>3SNMLBMNGTBF</v>
      </c>
      <c r="H172" s="89" t="s">
        <v>19</v>
      </c>
      <c r="I172" s="89" t="s">
        <v>20</v>
      </c>
      <c r="J172" s="89" t="s">
        <v>205</v>
      </c>
      <c r="K172" s="89" t="s">
        <v>216</v>
      </c>
      <c r="L172" s="89" t="s">
        <v>217</v>
      </c>
      <c r="M172" s="89" t="str">
        <f t="shared" si="9"/>
        <v>3SNMLBMNGTBF251125</v>
      </c>
      <c r="N172" s="89" t="str">
        <f t="shared" si="10"/>
        <v>3SNMLBMNGTBF251120</v>
      </c>
      <c r="O172" s="90">
        <v>25</v>
      </c>
      <c r="P172" s="89">
        <v>3</v>
      </c>
      <c r="Q172" s="89" t="s">
        <v>151</v>
      </c>
      <c r="R172" s="90">
        <v>1125</v>
      </c>
      <c r="S172" s="90">
        <v>12100</v>
      </c>
      <c r="T172" s="90">
        <v>1125</v>
      </c>
      <c r="U172" s="90">
        <v>1120</v>
      </c>
      <c r="V172" s="90">
        <v>4000</v>
      </c>
      <c r="W172" s="81">
        <v>2</v>
      </c>
      <c r="X172" s="82"/>
      <c r="Y172" s="83" t="s">
        <v>208</v>
      </c>
      <c r="Z172" s="84"/>
      <c r="AA172" s="85"/>
      <c r="AB172" s="86"/>
      <c r="AC172" s="84">
        <v>6</v>
      </c>
      <c r="AD172" s="85" t="s">
        <v>175</v>
      </c>
      <c r="AE172" s="86">
        <v>1130</v>
      </c>
      <c r="AF172" s="83">
        <v>2</v>
      </c>
      <c r="AG172" s="85" t="s">
        <v>209</v>
      </c>
      <c r="AH172" s="86" t="s">
        <v>2005</v>
      </c>
      <c r="AI172" s="83"/>
      <c r="AJ172" s="85"/>
      <c r="AK172" s="86"/>
      <c r="AL172" s="87"/>
      <c r="AM172" s="88"/>
      <c r="AN172" s="88" t="s">
        <v>476</v>
      </c>
      <c r="AO172" s="230" t="str">
        <f t="shared" si="11"/>
        <v>3SNMLBMNGTBF25</v>
      </c>
    </row>
    <row r="173" spans="1:41" ht="15" customHeight="1" x14ac:dyDescent="0.15">
      <c r="A173" s="80">
        <v>333</v>
      </c>
      <c r="B173" s="89">
        <v>275</v>
      </c>
      <c r="C173" s="89">
        <v>5174</v>
      </c>
      <c r="D173" s="89" t="s">
        <v>116</v>
      </c>
      <c r="E173" s="89" t="s">
        <v>117</v>
      </c>
      <c r="F173" s="89" t="s">
        <v>210</v>
      </c>
      <c r="G173" s="89" t="str">
        <f t="shared" si="8"/>
        <v>3SNMLBMNGTBF</v>
      </c>
      <c r="H173" s="89" t="s">
        <v>19</v>
      </c>
      <c r="I173" s="89" t="s">
        <v>20</v>
      </c>
      <c r="J173" s="89" t="s">
        <v>205</v>
      </c>
      <c r="K173" s="89" t="s">
        <v>216</v>
      </c>
      <c r="L173" s="89" t="s">
        <v>217</v>
      </c>
      <c r="M173" s="89" t="str">
        <f t="shared" si="9"/>
        <v>3SNMLBMNGTBF501120</v>
      </c>
      <c r="N173" s="89" t="str">
        <f t="shared" si="10"/>
        <v>3SNMLBMNGTBF501120</v>
      </c>
      <c r="O173" s="90">
        <v>50</v>
      </c>
      <c r="P173" s="89">
        <v>3</v>
      </c>
      <c r="Q173" s="89" t="s">
        <v>189</v>
      </c>
      <c r="R173" s="90">
        <v>1120</v>
      </c>
      <c r="S173" s="90">
        <v>5000</v>
      </c>
      <c r="T173" s="90">
        <v>1120</v>
      </c>
      <c r="U173" s="90">
        <v>1120</v>
      </c>
      <c r="V173" s="90">
        <v>5000</v>
      </c>
      <c r="W173" s="81">
        <v>2</v>
      </c>
      <c r="X173" s="82"/>
      <c r="Y173" s="83" t="s">
        <v>208</v>
      </c>
      <c r="Z173" s="84"/>
      <c r="AA173" s="85"/>
      <c r="AB173" s="86"/>
      <c r="AC173" s="84">
        <v>6</v>
      </c>
      <c r="AD173" s="85" t="s">
        <v>175</v>
      </c>
      <c r="AE173" s="86">
        <v>1125</v>
      </c>
      <c r="AF173" s="83">
        <v>2</v>
      </c>
      <c r="AG173" s="85" t="s">
        <v>24</v>
      </c>
      <c r="AH173" s="86">
        <v>1450</v>
      </c>
      <c r="AI173" s="83"/>
      <c r="AJ173" s="85"/>
      <c r="AK173" s="86"/>
      <c r="AL173" s="87"/>
      <c r="AM173" s="88" t="s">
        <v>501</v>
      </c>
      <c r="AN173" s="88" t="s">
        <v>476</v>
      </c>
      <c r="AO173" s="230" t="str">
        <f t="shared" si="11"/>
        <v>3SNMLBMNGTBF50</v>
      </c>
    </row>
    <row r="174" spans="1:41" ht="15" customHeight="1" x14ac:dyDescent="0.15">
      <c r="A174" s="80">
        <v>333</v>
      </c>
      <c r="B174" s="89">
        <v>275</v>
      </c>
      <c r="C174" s="89">
        <v>5174</v>
      </c>
      <c r="D174" s="89" t="s">
        <v>116</v>
      </c>
      <c r="E174" s="89" t="s">
        <v>117</v>
      </c>
      <c r="F174" s="89" t="s">
        <v>210</v>
      </c>
      <c r="G174" s="89" t="str">
        <f t="shared" si="8"/>
        <v>3XSNMLBMNGTBF</v>
      </c>
      <c r="H174" s="89" t="s">
        <v>19</v>
      </c>
      <c r="I174" s="89" t="s">
        <v>20</v>
      </c>
      <c r="J174" s="89" t="s">
        <v>205</v>
      </c>
      <c r="K174" s="89" t="s">
        <v>216</v>
      </c>
      <c r="L174" s="89" t="s">
        <v>217</v>
      </c>
      <c r="M174" s="89" t="str">
        <f t="shared" si="9"/>
        <v>3XSNMLBMNGTBF501120</v>
      </c>
      <c r="N174" s="89" t="str">
        <f t="shared" si="10"/>
        <v>3XSNMLBMNGTBF501120</v>
      </c>
      <c r="O174" s="90">
        <v>50</v>
      </c>
      <c r="P174" s="89" t="s">
        <v>1830</v>
      </c>
      <c r="Q174" s="89" t="s">
        <v>189</v>
      </c>
      <c r="R174" s="90">
        <v>1120</v>
      </c>
      <c r="S174" s="90">
        <v>5000</v>
      </c>
      <c r="T174" s="90">
        <v>1120</v>
      </c>
      <c r="U174" s="90">
        <v>1120</v>
      </c>
      <c r="V174" s="90">
        <v>5000</v>
      </c>
      <c r="W174" s="81">
        <v>2</v>
      </c>
      <c r="X174" s="82"/>
      <c r="Y174" s="83" t="s">
        <v>208</v>
      </c>
      <c r="Z174" s="84"/>
      <c r="AA174" s="85"/>
      <c r="AB174" s="86"/>
      <c r="AC174" s="84">
        <v>6</v>
      </c>
      <c r="AD174" s="85" t="s">
        <v>175</v>
      </c>
      <c r="AE174" s="86">
        <v>1125</v>
      </c>
      <c r="AF174" s="83">
        <v>2</v>
      </c>
      <c r="AG174" s="85" t="s">
        <v>24</v>
      </c>
      <c r="AH174" s="86">
        <v>1450</v>
      </c>
      <c r="AI174" s="83"/>
      <c r="AJ174" s="85"/>
      <c r="AK174" s="86"/>
      <c r="AL174" s="87"/>
      <c r="AM174" s="88" t="s">
        <v>501</v>
      </c>
      <c r="AN174" s="88" t="s">
        <v>476</v>
      </c>
      <c r="AO174" s="230" t="str">
        <f t="shared" si="11"/>
        <v>3XSNMLBMNGTBF50</v>
      </c>
    </row>
    <row r="175" spans="1:41" ht="15" customHeight="1" x14ac:dyDescent="0.15">
      <c r="A175" s="80">
        <v>333</v>
      </c>
      <c r="B175" s="89">
        <v>275</v>
      </c>
      <c r="C175" s="89">
        <v>5174</v>
      </c>
      <c r="D175" s="89" t="s">
        <v>116</v>
      </c>
      <c r="E175" s="89" t="s">
        <v>117</v>
      </c>
      <c r="F175" s="89" t="s">
        <v>210</v>
      </c>
      <c r="G175" s="89" t="str">
        <f t="shared" si="8"/>
        <v>3HSNMLBMNGTBF</v>
      </c>
      <c r="H175" s="89" t="s">
        <v>19</v>
      </c>
      <c r="I175" s="89" t="s">
        <v>20</v>
      </c>
      <c r="J175" s="89" t="s">
        <v>205</v>
      </c>
      <c r="K175" s="89" t="s">
        <v>216</v>
      </c>
      <c r="L175" s="89" t="s">
        <v>217</v>
      </c>
      <c r="M175" s="89" t="str">
        <f t="shared" si="9"/>
        <v>3HSNMLBMNGTBF501195</v>
      </c>
      <c r="N175" s="89" t="str">
        <f t="shared" si="10"/>
        <v>3HSNMLBMNGTBF501120</v>
      </c>
      <c r="O175" s="90">
        <v>50</v>
      </c>
      <c r="P175" s="89" t="s">
        <v>468</v>
      </c>
      <c r="Q175" s="89" t="s">
        <v>1803</v>
      </c>
      <c r="R175" s="90">
        <v>1195</v>
      </c>
      <c r="S175" s="90">
        <v>6100</v>
      </c>
      <c r="T175" s="90">
        <v>1120</v>
      </c>
      <c r="U175" s="90">
        <v>1120</v>
      </c>
      <c r="V175" s="90">
        <v>5000</v>
      </c>
      <c r="W175" s="81">
        <v>2</v>
      </c>
      <c r="X175" s="82"/>
      <c r="Y175" s="83" t="s">
        <v>208</v>
      </c>
      <c r="Z175" s="84"/>
      <c r="AA175" s="85"/>
      <c r="AB175" s="86"/>
      <c r="AC175" s="84">
        <v>6</v>
      </c>
      <c r="AD175" s="85" t="s">
        <v>175</v>
      </c>
      <c r="AE175" s="86">
        <v>1125</v>
      </c>
      <c r="AF175" s="83">
        <v>2</v>
      </c>
      <c r="AG175" s="85" t="s">
        <v>24</v>
      </c>
      <c r="AH175" s="86">
        <v>1450</v>
      </c>
      <c r="AI175" s="83"/>
      <c r="AJ175" s="85"/>
      <c r="AK175" s="86"/>
      <c r="AL175" s="87"/>
      <c r="AM175" s="88" t="s">
        <v>501</v>
      </c>
      <c r="AN175" s="88" t="s">
        <v>476</v>
      </c>
      <c r="AO175" s="230" t="str">
        <f t="shared" si="11"/>
        <v>3HSNMLBMNGTBF50</v>
      </c>
    </row>
    <row r="176" spans="1:41" ht="15" customHeight="1" x14ac:dyDescent="0.15">
      <c r="A176" s="80">
        <v>333</v>
      </c>
      <c r="B176" s="89">
        <v>275</v>
      </c>
      <c r="C176" s="89">
        <v>5174</v>
      </c>
      <c r="D176" s="89" t="s">
        <v>116</v>
      </c>
      <c r="E176" s="89" t="s">
        <v>117</v>
      </c>
      <c r="F176" s="89" t="s">
        <v>210</v>
      </c>
      <c r="G176" s="89" t="str">
        <f t="shared" si="8"/>
        <v>3SNMLBMNNGKBF</v>
      </c>
      <c r="H176" s="89" t="s">
        <v>19</v>
      </c>
      <c r="I176" s="89" t="s">
        <v>20</v>
      </c>
      <c r="J176" s="89" t="s">
        <v>205</v>
      </c>
      <c r="K176" s="89" t="s">
        <v>218</v>
      </c>
      <c r="L176" s="89" t="s">
        <v>219</v>
      </c>
      <c r="M176" s="89" t="str">
        <f t="shared" si="9"/>
        <v>3SNMLBMNNGKBF251005</v>
      </c>
      <c r="N176" s="89" t="str">
        <f t="shared" si="10"/>
        <v>3SNMLBMNNGKBF251000</v>
      </c>
      <c r="O176" s="90">
        <v>25</v>
      </c>
      <c r="P176" s="89">
        <v>3</v>
      </c>
      <c r="Q176" s="89" t="s">
        <v>220</v>
      </c>
      <c r="R176" s="90">
        <v>1005</v>
      </c>
      <c r="S176" s="90">
        <v>8000</v>
      </c>
      <c r="T176" s="90">
        <v>1005</v>
      </c>
      <c r="U176" s="90">
        <v>1000</v>
      </c>
      <c r="V176" s="90">
        <v>4000</v>
      </c>
      <c r="W176" s="81">
        <v>2</v>
      </c>
      <c r="X176" s="82"/>
      <c r="Y176" s="83" t="s">
        <v>208</v>
      </c>
      <c r="Z176" s="84"/>
      <c r="AA176" s="85"/>
      <c r="AB176" s="86"/>
      <c r="AC176" s="84">
        <v>6</v>
      </c>
      <c r="AD176" s="85" t="s">
        <v>175</v>
      </c>
      <c r="AE176" s="86">
        <v>1015</v>
      </c>
      <c r="AF176" s="83">
        <v>2</v>
      </c>
      <c r="AG176" s="85" t="s">
        <v>209</v>
      </c>
      <c r="AH176" s="86" t="s">
        <v>2005</v>
      </c>
      <c r="AI176" s="83">
        <v>3</v>
      </c>
      <c r="AJ176" s="85" t="s">
        <v>24</v>
      </c>
      <c r="AK176" s="86">
        <v>1450</v>
      </c>
      <c r="AL176" s="87"/>
      <c r="AM176" s="88"/>
      <c r="AN176" s="88" t="s">
        <v>476</v>
      </c>
      <c r="AO176" s="230" t="str">
        <f t="shared" si="11"/>
        <v>3SNMLBMNNGKBF25</v>
      </c>
    </row>
    <row r="177" spans="1:41" ht="15" customHeight="1" x14ac:dyDescent="0.15">
      <c r="A177" s="80">
        <v>333</v>
      </c>
      <c r="B177" s="89">
        <v>275</v>
      </c>
      <c r="C177" s="89">
        <v>5174</v>
      </c>
      <c r="D177" s="89" t="s">
        <v>116</v>
      </c>
      <c r="E177" s="89" t="s">
        <v>117</v>
      </c>
      <c r="F177" s="89" t="s">
        <v>210</v>
      </c>
      <c r="G177" s="89" t="str">
        <f t="shared" si="8"/>
        <v>3SNMLBMNNGKBF</v>
      </c>
      <c r="H177" s="89" t="s">
        <v>19</v>
      </c>
      <c r="I177" s="89" t="s">
        <v>20</v>
      </c>
      <c r="J177" s="89" t="s">
        <v>205</v>
      </c>
      <c r="K177" s="89" t="s">
        <v>218</v>
      </c>
      <c r="L177" s="89" t="s">
        <v>219</v>
      </c>
      <c r="M177" s="89" t="str">
        <f t="shared" si="9"/>
        <v>3SNMLBMNNGKBF501000</v>
      </c>
      <c r="N177" s="89" t="str">
        <f t="shared" si="10"/>
        <v>3SNMLBMNNGKBF501000</v>
      </c>
      <c r="O177" s="90">
        <v>50</v>
      </c>
      <c r="P177" s="89">
        <v>3</v>
      </c>
      <c r="Q177" s="89" t="s">
        <v>168</v>
      </c>
      <c r="R177" s="90">
        <v>1000</v>
      </c>
      <c r="S177" s="90">
        <v>4000</v>
      </c>
      <c r="T177" s="90">
        <v>1000</v>
      </c>
      <c r="U177" s="90">
        <v>1000</v>
      </c>
      <c r="V177" s="90">
        <v>4000</v>
      </c>
      <c r="W177" s="81">
        <v>2</v>
      </c>
      <c r="X177" s="82"/>
      <c r="Y177" s="83" t="s">
        <v>208</v>
      </c>
      <c r="Z177" s="84"/>
      <c r="AA177" s="85"/>
      <c r="AB177" s="86"/>
      <c r="AC177" s="84">
        <v>6</v>
      </c>
      <c r="AD177" s="85" t="s">
        <v>175</v>
      </c>
      <c r="AE177" s="86">
        <v>1005</v>
      </c>
      <c r="AF177" s="83">
        <v>2</v>
      </c>
      <c r="AG177" s="85" t="s">
        <v>209</v>
      </c>
      <c r="AH177" s="86" t="s">
        <v>2005</v>
      </c>
      <c r="AI177" s="83">
        <v>3</v>
      </c>
      <c r="AJ177" s="85" t="s">
        <v>24</v>
      </c>
      <c r="AK177" s="86">
        <v>1450</v>
      </c>
      <c r="AL177" s="87"/>
      <c r="AM177" s="88" t="s">
        <v>501</v>
      </c>
      <c r="AN177" s="88" t="s">
        <v>476</v>
      </c>
      <c r="AO177" s="230" t="str">
        <f t="shared" si="11"/>
        <v>3SNMLBMNNGKBF50</v>
      </c>
    </row>
    <row r="178" spans="1:41" ht="15" customHeight="1" x14ac:dyDescent="0.15">
      <c r="A178" s="80">
        <v>333</v>
      </c>
      <c r="B178" s="89">
        <v>275</v>
      </c>
      <c r="C178" s="89">
        <v>5174</v>
      </c>
      <c r="D178" s="89" t="s">
        <v>116</v>
      </c>
      <c r="E178" s="89" t="s">
        <v>117</v>
      </c>
      <c r="F178" s="89" t="s">
        <v>210</v>
      </c>
      <c r="G178" s="89" t="str">
        <f t="shared" si="8"/>
        <v>3SNMLBMNQR66F</v>
      </c>
      <c r="H178" s="89" t="s">
        <v>19</v>
      </c>
      <c r="I178" s="89" t="s">
        <v>20</v>
      </c>
      <c r="J178" s="89" t="s">
        <v>205</v>
      </c>
      <c r="K178" s="89" t="s">
        <v>221</v>
      </c>
      <c r="L178" s="89" t="s">
        <v>222</v>
      </c>
      <c r="M178" s="89" t="str">
        <f t="shared" si="9"/>
        <v>3SNMLBMNQR66F251000</v>
      </c>
      <c r="N178" s="89" t="str">
        <f t="shared" si="10"/>
        <v>3SNMLBMNQR66F251000</v>
      </c>
      <c r="O178" s="90">
        <v>25</v>
      </c>
      <c r="P178" s="89">
        <v>3</v>
      </c>
      <c r="Q178" s="89" t="s">
        <v>223</v>
      </c>
      <c r="R178" s="90">
        <v>1000</v>
      </c>
      <c r="S178" s="90">
        <v>6000</v>
      </c>
      <c r="T178" s="90">
        <v>1000</v>
      </c>
      <c r="U178" s="90">
        <v>1000</v>
      </c>
      <c r="V178" s="90">
        <v>6000</v>
      </c>
      <c r="W178" s="81">
        <v>2</v>
      </c>
      <c r="X178" s="82"/>
      <c r="Y178" s="83" t="s">
        <v>208</v>
      </c>
      <c r="Z178" s="84"/>
      <c r="AA178" s="85"/>
      <c r="AB178" s="86"/>
      <c r="AC178" s="84">
        <v>6</v>
      </c>
      <c r="AD178" s="85" t="s">
        <v>147</v>
      </c>
      <c r="AE178" s="86">
        <v>1010</v>
      </c>
      <c r="AF178" s="83">
        <v>2</v>
      </c>
      <c r="AG178" s="85" t="s">
        <v>24</v>
      </c>
      <c r="AH178" s="86">
        <v>1450</v>
      </c>
      <c r="AI178" s="83">
        <v>3</v>
      </c>
      <c r="AJ178" s="85" t="s">
        <v>24</v>
      </c>
      <c r="AK178" s="86">
        <v>1450</v>
      </c>
      <c r="AL178" s="87"/>
      <c r="AM178" s="88" t="s">
        <v>501</v>
      </c>
      <c r="AN178" s="88" t="s">
        <v>476</v>
      </c>
      <c r="AO178" s="230" t="str">
        <f t="shared" si="11"/>
        <v>3SNMLBMNQR66F25</v>
      </c>
    </row>
    <row r="179" spans="1:41" ht="15" customHeight="1" x14ac:dyDescent="0.15">
      <c r="A179" s="80">
        <v>333</v>
      </c>
      <c r="B179" s="89">
        <v>275</v>
      </c>
      <c r="C179" s="89">
        <v>5174</v>
      </c>
      <c r="D179" s="89" t="s">
        <v>116</v>
      </c>
      <c r="E179" s="89" t="s">
        <v>117</v>
      </c>
      <c r="F179" s="89" t="s">
        <v>210</v>
      </c>
      <c r="G179" s="89" t="str">
        <f t="shared" si="8"/>
        <v>3SNMLBMNQR66F</v>
      </c>
      <c r="H179" s="89" t="s">
        <v>19</v>
      </c>
      <c r="I179" s="89" t="s">
        <v>20</v>
      </c>
      <c r="J179" s="89" t="s">
        <v>205</v>
      </c>
      <c r="K179" s="89" t="s">
        <v>221</v>
      </c>
      <c r="L179" s="89" t="s">
        <v>222</v>
      </c>
      <c r="M179" s="89" t="str">
        <f t="shared" si="9"/>
        <v>3SNMLBMNQR66F251100</v>
      </c>
      <c r="N179" s="89" t="str">
        <f t="shared" si="10"/>
        <v>3SNMLBMNQR66F251100</v>
      </c>
      <c r="O179" s="90">
        <v>25</v>
      </c>
      <c r="P179" s="89">
        <v>3</v>
      </c>
      <c r="Q179" s="89" t="s">
        <v>223</v>
      </c>
      <c r="R179" s="90">
        <v>1100</v>
      </c>
      <c r="S179" s="90">
        <v>6000</v>
      </c>
      <c r="T179" s="90">
        <v>1100</v>
      </c>
      <c r="U179" s="90">
        <v>1100</v>
      </c>
      <c r="V179" s="90">
        <v>6000</v>
      </c>
      <c r="W179" s="81">
        <v>2</v>
      </c>
      <c r="X179" s="82"/>
      <c r="Y179" s="83" t="s">
        <v>208</v>
      </c>
      <c r="Z179" s="84"/>
      <c r="AA179" s="85"/>
      <c r="AB179" s="86"/>
      <c r="AC179" s="84">
        <v>6</v>
      </c>
      <c r="AD179" s="85" t="s">
        <v>147</v>
      </c>
      <c r="AE179" s="86">
        <v>1110</v>
      </c>
      <c r="AF179" s="83">
        <v>2</v>
      </c>
      <c r="AG179" s="85" t="s">
        <v>24</v>
      </c>
      <c r="AH179" s="86">
        <v>1450</v>
      </c>
      <c r="AI179" s="83">
        <v>3</v>
      </c>
      <c r="AJ179" s="85" t="s">
        <v>24</v>
      </c>
      <c r="AK179" s="86">
        <v>1450</v>
      </c>
      <c r="AL179" s="87"/>
      <c r="AM179" s="88" t="s">
        <v>501</v>
      </c>
      <c r="AN179" s="88" t="s">
        <v>476</v>
      </c>
      <c r="AO179" s="230" t="str">
        <f t="shared" si="11"/>
        <v>3SNMLBMNQR66F25</v>
      </c>
    </row>
    <row r="180" spans="1:41" ht="15" customHeight="1" x14ac:dyDescent="0.15">
      <c r="A180" s="80">
        <v>333</v>
      </c>
      <c r="B180" s="89">
        <v>275</v>
      </c>
      <c r="C180" s="89">
        <v>5174</v>
      </c>
      <c r="D180" s="89" t="s">
        <v>116</v>
      </c>
      <c r="E180" s="89" t="s">
        <v>117</v>
      </c>
      <c r="F180" s="89" t="s">
        <v>210</v>
      </c>
      <c r="G180" s="89" t="str">
        <f t="shared" si="8"/>
        <v>3SYMLBMSBBF</v>
      </c>
      <c r="H180" s="89" t="s">
        <v>19</v>
      </c>
      <c r="I180" s="89" t="s">
        <v>28</v>
      </c>
      <c r="J180" s="89" t="s">
        <v>205</v>
      </c>
      <c r="K180" s="89" t="s">
        <v>224</v>
      </c>
      <c r="L180" s="89" t="s">
        <v>225</v>
      </c>
      <c r="M180" s="89" t="str">
        <f t="shared" si="9"/>
        <v>3SYMLBMSBBF251120</v>
      </c>
      <c r="N180" s="89" t="str">
        <f t="shared" si="10"/>
        <v>3SYMLBMSBBF251120</v>
      </c>
      <c r="O180" s="90">
        <v>25</v>
      </c>
      <c r="P180" s="89">
        <v>3</v>
      </c>
      <c r="Q180" s="89" t="s">
        <v>189</v>
      </c>
      <c r="R180" s="90">
        <v>1120</v>
      </c>
      <c r="S180" s="90">
        <v>8000</v>
      </c>
      <c r="T180" s="90">
        <v>1120</v>
      </c>
      <c r="U180" s="90">
        <v>1120</v>
      </c>
      <c r="V180" s="90">
        <v>8000</v>
      </c>
      <c r="W180" s="81">
        <v>2</v>
      </c>
      <c r="X180" s="82"/>
      <c r="Y180" s="83" t="s">
        <v>208</v>
      </c>
      <c r="Z180" s="84"/>
      <c r="AA180" s="85"/>
      <c r="AB180" s="86"/>
      <c r="AC180" s="84">
        <v>6</v>
      </c>
      <c r="AD180" s="85" t="s">
        <v>175</v>
      </c>
      <c r="AE180" s="86">
        <v>1125</v>
      </c>
      <c r="AF180" s="83">
        <v>2</v>
      </c>
      <c r="AG180" s="85" t="s">
        <v>209</v>
      </c>
      <c r="AH180" s="86" t="s">
        <v>2005</v>
      </c>
      <c r="AI180" s="83">
        <v>3</v>
      </c>
      <c r="AJ180" s="85" t="s">
        <v>24</v>
      </c>
      <c r="AK180" s="86">
        <v>1450</v>
      </c>
      <c r="AL180" s="87"/>
      <c r="AM180" s="88"/>
      <c r="AN180" s="88" t="s">
        <v>476</v>
      </c>
      <c r="AO180" s="230" t="str">
        <f t="shared" si="11"/>
        <v>3SYMLBMSBBF25</v>
      </c>
    </row>
    <row r="181" spans="1:41" ht="15" customHeight="1" x14ac:dyDescent="0.15">
      <c r="A181" s="80">
        <v>333</v>
      </c>
      <c r="B181" s="89">
        <v>275</v>
      </c>
      <c r="C181" s="89">
        <v>5174</v>
      </c>
      <c r="D181" s="89" t="s">
        <v>116</v>
      </c>
      <c r="E181" s="89" t="s">
        <v>117</v>
      </c>
      <c r="F181" s="89" t="s">
        <v>210</v>
      </c>
      <c r="G181" s="89" t="str">
        <f t="shared" si="8"/>
        <v>3SYMLBMSBBF</v>
      </c>
      <c r="H181" s="89" t="s">
        <v>19</v>
      </c>
      <c r="I181" s="89" t="s">
        <v>28</v>
      </c>
      <c r="J181" s="89" t="s">
        <v>205</v>
      </c>
      <c r="K181" s="89" t="s">
        <v>224</v>
      </c>
      <c r="L181" s="89" t="s">
        <v>225</v>
      </c>
      <c r="M181" s="89" t="str">
        <f t="shared" si="9"/>
        <v>3SYMLBMSBBF501120</v>
      </c>
      <c r="N181" s="89" t="str">
        <f t="shared" si="10"/>
        <v>3SYMLBMSBBF501120</v>
      </c>
      <c r="O181" s="90">
        <v>50</v>
      </c>
      <c r="P181" s="89">
        <v>3</v>
      </c>
      <c r="Q181" s="89" t="s">
        <v>189</v>
      </c>
      <c r="R181" s="90">
        <v>1120</v>
      </c>
      <c r="S181" s="90">
        <v>5000</v>
      </c>
      <c r="T181" s="90">
        <v>1120</v>
      </c>
      <c r="U181" s="90">
        <v>1120</v>
      </c>
      <c r="V181" s="90">
        <v>5000</v>
      </c>
      <c r="W181" s="81">
        <v>2</v>
      </c>
      <c r="X181" s="82"/>
      <c r="Y181" s="83" t="s">
        <v>208</v>
      </c>
      <c r="Z181" s="84"/>
      <c r="AA181" s="85"/>
      <c r="AB181" s="86"/>
      <c r="AC181" s="84">
        <v>6</v>
      </c>
      <c r="AD181" s="85" t="s">
        <v>175</v>
      </c>
      <c r="AE181" s="86">
        <v>1125</v>
      </c>
      <c r="AF181" s="83">
        <v>2</v>
      </c>
      <c r="AG181" s="85" t="s">
        <v>209</v>
      </c>
      <c r="AH181" s="86" t="s">
        <v>2005</v>
      </c>
      <c r="AI181" s="83">
        <v>3</v>
      </c>
      <c r="AJ181" s="85" t="s">
        <v>24</v>
      </c>
      <c r="AK181" s="86">
        <v>1450</v>
      </c>
      <c r="AL181" s="87"/>
      <c r="AM181" s="88" t="s">
        <v>501</v>
      </c>
      <c r="AN181" s="88" t="s">
        <v>476</v>
      </c>
      <c r="AO181" s="230" t="str">
        <f t="shared" si="11"/>
        <v>3SYMLBMSBBF50</v>
      </c>
    </row>
    <row r="182" spans="1:41" ht="15" customHeight="1" x14ac:dyDescent="0.15">
      <c r="A182" s="80">
        <v>333</v>
      </c>
      <c r="B182" s="89">
        <v>275</v>
      </c>
      <c r="C182" s="89">
        <v>5174</v>
      </c>
      <c r="D182" s="89" t="s">
        <v>116</v>
      </c>
      <c r="E182" s="89" t="s">
        <v>117</v>
      </c>
      <c r="F182" s="89" t="s">
        <v>111</v>
      </c>
      <c r="G182" s="89" t="str">
        <f t="shared" si="8"/>
        <v>3SYMLBMSBBF</v>
      </c>
      <c r="H182" s="89" t="s">
        <v>19</v>
      </c>
      <c r="I182" s="89" t="s">
        <v>28</v>
      </c>
      <c r="J182" s="89" t="s">
        <v>205</v>
      </c>
      <c r="K182" s="89" t="s">
        <v>224</v>
      </c>
      <c r="L182" s="89" t="s">
        <v>225</v>
      </c>
      <c r="M182" s="89" t="str">
        <f t="shared" si="9"/>
        <v>3SYMLBMSBBF501120</v>
      </c>
      <c r="N182" s="89" t="str">
        <f t="shared" si="10"/>
        <v>3SYMLBMSBBF501120</v>
      </c>
      <c r="O182" s="90">
        <v>50</v>
      </c>
      <c r="P182" s="89">
        <v>3</v>
      </c>
      <c r="Q182" s="89" t="s">
        <v>189</v>
      </c>
      <c r="R182" s="90">
        <v>1120</v>
      </c>
      <c r="S182" s="90">
        <v>5000</v>
      </c>
      <c r="T182" s="90">
        <v>1120</v>
      </c>
      <c r="U182" s="90">
        <v>1120</v>
      </c>
      <c r="V182" s="90">
        <v>5000</v>
      </c>
      <c r="W182" s="81">
        <v>2</v>
      </c>
      <c r="X182" s="82"/>
      <c r="Y182" s="83" t="s">
        <v>208</v>
      </c>
      <c r="Z182" s="84"/>
      <c r="AA182" s="85"/>
      <c r="AB182" s="86"/>
      <c r="AC182" s="84">
        <v>6</v>
      </c>
      <c r="AD182" s="85" t="s">
        <v>175</v>
      </c>
      <c r="AE182" s="86">
        <v>1125</v>
      </c>
      <c r="AF182" s="83">
        <v>2</v>
      </c>
      <c r="AG182" s="85" t="s">
        <v>209</v>
      </c>
      <c r="AH182" s="86" t="s">
        <v>2005</v>
      </c>
      <c r="AI182" s="83">
        <v>3</v>
      </c>
      <c r="AJ182" s="85" t="s">
        <v>24</v>
      </c>
      <c r="AK182" s="86">
        <v>1450</v>
      </c>
      <c r="AL182" s="87"/>
      <c r="AM182" s="88" t="s">
        <v>501</v>
      </c>
      <c r="AN182" s="88" t="s">
        <v>476</v>
      </c>
      <c r="AO182" s="230" t="str">
        <f t="shared" si="11"/>
        <v>3SYMLBMSBBF50</v>
      </c>
    </row>
    <row r="183" spans="1:41" ht="15" customHeight="1" x14ac:dyDescent="0.15">
      <c r="A183" s="80">
        <v>333</v>
      </c>
      <c r="B183" s="89">
        <v>275</v>
      </c>
      <c r="C183" s="89">
        <v>5174</v>
      </c>
      <c r="D183" s="89" t="s">
        <v>116</v>
      </c>
      <c r="E183" s="89" t="s">
        <v>117</v>
      </c>
      <c r="F183" s="89" t="s">
        <v>210</v>
      </c>
      <c r="G183" s="89" t="str">
        <f t="shared" si="8"/>
        <v>3SYMLBMSBBZF</v>
      </c>
      <c r="H183" s="89" t="s">
        <v>19</v>
      </c>
      <c r="I183" s="89" t="s">
        <v>28</v>
      </c>
      <c r="J183" s="89" t="s">
        <v>205</v>
      </c>
      <c r="K183" s="89" t="s">
        <v>226</v>
      </c>
      <c r="L183" s="89" t="s">
        <v>227</v>
      </c>
      <c r="M183" s="89" t="str">
        <f t="shared" si="9"/>
        <v>3SYMLBMSBBZF251120</v>
      </c>
      <c r="N183" s="89" t="str">
        <f t="shared" si="10"/>
        <v>3SYMLBMSBBZF251120</v>
      </c>
      <c r="O183" s="90">
        <v>25</v>
      </c>
      <c r="P183" s="89">
        <v>3</v>
      </c>
      <c r="Q183" s="89" t="s">
        <v>189</v>
      </c>
      <c r="R183" s="90">
        <v>1120</v>
      </c>
      <c r="S183" s="90">
        <v>8000</v>
      </c>
      <c r="T183" s="90">
        <v>1120</v>
      </c>
      <c r="U183" s="90">
        <v>1120</v>
      </c>
      <c r="V183" s="90">
        <v>8000</v>
      </c>
      <c r="W183" s="81">
        <v>2</v>
      </c>
      <c r="X183" s="82"/>
      <c r="Y183" s="83" t="s">
        <v>208</v>
      </c>
      <c r="Z183" s="84"/>
      <c r="AA183" s="85"/>
      <c r="AB183" s="86"/>
      <c r="AC183" s="84">
        <v>6</v>
      </c>
      <c r="AD183" s="85" t="s">
        <v>175</v>
      </c>
      <c r="AE183" s="86">
        <v>1125</v>
      </c>
      <c r="AF183" s="83">
        <v>2</v>
      </c>
      <c r="AG183" s="85" t="s">
        <v>209</v>
      </c>
      <c r="AH183" s="86" t="s">
        <v>2005</v>
      </c>
      <c r="AI183" s="83">
        <v>3</v>
      </c>
      <c r="AJ183" s="85" t="s">
        <v>24</v>
      </c>
      <c r="AK183" s="86">
        <v>1450</v>
      </c>
      <c r="AL183" s="87"/>
      <c r="AM183" s="88"/>
      <c r="AN183" s="88" t="s">
        <v>476</v>
      </c>
      <c r="AO183" s="230" t="str">
        <f t="shared" si="11"/>
        <v>3SYMLBMSBBZF25</v>
      </c>
    </row>
    <row r="184" spans="1:41" ht="15" customHeight="1" x14ac:dyDescent="0.15">
      <c r="A184" s="80">
        <v>333</v>
      </c>
      <c r="B184" s="89">
        <v>275</v>
      </c>
      <c r="C184" s="89">
        <v>5174</v>
      </c>
      <c r="D184" s="89" t="s">
        <v>116</v>
      </c>
      <c r="E184" s="89" t="s">
        <v>117</v>
      </c>
      <c r="F184" s="89" t="s">
        <v>210</v>
      </c>
      <c r="G184" s="89" t="str">
        <f t="shared" si="8"/>
        <v>3SYMLBMSBBZF</v>
      </c>
      <c r="H184" s="89" t="s">
        <v>19</v>
      </c>
      <c r="I184" s="89" t="s">
        <v>28</v>
      </c>
      <c r="J184" s="89" t="s">
        <v>205</v>
      </c>
      <c r="K184" s="89" t="s">
        <v>226</v>
      </c>
      <c r="L184" s="89" t="s">
        <v>227</v>
      </c>
      <c r="M184" s="89" t="str">
        <f t="shared" si="9"/>
        <v>3SYMLBMSBBZF501120</v>
      </c>
      <c r="N184" s="89" t="str">
        <f t="shared" si="10"/>
        <v>3SYMLBMSBBZF501120</v>
      </c>
      <c r="O184" s="90">
        <v>50</v>
      </c>
      <c r="P184" s="89">
        <v>3</v>
      </c>
      <c r="Q184" s="89" t="s">
        <v>228</v>
      </c>
      <c r="R184" s="90">
        <v>1120</v>
      </c>
      <c r="S184" s="90">
        <v>5000</v>
      </c>
      <c r="T184" s="90">
        <v>1120</v>
      </c>
      <c r="U184" s="90">
        <v>1120</v>
      </c>
      <c r="V184" s="90">
        <v>5000</v>
      </c>
      <c r="W184" s="81">
        <v>2</v>
      </c>
      <c r="X184" s="82"/>
      <c r="Y184" s="83" t="s">
        <v>208</v>
      </c>
      <c r="Z184" s="84"/>
      <c r="AA184" s="85"/>
      <c r="AB184" s="86"/>
      <c r="AC184" s="84">
        <v>6</v>
      </c>
      <c r="AD184" s="85" t="s">
        <v>175</v>
      </c>
      <c r="AE184" s="86">
        <v>1125</v>
      </c>
      <c r="AF184" s="83">
        <v>2</v>
      </c>
      <c r="AG184" s="85" t="s">
        <v>209</v>
      </c>
      <c r="AH184" s="86" t="s">
        <v>2005</v>
      </c>
      <c r="AI184" s="83">
        <v>3</v>
      </c>
      <c r="AJ184" s="85" t="s">
        <v>24</v>
      </c>
      <c r="AK184" s="86">
        <v>1450</v>
      </c>
      <c r="AL184" s="87"/>
      <c r="AM184" s="88" t="s">
        <v>501</v>
      </c>
      <c r="AN184" s="88" t="s">
        <v>476</v>
      </c>
      <c r="AO184" s="230" t="str">
        <f t="shared" si="11"/>
        <v>3SYMLBMSBBZF50</v>
      </c>
    </row>
    <row r="185" spans="1:41" ht="15" customHeight="1" x14ac:dyDescent="0.15">
      <c r="A185" s="80">
        <v>333</v>
      </c>
      <c r="B185" s="89">
        <v>271</v>
      </c>
      <c r="C185" s="89">
        <v>34101</v>
      </c>
      <c r="D185" s="89" t="s">
        <v>229</v>
      </c>
      <c r="E185" s="89" t="s">
        <v>18</v>
      </c>
      <c r="F185" s="89" t="s">
        <v>26</v>
      </c>
      <c r="G185" s="89" t="str">
        <f t="shared" si="8"/>
        <v>3SNMLBMSF</v>
      </c>
      <c r="H185" s="89" t="s">
        <v>19</v>
      </c>
      <c r="I185" s="89" t="s">
        <v>20</v>
      </c>
      <c r="J185" s="89" t="s">
        <v>205</v>
      </c>
      <c r="K185" s="89" t="s">
        <v>230</v>
      </c>
      <c r="L185" s="89" t="s">
        <v>231</v>
      </c>
      <c r="M185" s="89" t="str">
        <f t="shared" si="9"/>
        <v>3SNMLBMSF251020</v>
      </c>
      <c r="N185" s="89" t="str">
        <f t="shared" si="10"/>
        <v>3SNMLBMSF251000</v>
      </c>
      <c r="O185" s="90">
        <v>25</v>
      </c>
      <c r="P185" s="89">
        <v>3</v>
      </c>
      <c r="Q185" s="89" t="s">
        <v>151</v>
      </c>
      <c r="R185" s="90">
        <v>1020</v>
      </c>
      <c r="S185" s="90">
        <v>12100</v>
      </c>
      <c r="T185" s="90">
        <v>1000</v>
      </c>
      <c r="U185" s="90">
        <v>1000</v>
      </c>
      <c r="V185" s="90">
        <v>2000</v>
      </c>
      <c r="W185" s="81">
        <v>2</v>
      </c>
      <c r="X185" s="82"/>
      <c r="Y185" s="83" t="s">
        <v>208</v>
      </c>
      <c r="Z185" s="84"/>
      <c r="AA185" s="85"/>
      <c r="AB185" s="86"/>
      <c r="AC185" s="84">
        <v>3</v>
      </c>
      <c r="AD185" s="85" t="s">
        <v>2003</v>
      </c>
      <c r="AE185" s="86">
        <v>1005</v>
      </c>
      <c r="AF185" s="83">
        <v>2</v>
      </c>
      <c r="AG185" s="85" t="s">
        <v>209</v>
      </c>
      <c r="AH185" s="86" t="s">
        <v>2005</v>
      </c>
      <c r="AI185" s="83">
        <v>3</v>
      </c>
      <c r="AJ185" s="85" t="s">
        <v>24</v>
      </c>
      <c r="AK185" s="86">
        <v>1450</v>
      </c>
      <c r="AL185" s="87"/>
      <c r="AM185" s="88"/>
      <c r="AN185" s="88" t="s">
        <v>476</v>
      </c>
      <c r="AO185" s="230" t="str">
        <f t="shared" si="11"/>
        <v>3SNMLBMSF25</v>
      </c>
    </row>
    <row r="186" spans="1:41" ht="15" customHeight="1" x14ac:dyDescent="0.15">
      <c r="A186" s="80">
        <v>333</v>
      </c>
      <c r="B186" s="89">
        <v>275</v>
      </c>
      <c r="C186" s="89">
        <v>3671</v>
      </c>
      <c r="D186" s="89" t="s">
        <v>232</v>
      </c>
      <c r="E186" s="89" t="s">
        <v>117</v>
      </c>
      <c r="F186" s="89" t="s">
        <v>46</v>
      </c>
      <c r="G186" s="89" t="str">
        <f t="shared" si="8"/>
        <v>3SNMLBMSF</v>
      </c>
      <c r="H186" s="89" t="s">
        <v>19</v>
      </c>
      <c r="I186" s="89" t="s">
        <v>20</v>
      </c>
      <c r="J186" s="89" t="s">
        <v>205</v>
      </c>
      <c r="K186" s="89" t="s">
        <v>230</v>
      </c>
      <c r="L186" s="89" t="s">
        <v>231</v>
      </c>
      <c r="M186" s="89" t="str">
        <f t="shared" si="9"/>
        <v>3SNMLBMSF251020</v>
      </c>
      <c r="N186" s="89" t="str">
        <f t="shared" si="10"/>
        <v>3SNMLBMSF251020</v>
      </c>
      <c r="O186" s="90">
        <v>25</v>
      </c>
      <c r="P186" s="89">
        <v>3</v>
      </c>
      <c r="Q186" s="89" t="s">
        <v>151</v>
      </c>
      <c r="R186" s="90">
        <v>1020</v>
      </c>
      <c r="S186" s="90">
        <v>12100</v>
      </c>
      <c r="T186" s="90">
        <v>1020</v>
      </c>
      <c r="U186" s="90">
        <v>1020</v>
      </c>
      <c r="V186" s="90">
        <v>2000</v>
      </c>
      <c r="W186" s="81">
        <v>1</v>
      </c>
      <c r="X186" s="82"/>
      <c r="Y186" s="83" t="s">
        <v>208</v>
      </c>
      <c r="Z186" s="84"/>
      <c r="AA186" s="85"/>
      <c r="AB186" s="86"/>
      <c r="AC186" s="84">
        <v>3</v>
      </c>
      <c r="AD186" s="85" t="s">
        <v>2003</v>
      </c>
      <c r="AE186" s="86">
        <v>1025</v>
      </c>
      <c r="AF186" s="83">
        <v>2</v>
      </c>
      <c r="AG186" s="85" t="s">
        <v>209</v>
      </c>
      <c r="AH186" s="86" t="s">
        <v>2005</v>
      </c>
      <c r="AI186" s="83">
        <v>3</v>
      </c>
      <c r="AJ186" s="85" t="s">
        <v>24</v>
      </c>
      <c r="AK186" s="86">
        <v>1450</v>
      </c>
      <c r="AL186" s="87"/>
      <c r="AM186" s="88"/>
      <c r="AN186" s="88" t="s">
        <v>476</v>
      </c>
      <c r="AO186" s="230" t="str">
        <f t="shared" si="11"/>
        <v>3SNMLBMSF25</v>
      </c>
    </row>
    <row r="187" spans="1:41" ht="15" customHeight="1" x14ac:dyDescent="0.15">
      <c r="A187" s="80">
        <v>333</v>
      </c>
      <c r="B187" s="89">
        <v>275</v>
      </c>
      <c r="C187" s="89">
        <v>3671</v>
      </c>
      <c r="D187" s="89" t="s">
        <v>232</v>
      </c>
      <c r="E187" s="89" t="s">
        <v>117</v>
      </c>
      <c r="F187" s="89" t="s">
        <v>46</v>
      </c>
      <c r="G187" s="89" t="str">
        <f t="shared" si="8"/>
        <v>3SNMLBMSF</v>
      </c>
      <c r="H187" s="89" t="s">
        <v>19</v>
      </c>
      <c r="I187" s="89" t="s">
        <v>20</v>
      </c>
      <c r="J187" s="89" t="s">
        <v>205</v>
      </c>
      <c r="K187" s="89" t="s">
        <v>230</v>
      </c>
      <c r="L187" s="89" t="s">
        <v>231</v>
      </c>
      <c r="M187" s="89" t="str">
        <f t="shared" si="9"/>
        <v>3SNMLBMSF251240</v>
      </c>
      <c r="N187" s="89" t="str">
        <f t="shared" si="10"/>
        <v>3SNMLBMSF251240</v>
      </c>
      <c r="O187" s="90">
        <v>25</v>
      </c>
      <c r="P187" s="89">
        <v>3</v>
      </c>
      <c r="Q187" s="89" t="s">
        <v>151</v>
      </c>
      <c r="R187" s="90">
        <v>1240</v>
      </c>
      <c r="S187" s="90">
        <v>12100</v>
      </c>
      <c r="T187" s="90">
        <v>1240</v>
      </c>
      <c r="U187" s="90">
        <v>1240</v>
      </c>
      <c r="V187" s="90">
        <v>2000</v>
      </c>
      <c r="W187" s="81">
        <v>1</v>
      </c>
      <c r="X187" s="82"/>
      <c r="Y187" s="83" t="s">
        <v>208</v>
      </c>
      <c r="Z187" s="84"/>
      <c r="AA187" s="85"/>
      <c r="AB187" s="86"/>
      <c r="AC187" s="84">
        <v>3</v>
      </c>
      <c r="AD187" s="85" t="s">
        <v>2003</v>
      </c>
      <c r="AE187" s="86">
        <v>1245</v>
      </c>
      <c r="AF187" s="83">
        <v>2</v>
      </c>
      <c r="AG187" s="85" t="s">
        <v>209</v>
      </c>
      <c r="AH187" s="86" t="s">
        <v>2005</v>
      </c>
      <c r="AI187" s="83">
        <v>3</v>
      </c>
      <c r="AJ187" s="85" t="s">
        <v>24</v>
      </c>
      <c r="AK187" s="86">
        <v>1450</v>
      </c>
      <c r="AL187" s="87"/>
      <c r="AM187" s="88"/>
      <c r="AN187" s="88" t="s">
        <v>476</v>
      </c>
      <c r="AO187" s="230" t="str">
        <f t="shared" si="11"/>
        <v>3SNMLBMSF25</v>
      </c>
    </row>
    <row r="188" spans="1:41" ht="15" customHeight="1" x14ac:dyDescent="0.15">
      <c r="A188" s="80">
        <v>333</v>
      </c>
      <c r="B188" s="89">
        <v>272</v>
      </c>
      <c r="C188" s="89">
        <v>3687</v>
      </c>
      <c r="D188" s="89" t="s">
        <v>769</v>
      </c>
      <c r="E188" s="89" t="s">
        <v>45</v>
      </c>
      <c r="F188" s="89" t="s">
        <v>46</v>
      </c>
      <c r="G188" s="89" t="str">
        <f t="shared" si="8"/>
        <v>3SNMLBMSF</v>
      </c>
      <c r="H188" s="89" t="s">
        <v>19</v>
      </c>
      <c r="I188" s="89" t="s">
        <v>20</v>
      </c>
      <c r="J188" s="89" t="s">
        <v>205</v>
      </c>
      <c r="K188" s="89" t="s">
        <v>230</v>
      </c>
      <c r="L188" s="89" t="s">
        <v>231</v>
      </c>
      <c r="M188" s="89" t="str">
        <f t="shared" si="9"/>
        <v>3SNMLBMSF251020</v>
      </c>
      <c r="N188" s="89" t="str">
        <f t="shared" si="10"/>
        <v>3SNMLBMSF25510</v>
      </c>
      <c r="O188" s="90">
        <v>25</v>
      </c>
      <c r="P188" s="89">
        <v>3</v>
      </c>
      <c r="Q188" s="89" t="s">
        <v>151</v>
      </c>
      <c r="R188" s="90">
        <v>1020</v>
      </c>
      <c r="S188" s="90">
        <v>12100</v>
      </c>
      <c r="T188" s="90">
        <v>510</v>
      </c>
      <c r="U188" s="90">
        <v>510</v>
      </c>
      <c r="V188" s="90">
        <v>2000</v>
      </c>
      <c r="W188" s="81">
        <v>1</v>
      </c>
      <c r="X188" s="82"/>
      <c r="Y188" s="83" t="s">
        <v>208</v>
      </c>
      <c r="Z188" s="84"/>
      <c r="AA188" s="85"/>
      <c r="AB188" s="86"/>
      <c r="AC188" s="84">
        <v>3</v>
      </c>
      <c r="AD188" s="85" t="s">
        <v>2003</v>
      </c>
      <c r="AE188" s="86">
        <v>515</v>
      </c>
      <c r="AF188" s="83">
        <v>2</v>
      </c>
      <c r="AG188" s="85" t="s">
        <v>209</v>
      </c>
      <c r="AH188" s="86" t="s">
        <v>2005</v>
      </c>
      <c r="AI188" s="83">
        <v>3</v>
      </c>
      <c r="AJ188" s="85" t="s">
        <v>24</v>
      </c>
      <c r="AK188" s="86">
        <v>1450</v>
      </c>
      <c r="AL188" s="87"/>
      <c r="AM188" s="88"/>
      <c r="AN188" s="88" t="s">
        <v>476</v>
      </c>
      <c r="AO188" s="230" t="str">
        <f t="shared" si="11"/>
        <v>3SNMLBMSF25</v>
      </c>
    </row>
    <row r="189" spans="1:41" ht="15" customHeight="1" x14ac:dyDescent="0.15">
      <c r="A189" s="80">
        <v>333</v>
      </c>
      <c r="B189" s="89">
        <v>275</v>
      </c>
      <c r="C189" s="89">
        <v>3537</v>
      </c>
      <c r="D189" s="89" t="s">
        <v>467</v>
      </c>
      <c r="E189" s="89" t="s">
        <v>117</v>
      </c>
      <c r="F189" s="89" t="s">
        <v>46</v>
      </c>
      <c r="G189" s="89" t="str">
        <f t="shared" si="8"/>
        <v>3HSNMLBMSF</v>
      </c>
      <c r="H189" s="89" t="s">
        <v>19</v>
      </c>
      <c r="I189" s="89" t="s">
        <v>20</v>
      </c>
      <c r="J189" s="89" t="s">
        <v>205</v>
      </c>
      <c r="K189" s="89" t="s">
        <v>230</v>
      </c>
      <c r="L189" s="89" t="s">
        <v>231</v>
      </c>
      <c r="M189" s="89" t="str">
        <f t="shared" si="9"/>
        <v>3HSNMLBMSF381000</v>
      </c>
      <c r="N189" s="89" t="str">
        <f t="shared" si="10"/>
        <v>3HSNMLBMSF38865</v>
      </c>
      <c r="O189" s="90">
        <v>38</v>
      </c>
      <c r="P189" s="89" t="s">
        <v>468</v>
      </c>
      <c r="Q189" s="89" t="s">
        <v>2007</v>
      </c>
      <c r="R189" s="90">
        <v>1000</v>
      </c>
      <c r="S189" s="90">
        <v>6000</v>
      </c>
      <c r="T189" s="90">
        <v>865</v>
      </c>
      <c r="U189" s="90">
        <v>865</v>
      </c>
      <c r="V189" s="90">
        <v>2800</v>
      </c>
      <c r="W189" s="81">
        <v>2</v>
      </c>
      <c r="X189" s="82"/>
      <c r="Y189" s="83" t="s">
        <v>208</v>
      </c>
      <c r="Z189" s="84"/>
      <c r="AA189" s="85"/>
      <c r="AB189" s="86"/>
      <c r="AC189" s="84">
        <v>3</v>
      </c>
      <c r="AD189" s="85" t="s">
        <v>2003</v>
      </c>
      <c r="AE189" s="86">
        <v>870</v>
      </c>
      <c r="AF189" s="83">
        <v>2</v>
      </c>
      <c r="AG189" s="85" t="s">
        <v>209</v>
      </c>
      <c r="AH189" s="86" t="s">
        <v>2005</v>
      </c>
      <c r="AI189" s="83">
        <v>3</v>
      </c>
      <c r="AJ189" s="85" t="s">
        <v>24</v>
      </c>
      <c r="AK189" s="86">
        <v>1450</v>
      </c>
      <c r="AL189" s="87"/>
      <c r="AM189" s="88"/>
      <c r="AN189" s="88" t="s">
        <v>476</v>
      </c>
      <c r="AO189" s="230" t="str">
        <f t="shared" si="11"/>
        <v>3HSNMLBMSF38</v>
      </c>
    </row>
    <row r="190" spans="1:41" ht="15" customHeight="1" x14ac:dyDescent="0.15">
      <c r="A190" s="80">
        <v>333</v>
      </c>
      <c r="B190" s="89">
        <v>275</v>
      </c>
      <c r="C190" s="89">
        <v>3537</v>
      </c>
      <c r="D190" s="89" t="s">
        <v>467</v>
      </c>
      <c r="E190" s="89" t="s">
        <v>117</v>
      </c>
      <c r="F190" s="89" t="s">
        <v>46</v>
      </c>
      <c r="G190" s="89" t="str">
        <f t="shared" si="8"/>
        <v>3HSNMLBMSF</v>
      </c>
      <c r="H190" s="89" t="s">
        <v>19</v>
      </c>
      <c r="I190" s="89" t="s">
        <v>20</v>
      </c>
      <c r="J190" s="89" t="s">
        <v>205</v>
      </c>
      <c r="K190" s="89" t="s">
        <v>230</v>
      </c>
      <c r="L190" s="89" t="s">
        <v>231</v>
      </c>
      <c r="M190" s="89" t="str">
        <f t="shared" si="9"/>
        <v>3HSNMLBMSF381100</v>
      </c>
      <c r="N190" s="89" t="str">
        <f t="shared" si="10"/>
        <v>3HSNMLBMSF381075</v>
      </c>
      <c r="O190" s="90">
        <v>38</v>
      </c>
      <c r="P190" s="89" t="s">
        <v>468</v>
      </c>
      <c r="Q190" s="89" t="s">
        <v>2007</v>
      </c>
      <c r="R190" s="90">
        <v>1100</v>
      </c>
      <c r="S190" s="90">
        <v>6000</v>
      </c>
      <c r="T190" s="90">
        <v>1075</v>
      </c>
      <c r="U190" s="90">
        <v>1075</v>
      </c>
      <c r="V190" s="90">
        <v>2800</v>
      </c>
      <c r="W190" s="81">
        <v>2</v>
      </c>
      <c r="X190" s="82"/>
      <c r="Y190" s="83" t="s">
        <v>208</v>
      </c>
      <c r="Z190" s="84"/>
      <c r="AA190" s="85"/>
      <c r="AB190" s="86"/>
      <c r="AC190" s="84">
        <v>3</v>
      </c>
      <c r="AD190" s="85" t="s">
        <v>2003</v>
      </c>
      <c r="AE190" s="86">
        <v>1080</v>
      </c>
      <c r="AF190" s="83">
        <v>2</v>
      </c>
      <c r="AG190" s="85" t="s">
        <v>209</v>
      </c>
      <c r="AH190" s="86" t="s">
        <v>2005</v>
      </c>
      <c r="AI190" s="83">
        <v>3</v>
      </c>
      <c r="AJ190" s="85" t="s">
        <v>24</v>
      </c>
      <c r="AK190" s="86">
        <v>1450</v>
      </c>
      <c r="AL190" s="87"/>
      <c r="AM190" s="88"/>
      <c r="AN190" s="88" t="s">
        <v>476</v>
      </c>
      <c r="AO190" s="230" t="str">
        <f t="shared" si="11"/>
        <v>3HSNMLBMSF38</v>
      </c>
    </row>
    <row r="191" spans="1:41" ht="15" customHeight="1" x14ac:dyDescent="0.15">
      <c r="A191" s="80">
        <v>333</v>
      </c>
      <c r="B191" s="89">
        <v>275</v>
      </c>
      <c r="C191" s="89">
        <v>3537</v>
      </c>
      <c r="D191" s="89" t="s">
        <v>467</v>
      </c>
      <c r="E191" s="89" t="s">
        <v>117</v>
      </c>
      <c r="F191" s="89" t="s">
        <v>46</v>
      </c>
      <c r="G191" s="89" t="str">
        <f t="shared" si="8"/>
        <v>3HSNMLBMSF</v>
      </c>
      <c r="H191" s="89" t="s">
        <v>19</v>
      </c>
      <c r="I191" s="89" t="s">
        <v>20</v>
      </c>
      <c r="J191" s="89" t="s">
        <v>205</v>
      </c>
      <c r="K191" s="89" t="s">
        <v>230</v>
      </c>
      <c r="L191" s="89" t="s">
        <v>231</v>
      </c>
      <c r="M191" s="89" t="str">
        <f t="shared" si="9"/>
        <v>3HSNMLBMSF381165</v>
      </c>
      <c r="N191" s="89" t="str">
        <f t="shared" si="10"/>
        <v>3HSNMLBMSF381165</v>
      </c>
      <c r="O191" s="90">
        <v>38</v>
      </c>
      <c r="P191" s="89" t="s">
        <v>468</v>
      </c>
      <c r="Q191" s="89" t="s">
        <v>2007</v>
      </c>
      <c r="R191" s="90">
        <v>1165</v>
      </c>
      <c r="S191" s="90">
        <v>6000</v>
      </c>
      <c r="T191" s="90">
        <v>1165</v>
      </c>
      <c r="U191" s="90">
        <v>1165</v>
      </c>
      <c r="V191" s="90">
        <v>2800</v>
      </c>
      <c r="W191" s="81">
        <v>2</v>
      </c>
      <c r="X191" s="82"/>
      <c r="Y191" s="83" t="s">
        <v>208</v>
      </c>
      <c r="Z191" s="84"/>
      <c r="AA191" s="85"/>
      <c r="AB191" s="86"/>
      <c r="AC191" s="84">
        <v>3</v>
      </c>
      <c r="AD191" s="85" t="s">
        <v>2003</v>
      </c>
      <c r="AE191" s="86">
        <v>1170</v>
      </c>
      <c r="AF191" s="83">
        <v>2</v>
      </c>
      <c r="AG191" s="85" t="s">
        <v>209</v>
      </c>
      <c r="AH191" s="86" t="s">
        <v>2005</v>
      </c>
      <c r="AI191" s="83">
        <v>3</v>
      </c>
      <c r="AJ191" s="85" t="s">
        <v>24</v>
      </c>
      <c r="AK191" s="86">
        <v>1450</v>
      </c>
      <c r="AL191" s="87"/>
      <c r="AM191" s="88"/>
      <c r="AN191" s="88" t="s">
        <v>476</v>
      </c>
      <c r="AO191" s="230" t="str">
        <f t="shared" si="11"/>
        <v>3HSNMLBMSF38</v>
      </c>
    </row>
    <row r="192" spans="1:41" ht="15" customHeight="1" x14ac:dyDescent="0.15">
      <c r="A192" s="80">
        <v>333</v>
      </c>
      <c r="B192" s="89">
        <v>275</v>
      </c>
      <c r="C192" s="89">
        <v>5174</v>
      </c>
      <c r="D192" s="89" t="s">
        <v>116</v>
      </c>
      <c r="E192" s="89" t="s">
        <v>117</v>
      </c>
      <c r="F192" s="89" t="s">
        <v>111</v>
      </c>
      <c r="G192" s="89" t="str">
        <f t="shared" si="8"/>
        <v>3SYMLBMSNMBF</v>
      </c>
      <c r="H192" s="89" t="s">
        <v>19</v>
      </c>
      <c r="I192" s="89" t="s">
        <v>28</v>
      </c>
      <c r="J192" s="89" t="s">
        <v>205</v>
      </c>
      <c r="K192" s="89" t="s">
        <v>233</v>
      </c>
      <c r="L192" s="89" t="s">
        <v>2063</v>
      </c>
      <c r="M192" s="89" t="str">
        <f t="shared" si="9"/>
        <v>3SYMLBMSNMBF501120</v>
      </c>
      <c r="N192" s="89" t="str">
        <f t="shared" si="10"/>
        <v>3SYMLBMSNMBF501120</v>
      </c>
      <c r="O192" s="90">
        <v>50</v>
      </c>
      <c r="P192" s="89">
        <v>3</v>
      </c>
      <c r="Q192" s="89" t="s">
        <v>168</v>
      </c>
      <c r="R192" s="90">
        <v>1120</v>
      </c>
      <c r="S192" s="90">
        <v>4000</v>
      </c>
      <c r="T192" s="90">
        <v>1120</v>
      </c>
      <c r="U192" s="90">
        <v>1120</v>
      </c>
      <c r="V192" s="90">
        <v>4000</v>
      </c>
      <c r="W192" s="81">
        <v>2</v>
      </c>
      <c r="X192" s="82"/>
      <c r="Y192" s="83" t="s">
        <v>208</v>
      </c>
      <c r="Z192" s="84"/>
      <c r="AA192" s="85"/>
      <c r="AB192" s="86"/>
      <c r="AC192" s="84">
        <v>6</v>
      </c>
      <c r="AD192" s="85" t="s">
        <v>147</v>
      </c>
      <c r="AE192" s="86">
        <v>1125</v>
      </c>
      <c r="AF192" s="83">
        <v>2</v>
      </c>
      <c r="AG192" s="85" t="s">
        <v>209</v>
      </c>
      <c r="AH192" s="86" t="s">
        <v>2005</v>
      </c>
      <c r="AI192" s="83">
        <v>3</v>
      </c>
      <c r="AJ192" s="85" t="s">
        <v>24</v>
      </c>
      <c r="AK192" s="86">
        <v>1450</v>
      </c>
      <c r="AL192" s="87"/>
      <c r="AM192" s="88"/>
      <c r="AN192" s="88" t="s">
        <v>476</v>
      </c>
      <c r="AO192" s="230" t="str">
        <f t="shared" si="11"/>
        <v>3SYMLBMSNMBF50</v>
      </c>
    </row>
    <row r="193" spans="1:41" ht="15" customHeight="1" x14ac:dyDescent="0.15">
      <c r="A193" s="80">
        <v>333</v>
      </c>
      <c r="B193" s="89">
        <v>275</v>
      </c>
      <c r="C193" s="89">
        <v>5174</v>
      </c>
      <c r="D193" s="89" t="s">
        <v>116</v>
      </c>
      <c r="E193" s="89" t="s">
        <v>117</v>
      </c>
      <c r="F193" s="89" t="s">
        <v>210</v>
      </c>
      <c r="G193" s="89" t="str">
        <f t="shared" si="8"/>
        <v>3SYMLBMSNMBF</v>
      </c>
      <c r="H193" s="89" t="s">
        <v>19</v>
      </c>
      <c r="I193" s="89" t="s">
        <v>28</v>
      </c>
      <c r="J193" s="89" t="s">
        <v>205</v>
      </c>
      <c r="K193" s="89" t="s">
        <v>233</v>
      </c>
      <c r="L193" s="89" t="s">
        <v>234</v>
      </c>
      <c r="M193" s="89" t="str">
        <f t="shared" si="9"/>
        <v>3SYMLBMSNMBF501120</v>
      </c>
      <c r="N193" s="89" t="str">
        <f t="shared" si="10"/>
        <v>3SYMLBMSNMBF501120</v>
      </c>
      <c r="O193" s="90">
        <v>50</v>
      </c>
      <c r="P193" s="89">
        <v>3</v>
      </c>
      <c r="Q193" s="89" t="s">
        <v>168</v>
      </c>
      <c r="R193" s="90">
        <v>1120</v>
      </c>
      <c r="S193" s="90">
        <v>4000</v>
      </c>
      <c r="T193" s="90">
        <v>1120</v>
      </c>
      <c r="U193" s="90">
        <v>1120</v>
      </c>
      <c r="V193" s="90">
        <v>4000</v>
      </c>
      <c r="W193" s="81">
        <v>2</v>
      </c>
      <c r="X193" s="82"/>
      <c r="Y193" s="83" t="s">
        <v>208</v>
      </c>
      <c r="Z193" s="84"/>
      <c r="AA193" s="85"/>
      <c r="AB193" s="86"/>
      <c r="AC193" s="84">
        <v>6</v>
      </c>
      <c r="AD193" s="85" t="s">
        <v>147</v>
      </c>
      <c r="AE193" s="86">
        <v>1125</v>
      </c>
      <c r="AF193" s="83">
        <v>2</v>
      </c>
      <c r="AG193" s="85" t="s">
        <v>209</v>
      </c>
      <c r="AH193" s="86" t="s">
        <v>2005</v>
      </c>
      <c r="AI193" s="83">
        <v>3</v>
      </c>
      <c r="AJ193" s="85" t="s">
        <v>24</v>
      </c>
      <c r="AK193" s="86">
        <v>1450</v>
      </c>
      <c r="AL193" s="87"/>
      <c r="AM193" s="88"/>
      <c r="AN193" s="88" t="s">
        <v>476</v>
      </c>
      <c r="AO193" s="230" t="str">
        <f t="shared" si="11"/>
        <v>3SYMLBMSNMBF50</v>
      </c>
    </row>
    <row r="194" spans="1:41" ht="15" customHeight="1" x14ac:dyDescent="0.15">
      <c r="A194" s="80">
        <v>333</v>
      </c>
      <c r="B194" s="89">
        <v>275</v>
      </c>
      <c r="C194" s="89">
        <v>5174</v>
      </c>
      <c r="D194" s="89" t="s">
        <v>116</v>
      </c>
      <c r="E194" s="89" t="s">
        <v>117</v>
      </c>
      <c r="F194" s="89" t="s">
        <v>210</v>
      </c>
      <c r="G194" s="89" t="str">
        <f t="shared" si="8"/>
        <v>3SYMLBMSNMBZF</v>
      </c>
      <c r="H194" s="89" t="s">
        <v>19</v>
      </c>
      <c r="I194" s="89" t="s">
        <v>28</v>
      </c>
      <c r="J194" s="89" t="s">
        <v>205</v>
      </c>
      <c r="K194" s="89" t="s">
        <v>235</v>
      </c>
      <c r="L194" s="89" t="s">
        <v>236</v>
      </c>
      <c r="M194" s="89" t="str">
        <f t="shared" si="9"/>
        <v>3SYMLBMSNMBZF251120</v>
      </c>
      <c r="N194" s="89" t="str">
        <f t="shared" si="10"/>
        <v>3SYMLBMSNMBZF251120</v>
      </c>
      <c r="O194" s="90">
        <v>25</v>
      </c>
      <c r="P194" s="89">
        <v>3</v>
      </c>
      <c r="Q194" s="89" t="s">
        <v>168</v>
      </c>
      <c r="R194" s="90">
        <v>1120</v>
      </c>
      <c r="S194" s="90">
        <v>8000</v>
      </c>
      <c r="T194" s="90">
        <v>1120</v>
      </c>
      <c r="U194" s="90">
        <v>1120</v>
      </c>
      <c r="V194" s="90">
        <v>8000</v>
      </c>
      <c r="W194" s="81">
        <v>2</v>
      </c>
      <c r="X194" s="82"/>
      <c r="Y194" s="83" t="s">
        <v>208</v>
      </c>
      <c r="Z194" s="84"/>
      <c r="AA194" s="85"/>
      <c r="AB194" s="86"/>
      <c r="AC194" s="84">
        <v>6</v>
      </c>
      <c r="AD194" s="85" t="s">
        <v>147</v>
      </c>
      <c r="AE194" s="86">
        <v>1125</v>
      </c>
      <c r="AF194" s="83">
        <v>2</v>
      </c>
      <c r="AG194" s="85" t="s">
        <v>209</v>
      </c>
      <c r="AH194" s="86" t="s">
        <v>2005</v>
      </c>
      <c r="AI194" s="83">
        <v>3</v>
      </c>
      <c r="AJ194" s="85" t="s">
        <v>24</v>
      </c>
      <c r="AK194" s="86">
        <v>1450</v>
      </c>
      <c r="AL194" s="87"/>
      <c r="AM194" s="88"/>
      <c r="AN194" s="88" t="s">
        <v>476</v>
      </c>
      <c r="AO194" s="230" t="str">
        <f t="shared" si="11"/>
        <v>3SYMLBMSNMBZF25</v>
      </c>
    </row>
    <row r="195" spans="1:41" ht="15" customHeight="1" x14ac:dyDescent="0.15">
      <c r="A195" s="80">
        <v>333</v>
      </c>
      <c r="B195" s="89">
        <v>275</v>
      </c>
      <c r="C195" s="89">
        <v>5174</v>
      </c>
      <c r="D195" s="89" t="s">
        <v>116</v>
      </c>
      <c r="E195" s="89" t="s">
        <v>117</v>
      </c>
      <c r="F195" s="89" t="s">
        <v>210</v>
      </c>
      <c r="G195" s="89" t="str">
        <f t="shared" si="8"/>
        <v>3SYMLBMSNMBZF</v>
      </c>
      <c r="H195" s="89" t="s">
        <v>19</v>
      </c>
      <c r="I195" s="89" t="s">
        <v>28</v>
      </c>
      <c r="J195" s="89" t="s">
        <v>205</v>
      </c>
      <c r="K195" s="89" t="s">
        <v>235</v>
      </c>
      <c r="L195" s="89" t="s">
        <v>236</v>
      </c>
      <c r="M195" s="89" t="str">
        <f t="shared" si="9"/>
        <v>3SYMLBMSNMBZF501120</v>
      </c>
      <c r="N195" s="89" t="str">
        <f t="shared" si="10"/>
        <v>3SYMLBMSNMBZF501120</v>
      </c>
      <c r="O195" s="90">
        <v>50</v>
      </c>
      <c r="P195" s="89">
        <v>3</v>
      </c>
      <c r="Q195" s="89" t="s">
        <v>168</v>
      </c>
      <c r="R195" s="90">
        <v>1120</v>
      </c>
      <c r="S195" s="90">
        <v>4000</v>
      </c>
      <c r="T195" s="90">
        <v>1120</v>
      </c>
      <c r="U195" s="90">
        <v>1120</v>
      </c>
      <c r="V195" s="90">
        <v>4000</v>
      </c>
      <c r="W195" s="81">
        <v>2</v>
      </c>
      <c r="X195" s="82"/>
      <c r="Y195" s="83" t="s">
        <v>208</v>
      </c>
      <c r="Z195" s="84"/>
      <c r="AA195" s="85"/>
      <c r="AB195" s="86"/>
      <c r="AC195" s="84">
        <v>6</v>
      </c>
      <c r="AD195" s="85" t="s">
        <v>147</v>
      </c>
      <c r="AE195" s="86">
        <v>1125</v>
      </c>
      <c r="AF195" s="83">
        <v>2</v>
      </c>
      <c r="AG195" s="85" t="s">
        <v>209</v>
      </c>
      <c r="AH195" s="86" t="s">
        <v>2005</v>
      </c>
      <c r="AI195" s="83">
        <v>3</v>
      </c>
      <c r="AJ195" s="85" t="s">
        <v>24</v>
      </c>
      <c r="AK195" s="86">
        <v>1450</v>
      </c>
      <c r="AL195" s="87"/>
      <c r="AM195" s="88"/>
      <c r="AN195" s="88" t="s">
        <v>476</v>
      </c>
      <c r="AO195" s="230" t="str">
        <f t="shared" si="11"/>
        <v>3SYMLBMSNMBZF50</v>
      </c>
    </row>
    <row r="196" spans="1:41" ht="15" customHeight="1" x14ac:dyDescent="0.15">
      <c r="A196" s="80">
        <v>333</v>
      </c>
      <c r="B196" s="89">
        <v>275</v>
      </c>
      <c r="C196" s="89">
        <v>5174</v>
      </c>
      <c r="D196" s="89" t="s">
        <v>116</v>
      </c>
      <c r="E196" s="89" t="s">
        <v>117</v>
      </c>
      <c r="F196" s="89" t="s">
        <v>111</v>
      </c>
      <c r="G196" s="89" t="str">
        <f t="shared" si="8"/>
        <v>3SYMLBMSSMBF</v>
      </c>
      <c r="H196" s="89" t="s">
        <v>19</v>
      </c>
      <c r="I196" s="89" t="s">
        <v>28</v>
      </c>
      <c r="J196" s="89" t="s">
        <v>205</v>
      </c>
      <c r="K196" s="89" t="s">
        <v>237</v>
      </c>
      <c r="L196" s="89" t="s">
        <v>238</v>
      </c>
      <c r="M196" s="89" t="str">
        <f t="shared" si="9"/>
        <v>3SYMLBMSSMBF251120</v>
      </c>
      <c r="N196" s="89" t="str">
        <f t="shared" si="10"/>
        <v>3SYMLBMSSMBF251120</v>
      </c>
      <c r="O196" s="90">
        <v>25</v>
      </c>
      <c r="P196" s="89">
        <v>3</v>
      </c>
      <c r="Q196" s="89" t="s">
        <v>239</v>
      </c>
      <c r="R196" s="90">
        <v>1120</v>
      </c>
      <c r="S196" s="90">
        <v>8000</v>
      </c>
      <c r="T196" s="90">
        <v>1120</v>
      </c>
      <c r="U196" s="90">
        <v>1120</v>
      </c>
      <c r="V196" s="90">
        <v>8000</v>
      </c>
      <c r="W196" s="81">
        <v>2</v>
      </c>
      <c r="X196" s="82"/>
      <c r="Y196" s="83" t="s">
        <v>208</v>
      </c>
      <c r="Z196" s="84"/>
      <c r="AA196" s="85"/>
      <c r="AB196" s="86"/>
      <c r="AC196" s="84">
        <v>6</v>
      </c>
      <c r="AD196" s="85" t="s">
        <v>175</v>
      </c>
      <c r="AE196" s="86">
        <v>1125</v>
      </c>
      <c r="AF196" s="83">
        <v>2</v>
      </c>
      <c r="AG196" s="85" t="s">
        <v>209</v>
      </c>
      <c r="AH196" s="86" t="s">
        <v>2005</v>
      </c>
      <c r="AI196" s="83">
        <v>3</v>
      </c>
      <c r="AJ196" s="85" t="s">
        <v>24</v>
      </c>
      <c r="AK196" s="86">
        <v>1450</v>
      </c>
      <c r="AL196" s="87"/>
      <c r="AM196" s="88"/>
      <c r="AN196" s="88" t="s">
        <v>476</v>
      </c>
      <c r="AO196" s="230" t="str">
        <f t="shared" si="11"/>
        <v>3SYMLBMSSMBF25</v>
      </c>
    </row>
    <row r="197" spans="1:41" ht="15" customHeight="1" x14ac:dyDescent="0.15">
      <c r="A197" s="80">
        <v>333</v>
      </c>
      <c r="B197" s="89">
        <v>275</v>
      </c>
      <c r="C197" s="89">
        <v>5174</v>
      </c>
      <c r="D197" s="89" t="s">
        <v>116</v>
      </c>
      <c r="E197" s="89" t="s">
        <v>117</v>
      </c>
      <c r="F197" s="89" t="s">
        <v>111</v>
      </c>
      <c r="G197" s="89" t="str">
        <f t="shared" si="8"/>
        <v>3SYMLBMSSMBF</v>
      </c>
      <c r="H197" s="89" t="s">
        <v>19</v>
      </c>
      <c r="I197" s="89" t="s">
        <v>28</v>
      </c>
      <c r="J197" s="89" t="s">
        <v>205</v>
      </c>
      <c r="K197" s="89" t="s">
        <v>237</v>
      </c>
      <c r="L197" s="89" t="s">
        <v>238</v>
      </c>
      <c r="M197" s="89" t="str">
        <f t="shared" si="9"/>
        <v>3SYMLBMSSMBF501120</v>
      </c>
      <c r="N197" s="89" t="str">
        <f t="shared" si="10"/>
        <v>3SYMLBMSSMBF501120</v>
      </c>
      <c r="O197" s="90">
        <v>50</v>
      </c>
      <c r="P197" s="89">
        <v>3</v>
      </c>
      <c r="Q197" s="89" t="s">
        <v>239</v>
      </c>
      <c r="R197" s="90">
        <v>1120</v>
      </c>
      <c r="S197" s="90">
        <v>4000</v>
      </c>
      <c r="T197" s="90">
        <v>1120</v>
      </c>
      <c r="U197" s="90">
        <v>1120</v>
      </c>
      <c r="V197" s="90">
        <v>4000</v>
      </c>
      <c r="W197" s="81">
        <v>2</v>
      </c>
      <c r="X197" s="82"/>
      <c r="Y197" s="83" t="s">
        <v>208</v>
      </c>
      <c r="Z197" s="84"/>
      <c r="AA197" s="85"/>
      <c r="AB197" s="86"/>
      <c r="AC197" s="84">
        <v>6</v>
      </c>
      <c r="AD197" s="85" t="s">
        <v>175</v>
      </c>
      <c r="AE197" s="86">
        <v>1125</v>
      </c>
      <c r="AF197" s="83">
        <v>2</v>
      </c>
      <c r="AG197" s="85" t="s">
        <v>209</v>
      </c>
      <c r="AH197" s="86" t="s">
        <v>2005</v>
      </c>
      <c r="AI197" s="83">
        <v>3</v>
      </c>
      <c r="AJ197" s="85" t="s">
        <v>24</v>
      </c>
      <c r="AK197" s="86">
        <v>1450</v>
      </c>
      <c r="AL197" s="87"/>
      <c r="AM197" s="88"/>
      <c r="AN197" s="88" t="s">
        <v>476</v>
      </c>
      <c r="AO197" s="230" t="str">
        <f t="shared" si="11"/>
        <v>3SYMLBMSSMBF50</v>
      </c>
    </row>
    <row r="198" spans="1:41" ht="15" customHeight="1" x14ac:dyDescent="0.15">
      <c r="A198" s="80">
        <v>333</v>
      </c>
      <c r="B198" s="89">
        <v>275</v>
      </c>
      <c r="C198" s="89">
        <v>5174</v>
      </c>
      <c r="D198" s="89" t="s">
        <v>116</v>
      </c>
      <c r="E198" s="89" t="s">
        <v>117</v>
      </c>
      <c r="F198" s="89" t="s">
        <v>111</v>
      </c>
      <c r="G198" s="89" t="str">
        <f t="shared" si="8"/>
        <v>3HSYMLBMSSMBF</v>
      </c>
      <c r="H198" s="89" t="s">
        <v>19</v>
      </c>
      <c r="I198" s="89" t="s">
        <v>28</v>
      </c>
      <c r="J198" s="89" t="s">
        <v>205</v>
      </c>
      <c r="K198" s="89" t="s">
        <v>237</v>
      </c>
      <c r="L198" s="89" t="s">
        <v>238</v>
      </c>
      <c r="M198" s="89" t="str">
        <f t="shared" si="9"/>
        <v>3HSYMLBMSSMBF501120</v>
      </c>
      <c r="N198" s="89" t="str">
        <f t="shared" si="10"/>
        <v>3HSYMLBMSSMBF501120</v>
      </c>
      <c r="O198" s="90">
        <v>50</v>
      </c>
      <c r="P198" s="89" t="s">
        <v>2757</v>
      </c>
      <c r="Q198" s="89" t="s">
        <v>239</v>
      </c>
      <c r="R198" s="90">
        <v>1120</v>
      </c>
      <c r="S198" s="90">
        <v>4000</v>
      </c>
      <c r="T198" s="90">
        <v>1120</v>
      </c>
      <c r="U198" s="90">
        <v>1120</v>
      </c>
      <c r="V198" s="90">
        <v>4000</v>
      </c>
      <c r="W198" s="81">
        <v>2</v>
      </c>
      <c r="X198" s="82"/>
      <c r="Y198" s="83" t="s">
        <v>208</v>
      </c>
      <c r="Z198" s="84"/>
      <c r="AA198" s="85"/>
      <c r="AB198" s="86"/>
      <c r="AC198" s="84">
        <v>6</v>
      </c>
      <c r="AD198" s="85" t="s">
        <v>175</v>
      </c>
      <c r="AE198" s="86">
        <v>1125</v>
      </c>
      <c r="AF198" s="83">
        <v>2</v>
      </c>
      <c r="AG198" s="85" t="s">
        <v>209</v>
      </c>
      <c r="AH198" s="86" t="s">
        <v>2005</v>
      </c>
      <c r="AI198" s="83">
        <v>3</v>
      </c>
      <c r="AJ198" s="85" t="s">
        <v>24</v>
      </c>
      <c r="AK198" s="86">
        <v>1450</v>
      </c>
      <c r="AL198" s="87"/>
      <c r="AM198" s="88"/>
      <c r="AN198" s="88" t="s">
        <v>476</v>
      </c>
      <c r="AO198" s="230" t="str">
        <f t="shared" si="11"/>
        <v>3HSYMLBMSSMBF50</v>
      </c>
    </row>
    <row r="199" spans="1:41" ht="15" customHeight="1" x14ac:dyDescent="0.15">
      <c r="A199" s="80">
        <v>333</v>
      </c>
      <c r="B199" s="89">
        <v>275</v>
      </c>
      <c r="C199" s="89">
        <v>5174</v>
      </c>
      <c r="D199" s="89" t="s">
        <v>116</v>
      </c>
      <c r="E199" s="89" t="s">
        <v>117</v>
      </c>
      <c r="F199" s="89" t="s">
        <v>210</v>
      </c>
      <c r="G199" s="89" t="str">
        <f t="shared" si="8"/>
        <v>3SYMLBMSSMBZF</v>
      </c>
      <c r="H199" s="89" t="s">
        <v>19</v>
      </c>
      <c r="I199" s="89" t="s">
        <v>28</v>
      </c>
      <c r="J199" s="89" t="s">
        <v>205</v>
      </c>
      <c r="K199" s="89" t="s">
        <v>240</v>
      </c>
      <c r="L199" s="89" t="s">
        <v>241</v>
      </c>
      <c r="M199" s="89" t="str">
        <f t="shared" si="9"/>
        <v>3SYMLBMSSMBZF501120</v>
      </c>
      <c r="N199" s="89" t="str">
        <f t="shared" si="10"/>
        <v>3SYMLBMSSMBZF501120</v>
      </c>
      <c r="O199" s="90">
        <v>50</v>
      </c>
      <c r="P199" s="89">
        <v>3</v>
      </c>
      <c r="Q199" s="89" t="s">
        <v>239</v>
      </c>
      <c r="R199" s="90">
        <v>1120</v>
      </c>
      <c r="S199" s="90">
        <v>4000</v>
      </c>
      <c r="T199" s="90">
        <v>1120</v>
      </c>
      <c r="U199" s="90">
        <v>1120</v>
      </c>
      <c r="V199" s="90">
        <v>4000</v>
      </c>
      <c r="W199" s="81">
        <v>2</v>
      </c>
      <c r="X199" s="82"/>
      <c r="Y199" s="83" t="s">
        <v>208</v>
      </c>
      <c r="Z199" s="84"/>
      <c r="AA199" s="85"/>
      <c r="AB199" s="86"/>
      <c r="AC199" s="84">
        <v>6</v>
      </c>
      <c r="AD199" s="85" t="s">
        <v>175</v>
      </c>
      <c r="AE199" s="86">
        <v>1125</v>
      </c>
      <c r="AF199" s="83">
        <v>2</v>
      </c>
      <c r="AG199" s="85" t="s">
        <v>209</v>
      </c>
      <c r="AH199" s="86" t="s">
        <v>2005</v>
      </c>
      <c r="AI199" s="83">
        <v>3</v>
      </c>
      <c r="AJ199" s="85" t="s">
        <v>24</v>
      </c>
      <c r="AK199" s="86">
        <v>1450</v>
      </c>
      <c r="AL199" s="87"/>
      <c r="AM199" s="88"/>
      <c r="AN199" s="88" t="s">
        <v>476</v>
      </c>
      <c r="AO199" s="230" t="str">
        <f t="shared" si="11"/>
        <v>3SYMLBMSSMBZF50</v>
      </c>
    </row>
    <row r="200" spans="1:41" ht="15" customHeight="1" x14ac:dyDescent="0.15">
      <c r="A200" s="80">
        <v>333</v>
      </c>
      <c r="B200" s="89">
        <v>271</v>
      </c>
      <c r="C200" s="89">
        <v>380604</v>
      </c>
      <c r="D200" s="89" t="s">
        <v>17</v>
      </c>
      <c r="E200" s="89" t="s">
        <v>18</v>
      </c>
      <c r="F200" s="89" t="s">
        <v>26</v>
      </c>
      <c r="G200" s="89" t="str">
        <f t="shared" si="8"/>
        <v>3SNMLBMTSF</v>
      </c>
      <c r="H200" s="89" t="s">
        <v>19</v>
      </c>
      <c r="I200" s="89" t="s">
        <v>20</v>
      </c>
      <c r="J200" s="89" t="s">
        <v>205</v>
      </c>
      <c r="K200" s="89" t="s">
        <v>242</v>
      </c>
      <c r="L200" s="89" t="s">
        <v>243</v>
      </c>
      <c r="M200" s="89" t="str">
        <f t="shared" si="9"/>
        <v>3SNMLBMTSF501060</v>
      </c>
      <c r="N200" s="89" t="str">
        <f t="shared" si="10"/>
        <v>3SNMLBMTSF501000</v>
      </c>
      <c r="O200" s="90">
        <v>50</v>
      </c>
      <c r="P200" s="89">
        <v>3</v>
      </c>
      <c r="Q200" s="89" t="s">
        <v>151</v>
      </c>
      <c r="R200" s="90">
        <v>1060</v>
      </c>
      <c r="S200" s="90">
        <v>6100</v>
      </c>
      <c r="T200" s="90">
        <v>1000</v>
      </c>
      <c r="U200" s="90">
        <v>1000</v>
      </c>
      <c r="V200" s="90">
        <v>1000</v>
      </c>
      <c r="W200" s="81">
        <v>2</v>
      </c>
      <c r="X200" s="82"/>
      <c r="Y200" s="83" t="s">
        <v>208</v>
      </c>
      <c r="Z200" s="84"/>
      <c r="AA200" s="85"/>
      <c r="AB200" s="86"/>
      <c r="AC200" s="84">
        <v>3</v>
      </c>
      <c r="AD200" s="85" t="s">
        <v>2003</v>
      </c>
      <c r="AE200" s="86">
        <v>1005</v>
      </c>
      <c r="AF200" s="83">
        <v>2</v>
      </c>
      <c r="AG200" s="85" t="s">
        <v>209</v>
      </c>
      <c r="AH200" s="86" t="s">
        <v>2005</v>
      </c>
      <c r="AI200" s="83">
        <v>3</v>
      </c>
      <c r="AJ200" s="85" t="s">
        <v>24</v>
      </c>
      <c r="AK200" s="86">
        <v>1450</v>
      </c>
      <c r="AL200" s="87"/>
      <c r="AM200" s="88"/>
      <c r="AN200" s="88" t="s">
        <v>476</v>
      </c>
      <c r="AO200" s="230" t="str">
        <f t="shared" si="11"/>
        <v>3SNMLBMTSF50</v>
      </c>
    </row>
    <row r="201" spans="1:41" ht="15" customHeight="1" x14ac:dyDescent="0.15">
      <c r="A201" s="80">
        <v>333</v>
      </c>
      <c r="B201" s="89">
        <v>271</v>
      </c>
      <c r="C201" s="89">
        <v>380604</v>
      </c>
      <c r="D201" s="89" t="s">
        <v>17</v>
      </c>
      <c r="E201" s="89" t="s">
        <v>18</v>
      </c>
      <c r="F201" s="89" t="s">
        <v>26</v>
      </c>
      <c r="G201" s="89" t="str">
        <f t="shared" si="8"/>
        <v>3HSNMLBMTSF</v>
      </c>
      <c r="H201" s="89" t="s">
        <v>19</v>
      </c>
      <c r="I201" s="89" t="s">
        <v>20</v>
      </c>
      <c r="J201" s="89" t="s">
        <v>205</v>
      </c>
      <c r="K201" s="89" t="s">
        <v>242</v>
      </c>
      <c r="L201" s="89" t="s">
        <v>243</v>
      </c>
      <c r="M201" s="89" t="str">
        <f t="shared" si="9"/>
        <v>3HSNMLBMTSF501195</v>
      </c>
      <c r="N201" s="89" t="str">
        <f t="shared" si="10"/>
        <v>3HSNMLBMTSF501000</v>
      </c>
      <c r="O201" s="90">
        <v>50</v>
      </c>
      <c r="P201" s="89" t="s">
        <v>468</v>
      </c>
      <c r="Q201" s="89" t="s">
        <v>151</v>
      </c>
      <c r="R201" s="90">
        <v>1195</v>
      </c>
      <c r="S201" s="90">
        <v>6100</v>
      </c>
      <c r="T201" s="90">
        <v>1000</v>
      </c>
      <c r="U201" s="90">
        <v>1000</v>
      </c>
      <c r="V201" s="90">
        <v>1000</v>
      </c>
      <c r="W201" s="81">
        <v>2</v>
      </c>
      <c r="X201" s="82"/>
      <c r="Y201" s="83" t="s">
        <v>208</v>
      </c>
      <c r="Z201" s="84"/>
      <c r="AA201" s="85"/>
      <c r="AB201" s="86"/>
      <c r="AC201" s="84">
        <v>3</v>
      </c>
      <c r="AD201" s="85" t="s">
        <v>2003</v>
      </c>
      <c r="AE201" s="86">
        <v>1005</v>
      </c>
      <c r="AF201" s="83">
        <v>2</v>
      </c>
      <c r="AG201" s="85" t="s">
        <v>209</v>
      </c>
      <c r="AH201" s="86" t="s">
        <v>2005</v>
      </c>
      <c r="AI201" s="83">
        <v>3</v>
      </c>
      <c r="AJ201" s="85" t="s">
        <v>24</v>
      </c>
      <c r="AK201" s="86">
        <v>1450</v>
      </c>
      <c r="AL201" s="87"/>
      <c r="AM201" s="88"/>
      <c r="AN201" s="88" t="s">
        <v>476</v>
      </c>
      <c r="AO201" s="230" t="str">
        <f t="shared" si="11"/>
        <v>3HSNMLBMTSF50</v>
      </c>
    </row>
    <row r="202" spans="1:41" ht="15" customHeight="1" x14ac:dyDescent="0.15">
      <c r="A202" s="80">
        <v>333</v>
      </c>
      <c r="B202" s="89">
        <v>272</v>
      </c>
      <c r="C202" s="89">
        <v>36882</v>
      </c>
      <c r="D202" s="89" t="s">
        <v>61</v>
      </c>
      <c r="E202" s="89" t="s">
        <v>45</v>
      </c>
      <c r="F202" s="89" t="s">
        <v>46</v>
      </c>
      <c r="G202" s="89" t="str">
        <f t="shared" si="8"/>
        <v>3SNMLBMTSF</v>
      </c>
      <c r="H202" s="89" t="s">
        <v>19</v>
      </c>
      <c r="I202" s="89" t="s">
        <v>20</v>
      </c>
      <c r="J202" s="89" t="s">
        <v>205</v>
      </c>
      <c r="K202" s="89" t="s">
        <v>242</v>
      </c>
      <c r="L202" s="89" t="s">
        <v>243</v>
      </c>
      <c r="M202" s="89" t="str">
        <f t="shared" si="9"/>
        <v>3SNMLBMTSF501060</v>
      </c>
      <c r="N202" s="89" t="str">
        <f t="shared" si="10"/>
        <v>3SNMLBMTSF501000</v>
      </c>
      <c r="O202" s="90">
        <v>50</v>
      </c>
      <c r="P202" s="89">
        <v>3</v>
      </c>
      <c r="Q202" s="89" t="s">
        <v>151</v>
      </c>
      <c r="R202" s="90">
        <v>1060</v>
      </c>
      <c r="S202" s="90">
        <v>6100</v>
      </c>
      <c r="T202" s="90">
        <v>1000</v>
      </c>
      <c r="U202" s="90">
        <v>1000</v>
      </c>
      <c r="V202" s="90">
        <v>3000</v>
      </c>
      <c r="W202" s="81">
        <v>2</v>
      </c>
      <c r="X202" s="82"/>
      <c r="Y202" s="83" t="s">
        <v>208</v>
      </c>
      <c r="Z202" s="84"/>
      <c r="AA202" s="85"/>
      <c r="AB202" s="86"/>
      <c r="AC202" s="84">
        <v>3</v>
      </c>
      <c r="AD202" s="85" t="s">
        <v>2003</v>
      </c>
      <c r="AE202" s="86">
        <v>1005</v>
      </c>
      <c r="AF202" s="83">
        <v>2</v>
      </c>
      <c r="AG202" s="85" t="s">
        <v>209</v>
      </c>
      <c r="AH202" s="86" t="s">
        <v>2005</v>
      </c>
      <c r="AI202" s="83">
        <v>3</v>
      </c>
      <c r="AJ202" s="85" t="s">
        <v>24</v>
      </c>
      <c r="AK202" s="86">
        <v>1450</v>
      </c>
      <c r="AL202" s="87"/>
      <c r="AM202" s="88"/>
      <c r="AN202" s="88" t="s">
        <v>476</v>
      </c>
      <c r="AO202" s="230" t="str">
        <f t="shared" si="11"/>
        <v>3SNMLBMTSF50</v>
      </c>
    </row>
    <row r="203" spans="1:41" ht="15" customHeight="1" x14ac:dyDescent="0.15">
      <c r="A203" s="80">
        <v>333</v>
      </c>
      <c r="B203" s="89">
        <v>272</v>
      </c>
      <c r="C203" s="89">
        <v>36882</v>
      </c>
      <c r="D203" s="89" t="s">
        <v>61</v>
      </c>
      <c r="E203" s="89" t="s">
        <v>45</v>
      </c>
      <c r="F203" s="89" t="s">
        <v>46</v>
      </c>
      <c r="G203" s="89" t="str">
        <f t="shared" si="8"/>
        <v>3SNMLBMTSF</v>
      </c>
      <c r="H203" s="89" t="s">
        <v>19</v>
      </c>
      <c r="I203" s="89" t="s">
        <v>20</v>
      </c>
      <c r="J203" s="89" t="s">
        <v>205</v>
      </c>
      <c r="K203" s="89" t="s">
        <v>242</v>
      </c>
      <c r="L203" s="89" t="s">
        <v>243</v>
      </c>
      <c r="M203" s="89" t="str">
        <f t="shared" si="9"/>
        <v>3SNMLBMTSF501255</v>
      </c>
      <c r="N203" s="89" t="str">
        <f t="shared" si="10"/>
        <v>3SNMLBMTSF501250</v>
      </c>
      <c r="O203" s="90">
        <v>50</v>
      </c>
      <c r="P203" s="89">
        <v>3</v>
      </c>
      <c r="Q203" s="89" t="s">
        <v>151</v>
      </c>
      <c r="R203" s="90">
        <v>1255</v>
      </c>
      <c r="S203" s="90">
        <v>6100</v>
      </c>
      <c r="T203" s="90">
        <v>1255</v>
      </c>
      <c r="U203" s="90">
        <v>1250</v>
      </c>
      <c r="V203" s="90">
        <v>2000</v>
      </c>
      <c r="W203" s="81">
        <v>2</v>
      </c>
      <c r="X203" s="82"/>
      <c r="Y203" s="83" t="s">
        <v>208</v>
      </c>
      <c r="Z203" s="84"/>
      <c r="AA203" s="85"/>
      <c r="AB203" s="86"/>
      <c r="AC203" s="84">
        <v>3</v>
      </c>
      <c r="AD203" s="85" t="s">
        <v>2003</v>
      </c>
      <c r="AE203" s="86">
        <v>1260</v>
      </c>
      <c r="AF203" s="83">
        <v>2</v>
      </c>
      <c r="AG203" s="85" t="s">
        <v>209</v>
      </c>
      <c r="AH203" s="86" t="s">
        <v>2005</v>
      </c>
      <c r="AI203" s="83">
        <v>3</v>
      </c>
      <c r="AJ203" s="85" t="s">
        <v>24</v>
      </c>
      <c r="AK203" s="86">
        <v>1450</v>
      </c>
      <c r="AL203" s="87"/>
      <c r="AM203" s="88"/>
      <c r="AN203" s="88" t="s">
        <v>476</v>
      </c>
      <c r="AO203" s="230" t="str">
        <f t="shared" si="11"/>
        <v>3SNMLBMTSF50</v>
      </c>
    </row>
    <row r="204" spans="1:41" ht="15" customHeight="1" x14ac:dyDescent="0.15">
      <c r="A204" s="80">
        <v>333</v>
      </c>
      <c r="B204" s="89">
        <v>271</v>
      </c>
      <c r="C204" s="89">
        <v>380604</v>
      </c>
      <c r="D204" s="89" t="s">
        <v>17</v>
      </c>
      <c r="E204" s="89" t="s">
        <v>18</v>
      </c>
      <c r="F204" s="89" t="s">
        <v>12</v>
      </c>
      <c r="G204" s="89" t="str">
        <f t="shared" si="8"/>
        <v>3SNMLBMTSF</v>
      </c>
      <c r="H204" s="89" t="s">
        <v>19</v>
      </c>
      <c r="I204" s="89" t="s">
        <v>20</v>
      </c>
      <c r="J204" s="89" t="s">
        <v>205</v>
      </c>
      <c r="K204" s="89" t="s">
        <v>242</v>
      </c>
      <c r="L204" s="89" t="s">
        <v>243</v>
      </c>
      <c r="M204" s="89" t="str">
        <f t="shared" si="9"/>
        <v>3SNMLBMTSF751100</v>
      </c>
      <c r="N204" s="89" t="str">
        <f t="shared" si="10"/>
        <v>3SNMLBMTSF751000</v>
      </c>
      <c r="O204" s="90">
        <v>75</v>
      </c>
      <c r="P204" s="89">
        <v>3</v>
      </c>
      <c r="Q204" s="89" t="s">
        <v>244</v>
      </c>
      <c r="R204" s="90">
        <v>1100</v>
      </c>
      <c r="S204" s="90">
        <v>2000</v>
      </c>
      <c r="T204" s="90">
        <v>1000</v>
      </c>
      <c r="U204" s="90">
        <v>1000</v>
      </c>
      <c r="V204" s="90">
        <v>1000</v>
      </c>
      <c r="W204" s="81">
        <v>2</v>
      </c>
      <c r="X204" s="82"/>
      <c r="Y204" s="83" t="s">
        <v>208</v>
      </c>
      <c r="Z204" s="84"/>
      <c r="AA204" s="85"/>
      <c r="AB204" s="86"/>
      <c r="AC204" s="84">
        <v>3</v>
      </c>
      <c r="AD204" s="85" t="s">
        <v>2003</v>
      </c>
      <c r="AE204" s="86">
        <v>1005</v>
      </c>
      <c r="AF204" s="83">
        <v>2</v>
      </c>
      <c r="AG204" s="85" t="s">
        <v>209</v>
      </c>
      <c r="AH204" s="86" t="s">
        <v>2005</v>
      </c>
      <c r="AI204" s="83">
        <v>3</v>
      </c>
      <c r="AJ204" s="85" t="s">
        <v>24</v>
      </c>
      <c r="AK204" s="86">
        <v>1450</v>
      </c>
      <c r="AL204" s="87"/>
      <c r="AM204" s="88"/>
      <c r="AN204" s="88" t="s">
        <v>476</v>
      </c>
      <c r="AO204" s="196" t="str">
        <f t="shared" si="11"/>
        <v>3SNMLBMTSF75</v>
      </c>
    </row>
    <row r="205" spans="1:41" ht="15" customHeight="1" x14ac:dyDescent="0.15">
      <c r="A205" s="80">
        <v>333</v>
      </c>
      <c r="B205" s="89">
        <v>275</v>
      </c>
      <c r="C205" s="89">
        <v>2042</v>
      </c>
      <c r="D205" s="89" t="s">
        <v>247</v>
      </c>
      <c r="E205" s="89" t="s">
        <v>117</v>
      </c>
      <c r="F205" s="89" t="s">
        <v>2052</v>
      </c>
      <c r="G205" s="89" t="str">
        <f t="shared" si="8"/>
        <v>3SNMLBMNSJF</v>
      </c>
      <c r="H205" s="89" t="s">
        <v>19</v>
      </c>
      <c r="I205" s="89" t="s">
        <v>20</v>
      </c>
      <c r="J205" s="89" t="s">
        <v>422</v>
      </c>
      <c r="K205" s="89" t="s">
        <v>248</v>
      </c>
      <c r="L205" s="89" t="s">
        <v>249</v>
      </c>
      <c r="M205" s="89" t="str">
        <f t="shared" si="9"/>
        <v>3SNMLBMNSJF121120</v>
      </c>
      <c r="N205" s="89" t="str">
        <f t="shared" si="10"/>
        <v>3SNMLBMNSJF121000</v>
      </c>
      <c r="O205" s="90">
        <v>12</v>
      </c>
      <c r="P205" s="89">
        <v>3</v>
      </c>
      <c r="Q205" s="89" t="s">
        <v>250</v>
      </c>
      <c r="R205" s="90">
        <v>1120</v>
      </c>
      <c r="S205" s="90">
        <v>24230</v>
      </c>
      <c r="T205" s="90">
        <v>1000</v>
      </c>
      <c r="U205" s="90">
        <v>1000</v>
      </c>
      <c r="V205" s="90">
        <v>6000</v>
      </c>
      <c r="W205" s="81">
        <v>2</v>
      </c>
      <c r="X205" s="82"/>
      <c r="Y205" s="83" t="s">
        <v>208</v>
      </c>
      <c r="Z205" s="84"/>
      <c r="AA205" s="85"/>
      <c r="AB205" s="86"/>
      <c r="AC205" s="84">
        <v>6</v>
      </c>
      <c r="AD205" s="85" t="s">
        <v>147</v>
      </c>
      <c r="AE205" s="86">
        <v>1005</v>
      </c>
      <c r="AF205" s="83"/>
      <c r="AG205" s="85"/>
      <c r="AH205" s="86"/>
      <c r="AI205" s="83"/>
      <c r="AJ205" s="85"/>
      <c r="AK205" s="86"/>
      <c r="AL205" s="87"/>
      <c r="AM205" s="88"/>
      <c r="AN205" s="88" t="s">
        <v>476</v>
      </c>
      <c r="AO205" s="230" t="str">
        <f t="shared" si="11"/>
        <v>3SNMLBMNSJF12</v>
      </c>
    </row>
    <row r="206" spans="1:41" ht="15" customHeight="1" thickBot="1" x14ac:dyDescent="0.2">
      <c r="A206" s="116">
        <v>333</v>
      </c>
      <c r="B206" s="91">
        <v>275</v>
      </c>
      <c r="C206" s="91">
        <v>2042</v>
      </c>
      <c r="D206" s="91" t="s">
        <v>247</v>
      </c>
      <c r="E206" s="91" t="s">
        <v>117</v>
      </c>
      <c r="F206" s="91" t="s">
        <v>2052</v>
      </c>
      <c r="G206" s="91" t="str">
        <f t="shared" si="8"/>
        <v>3SNMLBMNSJF</v>
      </c>
      <c r="H206" s="91" t="s">
        <v>19</v>
      </c>
      <c r="I206" s="91" t="s">
        <v>20</v>
      </c>
      <c r="J206" s="91" t="s">
        <v>422</v>
      </c>
      <c r="K206" s="91" t="s">
        <v>248</v>
      </c>
      <c r="L206" s="91" t="s">
        <v>249</v>
      </c>
      <c r="M206" s="91" t="str">
        <f t="shared" si="9"/>
        <v>3SNMLBMNSJF121120</v>
      </c>
      <c r="N206" s="91" t="str">
        <f t="shared" si="10"/>
        <v>3SNMLBMNSJF121120</v>
      </c>
      <c r="O206" s="117">
        <v>12</v>
      </c>
      <c r="P206" s="91">
        <v>3</v>
      </c>
      <c r="Q206" s="91" t="s">
        <v>250</v>
      </c>
      <c r="R206" s="117">
        <v>1120</v>
      </c>
      <c r="S206" s="117">
        <v>24230</v>
      </c>
      <c r="T206" s="117">
        <v>1120</v>
      </c>
      <c r="U206" s="117">
        <v>1120</v>
      </c>
      <c r="V206" s="117">
        <v>6000</v>
      </c>
      <c r="W206" s="118">
        <v>2</v>
      </c>
      <c r="X206" s="119"/>
      <c r="Y206" s="99" t="s">
        <v>208</v>
      </c>
      <c r="Z206" s="100"/>
      <c r="AA206" s="101"/>
      <c r="AB206" s="102"/>
      <c r="AC206" s="100">
        <v>6</v>
      </c>
      <c r="AD206" s="101" t="s">
        <v>147</v>
      </c>
      <c r="AE206" s="102">
        <v>1125</v>
      </c>
      <c r="AF206" s="99"/>
      <c r="AG206" s="101"/>
      <c r="AH206" s="102"/>
      <c r="AI206" s="99"/>
      <c r="AJ206" s="101"/>
      <c r="AK206" s="102"/>
      <c r="AL206" s="103"/>
      <c r="AM206" s="104"/>
      <c r="AN206" s="104" t="s">
        <v>476</v>
      </c>
      <c r="AO206" s="284" t="str">
        <f t="shared" si="11"/>
        <v>3SNMLBMNSJF12</v>
      </c>
    </row>
    <row r="207" spans="1:41" ht="15" customHeight="1" thickBot="1" x14ac:dyDescent="0.2">
      <c r="A207" s="128">
        <v>333</v>
      </c>
      <c r="B207" s="129">
        <v>274</v>
      </c>
      <c r="C207" s="129">
        <v>36888</v>
      </c>
      <c r="D207" s="129" t="s">
        <v>65</v>
      </c>
      <c r="E207" s="129" t="s">
        <v>66</v>
      </c>
      <c r="F207" s="129" t="s">
        <v>111</v>
      </c>
      <c r="G207" s="129" t="str">
        <f t="shared" si="8"/>
        <v>3HSNTPICTT405B</v>
      </c>
      <c r="H207" s="129" t="s">
        <v>19</v>
      </c>
      <c r="I207" s="129" t="s">
        <v>20</v>
      </c>
      <c r="J207" s="129" t="s">
        <v>251</v>
      </c>
      <c r="K207" s="129" t="s">
        <v>252</v>
      </c>
      <c r="L207" s="129" t="s">
        <v>253</v>
      </c>
      <c r="M207" s="129" t="str">
        <f t="shared" si="9"/>
        <v>3HSNTPICTT405B501094</v>
      </c>
      <c r="N207" s="129" t="str">
        <f t="shared" si="10"/>
        <v>3HSNTPICTT405B501094</v>
      </c>
      <c r="O207" s="130">
        <v>50</v>
      </c>
      <c r="P207" s="129" t="s">
        <v>96</v>
      </c>
      <c r="Q207" s="129" t="s">
        <v>254</v>
      </c>
      <c r="R207" s="130">
        <v>1094</v>
      </c>
      <c r="S207" s="130">
        <v>6000</v>
      </c>
      <c r="T207" s="130">
        <v>1094</v>
      </c>
      <c r="U207" s="130">
        <v>1094</v>
      </c>
      <c r="V207" s="130">
        <v>5000</v>
      </c>
      <c r="W207" s="131">
        <v>2</v>
      </c>
      <c r="X207" s="132" t="s">
        <v>142</v>
      </c>
      <c r="Y207" s="152" t="s">
        <v>15</v>
      </c>
      <c r="Z207" s="134">
        <v>6</v>
      </c>
      <c r="AA207" s="135" t="s">
        <v>24</v>
      </c>
      <c r="AB207" s="136">
        <v>1700</v>
      </c>
      <c r="AC207" s="133"/>
      <c r="AD207" s="135"/>
      <c r="AE207" s="136"/>
      <c r="AF207" s="133"/>
      <c r="AG207" s="135"/>
      <c r="AH207" s="136"/>
      <c r="AI207" s="133"/>
      <c r="AJ207" s="135"/>
      <c r="AK207" s="136"/>
      <c r="AL207" s="137"/>
      <c r="AM207" s="138"/>
      <c r="AN207" s="195" t="s">
        <v>477</v>
      </c>
      <c r="AO207" s="197" t="str">
        <f t="shared" si="11"/>
        <v>3HSNTPICTT405B50</v>
      </c>
    </row>
    <row r="208" spans="1:41" ht="15" customHeight="1" x14ac:dyDescent="0.15">
      <c r="A208" s="105">
        <v>333</v>
      </c>
      <c r="B208" s="106">
        <v>271</v>
      </c>
      <c r="C208" s="106">
        <v>2586</v>
      </c>
      <c r="D208" s="106" t="s">
        <v>255</v>
      </c>
      <c r="E208" s="106" t="s">
        <v>18</v>
      </c>
      <c r="F208" s="106" t="s">
        <v>12</v>
      </c>
      <c r="G208" s="106" t="str">
        <f t="shared" si="8"/>
        <v>3SNTTPB2T0</v>
      </c>
      <c r="H208" s="106" t="s">
        <v>19</v>
      </c>
      <c r="I208" s="106" t="s">
        <v>20</v>
      </c>
      <c r="J208" s="106" t="s">
        <v>256</v>
      </c>
      <c r="K208" s="106" t="s">
        <v>257</v>
      </c>
      <c r="L208" s="106" t="s">
        <v>258</v>
      </c>
      <c r="M208" s="106" t="str">
        <f t="shared" si="9"/>
        <v>3SNTTPB2T01001020</v>
      </c>
      <c r="N208" s="106" t="str">
        <f t="shared" si="10"/>
        <v>3SNTTPB2T01001000</v>
      </c>
      <c r="O208" s="107">
        <v>100</v>
      </c>
      <c r="P208" s="106">
        <v>3</v>
      </c>
      <c r="Q208" s="106" t="s">
        <v>259</v>
      </c>
      <c r="R208" s="107">
        <v>1020</v>
      </c>
      <c r="S208" s="107">
        <v>2000</v>
      </c>
      <c r="T208" s="107">
        <v>1000</v>
      </c>
      <c r="U208" s="107">
        <v>1000</v>
      </c>
      <c r="V208" s="107">
        <v>1000</v>
      </c>
      <c r="W208" s="108">
        <v>2</v>
      </c>
      <c r="X208" s="109" t="s">
        <v>136</v>
      </c>
      <c r="Y208" s="110" t="s">
        <v>2008</v>
      </c>
      <c r="Z208" s="75">
        <v>6</v>
      </c>
      <c r="AA208" s="76" t="s">
        <v>16</v>
      </c>
      <c r="AB208" s="77">
        <v>1020</v>
      </c>
      <c r="AC208" s="74">
        <v>6</v>
      </c>
      <c r="AD208" s="76" t="s">
        <v>16</v>
      </c>
      <c r="AE208" s="77">
        <v>1020</v>
      </c>
      <c r="AF208" s="74"/>
      <c r="AG208" s="76"/>
      <c r="AH208" s="77"/>
      <c r="AI208" s="74"/>
      <c r="AJ208" s="76"/>
      <c r="AK208" s="77"/>
      <c r="AL208" s="78"/>
      <c r="AM208" s="79"/>
      <c r="AN208" s="79" t="s">
        <v>471</v>
      </c>
      <c r="AO208" s="232" t="str">
        <f t="shared" si="11"/>
        <v>3SNTTPB2T0100</v>
      </c>
    </row>
    <row r="209" spans="1:41" ht="15" customHeight="1" x14ac:dyDescent="0.15">
      <c r="A209" s="80">
        <v>333</v>
      </c>
      <c r="B209" s="89">
        <v>271</v>
      </c>
      <c r="C209" s="89">
        <v>2586</v>
      </c>
      <c r="D209" s="89" t="s">
        <v>255</v>
      </c>
      <c r="E209" s="89" t="s">
        <v>18</v>
      </c>
      <c r="F209" s="89" t="s">
        <v>12</v>
      </c>
      <c r="G209" s="89" t="str">
        <f t="shared" si="8"/>
        <v>3SNTTPB2T0</v>
      </c>
      <c r="H209" s="89" t="s">
        <v>19</v>
      </c>
      <c r="I209" s="89" t="s">
        <v>20</v>
      </c>
      <c r="J209" s="89" t="s">
        <v>256</v>
      </c>
      <c r="K209" s="89" t="s">
        <v>257</v>
      </c>
      <c r="L209" s="89" t="s">
        <v>258</v>
      </c>
      <c r="M209" s="89" t="str">
        <f t="shared" si="9"/>
        <v>3SNTTPB2T01251020</v>
      </c>
      <c r="N209" s="89" t="str">
        <f t="shared" si="10"/>
        <v>3SNTTPB2T01251000</v>
      </c>
      <c r="O209" s="90">
        <v>125</v>
      </c>
      <c r="P209" s="89">
        <v>3</v>
      </c>
      <c r="Q209" s="89" t="s">
        <v>259</v>
      </c>
      <c r="R209" s="90">
        <v>1020</v>
      </c>
      <c r="S209" s="90">
        <v>2000</v>
      </c>
      <c r="T209" s="90">
        <v>1000</v>
      </c>
      <c r="U209" s="90">
        <v>1000</v>
      </c>
      <c r="V209" s="90">
        <v>1000</v>
      </c>
      <c r="W209" s="81">
        <v>2</v>
      </c>
      <c r="X209" s="82" t="s">
        <v>136</v>
      </c>
      <c r="Y209" s="110" t="s">
        <v>2008</v>
      </c>
      <c r="Z209" s="84">
        <v>6</v>
      </c>
      <c r="AA209" s="85" t="s">
        <v>16</v>
      </c>
      <c r="AB209" s="86">
        <v>1020</v>
      </c>
      <c r="AC209" s="83">
        <v>6</v>
      </c>
      <c r="AD209" s="85" t="s">
        <v>16</v>
      </c>
      <c r="AE209" s="86">
        <v>1020</v>
      </c>
      <c r="AF209" s="83"/>
      <c r="AG209" s="85"/>
      <c r="AH209" s="86"/>
      <c r="AI209" s="83"/>
      <c r="AJ209" s="85"/>
      <c r="AK209" s="86"/>
      <c r="AL209" s="87"/>
      <c r="AM209" s="88"/>
      <c r="AN209" s="88" t="s">
        <v>471</v>
      </c>
      <c r="AO209" s="230" t="str">
        <f t="shared" si="11"/>
        <v>3SNTTPB2T0125</v>
      </c>
    </row>
    <row r="210" spans="1:41" ht="15" customHeight="1" x14ac:dyDescent="0.15">
      <c r="A210" s="80">
        <v>333</v>
      </c>
      <c r="B210" s="89">
        <v>271</v>
      </c>
      <c r="C210" s="89">
        <v>2586</v>
      </c>
      <c r="D210" s="89" t="s">
        <v>255</v>
      </c>
      <c r="E210" s="89" t="s">
        <v>18</v>
      </c>
      <c r="F210" s="89" t="s">
        <v>12</v>
      </c>
      <c r="G210" s="89" t="str">
        <f t="shared" si="8"/>
        <v>3SNTTPB2T0</v>
      </c>
      <c r="H210" s="89" t="s">
        <v>19</v>
      </c>
      <c r="I210" s="89" t="s">
        <v>20</v>
      </c>
      <c r="J210" s="89" t="s">
        <v>256</v>
      </c>
      <c r="K210" s="89" t="s">
        <v>257</v>
      </c>
      <c r="L210" s="89" t="s">
        <v>258</v>
      </c>
      <c r="M210" s="89" t="str">
        <f t="shared" si="9"/>
        <v>3SNTTPB2T01881020</v>
      </c>
      <c r="N210" s="89" t="str">
        <f t="shared" si="10"/>
        <v>3SNTTPB2T01881000</v>
      </c>
      <c r="O210" s="90">
        <v>188</v>
      </c>
      <c r="P210" s="89">
        <v>3</v>
      </c>
      <c r="Q210" s="89" t="s">
        <v>259</v>
      </c>
      <c r="R210" s="90">
        <v>1020</v>
      </c>
      <c r="S210" s="90">
        <v>1200</v>
      </c>
      <c r="T210" s="90">
        <v>1000</v>
      </c>
      <c r="U210" s="90">
        <v>1000</v>
      </c>
      <c r="V210" s="90">
        <v>1000</v>
      </c>
      <c r="W210" s="81">
        <v>2</v>
      </c>
      <c r="X210" s="82" t="s">
        <v>136</v>
      </c>
      <c r="Y210" s="110" t="s">
        <v>2008</v>
      </c>
      <c r="Z210" s="84">
        <v>6</v>
      </c>
      <c r="AA210" s="85" t="s">
        <v>16</v>
      </c>
      <c r="AB210" s="86">
        <v>1020</v>
      </c>
      <c r="AC210" s="83">
        <v>6</v>
      </c>
      <c r="AD210" s="85" t="s">
        <v>16</v>
      </c>
      <c r="AE210" s="86">
        <v>1020</v>
      </c>
      <c r="AF210" s="83"/>
      <c r="AG210" s="85"/>
      <c r="AH210" s="86"/>
      <c r="AI210" s="83"/>
      <c r="AJ210" s="85"/>
      <c r="AK210" s="86"/>
      <c r="AL210" s="87"/>
      <c r="AM210" s="88"/>
      <c r="AN210" s="88" t="s">
        <v>471</v>
      </c>
      <c r="AO210" s="230" t="str">
        <f t="shared" si="11"/>
        <v>3SNTTPB2T0188</v>
      </c>
    </row>
    <row r="211" spans="1:41" ht="15" customHeight="1" x14ac:dyDescent="0.15">
      <c r="A211" s="80">
        <v>333</v>
      </c>
      <c r="B211" s="89">
        <v>271</v>
      </c>
      <c r="C211" s="89"/>
      <c r="D211" s="89" t="s">
        <v>2064</v>
      </c>
      <c r="E211" s="89"/>
      <c r="F211" s="89" t="s">
        <v>12</v>
      </c>
      <c r="G211" s="89" t="str">
        <f t="shared" si="8"/>
        <v>3SYTTPTHS</v>
      </c>
      <c r="H211" s="89" t="s">
        <v>19</v>
      </c>
      <c r="I211" s="89" t="s">
        <v>2036</v>
      </c>
      <c r="J211" s="89" t="s">
        <v>256</v>
      </c>
      <c r="K211" s="89" t="s">
        <v>2065</v>
      </c>
      <c r="L211" s="89" t="s">
        <v>2066</v>
      </c>
      <c r="M211" s="89" t="str">
        <f t="shared" si="9"/>
        <v>3SYTTPTHS1251300</v>
      </c>
      <c r="N211" s="89" t="str">
        <f t="shared" si="10"/>
        <v>3SYTTPTHS1251300</v>
      </c>
      <c r="O211" s="90">
        <v>125</v>
      </c>
      <c r="P211" s="89">
        <v>3</v>
      </c>
      <c r="Q211" s="89" t="s">
        <v>2009</v>
      </c>
      <c r="R211" s="90">
        <v>1300</v>
      </c>
      <c r="S211" s="90">
        <v>1600</v>
      </c>
      <c r="T211" s="90">
        <v>1300</v>
      </c>
      <c r="U211" s="90">
        <v>1300</v>
      </c>
      <c r="V211" s="90">
        <v>1600</v>
      </c>
      <c r="W211" s="81">
        <v>2</v>
      </c>
      <c r="X211" s="82" t="s">
        <v>142</v>
      </c>
      <c r="Y211" s="110" t="s">
        <v>2008</v>
      </c>
      <c r="Z211" s="84">
        <v>6</v>
      </c>
      <c r="AA211" s="85" t="s">
        <v>16</v>
      </c>
      <c r="AB211" s="86">
        <v>1450</v>
      </c>
      <c r="AC211" s="83">
        <v>6</v>
      </c>
      <c r="AD211" s="85" t="s">
        <v>16</v>
      </c>
      <c r="AE211" s="86">
        <v>1270</v>
      </c>
      <c r="AF211" s="83"/>
      <c r="AG211" s="85"/>
      <c r="AH211" s="86"/>
      <c r="AI211" s="83"/>
      <c r="AJ211" s="85"/>
      <c r="AK211" s="86"/>
      <c r="AL211" s="87"/>
      <c r="AM211" s="88"/>
      <c r="AN211" s="88" t="s">
        <v>471</v>
      </c>
      <c r="AO211" s="196" t="str">
        <f t="shared" si="11"/>
        <v>3SYTTPTHS125</v>
      </c>
    </row>
    <row r="212" spans="1:41" ht="15" customHeight="1" x14ac:dyDescent="0.15">
      <c r="A212" s="80">
        <v>333</v>
      </c>
      <c r="B212" s="89">
        <v>273</v>
      </c>
      <c r="C212" s="89">
        <v>380604</v>
      </c>
      <c r="D212" s="89" t="s">
        <v>17</v>
      </c>
      <c r="E212" s="89" t="s">
        <v>41</v>
      </c>
      <c r="F212" s="89" t="s">
        <v>12</v>
      </c>
      <c r="G212" s="89" t="str">
        <f t="shared" si="8"/>
        <v>3SYTTPLC1000</v>
      </c>
      <c r="H212" s="89" t="s">
        <v>19</v>
      </c>
      <c r="I212" s="89" t="s">
        <v>28</v>
      </c>
      <c r="J212" s="89" t="s">
        <v>256</v>
      </c>
      <c r="K212" s="89" t="s">
        <v>260</v>
      </c>
      <c r="L212" s="89" t="s">
        <v>261</v>
      </c>
      <c r="M212" s="89" t="str">
        <f t="shared" si="9"/>
        <v>3SYTTPLC10001251330</v>
      </c>
      <c r="N212" s="89" t="str">
        <f t="shared" si="10"/>
        <v>3SYTTPLC10001251320</v>
      </c>
      <c r="O212" s="90">
        <v>125</v>
      </c>
      <c r="P212" s="89">
        <v>3</v>
      </c>
      <c r="Q212" s="89" t="s">
        <v>262</v>
      </c>
      <c r="R212" s="90">
        <v>1330</v>
      </c>
      <c r="S212" s="90">
        <v>800</v>
      </c>
      <c r="T212" s="90">
        <v>1320</v>
      </c>
      <c r="U212" s="90">
        <v>1320</v>
      </c>
      <c r="V212" s="90">
        <v>800</v>
      </c>
      <c r="W212" s="81">
        <v>2</v>
      </c>
      <c r="X212" s="82" t="s">
        <v>142</v>
      </c>
      <c r="Y212" s="83" t="s">
        <v>15</v>
      </c>
      <c r="Z212" s="84">
        <v>6</v>
      </c>
      <c r="AA212" s="85" t="s">
        <v>16</v>
      </c>
      <c r="AB212" s="86">
        <v>1500</v>
      </c>
      <c r="AC212" s="83"/>
      <c r="AD212" s="85"/>
      <c r="AE212" s="86"/>
      <c r="AF212" s="83"/>
      <c r="AG212" s="85"/>
      <c r="AH212" s="86"/>
      <c r="AI212" s="83"/>
      <c r="AJ212" s="85"/>
      <c r="AK212" s="86"/>
      <c r="AL212" s="87"/>
      <c r="AM212" s="88"/>
      <c r="AN212" s="88" t="s">
        <v>471</v>
      </c>
      <c r="AO212" s="230" t="str">
        <f t="shared" si="11"/>
        <v>3SYTTPLC1000125</v>
      </c>
    </row>
    <row r="213" spans="1:41" ht="15" customHeight="1" thickBot="1" x14ac:dyDescent="0.2">
      <c r="A213" s="116">
        <v>333</v>
      </c>
      <c r="B213" s="91">
        <v>273</v>
      </c>
      <c r="C213" s="91">
        <v>380604</v>
      </c>
      <c r="D213" s="91" t="s">
        <v>17</v>
      </c>
      <c r="E213" s="91" t="s">
        <v>41</v>
      </c>
      <c r="F213" s="91" t="s">
        <v>12</v>
      </c>
      <c r="G213" s="91" t="str">
        <f t="shared" si="8"/>
        <v>3SYTTPLC1000</v>
      </c>
      <c r="H213" s="91" t="s">
        <v>19</v>
      </c>
      <c r="I213" s="91" t="s">
        <v>28</v>
      </c>
      <c r="J213" s="91" t="s">
        <v>256</v>
      </c>
      <c r="K213" s="91" t="s">
        <v>260</v>
      </c>
      <c r="L213" s="91" t="s">
        <v>261</v>
      </c>
      <c r="M213" s="91" t="str">
        <f t="shared" si="9"/>
        <v>3SYTTPLC10001251360</v>
      </c>
      <c r="N213" s="91" t="str">
        <f t="shared" si="10"/>
        <v>3SYTTPLC10001251320</v>
      </c>
      <c r="O213" s="117">
        <v>125</v>
      </c>
      <c r="P213" s="91">
        <v>3</v>
      </c>
      <c r="Q213" s="91" t="s">
        <v>262</v>
      </c>
      <c r="R213" s="117">
        <v>1360</v>
      </c>
      <c r="S213" s="117">
        <v>1600</v>
      </c>
      <c r="T213" s="117">
        <v>1320</v>
      </c>
      <c r="U213" s="117">
        <v>1320</v>
      </c>
      <c r="V213" s="117">
        <v>1500</v>
      </c>
      <c r="W213" s="118">
        <v>2</v>
      </c>
      <c r="X213" s="119" t="s">
        <v>142</v>
      </c>
      <c r="Y213" s="99" t="s">
        <v>15</v>
      </c>
      <c r="Z213" s="100">
        <v>6</v>
      </c>
      <c r="AA213" s="101" t="s">
        <v>16</v>
      </c>
      <c r="AB213" s="102">
        <v>1500</v>
      </c>
      <c r="AC213" s="99"/>
      <c r="AD213" s="101"/>
      <c r="AE213" s="102"/>
      <c r="AF213" s="99"/>
      <c r="AG213" s="101"/>
      <c r="AH213" s="102"/>
      <c r="AI213" s="99"/>
      <c r="AJ213" s="101"/>
      <c r="AK213" s="102"/>
      <c r="AL213" s="103"/>
      <c r="AM213" s="104"/>
      <c r="AN213" s="196" t="s">
        <v>471</v>
      </c>
      <c r="AO213" s="284" t="str">
        <f t="shared" si="11"/>
        <v>3SYTTPLC1000125</v>
      </c>
    </row>
    <row r="214" spans="1:41" ht="15" customHeight="1" thickBot="1" x14ac:dyDescent="0.2">
      <c r="A214" s="128">
        <v>333</v>
      </c>
      <c r="B214" s="129">
        <v>274</v>
      </c>
      <c r="C214" s="129">
        <v>36888</v>
      </c>
      <c r="D214" s="129" t="s">
        <v>65</v>
      </c>
      <c r="E214" s="129" t="s">
        <v>66</v>
      </c>
      <c r="F214" s="129"/>
      <c r="G214" s="129" t="str">
        <f t="shared" si="8"/>
        <v>3SNJ-ETCADX44</v>
      </c>
      <c r="H214" s="129" t="s">
        <v>1549</v>
      </c>
      <c r="I214" s="129" t="s">
        <v>1550</v>
      </c>
      <c r="J214" s="129" t="s">
        <v>2067</v>
      </c>
      <c r="K214" s="129" t="s">
        <v>2068</v>
      </c>
      <c r="L214" s="129" t="s">
        <v>2068</v>
      </c>
      <c r="M214" s="129" t="str">
        <f t="shared" si="9"/>
        <v>3SNJ-ETCADX44501110</v>
      </c>
      <c r="N214" s="129" t="str">
        <f t="shared" si="10"/>
        <v>3SNJ-ETCADX44501100</v>
      </c>
      <c r="O214" s="130">
        <v>50</v>
      </c>
      <c r="P214" s="129">
        <v>3</v>
      </c>
      <c r="Q214" s="129" t="s">
        <v>2004</v>
      </c>
      <c r="R214" s="130">
        <v>1110</v>
      </c>
      <c r="S214" s="130">
        <v>4000</v>
      </c>
      <c r="T214" s="130">
        <v>1100</v>
      </c>
      <c r="U214" s="130">
        <v>1100</v>
      </c>
      <c r="V214" s="130">
        <v>4000</v>
      </c>
      <c r="W214" s="131">
        <v>2</v>
      </c>
      <c r="X214" s="132" t="s">
        <v>136</v>
      </c>
      <c r="Y214" s="133"/>
      <c r="Z214" s="134">
        <v>6</v>
      </c>
      <c r="AA214" s="135" t="s">
        <v>24</v>
      </c>
      <c r="AB214" s="136">
        <v>1450</v>
      </c>
      <c r="AC214" s="133"/>
      <c r="AD214" s="135"/>
      <c r="AE214" s="136"/>
      <c r="AF214" s="133"/>
      <c r="AG214" s="135"/>
      <c r="AH214" s="136"/>
      <c r="AI214" s="133"/>
      <c r="AJ214" s="135"/>
      <c r="AK214" s="136"/>
      <c r="AL214" s="137"/>
      <c r="AM214" s="138"/>
      <c r="AN214" s="197" t="s">
        <v>478</v>
      </c>
      <c r="AO214" s="197" t="str">
        <f t="shared" si="11"/>
        <v>3SNJ-ETCADX4450</v>
      </c>
    </row>
    <row r="215" spans="1:41" ht="15" customHeight="1" x14ac:dyDescent="0.15">
      <c r="A215" s="69">
        <v>4113</v>
      </c>
      <c r="B215" s="70">
        <v>272</v>
      </c>
      <c r="C215" s="70">
        <v>36882</v>
      </c>
      <c r="D215" s="70" t="s">
        <v>61</v>
      </c>
      <c r="E215" s="70" t="s">
        <v>45</v>
      </c>
      <c r="F215" s="70" t="s">
        <v>26</v>
      </c>
      <c r="G215" s="70" t="str">
        <f t="shared" si="8"/>
        <v>3TNCERABX8A37</v>
      </c>
      <c r="H215" s="70" t="s">
        <v>1653</v>
      </c>
      <c r="I215" s="70" t="s">
        <v>20</v>
      </c>
      <c r="J215" s="70" t="s">
        <v>21</v>
      </c>
      <c r="K215" s="70" t="s">
        <v>263</v>
      </c>
      <c r="L215" s="70" t="s">
        <v>264</v>
      </c>
      <c r="M215" s="70" t="str">
        <f t="shared" si="9"/>
        <v>3TNCERABX8A37751060</v>
      </c>
      <c r="N215" s="70" t="str">
        <f t="shared" si="10"/>
        <v>3TNCERABX8A37751050</v>
      </c>
      <c r="O215" s="71">
        <v>75</v>
      </c>
      <c r="P215" s="70">
        <v>3</v>
      </c>
      <c r="Q215" s="70" t="s">
        <v>2010</v>
      </c>
      <c r="R215" s="71">
        <v>1060</v>
      </c>
      <c r="S215" s="71">
        <v>6000</v>
      </c>
      <c r="T215" s="71">
        <v>1050</v>
      </c>
      <c r="U215" s="71">
        <v>1050</v>
      </c>
      <c r="V215" s="71">
        <v>5800</v>
      </c>
      <c r="W215" s="72">
        <v>2</v>
      </c>
      <c r="X215" s="73" t="s">
        <v>14</v>
      </c>
      <c r="Y215" s="74" t="s">
        <v>15</v>
      </c>
      <c r="Z215" s="75">
        <v>6</v>
      </c>
      <c r="AA215" s="76" t="s">
        <v>24</v>
      </c>
      <c r="AB215" s="77">
        <v>1250</v>
      </c>
      <c r="AC215" s="74"/>
      <c r="AD215" s="76"/>
      <c r="AE215" s="77"/>
      <c r="AF215" s="74"/>
      <c r="AG215" s="76"/>
      <c r="AH215" s="77"/>
      <c r="AI215" s="74"/>
      <c r="AJ215" s="76"/>
      <c r="AK215" s="77"/>
      <c r="AL215" s="78"/>
      <c r="AM215" s="79"/>
      <c r="AN215" s="79" t="s">
        <v>472</v>
      </c>
      <c r="AO215" s="232" t="str">
        <f t="shared" si="11"/>
        <v>3TNCERABX8A3775</v>
      </c>
    </row>
    <row r="216" spans="1:41" ht="15" customHeight="1" x14ac:dyDescent="0.15">
      <c r="A216" s="105">
        <v>4113</v>
      </c>
      <c r="B216" s="106">
        <v>272</v>
      </c>
      <c r="C216" s="106">
        <v>36882</v>
      </c>
      <c r="D216" s="106" t="s">
        <v>61</v>
      </c>
      <c r="E216" s="106" t="s">
        <v>45</v>
      </c>
      <c r="F216" s="106" t="s">
        <v>26</v>
      </c>
      <c r="G216" s="106" t="str">
        <f t="shared" si="8"/>
        <v>330TNCERABX8A37</v>
      </c>
      <c r="H216" s="106" t="s">
        <v>265</v>
      </c>
      <c r="I216" s="106" t="s">
        <v>20</v>
      </c>
      <c r="J216" s="106" t="s">
        <v>21</v>
      </c>
      <c r="K216" s="106" t="s">
        <v>263</v>
      </c>
      <c r="L216" s="106" t="s">
        <v>264</v>
      </c>
      <c r="M216" s="106" t="str">
        <f t="shared" si="9"/>
        <v>330TNCERABX8A37751060</v>
      </c>
      <c r="N216" s="106" t="str">
        <f t="shared" si="10"/>
        <v>330TNCERABX8A37751050</v>
      </c>
      <c r="O216" s="107">
        <v>75</v>
      </c>
      <c r="P216" s="106">
        <v>330</v>
      </c>
      <c r="Q216" s="106" t="s">
        <v>2010</v>
      </c>
      <c r="R216" s="107">
        <v>1060</v>
      </c>
      <c r="S216" s="107">
        <v>6000</v>
      </c>
      <c r="T216" s="107">
        <v>1050</v>
      </c>
      <c r="U216" s="107">
        <v>1050</v>
      </c>
      <c r="V216" s="107">
        <v>5800</v>
      </c>
      <c r="W216" s="108">
        <v>2</v>
      </c>
      <c r="X216" s="109" t="s">
        <v>14</v>
      </c>
      <c r="Y216" s="110" t="s">
        <v>15</v>
      </c>
      <c r="Z216" s="111">
        <v>6</v>
      </c>
      <c r="AA216" s="112" t="s">
        <v>266</v>
      </c>
      <c r="AB216" s="113">
        <v>1250</v>
      </c>
      <c r="AC216" s="110"/>
      <c r="AD216" s="112"/>
      <c r="AE216" s="113"/>
      <c r="AF216" s="110"/>
      <c r="AG216" s="112"/>
      <c r="AH216" s="113"/>
      <c r="AI216" s="110"/>
      <c r="AJ216" s="112"/>
      <c r="AK216" s="113"/>
      <c r="AL216" s="114"/>
      <c r="AM216" s="115"/>
      <c r="AN216" s="115" t="s">
        <v>472</v>
      </c>
      <c r="AO216" s="230" t="str">
        <f t="shared" si="11"/>
        <v>330TNCERABX8A3775</v>
      </c>
    </row>
    <row r="217" spans="1:41" ht="15" customHeight="1" x14ac:dyDescent="0.15">
      <c r="A217" s="80">
        <v>4113</v>
      </c>
      <c r="B217" s="89">
        <v>272</v>
      </c>
      <c r="C217" s="89">
        <v>7485</v>
      </c>
      <c r="D217" s="89" t="s">
        <v>50</v>
      </c>
      <c r="E217" s="89" t="s">
        <v>45</v>
      </c>
      <c r="F217" s="89"/>
      <c r="G217" s="89" t="str">
        <f t="shared" si="8"/>
        <v>331TNCERABX8ARX</v>
      </c>
      <c r="H217" s="89" t="s">
        <v>1653</v>
      </c>
      <c r="I217" s="89" t="s">
        <v>20</v>
      </c>
      <c r="J217" s="89" t="s">
        <v>21</v>
      </c>
      <c r="K217" s="89" t="s">
        <v>47</v>
      </c>
      <c r="L217" s="89" t="s">
        <v>48</v>
      </c>
      <c r="M217" s="89" t="str">
        <f t="shared" si="9"/>
        <v>331TNCERABX8ARX381135</v>
      </c>
      <c r="N217" s="89" t="str">
        <f t="shared" si="10"/>
        <v>331TNCERABX8ARX38535</v>
      </c>
      <c r="O217" s="90">
        <v>38</v>
      </c>
      <c r="P217" s="89">
        <v>331</v>
      </c>
      <c r="Q217" s="89" t="s">
        <v>31</v>
      </c>
      <c r="R217" s="90">
        <v>1135</v>
      </c>
      <c r="S217" s="90">
        <v>12200</v>
      </c>
      <c r="T217" s="90">
        <v>535</v>
      </c>
      <c r="U217" s="90">
        <v>535</v>
      </c>
      <c r="V217" s="90">
        <v>6000</v>
      </c>
      <c r="W217" s="81">
        <v>2</v>
      </c>
      <c r="X217" s="82" t="s">
        <v>14</v>
      </c>
      <c r="Y217" s="83" t="s">
        <v>295</v>
      </c>
      <c r="Z217" s="84">
        <v>6</v>
      </c>
      <c r="AA217" s="85" t="s">
        <v>24</v>
      </c>
      <c r="AB217" s="86">
        <v>1450</v>
      </c>
      <c r="AC217" s="83">
        <v>3</v>
      </c>
      <c r="AD217" s="85" t="s">
        <v>51</v>
      </c>
      <c r="AE217" s="86">
        <v>570</v>
      </c>
      <c r="AF217" s="83"/>
      <c r="AG217" s="85"/>
      <c r="AH217" s="86"/>
      <c r="AI217" s="83"/>
      <c r="AJ217" s="85"/>
      <c r="AK217" s="86"/>
      <c r="AL217" s="87">
        <v>6</v>
      </c>
      <c r="AM217" s="88" t="s">
        <v>49</v>
      </c>
      <c r="AN217" s="88" t="s">
        <v>472</v>
      </c>
      <c r="AO217" s="230" t="str">
        <f t="shared" si="11"/>
        <v>331TNCERABX8ARX38</v>
      </c>
    </row>
    <row r="218" spans="1:41" ht="15" customHeight="1" x14ac:dyDescent="0.15">
      <c r="A218" s="80">
        <v>4113</v>
      </c>
      <c r="B218" s="89">
        <v>279</v>
      </c>
      <c r="C218" s="89">
        <v>26911</v>
      </c>
      <c r="D218" s="89" t="s">
        <v>126</v>
      </c>
      <c r="E218" s="89" t="s">
        <v>127</v>
      </c>
      <c r="F218" s="89" t="s">
        <v>26</v>
      </c>
      <c r="G218" s="89" t="str">
        <f t="shared" si="8"/>
        <v>3TNCERAWZRX</v>
      </c>
      <c r="H218" s="89" t="s">
        <v>265</v>
      </c>
      <c r="I218" s="89" t="s">
        <v>20</v>
      </c>
      <c r="J218" s="89" t="s">
        <v>21</v>
      </c>
      <c r="K218" s="89" t="s">
        <v>112</v>
      </c>
      <c r="L218" s="89" t="s">
        <v>113</v>
      </c>
      <c r="M218" s="89" t="str">
        <f t="shared" si="9"/>
        <v>3TNCERAWZRX381335</v>
      </c>
      <c r="N218" s="89" t="str">
        <f t="shared" si="10"/>
        <v>3TNCERAWZRX381220</v>
      </c>
      <c r="O218" s="90">
        <v>38</v>
      </c>
      <c r="P218" s="89">
        <v>3</v>
      </c>
      <c r="Q218" s="89" t="s">
        <v>31</v>
      </c>
      <c r="R218" s="90">
        <v>1335</v>
      </c>
      <c r="S218" s="90">
        <v>12200</v>
      </c>
      <c r="T218" s="90">
        <v>1220</v>
      </c>
      <c r="U218" s="90">
        <v>1220</v>
      </c>
      <c r="V218" s="90">
        <v>6000</v>
      </c>
      <c r="W218" s="81">
        <v>2</v>
      </c>
      <c r="X218" s="82" t="s">
        <v>14</v>
      </c>
      <c r="Y218" s="83" t="s">
        <v>295</v>
      </c>
      <c r="Z218" s="84">
        <v>6</v>
      </c>
      <c r="AA218" s="85" t="s">
        <v>24</v>
      </c>
      <c r="AB218" s="86">
        <v>1450</v>
      </c>
      <c r="AC218" s="83">
        <v>6</v>
      </c>
      <c r="AD218" s="85" t="s">
        <v>24</v>
      </c>
      <c r="AE218" s="86">
        <v>1270</v>
      </c>
      <c r="AF218" s="83"/>
      <c r="AG218" s="85"/>
      <c r="AH218" s="86"/>
      <c r="AI218" s="83"/>
      <c r="AJ218" s="85"/>
      <c r="AK218" s="86"/>
      <c r="AL218" s="87"/>
      <c r="AM218" s="88"/>
      <c r="AN218" s="88" t="s">
        <v>474</v>
      </c>
      <c r="AO218" s="230" t="str">
        <f t="shared" si="11"/>
        <v>3TNCERAWZRX38</v>
      </c>
    </row>
    <row r="219" spans="1:41" ht="15" customHeight="1" x14ac:dyDescent="0.15">
      <c r="A219" s="80">
        <v>4114</v>
      </c>
      <c r="B219" s="89">
        <v>279</v>
      </c>
      <c r="C219" s="89">
        <v>26912</v>
      </c>
      <c r="D219" s="89" t="s">
        <v>126</v>
      </c>
      <c r="E219" s="89" t="s">
        <v>127</v>
      </c>
      <c r="F219" s="89" t="s">
        <v>26</v>
      </c>
      <c r="G219" s="89" t="str">
        <f t="shared" si="8"/>
        <v>3UNCERAWZRX</v>
      </c>
      <c r="H219" s="89" t="s">
        <v>1662</v>
      </c>
      <c r="I219" s="89" t="s">
        <v>20</v>
      </c>
      <c r="J219" s="89" t="s">
        <v>21</v>
      </c>
      <c r="K219" s="89" t="s">
        <v>112</v>
      </c>
      <c r="L219" s="89" t="s">
        <v>113</v>
      </c>
      <c r="M219" s="89" t="str">
        <f t="shared" si="9"/>
        <v>3UNCERAWZRX381255</v>
      </c>
      <c r="N219" s="89" t="str">
        <f t="shared" si="10"/>
        <v>3UNCERAWZRX381245</v>
      </c>
      <c r="O219" s="90">
        <v>38</v>
      </c>
      <c r="P219" s="89">
        <v>3</v>
      </c>
      <c r="Q219" s="89" t="s">
        <v>31</v>
      </c>
      <c r="R219" s="90">
        <v>1255</v>
      </c>
      <c r="S219" s="90">
        <v>12200</v>
      </c>
      <c r="T219" s="90">
        <v>1245</v>
      </c>
      <c r="U219" s="90">
        <v>1245</v>
      </c>
      <c r="V219" s="90">
        <v>6000</v>
      </c>
      <c r="W219" s="81">
        <v>2</v>
      </c>
      <c r="X219" s="82" t="s">
        <v>14</v>
      </c>
      <c r="Y219" s="83" t="s">
        <v>27</v>
      </c>
      <c r="Z219" s="84">
        <v>6</v>
      </c>
      <c r="AA219" s="85" t="s">
        <v>24</v>
      </c>
      <c r="AB219" s="86">
        <v>1450</v>
      </c>
      <c r="AC219" s="83"/>
      <c r="AD219" s="85"/>
      <c r="AE219" s="86"/>
      <c r="AF219" s="83"/>
      <c r="AG219" s="85"/>
      <c r="AH219" s="86"/>
      <c r="AI219" s="83"/>
      <c r="AJ219" s="85"/>
      <c r="AK219" s="86"/>
      <c r="AL219" s="87"/>
      <c r="AM219" s="88"/>
      <c r="AN219" s="88" t="s">
        <v>474</v>
      </c>
      <c r="AO219" s="230" t="str">
        <f t="shared" si="11"/>
        <v>3UNCERAWZRX38</v>
      </c>
    </row>
    <row r="220" spans="1:41" ht="15" customHeight="1" x14ac:dyDescent="0.15">
      <c r="A220" s="80">
        <v>333</v>
      </c>
      <c r="B220" s="89">
        <v>272</v>
      </c>
      <c r="C220" s="89">
        <v>30967</v>
      </c>
      <c r="D220" s="89" t="s">
        <v>267</v>
      </c>
      <c r="E220" s="89" t="s">
        <v>45</v>
      </c>
      <c r="F220" s="89" t="s">
        <v>26</v>
      </c>
      <c r="G220" s="89" t="str">
        <f t="shared" si="8"/>
        <v>3SNCERAWZS</v>
      </c>
      <c r="H220" s="89" t="s">
        <v>1549</v>
      </c>
      <c r="I220" s="89" t="s">
        <v>20</v>
      </c>
      <c r="J220" s="89" t="s">
        <v>21</v>
      </c>
      <c r="K220" s="89" t="s">
        <v>118</v>
      </c>
      <c r="L220" s="89" t="s">
        <v>121</v>
      </c>
      <c r="M220" s="89" t="str">
        <f t="shared" si="9"/>
        <v>3SNCERAWZS251110</v>
      </c>
      <c r="N220" s="89" t="str">
        <f t="shared" si="10"/>
        <v>3SNCERAWZS251100</v>
      </c>
      <c r="O220" s="90">
        <v>25</v>
      </c>
      <c r="P220" s="89">
        <v>3</v>
      </c>
      <c r="Q220" s="89" t="s">
        <v>78</v>
      </c>
      <c r="R220" s="90">
        <v>1110</v>
      </c>
      <c r="S220" s="90">
        <v>12100</v>
      </c>
      <c r="T220" s="90">
        <v>1100</v>
      </c>
      <c r="U220" s="90">
        <v>1100</v>
      </c>
      <c r="V220" s="90">
        <v>12000</v>
      </c>
      <c r="W220" s="81">
        <v>2</v>
      </c>
      <c r="X220" s="82" t="s">
        <v>14</v>
      </c>
      <c r="Y220" s="83" t="s">
        <v>15</v>
      </c>
      <c r="Z220" s="84">
        <v>6</v>
      </c>
      <c r="AA220" s="85" t="s">
        <v>2011</v>
      </c>
      <c r="AB220" s="86">
        <v>1450</v>
      </c>
      <c r="AC220" s="83"/>
      <c r="AD220" s="85"/>
      <c r="AE220" s="86"/>
      <c r="AF220" s="83"/>
      <c r="AG220" s="85"/>
      <c r="AH220" s="86"/>
      <c r="AI220" s="83"/>
      <c r="AJ220" s="85"/>
      <c r="AK220" s="86"/>
      <c r="AL220" s="87"/>
      <c r="AM220" s="88"/>
      <c r="AN220" s="88" t="s">
        <v>474</v>
      </c>
      <c r="AO220" s="230" t="str">
        <f t="shared" si="11"/>
        <v>3SNCERAWZS25</v>
      </c>
    </row>
    <row r="221" spans="1:41" ht="15" customHeight="1" x14ac:dyDescent="0.15">
      <c r="A221" s="80">
        <v>4113</v>
      </c>
      <c r="B221" s="89">
        <v>272</v>
      </c>
      <c r="C221" s="89">
        <v>30967</v>
      </c>
      <c r="D221" s="89" t="s">
        <v>267</v>
      </c>
      <c r="E221" s="89" t="s">
        <v>45</v>
      </c>
      <c r="F221" s="89" t="s">
        <v>26</v>
      </c>
      <c r="G221" s="89" t="str">
        <f t="shared" si="8"/>
        <v>3TNCERAWZS</v>
      </c>
      <c r="H221" s="89" t="s">
        <v>265</v>
      </c>
      <c r="I221" s="89" t="s">
        <v>20</v>
      </c>
      <c r="J221" s="89" t="s">
        <v>21</v>
      </c>
      <c r="K221" s="89" t="s">
        <v>118</v>
      </c>
      <c r="L221" s="89" t="s">
        <v>121</v>
      </c>
      <c r="M221" s="89" t="str">
        <f t="shared" si="9"/>
        <v>3TNCERAWZS251110</v>
      </c>
      <c r="N221" s="89" t="str">
        <f t="shared" si="10"/>
        <v>3TNCERAWZS251100</v>
      </c>
      <c r="O221" s="90">
        <v>25</v>
      </c>
      <c r="P221" s="89">
        <v>3</v>
      </c>
      <c r="Q221" s="89" t="s">
        <v>78</v>
      </c>
      <c r="R221" s="90">
        <v>1110</v>
      </c>
      <c r="S221" s="90">
        <v>12100</v>
      </c>
      <c r="T221" s="90">
        <v>1100</v>
      </c>
      <c r="U221" s="90">
        <v>1100</v>
      </c>
      <c r="V221" s="90">
        <v>12000</v>
      </c>
      <c r="W221" s="81">
        <v>2</v>
      </c>
      <c r="X221" s="82" t="s">
        <v>14</v>
      </c>
      <c r="Y221" s="83" t="s">
        <v>15</v>
      </c>
      <c r="Z221" s="84">
        <v>6</v>
      </c>
      <c r="AA221" s="85" t="s">
        <v>2011</v>
      </c>
      <c r="AB221" s="86">
        <v>1450</v>
      </c>
      <c r="AC221" s="83"/>
      <c r="AD221" s="85"/>
      <c r="AE221" s="86"/>
      <c r="AF221" s="83"/>
      <c r="AG221" s="85"/>
      <c r="AH221" s="86"/>
      <c r="AI221" s="83"/>
      <c r="AJ221" s="85"/>
      <c r="AK221" s="86"/>
      <c r="AL221" s="87"/>
      <c r="AM221" s="88"/>
      <c r="AN221" s="88" t="s">
        <v>474</v>
      </c>
      <c r="AO221" s="230" t="str">
        <f t="shared" si="11"/>
        <v>3TNCERAWZS25</v>
      </c>
    </row>
    <row r="222" spans="1:41" ht="15" customHeight="1" x14ac:dyDescent="0.15">
      <c r="A222" s="80">
        <v>4114</v>
      </c>
      <c r="B222" s="89">
        <v>272</v>
      </c>
      <c r="C222" s="89">
        <v>30967</v>
      </c>
      <c r="D222" s="89" t="s">
        <v>267</v>
      </c>
      <c r="E222" s="89" t="s">
        <v>45</v>
      </c>
      <c r="F222" s="89" t="s">
        <v>26</v>
      </c>
      <c r="G222" s="89" t="str">
        <f t="shared" si="8"/>
        <v>3UNCERAWZS</v>
      </c>
      <c r="H222" s="89" t="s">
        <v>1662</v>
      </c>
      <c r="I222" s="89" t="s">
        <v>20</v>
      </c>
      <c r="J222" s="89" t="s">
        <v>21</v>
      </c>
      <c r="K222" s="89" t="s">
        <v>118</v>
      </c>
      <c r="L222" s="89" t="s">
        <v>121</v>
      </c>
      <c r="M222" s="89" t="str">
        <f t="shared" si="9"/>
        <v>3UNCERAWZS251110</v>
      </c>
      <c r="N222" s="89" t="str">
        <f t="shared" si="10"/>
        <v>3UNCERAWZS251100</v>
      </c>
      <c r="O222" s="90">
        <v>25</v>
      </c>
      <c r="P222" s="89">
        <v>3</v>
      </c>
      <c r="Q222" s="89" t="s">
        <v>78</v>
      </c>
      <c r="R222" s="90">
        <v>1110</v>
      </c>
      <c r="S222" s="90">
        <v>12100</v>
      </c>
      <c r="T222" s="90">
        <v>1100</v>
      </c>
      <c r="U222" s="90">
        <v>1100</v>
      </c>
      <c r="V222" s="90">
        <v>12000</v>
      </c>
      <c r="W222" s="81">
        <v>2</v>
      </c>
      <c r="X222" s="82" t="s">
        <v>14</v>
      </c>
      <c r="Y222" s="83" t="s">
        <v>15</v>
      </c>
      <c r="Z222" s="84">
        <v>6</v>
      </c>
      <c r="AA222" s="85" t="s">
        <v>2011</v>
      </c>
      <c r="AB222" s="86">
        <v>1450</v>
      </c>
      <c r="AC222" s="83"/>
      <c r="AD222" s="85"/>
      <c r="AE222" s="86"/>
      <c r="AF222" s="83"/>
      <c r="AG222" s="85"/>
      <c r="AH222" s="86"/>
      <c r="AI222" s="83"/>
      <c r="AJ222" s="85"/>
      <c r="AK222" s="86"/>
      <c r="AL222" s="87"/>
      <c r="AM222" s="88"/>
      <c r="AN222" s="88" t="s">
        <v>474</v>
      </c>
      <c r="AO222" s="230" t="str">
        <f t="shared" si="11"/>
        <v>3UNCERAWZS25</v>
      </c>
    </row>
    <row r="223" spans="1:41" ht="15" customHeight="1" x14ac:dyDescent="0.15">
      <c r="A223" s="80">
        <v>4113</v>
      </c>
      <c r="B223" s="89">
        <v>272</v>
      </c>
      <c r="C223" s="89">
        <v>30967</v>
      </c>
      <c r="D223" s="89" t="s">
        <v>267</v>
      </c>
      <c r="E223" s="89" t="s">
        <v>45</v>
      </c>
      <c r="F223" s="89" t="s">
        <v>26</v>
      </c>
      <c r="G223" s="89" t="str">
        <f t="shared" si="8"/>
        <v>3KSTNCERAWZS</v>
      </c>
      <c r="H223" s="89" t="s">
        <v>265</v>
      </c>
      <c r="I223" s="89" t="s">
        <v>20</v>
      </c>
      <c r="J223" s="89" t="s">
        <v>21</v>
      </c>
      <c r="K223" s="89" t="s">
        <v>118</v>
      </c>
      <c r="L223" s="89" t="s">
        <v>121</v>
      </c>
      <c r="M223" s="89" t="str">
        <f t="shared" si="9"/>
        <v>3KSTNCERAWZS251100</v>
      </c>
      <c r="N223" s="89" t="str">
        <f t="shared" si="10"/>
        <v>3KSTNCERAWZS251100</v>
      </c>
      <c r="O223" s="90">
        <v>25</v>
      </c>
      <c r="P223" s="89" t="s">
        <v>2012</v>
      </c>
      <c r="Q223" s="89" t="s">
        <v>78</v>
      </c>
      <c r="R223" s="90">
        <v>1100</v>
      </c>
      <c r="S223" s="90">
        <v>12000</v>
      </c>
      <c r="T223" s="90">
        <v>1100</v>
      </c>
      <c r="U223" s="90">
        <v>1100</v>
      </c>
      <c r="V223" s="90">
        <v>12000</v>
      </c>
      <c r="W223" s="81">
        <v>2</v>
      </c>
      <c r="X223" s="82" t="s">
        <v>2013</v>
      </c>
      <c r="Y223" s="83" t="s">
        <v>25</v>
      </c>
      <c r="Z223" s="84">
        <v>6</v>
      </c>
      <c r="AA223" s="85" t="s">
        <v>24</v>
      </c>
      <c r="AB223" s="86">
        <v>1450</v>
      </c>
      <c r="AC223" s="83">
        <v>6</v>
      </c>
      <c r="AD223" s="85" t="s">
        <v>266</v>
      </c>
      <c r="AE223" s="86">
        <v>1450</v>
      </c>
      <c r="AF223" s="83"/>
      <c r="AG223" s="85"/>
      <c r="AH223" s="86"/>
      <c r="AI223" s="83"/>
      <c r="AJ223" s="85"/>
      <c r="AK223" s="86"/>
      <c r="AL223" s="87"/>
      <c r="AM223" s="88"/>
      <c r="AN223" s="88" t="s">
        <v>474</v>
      </c>
      <c r="AO223" s="230" t="str">
        <f t="shared" si="11"/>
        <v>3KSTNCERAWZS25</v>
      </c>
    </row>
    <row r="224" spans="1:41" ht="15" customHeight="1" x14ac:dyDescent="0.15">
      <c r="A224" s="80">
        <v>4114</v>
      </c>
      <c r="B224" s="89">
        <v>272</v>
      </c>
      <c r="C224" s="89">
        <v>30967</v>
      </c>
      <c r="D224" s="89" t="s">
        <v>267</v>
      </c>
      <c r="E224" s="89" t="s">
        <v>45</v>
      </c>
      <c r="F224" s="89" t="s">
        <v>26</v>
      </c>
      <c r="G224" s="89" t="str">
        <f t="shared" si="8"/>
        <v>3UNCERAWZS</v>
      </c>
      <c r="H224" s="89" t="s">
        <v>1662</v>
      </c>
      <c r="I224" s="89" t="s">
        <v>20</v>
      </c>
      <c r="J224" s="89" t="s">
        <v>21</v>
      </c>
      <c r="K224" s="89" t="s">
        <v>118</v>
      </c>
      <c r="L224" s="89" t="s">
        <v>121</v>
      </c>
      <c r="M224" s="89" t="str">
        <f t="shared" si="9"/>
        <v>3UNCERAWZS751060</v>
      </c>
      <c r="N224" s="89" t="str">
        <f t="shared" si="10"/>
        <v>3UNCERAWZS751050</v>
      </c>
      <c r="O224" s="90">
        <v>75</v>
      </c>
      <c r="P224" s="89">
        <v>3</v>
      </c>
      <c r="Q224" s="89" t="s">
        <v>78</v>
      </c>
      <c r="R224" s="90">
        <v>1060</v>
      </c>
      <c r="S224" s="90">
        <v>4300</v>
      </c>
      <c r="T224" s="90">
        <v>1050</v>
      </c>
      <c r="U224" s="90">
        <v>1050</v>
      </c>
      <c r="V224" s="90">
        <v>4300</v>
      </c>
      <c r="W224" s="81">
        <v>2</v>
      </c>
      <c r="X224" s="82" t="s">
        <v>14</v>
      </c>
      <c r="Y224" s="83" t="s">
        <v>15</v>
      </c>
      <c r="Z224" s="84">
        <v>6</v>
      </c>
      <c r="AA224" s="85" t="s">
        <v>24</v>
      </c>
      <c r="AB224" s="86">
        <v>1450</v>
      </c>
      <c r="AC224" s="83"/>
      <c r="AD224" s="85"/>
      <c r="AE224" s="86"/>
      <c r="AF224" s="83"/>
      <c r="AG224" s="85"/>
      <c r="AH224" s="86"/>
      <c r="AI224" s="83"/>
      <c r="AJ224" s="85"/>
      <c r="AK224" s="86"/>
      <c r="AL224" s="87"/>
      <c r="AM224" s="88"/>
      <c r="AN224" s="88" t="s">
        <v>474</v>
      </c>
      <c r="AO224" s="230" t="str">
        <f t="shared" si="11"/>
        <v>3UNCERAWZS75</v>
      </c>
    </row>
    <row r="225" spans="1:41" ht="15" customHeight="1" x14ac:dyDescent="0.15">
      <c r="A225" s="80">
        <v>4113</v>
      </c>
      <c r="B225" s="89">
        <v>275</v>
      </c>
      <c r="C225" s="89">
        <v>5174</v>
      </c>
      <c r="D225" s="89" t="s">
        <v>116</v>
      </c>
      <c r="E225" s="89" t="s">
        <v>117</v>
      </c>
      <c r="F225" s="89" t="s">
        <v>26</v>
      </c>
      <c r="G225" s="89" t="str">
        <f t="shared" si="8"/>
        <v>3TNCERAWZT</v>
      </c>
      <c r="H225" s="89" t="s">
        <v>1653</v>
      </c>
      <c r="I225" s="89" t="s">
        <v>20</v>
      </c>
      <c r="J225" s="89" t="s">
        <v>21</v>
      </c>
      <c r="K225" s="89" t="s">
        <v>122</v>
      </c>
      <c r="L225" s="89" t="s">
        <v>123</v>
      </c>
      <c r="M225" s="89" t="str">
        <f t="shared" si="9"/>
        <v>3TNCERAWZT381005</v>
      </c>
      <c r="N225" s="89" t="str">
        <f t="shared" si="10"/>
        <v>3TNCERAWZT381000</v>
      </c>
      <c r="O225" s="90">
        <v>38</v>
      </c>
      <c r="P225" s="89">
        <v>3</v>
      </c>
      <c r="Q225" s="89" t="s">
        <v>268</v>
      </c>
      <c r="R225" s="90">
        <v>1005</v>
      </c>
      <c r="S225" s="90">
        <v>6000</v>
      </c>
      <c r="T225" s="90">
        <v>1005</v>
      </c>
      <c r="U225" s="90">
        <v>1000</v>
      </c>
      <c r="V225" s="90">
        <v>6000</v>
      </c>
      <c r="W225" s="81">
        <v>2</v>
      </c>
      <c r="X225" s="82" t="s">
        <v>14</v>
      </c>
      <c r="Y225" s="83" t="s">
        <v>15</v>
      </c>
      <c r="Z225" s="84">
        <v>6</v>
      </c>
      <c r="AA225" s="85" t="s">
        <v>24</v>
      </c>
      <c r="AB225" s="86"/>
      <c r="AC225" s="83"/>
      <c r="AD225" s="85"/>
      <c r="AE225" s="86"/>
      <c r="AF225" s="83"/>
      <c r="AG225" s="85"/>
      <c r="AH225" s="86"/>
      <c r="AI225" s="83"/>
      <c r="AJ225" s="85"/>
      <c r="AK225" s="86"/>
      <c r="AL225" s="87"/>
      <c r="AM225" s="88"/>
      <c r="AN225" s="88" t="s">
        <v>474</v>
      </c>
      <c r="AO225" s="230" t="str">
        <f t="shared" si="11"/>
        <v>3TNCERAWZT38</v>
      </c>
    </row>
    <row r="226" spans="1:41" ht="15" customHeight="1" x14ac:dyDescent="0.15">
      <c r="A226" s="80">
        <v>4114</v>
      </c>
      <c r="B226" s="89">
        <v>272</v>
      </c>
      <c r="C226" s="89">
        <v>3804</v>
      </c>
      <c r="D226" s="89" t="s">
        <v>982</v>
      </c>
      <c r="E226" s="89" t="s">
        <v>45</v>
      </c>
      <c r="F226" s="89" t="s">
        <v>12</v>
      </c>
      <c r="G226" s="89" t="str">
        <f t="shared" si="8"/>
        <v>3UNCERAMFACR</v>
      </c>
      <c r="H226" s="89" t="s">
        <v>1662</v>
      </c>
      <c r="I226" s="89" t="s">
        <v>20</v>
      </c>
      <c r="J226" s="89" t="s">
        <v>21</v>
      </c>
      <c r="K226" s="89" t="s">
        <v>80</v>
      </c>
      <c r="L226" s="89" t="s">
        <v>81</v>
      </c>
      <c r="M226" s="89" t="str">
        <f t="shared" si="9"/>
        <v>3UNCERAMFACR311370</v>
      </c>
      <c r="N226" s="89" t="str">
        <f t="shared" si="10"/>
        <v>3UNCERAMFACR31440</v>
      </c>
      <c r="O226" s="90">
        <v>31</v>
      </c>
      <c r="P226" s="89">
        <v>3</v>
      </c>
      <c r="Q226" s="89" t="s">
        <v>82</v>
      </c>
      <c r="R226" s="90">
        <v>1370</v>
      </c>
      <c r="S226" s="90">
        <v>13450</v>
      </c>
      <c r="T226" s="90">
        <v>440</v>
      </c>
      <c r="U226" s="90">
        <v>440</v>
      </c>
      <c r="V226" s="90">
        <v>6500</v>
      </c>
      <c r="W226" s="81">
        <v>1</v>
      </c>
      <c r="X226" s="82" t="s">
        <v>14</v>
      </c>
      <c r="Y226" s="83" t="s">
        <v>295</v>
      </c>
      <c r="Z226" s="84">
        <v>6</v>
      </c>
      <c r="AA226" s="85" t="s">
        <v>24</v>
      </c>
      <c r="AB226" s="86">
        <v>1450</v>
      </c>
      <c r="AC226" s="83">
        <v>3</v>
      </c>
      <c r="AD226" s="85" t="s">
        <v>51</v>
      </c>
      <c r="AE226" s="86">
        <v>595</v>
      </c>
      <c r="AF226" s="83"/>
      <c r="AG226" s="85"/>
      <c r="AH226" s="86"/>
      <c r="AI226" s="83"/>
      <c r="AJ226" s="85"/>
      <c r="AK226" s="86"/>
      <c r="AL226" s="87"/>
      <c r="AM226" s="88"/>
      <c r="AN226" s="88" t="s">
        <v>471</v>
      </c>
      <c r="AO226" s="230" t="str">
        <f t="shared" si="11"/>
        <v>3UNCERAMFACR31</v>
      </c>
    </row>
    <row r="227" spans="1:41" ht="15" customHeight="1" x14ac:dyDescent="0.15">
      <c r="A227" s="80">
        <v>4114</v>
      </c>
      <c r="B227" s="89">
        <v>276</v>
      </c>
      <c r="C227" s="89">
        <v>2153</v>
      </c>
      <c r="D227" s="89" t="s">
        <v>93</v>
      </c>
      <c r="E227" s="89" t="s">
        <v>58</v>
      </c>
      <c r="F227" s="89" t="s">
        <v>12</v>
      </c>
      <c r="G227" s="89" t="str">
        <f t="shared" si="8"/>
        <v>3UNCERAMFAS</v>
      </c>
      <c r="H227" s="89" t="s">
        <v>1662</v>
      </c>
      <c r="I227" s="89" t="s">
        <v>1550</v>
      </c>
      <c r="J227" s="89" t="s">
        <v>21</v>
      </c>
      <c r="K227" s="89" t="s">
        <v>2069</v>
      </c>
      <c r="L227" s="89" t="s">
        <v>2070</v>
      </c>
      <c r="M227" s="89" t="str">
        <f t="shared" si="9"/>
        <v>3UNCERAMFAS1001090</v>
      </c>
      <c r="N227" s="89" t="str">
        <f t="shared" si="10"/>
        <v>3UNCERAMFAS100520</v>
      </c>
      <c r="O227" s="90">
        <v>100</v>
      </c>
      <c r="P227" s="89">
        <v>3</v>
      </c>
      <c r="Q227" s="89" t="s">
        <v>1996</v>
      </c>
      <c r="R227" s="90">
        <v>1090</v>
      </c>
      <c r="S227" s="90">
        <v>2400</v>
      </c>
      <c r="T227" s="90">
        <v>520</v>
      </c>
      <c r="U227" s="90">
        <v>520</v>
      </c>
      <c r="V227" s="90">
        <v>800</v>
      </c>
      <c r="W227" s="81">
        <v>1</v>
      </c>
      <c r="X227" s="82" t="s">
        <v>14</v>
      </c>
      <c r="Y227" s="83" t="s">
        <v>295</v>
      </c>
      <c r="Z227" s="84">
        <v>6</v>
      </c>
      <c r="AA227" s="85" t="s">
        <v>24</v>
      </c>
      <c r="AB227" s="86">
        <v>1450</v>
      </c>
      <c r="AC227" s="83">
        <v>3</v>
      </c>
      <c r="AD227" s="85" t="s">
        <v>39</v>
      </c>
      <c r="AE227" s="86">
        <v>525</v>
      </c>
      <c r="AF227" s="83"/>
      <c r="AG227" s="85"/>
      <c r="AH227" s="86"/>
      <c r="AI227" s="83"/>
      <c r="AJ227" s="85"/>
      <c r="AK227" s="86"/>
      <c r="AL227" s="87"/>
      <c r="AM227" s="88"/>
      <c r="AN227" s="88" t="s">
        <v>471</v>
      </c>
      <c r="AO227" s="230" t="str">
        <f t="shared" si="11"/>
        <v>3UNCERAMFAS100</v>
      </c>
    </row>
    <row r="228" spans="1:41" ht="15" customHeight="1" x14ac:dyDescent="0.15">
      <c r="A228" s="80">
        <v>4113</v>
      </c>
      <c r="B228" s="89">
        <v>272</v>
      </c>
      <c r="C228" s="89">
        <v>2153</v>
      </c>
      <c r="D228" s="89" t="s">
        <v>95</v>
      </c>
      <c r="E228" s="89" t="s">
        <v>45</v>
      </c>
      <c r="F228" s="89" t="s">
        <v>26</v>
      </c>
      <c r="G228" s="89" t="str">
        <f t="shared" si="8"/>
        <v>3TNCERAMFAS</v>
      </c>
      <c r="H228" s="89" t="s">
        <v>265</v>
      </c>
      <c r="I228" s="89" t="s">
        <v>1550</v>
      </c>
      <c r="J228" s="89" t="s">
        <v>21</v>
      </c>
      <c r="K228" s="89" t="s">
        <v>2069</v>
      </c>
      <c r="L228" s="89" t="s">
        <v>2070</v>
      </c>
      <c r="M228" s="89" t="str">
        <f t="shared" si="9"/>
        <v>3TNCERAMFAS1881230</v>
      </c>
      <c r="N228" s="89" t="str">
        <f t="shared" si="10"/>
        <v>3TNCERAMFAS188360</v>
      </c>
      <c r="O228" s="90">
        <v>188</v>
      </c>
      <c r="P228" s="89">
        <v>3</v>
      </c>
      <c r="Q228" s="89" t="s">
        <v>78</v>
      </c>
      <c r="R228" s="90">
        <v>1230</v>
      </c>
      <c r="S228" s="90">
        <v>1800</v>
      </c>
      <c r="T228" s="90">
        <v>360</v>
      </c>
      <c r="U228" s="90">
        <v>360</v>
      </c>
      <c r="V228" s="90">
        <v>250</v>
      </c>
      <c r="W228" s="81">
        <v>2</v>
      </c>
      <c r="X228" s="82" t="s">
        <v>14</v>
      </c>
      <c r="Y228" s="83" t="s">
        <v>295</v>
      </c>
      <c r="Z228" s="84">
        <v>6</v>
      </c>
      <c r="AA228" s="85" t="s">
        <v>24</v>
      </c>
      <c r="AB228" s="86">
        <v>1450</v>
      </c>
      <c r="AC228" s="83">
        <v>3</v>
      </c>
      <c r="AD228" s="85" t="s">
        <v>39</v>
      </c>
      <c r="AE228" s="86">
        <v>400</v>
      </c>
      <c r="AF228" s="83"/>
      <c r="AG228" s="85"/>
      <c r="AH228" s="86"/>
      <c r="AI228" s="83"/>
      <c r="AJ228" s="85"/>
      <c r="AK228" s="86"/>
      <c r="AL228" s="87"/>
      <c r="AM228" s="88"/>
      <c r="AN228" s="88" t="s">
        <v>471</v>
      </c>
      <c r="AO228" s="230" t="str">
        <f t="shared" si="11"/>
        <v>3TNCERAMFAS188</v>
      </c>
    </row>
    <row r="229" spans="1:41" ht="15" customHeight="1" x14ac:dyDescent="0.15">
      <c r="A229" s="80">
        <v>4113</v>
      </c>
      <c r="B229" s="89">
        <v>272</v>
      </c>
      <c r="C229" s="89">
        <v>2153</v>
      </c>
      <c r="D229" s="89" t="s">
        <v>95</v>
      </c>
      <c r="E229" s="89" t="s">
        <v>45</v>
      </c>
      <c r="F229" s="89" t="s">
        <v>26</v>
      </c>
      <c r="G229" s="89" t="str">
        <f t="shared" si="8"/>
        <v>3TNCERAMFAS</v>
      </c>
      <c r="H229" s="89" t="s">
        <v>265</v>
      </c>
      <c r="I229" s="89" t="s">
        <v>1550</v>
      </c>
      <c r="J229" s="89" t="s">
        <v>21</v>
      </c>
      <c r="K229" s="89" t="s">
        <v>2069</v>
      </c>
      <c r="L229" s="89" t="s">
        <v>2070</v>
      </c>
      <c r="M229" s="89" t="str">
        <f t="shared" si="9"/>
        <v>3TNCERAMFAS1881230</v>
      </c>
      <c r="N229" s="89" t="str">
        <f t="shared" si="10"/>
        <v>3TNCERAMFAS188290</v>
      </c>
      <c r="O229" s="90">
        <v>188</v>
      </c>
      <c r="P229" s="89">
        <v>3</v>
      </c>
      <c r="Q229" s="89" t="s">
        <v>78</v>
      </c>
      <c r="R229" s="90">
        <v>1230</v>
      </c>
      <c r="S229" s="90">
        <v>1800</v>
      </c>
      <c r="T229" s="90">
        <v>290</v>
      </c>
      <c r="U229" s="90">
        <v>290</v>
      </c>
      <c r="V229" s="90">
        <v>250</v>
      </c>
      <c r="W229" s="81">
        <v>2</v>
      </c>
      <c r="X229" s="82" t="s">
        <v>14</v>
      </c>
      <c r="Y229" s="83" t="s">
        <v>295</v>
      </c>
      <c r="Z229" s="84">
        <v>6</v>
      </c>
      <c r="AA229" s="85" t="s">
        <v>24</v>
      </c>
      <c r="AB229" s="86">
        <v>1450</v>
      </c>
      <c r="AC229" s="83">
        <v>3</v>
      </c>
      <c r="AD229" s="85" t="s">
        <v>39</v>
      </c>
      <c r="AE229" s="86">
        <v>400</v>
      </c>
      <c r="AF229" s="83"/>
      <c r="AG229" s="85"/>
      <c r="AH229" s="86"/>
      <c r="AI229" s="83"/>
      <c r="AJ229" s="85"/>
      <c r="AK229" s="86"/>
      <c r="AL229" s="87"/>
      <c r="AM229" s="88"/>
      <c r="AN229" s="88" t="s">
        <v>471</v>
      </c>
      <c r="AO229" s="230" t="str">
        <f t="shared" si="11"/>
        <v>3TNCERAMFAS188</v>
      </c>
    </row>
    <row r="230" spans="1:41" ht="15" customHeight="1" x14ac:dyDescent="0.15">
      <c r="A230" s="80">
        <v>4114</v>
      </c>
      <c r="B230" s="89">
        <v>271</v>
      </c>
      <c r="C230" s="93"/>
      <c r="D230" s="93"/>
      <c r="E230" s="93" t="s">
        <v>11</v>
      </c>
      <c r="F230" s="93"/>
      <c r="G230" s="89" t="str">
        <f t="shared" si="8"/>
        <v>3UNCERAMFAS</v>
      </c>
      <c r="H230" s="89" t="s">
        <v>1662</v>
      </c>
      <c r="I230" s="89" t="s">
        <v>1550</v>
      </c>
      <c r="J230" s="89" t="s">
        <v>21</v>
      </c>
      <c r="K230" s="89" t="s">
        <v>2069</v>
      </c>
      <c r="L230" s="89" t="s">
        <v>2070</v>
      </c>
      <c r="M230" s="89" t="str">
        <f t="shared" si="9"/>
        <v>3UNCERAMFAS1881134</v>
      </c>
      <c r="N230" s="89" t="str">
        <f t="shared" si="10"/>
        <v>3UNCERAMFAS188500</v>
      </c>
      <c r="O230" s="90">
        <v>188</v>
      </c>
      <c r="P230" s="89">
        <v>3</v>
      </c>
      <c r="Q230" s="89" t="s">
        <v>78</v>
      </c>
      <c r="R230" s="90">
        <v>1134</v>
      </c>
      <c r="S230" s="90">
        <v>1800</v>
      </c>
      <c r="T230" s="90">
        <v>500</v>
      </c>
      <c r="U230" s="90">
        <v>500</v>
      </c>
      <c r="V230" s="90">
        <v>400</v>
      </c>
      <c r="W230" s="81">
        <v>2</v>
      </c>
      <c r="X230" s="82" t="s">
        <v>14</v>
      </c>
      <c r="Y230" s="83" t="s">
        <v>295</v>
      </c>
      <c r="Z230" s="84">
        <v>6</v>
      </c>
      <c r="AA230" s="85" t="s">
        <v>24</v>
      </c>
      <c r="AB230" s="86">
        <v>1450</v>
      </c>
      <c r="AC230" s="139"/>
      <c r="AD230" s="126"/>
      <c r="AE230" s="92"/>
      <c r="AF230" s="83"/>
      <c r="AG230" s="85"/>
      <c r="AH230" s="86"/>
      <c r="AI230" s="83"/>
      <c r="AJ230" s="85"/>
      <c r="AK230" s="86"/>
      <c r="AL230" s="87"/>
      <c r="AM230" s="88"/>
      <c r="AN230" s="88" t="s">
        <v>471</v>
      </c>
      <c r="AO230" s="230" t="str">
        <f t="shared" si="11"/>
        <v>3UNCERAMFAS188</v>
      </c>
    </row>
    <row r="231" spans="1:41" ht="15" customHeight="1" x14ac:dyDescent="0.15">
      <c r="A231" s="80">
        <v>4114</v>
      </c>
      <c r="B231" s="89">
        <v>271</v>
      </c>
      <c r="C231" s="93"/>
      <c r="D231" s="93"/>
      <c r="E231" s="93" t="s">
        <v>11</v>
      </c>
      <c r="F231" s="93"/>
      <c r="G231" s="89" t="str">
        <f t="shared" si="8"/>
        <v>3UNCERAMFAS</v>
      </c>
      <c r="H231" s="89" t="s">
        <v>1662</v>
      </c>
      <c r="I231" s="89" t="s">
        <v>1550</v>
      </c>
      <c r="J231" s="89" t="s">
        <v>21</v>
      </c>
      <c r="K231" s="89" t="s">
        <v>2069</v>
      </c>
      <c r="L231" s="89" t="s">
        <v>2070</v>
      </c>
      <c r="M231" s="89" t="str">
        <f t="shared" si="9"/>
        <v>3UNCERAMFAS1881134</v>
      </c>
      <c r="N231" s="89" t="str">
        <f t="shared" si="10"/>
        <v>3UNCERAMFAS188500</v>
      </c>
      <c r="O231" s="90">
        <v>188</v>
      </c>
      <c r="P231" s="89">
        <v>3</v>
      </c>
      <c r="Q231" s="89" t="s">
        <v>78</v>
      </c>
      <c r="R231" s="90">
        <v>1134</v>
      </c>
      <c r="S231" s="90">
        <v>1800</v>
      </c>
      <c r="T231" s="90">
        <v>500</v>
      </c>
      <c r="U231" s="90">
        <v>500</v>
      </c>
      <c r="V231" s="90">
        <v>300</v>
      </c>
      <c r="W231" s="81">
        <v>2</v>
      </c>
      <c r="X231" s="82" t="s">
        <v>14</v>
      </c>
      <c r="Y231" s="83" t="s">
        <v>295</v>
      </c>
      <c r="Z231" s="84">
        <v>6</v>
      </c>
      <c r="AA231" s="85" t="s">
        <v>24</v>
      </c>
      <c r="AB231" s="86">
        <v>1450</v>
      </c>
      <c r="AC231" s="139"/>
      <c r="AD231" s="126"/>
      <c r="AE231" s="92"/>
      <c r="AF231" s="83"/>
      <c r="AG231" s="85"/>
      <c r="AH231" s="86"/>
      <c r="AI231" s="83"/>
      <c r="AJ231" s="85"/>
      <c r="AK231" s="86"/>
      <c r="AL231" s="87"/>
      <c r="AM231" s="88"/>
      <c r="AN231" s="88" t="s">
        <v>471</v>
      </c>
      <c r="AO231" s="230" t="str">
        <f t="shared" si="11"/>
        <v>3UNCERAMFAS188</v>
      </c>
    </row>
    <row r="232" spans="1:41" ht="15" customHeight="1" x14ac:dyDescent="0.15">
      <c r="A232" s="80">
        <v>4114</v>
      </c>
      <c r="B232" s="89">
        <v>271</v>
      </c>
      <c r="C232" s="93"/>
      <c r="D232" s="93"/>
      <c r="E232" s="93" t="s">
        <v>11</v>
      </c>
      <c r="F232" s="93"/>
      <c r="G232" s="89" t="str">
        <f t="shared" si="8"/>
        <v>3UNCERAMFAS</v>
      </c>
      <c r="H232" s="89" t="s">
        <v>1662</v>
      </c>
      <c r="I232" s="89" t="s">
        <v>1550</v>
      </c>
      <c r="J232" s="89" t="s">
        <v>21</v>
      </c>
      <c r="K232" s="89" t="s">
        <v>2069</v>
      </c>
      <c r="L232" s="89" t="s">
        <v>2070</v>
      </c>
      <c r="M232" s="89" t="str">
        <f t="shared" si="9"/>
        <v>3UNCERAMFAS1881134</v>
      </c>
      <c r="N232" s="89" t="str">
        <f t="shared" si="10"/>
        <v>3UNCERAMFAS188500</v>
      </c>
      <c r="O232" s="90">
        <v>188</v>
      </c>
      <c r="P232" s="89">
        <v>3</v>
      </c>
      <c r="Q232" s="89" t="s">
        <v>78</v>
      </c>
      <c r="R232" s="90">
        <v>1134</v>
      </c>
      <c r="S232" s="90">
        <v>1800</v>
      </c>
      <c r="T232" s="90">
        <v>500</v>
      </c>
      <c r="U232" s="90">
        <v>500</v>
      </c>
      <c r="V232" s="90">
        <v>200</v>
      </c>
      <c r="W232" s="81">
        <v>2</v>
      </c>
      <c r="X232" s="82" t="s">
        <v>14</v>
      </c>
      <c r="Y232" s="83" t="s">
        <v>295</v>
      </c>
      <c r="Z232" s="84">
        <v>6</v>
      </c>
      <c r="AA232" s="85" t="s">
        <v>24</v>
      </c>
      <c r="AB232" s="86">
        <v>1450</v>
      </c>
      <c r="AC232" s="139"/>
      <c r="AD232" s="126"/>
      <c r="AE232" s="92"/>
      <c r="AF232" s="83"/>
      <c r="AG232" s="85"/>
      <c r="AH232" s="86"/>
      <c r="AI232" s="83"/>
      <c r="AJ232" s="85"/>
      <c r="AK232" s="86"/>
      <c r="AL232" s="87"/>
      <c r="AM232" s="88"/>
      <c r="AN232" s="88" t="s">
        <v>471</v>
      </c>
      <c r="AO232" s="230" t="str">
        <f t="shared" si="11"/>
        <v>3UNCERAMFAS188</v>
      </c>
    </row>
    <row r="233" spans="1:41" ht="15" customHeight="1" x14ac:dyDescent="0.15">
      <c r="A233" s="80">
        <v>4114</v>
      </c>
      <c r="B233" s="89">
        <v>271</v>
      </c>
      <c r="C233" s="89">
        <v>3932</v>
      </c>
      <c r="D233" s="89" t="s">
        <v>681</v>
      </c>
      <c r="E233" s="89"/>
      <c r="F233" s="89"/>
      <c r="G233" s="89" t="str">
        <f t="shared" si="8"/>
        <v>3UNCERAMFAX</v>
      </c>
      <c r="H233" s="89" t="s">
        <v>1662</v>
      </c>
      <c r="I233" s="89" t="s">
        <v>1550</v>
      </c>
      <c r="J233" s="89" t="s">
        <v>1552</v>
      </c>
      <c r="K233" s="89" t="s">
        <v>2071</v>
      </c>
      <c r="L233" s="89" t="s">
        <v>2072</v>
      </c>
      <c r="M233" s="89" t="str">
        <f t="shared" si="9"/>
        <v>3UNCERAMFAX501110</v>
      </c>
      <c r="N233" s="89" t="str">
        <f t="shared" si="10"/>
        <v>3UNCERAMFAX501100</v>
      </c>
      <c r="O233" s="90">
        <v>50</v>
      </c>
      <c r="P233" s="89">
        <v>3</v>
      </c>
      <c r="Q233" s="89" t="s">
        <v>486</v>
      </c>
      <c r="R233" s="90">
        <v>1110</v>
      </c>
      <c r="S233" s="90">
        <v>2200</v>
      </c>
      <c r="T233" s="90">
        <v>1100</v>
      </c>
      <c r="U233" s="90">
        <v>1100</v>
      </c>
      <c r="V233" s="90">
        <v>1200</v>
      </c>
      <c r="W233" s="81">
        <v>2</v>
      </c>
      <c r="X233" s="82" t="s">
        <v>2014</v>
      </c>
      <c r="Y233" s="83" t="s">
        <v>15</v>
      </c>
      <c r="Z233" s="84">
        <v>6</v>
      </c>
      <c r="AA233" s="85" t="s">
        <v>16</v>
      </c>
      <c r="AB233" s="86">
        <v>1170</v>
      </c>
      <c r="AC233" s="83"/>
      <c r="AD233" s="85"/>
      <c r="AE233" s="86"/>
      <c r="AF233" s="83"/>
      <c r="AG233" s="85"/>
      <c r="AH233" s="86"/>
      <c r="AI233" s="83"/>
      <c r="AJ233" s="85"/>
      <c r="AK233" s="86"/>
      <c r="AL233" s="87"/>
      <c r="AM233" s="88"/>
      <c r="AN233" s="199"/>
      <c r="AO233" s="230" t="str">
        <f t="shared" si="11"/>
        <v>3UNCERAMFAX50</v>
      </c>
    </row>
    <row r="234" spans="1:41" ht="15" customHeight="1" x14ac:dyDescent="0.15">
      <c r="A234" s="80">
        <v>4114</v>
      </c>
      <c r="B234" s="89">
        <v>276</v>
      </c>
      <c r="C234" s="89"/>
      <c r="D234" s="89"/>
      <c r="E234" s="89"/>
      <c r="F234" s="89"/>
      <c r="G234" s="89" t="str">
        <f t="shared" si="8"/>
        <v>3UNCERAMFA01</v>
      </c>
      <c r="H234" s="89" t="s">
        <v>1662</v>
      </c>
      <c r="I234" s="89" t="s">
        <v>1550</v>
      </c>
      <c r="J234" s="89" t="s">
        <v>1552</v>
      </c>
      <c r="K234" s="89" t="s">
        <v>2073</v>
      </c>
      <c r="L234" s="89" t="s">
        <v>2074</v>
      </c>
      <c r="M234" s="89" t="str">
        <f t="shared" si="9"/>
        <v>3UNCERAMFA01381110</v>
      </c>
      <c r="N234" s="89" t="str">
        <f t="shared" si="10"/>
        <v>3UNCERAMFA0138305</v>
      </c>
      <c r="O234" s="90">
        <v>38</v>
      </c>
      <c r="P234" s="89">
        <v>3</v>
      </c>
      <c r="Q234" s="89" t="s">
        <v>680</v>
      </c>
      <c r="R234" s="90">
        <v>1110</v>
      </c>
      <c r="S234" s="90">
        <v>4500</v>
      </c>
      <c r="T234" s="90">
        <v>305</v>
      </c>
      <c r="U234" s="90">
        <v>305</v>
      </c>
      <c r="V234" s="90">
        <v>300</v>
      </c>
      <c r="W234" s="81">
        <v>2</v>
      </c>
      <c r="X234" s="82" t="s">
        <v>2014</v>
      </c>
      <c r="Y234" s="83" t="s">
        <v>295</v>
      </c>
      <c r="Z234" s="84">
        <v>6</v>
      </c>
      <c r="AA234" s="85" t="s">
        <v>24</v>
      </c>
      <c r="AB234" s="86">
        <v>1450</v>
      </c>
      <c r="AC234" s="83">
        <v>3</v>
      </c>
      <c r="AD234" s="85" t="s">
        <v>39</v>
      </c>
      <c r="AE234" s="86">
        <v>315</v>
      </c>
      <c r="AF234" s="83"/>
      <c r="AG234" s="85"/>
      <c r="AH234" s="86"/>
      <c r="AI234" s="83"/>
      <c r="AJ234" s="85"/>
      <c r="AK234" s="86"/>
      <c r="AL234" s="87"/>
      <c r="AM234" s="88"/>
      <c r="AN234" s="199"/>
      <c r="AO234" s="230" t="str">
        <f t="shared" si="11"/>
        <v>3UNCERAMFA0138</v>
      </c>
    </row>
    <row r="235" spans="1:41" ht="15" customHeight="1" x14ac:dyDescent="0.15">
      <c r="A235" s="80">
        <v>4114</v>
      </c>
      <c r="B235" s="89">
        <v>276</v>
      </c>
      <c r="C235" s="89"/>
      <c r="D235" s="89" t="s">
        <v>2075</v>
      </c>
      <c r="E235" s="89" t="s">
        <v>58</v>
      </c>
      <c r="F235" s="89" t="s">
        <v>210</v>
      </c>
      <c r="G235" s="89" t="str">
        <f t="shared" si="8"/>
        <v>3UYCERAMFA01</v>
      </c>
      <c r="H235" s="89" t="s">
        <v>1662</v>
      </c>
      <c r="I235" s="89" t="s">
        <v>2036</v>
      </c>
      <c r="J235" s="89" t="s">
        <v>1552</v>
      </c>
      <c r="K235" s="89" t="s">
        <v>2073</v>
      </c>
      <c r="L235" s="89" t="s">
        <v>2074</v>
      </c>
      <c r="M235" s="89" t="str">
        <f t="shared" si="9"/>
        <v>3UYCERAMFA01381100</v>
      </c>
      <c r="N235" s="89" t="str">
        <f t="shared" si="10"/>
        <v>3UYCERAMFA0138115</v>
      </c>
      <c r="O235" s="90">
        <v>38</v>
      </c>
      <c r="P235" s="89">
        <v>3</v>
      </c>
      <c r="Q235" s="89" t="s">
        <v>1004</v>
      </c>
      <c r="R235" s="90">
        <v>1100</v>
      </c>
      <c r="S235" s="90">
        <v>7650</v>
      </c>
      <c r="T235" s="90">
        <v>115</v>
      </c>
      <c r="U235" s="90">
        <v>115</v>
      </c>
      <c r="V235" s="90">
        <v>300</v>
      </c>
      <c r="W235" s="81">
        <v>1</v>
      </c>
      <c r="X235" s="82" t="s">
        <v>2014</v>
      </c>
      <c r="Y235" s="83" t="s">
        <v>295</v>
      </c>
      <c r="Z235" s="84">
        <v>6</v>
      </c>
      <c r="AA235" s="85" t="s">
        <v>24</v>
      </c>
      <c r="AB235" s="86">
        <v>1450</v>
      </c>
      <c r="AC235" s="83">
        <v>3</v>
      </c>
      <c r="AD235" s="85" t="s">
        <v>39</v>
      </c>
      <c r="AE235" s="86">
        <v>125</v>
      </c>
      <c r="AF235" s="83"/>
      <c r="AG235" s="85"/>
      <c r="AH235" s="86"/>
      <c r="AI235" s="83"/>
      <c r="AJ235" s="85"/>
      <c r="AK235" s="86"/>
      <c r="AL235" s="87"/>
      <c r="AM235" s="88"/>
      <c r="AN235" s="199"/>
      <c r="AO235" s="230" t="str">
        <f t="shared" si="11"/>
        <v>3UYCERAMFA0138</v>
      </c>
    </row>
    <row r="236" spans="1:41" ht="15" customHeight="1" x14ac:dyDescent="0.15">
      <c r="A236" s="80">
        <v>4114</v>
      </c>
      <c r="B236" s="89">
        <v>276</v>
      </c>
      <c r="C236" s="89"/>
      <c r="D236" s="89" t="s">
        <v>2076</v>
      </c>
      <c r="E236" s="89" t="s">
        <v>58</v>
      </c>
      <c r="F236" s="89" t="s">
        <v>210</v>
      </c>
      <c r="G236" s="89" t="str">
        <f t="shared" si="8"/>
        <v>3UYCERAMFA01</v>
      </c>
      <c r="H236" s="89" t="s">
        <v>1662</v>
      </c>
      <c r="I236" s="89" t="s">
        <v>2036</v>
      </c>
      <c r="J236" s="89" t="s">
        <v>1552</v>
      </c>
      <c r="K236" s="89" t="s">
        <v>2073</v>
      </c>
      <c r="L236" s="89" t="s">
        <v>2074</v>
      </c>
      <c r="M236" s="89" t="str">
        <f t="shared" si="9"/>
        <v>3UYCERAMFA01381100</v>
      </c>
      <c r="N236" s="89" t="str">
        <f t="shared" si="10"/>
        <v>3UYCERAMFA0138220</v>
      </c>
      <c r="O236" s="90">
        <v>38</v>
      </c>
      <c r="P236" s="89">
        <v>3</v>
      </c>
      <c r="Q236" s="89" t="s">
        <v>1004</v>
      </c>
      <c r="R236" s="90">
        <v>1100</v>
      </c>
      <c r="S236" s="90">
        <v>7650</v>
      </c>
      <c r="T236" s="90">
        <v>220</v>
      </c>
      <c r="U236" s="90">
        <v>220</v>
      </c>
      <c r="V236" s="90">
        <v>300</v>
      </c>
      <c r="W236" s="81">
        <v>1</v>
      </c>
      <c r="X236" s="82" t="s">
        <v>2014</v>
      </c>
      <c r="Y236" s="83" t="s">
        <v>295</v>
      </c>
      <c r="Z236" s="84">
        <v>6</v>
      </c>
      <c r="AA236" s="85" t="s">
        <v>24</v>
      </c>
      <c r="AB236" s="86">
        <v>1450</v>
      </c>
      <c r="AC236" s="83">
        <v>3</v>
      </c>
      <c r="AD236" s="85" t="s">
        <v>39</v>
      </c>
      <c r="AE236" s="86">
        <v>224</v>
      </c>
      <c r="AF236" s="83"/>
      <c r="AG236" s="85"/>
      <c r="AH236" s="86"/>
      <c r="AI236" s="83"/>
      <c r="AJ236" s="85"/>
      <c r="AK236" s="86"/>
      <c r="AL236" s="87"/>
      <c r="AM236" s="88"/>
      <c r="AN236" s="199"/>
      <c r="AO236" s="230" t="str">
        <f t="shared" si="11"/>
        <v>3UYCERAMFA0138</v>
      </c>
    </row>
    <row r="237" spans="1:41" ht="15" customHeight="1" x14ac:dyDescent="0.15">
      <c r="A237" s="80">
        <v>4114</v>
      </c>
      <c r="B237" s="89">
        <v>276</v>
      </c>
      <c r="C237" s="93"/>
      <c r="D237" s="89"/>
      <c r="E237" s="89" t="s">
        <v>58</v>
      </c>
      <c r="F237" s="89"/>
      <c r="G237" s="89" t="str">
        <f t="shared" si="8"/>
        <v>3UNCERAMFA45</v>
      </c>
      <c r="H237" s="89" t="s">
        <v>1662</v>
      </c>
      <c r="I237" s="89" t="s">
        <v>1550</v>
      </c>
      <c r="J237" s="89" t="s">
        <v>1552</v>
      </c>
      <c r="K237" s="89" t="s">
        <v>2077</v>
      </c>
      <c r="L237" s="89" t="s">
        <v>2078</v>
      </c>
      <c r="M237" s="89" t="str">
        <f t="shared" si="9"/>
        <v>3UNCERAMFA45501640</v>
      </c>
      <c r="N237" s="89" t="str">
        <f t="shared" si="10"/>
        <v>3UNCERAMFA4550250</v>
      </c>
      <c r="O237" s="90">
        <v>50</v>
      </c>
      <c r="P237" s="89">
        <v>3</v>
      </c>
      <c r="Q237" s="89" t="s">
        <v>484</v>
      </c>
      <c r="R237" s="90">
        <v>1640</v>
      </c>
      <c r="S237" s="90">
        <v>2200</v>
      </c>
      <c r="T237" s="90">
        <v>250</v>
      </c>
      <c r="U237" s="90">
        <v>250</v>
      </c>
      <c r="V237" s="90">
        <v>1000</v>
      </c>
      <c r="W237" s="81">
        <v>2</v>
      </c>
      <c r="X237" s="82" t="s">
        <v>2014</v>
      </c>
      <c r="Y237" s="83" t="s">
        <v>2015</v>
      </c>
      <c r="Z237" s="84">
        <v>6</v>
      </c>
      <c r="AA237" s="85" t="s">
        <v>24</v>
      </c>
      <c r="AB237" s="92">
        <v>1700</v>
      </c>
      <c r="AC237" s="139"/>
      <c r="AD237" s="126"/>
      <c r="AE237" s="92"/>
      <c r="AF237" s="83"/>
      <c r="AG237" s="85"/>
      <c r="AH237" s="86"/>
      <c r="AI237" s="83"/>
      <c r="AJ237" s="85"/>
      <c r="AK237" s="86"/>
      <c r="AL237" s="87"/>
      <c r="AM237" s="88"/>
      <c r="AN237" s="199"/>
      <c r="AO237" s="230" t="str">
        <f t="shared" si="11"/>
        <v>3UNCERAMFA4550</v>
      </c>
    </row>
    <row r="238" spans="1:41" ht="15" customHeight="1" x14ac:dyDescent="0.15">
      <c r="A238" s="80">
        <v>4114</v>
      </c>
      <c r="B238" s="89">
        <v>276</v>
      </c>
      <c r="C238" s="93"/>
      <c r="D238" s="89" t="s">
        <v>2075</v>
      </c>
      <c r="E238" s="89" t="s">
        <v>58</v>
      </c>
      <c r="F238" s="89" t="s">
        <v>210</v>
      </c>
      <c r="G238" s="89" t="str">
        <f t="shared" si="8"/>
        <v>3UYCERAMFA45</v>
      </c>
      <c r="H238" s="89" t="s">
        <v>1662</v>
      </c>
      <c r="I238" s="89" t="s">
        <v>2036</v>
      </c>
      <c r="J238" s="89" t="s">
        <v>1552</v>
      </c>
      <c r="K238" s="89" t="s">
        <v>2077</v>
      </c>
      <c r="L238" s="89" t="s">
        <v>2078</v>
      </c>
      <c r="M238" s="89" t="str">
        <f t="shared" si="9"/>
        <v>3UYCERAMFA45501640</v>
      </c>
      <c r="N238" s="89" t="str">
        <f t="shared" si="10"/>
        <v>3UYCERAMFA4550115</v>
      </c>
      <c r="O238" s="90">
        <v>50</v>
      </c>
      <c r="P238" s="89">
        <v>3</v>
      </c>
      <c r="Q238" s="89" t="s">
        <v>484</v>
      </c>
      <c r="R238" s="90">
        <v>1640</v>
      </c>
      <c r="S238" s="90">
        <v>2200</v>
      </c>
      <c r="T238" s="90">
        <v>115</v>
      </c>
      <c r="U238" s="90">
        <v>115</v>
      </c>
      <c r="V238" s="90">
        <v>300</v>
      </c>
      <c r="W238" s="81">
        <v>1</v>
      </c>
      <c r="X238" s="82" t="s">
        <v>2014</v>
      </c>
      <c r="Y238" s="83" t="s">
        <v>2015</v>
      </c>
      <c r="Z238" s="84">
        <v>6</v>
      </c>
      <c r="AA238" s="85" t="s">
        <v>24</v>
      </c>
      <c r="AB238" s="86">
        <v>1700</v>
      </c>
      <c r="AC238" s="83">
        <v>3</v>
      </c>
      <c r="AD238" s="85" t="s">
        <v>459</v>
      </c>
      <c r="AE238" s="86">
        <v>125</v>
      </c>
      <c r="AF238" s="83"/>
      <c r="AG238" s="85"/>
      <c r="AH238" s="86"/>
      <c r="AI238" s="83"/>
      <c r="AJ238" s="85"/>
      <c r="AK238" s="86"/>
      <c r="AL238" s="87"/>
      <c r="AM238" s="88"/>
      <c r="AN238" s="199"/>
      <c r="AO238" s="230" t="str">
        <f t="shared" si="11"/>
        <v>3UYCERAMFA4550</v>
      </c>
    </row>
    <row r="239" spans="1:41" ht="15" customHeight="1" x14ac:dyDescent="0.15">
      <c r="A239" s="80">
        <v>4114</v>
      </c>
      <c r="B239" s="89">
        <v>276</v>
      </c>
      <c r="C239" s="89">
        <v>2380</v>
      </c>
      <c r="D239" s="89" t="s">
        <v>93</v>
      </c>
      <c r="E239" s="89" t="s">
        <v>58</v>
      </c>
      <c r="F239" s="89" t="s">
        <v>12</v>
      </c>
      <c r="G239" s="89" t="str">
        <f t="shared" si="8"/>
        <v>3UNCERAMFA46</v>
      </c>
      <c r="H239" s="89" t="s">
        <v>1662</v>
      </c>
      <c r="I239" s="89" t="s">
        <v>1550</v>
      </c>
      <c r="J239" s="89" t="s">
        <v>1552</v>
      </c>
      <c r="K239" s="89" t="s">
        <v>2079</v>
      </c>
      <c r="L239" s="89" t="s">
        <v>2080</v>
      </c>
      <c r="M239" s="89" t="str">
        <f t="shared" si="9"/>
        <v>3UNCERAMFA46501450</v>
      </c>
      <c r="N239" s="89" t="str">
        <f t="shared" si="10"/>
        <v>3UNCERAMFA4650490</v>
      </c>
      <c r="O239" s="90">
        <v>50</v>
      </c>
      <c r="P239" s="89">
        <v>3</v>
      </c>
      <c r="Q239" s="89" t="s">
        <v>558</v>
      </c>
      <c r="R239" s="90">
        <v>1450</v>
      </c>
      <c r="S239" s="90">
        <v>5000</v>
      </c>
      <c r="T239" s="90">
        <v>490</v>
      </c>
      <c r="U239" s="90">
        <v>490</v>
      </c>
      <c r="V239" s="90">
        <v>1000</v>
      </c>
      <c r="W239" s="81">
        <v>2</v>
      </c>
      <c r="X239" s="82" t="s">
        <v>2014</v>
      </c>
      <c r="Y239" s="83" t="s">
        <v>2015</v>
      </c>
      <c r="Z239" s="84">
        <v>6</v>
      </c>
      <c r="AA239" s="85"/>
      <c r="AB239" s="92"/>
      <c r="AC239" s="139"/>
      <c r="AD239" s="126"/>
      <c r="AE239" s="92"/>
      <c r="AF239" s="83"/>
      <c r="AG239" s="85"/>
      <c r="AH239" s="86"/>
      <c r="AI239" s="83"/>
      <c r="AJ239" s="85"/>
      <c r="AK239" s="86"/>
      <c r="AL239" s="87"/>
      <c r="AM239" s="88"/>
      <c r="AN239" s="199"/>
      <c r="AO239" s="230" t="str">
        <f t="shared" si="11"/>
        <v>3UNCERAMFA4650</v>
      </c>
    </row>
    <row r="240" spans="1:41" ht="15" customHeight="1" x14ac:dyDescent="0.15">
      <c r="A240" s="80">
        <v>4114</v>
      </c>
      <c r="B240" s="89">
        <v>272</v>
      </c>
      <c r="C240" s="106">
        <v>36882</v>
      </c>
      <c r="D240" s="106" t="s">
        <v>61</v>
      </c>
      <c r="E240" s="106" t="s">
        <v>45</v>
      </c>
      <c r="F240" s="106" t="s">
        <v>26</v>
      </c>
      <c r="G240" s="89" t="str">
        <f t="shared" si="8"/>
        <v>3UNCERAMFA09</v>
      </c>
      <c r="H240" s="89" t="s">
        <v>1662</v>
      </c>
      <c r="I240" s="89" t="s">
        <v>1550</v>
      </c>
      <c r="J240" s="89" t="s">
        <v>1552</v>
      </c>
      <c r="K240" s="89" t="s">
        <v>2081</v>
      </c>
      <c r="L240" s="89" t="s">
        <v>2082</v>
      </c>
      <c r="M240" s="89" t="str">
        <f t="shared" si="9"/>
        <v>3UNCERAMFA09751200</v>
      </c>
      <c r="N240" s="89" t="str">
        <f t="shared" si="10"/>
        <v>3UNCERAMFA09751190</v>
      </c>
      <c r="O240" s="90">
        <v>75</v>
      </c>
      <c r="P240" s="89">
        <v>3</v>
      </c>
      <c r="Q240" s="89" t="s">
        <v>486</v>
      </c>
      <c r="R240" s="90">
        <v>1200</v>
      </c>
      <c r="S240" s="90">
        <v>4500</v>
      </c>
      <c r="T240" s="90">
        <v>1190</v>
      </c>
      <c r="U240" s="90">
        <v>1190</v>
      </c>
      <c r="V240" s="90">
        <v>4000</v>
      </c>
      <c r="W240" s="81">
        <v>2</v>
      </c>
      <c r="X240" s="82" t="s">
        <v>2014</v>
      </c>
      <c r="Y240" s="83" t="s">
        <v>487</v>
      </c>
      <c r="Z240" s="84">
        <v>6</v>
      </c>
      <c r="AA240" s="85" t="s">
        <v>24</v>
      </c>
      <c r="AB240" s="92"/>
      <c r="AC240" s="139"/>
      <c r="AD240" s="126"/>
      <c r="AE240" s="92"/>
      <c r="AF240" s="83"/>
      <c r="AG240" s="85"/>
      <c r="AH240" s="86"/>
      <c r="AI240" s="83"/>
      <c r="AJ240" s="85"/>
      <c r="AK240" s="86"/>
      <c r="AL240" s="87"/>
      <c r="AM240" s="88"/>
      <c r="AN240" s="199"/>
      <c r="AO240" s="230" t="str">
        <f t="shared" si="11"/>
        <v>3UNCERAMFA0975</v>
      </c>
    </row>
    <row r="241" spans="1:41" ht="15" customHeight="1" x14ac:dyDescent="0.15">
      <c r="A241" s="80">
        <v>4114</v>
      </c>
      <c r="B241" s="89">
        <v>272</v>
      </c>
      <c r="C241" s="106">
        <v>3055</v>
      </c>
      <c r="D241" s="106" t="s">
        <v>2083</v>
      </c>
      <c r="E241" s="106" t="s">
        <v>45</v>
      </c>
      <c r="F241" s="106" t="s">
        <v>26</v>
      </c>
      <c r="G241" s="89" t="str">
        <f t="shared" si="8"/>
        <v>3UNCERAMFA14</v>
      </c>
      <c r="H241" s="89" t="s">
        <v>1662</v>
      </c>
      <c r="I241" s="89" t="s">
        <v>1550</v>
      </c>
      <c r="J241" s="89" t="s">
        <v>1552</v>
      </c>
      <c r="K241" s="89" t="s">
        <v>2084</v>
      </c>
      <c r="L241" s="89" t="s">
        <v>2085</v>
      </c>
      <c r="M241" s="89" t="str">
        <f t="shared" si="9"/>
        <v>3UNCERAMFA14381415</v>
      </c>
      <c r="N241" s="89" t="str">
        <f t="shared" si="10"/>
        <v>3UNCERAMFA14381020</v>
      </c>
      <c r="O241" s="90">
        <v>38</v>
      </c>
      <c r="P241" s="89">
        <v>3</v>
      </c>
      <c r="Q241" s="89" t="s">
        <v>1996</v>
      </c>
      <c r="R241" s="90">
        <v>1415</v>
      </c>
      <c r="S241" s="90">
        <v>8000</v>
      </c>
      <c r="T241" s="90">
        <v>1020</v>
      </c>
      <c r="U241" s="90">
        <v>1020</v>
      </c>
      <c r="V241" s="90">
        <v>4100</v>
      </c>
      <c r="W241" s="81">
        <v>2</v>
      </c>
      <c r="X241" s="82" t="s">
        <v>2014</v>
      </c>
      <c r="Y241" s="83" t="s">
        <v>295</v>
      </c>
      <c r="Z241" s="84">
        <v>6</v>
      </c>
      <c r="AA241" s="85" t="s">
        <v>24</v>
      </c>
      <c r="AB241" s="86">
        <v>1450</v>
      </c>
      <c r="AC241" s="83">
        <v>6</v>
      </c>
      <c r="AD241" s="85" t="s">
        <v>266</v>
      </c>
      <c r="AE241" s="86">
        <v>1100</v>
      </c>
      <c r="AF241" s="83"/>
      <c r="AG241" s="85"/>
      <c r="AH241" s="86"/>
      <c r="AI241" s="83"/>
      <c r="AJ241" s="85"/>
      <c r="AK241" s="86"/>
      <c r="AL241" s="87"/>
      <c r="AM241" s="88"/>
      <c r="AN241" s="199"/>
      <c r="AO241" s="230" t="str">
        <f t="shared" si="11"/>
        <v>3UNCERAMFA1438</v>
      </c>
    </row>
    <row r="242" spans="1:41" ht="15" customHeight="1" x14ac:dyDescent="0.15">
      <c r="A242" s="80">
        <v>4114</v>
      </c>
      <c r="B242" s="89">
        <v>272</v>
      </c>
      <c r="C242" s="106">
        <v>3055</v>
      </c>
      <c r="D242" s="106" t="s">
        <v>2086</v>
      </c>
      <c r="E242" s="106" t="s">
        <v>45</v>
      </c>
      <c r="F242" s="106" t="s">
        <v>26</v>
      </c>
      <c r="G242" s="89" t="str">
        <f t="shared" si="8"/>
        <v>3UNCERAMFA14</v>
      </c>
      <c r="H242" s="89" t="s">
        <v>1662</v>
      </c>
      <c r="I242" s="89" t="s">
        <v>1550</v>
      </c>
      <c r="J242" s="89" t="s">
        <v>1552</v>
      </c>
      <c r="K242" s="89" t="s">
        <v>2084</v>
      </c>
      <c r="L242" s="89" t="s">
        <v>2085</v>
      </c>
      <c r="M242" s="89" t="str">
        <f t="shared" si="9"/>
        <v>3UNCERAMFA14751310</v>
      </c>
      <c r="N242" s="89" t="str">
        <f t="shared" si="10"/>
        <v>3UNCERAMFA14751130</v>
      </c>
      <c r="O242" s="90">
        <v>75</v>
      </c>
      <c r="P242" s="89">
        <v>3</v>
      </c>
      <c r="Q242" s="89" t="s">
        <v>1996</v>
      </c>
      <c r="R242" s="90">
        <v>1310</v>
      </c>
      <c r="S242" s="90">
        <v>4500</v>
      </c>
      <c r="T242" s="90">
        <v>1130</v>
      </c>
      <c r="U242" s="90">
        <v>1130</v>
      </c>
      <c r="V242" s="90">
        <v>4300</v>
      </c>
      <c r="W242" s="81">
        <v>2</v>
      </c>
      <c r="X242" s="82" t="s">
        <v>2014</v>
      </c>
      <c r="Y242" s="83" t="s">
        <v>295</v>
      </c>
      <c r="Z242" s="84">
        <v>6</v>
      </c>
      <c r="AA242" s="85" t="s">
        <v>24</v>
      </c>
      <c r="AB242" s="86">
        <v>1450</v>
      </c>
      <c r="AC242" s="83">
        <v>6</v>
      </c>
      <c r="AD242" s="85" t="s">
        <v>16</v>
      </c>
      <c r="AE242" s="86">
        <v>1350</v>
      </c>
      <c r="AF242" s="83"/>
      <c r="AG242" s="85"/>
      <c r="AH242" s="86"/>
      <c r="AI242" s="83"/>
      <c r="AJ242" s="85"/>
      <c r="AK242" s="86"/>
      <c r="AL242" s="87"/>
      <c r="AM242" s="88"/>
      <c r="AN242" s="199"/>
      <c r="AO242" s="230" t="str">
        <f t="shared" si="11"/>
        <v>3UNCERAMFA1475</v>
      </c>
    </row>
    <row r="243" spans="1:41" ht="15" customHeight="1" x14ac:dyDescent="0.15">
      <c r="A243" s="80">
        <v>4114</v>
      </c>
      <c r="B243" s="89">
        <v>274</v>
      </c>
      <c r="C243" s="106">
        <v>36888</v>
      </c>
      <c r="D243" s="106" t="s">
        <v>560</v>
      </c>
      <c r="E243" s="106" t="s">
        <v>66</v>
      </c>
      <c r="F243" s="106"/>
      <c r="G243" s="89" t="str">
        <f t="shared" si="8"/>
        <v>3UNCERAJMFAJ</v>
      </c>
      <c r="H243" s="89" t="s">
        <v>1662</v>
      </c>
      <c r="I243" s="89" t="s">
        <v>1550</v>
      </c>
      <c r="J243" s="89" t="s">
        <v>1552</v>
      </c>
      <c r="K243" s="89" t="s">
        <v>2087</v>
      </c>
      <c r="L243" s="89" t="s">
        <v>2088</v>
      </c>
      <c r="M243" s="89" t="str">
        <f t="shared" si="9"/>
        <v>3UNCERAJMFAJ381340</v>
      </c>
      <c r="N243" s="89" t="str">
        <f t="shared" si="10"/>
        <v>3UNCERAJMFAJ38400</v>
      </c>
      <c r="O243" s="90">
        <v>38</v>
      </c>
      <c r="P243" s="89">
        <v>3</v>
      </c>
      <c r="Q243" s="89" t="s">
        <v>559</v>
      </c>
      <c r="R243" s="90">
        <v>1340</v>
      </c>
      <c r="S243" s="90">
        <v>3900</v>
      </c>
      <c r="T243" s="90">
        <v>400</v>
      </c>
      <c r="U243" s="90">
        <v>400</v>
      </c>
      <c r="V243" s="90">
        <v>500</v>
      </c>
      <c r="W243" s="81">
        <v>2</v>
      </c>
      <c r="X243" s="82" t="s">
        <v>2014</v>
      </c>
      <c r="Y243" s="83" t="s">
        <v>295</v>
      </c>
      <c r="Z243" s="84">
        <v>6</v>
      </c>
      <c r="AA243" s="85" t="s">
        <v>24</v>
      </c>
      <c r="AB243" s="86">
        <v>1450</v>
      </c>
      <c r="AC243" s="83">
        <v>3</v>
      </c>
      <c r="AD243" s="85" t="s">
        <v>39</v>
      </c>
      <c r="AE243" s="86">
        <v>500</v>
      </c>
      <c r="AF243" s="83"/>
      <c r="AG243" s="85"/>
      <c r="AH243" s="86"/>
      <c r="AI243" s="83"/>
      <c r="AJ243" s="85"/>
      <c r="AK243" s="86"/>
      <c r="AL243" s="87"/>
      <c r="AM243" s="88"/>
      <c r="AN243" s="199"/>
      <c r="AO243" s="230" t="str">
        <f t="shared" si="11"/>
        <v>3UNCERAJMFAJ38</v>
      </c>
    </row>
    <row r="244" spans="1:41" ht="15" customHeight="1" x14ac:dyDescent="0.15">
      <c r="A244" s="80">
        <v>4114</v>
      </c>
      <c r="B244" s="89">
        <v>274</v>
      </c>
      <c r="C244" s="106">
        <v>36888</v>
      </c>
      <c r="D244" s="106" t="s">
        <v>560</v>
      </c>
      <c r="E244" s="106" t="s">
        <v>66</v>
      </c>
      <c r="F244" s="106" t="s">
        <v>210</v>
      </c>
      <c r="G244" s="89" t="str">
        <f t="shared" si="8"/>
        <v>3UNCERAJMFAJ</v>
      </c>
      <c r="H244" s="89" t="s">
        <v>1662</v>
      </c>
      <c r="I244" s="89" t="s">
        <v>1550</v>
      </c>
      <c r="J244" s="89" t="s">
        <v>1552</v>
      </c>
      <c r="K244" s="89" t="s">
        <v>2087</v>
      </c>
      <c r="L244" s="89" t="s">
        <v>2088</v>
      </c>
      <c r="M244" s="89" t="str">
        <f t="shared" si="9"/>
        <v>3UNCERAJMFAJ381340</v>
      </c>
      <c r="N244" s="89" t="str">
        <f t="shared" si="10"/>
        <v>3UNCERAJMFAJ38400</v>
      </c>
      <c r="O244" s="90">
        <v>38</v>
      </c>
      <c r="P244" s="89">
        <v>3</v>
      </c>
      <c r="Q244" s="89" t="s">
        <v>559</v>
      </c>
      <c r="R244" s="90">
        <v>1340</v>
      </c>
      <c r="S244" s="90">
        <v>12100</v>
      </c>
      <c r="T244" s="90">
        <v>400</v>
      </c>
      <c r="U244" s="90">
        <v>400</v>
      </c>
      <c r="V244" s="90">
        <v>500</v>
      </c>
      <c r="W244" s="81">
        <v>1</v>
      </c>
      <c r="X244" s="82" t="s">
        <v>2014</v>
      </c>
      <c r="Y244" s="83" t="s">
        <v>295</v>
      </c>
      <c r="Z244" s="84">
        <v>6</v>
      </c>
      <c r="AA244" s="85" t="s">
        <v>24</v>
      </c>
      <c r="AB244" s="86">
        <v>1450</v>
      </c>
      <c r="AC244" s="83">
        <v>3</v>
      </c>
      <c r="AD244" s="85" t="s">
        <v>39</v>
      </c>
      <c r="AE244" s="86">
        <v>450</v>
      </c>
      <c r="AF244" s="83"/>
      <c r="AG244" s="85"/>
      <c r="AH244" s="86"/>
      <c r="AI244" s="83"/>
      <c r="AJ244" s="85"/>
      <c r="AK244" s="86"/>
      <c r="AL244" s="87"/>
      <c r="AM244" s="88"/>
      <c r="AN244" s="199"/>
      <c r="AO244" s="230" t="str">
        <f t="shared" si="11"/>
        <v>3UNCERAJMFAJ38</v>
      </c>
    </row>
    <row r="245" spans="1:41" ht="15" customHeight="1" x14ac:dyDescent="0.15">
      <c r="A245" s="80">
        <v>4114</v>
      </c>
      <c r="B245" s="89">
        <v>274</v>
      </c>
      <c r="C245" s="106">
        <v>36888</v>
      </c>
      <c r="D245" s="106" t="s">
        <v>560</v>
      </c>
      <c r="E245" s="106" t="s">
        <v>66</v>
      </c>
      <c r="F245" s="106"/>
      <c r="G245" s="89" t="str">
        <f t="shared" ref="G245:G448" si="12">CONCATENATE(P245,H245,I245,J245,K245)</f>
        <v>3UNCERAJTKA07J</v>
      </c>
      <c r="H245" s="89" t="s">
        <v>1662</v>
      </c>
      <c r="I245" s="89" t="s">
        <v>1550</v>
      </c>
      <c r="J245" s="89" t="s">
        <v>1552</v>
      </c>
      <c r="K245" s="89" t="s">
        <v>2089</v>
      </c>
      <c r="L245" s="89" t="s">
        <v>2090</v>
      </c>
      <c r="M245" s="89" t="str">
        <f t="shared" ref="M245:M448" si="13">G245&amp;O245&amp;R245</f>
        <v>3UNCERAJTKA07J381340</v>
      </c>
      <c r="N245" s="89" t="str">
        <f t="shared" ref="N245:N448" si="14">G245&amp;O245&amp;U245</f>
        <v>3UNCERAJTKA07J38400</v>
      </c>
      <c r="O245" s="90">
        <v>38</v>
      </c>
      <c r="P245" s="89">
        <v>3</v>
      </c>
      <c r="Q245" s="89" t="s">
        <v>559</v>
      </c>
      <c r="R245" s="90">
        <v>1340</v>
      </c>
      <c r="S245" s="90">
        <v>3900</v>
      </c>
      <c r="T245" s="90">
        <v>400</v>
      </c>
      <c r="U245" s="90">
        <v>400</v>
      </c>
      <c r="V245" s="90">
        <v>500</v>
      </c>
      <c r="W245" s="81">
        <v>2</v>
      </c>
      <c r="X245" s="82" t="s">
        <v>2014</v>
      </c>
      <c r="Y245" s="83" t="s">
        <v>295</v>
      </c>
      <c r="Z245" s="84">
        <v>6</v>
      </c>
      <c r="AA245" s="85" t="s">
        <v>24</v>
      </c>
      <c r="AB245" s="86">
        <v>1450</v>
      </c>
      <c r="AC245" s="83">
        <v>3</v>
      </c>
      <c r="AD245" s="85" t="s">
        <v>39</v>
      </c>
      <c r="AE245" s="86">
        <v>500</v>
      </c>
      <c r="AF245" s="83"/>
      <c r="AG245" s="85"/>
      <c r="AH245" s="86"/>
      <c r="AI245" s="83"/>
      <c r="AJ245" s="85"/>
      <c r="AK245" s="86"/>
      <c r="AL245" s="87"/>
      <c r="AM245" s="88"/>
      <c r="AN245" s="199"/>
      <c r="AO245" s="230" t="str">
        <f t="shared" si="11"/>
        <v>3UNCERAJTKA07J38</v>
      </c>
    </row>
    <row r="246" spans="1:41" ht="15" customHeight="1" x14ac:dyDescent="0.15">
      <c r="A246" s="80">
        <v>4114</v>
      </c>
      <c r="B246" s="89">
        <v>274</v>
      </c>
      <c r="C246" s="106">
        <v>36888</v>
      </c>
      <c r="D246" s="106" t="s">
        <v>560</v>
      </c>
      <c r="E246" s="106" t="s">
        <v>66</v>
      </c>
      <c r="F246" s="106"/>
      <c r="G246" s="89" t="str">
        <f t="shared" si="12"/>
        <v>3UNCERAJTKA07H</v>
      </c>
      <c r="H246" s="89" t="s">
        <v>1662</v>
      </c>
      <c r="I246" s="89" t="s">
        <v>1550</v>
      </c>
      <c r="J246" s="89" t="s">
        <v>1552</v>
      </c>
      <c r="K246" s="89" t="s">
        <v>2091</v>
      </c>
      <c r="L246" s="89" t="s">
        <v>2092</v>
      </c>
      <c r="M246" s="89" t="str">
        <f t="shared" si="13"/>
        <v>3UNCERAJTKA07H381326</v>
      </c>
      <c r="N246" s="89" t="str">
        <f t="shared" si="14"/>
        <v>3UNCERAJTKA07H38400</v>
      </c>
      <c r="O246" s="90">
        <v>38</v>
      </c>
      <c r="P246" s="89">
        <v>3</v>
      </c>
      <c r="Q246" s="89" t="s">
        <v>1188</v>
      </c>
      <c r="R246" s="90">
        <v>1326</v>
      </c>
      <c r="S246" s="90">
        <v>12200</v>
      </c>
      <c r="T246" s="90">
        <v>400</v>
      </c>
      <c r="U246" s="90">
        <v>400</v>
      </c>
      <c r="V246" s="90">
        <v>500</v>
      </c>
      <c r="W246" s="81">
        <v>2</v>
      </c>
      <c r="X246" s="82" t="s">
        <v>2014</v>
      </c>
      <c r="Y246" s="83" t="s">
        <v>295</v>
      </c>
      <c r="Z246" s="84">
        <v>6</v>
      </c>
      <c r="AA246" s="85" t="s">
        <v>24</v>
      </c>
      <c r="AB246" s="86">
        <v>1450</v>
      </c>
      <c r="AC246" s="83">
        <v>3</v>
      </c>
      <c r="AD246" s="85" t="s">
        <v>39</v>
      </c>
      <c r="AE246" s="86">
        <v>450</v>
      </c>
      <c r="AF246" s="83"/>
      <c r="AG246" s="85"/>
      <c r="AH246" s="86"/>
      <c r="AI246" s="83"/>
      <c r="AJ246" s="85"/>
      <c r="AK246" s="86"/>
      <c r="AL246" s="87"/>
      <c r="AM246" s="88"/>
      <c r="AN246" s="199"/>
      <c r="AO246" s="230" t="str">
        <f t="shared" si="11"/>
        <v>3UNCERAJTKA07H38</v>
      </c>
    </row>
    <row r="247" spans="1:41" ht="15" customHeight="1" x14ac:dyDescent="0.15">
      <c r="A247" s="80">
        <v>4114</v>
      </c>
      <c r="B247" s="89">
        <v>271</v>
      </c>
      <c r="C247" s="89">
        <v>3918</v>
      </c>
      <c r="D247" s="89" t="s">
        <v>2050</v>
      </c>
      <c r="E247" s="89" t="s">
        <v>11</v>
      </c>
      <c r="F247" s="89" t="s">
        <v>184</v>
      </c>
      <c r="G247" s="89" t="str">
        <f t="shared" si="12"/>
        <v>3UNCERAWZ34</v>
      </c>
      <c r="H247" s="89" t="s">
        <v>269</v>
      </c>
      <c r="I247" s="89" t="s">
        <v>1550</v>
      </c>
      <c r="J247" s="89" t="s">
        <v>21</v>
      </c>
      <c r="K247" s="89" t="s">
        <v>1569</v>
      </c>
      <c r="L247" s="89" t="s">
        <v>2051</v>
      </c>
      <c r="M247" s="89" t="str">
        <f t="shared" si="13"/>
        <v>3UNCERAWZ3425E1420</v>
      </c>
      <c r="N247" s="89" t="str">
        <f t="shared" si="14"/>
        <v>3UNCERAWZ3425E1410</v>
      </c>
      <c r="O247" s="90" t="s">
        <v>2000</v>
      </c>
      <c r="P247" s="89">
        <v>3</v>
      </c>
      <c r="Q247" s="89" t="s">
        <v>2001</v>
      </c>
      <c r="R247" s="90">
        <v>1420</v>
      </c>
      <c r="S247" s="90">
        <v>12700</v>
      </c>
      <c r="T247" s="90">
        <v>1410</v>
      </c>
      <c r="U247" s="90">
        <v>1410</v>
      </c>
      <c r="V247" s="90">
        <v>6000</v>
      </c>
      <c r="W247" s="81">
        <v>1</v>
      </c>
      <c r="X247" s="82" t="s">
        <v>14</v>
      </c>
      <c r="Y247" s="83" t="s">
        <v>27</v>
      </c>
      <c r="Z247" s="84">
        <v>6</v>
      </c>
      <c r="AA247" s="85" t="s">
        <v>24</v>
      </c>
      <c r="AB247" s="86">
        <v>1600</v>
      </c>
      <c r="AC247" s="83"/>
      <c r="AD247" s="85"/>
      <c r="AE247" s="86"/>
      <c r="AF247" s="83"/>
      <c r="AG247" s="85"/>
      <c r="AH247" s="86"/>
      <c r="AI247" s="83"/>
      <c r="AJ247" s="85"/>
      <c r="AK247" s="86"/>
      <c r="AL247" s="87"/>
      <c r="AM247" s="88"/>
      <c r="AN247" s="88" t="s">
        <v>474</v>
      </c>
      <c r="AO247" s="230" t="str">
        <f t="shared" si="11"/>
        <v>3UNCERAWZ3425E</v>
      </c>
    </row>
    <row r="248" spans="1:41" ht="15" customHeight="1" x14ac:dyDescent="0.15">
      <c r="A248" s="80">
        <v>4113</v>
      </c>
      <c r="B248" s="89">
        <v>271</v>
      </c>
      <c r="C248" s="89">
        <v>3918</v>
      </c>
      <c r="D248" s="89" t="s">
        <v>2050</v>
      </c>
      <c r="E248" s="89" t="s">
        <v>11</v>
      </c>
      <c r="F248" s="89" t="s">
        <v>184</v>
      </c>
      <c r="G248" s="89" t="str">
        <f t="shared" si="12"/>
        <v>3TNCERAWZ34</v>
      </c>
      <c r="H248" s="89" t="s">
        <v>771</v>
      </c>
      <c r="I248" s="89" t="s">
        <v>1550</v>
      </c>
      <c r="J248" s="89" t="s">
        <v>21</v>
      </c>
      <c r="K248" s="89" t="s">
        <v>1569</v>
      </c>
      <c r="L248" s="89" t="s">
        <v>2051</v>
      </c>
      <c r="M248" s="89" t="str">
        <f t="shared" si="13"/>
        <v>3TNCERAWZ3425E1420</v>
      </c>
      <c r="N248" s="89" t="str">
        <f t="shared" si="14"/>
        <v>3TNCERAWZ3425E1410</v>
      </c>
      <c r="O248" s="90" t="s">
        <v>2000</v>
      </c>
      <c r="P248" s="89">
        <v>3</v>
      </c>
      <c r="Q248" s="89" t="s">
        <v>2001</v>
      </c>
      <c r="R248" s="90">
        <v>1420</v>
      </c>
      <c r="S248" s="90">
        <v>12700</v>
      </c>
      <c r="T248" s="90">
        <v>1410</v>
      </c>
      <c r="U248" s="90">
        <v>1410</v>
      </c>
      <c r="V248" s="90">
        <v>6000</v>
      </c>
      <c r="W248" s="81">
        <v>1</v>
      </c>
      <c r="X248" s="82" t="s">
        <v>14</v>
      </c>
      <c r="Y248" s="83" t="s">
        <v>27</v>
      </c>
      <c r="Z248" s="84">
        <v>6</v>
      </c>
      <c r="AA248" s="85" t="s">
        <v>24</v>
      </c>
      <c r="AB248" s="86">
        <v>1600</v>
      </c>
      <c r="AC248" s="83"/>
      <c r="AD248" s="85"/>
      <c r="AE248" s="86"/>
      <c r="AF248" s="83"/>
      <c r="AG248" s="85"/>
      <c r="AH248" s="86"/>
      <c r="AI248" s="83"/>
      <c r="AJ248" s="85"/>
      <c r="AK248" s="86"/>
      <c r="AL248" s="87"/>
      <c r="AM248" s="88"/>
      <c r="AN248" s="88" t="s">
        <v>474</v>
      </c>
      <c r="AO248" s="230" t="str">
        <f t="shared" si="11"/>
        <v>3TNCERAWZ3425E</v>
      </c>
    </row>
    <row r="249" spans="1:41" ht="15" customHeight="1" x14ac:dyDescent="0.15">
      <c r="A249" s="80">
        <v>4114</v>
      </c>
      <c r="B249" s="89">
        <v>271</v>
      </c>
      <c r="C249" s="89">
        <v>3918</v>
      </c>
      <c r="D249" s="89" t="s">
        <v>2050</v>
      </c>
      <c r="E249" s="89"/>
      <c r="F249" s="106" t="s">
        <v>210</v>
      </c>
      <c r="G249" s="89" t="str">
        <f t="shared" si="12"/>
        <v>3UNCERAWZ14</v>
      </c>
      <c r="H249" s="89" t="s">
        <v>269</v>
      </c>
      <c r="I249" s="89" t="s">
        <v>1550</v>
      </c>
      <c r="J249" s="89" t="s">
        <v>21</v>
      </c>
      <c r="K249" s="89" t="s">
        <v>2342</v>
      </c>
      <c r="L249" s="89" t="s">
        <v>2343</v>
      </c>
      <c r="M249" s="89"/>
      <c r="N249" s="89"/>
      <c r="O249" s="90">
        <v>25</v>
      </c>
      <c r="P249" s="89">
        <v>3</v>
      </c>
      <c r="Q249" s="89" t="s">
        <v>503</v>
      </c>
      <c r="R249" s="90">
        <v>1428</v>
      </c>
      <c r="S249" s="90">
        <v>12500</v>
      </c>
      <c r="T249" s="90">
        <v>1420</v>
      </c>
      <c r="U249" s="90">
        <v>1420</v>
      </c>
      <c r="V249" s="90">
        <v>12400</v>
      </c>
      <c r="W249" s="81">
        <v>2</v>
      </c>
      <c r="X249" s="82" t="s">
        <v>14</v>
      </c>
      <c r="Y249" s="83" t="s">
        <v>27</v>
      </c>
      <c r="Z249" s="84">
        <v>6</v>
      </c>
      <c r="AA249" s="85" t="s">
        <v>24</v>
      </c>
      <c r="AB249" s="86">
        <v>1600</v>
      </c>
      <c r="AC249" s="83"/>
      <c r="AD249" s="85"/>
      <c r="AE249" s="86"/>
      <c r="AF249" s="83"/>
      <c r="AG249" s="85"/>
      <c r="AH249" s="86"/>
      <c r="AI249" s="83"/>
      <c r="AJ249" s="85"/>
      <c r="AK249" s="86"/>
      <c r="AL249" s="87"/>
      <c r="AM249" s="88"/>
      <c r="AN249" s="88" t="s">
        <v>474</v>
      </c>
      <c r="AO249" s="230" t="str">
        <f t="shared" si="11"/>
        <v>3UNCERAWZ1425</v>
      </c>
    </row>
    <row r="250" spans="1:41" ht="15" customHeight="1" x14ac:dyDescent="0.15">
      <c r="A250" s="80">
        <v>333</v>
      </c>
      <c r="B250" s="89">
        <v>271</v>
      </c>
      <c r="C250" s="89">
        <v>3918</v>
      </c>
      <c r="D250" s="89" t="s">
        <v>2050</v>
      </c>
      <c r="E250" s="89" t="s">
        <v>11</v>
      </c>
      <c r="F250" s="106" t="s">
        <v>210</v>
      </c>
      <c r="G250" s="89" t="str">
        <f t="shared" si="12"/>
        <v>330SNCERAWZ14</v>
      </c>
      <c r="H250" s="89" t="s">
        <v>1549</v>
      </c>
      <c r="I250" s="89" t="s">
        <v>1550</v>
      </c>
      <c r="J250" s="89" t="s">
        <v>21</v>
      </c>
      <c r="K250" s="89" t="s">
        <v>2342</v>
      </c>
      <c r="L250" s="89" t="s">
        <v>2343</v>
      </c>
      <c r="M250" s="89"/>
      <c r="N250" s="89"/>
      <c r="O250" s="90">
        <v>25</v>
      </c>
      <c r="P250" s="89">
        <v>330</v>
      </c>
      <c r="Q250" s="89" t="s">
        <v>503</v>
      </c>
      <c r="R250" s="90">
        <v>1428</v>
      </c>
      <c r="S250" s="90">
        <v>12500</v>
      </c>
      <c r="T250" s="90">
        <v>1420</v>
      </c>
      <c r="U250" s="90">
        <v>1420</v>
      </c>
      <c r="V250" s="90">
        <v>12400</v>
      </c>
      <c r="W250" s="81">
        <v>2</v>
      </c>
      <c r="X250" s="82" t="s">
        <v>14</v>
      </c>
      <c r="Y250" s="83" t="s">
        <v>487</v>
      </c>
      <c r="Z250" s="84">
        <v>6</v>
      </c>
      <c r="AA250" s="85" t="s">
        <v>24</v>
      </c>
      <c r="AB250" s="86">
        <v>1600</v>
      </c>
      <c r="AC250" s="83"/>
      <c r="AD250" s="85"/>
      <c r="AE250" s="86"/>
      <c r="AF250" s="83"/>
      <c r="AG250" s="85"/>
      <c r="AH250" s="86"/>
      <c r="AI250" s="83"/>
      <c r="AJ250" s="85"/>
      <c r="AK250" s="86"/>
      <c r="AL250" s="87"/>
      <c r="AM250" s="88"/>
      <c r="AN250" s="88" t="s">
        <v>474</v>
      </c>
      <c r="AO250" s="230" t="str">
        <f t="shared" si="11"/>
        <v>330SNCERAWZ1425</v>
      </c>
    </row>
    <row r="251" spans="1:41" ht="15" customHeight="1" x14ac:dyDescent="0.15">
      <c r="A251" s="80">
        <v>4114</v>
      </c>
      <c r="B251" s="89">
        <v>271</v>
      </c>
      <c r="C251" s="89"/>
      <c r="D251" s="89" t="s">
        <v>2093</v>
      </c>
      <c r="E251" s="89" t="s">
        <v>11</v>
      </c>
      <c r="F251" s="89" t="s">
        <v>184</v>
      </c>
      <c r="G251" s="89" t="str">
        <f t="shared" si="12"/>
        <v>3UNCERAWZ26</v>
      </c>
      <c r="H251" s="89" t="s">
        <v>269</v>
      </c>
      <c r="I251" s="89" t="s">
        <v>1550</v>
      </c>
      <c r="J251" s="89" t="s">
        <v>21</v>
      </c>
      <c r="K251" s="89" t="s">
        <v>2094</v>
      </c>
      <c r="L251" s="89" t="s">
        <v>2095</v>
      </c>
      <c r="M251" s="89" t="str">
        <f t="shared" si="13"/>
        <v>3UNCERAWZ26381010</v>
      </c>
      <c r="N251" s="89" t="str">
        <f t="shared" si="14"/>
        <v>3UNCERAWZ26381000</v>
      </c>
      <c r="O251" s="90">
        <v>38</v>
      </c>
      <c r="P251" s="89">
        <v>3</v>
      </c>
      <c r="Q251" s="89" t="s">
        <v>2016</v>
      </c>
      <c r="R251" s="90">
        <v>1010</v>
      </c>
      <c r="S251" s="90">
        <v>6200</v>
      </c>
      <c r="T251" s="90">
        <v>1000</v>
      </c>
      <c r="U251" s="90">
        <v>1000</v>
      </c>
      <c r="V251" s="90">
        <v>6000</v>
      </c>
      <c r="W251" s="81">
        <v>1</v>
      </c>
      <c r="X251" s="82" t="s">
        <v>14</v>
      </c>
      <c r="Y251" s="83" t="s">
        <v>27</v>
      </c>
      <c r="Z251" s="84">
        <v>6</v>
      </c>
      <c r="AA251" s="85" t="s">
        <v>266</v>
      </c>
      <c r="AB251" s="86">
        <v>1100</v>
      </c>
      <c r="AC251" s="83"/>
      <c r="AD251" s="85"/>
      <c r="AE251" s="86"/>
      <c r="AF251" s="83"/>
      <c r="AG251" s="85"/>
      <c r="AH251" s="86"/>
      <c r="AI251" s="83"/>
      <c r="AJ251" s="85"/>
      <c r="AK251" s="86"/>
      <c r="AL251" s="87"/>
      <c r="AM251" s="88"/>
      <c r="AN251" s="88" t="s">
        <v>474</v>
      </c>
      <c r="AO251" s="230" t="str">
        <f t="shared" si="11"/>
        <v>3UNCERAWZ2638</v>
      </c>
    </row>
    <row r="252" spans="1:41" ht="15" customHeight="1" x14ac:dyDescent="0.15">
      <c r="A252" s="80">
        <v>4114</v>
      </c>
      <c r="B252" s="89">
        <v>271</v>
      </c>
      <c r="C252" s="89"/>
      <c r="D252" s="89" t="s">
        <v>2093</v>
      </c>
      <c r="E252" s="89" t="s">
        <v>11</v>
      </c>
      <c r="F252" s="89" t="s">
        <v>184</v>
      </c>
      <c r="G252" s="89" t="str">
        <f t="shared" si="12"/>
        <v>3UNCERAWZ26</v>
      </c>
      <c r="H252" s="89" t="s">
        <v>269</v>
      </c>
      <c r="I252" s="89" t="s">
        <v>1550</v>
      </c>
      <c r="J252" s="89" t="s">
        <v>21</v>
      </c>
      <c r="K252" s="89" t="s">
        <v>2094</v>
      </c>
      <c r="L252" s="89" t="s">
        <v>2095</v>
      </c>
      <c r="M252" s="89" t="str">
        <f t="shared" si="13"/>
        <v>3UNCERAWZ26381010</v>
      </c>
      <c r="N252" s="89" t="str">
        <f t="shared" si="14"/>
        <v>3UNCERAWZ26381000</v>
      </c>
      <c r="O252" s="90">
        <v>38</v>
      </c>
      <c r="P252" s="89">
        <v>3</v>
      </c>
      <c r="Q252" s="89" t="s">
        <v>2016</v>
      </c>
      <c r="R252" s="90">
        <v>1010</v>
      </c>
      <c r="S252" s="90">
        <v>12200</v>
      </c>
      <c r="T252" s="90">
        <v>1000</v>
      </c>
      <c r="U252" s="90">
        <v>1000</v>
      </c>
      <c r="V252" s="90">
        <v>6000</v>
      </c>
      <c r="W252" s="81">
        <v>1</v>
      </c>
      <c r="X252" s="82" t="s">
        <v>14</v>
      </c>
      <c r="Y252" s="83" t="s">
        <v>15</v>
      </c>
      <c r="Z252" s="84">
        <v>6</v>
      </c>
      <c r="AA252" s="85" t="s">
        <v>266</v>
      </c>
      <c r="AB252" s="86">
        <v>1100</v>
      </c>
      <c r="AC252" s="83"/>
      <c r="AD252" s="85"/>
      <c r="AE252" s="86"/>
      <c r="AF252" s="83"/>
      <c r="AG252" s="85"/>
      <c r="AH252" s="86"/>
      <c r="AI252" s="83"/>
      <c r="AJ252" s="85"/>
      <c r="AK252" s="86"/>
      <c r="AL252" s="87"/>
      <c r="AM252" s="88"/>
      <c r="AN252" s="88" t="s">
        <v>474</v>
      </c>
      <c r="AO252" s="230" t="str">
        <f t="shared" si="11"/>
        <v>3UNCERAWZ2638</v>
      </c>
    </row>
    <row r="253" spans="1:41" ht="15" customHeight="1" x14ac:dyDescent="0.15">
      <c r="A253" s="80">
        <v>4114</v>
      </c>
      <c r="B253" s="89">
        <v>271</v>
      </c>
      <c r="C253" s="89"/>
      <c r="D253" s="89" t="s">
        <v>2093</v>
      </c>
      <c r="E253" s="89" t="s">
        <v>11</v>
      </c>
      <c r="F253" s="89" t="s">
        <v>46</v>
      </c>
      <c r="G253" s="89" t="str">
        <f t="shared" si="12"/>
        <v>3UNCERAWZ26</v>
      </c>
      <c r="H253" s="89" t="s">
        <v>269</v>
      </c>
      <c r="I253" s="89" t="s">
        <v>1550</v>
      </c>
      <c r="J253" s="89" t="s">
        <v>21</v>
      </c>
      <c r="K253" s="89" t="s">
        <v>2094</v>
      </c>
      <c r="L253" s="89" t="s">
        <v>2095</v>
      </c>
      <c r="M253" s="89" t="str">
        <f t="shared" si="13"/>
        <v>3UNCERAWZ2638965</v>
      </c>
      <c r="N253" s="89" t="str">
        <f t="shared" si="14"/>
        <v>3UNCERAWZ2638960</v>
      </c>
      <c r="O253" s="90">
        <v>38</v>
      </c>
      <c r="P253" s="89">
        <v>3</v>
      </c>
      <c r="Q253" s="89" t="s">
        <v>2016</v>
      </c>
      <c r="R253" s="90">
        <v>965</v>
      </c>
      <c r="S253" s="90">
        <v>12200</v>
      </c>
      <c r="T253" s="90">
        <v>960</v>
      </c>
      <c r="U253" s="90">
        <v>960</v>
      </c>
      <c r="V253" s="90">
        <v>6000</v>
      </c>
      <c r="W253" s="81">
        <v>2</v>
      </c>
      <c r="X253" s="82" t="s">
        <v>14</v>
      </c>
      <c r="Y253" s="83" t="s">
        <v>27</v>
      </c>
      <c r="Z253" s="84">
        <v>6</v>
      </c>
      <c r="AA253" s="85" t="s">
        <v>266</v>
      </c>
      <c r="AB253" s="86">
        <v>1040</v>
      </c>
      <c r="AC253" s="83"/>
      <c r="AD253" s="85"/>
      <c r="AE253" s="86"/>
      <c r="AF253" s="83"/>
      <c r="AG253" s="85"/>
      <c r="AH253" s="86"/>
      <c r="AI253" s="83"/>
      <c r="AJ253" s="85"/>
      <c r="AK253" s="86"/>
      <c r="AL253" s="87"/>
      <c r="AM253" s="88"/>
      <c r="AN253" s="88"/>
      <c r="AO253" s="230" t="str">
        <f t="shared" si="11"/>
        <v>3UNCERAWZ2638</v>
      </c>
    </row>
    <row r="254" spans="1:41" ht="15" customHeight="1" x14ac:dyDescent="0.15">
      <c r="A254" s="80">
        <v>4114</v>
      </c>
      <c r="B254" s="89">
        <v>271</v>
      </c>
      <c r="C254" s="89"/>
      <c r="D254" s="89" t="s">
        <v>2096</v>
      </c>
      <c r="E254" s="89" t="s">
        <v>11</v>
      </c>
      <c r="F254" s="89" t="s">
        <v>184</v>
      </c>
      <c r="G254" s="89" t="str">
        <f t="shared" si="12"/>
        <v>3UNCERAWZ26</v>
      </c>
      <c r="H254" s="89" t="s">
        <v>269</v>
      </c>
      <c r="I254" s="89" t="s">
        <v>1550</v>
      </c>
      <c r="J254" s="89" t="s">
        <v>21</v>
      </c>
      <c r="K254" s="89" t="s">
        <v>2094</v>
      </c>
      <c r="L254" s="89" t="s">
        <v>2095</v>
      </c>
      <c r="M254" s="89" t="str">
        <f t="shared" si="13"/>
        <v>3UNCERAWZ26251105</v>
      </c>
      <c r="N254" s="89" t="str">
        <f t="shared" si="14"/>
        <v>3UNCERAWZ26251100</v>
      </c>
      <c r="O254" s="90">
        <v>25</v>
      </c>
      <c r="P254" s="89">
        <v>3</v>
      </c>
      <c r="Q254" s="89" t="s">
        <v>2016</v>
      </c>
      <c r="R254" s="90">
        <v>1105</v>
      </c>
      <c r="S254" s="90">
        <v>12300</v>
      </c>
      <c r="T254" s="90">
        <v>1100</v>
      </c>
      <c r="U254" s="90">
        <v>1100</v>
      </c>
      <c r="V254" s="90">
        <v>12000</v>
      </c>
      <c r="W254" s="81">
        <v>1</v>
      </c>
      <c r="X254" s="82" t="s">
        <v>14</v>
      </c>
      <c r="Y254" s="83" t="s">
        <v>15</v>
      </c>
      <c r="Z254" s="84">
        <v>6</v>
      </c>
      <c r="AA254" s="85" t="s">
        <v>266</v>
      </c>
      <c r="AB254" s="86"/>
      <c r="AC254" s="83"/>
      <c r="AD254" s="85"/>
      <c r="AE254" s="86"/>
      <c r="AF254" s="83"/>
      <c r="AG254" s="85"/>
      <c r="AH254" s="86"/>
      <c r="AI254" s="83"/>
      <c r="AJ254" s="85"/>
      <c r="AK254" s="86"/>
      <c r="AL254" s="87"/>
      <c r="AM254" s="88"/>
      <c r="AN254" s="88" t="s">
        <v>474</v>
      </c>
      <c r="AO254" s="230" t="str">
        <f t="shared" si="11"/>
        <v>3UNCERAWZ2625</v>
      </c>
    </row>
    <row r="255" spans="1:41" ht="15" customHeight="1" x14ac:dyDescent="0.15">
      <c r="A255" s="80">
        <v>4114</v>
      </c>
      <c r="B255" s="89">
        <v>271</v>
      </c>
      <c r="C255" s="89"/>
      <c r="D255" s="89" t="s">
        <v>2097</v>
      </c>
      <c r="E255" s="89" t="s">
        <v>11</v>
      </c>
      <c r="F255" s="89" t="s">
        <v>184</v>
      </c>
      <c r="G255" s="89" t="str">
        <f t="shared" si="12"/>
        <v>3UNCERAWZ26</v>
      </c>
      <c r="H255" s="89" t="s">
        <v>269</v>
      </c>
      <c r="I255" s="89" t="s">
        <v>1550</v>
      </c>
      <c r="J255" s="89" t="s">
        <v>21</v>
      </c>
      <c r="K255" s="89" t="s">
        <v>2094</v>
      </c>
      <c r="L255" s="89" t="s">
        <v>2095</v>
      </c>
      <c r="M255" s="89" t="str">
        <f t="shared" si="13"/>
        <v>3UNCERAWZ26251250</v>
      </c>
      <c r="N255" s="89" t="str">
        <f t="shared" si="14"/>
        <v>3UNCERAWZ26251240</v>
      </c>
      <c r="O255" s="90">
        <v>25</v>
      </c>
      <c r="P255" s="89">
        <v>3</v>
      </c>
      <c r="Q255" s="89" t="s">
        <v>2016</v>
      </c>
      <c r="R255" s="90">
        <v>1250</v>
      </c>
      <c r="S255" s="90">
        <v>3300</v>
      </c>
      <c r="T255" s="90">
        <v>1240</v>
      </c>
      <c r="U255" s="90">
        <v>1240</v>
      </c>
      <c r="V255" s="90">
        <v>3000</v>
      </c>
      <c r="W255" s="81">
        <v>1</v>
      </c>
      <c r="X255" s="82" t="s">
        <v>14</v>
      </c>
      <c r="Y255" s="83" t="s">
        <v>15</v>
      </c>
      <c r="Z255" s="84">
        <v>6</v>
      </c>
      <c r="AA255" s="85" t="s">
        <v>266</v>
      </c>
      <c r="AB255" s="86">
        <v>1500</v>
      </c>
      <c r="AC255" s="83"/>
      <c r="AD255" s="85"/>
      <c r="AE255" s="86"/>
      <c r="AF255" s="83"/>
      <c r="AG255" s="85"/>
      <c r="AH255" s="86"/>
      <c r="AI255" s="83"/>
      <c r="AJ255" s="85"/>
      <c r="AK255" s="86"/>
      <c r="AL255" s="87"/>
      <c r="AM255" s="88"/>
      <c r="AN255" s="88" t="s">
        <v>474</v>
      </c>
      <c r="AO255" s="230" t="str">
        <f t="shared" si="11"/>
        <v>3UNCERAWZ2625</v>
      </c>
    </row>
    <row r="256" spans="1:41" x14ac:dyDescent="0.15">
      <c r="A256" s="80">
        <v>4114</v>
      </c>
      <c r="B256" s="89">
        <v>271</v>
      </c>
      <c r="C256" s="89"/>
      <c r="D256" s="89" t="s">
        <v>2097</v>
      </c>
      <c r="E256" s="89" t="s">
        <v>11</v>
      </c>
      <c r="F256" s="89" t="s">
        <v>184</v>
      </c>
      <c r="G256" s="89" t="str">
        <f t="shared" si="12"/>
        <v>3UNCERAWZ26</v>
      </c>
      <c r="H256" s="89" t="s">
        <v>269</v>
      </c>
      <c r="I256" s="89" t="s">
        <v>1550</v>
      </c>
      <c r="J256" s="89" t="s">
        <v>21</v>
      </c>
      <c r="K256" s="89" t="s">
        <v>2094</v>
      </c>
      <c r="L256" s="89" t="s">
        <v>2095</v>
      </c>
      <c r="M256" s="89" t="str">
        <f t="shared" si="13"/>
        <v>3UNCERAWZ26251245</v>
      </c>
      <c r="N256" s="89" t="str">
        <f t="shared" si="14"/>
        <v>3UNCERAWZ26251240</v>
      </c>
      <c r="O256" s="90">
        <v>25</v>
      </c>
      <c r="P256" s="89">
        <v>3</v>
      </c>
      <c r="Q256" s="89" t="s">
        <v>2016</v>
      </c>
      <c r="R256" s="90">
        <v>1245</v>
      </c>
      <c r="S256" s="90">
        <v>3000</v>
      </c>
      <c r="T256" s="90">
        <v>1240</v>
      </c>
      <c r="U256" s="90">
        <v>1240</v>
      </c>
      <c r="V256" s="90">
        <v>3000</v>
      </c>
      <c r="W256" s="81">
        <v>1</v>
      </c>
      <c r="X256" s="82" t="s">
        <v>14</v>
      </c>
      <c r="Y256" s="83" t="s">
        <v>15</v>
      </c>
      <c r="Z256" s="84">
        <v>6</v>
      </c>
      <c r="AA256" s="85" t="s">
        <v>266</v>
      </c>
      <c r="AB256" s="86">
        <v>1500</v>
      </c>
      <c r="AC256" s="83"/>
      <c r="AD256" s="85"/>
      <c r="AE256" s="86"/>
      <c r="AF256" s="83"/>
      <c r="AG256" s="85"/>
      <c r="AH256" s="86"/>
      <c r="AI256" s="83"/>
      <c r="AJ256" s="85"/>
      <c r="AK256" s="86"/>
      <c r="AL256" s="87"/>
      <c r="AM256" s="88"/>
      <c r="AN256" s="88" t="s">
        <v>474</v>
      </c>
      <c r="AO256" s="230" t="str">
        <f t="shared" si="11"/>
        <v>3UNCERAWZ2625</v>
      </c>
    </row>
    <row r="257" spans="1:41" x14ac:dyDescent="0.15">
      <c r="A257" s="80">
        <v>4114</v>
      </c>
      <c r="B257" s="89">
        <v>271</v>
      </c>
      <c r="C257" s="89"/>
      <c r="D257" s="89" t="s">
        <v>2097</v>
      </c>
      <c r="E257" s="89" t="s">
        <v>11</v>
      </c>
      <c r="F257" s="89" t="s">
        <v>184</v>
      </c>
      <c r="G257" s="89" t="str">
        <f t="shared" si="12"/>
        <v>3UNCERAWZ26</v>
      </c>
      <c r="H257" s="89" t="s">
        <v>269</v>
      </c>
      <c r="I257" s="89" t="s">
        <v>1550</v>
      </c>
      <c r="J257" s="89" t="s">
        <v>21</v>
      </c>
      <c r="K257" s="89" t="s">
        <v>2094</v>
      </c>
      <c r="L257" s="89" t="s">
        <v>2095</v>
      </c>
      <c r="M257" s="89" t="str">
        <f t="shared" si="13"/>
        <v>3UNCERAWZ26381250</v>
      </c>
      <c r="N257" s="89" t="str">
        <f t="shared" si="14"/>
        <v>3UNCERAWZ26381240</v>
      </c>
      <c r="O257" s="90">
        <v>38</v>
      </c>
      <c r="P257" s="89">
        <v>3</v>
      </c>
      <c r="Q257" s="89" t="s">
        <v>2016</v>
      </c>
      <c r="R257" s="90">
        <v>1250</v>
      </c>
      <c r="S257" s="90">
        <v>1300</v>
      </c>
      <c r="T257" s="90">
        <v>1240</v>
      </c>
      <c r="U257" s="90">
        <v>1240</v>
      </c>
      <c r="V257" s="90">
        <v>3000</v>
      </c>
      <c r="W257" s="81">
        <v>1</v>
      </c>
      <c r="X257" s="82" t="s">
        <v>14</v>
      </c>
      <c r="Y257" s="83" t="s">
        <v>15</v>
      </c>
      <c r="Z257" s="84">
        <v>6</v>
      </c>
      <c r="AA257" s="85" t="s">
        <v>266</v>
      </c>
      <c r="AB257" s="86">
        <v>1500</v>
      </c>
      <c r="AC257" s="83"/>
      <c r="AD257" s="85"/>
      <c r="AE257" s="86"/>
      <c r="AF257" s="83"/>
      <c r="AG257" s="85"/>
      <c r="AH257" s="86"/>
      <c r="AI257" s="83"/>
      <c r="AJ257" s="85"/>
      <c r="AK257" s="86"/>
      <c r="AL257" s="87"/>
      <c r="AM257" s="88"/>
      <c r="AN257" s="88" t="s">
        <v>474</v>
      </c>
      <c r="AO257" s="230" t="str">
        <f t="shared" si="11"/>
        <v>3UNCERAWZ2638</v>
      </c>
    </row>
    <row r="258" spans="1:41" x14ac:dyDescent="0.15">
      <c r="A258" s="80">
        <v>4114</v>
      </c>
      <c r="B258" s="89">
        <v>271</v>
      </c>
      <c r="C258" s="89"/>
      <c r="D258" s="89" t="s">
        <v>2097</v>
      </c>
      <c r="E258" s="89" t="s">
        <v>11</v>
      </c>
      <c r="F258" s="89" t="s">
        <v>184</v>
      </c>
      <c r="G258" s="89" t="str">
        <f t="shared" si="12"/>
        <v>3UNCERAWZ26</v>
      </c>
      <c r="H258" s="89" t="s">
        <v>269</v>
      </c>
      <c r="I258" s="89" t="s">
        <v>1550</v>
      </c>
      <c r="J258" s="89" t="s">
        <v>21</v>
      </c>
      <c r="K258" s="89" t="s">
        <v>2094</v>
      </c>
      <c r="L258" s="89" t="s">
        <v>2095</v>
      </c>
      <c r="M258" s="89" t="str">
        <f t="shared" si="13"/>
        <v>3UNCERAWZ26251050</v>
      </c>
      <c r="N258" s="89" t="str">
        <f t="shared" si="14"/>
        <v>3UNCERAWZ26251040</v>
      </c>
      <c r="O258" s="90">
        <v>25</v>
      </c>
      <c r="P258" s="89">
        <v>3</v>
      </c>
      <c r="Q258" s="89" t="s">
        <v>2016</v>
      </c>
      <c r="R258" s="90">
        <v>1050</v>
      </c>
      <c r="S258" s="90">
        <v>1300</v>
      </c>
      <c r="T258" s="90">
        <v>1040</v>
      </c>
      <c r="U258" s="90">
        <v>1040</v>
      </c>
      <c r="V258" s="90">
        <v>1000</v>
      </c>
      <c r="W258" s="81">
        <v>1</v>
      </c>
      <c r="X258" s="82" t="s">
        <v>14</v>
      </c>
      <c r="Y258" s="83" t="s">
        <v>15</v>
      </c>
      <c r="Z258" s="84">
        <v>6</v>
      </c>
      <c r="AA258" s="85" t="s">
        <v>266</v>
      </c>
      <c r="AB258" s="86">
        <v>1500</v>
      </c>
      <c r="AC258" s="83"/>
      <c r="AD258" s="85"/>
      <c r="AE258" s="86"/>
      <c r="AF258" s="83"/>
      <c r="AG258" s="85"/>
      <c r="AH258" s="86"/>
      <c r="AI258" s="83"/>
      <c r="AJ258" s="85"/>
      <c r="AK258" s="86"/>
      <c r="AL258" s="87"/>
      <c r="AM258" s="88"/>
      <c r="AN258" s="88" t="s">
        <v>474</v>
      </c>
      <c r="AO258" s="230" t="str">
        <f t="shared" si="11"/>
        <v>3UNCERAWZ2625</v>
      </c>
    </row>
    <row r="259" spans="1:41" x14ac:dyDescent="0.15">
      <c r="A259" s="80">
        <v>4114</v>
      </c>
      <c r="B259" s="89">
        <v>271</v>
      </c>
      <c r="C259" s="89"/>
      <c r="D259" s="89" t="s">
        <v>2097</v>
      </c>
      <c r="E259" s="89" t="s">
        <v>11</v>
      </c>
      <c r="F259" s="89" t="s">
        <v>184</v>
      </c>
      <c r="G259" s="89" t="str">
        <f t="shared" si="12"/>
        <v>3UNCERAWZ48</v>
      </c>
      <c r="H259" s="89" t="s">
        <v>269</v>
      </c>
      <c r="I259" s="89" t="s">
        <v>1550</v>
      </c>
      <c r="J259" s="89" t="s">
        <v>21</v>
      </c>
      <c r="K259" s="89" t="s">
        <v>2098</v>
      </c>
      <c r="L259" s="89" t="s">
        <v>2099</v>
      </c>
      <c r="M259" s="89" t="str">
        <f t="shared" si="13"/>
        <v>3UNCERAWZ48501000</v>
      </c>
      <c r="N259" s="89" t="str">
        <f t="shared" si="14"/>
        <v>3UNCERAWZ48501000</v>
      </c>
      <c r="O259" s="90">
        <v>50</v>
      </c>
      <c r="P259" s="89">
        <v>3</v>
      </c>
      <c r="Q259" s="89" t="s">
        <v>2017</v>
      </c>
      <c r="R259" s="90">
        <v>1000</v>
      </c>
      <c r="S259" s="90">
        <v>500</v>
      </c>
      <c r="T259" s="90">
        <v>1000</v>
      </c>
      <c r="U259" s="90">
        <v>1000</v>
      </c>
      <c r="V259" s="90">
        <v>100</v>
      </c>
      <c r="W259" s="81">
        <v>1</v>
      </c>
      <c r="X259" s="82" t="s">
        <v>14</v>
      </c>
      <c r="Y259" s="83" t="s">
        <v>15</v>
      </c>
      <c r="Z259" s="84">
        <v>6</v>
      </c>
      <c r="AA259" s="85" t="s">
        <v>266</v>
      </c>
      <c r="AB259" s="86">
        <v>1500</v>
      </c>
      <c r="AC259" s="83"/>
      <c r="AD259" s="85"/>
      <c r="AE259" s="86"/>
      <c r="AF259" s="83"/>
      <c r="AG259" s="85"/>
      <c r="AH259" s="86"/>
      <c r="AI259" s="83"/>
      <c r="AJ259" s="85"/>
      <c r="AK259" s="86"/>
      <c r="AL259" s="87"/>
      <c r="AM259" s="88"/>
      <c r="AN259" s="88" t="s">
        <v>474</v>
      </c>
      <c r="AO259" s="230" t="str">
        <f t="shared" si="11"/>
        <v>3UNCERAWZ4850</v>
      </c>
    </row>
    <row r="260" spans="1:41" x14ac:dyDescent="0.15">
      <c r="A260" s="80">
        <v>4114</v>
      </c>
      <c r="B260" s="89">
        <v>272</v>
      </c>
      <c r="C260" s="89">
        <v>4641</v>
      </c>
      <c r="D260" s="89" t="s">
        <v>98</v>
      </c>
      <c r="E260" s="89" t="s">
        <v>45</v>
      </c>
      <c r="F260" s="89" t="s">
        <v>46</v>
      </c>
      <c r="G260" s="89" t="str">
        <f t="shared" si="12"/>
        <v>3UNCERASY08</v>
      </c>
      <c r="H260" s="89" t="s">
        <v>1662</v>
      </c>
      <c r="I260" s="89" t="s">
        <v>20</v>
      </c>
      <c r="J260" s="89" t="s">
        <v>21</v>
      </c>
      <c r="K260" s="89" t="s">
        <v>99</v>
      </c>
      <c r="L260" s="89" t="s">
        <v>100</v>
      </c>
      <c r="M260" s="89" t="str">
        <f t="shared" si="13"/>
        <v>3UNCERASY08251045</v>
      </c>
      <c r="N260" s="89" t="str">
        <f t="shared" si="14"/>
        <v>3UNCERASY0825500</v>
      </c>
      <c r="O260" s="90">
        <v>25</v>
      </c>
      <c r="P260" s="89">
        <v>3</v>
      </c>
      <c r="Q260" s="89" t="s">
        <v>19</v>
      </c>
      <c r="R260" s="90">
        <v>1045</v>
      </c>
      <c r="S260" s="90">
        <v>12400</v>
      </c>
      <c r="T260" s="90">
        <v>500</v>
      </c>
      <c r="U260" s="90">
        <v>500</v>
      </c>
      <c r="V260" s="90">
        <v>4000</v>
      </c>
      <c r="W260" s="81">
        <v>2</v>
      </c>
      <c r="X260" s="82" t="s">
        <v>14</v>
      </c>
      <c r="Y260" s="83" t="s">
        <v>295</v>
      </c>
      <c r="Z260" s="84">
        <v>6</v>
      </c>
      <c r="AA260" s="85" t="s">
        <v>24</v>
      </c>
      <c r="AB260" s="86">
        <v>1450</v>
      </c>
      <c r="AC260" s="83">
        <v>3</v>
      </c>
      <c r="AD260" s="85" t="s">
        <v>266</v>
      </c>
      <c r="AE260" s="86">
        <v>505</v>
      </c>
      <c r="AF260" s="83"/>
      <c r="AG260" s="85"/>
      <c r="AH260" s="86"/>
      <c r="AI260" s="83"/>
      <c r="AJ260" s="85"/>
      <c r="AK260" s="86"/>
      <c r="AL260" s="87"/>
      <c r="AM260" s="88"/>
      <c r="AN260" s="88" t="s">
        <v>471</v>
      </c>
      <c r="AO260" s="230" t="str">
        <f t="shared" si="11"/>
        <v>3UNCERASY0825</v>
      </c>
    </row>
    <row r="261" spans="1:41" x14ac:dyDescent="0.15">
      <c r="A261" s="80">
        <v>4114</v>
      </c>
      <c r="B261" s="89">
        <v>272</v>
      </c>
      <c r="C261" s="89">
        <v>4641</v>
      </c>
      <c r="D261" s="89" t="s">
        <v>98</v>
      </c>
      <c r="E261" s="89" t="s">
        <v>45</v>
      </c>
      <c r="F261" s="89" t="s">
        <v>46</v>
      </c>
      <c r="G261" s="89" t="str">
        <f t="shared" si="12"/>
        <v>3UNCERASY14</v>
      </c>
      <c r="H261" s="89" t="s">
        <v>1662</v>
      </c>
      <c r="I261" s="89" t="s">
        <v>20</v>
      </c>
      <c r="J261" s="89" t="s">
        <v>21</v>
      </c>
      <c r="K261" s="89" t="s">
        <v>2100</v>
      </c>
      <c r="L261" s="89" t="s">
        <v>2101</v>
      </c>
      <c r="M261" s="89" t="str">
        <f t="shared" si="13"/>
        <v>3UNCERASY14501240</v>
      </c>
      <c r="N261" s="89" t="str">
        <f t="shared" si="14"/>
        <v>3UNCERASY1450500</v>
      </c>
      <c r="O261" s="90">
        <v>50</v>
      </c>
      <c r="P261" s="89">
        <v>3</v>
      </c>
      <c r="Q261" s="89" t="s">
        <v>503</v>
      </c>
      <c r="R261" s="90">
        <v>1240</v>
      </c>
      <c r="S261" s="90">
        <v>4200</v>
      </c>
      <c r="T261" s="90">
        <v>500</v>
      </c>
      <c r="U261" s="90">
        <v>500</v>
      </c>
      <c r="V261" s="90">
        <v>100</v>
      </c>
      <c r="W261" s="81">
        <v>2</v>
      </c>
      <c r="X261" s="82" t="s">
        <v>14</v>
      </c>
      <c r="Y261" s="83" t="s">
        <v>295</v>
      </c>
      <c r="Z261" s="84">
        <v>6</v>
      </c>
      <c r="AA261" s="85" t="s">
        <v>24</v>
      </c>
      <c r="AB261" s="86">
        <v>1450</v>
      </c>
      <c r="AC261" s="83">
        <v>3</v>
      </c>
      <c r="AD261" s="85" t="s">
        <v>39</v>
      </c>
      <c r="AE261" s="86">
        <v>505</v>
      </c>
      <c r="AF261" s="83"/>
      <c r="AG261" s="85"/>
      <c r="AH261" s="86"/>
      <c r="AI261" s="83"/>
      <c r="AJ261" s="85"/>
      <c r="AK261" s="86"/>
      <c r="AL261" s="87"/>
      <c r="AM261" s="88"/>
      <c r="AN261" s="88" t="s">
        <v>471</v>
      </c>
      <c r="AO261" s="230" t="str">
        <f t="shared" si="11"/>
        <v>3UNCERASY1450</v>
      </c>
    </row>
    <row r="262" spans="1:41" x14ac:dyDescent="0.15">
      <c r="A262" s="80">
        <v>4114</v>
      </c>
      <c r="B262" s="89">
        <v>271</v>
      </c>
      <c r="C262" s="89">
        <v>2425</v>
      </c>
      <c r="D262" s="89" t="s">
        <v>101</v>
      </c>
      <c r="E262" s="89"/>
      <c r="F262" s="89" t="s">
        <v>2052</v>
      </c>
      <c r="G262" s="89" t="str">
        <f t="shared" si="12"/>
        <v>3UYCERASY18</v>
      </c>
      <c r="H262" s="89" t="s">
        <v>1662</v>
      </c>
      <c r="I262" s="89" t="s">
        <v>2036</v>
      </c>
      <c r="J262" s="89" t="s">
        <v>21</v>
      </c>
      <c r="K262" s="89" t="s">
        <v>2102</v>
      </c>
      <c r="L262" s="89" t="s">
        <v>2103</v>
      </c>
      <c r="M262" s="89" t="str">
        <f t="shared" si="13"/>
        <v>3UYCERASY18501050</v>
      </c>
      <c r="N262" s="89" t="str">
        <f t="shared" si="14"/>
        <v>3UYCERASY18501040</v>
      </c>
      <c r="O262" s="90">
        <v>50</v>
      </c>
      <c r="P262" s="89">
        <v>3</v>
      </c>
      <c r="Q262" s="89" t="s">
        <v>2018</v>
      </c>
      <c r="R262" s="90">
        <v>1050</v>
      </c>
      <c r="S262" s="90">
        <v>4000</v>
      </c>
      <c r="T262" s="90">
        <v>1040</v>
      </c>
      <c r="U262" s="90">
        <v>1040</v>
      </c>
      <c r="V262" s="90">
        <v>3800</v>
      </c>
      <c r="W262" s="81">
        <v>2</v>
      </c>
      <c r="X262" s="82" t="s">
        <v>14</v>
      </c>
      <c r="Y262" s="83" t="s">
        <v>15</v>
      </c>
      <c r="Z262" s="84">
        <v>6</v>
      </c>
      <c r="AA262" s="85" t="s">
        <v>16</v>
      </c>
      <c r="AB262" s="86">
        <v>1100</v>
      </c>
      <c r="AC262" s="83"/>
      <c r="AD262" s="85"/>
      <c r="AE262" s="86"/>
      <c r="AF262" s="83"/>
      <c r="AG262" s="85"/>
      <c r="AH262" s="86"/>
      <c r="AI262" s="83"/>
      <c r="AJ262" s="85"/>
      <c r="AK262" s="86"/>
      <c r="AL262" s="87"/>
      <c r="AM262" s="88"/>
      <c r="AN262" s="88" t="s">
        <v>471</v>
      </c>
      <c r="AO262" s="230" t="str">
        <f t="shared" si="11"/>
        <v>3UYCERASY1850</v>
      </c>
    </row>
    <row r="263" spans="1:41" x14ac:dyDescent="0.15">
      <c r="A263" s="80">
        <v>4114</v>
      </c>
      <c r="B263" s="89">
        <v>278</v>
      </c>
      <c r="C263" s="89"/>
      <c r="D263" s="89" t="s">
        <v>2104</v>
      </c>
      <c r="E263" s="89"/>
      <c r="F263" s="89" t="s">
        <v>184</v>
      </c>
      <c r="G263" s="89" t="str">
        <f t="shared" si="12"/>
        <v>3UYCERANS27121BM</v>
      </c>
      <c r="H263" s="89" t="s">
        <v>269</v>
      </c>
      <c r="I263" s="89" t="s">
        <v>2036</v>
      </c>
      <c r="J263" s="89" t="s">
        <v>132</v>
      </c>
      <c r="K263" s="89" t="s">
        <v>2105</v>
      </c>
      <c r="L263" s="89" t="s">
        <v>2106</v>
      </c>
      <c r="M263" s="89" t="str">
        <f t="shared" si="13"/>
        <v>3UYCERANS27121BM351265</v>
      </c>
      <c r="N263" s="89" t="str">
        <f t="shared" si="14"/>
        <v>3UYCERANS27121BM35395</v>
      </c>
      <c r="O263" s="90">
        <v>35</v>
      </c>
      <c r="P263" s="89">
        <v>3</v>
      </c>
      <c r="Q263" s="89" t="s">
        <v>2019</v>
      </c>
      <c r="R263" s="90">
        <v>1265</v>
      </c>
      <c r="S263" s="90">
        <v>3460</v>
      </c>
      <c r="T263" s="90">
        <v>395</v>
      </c>
      <c r="U263" s="90">
        <v>395</v>
      </c>
      <c r="V263" s="90">
        <v>260</v>
      </c>
      <c r="W263" s="81">
        <v>2</v>
      </c>
      <c r="X263" s="82" t="s">
        <v>142</v>
      </c>
      <c r="Y263" s="83" t="s">
        <v>2015</v>
      </c>
      <c r="Z263" s="84">
        <v>6</v>
      </c>
      <c r="AA263" s="85" t="s">
        <v>266</v>
      </c>
      <c r="AB263" s="86">
        <v>1450</v>
      </c>
      <c r="AC263" s="83">
        <v>3</v>
      </c>
      <c r="AD263" s="85" t="s">
        <v>459</v>
      </c>
      <c r="AE263" s="86">
        <v>395</v>
      </c>
      <c r="AF263" s="83"/>
      <c r="AG263" s="85"/>
      <c r="AH263" s="86"/>
      <c r="AI263" s="83"/>
      <c r="AJ263" s="85"/>
      <c r="AK263" s="86"/>
      <c r="AL263" s="87"/>
      <c r="AM263" s="88"/>
      <c r="AN263" s="88" t="s">
        <v>471</v>
      </c>
      <c r="AO263" s="230" t="str">
        <f t="shared" si="11"/>
        <v>3UYCERANS27121BM35</v>
      </c>
    </row>
    <row r="264" spans="1:41" x14ac:dyDescent="0.15">
      <c r="A264" s="80">
        <v>4114</v>
      </c>
      <c r="B264" s="89">
        <v>278</v>
      </c>
      <c r="C264" s="89"/>
      <c r="D264" s="89" t="s">
        <v>2104</v>
      </c>
      <c r="E264" s="89"/>
      <c r="F264" s="89" t="s">
        <v>184</v>
      </c>
      <c r="G264" s="89" t="str">
        <f t="shared" si="12"/>
        <v>3UYCERANS27121BM</v>
      </c>
      <c r="H264" s="89" t="s">
        <v>269</v>
      </c>
      <c r="I264" s="89" t="s">
        <v>2036</v>
      </c>
      <c r="J264" s="89" t="s">
        <v>132</v>
      </c>
      <c r="K264" s="89" t="s">
        <v>2105</v>
      </c>
      <c r="L264" s="89" t="s">
        <v>2106</v>
      </c>
      <c r="M264" s="89" t="str">
        <f t="shared" si="13"/>
        <v>3UYCERANS27121BM351240</v>
      </c>
      <c r="N264" s="89" t="str">
        <f t="shared" si="14"/>
        <v>3UYCERANS27121BM35395</v>
      </c>
      <c r="O264" s="90">
        <v>35</v>
      </c>
      <c r="P264" s="89">
        <v>3</v>
      </c>
      <c r="Q264" s="89" t="s">
        <v>2019</v>
      </c>
      <c r="R264" s="90">
        <v>1240</v>
      </c>
      <c r="S264" s="90">
        <v>1060</v>
      </c>
      <c r="T264" s="90">
        <v>395</v>
      </c>
      <c r="U264" s="90">
        <v>395</v>
      </c>
      <c r="V264" s="90">
        <v>260</v>
      </c>
      <c r="W264" s="81">
        <v>2</v>
      </c>
      <c r="X264" s="82" t="s">
        <v>142</v>
      </c>
      <c r="Y264" s="83" t="s">
        <v>2015</v>
      </c>
      <c r="Z264" s="84">
        <v>6</v>
      </c>
      <c r="AA264" s="85" t="s">
        <v>266</v>
      </c>
      <c r="AB264" s="86">
        <v>1450</v>
      </c>
      <c r="AC264" s="83">
        <v>3</v>
      </c>
      <c r="AD264" s="85" t="s">
        <v>459</v>
      </c>
      <c r="AE264" s="86">
        <v>395</v>
      </c>
      <c r="AF264" s="83"/>
      <c r="AG264" s="85"/>
      <c r="AH264" s="86"/>
      <c r="AI264" s="83"/>
      <c r="AJ264" s="85"/>
      <c r="AK264" s="86"/>
      <c r="AL264" s="87"/>
      <c r="AM264" s="88"/>
      <c r="AN264" s="88" t="s">
        <v>471</v>
      </c>
      <c r="AO264" s="230" t="str">
        <f t="shared" si="11"/>
        <v>3UYCERANS27121BM35</v>
      </c>
    </row>
    <row r="265" spans="1:41" x14ac:dyDescent="0.15">
      <c r="A265" s="80">
        <v>4114</v>
      </c>
      <c r="B265" s="89">
        <v>278</v>
      </c>
      <c r="C265" s="89"/>
      <c r="D265" s="89" t="s">
        <v>2104</v>
      </c>
      <c r="E265" s="89"/>
      <c r="F265" s="89" t="s">
        <v>184</v>
      </c>
      <c r="G265" s="89" t="str">
        <f t="shared" si="12"/>
        <v>3UYCERANS27121BM</v>
      </c>
      <c r="H265" s="89" t="s">
        <v>269</v>
      </c>
      <c r="I265" s="89" t="s">
        <v>2036</v>
      </c>
      <c r="J265" s="89" t="s">
        <v>132</v>
      </c>
      <c r="K265" s="89" t="s">
        <v>2105</v>
      </c>
      <c r="L265" s="89" t="s">
        <v>2106</v>
      </c>
      <c r="M265" s="89" t="str">
        <f t="shared" si="13"/>
        <v>3UYCERANS27121BM301265</v>
      </c>
      <c r="N265" s="89" t="str">
        <f t="shared" si="14"/>
        <v>3UYCERANS27121BM30394</v>
      </c>
      <c r="O265" s="90">
        <v>30</v>
      </c>
      <c r="P265" s="89">
        <v>3</v>
      </c>
      <c r="Q265" s="89" t="s">
        <v>2019</v>
      </c>
      <c r="R265" s="90">
        <v>1265</v>
      </c>
      <c r="S265" s="90">
        <v>1000</v>
      </c>
      <c r="T265" s="90">
        <v>394</v>
      </c>
      <c r="U265" s="90">
        <v>394</v>
      </c>
      <c r="V265" s="90">
        <v>260</v>
      </c>
      <c r="W265" s="81">
        <v>2</v>
      </c>
      <c r="X265" s="82" t="s">
        <v>142</v>
      </c>
      <c r="Y265" s="83" t="s">
        <v>2015</v>
      </c>
      <c r="Z265" s="84">
        <v>6</v>
      </c>
      <c r="AA265" s="85" t="s">
        <v>266</v>
      </c>
      <c r="AB265" s="86">
        <v>1450</v>
      </c>
      <c r="AC265" s="83">
        <v>3</v>
      </c>
      <c r="AD265" s="85" t="s">
        <v>459</v>
      </c>
      <c r="AE265" s="86">
        <v>395</v>
      </c>
      <c r="AF265" s="83"/>
      <c r="AG265" s="85"/>
      <c r="AH265" s="86"/>
      <c r="AI265" s="83"/>
      <c r="AJ265" s="85"/>
      <c r="AK265" s="86"/>
      <c r="AL265" s="87"/>
      <c r="AM265" s="88"/>
      <c r="AN265" s="88" t="s">
        <v>471</v>
      </c>
      <c r="AO265" s="230" t="str">
        <f t="shared" si="11"/>
        <v>3UYCERANS27121BM30</v>
      </c>
    </row>
    <row r="266" spans="1:41" x14ac:dyDescent="0.15">
      <c r="A266" s="80">
        <v>4114</v>
      </c>
      <c r="B266" s="89">
        <v>273</v>
      </c>
      <c r="C266" s="89"/>
      <c r="D266" s="89" t="s">
        <v>2107</v>
      </c>
      <c r="E266" s="89" t="s">
        <v>2108</v>
      </c>
      <c r="F266" s="89" t="s">
        <v>184</v>
      </c>
      <c r="G266" s="89" t="str">
        <f t="shared" si="12"/>
        <v>3UNCERANS10106</v>
      </c>
      <c r="H266" s="89" t="s">
        <v>269</v>
      </c>
      <c r="I266" s="89" t="s">
        <v>1550</v>
      </c>
      <c r="J266" s="89" t="s">
        <v>132</v>
      </c>
      <c r="K266" s="89">
        <v>10106</v>
      </c>
      <c r="L266" s="89" t="s">
        <v>2109</v>
      </c>
      <c r="M266" s="89" t="str">
        <f t="shared" si="13"/>
        <v>3UNCERANS101061881320</v>
      </c>
      <c r="N266" s="89" t="str">
        <f t="shared" si="14"/>
        <v>3UNCERANS101061881310</v>
      </c>
      <c r="O266" s="90">
        <v>188</v>
      </c>
      <c r="P266" s="89">
        <v>3</v>
      </c>
      <c r="Q266" s="89" t="s">
        <v>2020</v>
      </c>
      <c r="R266" s="90">
        <v>1320</v>
      </c>
      <c r="S266" s="90">
        <v>1200</v>
      </c>
      <c r="T266" s="90">
        <v>1310</v>
      </c>
      <c r="U266" s="90">
        <v>1310</v>
      </c>
      <c r="V266" s="90">
        <v>1000</v>
      </c>
      <c r="W266" s="81">
        <v>2</v>
      </c>
      <c r="X266" s="82" t="s">
        <v>142</v>
      </c>
      <c r="Y266" s="83" t="s">
        <v>15</v>
      </c>
      <c r="Z266" s="84">
        <v>6</v>
      </c>
      <c r="AA266" s="85" t="s">
        <v>16</v>
      </c>
      <c r="AB266" s="86">
        <v>1400</v>
      </c>
      <c r="AC266" s="139"/>
      <c r="AD266" s="126"/>
      <c r="AE266" s="92"/>
      <c r="AF266" s="83"/>
      <c r="AG266" s="85"/>
      <c r="AH266" s="86"/>
      <c r="AI266" s="83"/>
      <c r="AJ266" s="85"/>
      <c r="AK266" s="86"/>
      <c r="AL266" s="87"/>
      <c r="AM266" s="88"/>
      <c r="AN266" s="88" t="s">
        <v>471</v>
      </c>
      <c r="AO266" s="230" t="str">
        <f t="shared" si="11"/>
        <v>3UNCERANS10106188</v>
      </c>
    </row>
    <row r="267" spans="1:41" x14ac:dyDescent="0.15">
      <c r="A267" s="80">
        <v>4114</v>
      </c>
      <c r="B267" s="89">
        <v>271</v>
      </c>
      <c r="C267" s="89"/>
      <c r="D267" s="89" t="s">
        <v>2110</v>
      </c>
      <c r="E267" s="89" t="s">
        <v>11</v>
      </c>
      <c r="F267" s="89" t="s">
        <v>184</v>
      </c>
      <c r="G267" s="89" t="str">
        <f t="shared" si="12"/>
        <v>3UNCERANS27118</v>
      </c>
      <c r="H267" s="89" t="s">
        <v>269</v>
      </c>
      <c r="I267" s="89" t="s">
        <v>1550</v>
      </c>
      <c r="J267" s="89" t="s">
        <v>132</v>
      </c>
      <c r="K267" s="89">
        <v>27118</v>
      </c>
      <c r="L267" s="89" t="s">
        <v>2111</v>
      </c>
      <c r="M267" s="89" t="str">
        <f t="shared" si="13"/>
        <v>3UNCERANS27118381100</v>
      </c>
      <c r="N267" s="89" t="str">
        <f t="shared" si="14"/>
        <v>3UNCERANS27118381090</v>
      </c>
      <c r="O267" s="90">
        <v>38</v>
      </c>
      <c r="P267" s="89">
        <v>3</v>
      </c>
      <c r="Q267" s="89" t="s">
        <v>2018</v>
      </c>
      <c r="R267" s="90">
        <v>1100</v>
      </c>
      <c r="S267" s="90">
        <v>4000</v>
      </c>
      <c r="T267" s="90">
        <v>1090</v>
      </c>
      <c r="U267" s="90">
        <v>1090</v>
      </c>
      <c r="V267" s="90">
        <v>3800</v>
      </c>
      <c r="W267" s="81">
        <v>2</v>
      </c>
      <c r="X267" s="82" t="s">
        <v>142</v>
      </c>
      <c r="Y267" s="83" t="s">
        <v>15</v>
      </c>
      <c r="Z267" s="84">
        <v>6</v>
      </c>
      <c r="AA267" s="85" t="s">
        <v>16</v>
      </c>
      <c r="AB267" s="86">
        <v>1170</v>
      </c>
      <c r="AC267" s="139"/>
      <c r="AD267" s="126"/>
      <c r="AE267" s="92"/>
      <c r="AF267" s="83"/>
      <c r="AG267" s="85"/>
      <c r="AH267" s="86"/>
      <c r="AI267" s="83"/>
      <c r="AJ267" s="85"/>
      <c r="AK267" s="86"/>
      <c r="AL267" s="87"/>
      <c r="AM267" s="88"/>
      <c r="AN267" s="88" t="s">
        <v>471</v>
      </c>
      <c r="AO267" s="230" t="str">
        <f t="shared" si="11"/>
        <v>3UNCERANS2711838</v>
      </c>
    </row>
    <row r="268" spans="1:41" x14ac:dyDescent="0.15">
      <c r="A268" s="80">
        <v>4114</v>
      </c>
      <c r="B268" s="89">
        <v>271</v>
      </c>
      <c r="C268" s="89"/>
      <c r="D268" s="89" t="s">
        <v>2112</v>
      </c>
      <c r="E268" s="89" t="s">
        <v>11</v>
      </c>
      <c r="F268" s="89" t="s">
        <v>184</v>
      </c>
      <c r="G268" s="89" t="str">
        <f t="shared" si="12"/>
        <v>3UYCERANS27118</v>
      </c>
      <c r="H268" s="89" t="s">
        <v>269</v>
      </c>
      <c r="I268" s="89" t="s">
        <v>2036</v>
      </c>
      <c r="J268" s="89" t="s">
        <v>132</v>
      </c>
      <c r="K268" s="89">
        <v>27118</v>
      </c>
      <c r="L268" s="89" t="s">
        <v>2111</v>
      </c>
      <c r="M268" s="89" t="str">
        <f t="shared" si="13"/>
        <v>3UYCERANS27118751160</v>
      </c>
      <c r="N268" s="89" t="str">
        <f t="shared" si="14"/>
        <v>3UYCERANS27118751160</v>
      </c>
      <c r="O268" s="90">
        <v>75</v>
      </c>
      <c r="P268" s="89">
        <v>3</v>
      </c>
      <c r="Q268" s="89" t="s">
        <v>2018</v>
      </c>
      <c r="R268" s="90">
        <v>1160</v>
      </c>
      <c r="S268" s="90">
        <v>2000</v>
      </c>
      <c r="T268" s="90">
        <v>1160</v>
      </c>
      <c r="U268" s="90">
        <v>1160</v>
      </c>
      <c r="V268" s="90">
        <v>2000</v>
      </c>
      <c r="W268" s="81">
        <v>2</v>
      </c>
      <c r="X268" s="82" t="s">
        <v>142</v>
      </c>
      <c r="Y268" s="83" t="s">
        <v>295</v>
      </c>
      <c r="Z268" s="84">
        <v>6</v>
      </c>
      <c r="AA268" s="85" t="s">
        <v>266</v>
      </c>
      <c r="AB268" s="86">
        <v>1450</v>
      </c>
      <c r="AC268" s="139"/>
      <c r="AD268" s="126"/>
      <c r="AE268" s="92"/>
      <c r="AF268" s="83"/>
      <c r="AG268" s="85"/>
      <c r="AH268" s="86"/>
      <c r="AI268" s="83"/>
      <c r="AJ268" s="85"/>
      <c r="AK268" s="86"/>
      <c r="AL268" s="87"/>
      <c r="AM268" s="88"/>
      <c r="AN268" s="88" t="s">
        <v>471</v>
      </c>
      <c r="AO268" s="230" t="str">
        <f t="shared" si="11"/>
        <v>3UYCERANS2711875</v>
      </c>
    </row>
    <row r="269" spans="1:41" x14ac:dyDescent="0.15">
      <c r="A269" s="80">
        <v>4114</v>
      </c>
      <c r="B269" s="89">
        <v>271</v>
      </c>
      <c r="C269" s="89"/>
      <c r="D269" s="89" t="s">
        <v>2112</v>
      </c>
      <c r="E269" s="89" t="s">
        <v>11</v>
      </c>
      <c r="F269" s="89" t="s">
        <v>184</v>
      </c>
      <c r="G269" s="89" t="str">
        <f t="shared" si="12"/>
        <v>3UNCERANS27118</v>
      </c>
      <c r="H269" s="89" t="s">
        <v>269</v>
      </c>
      <c r="I269" s="89" t="s">
        <v>1550</v>
      </c>
      <c r="J269" s="89" t="s">
        <v>132</v>
      </c>
      <c r="K269" s="89">
        <v>27118</v>
      </c>
      <c r="L269" s="89" t="s">
        <v>2111</v>
      </c>
      <c r="M269" s="89" t="str">
        <f t="shared" si="13"/>
        <v>3UNCERANS27118751160</v>
      </c>
      <c r="N269" s="89" t="str">
        <f t="shared" si="14"/>
        <v>3UNCERANS27118751160</v>
      </c>
      <c r="O269" s="90">
        <v>75</v>
      </c>
      <c r="P269" s="89">
        <v>3</v>
      </c>
      <c r="Q269" s="89" t="s">
        <v>2018</v>
      </c>
      <c r="R269" s="90">
        <v>1160</v>
      </c>
      <c r="S269" s="90">
        <v>2000</v>
      </c>
      <c r="T269" s="90">
        <v>1160</v>
      </c>
      <c r="U269" s="90">
        <v>1160</v>
      </c>
      <c r="V269" s="90">
        <v>2000</v>
      </c>
      <c r="W269" s="81">
        <v>2</v>
      </c>
      <c r="X269" s="82" t="s">
        <v>142</v>
      </c>
      <c r="Y269" s="83" t="s">
        <v>295</v>
      </c>
      <c r="Z269" s="84">
        <v>6</v>
      </c>
      <c r="AA269" s="85" t="s">
        <v>266</v>
      </c>
      <c r="AB269" s="86">
        <v>1450</v>
      </c>
      <c r="AC269" s="139"/>
      <c r="AD269" s="126"/>
      <c r="AE269" s="92"/>
      <c r="AF269" s="83"/>
      <c r="AG269" s="85"/>
      <c r="AH269" s="86"/>
      <c r="AI269" s="83"/>
      <c r="AJ269" s="85"/>
      <c r="AK269" s="86"/>
      <c r="AL269" s="87"/>
      <c r="AM269" s="88"/>
      <c r="AN269" s="88" t="s">
        <v>471</v>
      </c>
      <c r="AO269" s="230" t="str">
        <f t="shared" si="11"/>
        <v>3UNCERANS2711875</v>
      </c>
    </row>
    <row r="270" spans="1:41" x14ac:dyDescent="0.15">
      <c r="A270" s="80">
        <v>4114</v>
      </c>
      <c r="B270" s="89">
        <v>271</v>
      </c>
      <c r="C270" s="89"/>
      <c r="D270" s="89" t="s">
        <v>2112</v>
      </c>
      <c r="E270" s="89" t="s">
        <v>11</v>
      </c>
      <c r="F270" s="89" t="s">
        <v>184</v>
      </c>
      <c r="G270" s="89" t="str">
        <f t="shared" si="12"/>
        <v>3UYCERANS27118</v>
      </c>
      <c r="H270" s="89" t="s">
        <v>269</v>
      </c>
      <c r="I270" s="89" t="s">
        <v>2036</v>
      </c>
      <c r="J270" s="89" t="s">
        <v>132</v>
      </c>
      <c r="K270" s="89">
        <v>27118</v>
      </c>
      <c r="L270" s="89" t="s">
        <v>2111</v>
      </c>
      <c r="M270" s="89" t="str">
        <f t="shared" si="13"/>
        <v>3UYCERANS27118751496</v>
      </c>
      <c r="N270" s="89" t="str">
        <f t="shared" si="14"/>
        <v>3UYCERANS27118751486</v>
      </c>
      <c r="O270" s="90">
        <v>75</v>
      </c>
      <c r="P270" s="89">
        <v>3</v>
      </c>
      <c r="Q270" s="89" t="s">
        <v>2018</v>
      </c>
      <c r="R270" s="90">
        <v>1496</v>
      </c>
      <c r="S270" s="90">
        <v>3000</v>
      </c>
      <c r="T270" s="90">
        <v>1486</v>
      </c>
      <c r="U270" s="90">
        <v>1486</v>
      </c>
      <c r="V270" s="90">
        <v>2900</v>
      </c>
      <c r="W270" s="81">
        <v>2</v>
      </c>
      <c r="X270" s="82" t="s">
        <v>142</v>
      </c>
      <c r="Y270" s="83" t="s">
        <v>15</v>
      </c>
      <c r="Z270" s="84">
        <v>6</v>
      </c>
      <c r="AA270" s="85" t="s">
        <v>16</v>
      </c>
      <c r="AB270" s="86">
        <v>1640</v>
      </c>
      <c r="AC270" s="139"/>
      <c r="AD270" s="126"/>
      <c r="AE270" s="92"/>
      <c r="AF270" s="83"/>
      <c r="AG270" s="85"/>
      <c r="AH270" s="86"/>
      <c r="AI270" s="83"/>
      <c r="AJ270" s="85"/>
      <c r="AK270" s="86"/>
      <c r="AL270" s="87"/>
      <c r="AM270" s="88"/>
      <c r="AN270" s="88" t="s">
        <v>471</v>
      </c>
      <c r="AO270" s="230" t="str">
        <f t="shared" si="11"/>
        <v>3UYCERANS2711875</v>
      </c>
    </row>
    <row r="271" spans="1:41" x14ac:dyDescent="0.15">
      <c r="A271" s="80">
        <v>4114</v>
      </c>
      <c r="B271" s="89">
        <v>271</v>
      </c>
      <c r="C271" s="89"/>
      <c r="D271" s="89" t="s">
        <v>2112</v>
      </c>
      <c r="E271" s="89" t="s">
        <v>11</v>
      </c>
      <c r="F271" s="89" t="s">
        <v>184</v>
      </c>
      <c r="G271" s="89" t="str">
        <f t="shared" si="12"/>
        <v>3UYCERANS27118MC</v>
      </c>
      <c r="H271" s="89" t="s">
        <v>269</v>
      </c>
      <c r="I271" s="89" t="s">
        <v>2036</v>
      </c>
      <c r="J271" s="89" t="s">
        <v>132</v>
      </c>
      <c r="K271" s="89" t="s">
        <v>2344</v>
      </c>
      <c r="L271" s="89" t="s">
        <v>2111</v>
      </c>
      <c r="M271" s="89" t="str">
        <f t="shared" si="13"/>
        <v>3UYCERANS27118MC751496</v>
      </c>
      <c r="N271" s="89" t="str">
        <f t="shared" si="14"/>
        <v>3UYCERANS27118MC751486</v>
      </c>
      <c r="O271" s="90">
        <v>75</v>
      </c>
      <c r="P271" s="89">
        <v>3</v>
      </c>
      <c r="Q271" s="89" t="s">
        <v>2018</v>
      </c>
      <c r="R271" s="90">
        <v>1496</v>
      </c>
      <c r="S271" s="90">
        <v>3000</v>
      </c>
      <c r="T271" s="90">
        <v>1486</v>
      </c>
      <c r="U271" s="90">
        <v>1486</v>
      </c>
      <c r="V271" s="90">
        <v>2900</v>
      </c>
      <c r="W271" s="81">
        <v>2</v>
      </c>
      <c r="X271" s="82" t="s">
        <v>142</v>
      </c>
      <c r="Y271" s="83" t="s">
        <v>15</v>
      </c>
      <c r="Z271" s="84">
        <v>6</v>
      </c>
      <c r="AA271" s="85" t="s">
        <v>16</v>
      </c>
      <c r="AB271" s="86">
        <v>1640</v>
      </c>
      <c r="AC271" s="139"/>
      <c r="AD271" s="126"/>
      <c r="AE271" s="92"/>
      <c r="AF271" s="83"/>
      <c r="AG271" s="85"/>
      <c r="AH271" s="86"/>
      <c r="AI271" s="83"/>
      <c r="AJ271" s="85"/>
      <c r="AK271" s="86"/>
      <c r="AL271" s="87"/>
      <c r="AM271" s="88"/>
      <c r="AN271" s="88" t="s">
        <v>471</v>
      </c>
      <c r="AO271" s="230" t="str">
        <f t="shared" si="11"/>
        <v>3UYCERANS27118MC75</v>
      </c>
    </row>
    <row r="272" spans="1:41" x14ac:dyDescent="0.15">
      <c r="A272" s="80">
        <v>4114</v>
      </c>
      <c r="B272" s="89">
        <v>271</v>
      </c>
      <c r="C272" s="89"/>
      <c r="D272" s="89" t="s">
        <v>2113</v>
      </c>
      <c r="E272" s="89" t="s">
        <v>11</v>
      </c>
      <c r="F272" s="89" t="s">
        <v>184</v>
      </c>
      <c r="G272" s="89" t="str">
        <f t="shared" si="12"/>
        <v>3UYCERANS27114</v>
      </c>
      <c r="H272" s="89" t="s">
        <v>269</v>
      </c>
      <c r="I272" s="89" t="s">
        <v>2036</v>
      </c>
      <c r="J272" s="89" t="s">
        <v>132</v>
      </c>
      <c r="K272" s="89">
        <v>27114</v>
      </c>
      <c r="L272" s="89" t="s">
        <v>2114</v>
      </c>
      <c r="M272" s="89" t="str">
        <f t="shared" si="13"/>
        <v>3UYCERANS27114501310</v>
      </c>
      <c r="N272" s="89" t="str">
        <f t="shared" si="14"/>
        <v>3UYCERANS27114501300</v>
      </c>
      <c r="O272" s="90">
        <v>50</v>
      </c>
      <c r="P272" s="89">
        <v>3</v>
      </c>
      <c r="Q272" s="89" t="s">
        <v>503</v>
      </c>
      <c r="R272" s="90">
        <v>1310</v>
      </c>
      <c r="S272" s="90">
        <v>6400</v>
      </c>
      <c r="T272" s="90">
        <v>1300</v>
      </c>
      <c r="U272" s="90">
        <v>1300</v>
      </c>
      <c r="V272" s="90">
        <v>6200</v>
      </c>
      <c r="W272" s="81">
        <v>2</v>
      </c>
      <c r="X272" s="82" t="s">
        <v>142</v>
      </c>
      <c r="Y272" s="83" t="s">
        <v>15</v>
      </c>
      <c r="Z272" s="84">
        <v>6</v>
      </c>
      <c r="AA272" s="85" t="s">
        <v>16</v>
      </c>
      <c r="AB272" s="86">
        <v>1400</v>
      </c>
      <c r="AC272" s="139"/>
      <c r="AD272" s="126"/>
      <c r="AE272" s="92"/>
      <c r="AF272" s="83"/>
      <c r="AG272" s="85"/>
      <c r="AH272" s="86"/>
      <c r="AI272" s="83"/>
      <c r="AJ272" s="85"/>
      <c r="AK272" s="86"/>
      <c r="AL272" s="87"/>
      <c r="AM272" s="88"/>
      <c r="AN272" s="88" t="s">
        <v>471</v>
      </c>
      <c r="AO272" s="230" t="str">
        <f t="shared" si="11"/>
        <v>3UYCERANS2711450</v>
      </c>
    </row>
    <row r="273" spans="1:41" x14ac:dyDescent="0.15">
      <c r="A273" s="80">
        <v>4114</v>
      </c>
      <c r="B273" s="89">
        <v>271</v>
      </c>
      <c r="C273" s="89"/>
      <c r="D273" s="89" t="s">
        <v>2112</v>
      </c>
      <c r="E273" s="89" t="s">
        <v>11</v>
      </c>
      <c r="F273" s="89" t="s">
        <v>184</v>
      </c>
      <c r="G273" s="89" t="str">
        <f t="shared" si="12"/>
        <v>3UYCERANS27114</v>
      </c>
      <c r="H273" s="89" t="s">
        <v>269</v>
      </c>
      <c r="I273" s="89" t="s">
        <v>2036</v>
      </c>
      <c r="J273" s="89" t="s">
        <v>132</v>
      </c>
      <c r="K273" s="89">
        <v>27114</v>
      </c>
      <c r="L273" s="89" t="s">
        <v>2114</v>
      </c>
      <c r="M273" s="89" t="str">
        <f t="shared" si="13"/>
        <v>3UYCERANS27114751410</v>
      </c>
      <c r="N273" s="89" t="str">
        <f t="shared" si="14"/>
        <v>3UYCERANS27114751400</v>
      </c>
      <c r="O273" s="90">
        <v>75</v>
      </c>
      <c r="P273" s="89">
        <v>3</v>
      </c>
      <c r="Q273" s="89" t="s">
        <v>2007</v>
      </c>
      <c r="R273" s="90">
        <v>1410</v>
      </c>
      <c r="S273" s="90">
        <v>4100</v>
      </c>
      <c r="T273" s="90">
        <v>1400</v>
      </c>
      <c r="U273" s="90">
        <v>1400</v>
      </c>
      <c r="V273" s="90">
        <v>4000</v>
      </c>
      <c r="W273" s="81">
        <v>2</v>
      </c>
      <c r="X273" s="82" t="s">
        <v>142</v>
      </c>
      <c r="Y273" s="83" t="s">
        <v>15</v>
      </c>
      <c r="Z273" s="84">
        <v>6</v>
      </c>
      <c r="AA273" s="85" t="s">
        <v>266</v>
      </c>
      <c r="AB273" s="86">
        <v>1450</v>
      </c>
      <c r="AC273" s="139"/>
      <c r="AD273" s="126"/>
      <c r="AE273" s="92"/>
      <c r="AF273" s="83"/>
      <c r="AG273" s="85"/>
      <c r="AH273" s="86"/>
      <c r="AI273" s="83"/>
      <c r="AJ273" s="85"/>
      <c r="AK273" s="86"/>
      <c r="AL273" s="87"/>
      <c r="AM273" s="88"/>
      <c r="AN273" s="88" t="s">
        <v>471</v>
      </c>
      <c r="AO273" s="230" t="str">
        <f t="shared" si="11"/>
        <v>3UYCERANS2711475</v>
      </c>
    </row>
    <row r="274" spans="1:41" x14ac:dyDescent="0.15">
      <c r="A274" s="80">
        <v>4114</v>
      </c>
      <c r="B274" s="89">
        <v>271</v>
      </c>
      <c r="C274" s="89"/>
      <c r="D274" s="89" t="s">
        <v>2112</v>
      </c>
      <c r="E274" s="89" t="s">
        <v>11</v>
      </c>
      <c r="F274" s="89" t="s">
        <v>184</v>
      </c>
      <c r="G274" s="89" t="str">
        <f t="shared" si="12"/>
        <v>3UYCERANS27114MA</v>
      </c>
      <c r="H274" s="89" t="s">
        <v>269</v>
      </c>
      <c r="I274" s="89" t="s">
        <v>2036</v>
      </c>
      <c r="J274" s="89" t="s">
        <v>132</v>
      </c>
      <c r="K274" s="89" t="s">
        <v>2115</v>
      </c>
      <c r="L274" s="89" t="s">
        <v>2114</v>
      </c>
      <c r="M274" s="89" t="str">
        <f t="shared" si="13"/>
        <v>3UYCERANS27114MA751410</v>
      </c>
      <c r="N274" s="89" t="str">
        <f t="shared" si="14"/>
        <v>3UYCERANS27114MA75685</v>
      </c>
      <c r="O274" s="90">
        <v>75</v>
      </c>
      <c r="P274" s="89">
        <v>3</v>
      </c>
      <c r="Q274" s="89" t="s">
        <v>2007</v>
      </c>
      <c r="R274" s="90">
        <v>1410</v>
      </c>
      <c r="S274" s="90">
        <v>4100</v>
      </c>
      <c r="T274" s="90">
        <v>685</v>
      </c>
      <c r="U274" s="90">
        <v>685</v>
      </c>
      <c r="V274" s="90">
        <v>2000</v>
      </c>
      <c r="W274" s="81">
        <v>2</v>
      </c>
      <c r="X274" s="82" t="s">
        <v>142</v>
      </c>
      <c r="Y274" s="83" t="s">
        <v>295</v>
      </c>
      <c r="Z274" s="84">
        <v>6</v>
      </c>
      <c r="AA274" s="85" t="s">
        <v>266</v>
      </c>
      <c r="AB274" s="86">
        <v>1450</v>
      </c>
      <c r="AC274" s="83">
        <v>3</v>
      </c>
      <c r="AD274" s="85" t="s">
        <v>459</v>
      </c>
      <c r="AE274" s="86">
        <v>700</v>
      </c>
      <c r="AF274" s="83"/>
      <c r="AG274" s="85"/>
      <c r="AH274" s="86"/>
      <c r="AI274" s="83"/>
      <c r="AJ274" s="85"/>
      <c r="AK274" s="86"/>
      <c r="AL274" s="87"/>
      <c r="AM274" s="88"/>
      <c r="AN274" s="88" t="s">
        <v>471</v>
      </c>
      <c r="AO274" s="230" t="str">
        <f t="shared" si="11"/>
        <v>3UYCERANS27114MA75</v>
      </c>
    </row>
    <row r="275" spans="1:41" x14ac:dyDescent="0.15">
      <c r="A275" s="80">
        <v>4113</v>
      </c>
      <c r="B275" s="89">
        <v>271</v>
      </c>
      <c r="C275" s="89"/>
      <c r="D275" s="89" t="s">
        <v>2112</v>
      </c>
      <c r="E275" s="89" t="s">
        <v>11</v>
      </c>
      <c r="F275" s="89" t="s">
        <v>184</v>
      </c>
      <c r="G275" s="89" t="str">
        <f t="shared" si="12"/>
        <v>3TYCERANS27114MA</v>
      </c>
      <c r="H275" s="89" t="s">
        <v>1653</v>
      </c>
      <c r="I275" s="89" t="s">
        <v>2036</v>
      </c>
      <c r="J275" s="89" t="s">
        <v>132</v>
      </c>
      <c r="K275" s="89" t="s">
        <v>2115</v>
      </c>
      <c r="L275" s="89" t="s">
        <v>2114</v>
      </c>
      <c r="M275" s="89" t="str">
        <f t="shared" si="13"/>
        <v>3TYCERANS27114MA751410</v>
      </c>
      <c r="N275" s="89" t="str">
        <f t="shared" si="14"/>
        <v>3TYCERANS27114MA75685</v>
      </c>
      <c r="O275" s="90">
        <v>75</v>
      </c>
      <c r="P275" s="89">
        <v>3</v>
      </c>
      <c r="Q275" s="89" t="s">
        <v>1996</v>
      </c>
      <c r="R275" s="90">
        <v>1410</v>
      </c>
      <c r="S275" s="90">
        <v>4100</v>
      </c>
      <c r="T275" s="90">
        <v>685</v>
      </c>
      <c r="U275" s="90">
        <v>685</v>
      </c>
      <c r="V275" s="90">
        <v>2000</v>
      </c>
      <c r="W275" s="81">
        <v>2</v>
      </c>
      <c r="X275" s="82" t="s">
        <v>142</v>
      </c>
      <c r="Y275" s="83" t="s">
        <v>295</v>
      </c>
      <c r="Z275" s="84">
        <v>6</v>
      </c>
      <c r="AA275" s="85" t="s">
        <v>266</v>
      </c>
      <c r="AB275" s="86">
        <v>1450</v>
      </c>
      <c r="AC275" s="83">
        <v>3</v>
      </c>
      <c r="AD275" s="85" t="s">
        <v>459</v>
      </c>
      <c r="AE275" s="86">
        <v>700</v>
      </c>
      <c r="AF275" s="83"/>
      <c r="AG275" s="85"/>
      <c r="AH275" s="86"/>
      <c r="AI275" s="83"/>
      <c r="AJ275" s="85"/>
      <c r="AK275" s="86"/>
      <c r="AL275" s="87"/>
      <c r="AM275" s="88"/>
      <c r="AN275" s="88" t="s">
        <v>471</v>
      </c>
      <c r="AO275" s="230" t="str">
        <f t="shared" si="11"/>
        <v>3TYCERANS27114MA75</v>
      </c>
    </row>
    <row r="276" spans="1:41" x14ac:dyDescent="0.15">
      <c r="A276" s="80">
        <v>4113</v>
      </c>
      <c r="B276" s="89">
        <v>271</v>
      </c>
      <c r="C276" s="89"/>
      <c r="D276" s="89" t="s">
        <v>2112</v>
      </c>
      <c r="E276" s="89" t="s">
        <v>11</v>
      </c>
      <c r="F276" s="89" t="s">
        <v>184</v>
      </c>
      <c r="G276" s="89" t="str">
        <f t="shared" si="12"/>
        <v>3TYCERANS27114MB</v>
      </c>
      <c r="H276" s="89" t="s">
        <v>1653</v>
      </c>
      <c r="I276" s="89" t="s">
        <v>2036</v>
      </c>
      <c r="J276" s="89" t="s">
        <v>132</v>
      </c>
      <c r="K276" s="89" t="s">
        <v>2116</v>
      </c>
      <c r="L276" s="89" t="s">
        <v>2114</v>
      </c>
      <c r="M276" s="89" t="str">
        <f t="shared" si="13"/>
        <v>3TYCERANS27114MB751410</v>
      </c>
      <c r="N276" s="89" t="str">
        <f t="shared" si="14"/>
        <v>3TYCERANS27114MB751400</v>
      </c>
      <c r="O276" s="90">
        <v>75</v>
      </c>
      <c r="P276" s="89">
        <v>3</v>
      </c>
      <c r="Q276" s="89" t="s">
        <v>1996</v>
      </c>
      <c r="R276" s="90">
        <v>1410</v>
      </c>
      <c r="S276" s="90">
        <v>4300</v>
      </c>
      <c r="T276" s="90">
        <v>1400</v>
      </c>
      <c r="U276" s="90">
        <v>1400</v>
      </c>
      <c r="V276" s="90">
        <v>4100</v>
      </c>
      <c r="W276" s="81">
        <v>2</v>
      </c>
      <c r="X276" s="82" t="s">
        <v>142</v>
      </c>
      <c r="Y276" s="83" t="s">
        <v>487</v>
      </c>
      <c r="Z276" s="84">
        <v>6</v>
      </c>
      <c r="AA276" s="85" t="s">
        <v>16</v>
      </c>
      <c r="AB276" s="86">
        <v>1500</v>
      </c>
      <c r="AC276" s="83"/>
      <c r="AD276" s="85"/>
      <c r="AE276" s="86"/>
      <c r="AF276" s="83"/>
      <c r="AG276" s="85"/>
      <c r="AH276" s="86"/>
      <c r="AI276" s="83"/>
      <c r="AJ276" s="85"/>
      <c r="AK276" s="86"/>
      <c r="AL276" s="87"/>
      <c r="AM276" s="88"/>
      <c r="AN276" s="88" t="s">
        <v>471</v>
      </c>
      <c r="AO276" s="230" t="str">
        <f t="shared" si="11"/>
        <v>3TYCERANS27114MB75</v>
      </c>
    </row>
    <row r="277" spans="1:41" x14ac:dyDescent="0.15">
      <c r="A277" s="80">
        <v>333</v>
      </c>
      <c r="B277" s="89">
        <v>271</v>
      </c>
      <c r="C277" s="89"/>
      <c r="D277" s="89" t="s">
        <v>2112</v>
      </c>
      <c r="E277" s="89" t="s">
        <v>11</v>
      </c>
      <c r="F277" s="89" t="s">
        <v>184</v>
      </c>
      <c r="G277" s="89" t="str">
        <f t="shared" si="12"/>
        <v>3SYCERANS27114MB</v>
      </c>
      <c r="H277" s="89" t="s">
        <v>1549</v>
      </c>
      <c r="I277" s="89" t="s">
        <v>2036</v>
      </c>
      <c r="J277" s="89" t="s">
        <v>132</v>
      </c>
      <c r="K277" s="89" t="s">
        <v>2116</v>
      </c>
      <c r="L277" s="89" t="s">
        <v>2114</v>
      </c>
      <c r="M277" s="89" t="str">
        <f t="shared" si="13"/>
        <v>3SYCERANS27114MB751410</v>
      </c>
      <c r="N277" s="89" t="str">
        <f t="shared" si="14"/>
        <v>3SYCERANS27114MB751400</v>
      </c>
      <c r="O277" s="90">
        <v>75</v>
      </c>
      <c r="P277" s="89">
        <v>3</v>
      </c>
      <c r="Q277" s="89" t="s">
        <v>1996</v>
      </c>
      <c r="R277" s="90">
        <v>1410</v>
      </c>
      <c r="S277" s="90">
        <v>4300</v>
      </c>
      <c r="T277" s="90">
        <v>1400</v>
      </c>
      <c r="U277" s="90">
        <v>1400</v>
      </c>
      <c r="V277" s="90">
        <v>4100</v>
      </c>
      <c r="W277" s="81">
        <v>2</v>
      </c>
      <c r="X277" s="82" t="s">
        <v>142</v>
      </c>
      <c r="Y277" s="83" t="s">
        <v>487</v>
      </c>
      <c r="Z277" s="84">
        <v>6</v>
      </c>
      <c r="AA277" s="85" t="s">
        <v>16</v>
      </c>
      <c r="AB277" s="86">
        <v>1500</v>
      </c>
      <c r="AC277" s="83"/>
      <c r="AD277" s="85"/>
      <c r="AE277" s="86"/>
      <c r="AF277" s="83"/>
      <c r="AG277" s="85"/>
      <c r="AH277" s="86"/>
      <c r="AI277" s="83"/>
      <c r="AJ277" s="85"/>
      <c r="AK277" s="86"/>
      <c r="AL277" s="87"/>
      <c r="AM277" s="88"/>
      <c r="AN277" s="88" t="s">
        <v>471</v>
      </c>
      <c r="AO277" s="230" t="str">
        <f t="shared" si="11"/>
        <v>3SYCERANS27114MB75</v>
      </c>
    </row>
    <row r="278" spans="1:41" x14ac:dyDescent="0.15">
      <c r="A278" s="80">
        <v>4114</v>
      </c>
      <c r="B278" s="89">
        <v>271</v>
      </c>
      <c r="C278" s="89"/>
      <c r="D278" s="89" t="s">
        <v>2112</v>
      </c>
      <c r="E278" s="89" t="s">
        <v>11</v>
      </c>
      <c r="F278" s="89" t="s">
        <v>184</v>
      </c>
      <c r="G278" s="89" t="str">
        <f t="shared" si="12"/>
        <v>3UYCERANS27114</v>
      </c>
      <c r="H278" s="89" t="s">
        <v>269</v>
      </c>
      <c r="I278" s="89" t="s">
        <v>2036</v>
      </c>
      <c r="J278" s="89" t="s">
        <v>132</v>
      </c>
      <c r="K278" s="89">
        <v>27114</v>
      </c>
      <c r="L278" s="89" t="s">
        <v>2114</v>
      </c>
      <c r="M278" s="89" t="str">
        <f t="shared" si="13"/>
        <v>3UYCERANS27114501310</v>
      </c>
      <c r="N278" s="89" t="str">
        <f t="shared" si="14"/>
        <v>3UYCERANS27114501300</v>
      </c>
      <c r="O278" s="90">
        <v>50</v>
      </c>
      <c r="P278" s="89">
        <v>3</v>
      </c>
      <c r="Q278" s="89" t="s">
        <v>503</v>
      </c>
      <c r="R278" s="90">
        <v>1310</v>
      </c>
      <c r="S278" s="90">
        <v>6400</v>
      </c>
      <c r="T278" s="90">
        <v>1300</v>
      </c>
      <c r="U278" s="90">
        <v>1300</v>
      </c>
      <c r="V278" s="90">
        <v>1000</v>
      </c>
      <c r="W278" s="81">
        <v>2</v>
      </c>
      <c r="X278" s="82" t="s">
        <v>142</v>
      </c>
      <c r="Y278" s="83" t="s">
        <v>15</v>
      </c>
      <c r="Z278" s="84">
        <v>6</v>
      </c>
      <c r="AA278" s="85" t="s">
        <v>266</v>
      </c>
      <c r="AB278" s="86">
        <v>1450</v>
      </c>
      <c r="AC278" s="139"/>
      <c r="AD278" s="126"/>
      <c r="AE278" s="92"/>
      <c r="AF278" s="83"/>
      <c r="AG278" s="85"/>
      <c r="AH278" s="86"/>
      <c r="AI278" s="83"/>
      <c r="AJ278" s="85"/>
      <c r="AK278" s="86"/>
      <c r="AL278" s="87"/>
      <c r="AM278" s="88"/>
      <c r="AN278" s="88" t="s">
        <v>471</v>
      </c>
      <c r="AO278" s="230" t="str">
        <f t="shared" si="11"/>
        <v>3UYCERANS2711450</v>
      </c>
    </row>
    <row r="279" spans="1:41" x14ac:dyDescent="0.15">
      <c r="A279" s="80">
        <v>4114</v>
      </c>
      <c r="B279" s="89">
        <v>271</v>
      </c>
      <c r="C279" s="89"/>
      <c r="D279" s="89" t="s">
        <v>2112</v>
      </c>
      <c r="E279" s="89" t="s">
        <v>11</v>
      </c>
      <c r="F279" s="89" t="s">
        <v>184</v>
      </c>
      <c r="G279" s="89" t="str">
        <f t="shared" si="12"/>
        <v>3UYCERANS27114</v>
      </c>
      <c r="H279" s="89" t="s">
        <v>269</v>
      </c>
      <c r="I279" s="89" t="s">
        <v>2036</v>
      </c>
      <c r="J279" s="89" t="s">
        <v>132</v>
      </c>
      <c r="K279" s="89">
        <v>27114</v>
      </c>
      <c r="L279" s="89" t="s">
        <v>2114</v>
      </c>
      <c r="M279" s="89" t="str">
        <f t="shared" si="13"/>
        <v>3UYCERANS27114501310</v>
      </c>
      <c r="N279" s="89" t="str">
        <f t="shared" si="14"/>
        <v>3UYCERANS27114501300</v>
      </c>
      <c r="O279" s="90">
        <v>50</v>
      </c>
      <c r="P279" s="89">
        <v>3</v>
      </c>
      <c r="Q279" s="89" t="s">
        <v>503</v>
      </c>
      <c r="R279" s="90">
        <v>1310</v>
      </c>
      <c r="S279" s="90">
        <v>6400</v>
      </c>
      <c r="T279" s="90">
        <v>1300</v>
      </c>
      <c r="U279" s="90">
        <v>1300</v>
      </c>
      <c r="V279" s="90">
        <v>5200</v>
      </c>
      <c r="W279" s="81">
        <v>2</v>
      </c>
      <c r="X279" s="82" t="s">
        <v>142</v>
      </c>
      <c r="Y279" s="83" t="s">
        <v>15</v>
      </c>
      <c r="Z279" s="84">
        <v>6</v>
      </c>
      <c r="AA279" s="85" t="s">
        <v>266</v>
      </c>
      <c r="AB279" s="86">
        <v>1450</v>
      </c>
      <c r="AC279" s="139"/>
      <c r="AD279" s="126"/>
      <c r="AE279" s="92"/>
      <c r="AF279" s="83"/>
      <c r="AG279" s="85"/>
      <c r="AH279" s="86"/>
      <c r="AI279" s="83"/>
      <c r="AJ279" s="85"/>
      <c r="AK279" s="86"/>
      <c r="AL279" s="87"/>
      <c r="AM279" s="88"/>
      <c r="AN279" s="88" t="s">
        <v>471</v>
      </c>
      <c r="AO279" s="230" t="str">
        <f t="shared" si="11"/>
        <v>3UYCERANS2711450</v>
      </c>
    </row>
    <row r="280" spans="1:41" x14ac:dyDescent="0.15">
      <c r="A280" s="80">
        <v>4114</v>
      </c>
      <c r="B280" s="89">
        <v>271</v>
      </c>
      <c r="C280" s="89"/>
      <c r="D280" s="89" t="s">
        <v>2112</v>
      </c>
      <c r="E280" s="89" t="s">
        <v>11</v>
      </c>
      <c r="F280" s="89" t="s">
        <v>184</v>
      </c>
      <c r="G280" s="89" t="str">
        <f t="shared" si="12"/>
        <v>3UNCERANS27114</v>
      </c>
      <c r="H280" s="89" t="s">
        <v>269</v>
      </c>
      <c r="I280" s="89" t="s">
        <v>1550</v>
      </c>
      <c r="J280" s="89" t="s">
        <v>132</v>
      </c>
      <c r="K280" s="89">
        <v>27114</v>
      </c>
      <c r="L280" s="89" t="s">
        <v>2114</v>
      </c>
      <c r="M280" s="89" t="str">
        <f t="shared" si="13"/>
        <v>3UNCERANS27114501310</v>
      </c>
      <c r="N280" s="89" t="str">
        <f t="shared" si="14"/>
        <v>3UNCERANS2711450300</v>
      </c>
      <c r="O280" s="90">
        <v>50</v>
      </c>
      <c r="P280" s="89">
        <v>3</v>
      </c>
      <c r="Q280" s="89" t="s">
        <v>503</v>
      </c>
      <c r="R280" s="90">
        <v>1310</v>
      </c>
      <c r="S280" s="90">
        <v>6400</v>
      </c>
      <c r="T280" s="90">
        <v>300</v>
      </c>
      <c r="U280" s="90">
        <v>300</v>
      </c>
      <c r="V280" s="90">
        <v>150</v>
      </c>
      <c r="W280" s="81">
        <v>2</v>
      </c>
      <c r="X280" s="82" t="s">
        <v>142</v>
      </c>
      <c r="Y280" s="83" t="s">
        <v>295</v>
      </c>
      <c r="Z280" s="84">
        <v>6</v>
      </c>
      <c r="AA280" s="85" t="s">
        <v>266</v>
      </c>
      <c r="AB280" s="86">
        <v>1450</v>
      </c>
      <c r="AC280" s="83">
        <v>3</v>
      </c>
      <c r="AD280" s="85" t="s">
        <v>459</v>
      </c>
      <c r="AE280" s="86">
        <v>322</v>
      </c>
      <c r="AF280" s="83"/>
      <c r="AG280" s="85"/>
      <c r="AH280" s="86"/>
      <c r="AI280" s="83"/>
      <c r="AJ280" s="85"/>
      <c r="AK280" s="86"/>
      <c r="AL280" s="87"/>
      <c r="AM280" s="88"/>
      <c r="AN280" s="88" t="s">
        <v>471</v>
      </c>
      <c r="AO280" s="230" t="str">
        <f t="shared" si="11"/>
        <v>3UNCERANS2711450</v>
      </c>
    </row>
    <row r="281" spans="1:41" x14ac:dyDescent="0.15">
      <c r="A281" s="80">
        <v>4114</v>
      </c>
      <c r="B281" s="89">
        <v>271</v>
      </c>
      <c r="C281" s="89"/>
      <c r="D281" s="89" t="s">
        <v>2112</v>
      </c>
      <c r="E281" s="89" t="s">
        <v>11</v>
      </c>
      <c r="F281" s="89" t="s">
        <v>184</v>
      </c>
      <c r="G281" s="89" t="str">
        <f t="shared" si="12"/>
        <v>3UNCERANS27114</v>
      </c>
      <c r="H281" s="89" t="s">
        <v>269</v>
      </c>
      <c r="I281" s="89" t="s">
        <v>1550</v>
      </c>
      <c r="J281" s="89" t="s">
        <v>132</v>
      </c>
      <c r="K281" s="89">
        <v>27114</v>
      </c>
      <c r="L281" s="89" t="s">
        <v>2114</v>
      </c>
      <c r="M281" s="89" t="str">
        <f t="shared" si="13"/>
        <v>3UNCERANS27114501310</v>
      </c>
      <c r="N281" s="89" t="str">
        <f t="shared" si="14"/>
        <v>3UNCERANS2711450650</v>
      </c>
      <c r="O281" s="90">
        <v>50</v>
      </c>
      <c r="P281" s="89">
        <v>3</v>
      </c>
      <c r="Q281" s="89" t="s">
        <v>503</v>
      </c>
      <c r="R281" s="90">
        <v>1310</v>
      </c>
      <c r="S281" s="90">
        <v>6400</v>
      </c>
      <c r="T281" s="90">
        <v>650</v>
      </c>
      <c r="U281" s="90">
        <v>650</v>
      </c>
      <c r="V281" s="90">
        <v>150</v>
      </c>
      <c r="W281" s="81">
        <v>2</v>
      </c>
      <c r="X281" s="82" t="s">
        <v>142</v>
      </c>
      <c r="Y281" s="83" t="s">
        <v>295</v>
      </c>
      <c r="Z281" s="84">
        <v>6</v>
      </c>
      <c r="AA281" s="85" t="s">
        <v>266</v>
      </c>
      <c r="AB281" s="86">
        <v>1450</v>
      </c>
      <c r="AC281" s="83">
        <v>3</v>
      </c>
      <c r="AD281" s="85" t="s">
        <v>459</v>
      </c>
      <c r="AE281" s="86">
        <v>700</v>
      </c>
      <c r="AF281" s="83"/>
      <c r="AG281" s="85"/>
      <c r="AH281" s="86"/>
      <c r="AI281" s="83"/>
      <c r="AJ281" s="85"/>
      <c r="AK281" s="86"/>
      <c r="AL281" s="87"/>
      <c r="AM281" s="88"/>
      <c r="AN281" s="88" t="s">
        <v>471</v>
      </c>
      <c r="AO281" s="230" t="str">
        <f t="shared" si="11"/>
        <v>3UNCERANS2711450</v>
      </c>
    </row>
    <row r="282" spans="1:41" x14ac:dyDescent="0.15">
      <c r="A282" s="80">
        <v>4114</v>
      </c>
      <c r="B282" s="89">
        <v>271</v>
      </c>
      <c r="C282" s="89"/>
      <c r="D282" s="89" t="s">
        <v>2112</v>
      </c>
      <c r="E282" s="89" t="s">
        <v>11</v>
      </c>
      <c r="F282" s="89" t="s">
        <v>184</v>
      </c>
      <c r="G282" s="89" t="str">
        <f t="shared" si="12"/>
        <v>3UYCERANS27114</v>
      </c>
      <c r="H282" s="89" t="s">
        <v>269</v>
      </c>
      <c r="I282" s="89" t="s">
        <v>2036</v>
      </c>
      <c r="J282" s="89" t="s">
        <v>132</v>
      </c>
      <c r="K282" s="89">
        <v>27114</v>
      </c>
      <c r="L282" s="89" t="s">
        <v>2114</v>
      </c>
      <c r="M282" s="89" t="str">
        <f t="shared" si="13"/>
        <v>3UYCERANS27114751310</v>
      </c>
      <c r="N282" s="89" t="str">
        <f t="shared" si="14"/>
        <v>3UYCERANS2711475180</v>
      </c>
      <c r="O282" s="90">
        <v>75</v>
      </c>
      <c r="P282" s="89">
        <v>3</v>
      </c>
      <c r="Q282" s="89" t="s">
        <v>1996</v>
      </c>
      <c r="R282" s="90">
        <v>1310</v>
      </c>
      <c r="S282" s="90">
        <v>4500</v>
      </c>
      <c r="T282" s="90">
        <v>180</v>
      </c>
      <c r="U282" s="90">
        <v>180</v>
      </c>
      <c r="V282" s="90">
        <v>2000</v>
      </c>
      <c r="W282" s="81">
        <v>2</v>
      </c>
      <c r="X282" s="82" t="s">
        <v>142</v>
      </c>
      <c r="Y282" s="83" t="s">
        <v>295</v>
      </c>
      <c r="Z282" s="84">
        <v>6</v>
      </c>
      <c r="AA282" s="85" t="s">
        <v>266</v>
      </c>
      <c r="AB282" s="86">
        <v>1450</v>
      </c>
      <c r="AC282" s="139"/>
      <c r="AD282" s="126"/>
      <c r="AE282" s="92">
        <v>180</v>
      </c>
      <c r="AF282" s="83"/>
      <c r="AG282" s="85"/>
      <c r="AH282" s="86"/>
      <c r="AI282" s="83"/>
      <c r="AJ282" s="85"/>
      <c r="AK282" s="86"/>
      <c r="AL282" s="87"/>
      <c r="AM282" s="88" t="s">
        <v>270</v>
      </c>
      <c r="AN282" s="88" t="s">
        <v>471</v>
      </c>
      <c r="AO282" s="230" t="str">
        <f t="shared" si="11"/>
        <v>3UYCERANS2711475</v>
      </c>
    </row>
    <row r="283" spans="1:41" x14ac:dyDescent="0.15">
      <c r="A283" s="80">
        <v>4114</v>
      </c>
      <c r="B283" s="89">
        <v>271</v>
      </c>
      <c r="C283" s="89"/>
      <c r="D283" s="89" t="s">
        <v>2112</v>
      </c>
      <c r="E283" s="89" t="s">
        <v>11</v>
      </c>
      <c r="F283" s="89" t="s">
        <v>184</v>
      </c>
      <c r="G283" s="89" t="str">
        <f t="shared" si="12"/>
        <v>3UYCERANS27114</v>
      </c>
      <c r="H283" s="89" t="s">
        <v>269</v>
      </c>
      <c r="I283" s="89" t="s">
        <v>2036</v>
      </c>
      <c r="J283" s="89" t="s">
        <v>132</v>
      </c>
      <c r="K283" s="89">
        <v>27114</v>
      </c>
      <c r="L283" s="89" t="s">
        <v>2114</v>
      </c>
      <c r="M283" s="89" t="str">
        <f t="shared" si="13"/>
        <v>3UYCERANS27114751310</v>
      </c>
      <c r="N283" s="89" t="str">
        <f t="shared" si="14"/>
        <v>3UYCERANS2711475240</v>
      </c>
      <c r="O283" s="90">
        <v>75</v>
      </c>
      <c r="P283" s="89">
        <v>3</v>
      </c>
      <c r="Q283" s="89" t="s">
        <v>1996</v>
      </c>
      <c r="R283" s="90">
        <v>1310</v>
      </c>
      <c r="S283" s="90">
        <v>4500</v>
      </c>
      <c r="T283" s="90">
        <v>240</v>
      </c>
      <c r="U283" s="90">
        <v>240</v>
      </c>
      <c r="V283" s="90">
        <v>2000</v>
      </c>
      <c r="W283" s="81">
        <v>2</v>
      </c>
      <c r="X283" s="82" t="s">
        <v>142</v>
      </c>
      <c r="Y283" s="83" t="s">
        <v>295</v>
      </c>
      <c r="Z283" s="84">
        <v>6</v>
      </c>
      <c r="AA283" s="85" t="s">
        <v>266</v>
      </c>
      <c r="AB283" s="86">
        <v>1450</v>
      </c>
      <c r="AC283" s="139"/>
      <c r="AD283" s="126"/>
      <c r="AE283" s="92">
        <v>240</v>
      </c>
      <c r="AF283" s="83"/>
      <c r="AG283" s="85"/>
      <c r="AH283" s="86"/>
      <c r="AI283" s="83"/>
      <c r="AJ283" s="85"/>
      <c r="AK283" s="86"/>
      <c r="AL283" s="87"/>
      <c r="AM283" s="88" t="s">
        <v>270</v>
      </c>
      <c r="AN283" s="88" t="s">
        <v>471</v>
      </c>
      <c r="AO283" s="230" t="str">
        <f t="shared" si="11"/>
        <v>3UYCERANS2711475</v>
      </c>
    </row>
    <row r="284" spans="1:41" x14ac:dyDescent="0.15">
      <c r="A284" s="80">
        <v>4114</v>
      </c>
      <c r="B284" s="89">
        <v>271</v>
      </c>
      <c r="C284" s="89"/>
      <c r="D284" s="89" t="s">
        <v>2112</v>
      </c>
      <c r="E284" s="89" t="s">
        <v>11</v>
      </c>
      <c r="F284" s="89" t="s">
        <v>184</v>
      </c>
      <c r="G284" s="89" t="str">
        <f t="shared" si="12"/>
        <v>3UYCERANS27114</v>
      </c>
      <c r="H284" s="89" t="s">
        <v>269</v>
      </c>
      <c r="I284" s="89" t="s">
        <v>2036</v>
      </c>
      <c r="J284" s="89" t="s">
        <v>132</v>
      </c>
      <c r="K284" s="89">
        <v>27114</v>
      </c>
      <c r="L284" s="89" t="s">
        <v>2114</v>
      </c>
      <c r="M284" s="89" t="str">
        <f t="shared" si="13"/>
        <v>3UYCERANS27114751310</v>
      </c>
      <c r="N284" s="89" t="str">
        <f t="shared" si="14"/>
        <v>3UYCERANS2711475280</v>
      </c>
      <c r="O284" s="90">
        <v>75</v>
      </c>
      <c r="P284" s="89">
        <v>3</v>
      </c>
      <c r="Q284" s="89" t="s">
        <v>1996</v>
      </c>
      <c r="R284" s="90">
        <v>1310</v>
      </c>
      <c r="S284" s="90">
        <v>4500</v>
      </c>
      <c r="T284" s="90">
        <v>280</v>
      </c>
      <c r="U284" s="90">
        <v>280</v>
      </c>
      <c r="V284" s="90">
        <v>2000</v>
      </c>
      <c r="W284" s="81">
        <v>2</v>
      </c>
      <c r="X284" s="82" t="s">
        <v>142</v>
      </c>
      <c r="Y284" s="83" t="s">
        <v>295</v>
      </c>
      <c r="Z284" s="84">
        <v>6</v>
      </c>
      <c r="AA284" s="85" t="s">
        <v>266</v>
      </c>
      <c r="AB284" s="86">
        <v>1450</v>
      </c>
      <c r="AC284" s="139"/>
      <c r="AD284" s="126"/>
      <c r="AE284" s="92">
        <v>280</v>
      </c>
      <c r="AF284" s="83"/>
      <c r="AG284" s="85"/>
      <c r="AH284" s="86"/>
      <c r="AI284" s="83"/>
      <c r="AJ284" s="85"/>
      <c r="AK284" s="86"/>
      <c r="AL284" s="87"/>
      <c r="AM284" s="88" t="s">
        <v>271</v>
      </c>
      <c r="AN284" s="88" t="s">
        <v>471</v>
      </c>
      <c r="AO284" s="230" t="str">
        <f t="shared" si="11"/>
        <v>3UYCERANS2711475</v>
      </c>
    </row>
    <row r="285" spans="1:41" x14ac:dyDescent="0.15">
      <c r="A285" s="80">
        <v>4114</v>
      </c>
      <c r="B285" s="89">
        <v>271</v>
      </c>
      <c r="C285" s="89"/>
      <c r="D285" s="89" t="s">
        <v>2112</v>
      </c>
      <c r="E285" s="89" t="s">
        <v>11</v>
      </c>
      <c r="F285" s="89" t="s">
        <v>184</v>
      </c>
      <c r="G285" s="89" t="str">
        <f t="shared" si="12"/>
        <v>3UYCERANS27114</v>
      </c>
      <c r="H285" s="89" t="s">
        <v>269</v>
      </c>
      <c r="I285" s="89" t="s">
        <v>2036</v>
      </c>
      <c r="J285" s="89" t="s">
        <v>132</v>
      </c>
      <c r="K285" s="89">
        <v>27114</v>
      </c>
      <c r="L285" s="89" t="s">
        <v>2114</v>
      </c>
      <c r="M285" s="89" t="str">
        <f t="shared" si="13"/>
        <v>3UYCERANS27114751310</v>
      </c>
      <c r="N285" s="89" t="str">
        <f t="shared" si="14"/>
        <v>3UYCERANS2711475305</v>
      </c>
      <c r="O285" s="90">
        <v>75</v>
      </c>
      <c r="P285" s="89">
        <v>3</v>
      </c>
      <c r="Q285" s="89" t="s">
        <v>1996</v>
      </c>
      <c r="R285" s="90">
        <v>1310</v>
      </c>
      <c r="S285" s="90">
        <v>4500</v>
      </c>
      <c r="T285" s="90">
        <v>305</v>
      </c>
      <c r="U285" s="90">
        <v>305</v>
      </c>
      <c r="V285" s="90">
        <v>2000</v>
      </c>
      <c r="W285" s="81">
        <v>2</v>
      </c>
      <c r="X285" s="82" t="s">
        <v>142</v>
      </c>
      <c r="Y285" s="83" t="s">
        <v>295</v>
      </c>
      <c r="Z285" s="84">
        <v>6</v>
      </c>
      <c r="AA285" s="85" t="s">
        <v>266</v>
      </c>
      <c r="AB285" s="86">
        <v>1450</v>
      </c>
      <c r="AC285" s="139"/>
      <c r="AD285" s="126"/>
      <c r="AE285" s="92">
        <v>305</v>
      </c>
      <c r="AF285" s="83"/>
      <c r="AG285" s="85"/>
      <c r="AH285" s="86"/>
      <c r="AI285" s="83"/>
      <c r="AJ285" s="85"/>
      <c r="AK285" s="86"/>
      <c r="AL285" s="87"/>
      <c r="AM285" s="88" t="s">
        <v>271</v>
      </c>
      <c r="AN285" s="88" t="s">
        <v>471</v>
      </c>
      <c r="AO285" s="230" t="str">
        <f t="shared" ref="AO285:AO444" si="15">G285&amp;O285</f>
        <v>3UYCERANS2711475</v>
      </c>
    </row>
    <row r="286" spans="1:41" x14ac:dyDescent="0.15">
      <c r="A286" s="80">
        <v>4114</v>
      </c>
      <c r="B286" s="89">
        <v>271</v>
      </c>
      <c r="C286" s="89"/>
      <c r="D286" s="89" t="s">
        <v>524</v>
      </c>
      <c r="E286" s="89" t="s">
        <v>11</v>
      </c>
      <c r="F286" s="89" t="s">
        <v>184</v>
      </c>
      <c r="G286" s="89" t="str">
        <f t="shared" si="12"/>
        <v>3UNCERANS27214</v>
      </c>
      <c r="H286" s="89" t="s">
        <v>269</v>
      </c>
      <c r="I286" s="89" t="s">
        <v>1550</v>
      </c>
      <c r="J286" s="89" t="s">
        <v>132</v>
      </c>
      <c r="K286" s="89">
        <v>27214</v>
      </c>
      <c r="L286" s="89" t="s">
        <v>2117</v>
      </c>
      <c r="M286" s="89" t="str">
        <f t="shared" si="13"/>
        <v>3UNCERANS27214751120</v>
      </c>
      <c r="N286" s="89" t="str">
        <f t="shared" si="14"/>
        <v>3UNCERANS2721475350</v>
      </c>
      <c r="O286" s="90">
        <v>75</v>
      </c>
      <c r="P286" s="89">
        <v>3</v>
      </c>
      <c r="Q286" s="89" t="s">
        <v>1996</v>
      </c>
      <c r="R286" s="90">
        <v>1120</v>
      </c>
      <c r="S286" s="90">
        <v>3000</v>
      </c>
      <c r="T286" s="90">
        <v>350</v>
      </c>
      <c r="U286" s="90">
        <v>350</v>
      </c>
      <c r="V286" s="90">
        <v>500</v>
      </c>
      <c r="W286" s="81">
        <v>2</v>
      </c>
      <c r="X286" s="82" t="s">
        <v>142</v>
      </c>
      <c r="Y286" s="83" t="s">
        <v>295</v>
      </c>
      <c r="Z286" s="84">
        <v>6</v>
      </c>
      <c r="AA286" s="85" t="s">
        <v>266</v>
      </c>
      <c r="AB286" s="86">
        <v>1450</v>
      </c>
      <c r="AC286" s="83">
        <v>3</v>
      </c>
      <c r="AD286" s="85" t="s">
        <v>459</v>
      </c>
      <c r="AE286" s="86">
        <v>404</v>
      </c>
      <c r="AF286" s="83"/>
      <c r="AG286" s="85"/>
      <c r="AH286" s="86"/>
      <c r="AI286" s="83"/>
      <c r="AJ286" s="85"/>
      <c r="AK286" s="86"/>
      <c r="AL286" s="87"/>
      <c r="AM286" s="88" t="s">
        <v>271</v>
      </c>
      <c r="AN286" s="88" t="s">
        <v>471</v>
      </c>
      <c r="AO286" s="230" t="str">
        <f t="shared" si="15"/>
        <v>3UNCERANS2721475</v>
      </c>
    </row>
    <row r="287" spans="1:41" x14ac:dyDescent="0.15">
      <c r="A287" s="80">
        <v>4114</v>
      </c>
      <c r="B287" s="89">
        <v>271</v>
      </c>
      <c r="C287" s="89"/>
      <c r="D287" s="89" t="s">
        <v>2118</v>
      </c>
      <c r="E287" s="89" t="s">
        <v>11</v>
      </c>
      <c r="F287" s="89" t="s">
        <v>184</v>
      </c>
      <c r="G287" s="89" t="str">
        <f t="shared" si="12"/>
        <v>3UYCERANS27114</v>
      </c>
      <c r="H287" s="89" t="s">
        <v>269</v>
      </c>
      <c r="I287" s="89" t="s">
        <v>2036</v>
      </c>
      <c r="J287" s="89" t="s">
        <v>132</v>
      </c>
      <c r="K287" s="89">
        <v>27114</v>
      </c>
      <c r="L287" s="89" t="s">
        <v>2114</v>
      </c>
      <c r="M287" s="89" t="str">
        <f t="shared" si="13"/>
        <v>3UYCERANS27114751310</v>
      </c>
      <c r="N287" s="89" t="str">
        <f t="shared" si="14"/>
        <v>3UYCERANS27114751300</v>
      </c>
      <c r="O287" s="90">
        <v>75</v>
      </c>
      <c r="P287" s="89">
        <v>3</v>
      </c>
      <c r="Q287" s="89" t="s">
        <v>1996</v>
      </c>
      <c r="R287" s="90">
        <v>1310</v>
      </c>
      <c r="S287" s="90">
        <v>4500</v>
      </c>
      <c r="T287" s="90">
        <v>1300</v>
      </c>
      <c r="U287" s="90">
        <v>1300</v>
      </c>
      <c r="V287" s="90">
        <v>4500</v>
      </c>
      <c r="W287" s="81">
        <v>2</v>
      </c>
      <c r="X287" s="82" t="s">
        <v>142</v>
      </c>
      <c r="Y287" s="83" t="s">
        <v>15</v>
      </c>
      <c r="Z287" s="84">
        <v>6</v>
      </c>
      <c r="AA287" s="85" t="s">
        <v>266</v>
      </c>
      <c r="AB287" s="86">
        <v>1450</v>
      </c>
      <c r="AC287" s="83"/>
      <c r="AD287" s="85"/>
      <c r="AE287" s="86"/>
      <c r="AF287" s="83"/>
      <c r="AG287" s="85"/>
      <c r="AH287" s="86"/>
      <c r="AI287" s="83"/>
      <c r="AJ287" s="85"/>
      <c r="AK287" s="86"/>
      <c r="AL287" s="87"/>
      <c r="AM287" s="88"/>
      <c r="AN287" s="88" t="s">
        <v>471</v>
      </c>
      <c r="AO287" s="230" t="str">
        <f t="shared" si="15"/>
        <v>3UYCERANS2711475</v>
      </c>
    </row>
    <row r="288" spans="1:41" x14ac:dyDescent="0.15">
      <c r="A288" s="80">
        <v>4114</v>
      </c>
      <c r="B288" s="89">
        <v>271</v>
      </c>
      <c r="C288" s="89"/>
      <c r="D288" s="89" t="s">
        <v>2118</v>
      </c>
      <c r="E288" s="89" t="s">
        <v>11</v>
      </c>
      <c r="F288" s="89" t="s">
        <v>184</v>
      </c>
      <c r="G288" s="89" t="str">
        <f t="shared" si="12"/>
        <v>3UYCERANS27114</v>
      </c>
      <c r="H288" s="89" t="s">
        <v>269</v>
      </c>
      <c r="I288" s="89" t="s">
        <v>2036</v>
      </c>
      <c r="J288" s="89" t="s">
        <v>132</v>
      </c>
      <c r="K288" s="89">
        <v>27114</v>
      </c>
      <c r="L288" s="89" t="s">
        <v>2114</v>
      </c>
      <c r="M288" s="89" t="str">
        <f t="shared" si="13"/>
        <v>3UYCERANS27114751310</v>
      </c>
      <c r="N288" s="89" t="str">
        <f t="shared" si="14"/>
        <v>3UYCERANS27114751300</v>
      </c>
      <c r="O288" s="90">
        <v>75</v>
      </c>
      <c r="P288" s="89">
        <v>3</v>
      </c>
      <c r="Q288" s="89" t="s">
        <v>1996</v>
      </c>
      <c r="R288" s="90">
        <v>1310</v>
      </c>
      <c r="S288" s="90">
        <v>4500</v>
      </c>
      <c r="T288" s="90">
        <v>1300</v>
      </c>
      <c r="U288" s="90">
        <v>1300</v>
      </c>
      <c r="V288" s="90">
        <v>2000</v>
      </c>
      <c r="W288" s="81">
        <v>2</v>
      </c>
      <c r="X288" s="82" t="s">
        <v>142</v>
      </c>
      <c r="Y288" s="83" t="s">
        <v>15</v>
      </c>
      <c r="Z288" s="84">
        <v>6</v>
      </c>
      <c r="AA288" s="85" t="s">
        <v>266</v>
      </c>
      <c r="AB288" s="86">
        <v>1450</v>
      </c>
      <c r="AC288" s="83"/>
      <c r="AD288" s="85"/>
      <c r="AE288" s="86"/>
      <c r="AF288" s="83"/>
      <c r="AG288" s="85"/>
      <c r="AH288" s="86"/>
      <c r="AI288" s="83"/>
      <c r="AJ288" s="85"/>
      <c r="AK288" s="86"/>
      <c r="AL288" s="87"/>
      <c r="AM288" s="88"/>
      <c r="AN288" s="88" t="s">
        <v>471</v>
      </c>
      <c r="AO288" s="230" t="str">
        <f t="shared" si="15"/>
        <v>3UYCERANS2711475</v>
      </c>
    </row>
    <row r="289" spans="1:41" x14ac:dyDescent="0.15">
      <c r="A289" s="80">
        <v>4114</v>
      </c>
      <c r="B289" s="89">
        <v>272</v>
      </c>
      <c r="C289" s="89">
        <v>2676</v>
      </c>
      <c r="D289" s="89" t="s">
        <v>2119</v>
      </c>
      <c r="E289" s="89" t="s">
        <v>2120</v>
      </c>
      <c r="F289" s="89"/>
      <c r="G289" s="89" t="str">
        <f t="shared" si="12"/>
        <v>3UNCERANS27114</v>
      </c>
      <c r="H289" s="89" t="s">
        <v>269</v>
      </c>
      <c r="I289" s="89" t="s">
        <v>1550</v>
      </c>
      <c r="J289" s="89" t="s">
        <v>132</v>
      </c>
      <c r="K289" s="89">
        <v>27114</v>
      </c>
      <c r="L289" s="89" t="s">
        <v>2114</v>
      </c>
      <c r="M289" s="89" t="str">
        <f t="shared" si="13"/>
        <v>3UNCERANS271141881134</v>
      </c>
      <c r="N289" s="89" t="str">
        <f t="shared" si="14"/>
        <v>3UNCERANS27114188180</v>
      </c>
      <c r="O289" s="90">
        <v>188</v>
      </c>
      <c r="P289" s="89">
        <v>3</v>
      </c>
      <c r="Q289" s="89" t="s">
        <v>503</v>
      </c>
      <c r="R289" s="90">
        <v>1134</v>
      </c>
      <c r="S289" s="90">
        <v>1800</v>
      </c>
      <c r="T289" s="90">
        <v>180</v>
      </c>
      <c r="U289" s="90">
        <v>180</v>
      </c>
      <c r="V289" s="90">
        <v>100</v>
      </c>
      <c r="W289" s="81">
        <v>2</v>
      </c>
      <c r="X289" s="82" t="s">
        <v>142</v>
      </c>
      <c r="Y289" s="83" t="s">
        <v>295</v>
      </c>
      <c r="Z289" s="84">
        <v>6</v>
      </c>
      <c r="AA289" s="85" t="s">
        <v>266</v>
      </c>
      <c r="AB289" s="86">
        <v>1450</v>
      </c>
      <c r="AC289" s="83">
        <v>3</v>
      </c>
      <c r="AD289" s="85" t="s">
        <v>459</v>
      </c>
      <c r="AE289" s="86">
        <v>200</v>
      </c>
      <c r="AF289" s="83"/>
      <c r="AG289" s="85"/>
      <c r="AH289" s="86"/>
      <c r="AI289" s="83"/>
      <c r="AJ289" s="85"/>
      <c r="AK289" s="86"/>
      <c r="AL289" s="87"/>
      <c r="AM289" s="88"/>
      <c r="AN289" s="88" t="s">
        <v>471</v>
      </c>
      <c r="AO289" s="230" t="str">
        <f t="shared" si="15"/>
        <v>3UNCERANS27114188</v>
      </c>
    </row>
    <row r="290" spans="1:41" x14ac:dyDescent="0.15">
      <c r="A290" s="80">
        <v>4114</v>
      </c>
      <c r="B290" s="89">
        <v>272</v>
      </c>
      <c r="C290" s="89">
        <v>36882</v>
      </c>
      <c r="D290" s="89" t="s">
        <v>830</v>
      </c>
      <c r="E290" s="89" t="s">
        <v>2120</v>
      </c>
      <c r="F290" s="89"/>
      <c r="G290" s="89" t="str">
        <f t="shared" si="12"/>
        <v>3UNCERANS27114</v>
      </c>
      <c r="H290" s="89" t="s">
        <v>269</v>
      </c>
      <c r="I290" s="89" t="s">
        <v>1550</v>
      </c>
      <c r="J290" s="89" t="s">
        <v>132</v>
      </c>
      <c r="K290" s="89">
        <v>27114</v>
      </c>
      <c r="L290" s="89" t="s">
        <v>2114</v>
      </c>
      <c r="M290" s="89" t="str">
        <f t="shared" si="13"/>
        <v>3UNCERANS27114381050</v>
      </c>
      <c r="N290" s="89" t="str">
        <f t="shared" si="14"/>
        <v>3UNCERANS2711438750</v>
      </c>
      <c r="O290" s="90">
        <v>38</v>
      </c>
      <c r="P290" s="89">
        <v>3</v>
      </c>
      <c r="Q290" s="89" t="s">
        <v>526</v>
      </c>
      <c r="R290" s="90">
        <v>1050</v>
      </c>
      <c r="S290" s="90">
        <v>8000</v>
      </c>
      <c r="T290" s="90">
        <v>750</v>
      </c>
      <c r="U290" s="90">
        <v>750</v>
      </c>
      <c r="V290" s="90">
        <v>5800</v>
      </c>
      <c r="W290" s="81">
        <v>2</v>
      </c>
      <c r="X290" s="82" t="s">
        <v>142</v>
      </c>
      <c r="Y290" s="83" t="s">
        <v>295</v>
      </c>
      <c r="Z290" s="84">
        <v>6</v>
      </c>
      <c r="AA290" s="85" t="s">
        <v>266</v>
      </c>
      <c r="AB290" s="86">
        <v>1450</v>
      </c>
      <c r="AC290" s="83">
        <v>6</v>
      </c>
      <c r="AD290" s="85" t="s">
        <v>266</v>
      </c>
      <c r="AE290" s="86">
        <v>930</v>
      </c>
      <c r="AF290" s="83"/>
      <c r="AG290" s="85"/>
      <c r="AH290" s="86"/>
      <c r="AI290" s="83"/>
      <c r="AJ290" s="85"/>
      <c r="AK290" s="86"/>
      <c r="AL290" s="87"/>
      <c r="AM290" s="88"/>
      <c r="AN290" s="88" t="s">
        <v>471</v>
      </c>
      <c r="AO290" s="230" t="str">
        <f t="shared" si="15"/>
        <v>3UNCERANS2711438</v>
      </c>
    </row>
    <row r="291" spans="1:41" x14ac:dyDescent="0.15">
      <c r="A291" s="80">
        <v>4114</v>
      </c>
      <c r="B291" s="89">
        <v>272</v>
      </c>
      <c r="C291" s="89">
        <v>36882</v>
      </c>
      <c r="D291" s="89" t="s">
        <v>830</v>
      </c>
      <c r="E291" s="89" t="s">
        <v>2120</v>
      </c>
      <c r="F291" s="89"/>
      <c r="G291" s="89" t="str">
        <f t="shared" si="12"/>
        <v>3UNCERANSPJ3114</v>
      </c>
      <c r="H291" s="89" t="s">
        <v>269</v>
      </c>
      <c r="I291" s="89" t="s">
        <v>1550</v>
      </c>
      <c r="J291" s="89" t="s">
        <v>132</v>
      </c>
      <c r="K291" s="89" t="s">
        <v>2121</v>
      </c>
      <c r="L291" s="89" t="s">
        <v>2122</v>
      </c>
      <c r="M291" s="89" t="str">
        <f t="shared" si="13"/>
        <v>3UNCERANSPJ3114501310</v>
      </c>
      <c r="N291" s="89" t="str">
        <f t="shared" si="14"/>
        <v>3UNCERANSPJ311450300</v>
      </c>
      <c r="O291" s="90">
        <v>50</v>
      </c>
      <c r="P291" s="89">
        <v>3</v>
      </c>
      <c r="Q291" s="89" t="s">
        <v>503</v>
      </c>
      <c r="R291" s="90">
        <v>1310</v>
      </c>
      <c r="S291" s="90">
        <v>6400</v>
      </c>
      <c r="T291" s="90">
        <v>300</v>
      </c>
      <c r="U291" s="90">
        <v>300</v>
      </c>
      <c r="V291" s="90">
        <v>200</v>
      </c>
      <c r="W291" s="81">
        <v>2</v>
      </c>
      <c r="X291" s="82" t="s">
        <v>142</v>
      </c>
      <c r="Y291" s="83" t="s">
        <v>295</v>
      </c>
      <c r="Z291" s="84">
        <v>6</v>
      </c>
      <c r="AA291" s="85" t="s">
        <v>266</v>
      </c>
      <c r="AB291" s="86">
        <v>1450</v>
      </c>
      <c r="AC291" s="83">
        <v>3</v>
      </c>
      <c r="AD291" s="85" t="s">
        <v>459</v>
      </c>
      <c r="AE291" s="86">
        <v>322</v>
      </c>
      <c r="AF291" s="83"/>
      <c r="AG291" s="85"/>
      <c r="AH291" s="86"/>
      <c r="AI291" s="83"/>
      <c r="AJ291" s="85"/>
      <c r="AK291" s="86"/>
      <c r="AL291" s="87"/>
      <c r="AM291" s="88"/>
      <c r="AN291" s="88" t="s">
        <v>471</v>
      </c>
      <c r="AO291" s="230" t="str">
        <f t="shared" si="15"/>
        <v>3UNCERANSPJ311450</v>
      </c>
    </row>
    <row r="292" spans="1:41" x14ac:dyDescent="0.15">
      <c r="A292" s="80">
        <v>4114</v>
      </c>
      <c r="B292" s="89">
        <v>271</v>
      </c>
      <c r="C292" s="89"/>
      <c r="D292" s="89"/>
      <c r="E292" s="89" t="s">
        <v>2120</v>
      </c>
      <c r="F292" s="89"/>
      <c r="G292" s="89" t="str">
        <f t="shared" si="12"/>
        <v>3UNCERANSPJ3114</v>
      </c>
      <c r="H292" s="89" t="s">
        <v>269</v>
      </c>
      <c r="I292" s="89" t="s">
        <v>1550</v>
      </c>
      <c r="J292" s="89" t="s">
        <v>132</v>
      </c>
      <c r="K292" s="89" t="s">
        <v>2121</v>
      </c>
      <c r="L292" s="89" t="s">
        <v>2122</v>
      </c>
      <c r="M292" s="89" t="str">
        <f t="shared" si="13"/>
        <v>3UNCERANSPJ3114751060</v>
      </c>
      <c r="N292" s="89" t="str">
        <f t="shared" si="14"/>
        <v>3UNCERANSPJ3114751050</v>
      </c>
      <c r="O292" s="90">
        <v>75</v>
      </c>
      <c r="P292" s="89">
        <v>3</v>
      </c>
      <c r="Q292" s="89" t="s">
        <v>503</v>
      </c>
      <c r="R292" s="90">
        <v>1060</v>
      </c>
      <c r="S292" s="90">
        <v>4300</v>
      </c>
      <c r="T292" s="90">
        <v>1050</v>
      </c>
      <c r="U292" s="90">
        <v>1050</v>
      </c>
      <c r="V292" s="90">
        <v>4100</v>
      </c>
      <c r="W292" s="81">
        <v>2</v>
      </c>
      <c r="X292" s="82" t="s">
        <v>142</v>
      </c>
      <c r="Y292" s="83" t="s">
        <v>487</v>
      </c>
      <c r="Z292" s="84">
        <v>6</v>
      </c>
      <c r="AA292" s="85" t="s">
        <v>266</v>
      </c>
      <c r="AB292" s="86">
        <v>1450</v>
      </c>
      <c r="AC292" s="83"/>
      <c r="AD292" s="85"/>
      <c r="AE292" s="86"/>
      <c r="AF292" s="83"/>
      <c r="AG292" s="85"/>
      <c r="AH292" s="86"/>
      <c r="AI292" s="83"/>
      <c r="AJ292" s="85"/>
      <c r="AK292" s="86"/>
      <c r="AL292" s="87"/>
      <c r="AM292" s="88"/>
      <c r="AN292" s="88" t="s">
        <v>471</v>
      </c>
      <c r="AO292" s="230" t="str">
        <f t="shared" si="15"/>
        <v>3UNCERANSPJ311475</v>
      </c>
    </row>
    <row r="293" spans="1:41" x14ac:dyDescent="0.15">
      <c r="A293" s="80">
        <v>4114</v>
      </c>
      <c r="B293" s="89">
        <v>271</v>
      </c>
      <c r="C293" s="89"/>
      <c r="D293" s="89" t="s">
        <v>2118</v>
      </c>
      <c r="E293" s="89" t="s">
        <v>11</v>
      </c>
      <c r="F293" s="89" t="s">
        <v>184</v>
      </c>
      <c r="G293" s="89" t="str">
        <f t="shared" si="12"/>
        <v>3UYCERANSG14</v>
      </c>
      <c r="H293" s="89" t="s">
        <v>269</v>
      </c>
      <c r="I293" s="89" t="s">
        <v>2036</v>
      </c>
      <c r="J293" s="89" t="s">
        <v>132</v>
      </c>
      <c r="K293" s="89" t="s">
        <v>2123</v>
      </c>
      <c r="L293" s="89" t="s">
        <v>2124</v>
      </c>
      <c r="M293" s="89" t="str">
        <f t="shared" si="13"/>
        <v>3UYCERANSG14751310</v>
      </c>
      <c r="N293" s="89" t="str">
        <f t="shared" si="14"/>
        <v>3UYCERANSG14751310</v>
      </c>
      <c r="O293" s="90">
        <v>75</v>
      </c>
      <c r="P293" s="89">
        <v>3</v>
      </c>
      <c r="Q293" s="89" t="s">
        <v>1996</v>
      </c>
      <c r="R293" s="90">
        <v>1310</v>
      </c>
      <c r="S293" s="90">
        <v>4500</v>
      </c>
      <c r="T293" s="90">
        <v>1300</v>
      </c>
      <c r="U293" s="90">
        <v>1310</v>
      </c>
      <c r="V293" s="90">
        <v>3300</v>
      </c>
      <c r="W293" s="81">
        <v>2</v>
      </c>
      <c r="X293" s="82" t="s">
        <v>142</v>
      </c>
      <c r="Y293" s="83" t="s">
        <v>15</v>
      </c>
      <c r="Z293" s="84">
        <v>6</v>
      </c>
      <c r="AA293" s="85" t="s">
        <v>266</v>
      </c>
      <c r="AB293" s="86">
        <v>1450</v>
      </c>
      <c r="AC293" s="83"/>
      <c r="AD293" s="85"/>
      <c r="AE293" s="86"/>
      <c r="AF293" s="83"/>
      <c r="AG293" s="85"/>
      <c r="AH293" s="86"/>
      <c r="AI293" s="83"/>
      <c r="AJ293" s="85"/>
      <c r="AK293" s="86"/>
      <c r="AL293" s="87"/>
      <c r="AM293" s="88"/>
      <c r="AN293" s="88" t="s">
        <v>471</v>
      </c>
      <c r="AO293" s="230" t="str">
        <f t="shared" si="15"/>
        <v>3UYCERANSG1475</v>
      </c>
    </row>
    <row r="294" spans="1:41" x14ac:dyDescent="0.15">
      <c r="A294" s="80">
        <v>4114</v>
      </c>
      <c r="B294" s="89">
        <v>271</v>
      </c>
      <c r="C294" s="89"/>
      <c r="D294" s="89" t="s">
        <v>2118</v>
      </c>
      <c r="E294" s="89" t="s">
        <v>11</v>
      </c>
      <c r="F294" s="89" t="s">
        <v>184</v>
      </c>
      <c r="G294" s="89" t="str">
        <f t="shared" si="12"/>
        <v>3UYCERANS271G14</v>
      </c>
      <c r="H294" s="89" t="s">
        <v>269</v>
      </c>
      <c r="I294" s="89" t="s">
        <v>2036</v>
      </c>
      <c r="J294" s="89" t="s">
        <v>132</v>
      </c>
      <c r="K294" s="89" t="s">
        <v>2125</v>
      </c>
      <c r="L294" s="89" t="s">
        <v>2126</v>
      </c>
      <c r="M294" s="89" t="str">
        <f t="shared" si="13"/>
        <v>3UYCERANS271G14751310</v>
      </c>
      <c r="N294" s="89" t="str">
        <f t="shared" si="14"/>
        <v>3UYCERANS271G1475205</v>
      </c>
      <c r="O294" s="90">
        <v>75</v>
      </c>
      <c r="P294" s="89">
        <v>3</v>
      </c>
      <c r="Q294" s="89" t="s">
        <v>1996</v>
      </c>
      <c r="R294" s="90">
        <v>1310</v>
      </c>
      <c r="S294" s="90">
        <v>4500</v>
      </c>
      <c r="T294" s="90">
        <v>205</v>
      </c>
      <c r="U294" s="90">
        <v>205</v>
      </c>
      <c r="V294" s="90">
        <v>300</v>
      </c>
      <c r="W294" s="81">
        <v>2</v>
      </c>
      <c r="X294" s="82" t="s">
        <v>142</v>
      </c>
      <c r="Y294" s="83" t="s">
        <v>295</v>
      </c>
      <c r="Z294" s="84">
        <v>6</v>
      </c>
      <c r="AA294" s="85" t="s">
        <v>266</v>
      </c>
      <c r="AB294" s="86">
        <v>1450</v>
      </c>
      <c r="AC294" s="83">
        <v>3</v>
      </c>
      <c r="AD294" s="85" t="s">
        <v>459</v>
      </c>
      <c r="AE294" s="86">
        <v>220</v>
      </c>
      <c r="AF294" s="83"/>
      <c r="AG294" s="85"/>
      <c r="AH294" s="86"/>
      <c r="AI294" s="83"/>
      <c r="AJ294" s="85"/>
      <c r="AK294" s="86"/>
      <c r="AL294" s="87"/>
      <c r="AM294" s="88"/>
      <c r="AN294" s="88" t="s">
        <v>471</v>
      </c>
      <c r="AO294" s="230" t="str">
        <f t="shared" si="15"/>
        <v>3UYCERANS271G1475</v>
      </c>
    </row>
    <row r="295" spans="1:41" x14ac:dyDescent="0.15">
      <c r="A295" s="80">
        <v>4114</v>
      </c>
      <c r="B295" s="89">
        <v>271</v>
      </c>
      <c r="C295" s="89"/>
      <c r="D295" s="89" t="s">
        <v>2118</v>
      </c>
      <c r="E295" s="89" t="s">
        <v>11</v>
      </c>
      <c r="F295" s="89" t="s">
        <v>184</v>
      </c>
      <c r="G295" s="89" t="str">
        <f t="shared" si="12"/>
        <v>3UYCERANS271/G14</v>
      </c>
      <c r="H295" s="89" t="s">
        <v>269</v>
      </c>
      <c r="I295" s="89" t="s">
        <v>2036</v>
      </c>
      <c r="J295" s="89" t="s">
        <v>132</v>
      </c>
      <c r="K295" s="89" t="s">
        <v>2127</v>
      </c>
      <c r="L295" s="89" t="s">
        <v>2128</v>
      </c>
      <c r="M295" s="89" t="str">
        <f t="shared" si="13"/>
        <v>3UYCERANS271/G14751310</v>
      </c>
      <c r="N295" s="89" t="str">
        <f t="shared" si="14"/>
        <v>3UYCERANS271/G1475205</v>
      </c>
      <c r="O295" s="90">
        <v>75</v>
      </c>
      <c r="P295" s="89">
        <v>3</v>
      </c>
      <c r="Q295" s="89" t="s">
        <v>1996</v>
      </c>
      <c r="R295" s="90">
        <v>1310</v>
      </c>
      <c r="S295" s="90">
        <v>4500</v>
      </c>
      <c r="T295" s="90">
        <v>205</v>
      </c>
      <c r="U295" s="90">
        <v>205</v>
      </c>
      <c r="V295" s="90">
        <v>300</v>
      </c>
      <c r="W295" s="81">
        <v>2</v>
      </c>
      <c r="X295" s="82" t="s">
        <v>142</v>
      </c>
      <c r="Y295" s="83" t="s">
        <v>295</v>
      </c>
      <c r="Z295" s="84">
        <v>6</v>
      </c>
      <c r="AA295" s="85" t="s">
        <v>266</v>
      </c>
      <c r="AB295" s="86">
        <v>1450</v>
      </c>
      <c r="AC295" s="83">
        <v>3</v>
      </c>
      <c r="AD295" s="85" t="s">
        <v>459</v>
      </c>
      <c r="AE295" s="86">
        <v>220</v>
      </c>
      <c r="AF295" s="83"/>
      <c r="AG295" s="85"/>
      <c r="AH295" s="86"/>
      <c r="AI295" s="83"/>
      <c r="AJ295" s="85"/>
      <c r="AK295" s="86"/>
      <c r="AL295" s="87"/>
      <c r="AM295" s="88"/>
      <c r="AN295" s="88" t="s">
        <v>471</v>
      </c>
      <c r="AO295" s="230" t="str">
        <f t="shared" si="15"/>
        <v>3UYCERANS271/G1475</v>
      </c>
    </row>
    <row r="296" spans="1:41" x14ac:dyDescent="0.15">
      <c r="A296" s="80">
        <v>4114</v>
      </c>
      <c r="B296" s="89">
        <v>271</v>
      </c>
      <c r="C296" s="89"/>
      <c r="D296" s="89" t="s">
        <v>2118</v>
      </c>
      <c r="E296" s="89" t="s">
        <v>11</v>
      </c>
      <c r="F296" s="89" t="s">
        <v>184</v>
      </c>
      <c r="G296" s="89" t="str">
        <f t="shared" si="12"/>
        <v>3UYCERANS27140</v>
      </c>
      <c r="H296" s="89" t="s">
        <v>269</v>
      </c>
      <c r="I296" s="89" t="s">
        <v>2036</v>
      </c>
      <c r="J296" s="89" t="s">
        <v>132</v>
      </c>
      <c r="K296" s="89">
        <v>27140</v>
      </c>
      <c r="L296" s="89" t="s">
        <v>2129</v>
      </c>
      <c r="M296" s="89" t="str">
        <f t="shared" si="13"/>
        <v>3UYCERANS27140751080</v>
      </c>
      <c r="N296" s="89" t="str">
        <f t="shared" si="14"/>
        <v>3UYCERANS2714075205</v>
      </c>
      <c r="O296" s="90">
        <v>75</v>
      </c>
      <c r="P296" s="89">
        <v>3</v>
      </c>
      <c r="Q296" s="89" t="s">
        <v>2021</v>
      </c>
      <c r="R296" s="90">
        <v>1080</v>
      </c>
      <c r="S296" s="90">
        <v>600</v>
      </c>
      <c r="T296" s="90">
        <v>205</v>
      </c>
      <c r="U296" s="90">
        <v>205</v>
      </c>
      <c r="V296" s="90">
        <v>300</v>
      </c>
      <c r="W296" s="81">
        <v>2</v>
      </c>
      <c r="X296" s="82" t="s">
        <v>142</v>
      </c>
      <c r="Y296" s="83" t="s">
        <v>295</v>
      </c>
      <c r="Z296" s="84">
        <v>6</v>
      </c>
      <c r="AA296" s="85" t="s">
        <v>266</v>
      </c>
      <c r="AB296" s="86">
        <v>1450</v>
      </c>
      <c r="AC296" s="83">
        <v>3</v>
      </c>
      <c r="AD296" s="85" t="s">
        <v>459</v>
      </c>
      <c r="AE296" s="86">
        <v>220</v>
      </c>
      <c r="AF296" s="83"/>
      <c r="AG296" s="85"/>
      <c r="AH296" s="86"/>
      <c r="AI296" s="83"/>
      <c r="AJ296" s="85"/>
      <c r="AK296" s="86"/>
      <c r="AL296" s="87"/>
      <c r="AM296" s="88"/>
      <c r="AN296" s="88" t="s">
        <v>471</v>
      </c>
      <c r="AO296" s="230" t="str">
        <f t="shared" si="15"/>
        <v>3UYCERANS2714075</v>
      </c>
    </row>
    <row r="297" spans="1:41" x14ac:dyDescent="0.15">
      <c r="A297" s="80">
        <v>4114</v>
      </c>
      <c r="B297" s="89">
        <v>271</v>
      </c>
      <c r="C297" s="89"/>
      <c r="D297" s="89" t="s">
        <v>2112</v>
      </c>
      <c r="E297" s="89" t="s">
        <v>11</v>
      </c>
      <c r="F297" s="89" t="s">
        <v>184</v>
      </c>
      <c r="G297" s="89" t="str">
        <f t="shared" si="12"/>
        <v>3KSUYCERANS27114</v>
      </c>
      <c r="H297" s="89" t="s">
        <v>269</v>
      </c>
      <c r="I297" s="89" t="s">
        <v>2036</v>
      </c>
      <c r="J297" s="89" t="s">
        <v>132</v>
      </c>
      <c r="K297" s="89">
        <v>27114</v>
      </c>
      <c r="L297" s="89" t="s">
        <v>2114</v>
      </c>
      <c r="M297" s="89" t="str">
        <f t="shared" si="13"/>
        <v>3KSUYCERANS27114751300</v>
      </c>
      <c r="N297" s="89" t="str">
        <f t="shared" si="14"/>
        <v>3KSUYCERANS2711475180</v>
      </c>
      <c r="O297" s="90">
        <v>75</v>
      </c>
      <c r="P297" s="89" t="s">
        <v>2012</v>
      </c>
      <c r="Q297" s="89" t="s">
        <v>1996</v>
      </c>
      <c r="R297" s="90">
        <v>1300</v>
      </c>
      <c r="S297" s="90">
        <v>4300</v>
      </c>
      <c r="T297" s="90">
        <v>180</v>
      </c>
      <c r="U297" s="90">
        <v>180</v>
      </c>
      <c r="V297" s="90">
        <v>2000</v>
      </c>
      <c r="W297" s="81">
        <v>2</v>
      </c>
      <c r="X297" s="82" t="s">
        <v>142</v>
      </c>
      <c r="Y297" s="83" t="s">
        <v>295</v>
      </c>
      <c r="Z297" s="84">
        <v>6</v>
      </c>
      <c r="AA297" s="85" t="s">
        <v>266</v>
      </c>
      <c r="AB297" s="86">
        <v>1450</v>
      </c>
      <c r="AC297" s="83">
        <v>3</v>
      </c>
      <c r="AD297" s="85" t="s">
        <v>459</v>
      </c>
      <c r="AE297" s="86">
        <v>180</v>
      </c>
      <c r="AF297" s="83"/>
      <c r="AG297" s="85"/>
      <c r="AH297" s="86"/>
      <c r="AI297" s="83"/>
      <c r="AJ297" s="85"/>
      <c r="AK297" s="86"/>
      <c r="AL297" s="87"/>
      <c r="AM297" s="88" t="s">
        <v>270</v>
      </c>
      <c r="AN297" s="88" t="s">
        <v>471</v>
      </c>
      <c r="AO297" s="230" t="str">
        <f t="shared" si="15"/>
        <v>3KSUYCERANS2711475</v>
      </c>
    </row>
    <row r="298" spans="1:41" x14ac:dyDescent="0.15">
      <c r="A298" s="80">
        <v>4114</v>
      </c>
      <c r="B298" s="89">
        <v>271</v>
      </c>
      <c r="C298" s="89"/>
      <c r="D298" s="89" t="s">
        <v>2112</v>
      </c>
      <c r="E298" s="89" t="s">
        <v>11</v>
      </c>
      <c r="F298" s="89" t="s">
        <v>184</v>
      </c>
      <c r="G298" s="89" t="str">
        <f t="shared" si="12"/>
        <v>3KSUYCERANS27114</v>
      </c>
      <c r="H298" s="89" t="s">
        <v>269</v>
      </c>
      <c r="I298" s="89" t="s">
        <v>2036</v>
      </c>
      <c r="J298" s="89" t="s">
        <v>132</v>
      </c>
      <c r="K298" s="89">
        <v>27114</v>
      </c>
      <c r="L298" s="89" t="s">
        <v>2114</v>
      </c>
      <c r="M298" s="89" t="str">
        <f t="shared" si="13"/>
        <v>3KSUYCERANS27114751300</v>
      </c>
      <c r="N298" s="89" t="str">
        <f t="shared" si="14"/>
        <v>3KSUYCERANS2711475240</v>
      </c>
      <c r="O298" s="90">
        <v>75</v>
      </c>
      <c r="P298" s="89" t="s">
        <v>2012</v>
      </c>
      <c r="Q298" s="89" t="s">
        <v>1996</v>
      </c>
      <c r="R298" s="90">
        <v>1300</v>
      </c>
      <c r="S298" s="90">
        <v>4300</v>
      </c>
      <c r="T298" s="90">
        <v>240</v>
      </c>
      <c r="U298" s="90">
        <v>240</v>
      </c>
      <c r="V298" s="90">
        <v>2000</v>
      </c>
      <c r="W298" s="81">
        <v>2</v>
      </c>
      <c r="X298" s="82" t="s">
        <v>142</v>
      </c>
      <c r="Y298" s="83" t="s">
        <v>295</v>
      </c>
      <c r="Z298" s="84">
        <v>6</v>
      </c>
      <c r="AA298" s="85" t="s">
        <v>266</v>
      </c>
      <c r="AB298" s="86">
        <v>1450</v>
      </c>
      <c r="AC298" s="83">
        <v>3</v>
      </c>
      <c r="AD298" s="85" t="s">
        <v>459</v>
      </c>
      <c r="AE298" s="86">
        <v>240</v>
      </c>
      <c r="AF298" s="83"/>
      <c r="AG298" s="85"/>
      <c r="AH298" s="86"/>
      <c r="AI298" s="83"/>
      <c r="AJ298" s="85"/>
      <c r="AK298" s="86"/>
      <c r="AL298" s="87"/>
      <c r="AM298" s="88" t="s">
        <v>270</v>
      </c>
      <c r="AN298" s="88" t="s">
        <v>471</v>
      </c>
      <c r="AO298" s="230" t="str">
        <f t="shared" si="15"/>
        <v>3KSUYCERANS2711475</v>
      </c>
    </row>
    <row r="299" spans="1:41" x14ac:dyDescent="0.15">
      <c r="A299" s="80">
        <v>4114</v>
      </c>
      <c r="B299" s="89">
        <v>271</v>
      </c>
      <c r="C299" s="89"/>
      <c r="D299" s="89" t="s">
        <v>2112</v>
      </c>
      <c r="E299" s="89" t="s">
        <v>11</v>
      </c>
      <c r="F299" s="89" t="s">
        <v>184</v>
      </c>
      <c r="G299" s="89" t="str">
        <f t="shared" si="12"/>
        <v>3KSUYCERANS27114</v>
      </c>
      <c r="H299" s="89" t="s">
        <v>269</v>
      </c>
      <c r="I299" s="89" t="s">
        <v>2036</v>
      </c>
      <c r="J299" s="89" t="s">
        <v>132</v>
      </c>
      <c r="K299" s="89">
        <v>27114</v>
      </c>
      <c r="L299" s="89" t="s">
        <v>2114</v>
      </c>
      <c r="M299" s="89" t="str">
        <f t="shared" si="13"/>
        <v>3KSUYCERANS27114751300</v>
      </c>
      <c r="N299" s="89" t="str">
        <f t="shared" si="14"/>
        <v>3KSUYCERANS2711475280</v>
      </c>
      <c r="O299" s="90">
        <v>75</v>
      </c>
      <c r="P299" s="89" t="s">
        <v>2012</v>
      </c>
      <c r="Q299" s="89" t="s">
        <v>1996</v>
      </c>
      <c r="R299" s="90">
        <v>1300</v>
      </c>
      <c r="S299" s="90">
        <v>4300</v>
      </c>
      <c r="T299" s="90">
        <v>280</v>
      </c>
      <c r="U299" s="90">
        <v>280</v>
      </c>
      <c r="V299" s="90">
        <v>2000</v>
      </c>
      <c r="W299" s="81">
        <v>2</v>
      </c>
      <c r="X299" s="82" t="s">
        <v>142</v>
      </c>
      <c r="Y299" s="83" t="s">
        <v>295</v>
      </c>
      <c r="Z299" s="84">
        <v>6</v>
      </c>
      <c r="AA299" s="85" t="s">
        <v>266</v>
      </c>
      <c r="AB299" s="86">
        <v>1450</v>
      </c>
      <c r="AC299" s="83">
        <v>3</v>
      </c>
      <c r="AD299" s="85" t="s">
        <v>459</v>
      </c>
      <c r="AE299" s="86">
        <v>280</v>
      </c>
      <c r="AF299" s="83"/>
      <c r="AG299" s="85"/>
      <c r="AH299" s="86"/>
      <c r="AI299" s="83"/>
      <c r="AJ299" s="85"/>
      <c r="AK299" s="86"/>
      <c r="AL299" s="87"/>
      <c r="AM299" s="88" t="s">
        <v>271</v>
      </c>
      <c r="AN299" s="88" t="s">
        <v>471</v>
      </c>
      <c r="AO299" s="230" t="str">
        <f t="shared" si="15"/>
        <v>3KSUYCERANS2711475</v>
      </c>
    </row>
    <row r="300" spans="1:41" x14ac:dyDescent="0.15">
      <c r="A300" s="80">
        <v>4114</v>
      </c>
      <c r="B300" s="89">
        <v>271</v>
      </c>
      <c r="C300" s="89"/>
      <c r="D300" s="89" t="s">
        <v>2112</v>
      </c>
      <c r="E300" s="89" t="s">
        <v>11</v>
      </c>
      <c r="F300" s="89" t="s">
        <v>184</v>
      </c>
      <c r="G300" s="89" t="str">
        <f t="shared" si="12"/>
        <v>3KSUYCERANS27114</v>
      </c>
      <c r="H300" s="89" t="s">
        <v>269</v>
      </c>
      <c r="I300" s="89" t="s">
        <v>2036</v>
      </c>
      <c r="J300" s="89" t="s">
        <v>132</v>
      </c>
      <c r="K300" s="89">
        <v>27114</v>
      </c>
      <c r="L300" s="89" t="s">
        <v>2114</v>
      </c>
      <c r="M300" s="89" t="str">
        <f t="shared" si="13"/>
        <v>3KSUYCERANS27114751300</v>
      </c>
      <c r="N300" s="89" t="str">
        <f t="shared" si="14"/>
        <v>3KSUYCERANS2711475685</v>
      </c>
      <c r="O300" s="90">
        <v>75</v>
      </c>
      <c r="P300" s="89" t="s">
        <v>2012</v>
      </c>
      <c r="Q300" s="89" t="s">
        <v>1996</v>
      </c>
      <c r="R300" s="90">
        <v>1300</v>
      </c>
      <c r="S300" s="90">
        <v>4300</v>
      </c>
      <c r="T300" s="90">
        <v>685</v>
      </c>
      <c r="U300" s="90">
        <v>685</v>
      </c>
      <c r="V300" s="90">
        <v>2000</v>
      </c>
      <c r="W300" s="81">
        <v>2</v>
      </c>
      <c r="X300" s="82" t="s">
        <v>142</v>
      </c>
      <c r="Y300" s="83" t="s">
        <v>295</v>
      </c>
      <c r="Z300" s="84">
        <v>6</v>
      </c>
      <c r="AA300" s="85" t="s">
        <v>266</v>
      </c>
      <c r="AB300" s="86">
        <v>1450</v>
      </c>
      <c r="AC300" s="83">
        <v>3</v>
      </c>
      <c r="AD300" s="85" t="s">
        <v>459</v>
      </c>
      <c r="AE300" s="86">
        <v>700</v>
      </c>
      <c r="AF300" s="83"/>
      <c r="AG300" s="85"/>
      <c r="AH300" s="86"/>
      <c r="AI300" s="83"/>
      <c r="AJ300" s="85"/>
      <c r="AK300" s="86"/>
      <c r="AL300" s="87"/>
      <c r="AM300" s="88" t="s">
        <v>271</v>
      </c>
      <c r="AN300" s="88" t="s">
        <v>471</v>
      </c>
      <c r="AO300" s="230" t="str">
        <f t="shared" si="15"/>
        <v>3KSUYCERANS2711475</v>
      </c>
    </row>
    <row r="301" spans="1:41" x14ac:dyDescent="0.15">
      <c r="A301" s="80">
        <v>4114</v>
      </c>
      <c r="B301" s="89">
        <v>271</v>
      </c>
      <c r="C301" s="89"/>
      <c r="D301" s="89" t="s">
        <v>2112</v>
      </c>
      <c r="E301" s="89" t="s">
        <v>11</v>
      </c>
      <c r="F301" s="89" t="s">
        <v>184</v>
      </c>
      <c r="G301" s="89" t="str">
        <f t="shared" si="12"/>
        <v>3KSUYCERANS27114</v>
      </c>
      <c r="H301" s="89" t="s">
        <v>269</v>
      </c>
      <c r="I301" s="89" t="s">
        <v>2036</v>
      </c>
      <c r="J301" s="89" t="s">
        <v>132</v>
      </c>
      <c r="K301" s="89">
        <v>27114</v>
      </c>
      <c r="L301" s="89" t="s">
        <v>2114</v>
      </c>
      <c r="M301" s="89" t="str">
        <f t="shared" si="13"/>
        <v>3KSUYCERANS27114751300</v>
      </c>
      <c r="N301" s="89" t="str">
        <f t="shared" si="14"/>
        <v>3KSUYCERANS2711475590</v>
      </c>
      <c r="O301" s="90">
        <v>75</v>
      </c>
      <c r="P301" s="89" t="s">
        <v>2012</v>
      </c>
      <c r="Q301" s="89" t="s">
        <v>1996</v>
      </c>
      <c r="R301" s="90">
        <v>1300</v>
      </c>
      <c r="S301" s="90">
        <v>4300</v>
      </c>
      <c r="T301" s="90">
        <v>590</v>
      </c>
      <c r="U301" s="90">
        <v>590</v>
      </c>
      <c r="V301" s="90">
        <v>2000</v>
      </c>
      <c r="W301" s="81">
        <v>2</v>
      </c>
      <c r="X301" s="82" t="s">
        <v>142</v>
      </c>
      <c r="Y301" s="83" t="s">
        <v>295</v>
      </c>
      <c r="Z301" s="84">
        <v>6</v>
      </c>
      <c r="AA301" s="85" t="s">
        <v>266</v>
      </c>
      <c r="AB301" s="86">
        <v>1450</v>
      </c>
      <c r="AC301" s="83">
        <v>3</v>
      </c>
      <c r="AD301" s="85" t="s">
        <v>459</v>
      </c>
      <c r="AE301" s="86">
        <v>305</v>
      </c>
      <c r="AF301" s="83"/>
      <c r="AG301" s="85"/>
      <c r="AH301" s="86"/>
      <c r="AI301" s="83"/>
      <c r="AJ301" s="85"/>
      <c r="AK301" s="86"/>
      <c r="AL301" s="87"/>
      <c r="AM301" s="88" t="s">
        <v>271</v>
      </c>
      <c r="AN301" s="88" t="s">
        <v>471</v>
      </c>
      <c r="AO301" s="230" t="str">
        <f t="shared" si="15"/>
        <v>3KSUYCERANS2711475</v>
      </c>
    </row>
    <row r="302" spans="1:41" x14ac:dyDescent="0.15">
      <c r="A302" s="80">
        <v>4114</v>
      </c>
      <c r="B302" s="89">
        <v>271</v>
      </c>
      <c r="C302" s="89"/>
      <c r="D302" s="89" t="s">
        <v>2112</v>
      </c>
      <c r="E302" s="89" t="s">
        <v>11</v>
      </c>
      <c r="F302" s="89" t="s">
        <v>184</v>
      </c>
      <c r="G302" s="89" t="str">
        <f t="shared" si="12"/>
        <v>3UNCERANS27114</v>
      </c>
      <c r="H302" s="89" t="s">
        <v>269</v>
      </c>
      <c r="I302" s="89" t="s">
        <v>1550</v>
      </c>
      <c r="J302" s="89" t="s">
        <v>132</v>
      </c>
      <c r="K302" s="89">
        <v>27114</v>
      </c>
      <c r="L302" s="89" t="s">
        <v>2114</v>
      </c>
      <c r="M302" s="89" t="str">
        <f t="shared" si="13"/>
        <v>3UNCERANS27114751310</v>
      </c>
      <c r="N302" s="89" t="str">
        <f t="shared" si="14"/>
        <v>3UNCERANS2711475180</v>
      </c>
      <c r="O302" s="90">
        <v>75</v>
      </c>
      <c r="P302" s="89">
        <v>3</v>
      </c>
      <c r="Q302" s="89" t="s">
        <v>1996</v>
      </c>
      <c r="R302" s="90">
        <v>1310</v>
      </c>
      <c r="S302" s="90">
        <v>4500</v>
      </c>
      <c r="T302" s="90">
        <v>180</v>
      </c>
      <c r="U302" s="90">
        <v>180</v>
      </c>
      <c r="V302" s="90">
        <v>2000</v>
      </c>
      <c r="W302" s="81">
        <v>2</v>
      </c>
      <c r="X302" s="82" t="s">
        <v>142</v>
      </c>
      <c r="Y302" s="83" t="s">
        <v>295</v>
      </c>
      <c r="Z302" s="84">
        <v>6</v>
      </c>
      <c r="AA302" s="85" t="s">
        <v>266</v>
      </c>
      <c r="AB302" s="86">
        <v>1450</v>
      </c>
      <c r="AC302" s="139"/>
      <c r="AD302" s="126"/>
      <c r="AE302" s="92">
        <v>180</v>
      </c>
      <c r="AF302" s="83"/>
      <c r="AG302" s="85"/>
      <c r="AH302" s="86"/>
      <c r="AI302" s="83"/>
      <c r="AJ302" s="85"/>
      <c r="AK302" s="86"/>
      <c r="AL302" s="87"/>
      <c r="AM302" s="88" t="s">
        <v>270</v>
      </c>
      <c r="AN302" s="88" t="s">
        <v>471</v>
      </c>
      <c r="AO302" s="230" t="str">
        <f t="shared" si="15"/>
        <v>3UNCERANS2711475</v>
      </c>
    </row>
    <row r="303" spans="1:41" x14ac:dyDescent="0.15">
      <c r="A303" s="80">
        <v>4114</v>
      </c>
      <c r="B303" s="89">
        <v>271</v>
      </c>
      <c r="C303" s="89"/>
      <c r="D303" s="89" t="s">
        <v>2112</v>
      </c>
      <c r="E303" s="89" t="s">
        <v>11</v>
      </c>
      <c r="F303" s="89" t="s">
        <v>184</v>
      </c>
      <c r="G303" s="89" t="str">
        <f t="shared" si="12"/>
        <v>3UNCERANS27114</v>
      </c>
      <c r="H303" s="89" t="s">
        <v>269</v>
      </c>
      <c r="I303" s="89" t="s">
        <v>1550</v>
      </c>
      <c r="J303" s="89" t="s">
        <v>132</v>
      </c>
      <c r="K303" s="89">
        <v>27114</v>
      </c>
      <c r="L303" s="89" t="s">
        <v>2114</v>
      </c>
      <c r="M303" s="89" t="str">
        <f t="shared" si="13"/>
        <v>3UNCERANS27114751310</v>
      </c>
      <c r="N303" s="89" t="str">
        <f t="shared" si="14"/>
        <v>3UNCERANS2711475240</v>
      </c>
      <c r="O303" s="90">
        <v>75</v>
      </c>
      <c r="P303" s="89">
        <v>3</v>
      </c>
      <c r="Q303" s="89" t="s">
        <v>1996</v>
      </c>
      <c r="R303" s="90">
        <v>1310</v>
      </c>
      <c r="S303" s="90">
        <v>4500</v>
      </c>
      <c r="T303" s="90">
        <v>240</v>
      </c>
      <c r="U303" s="90">
        <v>240</v>
      </c>
      <c r="V303" s="90">
        <v>2000</v>
      </c>
      <c r="W303" s="81">
        <v>2</v>
      </c>
      <c r="X303" s="82" t="s">
        <v>142</v>
      </c>
      <c r="Y303" s="83" t="s">
        <v>295</v>
      </c>
      <c r="Z303" s="84">
        <v>6</v>
      </c>
      <c r="AA303" s="85" t="s">
        <v>266</v>
      </c>
      <c r="AB303" s="86">
        <v>1450</v>
      </c>
      <c r="AC303" s="139"/>
      <c r="AD303" s="126"/>
      <c r="AE303" s="92">
        <v>240</v>
      </c>
      <c r="AF303" s="83"/>
      <c r="AG303" s="85"/>
      <c r="AH303" s="86"/>
      <c r="AI303" s="83"/>
      <c r="AJ303" s="85"/>
      <c r="AK303" s="86"/>
      <c r="AL303" s="87"/>
      <c r="AM303" s="88" t="s">
        <v>270</v>
      </c>
      <c r="AN303" s="88" t="s">
        <v>471</v>
      </c>
      <c r="AO303" s="230" t="str">
        <f t="shared" si="15"/>
        <v>3UNCERANS2711475</v>
      </c>
    </row>
    <row r="304" spans="1:41" x14ac:dyDescent="0.15">
      <c r="A304" s="80">
        <v>4114</v>
      </c>
      <c r="B304" s="89">
        <v>271</v>
      </c>
      <c r="C304" s="89"/>
      <c r="D304" s="89" t="s">
        <v>2112</v>
      </c>
      <c r="E304" s="89" t="s">
        <v>11</v>
      </c>
      <c r="F304" s="89" t="s">
        <v>184</v>
      </c>
      <c r="G304" s="89" t="str">
        <f t="shared" si="12"/>
        <v>3UNCERANS27114</v>
      </c>
      <c r="H304" s="89" t="s">
        <v>269</v>
      </c>
      <c r="I304" s="89" t="s">
        <v>1550</v>
      </c>
      <c r="J304" s="89" t="s">
        <v>132</v>
      </c>
      <c r="K304" s="89">
        <v>27114</v>
      </c>
      <c r="L304" s="89" t="s">
        <v>2114</v>
      </c>
      <c r="M304" s="89" t="str">
        <f t="shared" si="13"/>
        <v>3UNCERANS27114751310</v>
      </c>
      <c r="N304" s="89" t="str">
        <f t="shared" si="14"/>
        <v>3UNCERANS2711475280</v>
      </c>
      <c r="O304" s="90">
        <v>75</v>
      </c>
      <c r="P304" s="89">
        <v>3</v>
      </c>
      <c r="Q304" s="89" t="s">
        <v>1996</v>
      </c>
      <c r="R304" s="90">
        <v>1310</v>
      </c>
      <c r="S304" s="90">
        <v>4500</v>
      </c>
      <c r="T304" s="90">
        <v>280</v>
      </c>
      <c r="U304" s="90">
        <v>280</v>
      </c>
      <c r="V304" s="90">
        <v>2000</v>
      </c>
      <c r="W304" s="81">
        <v>2</v>
      </c>
      <c r="X304" s="82" t="s">
        <v>142</v>
      </c>
      <c r="Y304" s="83" t="s">
        <v>295</v>
      </c>
      <c r="Z304" s="84">
        <v>6</v>
      </c>
      <c r="AA304" s="85" t="s">
        <v>266</v>
      </c>
      <c r="AB304" s="86">
        <v>1450</v>
      </c>
      <c r="AC304" s="139"/>
      <c r="AD304" s="126"/>
      <c r="AE304" s="92">
        <v>280</v>
      </c>
      <c r="AF304" s="83"/>
      <c r="AG304" s="85"/>
      <c r="AH304" s="86"/>
      <c r="AI304" s="83"/>
      <c r="AJ304" s="85"/>
      <c r="AK304" s="86"/>
      <c r="AL304" s="87"/>
      <c r="AM304" s="88" t="s">
        <v>271</v>
      </c>
      <c r="AN304" s="88" t="s">
        <v>471</v>
      </c>
      <c r="AO304" s="230" t="str">
        <f t="shared" si="15"/>
        <v>3UNCERANS2711475</v>
      </c>
    </row>
    <row r="305" spans="1:41" x14ac:dyDescent="0.15">
      <c r="A305" s="80">
        <v>4114</v>
      </c>
      <c r="B305" s="89">
        <v>271</v>
      </c>
      <c r="C305" s="89"/>
      <c r="D305" s="89" t="s">
        <v>2112</v>
      </c>
      <c r="E305" s="89" t="s">
        <v>11</v>
      </c>
      <c r="F305" s="89" t="s">
        <v>184</v>
      </c>
      <c r="G305" s="89" t="str">
        <f t="shared" si="12"/>
        <v>3UNCERANS27114</v>
      </c>
      <c r="H305" s="89" t="s">
        <v>269</v>
      </c>
      <c r="I305" s="89" t="s">
        <v>1550</v>
      </c>
      <c r="J305" s="89" t="s">
        <v>132</v>
      </c>
      <c r="K305" s="89">
        <v>27114</v>
      </c>
      <c r="L305" s="89" t="s">
        <v>2114</v>
      </c>
      <c r="M305" s="89" t="str">
        <f t="shared" si="13"/>
        <v>3UNCERANS27114751310</v>
      </c>
      <c r="N305" s="89" t="str">
        <f t="shared" si="14"/>
        <v>3UNCERANS2711475305</v>
      </c>
      <c r="O305" s="90">
        <v>75</v>
      </c>
      <c r="P305" s="89">
        <v>3</v>
      </c>
      <c r="Q305" s="89" t="s">
        <v>1996</v>
      </c>
      <c r="R305" s="90">
        <v>1310</v>
      </c>
      <c r="S305" s="90">
        <v>4500</v>
      </c>
      <c r="T305" s="90">
        <v>305</v>
      </c>
      <c r="U305" s="90">
        <v>305</v>
      </c>
      <c r="V305" s="90">
        <v>2000</v>
      </c>
      <c r="W305" s="81">
        <v>2</v>
      </c>
      <c r="X305" s="82" t="s">
        <v>142</v>
      </c>
      <c r="Y305" s="83" t="s">
        <v>295</v>
      </c>
      <c r="Z305" s="84">
        <v>6</v>
      </c>
      <c r="AA305" s="85" t="s">
        <v>266</v>
      </c>
      <c r="AB305" s="86">
        <v>1450</v>
      </c>
      <c r="AC305" s="139"/>
      <c r="AD305" s="126"/>
      <c r="AE305" s="92">
        <v>305</v>
      </c>
      <c r="AF305" s="83"/>
      <c r="AG305" s="85"/>
      <c r="AH305" s="86"/>
      <c r="AI305" s="83"/>
      <c r="AJ305" s="85"/>
      <c r="AK305" s="86"/>
      <c r="AL305" s="87"/>
      <c r="AM305" s="88" t="s">
        <v>271</v>
      </c>
      <c r="AN305" s="88" t="s">
        <v>471</v>
      </c>
      <c r="AO305" s="230" t="str">
        <f t="shared" si="15"/>
        <v>3UNCERANS2711475</v>
      </c>
    </row>
    <row r="306" spans="1:41" x14ac:dyDescent="0.15">
      <c r="A306" s="80">
        <v>4114</v>
      </c>
      <c r="B306" s="89">
        <v>271</v>
      </c>
      <c r="C306" s="89"/>
      <c r="D306" s="89" t="s">
        <v>2112</v>
      </c>
      <c r="E306" s="89" t="s">
        <v>11</v>
      </c>
      <c r="F306" s="89" t="s">
        <v>184</v>
      </c>
      <c r="G306" s="89" t="str">
        <f t="shared" si="12"/>
        <v>3UNCERANS27114</v>
      </c>
      <c r="H306" s="89" t="s">
        <v>269</v>
      </c>
      <c r="I306" s="89" t="s">
        <v>1550</v>
      </c>
      <c r="J306" s="89" t="s">
        <v>132</v>
      </c>
      <c r="K306" s="89">
        <v>27114</v>
      </c>
      <c r="L306" s="89" t="s">
        <v>2114</v>
      </c>
      <c r="M306" s="89" t="str">
        <f t="shared" si="13"/>
        <v>3UNCERANS27114751310</v>
      </c>
      <c r="N306" s="89" t="str">
        <f t="shared" si="14"/>
        <v>3UNCERANS27114751300</v>
      </c>
      <c r="O306" s="90">
        <v>75</v>
      </c>
      <c r="P306" s="89">
        <v>3</v>
      </c>
      <c r="Q306" s="89" t="s">
        <v>1996</v>
      </c>
      <c r="R306" s="90">
        <v>1310</v>
      </c>
      <c r="S306" s="90">
        <v>4500</v>
      </c>
      <c r="T306" s="90">
        <v>1300</v>
      </c>
      <c r="U306" s="90">
        <v>1300</v>
      </c>
      <c r="V306" s="90">
        <v>2000</v>
      </c>
      <c r="W306" s="81">
        <v>2</v>
      </c>
      <c r="X306" s="82" t="s">
        <v>142</v>
      </c>
      <c r="Y306" s="83" t="s">
        <v>15</v>
      </c>
      <c r="Z306" s="84">
        <v>6</v>
      </c>
      <c r="AA306" s="85" t="s">
        <v>266</v>
      </c>
      <c r="AB306" s="86">
        <v>1450</v>
      </c>
      <c r="AC306" s="83"/>
      <c r="AD306" s="85"/>
      <c r="AE306" s="86"/>
      <c r="AF306" s="83"/>
      <c r="AG306" s="85"/>
      <c r="AH306" s="86"/>
      <c r="AI306" s="83"/>
      <c r="AJ306" s="85"/>
      <c r="AK306" s="86"/>
      <c r="AL306" s="87"/>
      <c r="AM306" s="88"/>
      <c r="AN306" s="88" t="s">
        <v>471</v>
      </c>
      <c r="AO306" s="230" t="str">
        <f t="shared" si="15"/>
        <v>3UNCERANS2711475</v>
      </c>
    </row>
    <row r="307" spans="1:41" x14ac:dyDescent="0.15">
      <c r="A307" s="80">
        <v>4114</v>
      </c>
      <c r="B307" s="89">
        <v>271</v>
      </c>
      <c r="C307" s="89"/>
      <c r="D307" s="89" t="s">
        <v>2112</v>
      </c>
      <c r="E307" s="89" t="s">
        <v>11</v>
      </c>
      <c r="F307" s="89" t="s">
        <v>184</v>
      </c>
      <c r="G307" s="89" t="str">
        <f t="shared" si="12"/>
        <v>3UYCERANS27114T1</v>
      </c>
      <c r="H307" s="89" t="s">
        <v>269</v>
      </c>
      <c r="I307" s="89" t="s">
        <v>2036</v>
      </c>
      <c r="J307" s="89" t="s">
        <v>132</v>
      </c>
      <c r="K307" s="89" t="s">
        <v>2130</v>
      </c>
      <c r="L307" s="89" t="s">
        <v>2131</v>
      </c>
      <c r="M307" s="89" t="str">
        <f t="shared" si="13"/>
        <v>3UYCERANS27114T1501310</v>
      </c>
      <c r="N307" s="89" t="str">
        <f t="shared" si="14"/>
        <v>3UYCERANS27114T1501300</v>
      </c>
      <c r="O307" s="90">
        <v>50</v>
      </c>
      <c r="P307" s="89">
        <v>3</v>
      </c>
      <c r="Q307" s="89" t="s">
        <v>503</v>
      </c>
      <c r="R307" s="90">
        <v>1310</v>
      </c>
      <c r="S307" s="90">
        <v>6400</v>
      </c>
      <c r="T307" s="90">
        <v>1300</v>
      </c>
      <c r="U307" s="90">
        <v>1300</v>
      </c>
      <c r="V307" s="90">
        <v>2200</v>
      </c>
      <c r="W307" s="81">
        <v>2</v>
      </c>
      <c r="X307" s="82" t="s">
        <v>142</v>
      </c>
      <c r="Y307" s="83" t="s">
        <v>15</v>
      </c>
      <c r="Z307" s="84">
        <v>6</v>
      </c>
      <c r="AA307" s="85" t="s">
        <v>16</v>
      </c>
      <c r="AB307" s="86">
        <v>1400</v>
      </c>
      <c r="AC307" s="83"/>
      <c r="AD307" s="85"/>
      <c r="AE307" s="86"/>
      <c r="AF307" s="83"/>
      <c r="AG307" s="85"/>
      <c r="AH307" s="86"/>
      <c r="AI307" s="83"/>
      <c r="AJ307" s="85"/>
      <c r="AK307" s="86"/>
      <c r="AL307" s="87"/>
      <c r="AM307" s="88"/>
      <c r="AN307" s="88" t="s">
        <v>471</v>
      </c>
      <c r="AO307" s="230" t="str">
        <f t="shared" si="15"/>
        <v>3UYCERANS27114T150</v>
      </c>
    </row>
    <row r="308" spans="1:41" x14ac:dyDescent="0.15">
      <c r="A308" s="80">
        <v>4114</v>
      </c>
      <c r="B308" s="89">
        <v>272</v>
      </c>
      <c r="C308" s="89">
        <v>36882</v>
      </c>
      <c r="D308" s="89" t="s">
        <v>525</v>
      </c>
      <c r="E308" s="89" t="s">
        <v>2120</v>
      </c>
      <c r="F308" s="89" t="s">
        <v>184</v>
      </c>
      <c r="G308" s="89" t="str">
        <f t="shared" si="12"/>
        <v>3UNCERANS27114</v>
      </c>
      <c r="H308" s="89" t="s">
        <v>269</v>
      </c>
      <c r="I308" s="89" t="s">
        <v>1550</v>
      </c>
      <c r="J308" s="89" t="s">
        <v>132</v>
      </c>
      <c r="K308" s="89">
        <v>27114</v>
      </c>
      <c r="L308" s="89" t="s">
        <v>2114</v>
      </c>
      <c r="M308" s="89" t="str">
        <f t="shared" si="13"/>
        <v>3UNCERANS27114381120</v>
      </c>
      <c r="N308" s="89" t="str">
        <f t="shared" si="14"/>
        <v>3UNCERANS2711438750</v>
      </c>
      <c r="O308" s="90">
        <v>38</v>
      </c>
      <c r="P308" s="89">
        <v>3</v>
      </c>
      <c r="Q308" s="89" t="s">
        <v>1996</v>
      </c>
      <c r="R308" s="90">
        <v>1120</v>
      </c>
      <c r="S308" s="90">
        <v>3000</v>
      </c>
      <c r="T308" s="90">
        <v>750</v>
      </c>
      <c r="U308" s="90">
        <v>750</v>
      </c>
      <c r="V308" s="90">
        <v>2800</v>
      </c>
      <c r="W308" s="81">
        <v>2</v>
      </c>
      <c r="X308" s="82" t="s">
        <v>142</v>
      </c>
      <c r="Y308" s="83" t="s">
        <v>295</v>
      </c>
      <c r="Z308" s="84">
        <v>6</v>
      </c>
      <c r="AA308" s="85" t="s">
        <v>266</v>
      </c>
      <c r="AB308" s="86">
        <v>1450</v>
      </c>
      <c r="AC308" s="83">
        <v>6</v>
      </c>
      <c r="AD308" s="85" t="s">
        <v>266</v>
      </c>
      <c r="AE308" s="86">
        <v>930</v>
      </c>
      <c r="AF308" s="83"/>
      <c r="AG308" s="85"/>
      <c r="AH308" s="86"/>
      <c r="AI308" s="83"/>
      <c r="AJ308" s="85"/>
      <c r="AK308" s="86"/>
      <c r="AL308" s="87"/>
      <c r="AM308" s="88"/>
      <c r="AN308" s="88" t="s">
        <v>471</v>
      </c>
      <c r="AO308" s="230" t="str">
        <f t="shared" si="15"/>
        <v>3UNCERANS2711438</v>
      </c>
    </row>
    <row r="309" spans="1:41" x14ac:dyDescent="0.15">
      <c r="A309" s="80">
        <v>4114</v>
      </c>
      <c r="B309" s="89">
        <v>272</v>
      </c>
      <c r="C309" s="89">
        <v>36882</v>
      </c>
      <c r="D309" s="89" t="s">
        <v>525</v>
      </c>
      <c r="E309" s="89" t="s">
        <v>2120</v>
      </c>
      <c r="F309" s="89" t="s">
        <v>184</v>
      </c>
      <c r="G309" s="89" t="str">
        <f t="shared" si="12"/>
        <v>3UNCERANS27114</v>
      </c>
      <c r="H309" s="89" t="s">
        <v>269</v>
      </c>
      <c r="I309" s="89" t="s">
        <v>1550</v>
      </c>
      <c r="J309" s="89" t="s">
        <v>132</v>
      </c>
      <c r="K309" s="89">
        <v>27114</v>
      </c>
      <c r="L309" s="89" t="s">
        <v>2114</v>
      </c>
      <c r="M309" s="89" t="str">
        <f t="shared" si="13"/>
        <v>3UNCERANS27114381120</v>
      </c>
      <c r="N309" s="89" t="str">
        <f t="shared" si="14"/>
        <v>3UNCERANS2711438750</v>
      </c>
      <c r="O309" s="90">
        <v>38</v>
      </c>
      <c r="P309" s="89">
        <v>3</v>
      </c>
      <c r="Q309" s="89" t="s">
        <v>526</v>
      </c>
      <c r="R309" s="90">
        <v>1120</v>
      </c>
      <c r="S309" s="90">
        <v>3000</v>
      </c>
      <c r="T309" s="90">
        <v>750</v>
      </c>
      <c r="U309" s="90">
        <v>750</v>
      </c>
      <c r="V309" s="90">
        <v>2800</v>
      </c>
      <c r="W309" s="81">
        <v>2</v>
      </c>
      <c r="X309" s="82" t="s">
        <v>142</v>
      </c>
      <c r="Y309" s="83" t="s">
        <v>295</v>
      </c>
      <c r="Z309" s="84">
        <v>6</v>
      </c>
      <c r="AA309" s="85" t="s">
        <v>266</v>
      </c>
      <c r="AB309" s="86">
        <v>1450</v>
      </c>
      <c r="AC309" s="83">
        <v>6</v>
      </c>
      <c r="AD309" s="85" t="s">
        <v>266</v>
      </c>
      <c r="AE309" s="86">
        <v>930</v>
      </c>
      <c r="AF309" s="83"/>
      <c r="AG309" s="85"/>
      <c r="AH309" s="86"/>
      <c r="AI309" s="83"/>
      <c r="AJ309" s="85"/>
      <c r="AK309" s="86"/>
      <c r="AL309" s="87"/>
      <c r="AM309" s="88"/>
      <c r="AN309" s="88" t="s">
        <v>471</v>
      </c>
      <c r="AO309" s="230" t="str">
        <f t="shared" si="15"/>
        <v>3UNCERANS2711438</v>
      </c>
    </row>
    <row r="310" spans="1:41" x14ac:dyDescent="0.15">
      <c r="A310" s="80">
        <v>4114</v>
      </c>
      <c r="B310" s="89">
        <v>272</v>
      </c>
      <c r="C310" s="89">
        <v>36882</v>
      </c>
      <c r="D310" s="89" t="s">
        <v>525</v>
      </c>
      <c r="E310" s="89" t="s">
        <v>2120</v>
      </c>
      <c r="F310" s="89" t="s">
        <v>184</v>
      </c>
      <c r="G310" s="89" t="str">
        <f t="shared" si="12"/>
        <v>3UNCERANS27114</v>
      </c>
      <c r="H310" s="89" t="s">
        <v>269</v>
      </c>
      <c r="I310" s="89" t="s">
        <v>1550</v>
      </c>
      <c r="J310" s="89" t="s">
        <v>132</v>
      </c>
      <c r="K310" s="89">
        <v>27114</v>
      </c>
      <c r="L310" s="89" t="s">
        <v>2114</v>
      </c>
      <c r="M310" s="89" t="str">
        <f t="shared" si="13"/>
        <v>3UNCERANS27114381050</v>
      </c>
      <c r="N310" s="89" t="str">
        <f t="shared" si="14"/>
        <v>3UNCERANS2711438750</v>
      </c>
      <c r="O310" s="90">
        <v>38</v>
      </c>
      <c r="P310" s="89">
        <v>3</v>
      </c>
      <c r="Q310" s="89" t="s">
        <v>526</v>
      </c>
      <c r="R310" s="90">
        <v>1050</v>
      </c>
      <c r="S310" s="90">
        <v>6100</v>
      </c>
      <c r="T310" s="90">
        <v>750</v>
      </c>
      <c r="U310" s="90">
        <v>750</v>
      </c>
      <c r="V310" s="90">
        <v>5800</v>
      </c>
      <c r="W310" s="81">
        <v>2</v>
      </c>
      <c r="X310" s="82" t="s">
        <v>142</v>
      </c>
      <c r="Y310" s="83" t="s">
        <v>295</v>
      </c>
      <c r="Z310" s="84">
        <v>6</v>
      </c>
      <c r="AA310" s="85" t="s">
        <v>266</v>
      </c>
      <c r="AB310" s="86">
        <v>1450</v>
      </c>
      <c r="AC310" s="83">
        <v>6</v>
      </c>
      <c r="AD310" s="85" t="s">
        <v>266</v>
      </c>
      <c r="AE310" s="86">
        <v>930</v>
      </c>
      <c r="AF310" s="83"/>
      <c r="AG310" s="85"/>
      <c r="AH310" s="86"/>
      <c r="AI310" s="83"/>
      <c r="AJ310" s="85"/>
      <c r="AK310" s="86"/>
      <c r="AL310" s="87"/>
      <c r="AM310" s="88"/>
      <c r="AN310" s="88" t="s">
        <v>471</v>
      </c>
      <c r="AO310" s="230" t="str">
        <f t="shared" si="15"/>
        <v>3UNCERANS2711438</v>
      </c>
    </row>
    <row r="311" spans="1:41" x14ac:dyDescent="0.15">
      <c r="A311" s="80">
        <v>4114</v>
      </c>
      <c r="B311" s="89">
        <v>279</v>
      </c>
      <c r="C311" s="89"/>
      <c r="D311" s="89" t="s">
        <v>2132</v>
      </c>
      <c r="E311" s="89" t="s">
        <v>127</v>
      </c>
      <c r="F311" s="89" t="s">
        <v>184</v>
      </c>
      <c r="G311" s="89" t="str">
        <f t="shared" si="12"/>
        <v>3UNCERANS27114</v>
      </c>
      <c r="H311" s="89" t="s">
        <v>269</v>
      </c>
      <c r="I311" s="89" t="s">
        <v>1550</v>
      </c>
      <c r="J311" s="89" t="s">
        <v>132</v>
      </c>
      <c r="K311" s="89">
        <v>27114</v>
      </c>
      <c r="L311" s="89" t="s">
        <v>2114</v>
      </c>
      <c r="M311" s="89" t="str">
        <f t="shared" si="13"/>
        <v>3UNCERANS27114501340</v>
      </c>
      <c r="N311" s="89" t="str">
        <f t="shared" si="14"/>
        <v>3UNCERANS27114501050</v>
      </c>
      <c r="O311" s="90">
        <v>50</v>
      </c>
      <c r="P311" s="89">
        <v>3</v>
      </c>
      <c r="Q311" s="89" t="s">
        <v>1996</v>
      </c>
      <c r="R311" s="90">
        <v>1340</v>
      </c>
      <c r="S311" s="90">
        <v>4200</v>
      </c>
      <c r="T311" s="90">
        <v>1050</v>
      </c>
      <c r="U311" s="90">
        <v>1050</v>
      </c>
      <c r="V311" s="90">
        <v>3900</v>
      </c>
      <c r="W311" s="81">
        <v>2</v>
      </c>
      <c r="X311" s="82" t="s">
        <v>142</v>
      </c>
      <c r="Y311" s="83" t="s">
        <v>295</v>
      </c>
      <c r="Z311" s="84">
        <v>6</v>
      </c>
      <c r="AA311" s="85" t="s">
        <v>266</v>
      </c>
      <c r="AB311" s="86">
        <v>1450</v>
      </c>
      <c r="AC311" s="83">
        <v>6</v>
      </c>
      <c r="AD311" s="85" t="s">
        <v>16</v>
      </c>
      <c r="AE311" s="86">
        <v>1100</v>
      </c>
      <c r="AF311" s="83"/>
      <c r="AG311" s="85"/>
      <c r="AH311" s="86"/>
      <c r="AI311" s="83"/>
      <c r="AJ311" s="85"/>
      <c r="AK311" s="86"/>
      <c r="AL311" s="87"/>
      <c r="AM311" s="88"/>
      <c r="AN311" s="88" t="s">
        <v>471</v>
      </c>
      <c r="AO311" s="230" t="str">
        <f t="shared" si="15"/>
        <v>3UNCERANS2711450</v>
      </c>
    </row>
    <row r="312" spans="1:41" x14ac:dyDescent="0.15">
      <c r="A312" s="80">
        <v>4114</v>
      </c>
      <c r="B312" s="89">
        <v>277</v>
      </c>
      <c r="C312" s="89"/>
      <c r="D312" s="89" t="s">
        <v>527</v>
      </c>
      <c r="E312" s="89" t="s">
        <v>2133</v>
      </c>
      <c r="F312" s="89" t="s">
        <v>184</v>
      </c>
      <c r="G312" s="89" t="str">
        <f t="shared" si="12"/>
        <v>3UNCERANS27116</v>
      </c>
      <c r="H312" s="89" t="s">
        <v>269</v>
      </c>
      <c r="I312" s="89" t="s">
        <v>1550</v>
      </c>
      <c r="J312" s="89" t="s">
        <v>132</v>
      </c>
      <c r="K312" s="89">
        <v>27116</v>
      </c>
      <c r="L312" s="89" t="s">
        <v>2134</v>
      </c>
      <c r="M312" s="89" t="str">
        <f t="shared" si="13"/>
        <v>3UNCERANS2711638930</v>
      </c>
      <c r="N312" s="89" t="str">
        <f t="shared" si="14"/>
        <v>3UNCERANS2711638230</v>
      </c>
      <c r="O312" s="90">
        <v>38</v>
      </c>
      <c r="P312" s="89">
        <v>3</v>
      </c>
      <c r="Q312" s="89" t="s">
        <v>2022</v>
      </c>
      <c r="R312" s="90">
        <v>930</v>
      </c>
      <c r="S312" s="90">
        <v>6225</v>
      </c>
      <c r="T312" s="90">
        <v>230</v>
      </c>
      <c r="U312" s="90">
        <v>230</v>
      </c>
      <c r="V312" s="90">
        <v>1000</v>
      </c>
      <c r="W312" s="81">
        <v>2</v>
      </c>
      <c r="X312" s="82" t="s">
        <v>142</v>
      </c>
      <c r="Y312" s="83" t="s">
        <v>295</v>
      </c>
      <c r="Z312" s="84">
        <v>6</v>
      </c>
      <c r="AA312" s="85" t="s">
        <v>266</v>
      </c>
      <c r="AB312" s="86">
        <v>1450</v>
      </c>
      <c r="AC312" s="83">
        <v>3</v>
      </c>
      <c r="AD312" s="85" t="s">
        <v>459</v>
      </c>
      <c r="AE312" s="86">
        <v>242</v>
      </c>
      <c r="AF312" s="83"/>
      <c r="AG312" s="85"/>
      <c r="AH312" s="86"/>
      <c r="AI312" s="83"/>
      <c r="AJ312" s="85"/>
      <c r="AK312" s="86"/>
      <c r="AL312" s="87"/>
      <c r="AM312" s="88"/>
      <c r="AN312" s="88" t="s">
        <v>471</v>
      </c>
      <c r="AO312" s="230" t="str">
        <f t="shared" si="15"/>
        <v>3UNCERANS2711638</v>
      </c>
    </row>
    <row r="313" spans="1:41" x14ac:dyDescent="0.15">
      <c r="A313" s="80">
        <v>4114</v>
      </c>
      <c r="B313" s="89">
        <v>277</v>
      </c>
      <c r="C313" s="89"/>
      <c r="D313" s="89" t="s">
        <v>527</v>
      </c>
      <c r="E313" s="89" t="s">
        <v>2133</v>
      </c>
      <c r="F313" s="89" t="s">
        <v>184</v>
      </c>
      <c r="G313" s="89" t="str">
        <f t="shared" si="12"/>
        <v>3UNCERANS27116</v>
      </c>
      <c r="H313" s="89" t="s">
        <v>269</v>
      </c>
      <c r="I313" s="89" t="s">
        <v>1550</v>
      </c>
      <c r="J313" s="89" t="s">
        <v>132</v>
      </c>
      <c r="K313" s="89">
        <v>27116</v>
      </c>
      <c r="L313" s="89" t="s">
        <v>2134</v>
      </c>
      <c r="M313" s="89" t="str">
        <f t="shared" si="13"/>
        <v>3UNCERANS2711638930</v>
      </c>
      <c r="N313" s="89" t="str">
        <f t="shared" si="14"/>
        <v>3UNCERANS2711638210</v>
      </c>
      <c r="O313" s="90">
        <v>38</v>
      </c>
      <c r="P313" s="89">
        <v>3</v>
      </c>
      <c r="Q313" s="89" t="s">
        <v>2022</v>
      </c>
      <c r="R313" s="90">
        <v>930</v>
      </c>
      <c r="S313" s="90">
        <v>6225</v>
      </c>
      <c r="T313" s="90">
        <v>210</v>
      </c>
      <c r="U313" s="90">
        <v>210</v>
      </c>
      <c r="V313" s="90">
        <v>1000</v>
      </c>
      <c r="W313" s="81">
        <v>2</v>
      </c>
      <c r="X313" s="82" t="s">
        <v>142</v>
      </c>
      <c r="Y313" s="83" t="s">
        <v>295</v>
      </c>
      <c r="Z313" s="84">
        <v>6</v>
      </c>
      <c r="AA313" s="85" t="s">
        <v>266</v>
      </c>
      <c r="AB313" s="86">
        <v>1450</v>
      </c>
      <c r="AC313" s="83">
        <v>3</v>
      </c>
      <c r="AD313" s="85" t="s">
        <v>459</v>
      </c>
      <c r="AE313" s="86">
        <v>242</v>
      </c>
      <c r="AF313" s="83"/>
      <c r="AG313" s="85"/>
      <c r="AH313" s="86"/>
      <c r="AI313" s="83"/>
      <c r="AJ313" s="85"/>
      <c r="AK313" s="86"/>
      <c r="AL313" s="87"/>
      <c r="AM313" s="88"/>
      <c r="AN313" s="88" t="s">
        <v>471</v>
      </c>
      <c r="AO313" s="230" t="str">
        <f t="shared" si="15"/>
        <v>3UNCERANS2711638</v>
      </c>
    </row>
    <row r="314" spans="1:41" x14ac:dyDescent="0.15">
      <c r="A314" s="80">
        <v>4114</v>
      </c>
      <c r="B314" s="89">
        <v>277</v>
      </c>
      <c r="C314" s="89"/>
      <c r="D314" s="89" t="s">
        <v>527</v>
      </c>
      <c r="E314" s="89" t="s">
        <v>2133</v>
      </c>
      <c r="F314" s="89" t="s">
        <v>184</v>
      </c>
      <c r="G314" s="89" t="str">
        <f t="shared" si="12"/>
        <v>3UNCERANS11116</v>
      </c>
      <c r="H314" s="89" t="s">
        <v>269</v>
      </c>
      <c r="I314" s="89" t="s">
        <v>1550</v>
      </c>
      <c r="J314" s="89" t="s">
        <v>132</v>
      </c>
      <c r="K314" s="89">
        <v>11116</v>
      </c>
      <c r="L314" s="89" t="s">
        <v>2135</v>
      </c>
      <c r="M314" s="89" t="str">
        <f t="shared" si="13"/>
        <v>3UNCERANS1111638930</v>
      </c>
      <c r="N314" s="89" t="str">
        <f t="shared" si="14"/>
        <v>3UNCERANS1111638230</v>
      </c>
      <c r="O314" s="90">
        <v>38</v>
      </c>
      <c r="P314" s="89">
        <v>3</v>
      </c>
      <c r="Q314" s="89" t="s">
        <v>2022</v>
      </c>
      <c r="R314" s="90">
        <v>930</v>
      </c>
      <c r="S314" s="90">
        <v>6225</v>
      </c>
      <c r="T314" s="90">
        <v>230</v>
      </c>
      <c r="U314" s="90">
        <v>230</v>
      </c>
      <c r="V314" s="90">
        <v>1000</v>
      </c>
      <c r="W314" s="81">
        <v>2</v>
      </c>
      <c r="X314" s="82" t="s">
        <v>142</v>
      </c>
      <c r="Y314" s="83" t="s">
        <v>295</v>
      </c>
      <c r="Z314" s="84">
        <v>6</v>
      </c>
      <c r="AA314" s="85" t="s">
        <v>266</v>
      </c>
      <c r="AB314" s="86">
        <v>1450</v>
      </c>
      <c r="AC314" s="83">
        <v>3</v>
      </c>
      <c r="AD314" s="85" t="s">
        <v>459</v>
      </c>
      <c r="AE314" s="86">
        <v>242</v>
      </c>
      <c r="AF314" s="83"/>
      <c r="AG314" s="85"/>
      <c r="AH314" s="86"/>
      <c r="AI314" s="83"/>
      <c r="AJ314" s="85"/>
      <c r="AK314" s="86"/>
      <c r="AL314" s="87"/>
      <c r="AM314" s="88"/>
      <c r="AN314" s="88" t="s">
        <v>471</v>
      </c>
      <c r="AO314" s="230" t="str">
        <f t="shared" si="15"/>
        <v>3UNCERANS1111638</v>
      </c>
    </row>
    <row r="315" spans="1:41" x14ac:dyDescent="0.15">
      <c r="A315" s="80">
        <v>4114</v>
      </c>
      <c r="B315" s="89">
        <v>277</v>
      </c>
      <c r="C315" s="89"/>
      <c r="D315" s="89" t="s">
        <v>527</v>
      </c>
      <c r="E315" s="89" t="s">
        <v>2133</v>
      </c>
      <c r="F315" s="89" t="s">
        <v>184</v>
      </c>
      <c r="G315" s="89" t="str">
        <f t="shared" si="12"/>
        <v>3UNCERANS11116</v>
      </c>
      <c r="H315" s="89" t="s">
        <v>269</v>
      </c>
      <c r="I315" s="89" t="s">
        <v>1550</v>
      </c>
      <c r="J315" s="89" t="s">
        <v>132</v>
      </c>
      <c r="K315" s="89">
        <v>11116</v>
      </c>
      <c r="L315" s="89" t="s">
        <v>2135</v>
      </c>
      <c r="M315" s="89" t="str">
        <f t="shared" si="13"/>
        <v>3UNCERANS1111638930</v>
      </c>
      <c r="N315" s="89" t="str">
        <f t="shared" si="14"/>
        <v>3UNCERANS1111638210</v>
      </c>
      <c r="O315" s="90">
        <v>38</v>
      </c>
      <c r="P315" s="89">
        <v>3</v>
      </c>
      <c r="Q315" s="89" t="s">
        <v>2022</v>
      </c>
      <c r="R315" s="90">
        <v>930</v>
      </c>
      <c r="S315" s="90">
        <v>6225</v>
      </c>
      <c r="T315" s="90">
        <v>210</v>
      </c>
      <c r="U315" s="90">
        <v>210</v>
      </c>
      <c r="V315" s="90">
        <v>1000</v>
      </c>
      <c r="W315" s="81">
        <v>2</v>
      </c>
      <c r="X315" s="82" t="s">
        <v>142</v>
      </c>
      <c r="Y315" s="83" t="s">
        <v>295</v>
      </c>
      <c r="Z315" s="84">
        <v>6</v>
      </c>
      <c r="AA315" s="85" t="s">
        <v>266</v>
      </c>
      <c r="AB315" s="86">
        <v>1450</v>
      </c>
      <c r="AC315" s="83">
        <v>3</v>
      </c>
      <c r="AD315" s="85" t="s">
        <v>459</v>
      </c>
      <c r="AE315" s="86">
        <v>242</v>
      </c>
      <c r="AF315" s="83"/>
      <c r="AG315" s="85"/>
      <c r="AH315" s="86"/>
      <c r="AI315" s="83"/>
      <c r="AJ315" s="85"/>
      <c r="AK315" s="86"/>
      <c r="AL315" s="87"/>
      <c r="AM315" s="88"/>
      <c r="AN315" s="88" t="s">
        <v>471</v>
      </c>
      <c r="AO315" s="230" t="str">
        <f t="shared" si="15"/>
        <v>3UNCERANS1111638</v>
      </c>
    </row>
    <row r="316" spans="1:41" x14ac:dyDescent="0.15">
      <c r="A316" s="80">
        <v>4114</v>
      </c>
      <c r="B316" s="89">
        <v>277</v>
      </c>
      <c r="C316" s="89"/>
      <c r="D316" s="89" t="s">
        <v>527</v>
      </c>
      <c r="E316" s="89" t="s">
        <v>2133</v>
      </c>
      <c r="F316" s="89" t="s">
        <v>184</v>
      </c>
      <c r="G316" s="89" t="str">
        <f t="shared" si="12"/>
        <v>3UNCERANS27136</v>
      </c>
      <c r="H316" s="89" t="s">
        <v>269</v>
      </c>
      <c r="I316" s="89" t="s">
        <v>1550</v>
      </c>
      <c r="J316" s="89" t="s">
        <v>132</v>
      </c>
      <c r="K316" s="89">
        <v>27136</v>
      </c>
      <c r="L316" s="89" t="s">
        <v>2136</v>
      </c>
      <c r="M316" s="89" t="str">
        <f t="shared" si="13"/>
        <v>3UNCERANS27136251116</v>
      </c>
      <c r="N316" s="89" t="str">
        <f t="shared" si="14"/>
        <v>3UNCERANS2713625230</v>
      </c>
      <c r="O316" s="90">
        <v>25</v>
      </c>
      <c r="P316" s="89">
        <v>3</v>
      </c>
      <c r="Q316" s="89" t="s">
        <v>528</v>
      </c>
      <c r="R316" s="90">
        <v>1116</v>
      </c>
      <c r="S316" s="90">
        <v>8500</v>
      </c>
      <c r="T316" s="90">
        <v>230</v>
      </c>
      <c r="U316" s="90">
        <v>230</v>
      </c>
      <c r="V316" s="90">
        <v>1000</v>
      </c>
      <c r="W316" s="81">
        <v>2</v>
      </c>
      <c r="X316" s="82" t="s">
        <v>142</v>
      </c>
      <c r="Y316" s="83" t="s">
        <v>295</v>
      </c>
      <c r="Z316" s="84">
        <v>6</v>
      </c>
      <c r="AA316" s="85" t="s">
        <v>266</v>
      </c>
      <c r="AB316" s="86">
        <v>1450</v>
      </c>
      <c r="AC316" s="83">
        <v>3</v>
      </c>
      <c r="AD316" s="85" t="s">
        <v>459</v>
      </c>
      <c r="AE316" s="86">
        <v>242</v>
      </c>
      <c r="AF316" s="83"/>
      <c r="AG316" s="85"/>
      <c r="AH316" s="86"/>
      <c r="AI316" s="83"/>
      <c r="AJ316" s="85"/>
      <c r="AK316" s="86"/>
      <c r="AL316" s="87"/>
      <c r="AM316" s="88"/>
      <c r="AN316" s="88" t="s">
        <v>471</v>
      </c>
      <c r="AO316" s="230" t="str">
        <f t="shared" si="15"/>
        <v>3UNCERANS2713625</v>
      </c>
    </row>
    <row r="317" spans="1:41" x14ac:dyDescent="0.15">
      <c r="A317" s="80">
        <v>4114</v>
      </c>
      <c r="B317" s="89">
        <v>277</v>
      </c>
      <c r="C317" s="89"/>
      <c r="D317" s="89" t="s">
        <v>527</v>
      </c>
      <c r="E317" s="89" t="s">
        <v>2133</v>
      </c>
      <c r="F317" s="89" t="s">
        <v>184</v>
      </c>
      <c r="G317" s="89" t="str">
        <f t="shared" si="12"/>
        <v>3UNCERANS27136</v>
      </c>
      <c r="H317" s="89" t="s">
        <v>269</v>
      </c>
      <c r="I317" s="89" t="s">
        <v>1550</v>
      </c>
      <c r="J317" s="89" t="s">
        <v>132</v>
      </c>
      <c r="K317" s="89">
        <v>27136</v>
      </c>
      <c r="L317" s="89" t="s">
        <v>2136</v>
      </c>
      <c r="M317" s="89" t="str">
        <f t="shared" si="13"/>
        <v>3UNCERANS27136251116</v>
      </c>
      <c r="N317" s="89" t="str">
        <f t="shared" si="14"/>
        <v>3UNCERANS2713625860</v>
      </c>
      <c r="O317" s="90">
        <v>25</v>
      </c>
      <c r="P317" s="89">
        <v>3</v>
      </c>
      <c r="Q317" s="89" t="s">
        <v>528</v>
      </c>
      <c r="R317" s="90">
        <v>1116</v>
      </c>
      <c r="S317" s="90">
        <v>8500</v>
      </c>
      <c r="T317" s="90">
        <v>860</v>
      </c>
      <c r="U317" s="90">
        <v>860</v>
      </c>
      <c r="V317" s="90">
        <v>1000</v>
      </c>
      <c r="W317" s="81">
        <v>2</v>
      </c>
      <c r="X317" s="82" t="s">
        <v>142</v>
      </c>
      <c r="Y317" s="83" t="s">
        <v>295</v>
      </c>
      <c r="Z317" s="84">
        <v>6</v>
      </c>
      <c r="AA317" s="85" t="s">
        <v>266</v>
      </c>
      <c r="AB317" s="86">
        <v>1450</v>
      </c>
      <c r="AC317" s="83">
        <v>3</v>
      </c>
      <c r="AD317" s="85" t="s">
        <v>459</v>
      </c>
      <c r="AE317" s="86">
        <v>898</v>
      </c>
      <c r="AF317" s="83"/>
      <c r="AG317" s="85"/>
      <c r="AH317" s="86"/>
      <c r="AI317" s="83"/>
      <c r="AJ317" s="85"/>
      <c r="AK317" s="86"/>
      <c r="AL317" s="87"/>
      <c r="AM317" s="88"/>
      <c r="AN317" s="88" t="s">
        <v>471</v>
      </c>
      <c r="AO317" s="230" t="str">
        <f t="shared" si="15"/>
        <v>3UNCERANS2713625</v>
      </c>
    </row>
    <row r="318" spans="1:41" x14ac:dyDescent="0.15">
      <c r="A318" s="80">
        <v>4114</v>
      </c>
      <c r="B318" s="89">
        <v>277</v>
      </c>
      <c r="C318" s="89"/>
      <c r="D318" s="89" t="s">
        <v>527</v>
      </c>
      <c r="E318" s="89" t="s">
        <v>2133</v>
      </c>
      <c r="F318" s="89" t="s">
        <v>184</v>
      </c>
      <c r="G318" s="89" t="str">
        <f t="shared" si="12"/>
        <v>3UNCERANSHP316</v>
      </c>
      <c r="H318" s="89" t="s">
        <v>269</v>
      </c>
      <c r="I318" s="89" t="s">
        <v>1550</v>
      </c>
      <c r="J318" s="89" t="s">
        <v>132</v>
      </c>
      <c r="K318" s="89" t="s">
        <v>2137</v>
      </c>
      <c r="L318" s="89" t="s">
        <v>2138</v>
      </c>
      <c r="M318" s="89" t="str">
        <f t="shared" si="13"/>
        <v>3UNCERANSHP31638930</v>
      </c>
      <c r="N318" s="89" t="str">
        <f t="shared" si="14"/>
        <v>3UNCERANSHP31638230</v>
      </c>
      <c r="O318" s="90">
        <v>38</v>
      </c>
      <c r="P318" s="89">
        <v>3</v>
      </c>
      <c r="Q318" s="89" t="s">
        <v>2022</v>
      </c>
      <c r="R318" s="90">
        <v>930</v>
      </c>
      <c r="S318" s="90">
        <v>6225</v>
      </c>
      <c r="T318" s="90">
        <v>230</v>
      </c>
      <c r="U318" s="90">
        <v>230</v>
      </c>
      <c r="V318" s="90">
        <v>1000</v>
      </c>
      <c r="W318" s="81">
        <v>2</v>
      </c>
      <c r="X318" s="82" t="s">
        <v>142</v>
      </c>
      <c r="Y318" s="83" t="s">
        <v>295</v>
      </c>
      <c r="Z318" s="84">
        <v>6</v>
      </c>
      <c r="AA318" s="85" t="s">
        <v>266</v>
      </c>
      <c r="AB318" s="86">
        <v>1450</v>
      </c>
      <c r="AC318" s="83">
        <v>3</v>
      </c>
      <c r="AD318" s="85" t="s">
        <v>459</v>
      </c>
      <c r="AE318" s="86">
        <v>242</v>
      </c>
      <c r="AF318" s="83"/>
      <c r="AG318" s="85"/>
      <c r="AH318" s="86"/>
      <c r="AI318" s="83"/>
      <c r="AJ318" s="85"/>
      <c r="AK318" s="86"/>
      <c r="AL318" s="87"/>
      <c r="AM318" s="88"/>
      <c r="AN318" s="88" t="s">
        <v>471</v>
      </c>
      <c r="AO318" s="230" t="str">
        <f t="shared" si="15"/>
        <v>3UNCERANSHP31638</v>
      </c>
    </row>
    <row r="319" spans="1:41" x14ac:dyDescent="0.15">
      <c r="A319" s="80">
        <v>4114</v>
      </c>
      <c r="B319" s="89">
        <v>277</v>
      </c>
      <c r="C319" s="89"/>
      <c r="D319" s="89" t="s">
        <v>527</v>
      </c>
      <c r="E319" s="89" t="s">
        <v>2133</v>
      </c>
      <c r="F319" s="89" t="s">
        <v>184</v>
      </c>
      <c r="G319" s="89" t="str">
        <f t="shared" si="12"/>
        <v>3UNCERANSHP316</v>
      </c>
      <c r="H319" s="89" t="s">
        <v>269</v>
      </c>
      <c r="I319" s="89" t="s">
        <v>1550</v>
      </c>
      <c r="J319" s="89" t="s">
        <v>132</v>
      </c>
      <c r="K319" s="89" t="s">
        <v>2137</v>
      </c>
      <c r="L319" s="89" t="s">
        <v>2138</v>
      </c>
      <c r="M319" s="89" t="str">
        <f t="shared" si="13"/>
        <v>3UNCERANSHP31638930</v>
      </c>
      <c r="N319" s="89" t="str">
        <f t="shared" si="14"/>
        <v>3UNCERANSHP31638210</v>
      </c>
      <c r="O319" s="90">
        <v>38</v>
      </c>
      <c r="P319" s="89">
        <v>3</v>
      </c>
      <c r="Q319" s="89" t="s">
        <v>2022</v>
      </c>
      <c r="R319" s="90">
        <v>930</v>
      </c>
      <c r="S319" s="90">
        <v>6225</v>
      </c>
      <c r="T319" s="90">
        <v>210</v>
      </c>
      <c r="U319" s="90">
        <v>210</v>
      </c>
      <c r="V319" s="90">
        <v>1000</v>
      </c>
      <c r="W319" s="81">
        <v>2</v>
      </c>
      <c r="X319" s="82" t="s">
        <v>142</v>
      </c>
      <c r="Y319" s="83" t="s">
        <v>295</v>
      </c>
      <c r="Z319" s="84">
        <v>6</v>
      </c>
      <c r="AA319" s="85" t="s">
        <v>266</v>
      </c>
      <c r="AB319" s="86">
        <v>1450</v>
      </c>
      <c r="AC319" s="83">
        <v>3</v>
      </c>
      <c r="AD319" s="85" t="s">
        <v>459</v>
      </c>
      <c r="AE319" s="86">
        <v>242</v>
      </c>
      <c r="AF319" s="83"/>
      <c r="AG319" s="85"/>
      <c r="AH319" s="86"/>
      <c r="AI319" s="83"/>
      <c r="AJ319" s="85"/>
      <c r="AK319" s="86"/>
      <c r="AL319" s="87"/>
      <c r="AM319" s="88"/>
      <c r="AN319" s="88" t="s">
        <v>471</v>
      </c>
      <c r="AO319" s="230" t="str">
        <f t="shared" si="15"/>
        <v>3UNCERANSHP31638</v>
      </c>
    </row>
    <row r="320" spans="1:41" x14ac:dyDescent="0.15">
      <c r="A320" s="105">
        <v>4114</v>
      </c>
      <c r="B320" s="106">
        <v>272</v>
      </c>
      <c r="C320" s="106">
        <v>3122</v>
      </c>
      <c r="D320" s="106" t="s">
        <v>131</v>
      </c>
      <c r="E320" s="106" t="s">
        <v>45</v>
      </c>
      <c r="F320" s="106" t="s">
        <v>46</v>
      </c>
      <c r="G320" s="106" t="str">
        <f t="shared" si="12"/>
        <v>3UNCERANSHP2UDF</v>
      </c>
      <c r="H320" s="106" t="s">
        <v>1662</v>
      </c>
      <c r="I320" s="106" t="s">
        <v>20</v>
      </c>
      <c r="J320" s="106" t="s">
        <v>132</v>
      </c>
      <c r="K320" s="106" t="s">
        <v>133</v>
      </c>
      <c r="L320" s="106" t="s">
        <v>134</v>
      </c>
      <c r="M320" s="106" t="str">
        <f t="shared" si="13"/>
        <v>3UNCERANSHP2UDF751230</v>
      </c>
      <c r="N320" s="106" t="str">
        <f t="shared" si="14"/>
        <v>3UNCERANSHP2UDF75600</v>
      </c>
      <c r="O320" s="107">
        <v>75</v>
      </c>
      <c r="P320" s="106">
        <v>3</v>
      </c>
      <c r="Q320" s="106" t="s">
        <v>135</v>
      </c>
      <c r="R320" s="107">
        <v>1230</v>
      </c>
      <c r="S320" s="107">
        <v>2100</v>
      </c>
      <c r="T320" s="107">
        <v>600</v>
      </c>
      <c r="U320" s="107">
        <v>600</v>
      </c>
      <c r="V320" s="107">
        <v>750</v>
      </c>
      <c r="W320" s="108">
        <v>2</v>
      </c>
      <c r="X320" s="109" t="s">
        <v>136</v>
      </c>
      <c r="Y320" s="83" t="s">
        <v>295</v>
      </c>
      <c r="Z320" s="111">
        <v>6</v>
      </c>
      <c r="AA320" s="112" t="s">
        <v>24</v>
      </c>
      <c r="AB320" s="113">
        <v>1450</v>
      </c>
      <c r="AC320" s="110">
        <v>3</v>
      </c>
      <c r="AD320" s="112" t="s">
        <v>39</v>
      </c>
      <c r="AE320" s="113">
        <v>605</v>
      </c>
      <c r="AF320" s="110"/>
      <c r="AG320" s="112"/>
      <c r="AH320" s="113"/>
      <c r="AI320" s="110"/>
      <c r="AJ320" s="112"/>
      <c r="AK320" s="113"/>
      <c r="AL320" s="114"/>
      <c r="AM320" s="115"/>
      <c r="AN320" s="115" t="s">
        <v>471</v>
      </c>
      <c r="AO320" s="196" t="str">
        <f t="shared" si="15"/>
        <v>3UNCERANSHP2UDF75</v>
      </c>
    </row>
    <row r="321" spans="1:41" x14ac:dyDescent="0.15">
      <c r="A321" s="105">
        <v>4114</v>
      </c>
      <c r="B321" s="106">
        <v>272</v>
      </c>
      <c r="C321" s="106">
        <v>3122</v>
      </c>
      <c r="D321" s="106" t="s">
        <v>131</v>
      </c>
      <c r="E321" s="106" t="s">
        <v>45</v>
      </c>
      <c r="F321" s="106" t="s">
        <v>46</v>
      </c>
      <c r="G321" s="106" t="str">
        <f t="shared" si="12"/>
        <v>3UNCERANSHP2SDF</v>
      </c>
      <c r="H321" s="106" t="s">
        <v>1662</v>
      </c>
      <c r="I321" s="106" t="s">
        <v>20</v>
      </c>
      <c r="J321" s="106" t="s">
        <v>132</v>
      </c>
      <c r="K321" s="106" t="s">
        <v>2139</v>
      </c>
      <c r="L321" s="106" t="s">
        <v>2140</v>
      </c>
      <c r="M321" s="106" t="str">
        <f t="shared" si="13"/>
        <v>3UNCERANSHP2SDF751150</v>
      </c>
      <c r="N321" s="106" t="str">
        <f t="shared" si="14"/>
        <v>3UNCERANSHP2SDF75600</v>
      </c>
      <c r="O321" s="107">
        <v>75</v>
      </c>
      <c r="P321" s="106">
        <v>3</v>
      </c>
      <c r="Q321" s="106" t="s">
        <v>1996</v>
      </c>
      <c r="R321" s="107">
        <v>1150</v>
      </c>
      <c r="S321" s="107">
        <v>3800</v>
      </c>
      <c r="T321" s="107">
        <v>600</v>
      </c>
      <c r="U321" s="107">
        <v>600</v>
      </c>
      <c r="V321" s="107">
        <v>750</v>
      </c>
      <c r="W321" s="108">
        <v>2</v>
      </c>
      <c r="X321" s="109" t="s">
        <v>136</v>
      </c>
      <c r="Y321" s="83" t="s">
        <v>295</v>
      </c>
      <c r="Z321" s="111">
        <v>6</v>
      </c>
      <c r="AA321" s="112" t="s">
        <v>24</v>
      </c>
      <c r="AB321" s="113">
        <v>1450</v>
      </c>
      <c r="AC321" s="110">
        <v>3</v>
      </c>
      <c r="AD321" s="112" t="s">
        <v>39</v>
      </c>
      <c r="AE321" s="113">
        <v>605</v>
      </c>
      <c r="AF321" s="110"/>
      <c r="AG321" s="112"/>
      <c r="AH321" s="113"/>
      <c r="AI321" s="110"/>
      <c r="AJ321" s="112"/>
      <c r="AK321" s="113"/>
      <c r="AL321" s="114"/>
      <c r="AM321" s="115"/>
      <c r="AN321" s="115" t="s">
        <v>471</v>
      </c>
      <c r="AO321" s="196" t="str">
        <f t="shared" si="15"/>
        <v>3UNCERANSHP2SDF75</v>
      </c>
    </row>
    <row r="322" spans="1:41" x14ac:dyDescent="0.15">
      <c r="A322" s="105">
        <v>4114</v>
      </c>
      <c r="B322" s="106">
        <v>272</v>
      </c>
      <c r="C322" s="106">
        <v>3122</v>
      </c>
      <c r="D322" s="106" t="s">
        <v>131</v>
      </c>
      <c r="E322" s="106" t="s">
        <v>45</v>
      </c>
      <c r="F322" s="106" t="s">
        <v>46</v>
      </c>
      <c r="G322" s="106" t="str">
        <f t="shared" si="12"/>
        <v>3UNCERANSHP2SDF</v>
      </c>
      <c r="H322" s="106" t="s">
        <v>1662</v>
      </c>
      <c r="I322" s="106" t="s">
        <v>20</v>
      </c>
      <c r="J322" s="106" t="s">
        <v>132</v>
      </c>
      <c r="K322" s="106" t="s">
        <v>2139</v>
      </c>
      <c r="L322" s="106" t="s">
        <v>2140</v>
      </c>
      <c r="M322" s="106" t="str">
        <f t="shared" si="13"/>
        <v>3UNCERANSHP2SDF751120</v>
      </c>
      <c r="N322" s="106" t="str">
        <f t="shared" si="14"/>
        <v>3UNCERANSHP2SDF75600</v>
      </c>
      <c r="O322" s="107">
        <v>75</v>
      </c>
      <c r="P322" s="106">
        <v>3</v>
      </c>
      <c r="Q322" s="106" t="s">
        <v>1996</v>
      </c>
      <c r="R322" s="107">
        <v>1120</v>
      </c>
      <c r="S322" s="107">
        <v>4000</v>
      </c>
      <c r="T322" s="107">
        <v>600</v>
      </c>
      <c r="U322" s="107">
        <v>600</v>
      </c>
      <c r="V322" s="107">
        <v>750</v>
      </c>
      <c r="W322" s="108">
        <v>2</v>
      </c>
      <c r="X322" s="109" t="s">
        <v>136</v>
      </c>
      <c r="Y322" s="83" t="s">
        <v>295</v>
      </c>
      <c r="Z322" s="111">
        <v>6</v>
      </c>
      <c r="AA322" s="112" t="s">
        <v>24</v>
      </c>
      <c r="AB322" s="113">
        <v>1450</v>
      </c>
      <c r="AC322" s="110">
        <v>3</v>
      </c>
      <c r="AD322" s="112" t="s">
        <v>39</v>
      </c>
      <c r="AE322" s="113">
        <v>605</v>
      </c>
      <c r="AF322" s="110"/>
      <c r="AG322" s="112"/>
      <c r="AH322" s="113"/>
      <c r="AI322" s="110"/>
      <c r="AJ322" s="112"/>
      <c r="AK322" s="113"/>
      <c r="AL322" s="114"/>
      <c r="AM322" s="115"/>
      <c r="AN322" s="115" t="s">
        <v>471</v>
      </c>
      <c r="AO322" s="196" t="str">
        <f t="shared" si="15"/>
        <v>3UNCERANSHP2SDF75</v>
      </c>
    </row>
    <row r="323" spans="1:41" x14ac:dyDescent="0.15">
      <c r="A323" s="105">
        <v>4114</v>
      </c>
      <c r="B323" s="106">
        <v>272</v>
      </c>
      <c r="C323" s="106">
        <v>3122</v>
      </c>
      <c r="D323" s="106" t="s">
        <v>131</v>
      </c>
      <c r="E323" s="106" t="s">
        <v>45</v>
      </c>
      <c r="F323" s="106" t="s">
        <v>46</v>
      </c>
      <c r="G323" s="106" t="str">
        <f t="shared" si="12"/>
        <v>3UNCERANSHP2SDF</v>
      </c>
      <c r="H323" s="106" t="s">
        <v>1662</v>
      </c>
      <c r="I323" s="106" t="s">
        <v>20</v>
      </c>
      <c r="J323" s="106" t="s">
        <v>132</v>
      </c>
      <c r="K323" s="106" t="s">
        <v>2139</v>
      </c>
      <c r="L323" s="106" t="s">
        <v>2140</v>
      </c>
      <c r="M323" s="106" t="str">
        <f t="shared" si="13"/>
        <v>3UNCERANSHP2SDF751120</v>
      </c>
      <c r="N323" s="106" t="str">
        <f t="shared" si="14"/>
        <v>3UNCERANSHP2SDF75360</v>
      </c>
      <c r="O323" s="107">
        <v>75</v>
      </c>
      <c r="P323" s="106">
        <v>3</v>
      </c>
      <c r="Q323" s="106" t="s">
        <v>1996</v>
      </c>
      <c r="R323" s="107">
        <v>1120</v>
      </c>
      <c r="S323" s="107">
        <v>4000</v>
      </c>
      <c r="T323" s="107">
        <v>360</v>
      </c>
      <c r="U323" s="107">
        <v>360</v>
      </c>
      <c r="V323" s="107">
        <v>900</v>
      </c>
      <c r="W323" s="108">
        <v>2</v>
      </c>
      <c r="X323" s="109" t="s">
        <v>136</v>
      </c>
      <c r="Y323" s="83" t="s">
        <v>295</v>
      </c>
      <c r="Z323" s="111">
        <v>6</v>
      </c>
      <c r="AA323" s="112" t="s">
        <v>24</v>
      </c>
      <c r="AB323" s="113">
        <v>1450</v>
      </c>
      <c r="AC323" s="110">
        <v>3</v>
      </c>
      <c r="AD323" s="112" t="s">
        <v>39</v>
      </c>
      <c r="AE323" s="113"/>
      <c r="AF323" s="110"/>
      <c r="AG323" s="112"/>
      <c r="AH323" s="113"/>
      <c r="AI323" s="110"/>
      <c r="AJ323" s="112"/>
      <c r="AK323" s="113"/>
      <c r="AL323" s="114"/>
      <c r="AM323" s="115"/>
      <c r="AN323" s="115" t="s">
        <v>471</v>
      </c>
      <c r="AO323" s="196" t="str">
        <f t="shared" si="15"/>
        <v>3UNCERANSHP2SDF75</v>
      </c>
    </row>
    <row r="324" spans="1:41" x14ac:dyDescent="0.15">
      <c r="A324" s="105">
        <v>4114</v>
      </c>
      <c r="B324" s="106">
        <v>272</v>
      </c>
      <c r="C324" s="106">
        <v>3122</v>
      </c>
      <c r="D324" s="106" t="s">
        <v>1148</v>
      </c>
      <c r="E324" s="106" t="s">
        <v>45</v>
      </c>
      <c r="F324" s="106" t="s">
        <v>46</v>
      </c>
      <c r="G324" s="106" t="str">
        <f t="shared" si="12"/>
        <v>3UNCERANSHP216</v>
      </c>
      <c r="H324" s="106" t="s">
        <v>1662</v>
      </c>
      <c r="I324" s="106" t="s">
        <v>20</v>
      </c>
      <c r="J324" s="106" t="s">
        <v>132</v>
      </c>
      <c r="K324" s="106" t="s">
        <v>2141</v>
      </c>
      <c r="L324" s="106" t="s">
        <v>2142</v>
      </c>
      <c r="M324" s="106" t="str">
        <f t="shared" si="13"/>
        <v>3UNCERANSHP2162501050</v>
      </c>
      <c r="N324" s="106" t="str">
        <f t="shared" si="14"/>
        <v>3UNCERANSHP216250720</v>
      </c>
      <c r="O324" s="107">
        <v>250</v>
      </c>
      <c r="P324" s="106">
        <v>3</v>
      </c>
      <c r="Q324" s="106" t="s">
        <v>1147</v>
      </c>
      <c r="R324" s="107">
        <v>1050</v>
      </c>
      <c r="S324" s="107">
        <v>6000</v>
      </c>
      <c r="T324" s="107">
        <v>720</v>
      </c>
      <c r="U324" s="107">
        <v>720</v>
      </c>
      <c r="V324" s="107">
        <v>800</v>
      </c>
      <c r="W324" s="108">
        <v>2</v>
      </c>
      <c r="X324" s="109" t="s">
        <v>136</v>
      </c>
      <c r="Y324" s="83" t="s">
        <v>1151</v>
      </c>
      <c r="Z324" s="111">
        <v>6</v>
      </c>
      <c r="AA324" s="112" t="s">
        <v>24</v>
      </c>
      <c r="AB324" s="113">
        <v>1450</v>
      </c>
      <c r="AC324" s="110">
        <v>3</v>
      </c>
      <c r="AD324" s="112" t="s">
        <v>39</v>
      </c>
      <c r="AE324" s="113"/>
      <c r="AF324" s="110"/>
      <c r="AG324" s="112"/>
      <c r="AH324" s="113"/>
      <c r="AI324" s="110"/>
      <c r="AJ324" s="112"/>
      <c r="AK324" s="113"/>
      <c r="AL324" s="114"/>
      <c r="AM324" s="115"/>
      <c r="AN324" s="115" t="s">
        <v>471</v>
      </c>
      <c r="AO324" s="196" t="str">
        <f t="shared" si="15"/>
        <v>3UNCERANSHP216250</v>
      </c>
    </row>
    <row r="325" spans="1:41" x14ac:dyDescent="0.15">
      <c r="A325" s="80">
        <v>4114</v>
      </c>
      <c r="B325" s="89">
        <v>272</v>
      </c>
      <c r="C325" s="89"/>
      <c r="D325" s="89" t="s">
        <v>2143</v>
      </c>
      <c r="E325" s="89" t="s">
        <v>2120</v>
      </c>
      <c r="F325" s="89" t="s">
        <v>184</v>
      </c>
      <c r="G325" s="89" t="str">
        <f t="shared" si="12"/>
        <v>3UNCERA</v>
      </c>
      <c r="H325" s="89" t="s">
        <v>269</v>
      </c>
      <c r="I325" s="89" t="s">
        <v>1550</v>
      </c>
      <c r="J325" s="89" t="s">
        <v>21</v>
      </c>
      <c r="K325" s="89"/>
      <c r="L325" s="89" t="s">
        <v>2144</v>
      </c>
      <c r="M325" s="89" t="str">
        <f t="shared" si="13"/>
        <v>3UNCERA251045</v>
      </c>
      <c r="N325" s="89" t="str">
        <f t="shared" si="14"/>
        <v>3UNCERA251005</v>
      </c>
      <c r="O325" s="90">
        <v>25</v>
      </c>
      <c r="P325" s="89">
        <v>3</v>
      </c>
      <c r="Q325" s="89" t="s">
        <v>78</v>
      </c>
      <c r="R325" s="90">
        <v>1045</v>
      </c>
      <c r="S325" s="90">
        <v>12500</v>
      </c>
      <c r="T325" s="90">
        <v>1005</v>
      </c>
      <c r="U325" s="90">
        <v>1005</v>
      </c>
      <c r="V325" s="90">
        <v>6000</v>
      </c>
      <c r="W325" s="81">
        <v>1</v>
      </c>
      <c r="X325" s="82" t="s">
        <v>14</v>
      </c>
      <c r="Y325" s="83" t="s">
        <v>25</v>
      </c>
      <c r="Z325" s="84">
        <v>6</v>
      </c>
      <c r="AA325" s="85" t="s">
        <v>266</v>
      </c>
      <c r="AB325" s="86">
        <v>1450</v>
      </c>
      <c r="AC325" s="83">
        <v>6</v>
      </c>
      <c r="AD325" s="85" t="s">
        <v>272</v>
      </c>
      <c r="AE325" s="86">
        <v>1153</v>
      </c>
      <c r="AF325" s="83"/>
      <c r="AG325" s="85"/>
      <c r="AH325" s="86"/>
      <c r="AI325" s="83"/>
      <c r="AJ325" s="85"/>
      <c r="AK325" s="86"/>
      <c r="AL325" s="87"/>
      <c r="AM325" s="88"/>
      <c r="AN325" s="88" t="s">
        <v>471</v>
      </c>
      <c r="AO325" s="230" t="str">
        <f t="shared" si="15"/>
        <v>3UNCERA25</v>
      </c>
    </row>
    <row r="326" spans="1:41" x14ac:dyDescent="0.15">
      <c r="A326" s="80">
        <v>4114</v>
      </c>
      <c r="B326" s="89">
        <v>272</v>
      </c>
      <c r="C326" s="89"/>
      <c r="D326" s="89" t="s">
        <v>2143</v>
      </c>
      <c r="E326" s="89" t="s">
        <v>2120</v>
      </c>
      <c r="F326" s="89" t="s">
        <v>184</v>
      </c>
      <c r="G326" s="89" t="str">
        <f t="shared" si="12"/>
        <v>3UNCERA</v>
      </c>
      <c r="H326" s="89" t="s">
        <v>269</v>
      </c>
      <c r="I326" s="89" t="s">
        <v>1550</v>
      </c>
      <c r="J326" s="89" t="s">
        <v>21</v>
      </c>
      <c r="K326" s="89"/>
      <c r="L326" s="89" t="s">
        <v>2145</v>
      </c>
      <c r="M326" s="89" t="str">
        <f t="shared" si="13"/>
        <v>3UNCERA251045</v>
      </c>
      <c r="N326" s="89" t="str">
        <f t="shared" si="14"/>
        <v>3UNCERA251005</v>
      </c>
      <c r="O326" s="90">
        <v>25</v>
      </c>
      <c r="P326" s="89">
        <v>3</v>
      </c>
      <c r="Q326" s="89" t="s">
        <v>78</v>
      </c>
      <c r="R326" s="90">
        <v>1045</v>
      </c>
      <c r="S326" s="90">
        <v>12500</v>
      </c>
      <c r="T326" s="90">
        <v>1005</v>
      </c>
      <c r="U326" s="90">
        <v>1005</v>
      </c>
      <c r="V326" s="90">
        <v>6000</v>
      </c>
      <c r="W326" s="81">
        <v>1</v>
      </c>
      <c r="X326" s="82" t="s">
        <v>14</v>
      </c>
      <c r="Y326" s="83" t="s">
        <v>25</v>
      </c>
      <c r="Z326" s="84">
        <v>6</v>
      </c>
      <c r="AA326" s="85" t="s">
        <v>266</v>
      </c>
      <c r="AB326" s="86">
        <v>1450</v>
      </c>
      <c r="AC326" s="83">
        <v>6</v>
      </c>
      <c r="AD326" s="85" t="s">
        <v>272</v>
      </c>
      <c r="AE326" s="86">
        <v>1153</v>
      </c>
      <c r="AF326" s="83"/>
      <c r="AG326" s="85"/>
      <c r="AH326" s="86"/>
      <c r="AI326" s="83"/>
      <c r="AJ326" s="85"/>
      <c r="AK326" s="86"/>
      <c r="AL326" s="87"/>
      <c r="AM326" s="88"/>
      <c r="AN326" s="88" t="s">
        <v>471</v>
      </c>
      <c r="AO326" s="230" t="str">
        <f t="shared" si="15"/>
        <v>3UNCERA25</v>
      </c>
    </row>
    <row r="327" spans="1:41" ht="15" customHeight="1" x14ac:dyDescent="0.15">
      <c r="A327" s="80">
        <v>4114</v>
      </c>
      <c r="B327" s="89">
        <v>274</v>
      </c>
      <c r="C327" s="89">
        <v>36888</v>
      </c>
      <c r="D327" s="89" t="s">
        <v>65</v>
      </c>
      <c r="E327" s="89" t="s">
        <v>66</v>
      </c>
      <c r="F327" s="89" t="s">
        <v>12</v>
      </c>
      <c r="G327" s="89" t="str">
        <f t="shared" si="12"/>
        <v>3UNCERAMDAR</v>
      </c>
      <c r="H327" s="89" t="s">
        <v>1662</v>
      </c>
      <c r="I327" s="89" t="s">
        <v>1550</v>
      </c>
      <c r="J327" s="89" t="s">
        <v>1552</v>
      </c>
      <c r="K327" s="89" t="s">
        <v>2046</v>
      </c>
      <c r="L327" s="89" t="s">
        <v>2047</v>
      </c>
      <c r="M327" s="89" t="str">
        <f t="shared" si="13"/>
        <v>3UNCERAMDAR1251105</v>
      </c>
      <c r="N327" s="89" t="str">
        <f t="shared" si="14"/>
        <v>3UNCERAMDAR1251100</v>
      </c>
      <c r="O327" s="90">
        <v>125</v>
      </c>
      <c r="P327" s="89">
        <v>3</v>
      </c>
      <c r="Q327" s="89" t="s">
        <v>72</v>
      </c>
      <c r="R327" s="90">
        <v>1105</v>
      </c>
      <c r="S327" s="90">
        <v>3450</v>
      </c>
      <c r="T327" s="90">
        <v>1105</v>
      </c>
      <c r="U327" s="90">
        <v>1100</v>
      </c>
      <c r="V327" s="90">
        <v>3400</v>
      </c>
      <c r="W327" s="81">
        <v>2</v>
      </c>
      <c r="X327" s="82" t="s">
        <v>14</v>
      </c>
      <c r="Y327" s="83" t="s">
        <v>15</v>
      </c>
      <c r="Z327" s="84">
        <v>6</v>
      </c>
      <c r="AA327" s="85" t="s">
        <v>24</v>
      </c>
      <c r="AB327" s="86">
        <v>1450</v>
      </c>
      <c r="AC327" s="83"/>
      <c r="AD327" s="85"/>
      <c r="AE327" s="86"/>
      <c r="AF327" s="83"/>
      <c r="AG327" s="85"/>
      <c r="AH327" s="86"/>
      <c r="AI327" s="83"/>
      <c r="AJ327" s="85"/>
      <c r="AK327" s="86"/>
      <c r="AL327" s="87"/>
      <c r="AM327" s="88"/>
      <c r="AN327" s="88" t="s">
        <v>473</v>
      </c>
      <c r="AO327" s="230" t="str">
        <f t="shared" si="15"/>
        <v>3UNCERAMDAR125</v>
      </c>
    </row>
    <row r="328" spans="1:41" x14ac:dyDescent="0.15">
      <c r="A328" s="80">
        <v>4114</v>
      </c>
      <c r="B328" s="89">
        <v>274</v>
      </c>
      <c r="C328" s="89">
        <v>36888</v>
      </c>
      <c r="D328" s="106" t="s">
        <v>2146</v>
      </c>
      <c r="E328" s="89" t="s">
        <v>2147</v>
      </c>
      <c r="F328" s="89" t="s">
        <v>184</v>
      </c>
      <c r="G328" s="89" t="str">
        <f t="shared" si="12"/>
        <v>3UNCERAMDA01</v>
      </c>
      <c r="H328" s="89" t="s">
        <v>269</v>
      </c>
      <c r="I328" s="89" t="s">
        <v>1550</v>
      </c>
      <c r="J328" s="89" t="s">
        <v>21</v>
      </c>
      <c r="K328" s="89" t="s">
        <v>2148</v>
      </c>
      <c r="L328" s="89" t="s">
        <v>2149</v>
      </c>
      <c r="M328" s="89" t="str">
        <f t="shared" si="13"/>
        <v>3UNCERAMDA01381560</v>
      </c>
      <c r="N328" s="89" t="str">
        <f t="shared" si="14"/>
        <v>3UNCERAMDA01381560</v>
      </c>
      <c r="O328" s="90">
        <v>38</v>
      </c>
      <c r="P328" s="89">
        <v>3</v>
      </c>
      <c r="Q328" s="89" t="s">
        <v>2023</v>
      </c>
      <c r="R328" s="90">
        <v>1560</v>
      </c>
      <c r="S328" s="90">
        <v>7700</v>
      </c>
      <c r="T328" s="90">
        <v>1560</v>
      </c>
      <c r="U328" s="90">
        <v>1560</v>
      </c>
      <c r="V328" s="90">
        <v>3500</v>
      </c>
      <c r="W328" s="81">
        <v>2</v>
      </c>
      <c r="X328" s="82" t="s">
        <v>14</v>
      </c>
      <c r="Y328" s="83" t="s">
        <v>27</v>
      </c>
      <c r="Z328" s="84">
        <v>6</v>
      </c>
      <c r="AA328" s="85" t="s">
        <v>24</v>
      </c>
      <c r="AB328" s="86">
        <v>1700</v>
      </c>
      <c r="AC328" s="83"/>
      <c r="AD328" s="85"/>
      <c r="AE328" s="86"/>
      <c r="AF328" s="83"/>
      <c r="AG328" s="85"/>
      <c r="AH328" s="86"/>
      <c r="AI328" s="83"/>
      <c r="AJ328" s="85"/>
      <c r="AK328" s="86"/>
      <c r="AL328" s="87"/>
      <c r="AM328" s="88"/>
      <c r="AN328" s="88" t="s">
        <v>471</v>
      </c>
      <c r="AO328" s="230" t="str">
        <f t="shared" si="15"/>
        <v>3UNCERAMDA0138</v>
      </c>
    </row>
    <row r="329" spans="1:41" x14ac:dyDescent="0.15">
      <c r="A329" s="80">
        <v>4114</v>
      </c>
      <c r="B329" s="89">
        <v>274</v>
      </c>
      <c r="C329" s="89">
        <v>36888</v>
      </c>
      <c r="D329" s="106" t="s">
        <v>2146</v>
      </c>
      <c r="E329" s="89" t="s">
        <v>2147</v>
      </c>
      <c r="F329" s="89" t="s">
        <v>184</v>
      </c>
      <c r="G329" s="89" t="str">
        <f t="shared" si="12"/>
        <v>3UNCERAMDA01</v>
      </c>
      <c r="H329" s="89" t="s">
        <v>269</v>
      </c>
      <c r="I329" s="89" t="s">
        <v>1550</v>
      </c>
      <c r="J329" s="89" t="s">
        <v>21</v>
      </c>
      <c r="K329" s="89" t="s">
        <v>2148</v>
      </c>
      <c r="L329" s="89" t="s">
        <v>2149</v>
      </c>
      <c r="M329" s="89" t="str">
        <f t="shared" si="13"/>
        <v>3UNCERAMDA01381320</v>
      </c>
      <c r="N329" s="89" t="str">
        <f t="shared" si="14"/>
        <v>3UNCERAMDA01381320</v>
      </c>
      <c r="O329" s="90">
        <v>38</v>
      </c>
      <c r="P329" s="89">
        <v>3</v>
      </c>
      <c r="Q329" s="89" t="s">
        <v>2023</v>
      </c>
      <c r="R329" s="90">
        <v>1320</v>
      </c>
      <c r="S329" s="90">
        <v>7700</v>
      </c>
      <c r="T329" s="90">
        <v>1320</v>
      </c>
      <c r="U329" s="90">
        <v>1320</v>
      </c>
      <c r="V329" s="90">
        <v>7500</v>
      </c>
      <c r="W329" s="81">
        <v>2</v>
      </c>
      <c r="X329" s="82" t="s">
        <v>14</v>
      </c>
      <c r="Y329" s="83" t="s">
        <v>15</v>
      </c>
      <c r="Z329" s="84">
        <v>6</v>
      </c>
      <c r="AA329" s="85" t="s">
        <v>24</v>
      </c>
      <c r="AB329" s="86">
        <v>1450</v>
      </c>
      <c r="AC329" s="83"/>
      <c r="AD329" s="85"/>
      <c r="AE329" s="86"/>
      <c r="AF329" s="83"/>
      <c r="AG329" s="85"/>
      <c r="AH329" s="86"/>
      <c r="AI329" s="83"/>
      <c r="AJ329" s="85"/>
      <c r="AK329" s="86"/>
      <c r="AL329" s="87"/>
      <c r="AM329" s="88"/>
      <c r="AN329" s="88" t="s">
        <v>471</v>
      </c>
      <c r="AO329" s="230" t="str">
        <f t="shared" si="15"/>
        <v>3UNCERAMDA0138</v>
      </c>
    </row>
    <row r="330" spans="1:41" x14ac:dyDescent="0.15">
      <c r="A330" s="80">
        <v>4114</v>
      </c>
      <c r="B330" s="89">
        <v>274</v>
      </c>
      <c r="C330" s="89">
        <v>36888</v>
      </c>
      <c r="D330" s="89" t="s">
        <v>65</v>
      </c>
      <c r="E330" s="89" t="s">
        <v>66</v>
      </c>
      <c r="F330" s="89" t="s">
        <v>12</v>
      </c>
      <c r="G330" s="89" t="str">
        <f t="shared" si="12"/>
        <v>3UNCERAMDAPFL</v>
      </c>
      <c r="H330" s="89" t="s">
        <v>1662</v>
      </c>
      <c r="I330" s="89" t="s">
        <v>20</v>
      </c>
      <c r="J330" s="89" t="s">
        <v>21</v>
      </c>
      <c r="K330" s="89" t="s">
        <v>70</v>
      </c>
      <c r="L330" s="89" t="s">
        <v>71</v>
      </c>
      <c r="M330" s="89" t="str">
        <f t="shared" si="13"/>
        <v>3UNCERAMDAPFL381336</v>
      </c>
      <c r="N330" s="89" t="str">
        <f t="shared" si="14"/>
        <v>3UNCERAMDAPFL381325</v>
      </c>
      <c r="O330" s="90">
        <v>38</v>
      </c>
      <c r="P330" s="89">
        <v>3</v>
      </c>
      <c r="Q330" s="89" t="s">
        <v>504</v>
      </c>
      <c r="R330" s="90">
        <v>1336</v>
      </c>
      <c r="S330" s="90">
        <v>12050</v>
      </c>
      <c r="T330" s="90">
        <v>1336</v>
      </c>
      <c r="U330" s="90">
        <v>1325</v>
      </c>
      <c r="V330" s="90">
        <v>12000</v>
      </c>
      <c r="W330" s="81">
        <v>2</v>
      </c>
      <c r="X330" s="82" t="s">
        <v>14</v>
      </c>
      <c r="Y330" s="83" t="s">
        <v>15</v>
      </c>
      <c r="Z330" s="84">
        <v>6</v>
      </c>
      <c r="AA330" s="85" t="s">
        <v>24</v>
      </c>
      <c r="AB330" s="86">
        <v>1450</v>
      </c>
      <c r="AC330" s="83"/>
      <c r="AD330" s="85"/>
      <c r="AE330" s="86"/>
      <c r="AF330" s="83"/>
      <c r="AG330" s="85"/>
      <c r="AH330" s="86"/>
      <c r="AI330" s="83"/>
      <c r="AJ330" s="85"/>
      <c r="AK330" s="86"/>
      <c r="AL330" s="87"/>
      <c r="AM330" s="88"/>
      <c r="AN330" s="88" t="s">
        <v>473</v>
      </c>
      <c r="AO330" s="230" t="str">
        <f t="shared" si="15"/>
        <v>3UNCERAMDAPFL38</v>
      </c>
    </row>
    <row r="331" spans="1:41" x14ac:dyDescent="0.15">
      <c r="A331" s="80">
        <v>4113</v>
      </c>
      <c r="B331" s="89">
        <v>272</v>
      </c>
      <c r="C331" s="89">
        <v>36888</v>
      </c>
      <c r="D331" s="89" t="s">
        <v>65</v>
      </c>
      <c r="E331" s="89" t="s">
        <v>66</v>
      </c>
      <c r="F331" s="89" t="s">
        <v>12</v>
      </c>
      <c r="G331" s="89" t="str">
        <f t="shared" si="12"/>
        <v>3TNCERAMDACPFL</v>
      </c>
      <c r="H331" s="89" t="s">
        <v>1653</v>
      </c>
      <c r="I331" s="89" t="s">
        <v>20</v>
      </c>
      <c r="J331" s="89" t="s">
        <v>21</v>
      </c>
      <c r="K331" s="89" t="s">
        <v>67</v>
      </c>
      <c r="L331" s="89" t="s">
        <v>68</v>
      </c>
      <c r="M331" s="89" t="str">
        <f t="shared" si="13"/>
        <v>3TNCERAMDACPFL381346</v>
      </c>
      <c r="N331" s="89" t="str">
        <f t="shared" si="14"/>
        <v>3TNCERAMDACPFL381335</v>
      </c>
      <c r="O331" s="90">
        <v>38</v>
      </c>
      <c r="P331" s="89">
        <v>3</v>
      </c>
      <c r="Q331" s="89" t="s">
        <v>69</v>
      </c>
      <c r="R331" s="90">
        <v>1346</v>
      </c>
      <c r="S331" s="90">
        <v>12050</v>
      </c>
      <c r="T331" s="90">
        <v>1346</v>
      </c>
      <c r="U331" s="90">
        <v>1335</v>
      </c>
      <c r="V331" s="90">
        <v>12000</v>
      </c>
      <c r="W331" s="81">
        <v>2</v>
      </c>
      <c r="X331" s="82" t="s">
        <v>14</v>
      </c>
      <c r="Y331" s="83" t="s">
        <v>15</v>
      </c>
      <c r="Z331" s="84">
        <v>6</v>
      </c>
      <c r="AA331" s="85" t="s">
        <v>24</v>
      </c>
      <c r="AB331" s="86">
        <v>1450</v>
      </c>
      <c r="AC331" s="83"/>
      <c r="AD331" s="85"/>
      <c r="AE331" s="86"/>
      <c r="AF331" s="83"/>
      <c r="AG331" s="85"/>
      <c r="AH331" s="86"/>
      <c r="AI331" s="83"/>
      <c r="AJ331" s="85"/>
      <c r="AK331" s="86"/>
      <c r="AL331" s="87"/>
      <c r="AM331" s="88"/>
      <c r="AN331" s="88" t="s">
        <v>473</v>
      </c>
      <c r="AO331" s="230" t="str">
        <f t="shared" si="15"/>
        <v>3TNCERAMDACPFL38</v>
      </c>
    </row>
    <row r="332" spans="1:41" ht="15" customHeight="1" x14ac:dyDescent="0.15">
      <c r="A332" s="80">
        <v>4113</v>
      </c>
      <c r="B332" s="89">
        <v>272</v>
      </c>
      <c r="C332" s="89">
        <v>36888</v>
      </c>
      <c r="D332" s="89" t="s">
        <v>65</v>
      </c>
      <c r="E332" s="89" t="s">
        <v>66</v>
      </c>
      <c r="F332" s="89" t="s">
        <v>12</v>
      </c>
      <c r="G332" s="89" t="str">
        <f t="shared" si="12"/>
        <v>3TNCERAMDAPFL</v>
      </c>
      <c r="H332" s="89" t="s">
        <v>1653</v>
      </c>
      <c r="I332" s="89" t="s">
        <v>20</v>
      </c>
      <c r="J332" s="89" t="s">
        <v>21</v>
      </c>
      <c r="K332" s="89" t="s">
        <v>70</v>
      </c>
      <c r="L332" s="89" t="s">
        <v>71</v>
      </c>
      <c r="M332" s="89" t="str">
        <f t="shared" si="13"/>
        <v>3TNCERAMDAPFL381346</v>
      </c>
      <c r="N332" s="89" t="str">
        <f t="shared" si="14"/>
        <v>3TNCERAMDAPFL381335</v>
      </c>
      <c r="O332" s="90">
        <v>38</v>
      </c>
      <c r="P332" s="89">
        <v>3</v>
      </c>
      <c r="Q332" s="89" t="s">
        <v>69</v>
      </c>
      <c r="R332" s="90">
        <v>1346</v>
      </c>
      <c r="S332" s="90">
        <v>12050</v>
      </c>
      <c r="T332" s="90">
        <v>1346</v>
      </c>
      <c r="U332" s="90">
        <v>1335</v>
      </c>
      <c r="V332" s="90">
        <v>12000</v>
      </c>
      <c r="W332" s="81">
        <v>2</v>
      </c>
      <c r="X332" s="82" t="s">
        <v>14</v>
      </c>
      <c r="Y332" s="83" t="s">
        <v>15</v>
      </c>
      <c r="Z332" s="84">
        <v>6</v>
      </c>
      <c r="AA332" s="85" t="s">
        <v>24</v>
      </c>
      <c r="AB332" s="86">
        <v>1450</v>
      </c>
      <c r="AC332" s="83"/>
      <c r="AD332" s="85"/>
      <c r="AE332" s="86"/>
      <c r="AF332" s="83"/>
      <c r="AG332" s="85"/>
      <c r="AH332" s="86"/>
      <c r="AI332" s="83"/>
      <c r="AJ332" s="85"/>
      <c r="AK332" s="86"/>
      <c r="AL332" s="87"/>
      <c r="AM332" s="88"/>
      <c r="AN332" s="88" t="s">
        <v>473</v>
      </c>
      <c r="AO332" s="230" t="str">
        <f t="shared" si="15"/>
        <v>3TNCERAMDAPFL38</v>
      </c>
    </row>
    <row r="333" spans="1:41" x14ac:dyDescent="0.15">
      <c r="A333" s="80"/>
      <c r="B333" s="89">
        <v>274</v>
      </c>
      <c r="C333" s="89"/>
      <c r="D333" s="106" t="s">
        <v>2146</v>
      </c>
      <c r="E333" s="89" t="s">
        <v>2147</v>
      </c>
      <c r="F333" s="89"/>
      <c r="G333" s="89" t="str">
        <f t="shared" si="12"/>
        <v>N</v>
      </c>
      <c r="H333" s="89"/>
      <c r="I333" s="89" t="s">
        <v>1550</v>
      </c>
      <c r="J333" s="89"/>
      <c r="K333" s="89"/>
      <c r="L333" s="89" t="s">
        <v>2150</v>
      </c>
      <c r="M333" s="89" t="str">
        <f t="shared" si="13"/>
        <v>N381560</v>
      </c>
      <c r="N333" s="89" t="str">
        <f t="shared" si="14"/>
        <v>N381560</v>
      </c>
      <c r="O333" s="90">
        <v>38</v>
      </c>
      <c r="P333" s="89"/>
      <c r="Q333" s="89" t="s">
        <v>2023</v>
      </c>
      <c r="R333" s="90">
        <v>1560</v>
      </c>
      <c r="S333" s="90">
        <v>7700</v>
      </c>
      <c r="T333" s="90">
        <v>1560</v>
      </c>
      <c r="U333" s="90">
        <v>1560</v>
      </c>
      <c r="V333" s="90">
        <v>1000</v>
      </c>
      <c r="W333" s="81">
        <v>2</v>
      </c>
      <c r="X333" s="82"/>
      <c r="Y333" s="83" t="s">
        <v>15</v>
      </c>
      <c r="Z333" s="84">
        <v>6</v>
      </c>
      <c r="AA333" s="85" t="s">
        <v>24</v>
      </c>
      <c r="AB333" s="86">
        <v>1700</v>
      </c>
      <c r="AC333" s="83"/>
      <c r="AD333" s="85"/>
      <c r="AE333" s="86"/>
      <c r="AF333" s="83"/>
      <c r="AG333" s="85"/>
      <c r="AH333" s="86"/>
      <c r="AI333" s="83"/>
      <c r="AJ333" s="85"/>
      <c r="AK333" s="86"/>
      <c r="AL333" s="87"/>
      <c r="AM333" s="88"/>
      <c r="AN333" s="88"/>
      <c r="AO333" s="230" t="str">
        <f t="shared" si="15"/>
        <v>N38</v>
      </c>
    </row>
    <row r="334" spans="1:41" ht="15" customHeight="1" x14ac:dyDescent="0.15">
      <c r="A334" s="80">
        <v>4114</v>
      </c>
      <c r="B334" s="89">
        <v>277</v>
      </c>
      <c r="C334" s="89"/>
      <c r="D334" s="89" t="s">
        <v>273</v>
      </c>
      <c r="E334" s="89" t="s">
        <v>2133</v>
      </c>
      <c r="F334" s="89" t="s">
        <v>184</v>
      </c>
      <c r="G334" s="89" t="str">
        <f t="shared" si="12"/>
        <v>3UNCERANS27103</v>
      </c>
      <c r="H334" s="89" t="s">
        <v>269</v>
      </c>
      <c r="I334" s="89" t="s">
        <v>1550</v>
      </c>
      <c r="J334" s="89" t="s">
        <v>132</v>
      </c>
      <c r="K334" s="89">
        <v>27103</v>
      </c>
      <c r="L334" s="89" t="s">
        <v>140</v>
      </c>
      <c r="M334" s="89" t="str">
        <f t="shared" si="13"/>
        <v>3UNCERANS27103251520</v>
      </c>
      <c r="N334" s="89" t="str">
        <f t="shared" si="14"/>
        <v>3UNCERANS27103251100</v>
      </c>
      <c r="O334" s="90">
        <v>25</v>
      </c>
      <c r="P334" s="89">
        <v>3</v>
      </c>
      <c r="Q334" s="89" t="s">
        <v>1997</v>
      </c>
      <c r="R334" s="90">
        <v>1520</v>
      </c>
      <c r="S334" s="90">
        <v>10900</v>
      </c>
      <c r="T334" s="90">
        <v>1100</v>
      </c>
      <c r="U334" s="90">
        <v>1100</v>
      </c>
      <c r="V334" s="90">
        <v>4000</v>
      </c>
      <c r="W334" s="81">
        <v>2</v>
      </c>
      <c r="X334" s="82" t="s">
        <v>142</v>
      </c>
      <c r="Y334" s="83" t="s">
        <v>295</v>
      </c>
      <c r="Z334" s="84">
        <v>6</v>
      </c>
      <c r="AA334" s="85" t="s">
        <v>24</v>
      </c>
      <c r="AB334" s="86">
        <v>1700</v>
      </c>
      <c r="AC334" s="83">
        <v>6</v>
      </c>
      <c r="AD334" s="85" t="s">
        <v>272</v>
      </c>
      <c r="AE334" s="86">
        <v>1250</v>
      </c>
      <c r="AF334" s="83"/>
      <c r="AG334" s="85"/>
      <c r="AH334" s="86"/>
      <c r="AI334" s="83"/>
      <c r="AJ334" s="85"/>
      <c r="AK334" s="86"/>
      <c r="AL334" s="87"/>
      <c r="AM334" s="88"/>
      <c r="AN334" s="88" t="s">
        <v>471</v>
      </c>
      <c r="AO334" s="230" t="str">
        <f t="shared" si="15"/>
        <v>3UNCERANS2710325</v>
      </c>
    </row>
    <row r="335" spans="1:41" x14ac:dyDescent="0.15">
      <c r="A335" s="80">
        <v>4114</v>
      </c>
      <c r="B335" s="89">
        <v>277</v>
      </c>
      <c r="C335" s="89"/>
      <c r="D335" s="89" t="s">
        <v>273</v>
      </c>
      <c r="E335" s="89" t="s">
        <v>2133</v>
      </c>
      <c r="F335" s="89" t="s">
        <v>184</v>
      </c>
      <c r="G335" s="89" t="str">
        <f t="shared" si="12"/>
        <v>3UNCERANS27103</v>
      </c>
      <c r="H335" s="89" t="s">
        <v>269</v>
      </c>
      <c r="I335" s="89" t="s">
        <v>1550</v>
      </c>
      <c r="J335" s="89" t="s">
        <v>132</v>
      </c>
      <c r="K335" s="89">
        <v>27103</v>
      </c>
      <c r="L335" s="89" t="s">
        <v>140</v>
      </c>
      <c r="M335" s="89" t="str">
        <f t="shared" si="13"/>
        <v>3UNCERANS27103251520</v>
      </c>
      <c r="N335" s="89" t="str">
        <f t="shared" si="14"/>
        <v>3UNCERANS27103251100</v>
      </c>
      <c r="O335" s="90">
        <v>25</v>
      </c>
      <c r="P335" s="89">
        <v>3</v>
      </c>
      <c r="Q335" s="89" t="s">
        <v>1997</v>
      </c>
      <c r="R335" s="90">
        <v>1520</v>
      </c>
      <c r="S335" s="90">
        <v>10900</v>
      </c>
      <c r="T335" s="90">
        <v>1100</v>
      </c>
      <c r="U335" s="90">
        <v>1100</v>
      </c>
      <c r="V335" s="90">
        <v>6000</v>
      </c>
      <c r="W335" s="81">
        <v>2</v>
      </c>
      <c r="X335" s="82" t="s">
        <v>142</v>
      </c>
      <c r="Y335" s="83" t="s">
        <v>295</v>
      </c>
      <c r="Z335" s="84">
        <v>6</v>
      </c>
      <c r="AA335" s="85" t="s">
        <v>24</v>
      </c>
      <c r="AB335" s="86">
        <v>1700</v>
      </c>
      <c r="AC335" s="83">
        <v>6</v>
      </c>
      <c r="AD335" s="85" t="s">
        <v>272</v>
      </c>
      <c r="AE335" s="86">
        <v>1250</v>
      </c>
      <c r="AF335" s="83"/>
      <c r="AG335" s="85"/>
      <c r="AH335" s="86"/>
      <c r="AI335" s="83"/>
      <c r="AJ335" s="85"/>
      <c r="AK335" s="86"/>
      <c r="AL335" s="87"/>
      <c r="AM335" s="88"/>
      <c r="AN335" s="88" t="s">
        <v>471</v>
      </c>
      <c r="AO335" s="230" t="str">
        <f t="shared" si="15"/>
        <v>3UNCERANS2710325</v>
      </c>
    </row>
    <row r="336" spans="1:41" x14ac:dyDescent="0.15">
      <c r="A336" s="80">
        <v>4114</v>
      </c>
      <c r="B336" s="89">
        <v>278</v>
      </c>
      <c r="C336" s="89"/>
      <c r="D336" s="89" t="s">
        <v>2151</v>
      </c>
      <c r="E336" s="89" t="s">
        <v>2152</v>
      </c>
      <c r="F336" s="89" t="s">
        <v>210</v>
      </c>
      <c r="G336" s="89" t="str">
        <f t="shared" si="12"/>
        <v>3UYCERANS27111</v>
      </c>
      <c r="H336" s="89" t="s">
        <v>269</v>
      </c>
      <c r="I336" s="89" t="s">
        <v>2036</v>
      </c>
      <c r="J336" s="89" t="s">
        <v>132</v>
      </c>
      <c r="K336" s="89">
        <v>27111</v>
      </c>
      <c r="L336" s="89" t="s">
        <v>2153</v>
      </c>
      <c r="M336" s="89" t="str">
        <f t="shared" si="13"/>
        <v>3UYCERANS27111501345</v>
      </c>
      <c r="N336" s="89" t="str">
        <f t="shared" si="14"/>
        <v>3UYCERANS2711150375</v>
      </c>
      <c r="O336" s="90">
        <v>50</v>
      </c>
      <c r="P336" s="89">
        <v>3</v>
      </c>
      <c r="Q336" s="89" t="s">
        <v>2024</v>
      </c>
      <c r="R336" s="90">
        <v>1345</v>
      </c>
      <c r="S336" s="90">
        <v>6800</v>
      </c>
      <c r="T336" s="90">
        <v>375</v>
      </c>
      <c r="U336" s="90">
        <v>375</v>
      </c>
      <c r="V336" s="90">
        <v>260</v>
      </c>
      <c r="W336" s="81">
        <v>2</v>
      </c>
      <c r="X336" s="82" t="s">
        <v>142</v>
      </c>
      <c r="Y336" s="83" t="s">
        <v>295</v>
      </c>
      <c r="Z336" s="84">
        <v>6</v>
      </c>
      <c r="AA336" s="85" t="s">
        <v>266</v>
      </c>
      <c r="AB336" s="86">
        <v>1700</v>
      </c>
      <c r="AC336" s="83">
        <v>3</v>
      </c>
      <c r="AD336" s="85" t="s">
        <v>39</v>
      </c>
      <c r="AE336" s="86">
        <v>395</v>
      </c>
      <c r="AF336" s="83"/>
      <c r="AG336" s="85"/>
      <c r="AH336" s="86"/>
      <c r="AI336" s="83"/>
      <c r="AJ336" s="85"/>
      <c r="AK336" s="86"/>
      <c r="AL336" s="87"/>
      <c r="AM336" s="88"/>
      <c r="AN336" s="88" t="s">
        <v>471</v>
      </c>
      <c r="AO336" s="230" t="str">
        <f t="shared" si="15"/>
        <v>3UYCERANS2711150</v>
      </c>
    </row>
    <row r="337" spans="1:41" x14ac:dyDescent="0.15">
      <c r="A337" s="80">
        <v>4114</v>
      </c>
      <c r="B337" s="89">
        <v>271</v>
      </c>
      <c r="C337" s="89">
        <v>7361</v>
      </c>
      <c r="D337" s="89" t="s">
        <v>2043</v>
      </c>
      <c r="E337" s="89"/>
      <c r="F337" s="89"/>
      <c r="G337" s="89" t="str">
        <f t="shared" si="12"/>
        <v>3UNCERANSJ22B</v>
      </c>
      <c r="H337" s="89" t="s">
        <v>269</v>
      </c>
      <c r="I337" s="89" t="s">
        <v>1550</v>
      </c>
      <c r="J337" s="89" t="s">
        <v>132</v>
      </c>
      <c r="K337" s="89" t="s">
        <v>2154</v>
      </c>
      <c r="L337" s="89" t="s">
        <v>2155</v>
      </c>
      <c r="M337" s="89" t="str">
        <f t="shared" si="13"/>
        <v>3UNCERANSJ22B501595</v>
      </c>
      <c r="N337" s="89" t="str">
        <f t="shared" si="14"/>
        <v>3UNCERANSJ22B50300</v>
      </c>
      <c r="O337" s="90">
        <v>50</v>
      </c>
      <c r="P337" s="89">
        <v>3</v>
      </c>
      <c r="Q337" s="89" t="s">
        <v>275</v>
      </c>
      <c r="R337" s="90">
        <v>1595</v>
      </c>
      <c r="S337" s="90">
        <v>6200</v>
      </c>
      <c r="T337" s="90">
        <v>300</v>
      </c>
      <c r="U337" s="90">
        <v>300</v>
      </c>
      <c r="V337" s="90">
        <v>300</v>
      </c>
      <c r="W337" s="81">
        <v>2</v>
      </c>
      <c r="X337" s="82" t="s">
        <v>142</v>
      </c>
      <c r="Y337" s="83" t="s">
        <v>295</v>
      </c>
      <c r="Z337" s="84">
        <v>6</v>
      </c>
      <c r="AA337" s="85" t="s">
        <v>266</v>
      </c>
      <c r="AB337" s="86">
        <v>1700</v>
      </c>
      <c r="AC337" s="83">
        <v>3</v>
      </c>
      <c r="AD337" s="85"/>
      <c r="AE337" s="86"/>
      <c r="AF337" s="83"/>
      <c r="AG337" s="85"/>
      <c r="AH337" s="86"/>
      <c r="AI337" s="83"/>
      <c r="AJ337" s="85"/>
      <c r="AK337" s="86"/>
      <c r="AL337" s="87"/>
      <c r="AM337" s="88"/>
      <c r="AN337" s="88" t="s">
        <v>471</v>
      </c>
      <c r="AO337" s="230" t="str">
        <f t="shared" si="15"/>
        <v>3UNCERANSJ22B50</v>
      </c>
    </row>
    <row r="338" spans="1:41" x14ac:dyDescent="0.15">
      <c r="A338" s="80">
        <v>4114</v>
      </c>
      <c r="B338" s="89">
        <v>271</v>
      </c>
      <c r="C338" s="89">
        <v>7361</v>
      </c>
      <c r="D338" s="89" t="s">
        <v>2043</v>
      </c>
      <c r="E338" s="89"/>
      <c r="F338" s="89"/>
      <c r="G338" s="89" t="str">
        <f t="shared" si="12"/>
        <v>3UNCERANSJPJ113B</v>
      </c>
      <c r="H338" s="89" t="s">
        <v>269</v>
      </c>
      <c r="I338" s="89" t="s">
        <v>1550</v>
      </c>
      <c r="J338" s="89" t="s">
        <v>132</v>
      </c>
      <c r="K338" s="89" t="s">
        <v>2156</v>
      </c>
      <c r="L338" s="89" t="s">
        <v>2157</v>
      </c>
      <c r="M338" s="89" t="str">
        <f t="shared" si="13"/>
        <v>3UNCERANSJPJ113B501595</v>
      </c>
      <c r="N338" s="89" t="str">
        <f t="shared" si="14"/>
        <v>3UNCERANSJPJ113B501300</v>
      </c>
      <c r="O338" s="90">
        <v>50</v>
      </c>
      <c r="P338" s="89">
        <v>3</v>
      </c>
      <c r="Q338" s="89" t="s">
        <v>275</v>
      </c>
      <c r="R338" s="90">
        <v>1595</v>
      </c>
      <c r="S338" s="90">
        <v>6200</v>
      </c>
      <c r="T338" s="90">
        <v>1300</v>
      </c>
      <c r="U338" s="90">
        <v>1300</v>
      </c>
      <c r="V338" s="90">
        <v>1000</v>
      </c>
      <c r="W338" s="81">
        <v>2</v>
      </c>
      <c r="X338" s="82" t="s">
        <v>142</v>
      </c>
      <c r="Y338" s="83" t="s">
        <v>295</v>
      </c>
      <c r="Z338" s="84">
        <v>6</v>
      </c>
      <c r="AA338" s="85" t="s">
        <v>266</v>
      </c>
      <c r="AB338" s="86">
        <v>1700</v>
      </c>
      <c r="AC338" s="83">
        <v>6</v>
      </c>
      <c r="AD338" s="85" t="s">
        <v>272</v>
      </c>
      <c r="AE338" s="86">
        <v>1350</v>
      </c>
      <c r="AF338" s="83"/>
      <c r="AG338" s="85"/>
      <c r="AH338" s="86"/>
      <c r="AI338" s="83"/>
      <c r="AJ338" s="85"/>
      <c r="AK338" s="86"/>
      <c r="AL338" s="87"/>
      <c r="AM338" s="88"/>
      <c r="AN338" s="88" t="s">
        <v>471</v>
      </c>
      <c r="AO338" s="230" t="str">
        <f t="shared" si="15"/>
        <v>3UNCERANSJPJ113B50</v>
      </c>
    </row>
    <row r="339" spans="1:41" x14ac:dyDescent="0.15">
      <c r="A339" s="80">
        <v>4114</v>
      </c>
      <c r="B339" s="89">
        <v>271</v>
      </c>
      <c r="C339" s="89">
        <v>7361</v>
      </c>
      <c r="D339" s="89" t="s">
        <v>2043</v>
      </c>
      <c r="E339" s="89"/>
      <c r="F339" s="89"/>
      <c r="G339" s="89" t="str">
        <f t="shared" si="12"/>
        <v>3UNCERANSJPJ113B</v>
      </c>
      <c r="H339" s="89" t="s">
        <v>269</v>
      </c>
      <c r="I339" s="89" t="s">
        <v>1550</v>
      </c>
      <c r="J339" s="89" t="s">
        <v>132</v>
      </c>
      <c r="K339" s="89" t="s">
        <v>2156</v>
      </c>
      <c r="L339" s="89" t="s">
        <v>2157</v>
      </c>
      <c r="M339" s="89" t="str">
        <f t="shared" si="13"/>
        <v>3UNCERANSJPJ113B501595</v>
      </c>
      <c r="N339" s="89" t="str">
        <f t="shared" si="14"/>
        <v>3UNCERANSJPJ113B501300</v>
      </c>
      <c r="O339" s="90">
        <v>50</v>
      </c>
      <c r="P339" s="89">
        <v>3</v>
      </c>
      <c r="Q339" s="89" t="s">
        <v>275</v>
      </c>
      <c r="R339" s="90">
        <v>1595</v>
      </c>
      <c r="S339" s="90">
        <v>6200</v>
      </c>
      <c r="T339" s="90">
        <v>1300</v>
      </c>
      <c r="U339" s="90">
        <v>1300</v>
      </c>
      <c r="V339" s="90">
        <v>1000</v>
      </c>
      <c r="W339" s="81">
        <v>2</v>
      </c>
      <c r="X339" s="82" t="s">
        <v>142</v>
      </c>
      <c r="Y339" s="83" t="s">
        <v>295</v>
      </c>
      <c r="Z339" s="84">
        <v>6</v>
      </c>
      <c r="AA339" s="85" t="s">
        <v>266</v>
      </c>
      <c r="AB339" s="86">
        <v>1700</v>
      </c>
      <c r="AC339" s="83">
        <v>3</v>
      </c>
      <c r="AD339" s="85" t="s">
        <v>39</v>
      </c>
      <c r="AE339" s="86">
        <v>315</v>
      </c>
      <c r="AF339" s="83"/>
      <c r="AG339" s="85"/>
      <c r="AH339" s="86"/>
      <c r="AI339" s="83"/>
      <c r="AJ339" s="85"/>
      <c r="AK339" s="86"/>
      <c r="AL339" s="87"/>
      <c r="AM339" s="88"/>
      <c r="AN339" s="88" t="s">
        <v>471</v>
      </c>
      <c r="AO339" s="230" t="str">
        <f t="shared" si="15"/>
        <v>3UNCERANSJPJ113B50</v>
      </c>
    </row>
    <row r="340" spans="1:41" x14ac:dyDescent="0.15">
      <c r="A340" s="80">
        <v>4114</v>
      </c>
      <c r="B340" s="89">
        <v>271</v>
      </c>
      <c r="C340" s="89"/>
      <c r="D340" s="89" t="s">
        <v>2118</v>
      </c>
      <c r="E340" s="89"/>
      <c r="F340" s="89" t="s">
        <v>210</v>
      </c>
      <c r="G340" s="89" t="str">
        <f t="shared" si="12"/>
        <v>3UYCERANSPSPB18</v>
      </c>
      <c r="H340" s="89" t="s">
        <v>269</v>
      </c>
      <c r="I340" s="89" t="s">
        <v>2036</v>
      </c>
      <c r="J340" s="89" t="s">
        <v>132</v>
      </c>
      <c r="K340" s="89" t="s">
        <v>2345</v>
      </c>
      <c r="L340" s="89" t="s">
        <v>2346</v>
      </c>
      <c r="M340" s="89" t="str">
        <f t="shared" si="13"/>
        <v>3UYCERANSPSPB18501310</v>
      </c>
      <c r="N340" s="89" t="str">
        <f t="shared" si="14"/>
        <v>3UYCERANSPSPB18501290</v>
      </c>
      <c r="O340" s="90">
        <v>50</v>
      </c>
      <c r="P340" s="89">
        <v>3</v>
      </c>
      <c r="Q340" s="89" t="s">
        <v>2338</v>
      </c>
      <c r="R340" s="90">
        <v>1310</v>
      </c>
      <c r="S340" s="90">
        <v>4300</v>
      </c>
      <c r="T340" s="90">
        <v>1290</v>
      </c>
      <c r="U340" s="90">
        <v>1290</v>
      </c>
      <c r="V340" s="90">
        <v>4000</v>
      </c>
      <c r="W340" s="81">
        <v>2</v>
      </c>
      <c r="X340" s="82" t="s">
        <v>136</v>
      </c>
      <c r="Y340" s="83" t="s">
        <v>15</v>
      </c>
      <c r="Z340" s="84"/>
      <c r="AA340" s="85" t="s">
        <v>16</v>
      </c>
      <c r="AB340" s="86">
        <v>1500</v>
      </c>
      <c r="AC340" s="83"/>
      <c r="AD340" s="85"/>
      <c r="AE340" s="86"/>
      <c r="AF340" s="83"/>
      <c r="AG340" s="85"/>
      <c r="AH340" s="86"/>
      <c r="AI340" s="83"/>
      <c r="AJ340" s="85"/>
      <c r="AK340" s="86"/>
      <c r="AL340" s="87"/>
      <c r="AM340" s="88"/>
      <c r="AN340" s="88"/>
      <c r="AO340" s="230" t="str">
        <f t="shared" si="15"/>
        <v>3UYCERANSPSPB1850</v>
      </c>
    </row>
    <row r="341" spans="1:41" x14ac:dyDescent="0.15">
      <c r="A341" s="80">
        <v>4114</v>
      </c>
      <c r="B341" s="89">
        <v>275</v>
      </c>
      <c r="C341" s="89">
        <v>5174</v>
      </c>
      <c r="D341" s="89" t="s">
        <v>2054</v>
      </c>
      <c r="E341" s="89"/>
      <c r="F341" s="89" t="s">
        <v>210</v>
      </c>
      <c r="G341" s="89" t="str">
        <f t="shared" si="12"/>
        <v>3UNCERAWZS</v>
      </c>
      <c r="H341" s="89" t="s">
        <v>269</v>
      </c>
      <c r="I341" s="89" t="s">
        <v>1550</v>
      </c>
      <c r="J341" s="89" t="s">
        <v>21</v>
      </c>
      <c r="K341" s="89" t="s">
        <v>1568</v>
      </c>
      <c r="L341" s="89" t="s">
        <v>121</v>
      </c>
      <c r="M341" s="89" t="str">
        <f t="shared" si="13"/>
        <v>3UNCERAWZS251030</v>
      </c>
      <c r="N341" s="89" t="str">
        <f t="shared" si="14"/>
        <v>3UNCERAWZS251000</v>
      </c>
      <c r="O341" s="90">
        <v>25</v>
      </c>
      <c r="P341" s="89">
        <v>3</v>
      </c>
      <c r="Q341" s="89" t="s">
        <v>78</v>
      </c>
      <c r="R341" s="90">
        <v>1030</v>
      </c>
      <c r="S341" s="90">
        <v>8000</v>
      </c>
      <c r="T341" s="90">
        <v>1000</v>
      </c>
      <c r="U341" s="90">
        <v>1000</v>
      </c>
      <c r="V341" s="90">
        <v>8000</v>
      </c>
      <c r="W341" s="81">
        <v>2</v>
      </c>
      <c r="X341" s="82" t="s">
        <v>14</v>
      </c>
      <c r="Y341" s="83" t="s">
        <v>2015</v>
      </c>
      <c r="Z341" s="84">
        <v>6</v>
      </c>
      <c r="AA341" s="85" t="s">
        <v>24</v>
      </c>
      <c r="AB341" s="86">
        <v>1450</v>
      </c>
      <c r="AC341" s="83">
        <v>6</v>
      </c>
      <c r="AD341" s="85" t="s">
        <v>266</v>
      </c>
      <c r="AE341" s="86">
        <v>1020</v>
      </c>
      <c r="AF341" s="83"/>
      <c r="AG341" s="85"/>
      <c r="AH341" s="86"/>
      <c r="AI341" s="83"/>
      <c r="AJ341" s="85"/>
      <c r="AK341" s="86"/>
      <c r="AL341" s="87"/>
      <c r="AM341" s="88"/>
      <c r="AN341" s="88" t="s">
        <v>474</v>
      </c>
      <c r="AO341" s="230" t="str">
        <f t="shared" si="15"/>
        <v>3UNCERAWZS25</v>
      </c>
    </row>
    <row r="342" spans="1:41" x14ac:dyDescent="0.15">
      <c r="A342" s="80">
        <v>4114</v>
      </c>
      <c r="B342" s="89">
        <v>276</v>
      </c>
      <c r="C342" s="89">
        <v>3621</v>
      </c>
      <c r="D342" s="89" t="s">
        <v>57</v>
      </c>
      <c r="E342" s="89" t="s">
        <v>2048</v>
      </c>
      <c r="F342" s="89" t="s">
        <v>210</v>
      </c>
      <c r="G342" s="89" t="str">
        <f t="shared" si="12"/>
        <v>331UNCERAWZS</v>
      </c>
      <c r="H342" s="89" t="s">
        <v>269</v>
      </c>
      <c r="I342" s="89" t="s">
        <v>1550</v>
      </c>
      <c r="J342" s="89" t="s">
        <v>21</v>
      </c>
      <c r="K342" s="89" t="s">
        <v>1568</v>
      </c>
      <c r="L342" s="89" t="s">
        <v>121</v>
      </c>
      <c r="M342" s="89" t="str">
        <f t="shared" si="13"/>
        <v>331UNCERAWZS251430</v>
      </c>
      <c r="N342" s="89" t="str">
        <f t="shared" si="14"/>
        <v>331UNCERAWZS251420</v>
      </c>
      <c r="O342" s="90">
        <v>25</v>
      </c>
      <c r="P342" s="89">
        <v>331</v>
      </c>
      <c r="Q342" s="89" t="s">
        <v>78</v>
      </c>
      <c r="R342" s="90">
        <v>1430</v>
      </c>
      <c r="S342" s="90">
        <v>12500</v>
      </c>
      <c r="T342" s="90">
        <v>1420</v>
      </c>
      <c r="U342" s="90">
        <v>1420</v>
      </c>
      <c r="V342" s="90">
        <v>12400</v>
      </c>
      <c r="W342" s="81">
        <v>2</v>
      </c>
      <c r="X342" s="82" t="s">
        <v>14</v>
      </c>
      <c r="Y342" s="83" t="s">
        <v>25</v>
      </c>
      <c r="Z342" s="84">
        <v>6</v>
      </c>
      <c r="AA342" s="85" t="s">
        <v>24</v>
      </c>
      <c r="AB342" s="86">
        <v>1500</v>
      </c>
      <c r="AC342" s="83">
        <v>6</v>
      </c>
      <c r="AD342" s="85" t="s">
        <v>266</v>
      </c>
      <c r="AE342" s="86">
        <v>1500</v>
      </c>
      <c r="AF342" s="83"/>
      <c r="AG342" s="85"/>
      <c r="AH342" s="86"/>
      <c r="AI342" s="83"/>
      <c r="AJ342" s="85"/>
      <c r="AK342" s="86"/>
      <c r="AL342" s="87"/>
      <c r="AM342" s="88"/>
      <c r="AN342" s="88" t="s">
        <v>474</v>
      </c>
      <c r="AO342" s="230" t="str">
        <f t="shared" si="15"/>
        <v>331UNCERAWZS25</v>
      </c>
    </row>
    <row r="343" spans="1:41" x14ac:dyDescent="0.15">
      <c r="A343" s="80">
        <v>4113</v>
      </c>
      <c r="B343" s="89">
        <v>276</v>
      </c>
      <c r="C343" s="89">
        <v>3621</v>
      </c>
      <c r="D343" s="89" t="s">
        <v>57</v>
      </c>
      <c r="E343" s="89" t="s">
        <v>2048</v>
      </c>
      <c r="F343" s="89" t="s">
        <v>210</v>
      </c>
      <c r="G343" s="89" t="str">
        <f t="shared" si="12"/>
        <v>331TNCERAWZS</v>
      </c>
      <c r="H343" s="89" t="s">
        <v>1653</v>
      </c>
      <c r="I343" s="89" t="s">
        <v>1550</v>
      </c>
      <c r="J343" s="89" t="s">
        <v>21</v>
      </c>
      <c r="K343" s="89" t="s">
        <v>1568</v>
      </c>
      <c r="L343" s="89" t="s">
        <v>121</v>
      </c>
      <c r="M343" s="89" t="str">
        <f t="shared" si="13"/>
        <v>331TNCERAWZS251430</v>
      </c>
      <c r="N343" s="89" t="str">
        <f t="shared" si="14"/>
        <v>331TNCERAWZS251420</v>
      </c>
      <c r="O343" s="90">
        <v>25</v>
      </c>
      <c r="P343" s="89">
        <v>331</v>
      </c>
      <c r="Q343" s="89" t="s">
        <v>78</v>
      </c>
      <c r="R343" s="90">
        <v>1430</v>
      </c>
      <c r="S343" s="90">
        <v>12500</v>
      </c>
      <c r="T343" s="90">
        <v>1425</v>
      </c>
      <c r="U343" s="90">
        <v>1420</v>
      </c>
      <c r="V343" s="90">
        <v>12400</v>
      </c>
      <c r="W343" s="81">
        <v>2</v>
      </c>
      <c r="X343" s="82" t="s">
        <v>14</v>
      </c>
      <c r="Y343" s="83" t="s">
        <v>25</v>
      </c>
      <c r="Z343" s="84">
        <v>6</v>
      </c>
      <c r="AA343" s="85" t="s">
        <v>24</v>
      </c>
      <c r="AB343" s="86">
        <v>1500</v>
      </c>
      <c r="AC343" s="83">
        <v>6</v>
      </c>
      <c r="AD343" s="85" t="s">
        <v>266</v>
      </c>
      <c r="AE343" s="86">
        <v>1500</v>
      </c>
      <c r="AF343" s="83"/>
      <c r="AG343" s="85"/>
      <c r="AH343" s="86"/>
      <c r="AI343" s="83"/>
      <c r="AJ343" s="85"/>
      <c r="AK343" s="86"/>
      <c r="AL343" s="87"/>
      <c r="AM343" s="88"/>
      <c r="AN343" s="88" t="s">
        <v>474</v>
      </c>
      <c r="AO343" s="230" t="str">
        <f t="shared" si="15"/>
        <v>331TNCERAWZS25</v>
      </c>
    </row>
    <row r="344" spans="1:41" x14ac:dyDescent="0.15">
      <c r="A344" s="80">
        <v>4113</v>
      </c>
      <c r="B344" s="89">
        <v>276</v>
      </c>
      <c r="C344" s="89">
        <v>3621</v>
      </c>
      <c r="D344" s="89" t="s">
        <v>57</v>
      </c>
      <c r="E344" s="89" t="s">
        <v>2048</v>
      </c>
      <c r="F344" s="89" t="s">
        <v>210</v>
      </c>
      <c r="G344" s="89" t="str">
        <f t="shared" si="12"/>
        <v>331TNCERAWZS</v>
      </c>
      <c r="H344" s="89" t="s">
        <v>1653</v>
      </c>
      <c r="I344" s="89" t="s">
        <v>1550</v>
      </c>
      <c r="J344" s="89" t="s">
        <v>21</v>
      </c>
      <c r="K344" s="89" t="s">
        <v>1568</v>
      </c>
      <c r="L344" s="89" t="s">
        <v>121</v>
      </c>
      <c r="M344" s="89" t="str">
        <f t="shared" si="13"/>
        <v>331TNCERAWZS251428</v>
      </c>
      <c r="N344" s="89" t="str">
        <f t="shared" si="14"/>
        <v>331TNCERAWZS251420</v>
      </c>
      <c r="O344" s="90">
        <v>25</v>
      </c>
      <c r="P344" s="89">
        <v>331</v>
      </c>
      <c r="Q344" s="89" t="s">
        <v>78</v>
      </c>
      <c r="R344" s="90">
        <v>1428</v>
      </c>
      <c r="S344" s="90">
        <v>12500</v>
      </c>
      <c r="T344" s="90">
        <v>1425</v>
      </c>
      <c r="U344" s="90">
        <v>1420</v>
      </c>
      <c r="V344" s="90">
        <v>12400</v>
      </c>
      <c r="W344" s="81">
        <v>2</v>
      </c>
      <c r="X344" s="82" t="s">
        <v>14</v>
      </c>
      <c r="Y344" s="83" t="s">
        <v>25</v>
      </c>
      <c r="Z344" s="84">
        <v>6</v>
      </c>
      <c r="AA344" s="85" t="s">
        <v>24</v>
      </c>
      <c r="AB344" s="86">
        <v>1500</v>
      </c>
      <c r="AC344" s="83">
        <v>6</v>
      </c>
      <c r="AD344" s="85" t="s">
        <v>266</v>
      </c>
      <c r="AE344" s="86">
        <v>1500</v>
      </c>
      <c r="AF344" s="83"/>
      <c r="AG344" s="85"/>
      <c r="AH344" s="86"/>
      <c r="AI344" s="83"/>
      <c r="AJ344" s="85"/>
      <c r="AK344" s="86"/>
      <c r="AL344" s="87"/>
      <c r="AM344" s="88"/>
      <c r="AN344" s="88" t="s">
        <v>474</v>
      </c>
      <c r="AO344" s="230" t="str">
        <f t="shared" si="15"/>
        <v>331TNCERAWZS25</v>
      </c>
    </row>
    <row r="345" spans="1:41" x14ac:dyDescent="0.15">
      <c r="A345" s="80">
        <v>4114</v>
      </c>
      <c r="B345" s="89">
        <v>276</v>
      </c>
      <c r="C345" s="89">
        <v>3621</v>
      </c>
      <c r="D345" s="89" t="s">
        <v>57</v>
      </c>
      <c r="E345" s="89" t="s">
        <v>2048</v>
      </c>
      <c r="F345" s="89" t="s">
        <v>210</v>
      </c>
      <c r="G345" s="89" t="str">
        <f t="shared" si="12"/>
        <v>3UNCERAWZS</v>
      </c>
      <c r="H345" s="89" t="s">
        <v>269</v>
      </c>
      <c r="I345" s="89" t="s">
        <v>1550</v>
      </c>
      <c r="J345" s="89" t="s">
        <v>21</v>
      </c>
      <c r="K345" s="89" t="s">
        <v>1568</v>
      </c>
      <c r="L345" s="89" t="s">
        <v>121</v>
      </c>
      <c r="M345" s="89" t="str">
        <f t="shared" si="13"/>
        <v>3UNCERAWZS251160</v>
      </c>
      <c r="N345" s="89" t="str">
        <f t="shared" si="14"/>
        <v>3UNCERAWZS251150</v>
      </c>
      <c r="O345" s="90">
        <v>25</v>
      </c>
      <c r="P345" s="89">
        <v>3</v>
      </c>
      <c r="Q345" s="89" t="s">
        <v>78</v>
      </c>
      <c r="R345" s="90">
        <v>1160</v>
      </c>
      <c r="S345" s="90">
        <v>12500</v>
      </c>
      <c r="T345" s="90">
        <v>1150</v>
      </c>
      <c r="U345" s="90">
        <v>1150</v>
      </c>
      <c r="V345" s="90">
        <v>12400</v>
      </c>
      <c r="W345" s="81">
        <v>2</v>
      </c>
      <c r="X345" s="82" t="s">
        <v>14</v>
      </c>
      <c r="Y345" s="83" t="s">
        <v>25</v>
      </c>
      <c r="Z345" s="84">
        <v>6</v>
      </c>
      <c r="AA345" s="85" t="s">
        <v>24</v>
      </c>
      <c r="AB345" s="86">
        <v>1170</v>
      </c>
      <c r="AC345" s="83">
        <v>6</v>
      </c>
      <c r="AD345" s="85" t="s">
        <v>266</v>
      </c>
      <c r="AE345" s="86">
        <v>1170</v>
      </c>
      <c r="AF345" s="83"/>
      <c r="AG345" s="85"/>
      <c r="AH345" s="86"/>
      <c r="AI345" s="83"/>
      <c r="AJ345" s="85"/>
      <c r="AK345" s="86"/>
      <c r="AL345" s="87"/>
      <c r="AM345" s="88"/>
      <c r="AN345" s="88" t="s">
        <v>474</v>
      </c>
      <c r="AO345" s="230" t="str">
        <f t="shared" si="15"/>
        <v>3UNCERAWZS25</v>
      </c>
    </row>
    <row r="346" spans="1:41" x14ac:dyDescent="0.15">
      <c r="A346" s="80">
        <v>4113</v>
      </c>
      <c r="B346" s="89">
        <v>276</v>
      </c>
      <c r="C346" s="89">
        <v>3621</v>
      </c>
      <c r="D346" s="89" t="s">
        <v>57</v>
      </c>
      <c r="E346" s="89" t="s">
        <v>2048</v>
      </c>
      <c r="F346" s="89" t="s">
        <v>210</v>
      </c>
      <c r="G346" s="89" t="str">
        <f t="shared" si="12"/>
        <v>3TNCERAWZS</v>
      </c>
      <c r="H346" s="89" t="s">
        <v>1653</v>
      </c>
      <c r="I346" s="89" t="s">
        <v>1550</v>
      </c>
      <c r="J346" s="89" t="s">
        <v>21</v>
      </c>
      <c r="K346" s="89" t="s">
        <v>1568</v>
      </c>
      <c r="L346" s="89" t="s">
        <v>121</v>
      </c>
      <c r="M346" s="89" t="str">
        <f t="shared" si="13"/>
        <v>3TNCERAWZS251158</v>
      </c>
      <c r="N346" s="89" t="str">
        <f t="shared" si="14"/>
        <v>3TNCERAWZS251150</v>
      </c>
      <c r="O346" s="90">
        <v>25</v>
      </c>
      <c r="P346" s="89">
        <v>3</v>
      </c>
      <c r="Q346" s="89" t="s">
        <v>78</v>
      </c>
      <c r="R346" s="90">
        <v>1158</v>
      </c>
      <c r="S346" s="90">
        <v>12500</v>
      </c>
      <c r="T346" s="90">
        <v>1155</v>
      </c>
      <c r="U346" s="90">
        <v>1150</v>
      </c>
      <c r="V346" s="90">
        <v>4200</v>
      </c>
      <c r="W346" s="81">
        <v>2</v>
      </c>
      <c r="X346" s="82" t="s">
        <v>14</v>
      </c>
      <c r="Y346" s="83" t="s">
        <v>25</v>
      </c>
      <c r="Z346" s="84">
        <v>6</v>
      </c>
      <c r="AA346" s="85" t="s">
        <v>24</v>
      </c>
      <c r="AB346" s="86">
        <v>1170</v>
      </c>
      <c r="AC346" s="83">
        <v>6</v>
      </c>
      <c r="AD346" s="85" t="s">
        <v>266</v>
      </c>
      <c r="AE346" s="86">
        <v>1170</v>
      </c>
      <c r="AF346" s="83"/>
      <c r="AG346" s="85"/>
      <c r="AH346" s="86"/>
      <c r="AI346" s="83"/>
      <c r="AJ346" s="85"/>
      <c r="AK346" s="86"/>
      <c r="AL346" s="87"/>
      <c r="AM346" s="88"/>
      <c r="AN346" s="88" t="s">
        <v>474</v>
      </c>
      <c r="AO346" s="230" t="str">
        <f t="shared" si="15"/>
        <v>3TNCERAWZS25</v>
      </c>
    </row>
    <row r="347" spans="1:41" x14ac:dyDescent="0.15">
      <c r="A347" s="80">
        <v>4114</v>
      </c>
      <c r="B347" s="89">
        <v>281</v>
      </c>
      <c r="C347" s="89"/>
      <c r="D347" s="89" t="s">
        <v>1149</v>
      </c>
      <c r="E347" s="89"/>
      <c r="F347" s="89"/>
      <c r="G347" s="89" t="str">
        <f t="shared" si="12"/>
        <v>3UNCERAWZCR</v>
      </c>
      <c r="H347" s="89" t="s">
        <v>1662</v>
      </c>
      <c r="I347" s="89" t="s">
        <v>1550</v>
      </c>
      <c r="J347" s="89" t="s">
        <v>21</v>
      </c>
      <c r="K347" s="89" t="s">
        <v>2158</v>
      </c>
      <c r="L347" s="89" t="s">
        <v>2159</v>
      </c>
      <c r="M347" s="89" t="str">
        <f t="shared" si="13"/>
        <v>3UNCERAWZCR311370</v>
      </c>
      <c r="N347" s="89" t="str">
        <f t="shared" si="14"/>
        <v>3UNCERAWZCR311360</v>
      </c>
      <c r="O347" s="90">
        <v>31</v>
      </c>
      <c r="P347" s="89">
        <v>3</v>
      </c>
      <c r="Q347" s="89" t="s">
        <v>2025</v>
      </c>
      <c r="R347" s="90">
        <v>1370</v>
      </c>
      <c r="S347" s="90">
        <v>13450</v>
      </c>
      <c r="T347" s="90">
        <v>1360</v>
      </c>
      <c r="U347" s="90">
        <v>1360</v>
      </c>
      <c r="V347" s="90">
        <v>13250</v>
      </c>
      <c r="W347" s="81">
        <v>2</v>
      </c>
      <c r="X347" s="82" t="s">
        <v>14</v>
      </c>
      <c r="Y347" s="83" t="s">
        <v>15</v>
      </c>
      <c r="Z347" s="84">
        <v>6</v>
      </c>
      <c r="AA347" s="85" t="s">
        <v>24</v>
      </c>
      <c r="AB347" s="86">
        <v>1450</v>
      </c>
      <c r="AC347" s="83"/>
      <c r="AD347" s="85"/>
      <c r="AE347" s="86"/>
      <c r="AF347" s="83"/>
      <c r="AG347" s="85"/>
      <c r="AH347" s="86"/>
      <c r="AI347" s="83"/>
      <c r="AJ347" s="85"/>
      <c r="AK347" s="86"/>
      <c r="AL347" s="87"/>
      <c r="AM347" s="88"/>
      <c r="AN347" s="88" t="s">
        <v>474</v>
      </c>
      <c r="AO347" s="230" t="str">
        <f t="shared" si="15"/>
        <v>3UNCERAWZCR31</v>
      </c>
    </row>
    <row r="348" spans="1:41" x14ac:dyDescent="0.15">
      <c r="A348" s="80">
        <v>4114</v>
      </c>
      <c r="B348" s="89">
        <v>281</v>
      </c>
      <c r="C348" s="89"/>
      <c r="D348" s="89" t="s">
        <v>1149</v>
      </c>
      <c r="E348" s="89"/>
      <c r="F348" s="89"/>
      <c r="G348" s="89" t="str">
        <f t="shared" si="12"/>
        <v>3UNCERAWZCR</v>
      </c>
      <c r="H348" s="89" t="s">
        <v>1662</v>
      </c>
      <c r="I348" s="89" t="s">
        <v>1550</v>
      </c>
      <c r="J348" s="89" t="s">
        <v>21</v>
      </c>
      <c r="K348" s="89" t="s">
        <v>2158</v>
      </c>
      <c r="L348" s="89" t="s">
        <v>2159</v>
      </c>
      <c r="M348" s="89" t="str">
        <f t="shared" si="13"/>
        <v>3UNCERAWZCR251370</v>
      </c>
      <c r="N348" s="89" t="str">
        <f t="shared" si="14"/>
        <v>3UNCERAWZCR251360</v>
      </c>
      <c r="O348" s="90">
        <v>25</v>
      </c>
      <c r="P348" s="89">
        <v>3</v>
      </c>
      <c r="Q348" s="89" t="s">
        <v>2025</v>
      </c>
      <c r="R348" s="90">
        <v>1370</v>
      </c>
      <c r="S348" s="90">
        <v>15300</v>
      </c>
      <c r="T348" s="90">
        <v>1360</v>
      </c>
      <c r="U348" s="90">
        <v>1360</v>
      </c>
      <c r="V348" s="90">
        <v>15100</v>
      </c>
      <c r="W348" s="81">
        <v>2</v>
      </c>
      <c r="X348" s="82" t="s">
        <v>14</v>
      </c>
      <c r="Y348" s="83" t="s">
        <v>15</v>
      </c>
      <c r="Z348" s="84">
        <v>6</v>
      </c>
      <c r="AA348" s="85" t="s">
        <v>24</v>
      </c>
      <c r="AB348" s="86">
        <v>1450</v>
      </c>
      <c r="AC348" s="83"/>
      <c r="AD348" s="85"/>
      <c r="AE348" s="86"/>
      <c r="AF348" s="83"/>
      <c r="AG348" s="85"/>
      <c r="AH348" s="86"/>
      <c r="AI348" s="83"/>
      <c r="AJ348" s="85"/>
      <c r="AK348" s="86"/>
      <c r="AL348" s="87"/>
      <c r="AM348" s="88"/>
      <c r="AN348" s="88" t="s">
        <v>474</v>
      </c>
      <c r="AO348" s="230" t="str">
        <f t="shared" si="15"/>
        <v>3UNCERAWZCR25</v>
      </c>
    </row>
    <row r="349" spans="1:41" x14ac:dyDescent="0.15">
      <c r="A349" s="80">
        <v>4114</v>
      </c>
      <c r="B349" s="89">
        <v>271</v>
      </c>
      <c r="C349" s="89">
        <v>7361</v>
      </c>
      <c r="D349" s="89" t="s">
        <v>2043</v>
      </c>
      <c r="E349" s="89" t="s">
        <v>11</v>
      </c>
      <c r="F349" s="89" t="s">
        <v>210</v>
      </c>
      <c r="G349" s="89" t="str">
        <f t="shared" si="12"/>
        <v>3UNCERABX8A14</v>
      </c>
      <c r="H349" s="89" t="s">
        <v>269</v>
      </c>
      <c r="I349" s="89" t="s">
        <v>1550</v>
      </c>
      <c r="J349" s="89" t="s">
        <v>21</v>
      </c>
      <c r="K349" s="89" t="s">
        <v>1561</v>
      </c>
      <c r="L349" s="89" t="s">
        <v>2044</v>
      </c>
      <c r="M349" s="89" t="str">
        <f t="shared" si="13"/>
        <v>3UNCERABX8A14751310</v>
      </c>
      <c r="N349" s="89" t="str">
        <f t="shared" si="14"/>
        <v>3UNCERABX8A14751300</v>
      </c>
      <c r="O349" s="90">
        <v>75</v>
      </c>
      <c r="P349" s="89">
        <v>3</v>
      </c>
      <c r="Q349" s="89" t="s">
        <v>1996</v>
      </c>
      <c r="R349" s="90">
        <v>1310</v>
      </c>
      <c r="S349" s="90">
        <v>4500</v>
      </c>
      <c r="T349" s="90">
        <v>1300</v>
      </c>
      <c r="U349" s="90">
        <v>1300</v>
      </c>
      <c r="V349" s="90">
        <v>4300</v>
      </c>
      <c r="W349" s="81">
        <v>2</v>
      </c>
      <c r="X349" s="82" t="s">
        <v>14</v>
      </c>
      <c r="Y349" s="83" t="s">
        <v>15</v>
      </c>
      <c r="Z349" s="84">
        <v>6</v>
      </c>
      <c r="AA349" s="85" t="s">
        <v>24</v>
      </c>
      <c r="AB349" s="86">
        <v>1320</v>
      </c>
      <c r="AC349" s="83"/>
      <c r="AD349" s="85"/>
      <c r="AE349" s="86"/>
      <c r="AF349" s="83"/>
      <c r="AG349" s="85"/>
      <c r="AH349" s="86"/>
      <c r="AI349" s="83"/>
      <c r="AJ349" s="85"/>
      <c r="AK349" s="86"/>
      <c r="AL349" s="87">
        <v>6</v>
      </c>
      <c r="AM349" s="88"/>
      <c r="AN349" s="88" t="s">
        <v>472</v>
      </c>
      <c r="AO349" s="230" t="str">
        <f t="shared" si="15"/>
        <v>3UNCERABX8A1475</v>
      </c>
    </row>
    <row r="350" spans="1:41" x14ac:dyDescent="0.15">
      <c r="A350" s="80">
        <v>4114</v>
      </c>
      <c r="B350" s="89">
        <v>272</v>
      </c>
      <c r="C350" s="89"/>
      <c r="D350" s="89" t="s">
        <v>502</v>
      </c>
      <c r="E350" s="89" t="s">
        <v>45</v>
      </c>
      <c r="F350" s="89"/>
      <c r="G350" s="89" t="str">
        <f t="shared" si="12"/>
        <v>3UNCERABX8A14</v>
      </c>
      <c r="H350" s="89" t="s">
        <v>269</v>
      </c>
      <c r="I350" s="89" t="s">
        <v>1550</v>
      </c>
      <c r="J350" s="89" t="s">
        <v>21</v>
      </c>
      <c r="K350" s="89" t="s">
        <v>1561</v>
      </c>
      <c r="L350" s="89" t="s">
        <v>2044</v>
      </c>
      <c r="M350" s="89" t="str">
        <f t="shared" si="13"/>
        <v>3UNCERABX8A14501240</v>
      </c>
      <c r="N350" s="89" t="str">
        <f t="shared" si="14"/>
        <v>3UNCERABX8A1450600</v>
      </c>
      <c r="O350" s="90">
        <v>50</v>
      </c>
      <c r="P350" s="89">
        <v>3</v>
      </c>
      <c r="Q350" s="89" t="s">
        <v>503</v>
      </c>
      <c r="R350" s="90">
        <v>1240</v>
      </c>
      <c r="S350" s="90">
        <v>4200</v>
      </c>
      <c r="T350" s="90">
        <v>600</v>
      </c>
      <c r="U350" s="90">
        <v>600</v>
      </c>
      <c r="V350" s="90">
        <v>2000</v>
      </c>
      <c r="W350" s="81">
        <v>2</v>
      </c>
      <c r="X350" s="82" t="s">
        <v>14</v>
      </c>
      <c r="Y350" s="83" t="s">
        <v>295</v>
      </c>
      <c r="Z350" s="84">
        <v>6</v>
      </c>
      <c r="AA350" s="85" t="s">
        <v>24</v>
      </c>
      <c r="AB350" s="86"/>
      <c r="AC350" s="83"/>
      <c r="AD350" s="85"/>
      <c r="AE350" s="86"/>
      <c r="AF350" s="83"/>
      <c r="AG350" s="85"/>
      <c r="AH350" s="86"/>
      <c r="AI350" s="83"/>
      <c r="AJ350" s="85"/>
      <c r="AK350" s="86"/>
      <c r="AL350" s="87">
        <v>6</v>
      </c>
      <c r="AM350" s="88"/>
      <c r="AN350" s="88" t="s">
        <v>472</v>
      </c>
      <c r="AO350" s="230" t="str">
        <f t="shared" si="15"/>
        <v>3UNCERABX8A1450</v>
      </c>
    </row>
    <row r="351" spans="1:41" x14ac:dyDescent="0.15">
      <c r="A351" s="80">
        <v>4114</v>
      </c>
      <c r="B351" s="89">
        <v>272</v>
      </c>
      <c r="C351" s="89"/>
      <c r="D351" s="89" t="s">
        <v>2160</v>
      </c>
      <c r="E351" s="89" t="s">
        <v>45</v>
      </c>
      <c r="F351" s="89"/>
      <c r="G351" s="89" t="str">
        <f t="shared" si="12"/>
        <v>3UNCERABX8A14</v>
      </c>
      <c r="H351" s="89" t="s">
        <v>269</v>
      </c>
      <c r="I351" s="89" t="s">
        <v>1550</v>
      </c>
      <c r="J351" s="89" t="s">
        <v>21</v>
      </c>
      <c r="K351" s="89" t="s">
        <v>1561</v>
      </c>
      <c r="L351" s="89" t="s">
        <v>2044</v>
      </c>
      <c r="M351" s="89" t="str">
        <f t="shared" si="13"/>
        <v>3UNCERABX8A14381430</v>
      </c>
      <c r="N351" s="89" t="str">
        <f t="shared" si="14"/>
        <v>3UNCERABX8A14381420</v>
      </c>
      <c r="O351" s="90">
        <v>38</v>
      </c>
      <c r="P351" s="89">
        <v>3</v>
      </c>
      <c r="Q351" s="89" t="s">
        <v>2007</v>
      </c>
      <c r="R351" s="90">
        <v>1430</v>
      </c>
      <c r="S351" s="90">
        <v>6000</v>
      </c>
      <c r="T351" s="90">
        <v>1420</v>
      </c>
      <c r="U351" s="90">
        <v>1420</v>
      </c>
      <c r="V351" s="90">
        <v>6000</v>
      </c>
      <c r="W351" s="81">
        <v>2</v>
      </c>
      <c r="X351" s="82" t="s">
        <v>14</v>
      </c>
      <c r="Y351" s="83" t="s">
        <v>487</v>
      </c>
      <c r="Z351" s="84">
        <v>6</v>
      </c>
      <c r="AA351" s="85" t="s">
        <v>24</v>
      </c>
      <c r="AB351" s="86">
        <v>1600</v>
      </c>
      <c r="AC351" s="83"/>
      <c r="AD351" s="85"/>
      <c r="AE351" s="86"/>
      <c r="AF351" s="83"/>
      <c r="AG351" s="85"/>
      <c r="AH351" s="86"/>
      <c r="AI351" s="83"/>
      <c r="AJ351" s="85"/>
      <c r="AK351" s="86"/>
      <c r="AL351" s="87">
        <v>6</v>
      </c>
      <c r="AM351" s="88"/>
      <c r="AN351" s="88" t="s">
        <v>472</v>
      </c>
      <c r="AO351" s="230" t="str">
        <f t="shared" si="15"/>
        <v>3UNCERABX8A1438</v>
      </c>
    </row>
    <row r="352" spans="1:41" x14ac:dyDescent="0.15">
      <c r="A352" s="80">
        <v>4114</v>
      </c>
      <c r="B352" s="89">
        <v>272</v>
      </c>
      <c r="C352" s="89"/>
      <c r="D352" s="89" t="s">
        <v>869</v>
      </c>
      <c r="E352" s="89" t="s">
        <v>45</v>
      </c>
      <c r="F352" s="89"/>
      <c r="G352" s="89" t="str">
        <f t="shared" si="12"/>
        <v>3UNCERABX8A14</v>
      </c>
      <c r="H352" s="89" t="s">
        <v>269</v>
      </c>
      <c r="I352" s="89" t="s">
        <v>1550</v>
      </c>
      <c r="J352" s="89" t="s">
        <v>21</v>
      </c>
      <c r="K352" s="89" t="s">
        <v>1561</v>
      </c>
      <c r="L352" s="89" t="s">
        <v>2044</v>
      </c>
      <c r="M352" s="89" t="str">
        <f t="shared" si="13"/>
        <v>3UNCERABX8A14251110</v>
      </c>
      <c r="N352" s="89" t="str">
        <f t="shared" si="14"/>
        <v>3UNCERABX8A14251100</v>
      </c>
      <c r="O352" s="90">
        <v>25</v>
      </c>
      <c r="P352" s="89">
        <v>3</v>
      </c>
      <c r="Q352" s="89" t="s">
        <v>503</v>
      </c>
      <c r="R352" s="90">
        <v>1110</v>
      </c>
      <c r="S352" s="90">
        <v>12100</v>
      </c>
      <c r="T352" s="90">
        <v>1100</v>
      </c>
      <c r="U352" s="90">
        <v>1100</v>
      </c>
      <c r="V352" s="90">
        <v>4000</v>
      </c>
      <c r="W352" s="81">
        <v>2</v>
      </c>
      <c r="X352" s="82" t="s">
        <v>14</v>
      </c>
      <c r="Y352" s="83" t="s">
        <v>25</v>
      </c>
      <c r="Z352" s="84">
        <v>6</v>
      </c>
      <c r="AA352" s="85" t="s">
        <v>24</v>
      </c>
      <c r="AB352" s="86">
        <v>1450</v>
      </c>
      <c r="AC352" s="83">
        <v>6</v>
      </c>
      <c r="AD352" s="85" t="s">
        <v>266</v>
      </c>
      <c r="AE352" s="86">
        <v>1170</v>
      </c>
      <c r="AF352" s="83"/>
      <c r="AG352" s="85"/>
      <c r="AH352" s="86"/>
      <c r="AI352" s="83"/>
      <c r="AJ352" s="85"/>
      <c r="AK352" s="86"/>
      <c r="AL352" s="87">
        <v>6</v>
      </c>
      <c r="AM352" s="88"/>
      <c r="AN352" s="88" t="s">
        <v>472</v>
      </c>
      <c r="AO352" s="230" t="str">
        <f t="shared" si="15"/>
        <v>3UNCERABX8A1425</v>
      </c>
    </row>
    <row r="353" spans="1:41" x14ac:dyDescent="0.15">
      <c r="A353" s="80">
        <v>4113</v>
      </c>
      <c r="B353" s="89">
        <v>272</v>
      </c>
      <c r="C353" s="89"/>
      <c r="D353" s="89" t="s">
        <v>869</v>
      </c>
      <c r="E353" s="89" t="s">
        <v>45</v>
      </c>
      <c r="F353" s="89"/>
      <c r="G353" s="89" t="str">
        <f t="shared" si="12"/>
        <v>3TNCERABX8A14</v>
      </c>
      <c r="H353" s="89" t="s">
        <v>1653</v>
      </c>
      <c r="I353" s="89" t="s">
        <v>1550</v>
      </c>
      <c r="J353" s="89" t="s">
        <v>21</v>
      </c>
      <c r="K353" s="89" t="s">
        <v>1561</v>
      </c>
      <c r="L353" s="89" t="s">
        <v>2044</v>
      </c>
      <c r="M353" s="89" t="str">
        <f t="shared" si="13"/>
        <v>3TNCERABX8A14251110</v>
      </c>
      <c r="N353" s="89" t="str">
        <f t="shared" si="14"/>
        <v>3TNCERABX8A14251100</v>
      </c>
      <c r="O353" s="90">
        <v>25</v>
      </c>
      <c r="P353" s="89">
        <v>3</v>
      </c>
      <c r="Q353" s="89" t="s">
        <v>503</v>
      </c>
      <c r="R353" s="90">
        <v>1110</v>
      </c>
      <c r="S353" s="90">
        <v>12500</v>
      </c>
      <c r="T353" s="90">
        <v>1100</v>
      </c>
      <c r="U353" s="90">
        <v>1100</v>
      </c>
      <c r="V353" s="90">
        <v>4000</v>
      </c>
      <c r="W353" s="81">
        <v>2</v>
      </c>
      <c r="X353" s="82" t="s">
        <v>14</v>
      </c>
      <c r="Y353" s="83" t="s">
        <v>25</v>
      </c>
      <c r="Z353" s="84">
        <v>6</v>
      </c>
      <c r="AA353" s="85" t="s">
        <v>24</v>
      </c>
      <c r="AB353" s="86">
        <v>1450</v>
      </c>
      <c r="AC353" s="83">
        <v>6</v>
      </c>
      <c r="AD353" s="85" t="s">
        <v>266</v>
      </c>
      <c r="AE353" s="86">
        <v>1170</v>
      </c>
      <c r="AF353" s="83"/>
      <c r="AG353" s="85"/>
      <c r="AH353" s="86"/>
      <c r="AI353" s="83"/>
      <c r="AJ353" s="85"/>
      <c r="AK353" s="86"/>
      <c r="AL353" s="87">
        <v>6</v>
      </c>
      <c r="AM353" s="88"/>
      <c r="AN353" s="88" t="s">
        <v>472</v>
      </c>
      <c r="AO353" s="230" t="str">
        <f t="shared" si="15"/>
        <v>3TNCERABX8A1425</v>
      </c>
    </row>
    <row r="354" spans="1:41" x14ac:dyDescent="0.15">
      <c r="A354" s="80">
        <v>4114</v>
      </c>
      <c r="B354" s="89">
        <v>272</v>
      </c>
      <c r="C354" s="89"/>
      <c r="D354" s="89" t="s">
        <v>869</v>
      </c>
      <c r="E354" s="89" t="s">
        <v>45</v>
      </c>
      <c r="F354" s="89"/>
      <c r="G354" s="89" t="str">
        <f t="shared" si="12"/>
        <v>3UNCERABX8A14</v>
      </c>
      <c r="H354" s="89" t="s">
        <v>269</v>
      </c>
      <c r="I354" s="89" t="s">
        <v>1550</v>
      </c>
      <c r="J354" s="89" t="s">
        <v>21</v>
      </c>
      <c r="K354" s="89" t="s">
        <v>1561</v>
      </c>
      <c r="L354" s="89" t="s">
        <v>2044</v>
      </c>
      <c r="M354" s="89" t="str">
        <f t="shared" si="13"/>
        <v>3UNCERABX8A14251120</v>
      </c>
      <c r="N354" s="89" t="str">
        <f t="shared" si="14"/>
        <v>3UNCERABX8A14251100</v>
      </c>
      <c r="O354" s="90">
        <v>25</v>
      </c>
      <c r="P354" s="89">
        <v>3</v>
      </c>
      <c r="Q354" s="89" t="s">
        <v>503</v>
      </c>
      <c r="R354" s="90">
        <v>1120</v>
      </c>
      <c r="S354" s="90">
        <v>12500</v>
      </c>
      <c r="T354" s="90">
        <v>1100</v>
      </c>
      <c r="U354" s="90">
        <v>1100</v>
      </c>
      <c r="V354" s="90">
        <v>4000</v>
      </c>
      <c r="W354" s="81">
        <v>2</v>
      </c>
      <c r="X354" s="82" t="s">
        <v>14</v>
      </c>
      <c r="Y354" s="83" t="s">
        <v>25</v>
      </c>
      <c r="Z354" s="84">
        <v>6</v>
      </c>
      <c r="AA354" s="85" t="s">
        <v>24</v>
      </c>
      <c r="AB354" s="86">
        <v>1450</v>
      </c>
      <c r="AC354" s="83">
        <v>6</v>
      </c>
      <c r="AD354" s="85" t="s">
        <v>266</v>
      </c>
      <c r="AE354" s="86">
        <v>1170</v>
      </c>
      <c r="AF354" s="83"/>
      <c r="AG354" s="85"/>
      <c r="AH354" s="86"/>
      <c r="AI354" s="83"/>
      <c r="AJ354" s="85"/>
      <c r="AK354" s="86"/>
      <c r="AL354" s="87">
        <v>6</v>
      </c>
      <c r="AM354" s="88"/>
      <c r="AN354" s="88" t="s">
        <v>472</v>
      </c>
      <c r="AO354" s="230" t="str">
        <f t="shared" si="15"/>
        <v>3UNCERABX8A1425</v>
      </c>
    </row>
    <row r="355" spans="1:41" x14ac:dyDescent="0.15">
      <c r="A355" s="80">
        <v>4114</v>
      </c>
      <c r="B355" s="89">
        <v>272</v>
      </c>
      <c r="C355" s="89"/>
      <c r="D355" s="89" t="s">
        <v>274</v>
      </c>
      <c r="E355" s="89" t="s">
        <v>2120</v>
      </c>
      <c r="F355" s="89" t="s">
        <v>184</v>
      </c>
      <c r="G355" s="89" t="str">
        <f t="shared" si="12"/>
        <v>3UNCERAJWZ(B)</v>
      </c>
      <c r="H355" s="89" t="s">
        <v>269</v>
      </c>
      <c r="I355" s="89" t="s">
        <v>1550</v>
      </c>
      <c r="J355" s="89" t="s">
        <v>21</v>
      </c>
      <c r="K355" s="89" t="s">
        <v>2161</v>
      </c>
      <c r="L355" s="89" t="s">
        <v>2162</v>
      </c>
      <c r="M355" s="89" t="str">
        <f t="shared" si="13"/>
        <v>3UNCERAJWZ(B)251270</v>
      </c>
      <c r="N355" s="89" t="str">
        <f t="shared" si="14"/>
        <v>3UNCERAJWZ(B)251120</v>
      </c>
      <c r="O355" s="90">
        <v>25</v>
      </c>
      <c r="P355" s="89">
        <v>3</v>
      </c>
      <c r="Q355" s="89" t="s">
        <v>275</v>
      </c>
      <c r="R355" s="90">
        <v>1270</v>
      </c>
      <c r="S355" s="90">
        <v>6000</v>
      </c>
      <c r="T355" s="90">
        <v>1120</v>
      </c>
      <c r="U355" s="90">
        <v>1120</v>
      </c>
      <c r="V355" s="90">
        <v>2000</v>
      </c>
      <c r="W355" s="81">
        <v>2</v>
      </c>
      <c r="X355" s="82" t="s">
        <v>14</v>
      </c>
      <c r="Y355" s="83" t="s">
        <v>295</v>
      </c>
      <c r="Z355" s="84">
        <v>6</v>
      </c>
      <c r="AA355" s="85" t="s">
        <v>266</v>
      </c>
      <c r="AB355" s="86">
        <v>1450</v>
      </c>
      <c r="AC355" s="83">
        <v>6</v>
      </c>
      <c r="AD355" s="85" t="s">
        <v>266</v>
      </c>
      <c r="AE355" s="86">
        <v>1170</v>
      </c>
      <c r="AF355" s="83"/>
      <c r="AG355" s="85"/>
      <c r="AH355" s="86"/>
      <c r="AI355" s="83"/>
      <c r="AJ355" s="85"/>
      <c r="AK355" s="86"/>
      <c r="AL355" s="87"/>
      <c r="AM355" s="88"/>
      <c r="AN355" s="88" t="s">
        <v>474</v>
      </c>
      <c r="AO355" s="230" t="str">
        <f t="shared" si="15"/>
        <v>3UNCERAJWZ(B)25</v>
      </c>
    </row>
    <row r="356" spans="1:41" x14ac:dyDescent="0.15">
      <c r="A356" s="80">
        <v>4114</v>
      </c>
      <c r="B356" s="89">
        <v>271</v>
      </c>
      <c r="C356" s="89">
        <v>2721</v>
      </c>
      <c r="D356" s="89" t="s">
        <v>106</v>
      </c>
      <c r="E356" s="89" t="s">
        <v>18</v>
      </c>
      <c r="F356" s="89" t="s">
        <v>12</v>
      </c>
      <c r="G356" s="89" t="str">
        <f t="shared" si="12"/>
        <v>3UNCERAJWZ(B)</v>
      </c>
      <c r="H356" s="89" t="s">
        <v>269</v>
      </c>
      <c r="I356" s="89" t="s">
        <v>1550</v>
      </c>
      <c r="J356" s="89" t="s">
        <v>21</v>
      </c>
      <c r="K356" s="89" t="s">
        <v>2161</v>
      </c>
      <c r="L356" s="89" t="s">
        <v>2162</v>
      </c>
      <c r="M356" s="89" t="str">
        <f t="shared" si="13"/>
        <v>3UNCERAJWZ(B)381060</v>
      </c>
      <c r="N356" s="89" t="str">
        <f t="shared" si="14"/>
        <v>3UNCERAJWZ(B)381040</v>
      </c>
      <c r="O356" s="90">
        <v>38</v>
      </c>
      <c r="P356" s="89">
        <v>3</v>
      </c>
      <c r="Q356" s="89" t="s">
        <v>275</v>
      </c>
      <c r="R356" s="90">
        <v>1060</v>
      </c>
      <c r="S356" s="90">
        <v>3000</v>
      </c>
      <c r="T356" s="90">
        <v>1040</v>
      </c>
      <c r="U356" s="90">
        <v>1040</v>
      </c>
      <c r="V356" s="90">
        <v>2800</v>
      </c>
      <c r="W356" s="81">
        <v>2</v>
      </c>
      <c r="X356" s="82" t="s">
        <v>14</v>
      </c>
      <c r="Y356" s="83" t="s">
        <v>487</v>
      </c>
      <c r="Z356" s="84">
        <v>6</v>
      </c>
      <c r="AA356" s="85" t="s">
        <v>24</v>
      </c>
      <c r="AB356" s="86">
        <v>1500</v>
      </c>
      <c r="AC356" s="83"/>
      <c r="AD356" s="85"/>
      <c r="AE356" s="86"/>
      <c r="AF356" s="83"/>
      <c r="AG356" s="85"/>
      <c r="AH356" s="86"/>
      <c r="AI356" s="83"/>
      <c r="AJ356" s="85"/>
      <c r="AK356" s="86"/>
      <c r="AL356" s="87"/>
      <c r="AM356" s="88"/>
      <c r="AN356" s="88" t="s">
        <v>474</v>
      </c>
      <c r="AO356" s="230" t="str">
        <f t="shared" si="15"/>
        <v>3UNCERAJWZ(B)38</v>
      </c>
    </row>
    <row r="357" spans="1:41" x14ac:dyDescent="0.15">
      <c r="A357" s="80">
        <v>4114</v>
      </c>
      <c r="B357" s="89">
        <v>271</v>
      </c>
      <c r="C357" s="89">
        <v>2721</v>
      </c>
      <c r="D357" s="89" t="s">
        <v>106</v>
      </c>
      <c r="E357" s="89" t="s">
        <v>18</v>
      </c>
      <c r="F357" s="89" t="s">
        <v>12</v>
      </c>
      <c r="G357" s="89" t="str">
        <f t="shared" si="12"/>
        <v>3UNCERAJWZ(B)</v>
      </c>
      <c r="H357" s="89" t="s">
        <v>269</v>
      </c>
      <c r="I357" s="89" t="s">
        <v>1550</v>
      </c>
      <c r="J357" s="89" t="s">
        <v>21</v>
      </c>
      <c r="K357" s="89" t="s">
        <v>2161</v>
      </c>
      <c r="L357" s="89" t="s">
        <v>2162</v>
      </c>
      <c r="M357" s="89" t="str">
        <f t="shared" si="13"/>
        <v>3UNCERAJWZ(B)251060</v>
      </c>
      <c r="N357" s="89" t="str">
        <f t="shared" si="14"/>
        <v>3UNCERAJWZ(B)251040</v>
      </c>
      <c r="O357" s="90">
        <v>25</v>
      </c>
      <c r="P357" s="89">
        <v>3</v>
      </c>
      <c r="Q357" s="89" t="s">
        <v>275</v>
      </c>
      <c r="R357" s="90">
        <v>1060</v>
      </c>
      <c r="S357" s="90">
        <v>1200</v>
      </c>
      <c r="T357" s="90">
        <v>1040</v>
      </c>
      <c r="U357" s="90">
        <v>1040</v>
      </c>
      <c r="V357" s="90">
        <v>1000</v>
      </c>
      <c r="W357" s="81">
        <v>2</v>
      </c>
      <c r="X357" s="82" t="s">
        <v>14</v>
      </c>
      <c r="Y357" s="83" t="s">
        <v>487</v>
      </c>
      <c r="Z357" s="84">
        <v>6</v>
      </c>
      <c r="AA357" s="85" t="s">
        <v>24</v>
      </c>
      <c r="AB357" s="86">
        <v>1500</v>
      </c>
      <c r="AC357" s="83"/>
      <c r="AD357" s="85"/>
      <c r="AE357" s="86"/>
      <c r="AF357" s="83"/>
      <c r="AG357" s="85"/>
      <c r="AH357" s="86"/>
      <c r="AI357" s="83"/>
      <c r="AJ357" s="85"/>
      <c r="AK357" s="86"/>
      <c r="AL357" s="87"/>
      <c r="AM357" s="88"/>
      <c r="AN357" s="88" t="s">
        <v>474</v>
      </c>
      <c r="AO357" s="230" t="str">
        <f t="shared" si="15"/>
        <v>3UNCERAJWZ(B)25</v>
      </c>
    </row>
    <row r="358" spans="1:41" x14ac:dyDescent="0.15">
      <c r="A358" s="80">
        <v>4114</v>
      </c>
      <c r="B358" s="89">
        <v>276</v>
      </c>
      <c r="C358" s="89">
        <v>4268</v>
      </c>
      <c r="D358" s="89" t="s">
        <v>601</v>
      </c>
      <c r="E358" s="89" t="s">
        <v>2048</v>
      </c>
      <c r="F358" s="89"/>
      <c r="G358" s="89" t="str">
        <f t="shared" si="12"/>
        <v>3UNCERAJWZK</v>
      </c>
      <c r="H358" s="89" t="s">
        <v>269</v>
      </c>
      <c r="I358" s="89" t="s">
        <v>1550</v>
      </c>
      <c r="J358" s="89" t="s">
        <v>21</v>
      </c>
      <c r="K358" s="89" t="s">
        <v>2163</v>
      </c>
      <c r="L358" s="89" t="s">
        <v>2164</v>
      </c>
      <c r="M358" s="89" t="str">
        <f t="shared" si="13"/>
        <v>3UNCERAJWZK311070</v>
      </c>
      <c r="N358" s="89" t="str">
        <f t="shared" si="14"/>
        <v>3UNCERAJWZK31450</v>
      </c>
      <c r="O358" s="90">
        <v>31</v>
      </c>
      <c r="P358" s="89">
        <v>3</v>
      </c>
      <c r="Q358" s="89" t="s">
        <v>2026</v>
      </c>
      <c r="R358" s="90">
        <v>1070</v>
      </c>
      <c r="S358" s="90">
        <v>3000</v>
      </c>
      <c r="T358" s="90">
        <v>450</v>
      </c>
      <c r="U358" s="90">
        <v>450</v>
      </c>
      <c r="V358" s="90">
        <v>3000</v>
      </c>
      <c r="W358" s="81">
        <v>2</v>
      </c>
      <c r="X358" s="82" t="s">
        <v>14</v>
      </c>
      <c r="Y358" s="83" t="s">
        <v>295</v>
      </c>
      <c r="Z358" s="84">
        <v>6</v>
      </c>
      <c r="AA358" s="85" t="s">
        <v>266</v>
      </c>
      <c r="AB358" s="86">
        <v>1450</v>
      </c>
      <c r="AC358" s="83">
        <v>3</v>
      </c>
      <c r="AD358" s="85" t="s">
        <v>459</v>
      </c>
      <c r="AE358" s="86">
        <v>505</v>
      </c>
      <c r="AF358" s="83"/>
      <c r="AG358" s="85"/>
      <c r="AH358" s="86"/>
      <c r="AI358" s="83"/>
      <c r="AJ358" s="85"/>
      <c r="AK358" s="86"/>
      <c r="AL358" s="87"/>
      <c r="AM358" s="88"/>
      <c r="AN358" s="88" t="s">
        <v>474</v>
      </c>
      <c r="AO358" s="230" t="str">
        <f t="shared" si="15"/>
        <v>3UNCERAJWZK31</v>
      </c>
    </row>
    <row r="359" spans="1:41" x14ac:dyDescent="0.15">
      <c r="A359" s="80">
        <v>4114</v>
      </c>
      <c r="B359" s="89">
        <v>272</v>
      </c>
      <c r="C359" s="89">
        <v>30967</v>
      </c>
      <c r="D359" s="89" t="s">
        <v>682</v>
      </c>
      <c r="E359" s="89"/>
      <c r="F359" s="89"/>
      <c r="G359" s="89" t="str">
        <f t="shared" si="12"/>
        <v>3UNCERAJTK14B</v>
      </c>
      <c r="H359" s="89" t="s">
        <v>269</v>
      </c>
      <c r="I359" s="89" t="s">
        <v>1550</v>
      </c>
      <c r="J359" s="89" t="s">
        <v>21</v>
      </c>
      <c r="K359" s="89" t="s">
        <v>2165</v>
      </c>
      <c r="L359" s="89" t="s">
        <v>2166</v>
      </c>
      <c r="M359" s="89" t="str">
        <f t="shared" si="13"/>
        <v>3UNCERAJTK14B251110</v>
      </c>
      <c r="N359" s="89" t="str">
        <f t="shared" si="14"/>
        <v>3UNCERAJTK14B251100</v>
      </c>
      <c r="O359" s="90">
        <v>25</v>
      </c>
      <c r="P359" s="89">
        <v>3</v>
      </c>
      <c r="Q359" s="89" t="s">
        <v>275</v>
      </c>
      <c r="R359" s="90">
        <v>1110</v>
      </c>
      <c r="S359" s="90">
        <v>5300</v>
      </c>
      <c r="T359" s="90">
        <v>1100</v>
      </c>
      <c r="U359" s="90">
        <v>1100</v>
      </c>
      <c r="V359" s="90">
        <v>2500</v>
      </c>
      <c r="W359" s="81">
        <v>2</v>
      </c>
      <c r="X359" s="82" t="s">
        <v>14</v>
      </c>
      <c r="Y359" s="83" t="s">
        <v>15</v>
      </c>
      <c r="Z359" s="84">
        <v>6</v>
      </c>
      <c r="AA359" s="85" t="s">
        <v>266</v>
      </c>
      <c r="AB359" s="86">
        <v>1450</v>
      </c>
      <c r="AC359" s="83"/>
      <c r="AD359" s="85"/>
      <c r="AE359" s="86"/>
      <c r="AF359" s="83"/>
      <c r="AG359" s="85"/>
      <c r="AH359" s="86"/>
      <c r="AI359" s="83"/>
      <c r="AJ359" s="85"/>
      <c r="AK359" s="86"/>
      <c r="AL359" s="87"/>
      <c r="AM359" s="88"/>
      <c r="AN359" s="88" t="s">
        <v>474</v>
      </c>
      <c r="AO359" s="230" t="str">
        <f t="shared" si="15"/>
        <v>3UNCERAJTK14B25</v>
      </c>
    </row>
    <row r="360" spans="1:41" x14ac:dyDescent="0.15">
      <c r="A360" s="80">
        <v>4114</v>
      </c>
      <c r="B360" s="89">
        <v>272</v>
      </c>
      <c r="C360" s="89">
        <v>30967</v>
      </c>
      <c r="D360" s="89" t="s">
        <v>682</v>
      </c>
      <c r="E360" s="89"/>
      <c r="F360" s="89"/>
      <c r="G360" s="89" t="str">
        <f t="shared" si="12"/>
        <v>3UNCERAJTKE14B</v>
      </c>
      <c r="H360" s="89" t="s">
        <v>269</v>
      </c>
      <c r="I360" s="89" t="s">
        <v>1550</v>
      </c>
      <c r="J360" s="89" t="s">
        <v>21</v>
      </c>
      <c r="K360" s="89" t="s">
        <v>2167</v>
      </c>
      <c r="L360" s="89" t="s">
        <v>2168</v>
      </c>
      <c r="M360" s="89" t="str">
        <f t="shared" si="13"/>
        <v>3UNCERAJTKE14B251110</v>
      </c>
      <c r="N360" s="89" t="str">
        <f t="shared" si="14"/>
        <v>3UNCERAJTKE14B251100</v>
      </c>
      <c r="O360" s="90">
        <v>25</v>
      </c>
      <c r="P360" s="89">
        <v>3</v>
      </c>
      <c r="Q360" s="89" t="s">
        <v>275</v>
      </c>
      <c r="R360" s="90">
        <v>1110</v>
      </c>
      <c r="S360" s="90">
        <v>5300</v>
      </c>
      <c r="T360" s="90">
        <v>1100</v>
      </c>
      <c r="U360" s="90">
        <v>1100</v>
      </c>
      <c r="V360" s="90">
        <v>2500</v>
      </c>
      <c r="W360" s="81">
        <v>2</v>
      </c>
      <c r="X360" s="82" t="s">
        <v>14</v>
      </c>
      <c r="Y360" s="83" t="s">
        <v>25</v>
      </c>
      <c r="Z360" s="84">
        <v>6</v>
      </c>
      <c r="AA360" s="85" t="s">
        <v>266</v>
      </c>
      <c r="AB360" s="86">
        <v>1450</v>
      </c>
      <c r="AC360" s="83">
        <v>6</v>
      </c>
      <c r="AD360" s="85" t="s">
        <v>266</v>
      </c>
      <c r="AE360" s="86">
        <v>1450</v>
      </c>
      <c r="AF360" s="83"/>
      <c r="AG360" s="85"/>
      <c r="AH360" s="86"/>
      <c r="AI360" s="83"/>
      <c r="AJ360" s="85"/>
      <c r="AK360" s="86"/>
      <c r="AL360" s="87"/>
      <c r="AM360" s="88"/>
      <c r="AN360" s="88" t="s">
        <v>474</v>
      </c>
      <c r="AO360" s="230" t="str">
        <f t="shared" si="15"/>
        <v>3UNCERAJTKE14B25</v>
      </c>
    </row>
    <row r="361" spans="1:41" x14ac:dyDescent="0.15">
      <c r="A361" s="80">
        <v>4114</v>
      </c>
      <c r="B361" s="89">
        <v>272</v>
      </c>
      <c r="C361" s="89">
        <v>36882</v>
      </c>
      <c r="D361" s="89" t="s">
        <v>61</v>
      </c>
      <c r="E361" s="89"/>
      <c r="F361" s="89"/>
      <c r="G361" s="89" t="str">
        <f t="shared" si="12"/>
        <v>3UNCERAJTKA16B</v>
      </c>
      <c r="H361" s="89" t="s">
        <v>269</v>
      </c>
      <c r="I361" s="89" t="s">
        <v>1550</v>
      </c>
      <c r="J361" s="89" t="s">
        <v>21</v>
      </c>
      <c r="K361" s="89" t="s">
        <v>2169</v>
      </c>
      <c r="L361" s="89" t="s">
        <v>2170</v>
      </c>
      <c r="M361" s="89" t="str">
        <f t="shared" si="13"/>
        <v>3UNCERAJTKA16B381060</v>
      </c>
      <c r="N361" s="89" t="str">
        <f t="shared" si="14"/>
        <v>3UNCERAJTKA16B381050</v>
      </c>
      <c r="O361" s="90">
        <v>38</v>
      </c>
      <c r="P361" s="89">
        <v>3</v>
      </c>
      <c r="Q361" s="89" t="s">
        <v>275</v>
      </c>
      <c r="R361" s="90">
        <v>1060</v>
      </c>
      <c r="S361" s="90">
        <v>6000</v>
      </c>
      <c r="T361" s="90">
        <v>1050</v>
      </c>
      <c r="U361" s="90">
        <v>1050</v>
      </c>
      <c r="V361" s="90">
        <v>1800</v>
      </c>
      <c r="W361" s="81">
        <v>2</v>
      </c>
      <c r="X361" s="82" t="s">
        <v>14</v>
      </c>
      <c r="Y361" s="83" t="s">
        <v>295</v>
      </c>
      <c r="Z361" s="84">
        <v>6</v>
      </c>
      <c r="AA361" s="85" t="s">
        <v>266</v>
      </c>
      <c r="AB361" s="86">
        <v>1450</v>
      </c>
      <c r="AC361" s="83">
        <v>6</v>
      </c>
      <c r="AD361" s="85" t="s">
        <v>266</v>
      </c>
      <c r="AE361" s="86">
        <v>1450</v>
      </c>
      <c r="AF361" s="83"/>
      <c r="AG361" s="85"/>
      <c r="AH361" s="86"/>
      <c r="AI361" s="83"/>
      <c r="AJ361" s="85"/>
      <c r="AK361" s="86"/>
      <c r="AL361" s="87"/>
      <c r="AM361" s="88"/>
      <c r="AN361" s="88" t="s">
        <v>474</v>
      </c>
      <c r="AO361" s="230" t="str">
        <f t="shared" si="15"/>
        <v>3UNCERAJTKA16B38</v>
      </c>
    </row>
    <row r="362" spans="1:41" x14ac:dyDescent="0.15">
      <c r="A362" s="80">
        <v>4114</v>
      </c>
      <c r="B362" s="89">
        <v>272</v>
      </c>
      <c r="C362" s="89">
        <v>36882</v>
      </c>
      <c r="D362" s="89" t="s">
        <v>61</v>
      </c>
      <c r="E362" s="89"/>
      <c r="F362" s="89"/>
      <c r="G362" s="89" t="str">
        <f t="shared" si="12"/>
        <v>3UNCERAJTKG16B</v>
      </c>
      <c r="H362" s="89" t="s">
        <v>269</v>
      </c>
      <c r="I362" s="89" t="s">
        <v>1550</v>
      </c>
      <c r="J362" s="89" t="s">
        <v>21</v>
      </c>
      <c r="K362" s="89" t="s">
        <v>2171</v>
      </c>
      <c r="L362" s="89" t="s">
        <v>2172</v>
      </c>
      <c r="M362" s="89" t="str">
        <f t="shared" si="13"/>
        <v>3UNCERAJTKG16B381050</v>
      </c>
      <c r="N362" s="89" t="str">
        <f t="shared" si="14"/>
        <v>3UNCERAJTKG16B38400</v>
      </c>
      <c r="O362" s="90">
        <v>38</v>
      </c>
      <c r="P362" s="89">
        <v>3</v>
      </c>
      <c r="Q362" s="89" t="s">
        <v>275</v>
      </c>
      <c r="R362" s="90">
        <v>1050</v>
      </c>
      <c r="S362" s="90">
        <v>6000</v>
      </c>
      <c r="T362" s="90">
        <v>400</v>
      </c>
      <c r="U362" s="90">
        <v>400</v>
      </c>
      <c r="V362" s="90">
        <v>200</v>
      </c>
      <c r="W362" s="81">
        <v>2</v>
      </c>
      <c r="X362" s="82" t="s">
        <v>14</v>
      </c>
      <c r="Y362" s="83" t="s">
        <v>295</v>
      </c>
      <c r="Z362" s="84">
        <v>6</v>
      </c>
      <c r="AA362" s="85" t="s">
        <v>266</v>
      </c>
      <c r="AB362" s="86">
        <v>1450</v>
      </c>
      <c r="AC362" s="83">
        <v>3</v>
      </c>
      <c r="AD362" s="85" t="s">
        <v>459</v>
      </c>
      <c r="AE362" s="86">
        <v>450</v>
      </c>
      <c r="AF362" s="83"/>
      <c r="AG362" s="85"/>
      <c r="AH362" s="86"/>
      <c r="AI362" s="83"/>
      <c r="AJ362" s="85"/>
      <c r="AK362" s="86"/>
      <c r="AL362" s="87"/>
      <c r="AM362" s="88"/>
      <c r="AN362" s="88" t="s">
        <v>474</v>
      </c>
      <c r="AO362" s="230" t="str">
        <f t="shared" si="15"/>
        <v>3UNCERAJTKG16B38</v>
      </c>
    </row>
    <row r="363" spans="1:41" x14ac:dyDescent="0.15">
      <c r="A363" s="80">
        <v>4114</v>
      </c>
      <c r="B363" s="89">
        <v>272</v>
      </c>
      <c r="C363" s="89">
        <v>36882</v>
      </c>
      <c r="D363" s="89" t="s">
        <v>61</v>
      </c>
      <c r="E363" s="89"/>
      <c r="F363" s="89"/>
      <c r="G363" s="89" t="str">
        <f t="shared" si="12"/>
        <v>3UNCERAJTKG16B</v>
      </c>
      <c r="H363" s="89" t="s">
        <v>269</v>
      </c>
      <c r="I363" s="89" t="s">
        <v>1550</v>
      </c>
      <c r="J363" s="89" t="s">
        <v>21</v>
      </c>
      <c r="K363" s="89" t="s">
        <v>2171</v>
      </c>
      <c r="L363" s="89" t="s">
        <v>2172</v>
      </c>
      <c r="M363" s="89" t="str">
        <f t="shared" si="13"/>
        <v>3UNCERAJTKG16B381050</v>
      </c>
      <c r="N363" s="89" t="str">
        <f t="shared" si="14"/>
        <v>3UNCERAJTKG16B38300</v>
      </c>
      <c r="O363" s="90">
        <v>38</v>
      </c>
      <c r="P363" s="89">
        <v>3</v>
      </c>
      <c r="Q363" s="89" t="s">
        <v>275</v>
      </c>
      <c r="R363" s="90">
        <v>1050</v>
      </c>
      <c r="S363" s="90">
        <v>6000</v>
      </c>
      <c r="T363" s="90">
        <v>300</v>
      </c>
      <c r="U363" s="90">
        <v>300</v>
      </c>
      <c r="V363" s="90">
        <v>200</v>
      </c>
      <c r="W363" s="81">
        <v>2</v>
      </c>
      <c r="X363" s="82" t="s">
        <v>14</v>
      </c>
      <c r="Y363" s="83" t="s">
        <v>295</v>
      </c>
      <c r="Z363" s="84">
        <v>6</v>
      </c>
      <c r="AA363" s="85" t="s">
        <v>266</v>
      </c>
      <c r="AB363" s="86">
        <v>1450</v>
      </c>
      <c r="AC363" s="83">
        <v>3</v>
      </c>
      <c r="AD363" s="85" t="s">
        <v>459</v>
      </c>
      <c r="AE363" s="86">
        <v>322</v>
      </c>
      <c r="AF363" s="83"/>
      <c r="AG363" s="85"/>
      <c r="AH363" s="86"/>
      <c r="AI363" s="83"/>
      <c r="AJ363" s="85"/>
      <c r="AK363" s="86"/>
      <c r="AL363" s="87"/>
      <c r="AM363" s="88"/>
      <c r="AN363" s="88" t="s">
        <v>474</v>
      </c>
      <c r="AO363" s="230" t="str">
        <f t="shared" si="15"/>
        <v>3UNCERAJTKG16B38</v>
      </c>
    </row>
    <row r="364" spans="1:41" x14ac:dyDescent="0.15">
      <c r="A364" s="80">
        <v>4114</v>
      </c>
      <c r="B364" s="89">
        <v>271</v>
      </c>
      <c r="C364" s="89">
        <v>3621</v>
      </c>
      <c r="D364" s="89" t="s">
        <v>276</v>
      </c>
      <c r="E364" s="89" t="s">
        <v>18</v>
      </c>
      <c r="F364" s="89" t="s">
        <v>184</v>
      </c>
      <c r="G364" s="89" t="str">
        <f t="shared" si="12"/>
        <v>3UNCERABKE24</v>
      </c>
      <c r="H364" s="89" t="s">
        <v>269</v>
      </c>
      <c r="I364" s="89" t="s">
        <v>20</v>
      </c>
      <c r="J364" s="89" t="s">
        <v>21</v>
      </c>
      <c r="K364" s="89" t="s">
        <v>277</v>
      </c>
      <c r="L364" s="89" t="s">
        <v>278</v>
      </c>
      <c r="M364" s="89" t="str">
        <f t="shared" si="13"/>
        <v>3UNCERABKE24381335</v>
      </c>
      <c r="N364" s="89" t="str">
        <f t="shared" si="14"/>
        <v>3UNCERABKE24381330</v>
      </c>
      <c r="O364" s="90">
        <v>38</v>
      </c>
      <c r="P364" s="89">
        <v>3</v>
      </c>
      <c r="Q364" s="89" t="s">
        <v>279</v>
      </c>
      <c r="R364" s="90">
        <v>1335</v>
      </c>
      <c r="S364" s="90">
        <v>6100</v>
      </c>
      <c r="T364" s="90">
        <v>1330</v>
      </c>
      <c r="U364" s="90">
        <v>1330</v>
      </c>
      <c r="V364" s="90">
        <v>6000</v>
      </c>
      <c r="W364" s="81">
        <v>2</v>
      </c>
      <c r="X364" s="82" t="s">
        <v>14</v>
      </c>
      <c r="Y364" s="83" t="s">
        <v>15</v>
      </c>
      <c r="Z364" s="84">
        <v>6</v>
      </c>
      <c r="AA364" s="85" t="s">
        <v>266</v>
      </c>
      <c r="AB364" s="86">
        <v>1450</v>
      </c>
      <c r="AC364" s="83"/>
      <c r="AD364" s="85"/>
      <c r="AE364" s="86"/>
      <c r="AF364" s="83"/>
      <c r="AG364" s="85"/>
      <c r="AH364" s="86"/>
      <c r="AI364" s="83"/>
      <c r="AJ364" s="85"/>
      <c r="AK364" s="86"/>
      <c r="AL364" s="87"/>
      <c r="AM364" s="88"/>
      <c r="AN364" s="88" t="s">
        <v>472</v>
      </c>
      <c r="AO364" s="230" t="str">
        <f t="shared" si="15"/>
        <v>3UNCERABKE2438</v>
      </c>
    </row>
    <row r="365" spans="1:41" x14ac:dyDescent="0.15">
      <c r="A365" s="80">
        <v>4114</v>
      </c>
      <c r="B365" s="89">
        <v>271</v>
      </c>
      <c r="C365" s="89"/>
      <c r="D365" s="89" t="s">
        <v>280</v>
      </c>
      <c r="E365" s="89" t="s">
        <v>18</v>
      </c>
      <c r="F365" s="89" t="s">
        <v>184</v>
      </c>
      <c r="G365" s="89" t="str">
        <f t="shared" si="12"/>
        <v>3UNCERABX8A40</v>
      </c>
      <c r="H365" s="89" t="s">
        <v>269</v>
      </c>
      <c r="I365" s="89" t="s">
        <v>20</v>
      </c>
      <c r="J365" s="89" t="s">
        <v>21</v>
      </c>
      <c r="K365" s="89" t="s">
        <v>281</v>
      </c>
      <c r="L365" s="89" t="s">
        <v>282</v>
      </c>
      <c r="M365" s="89" t="str">
        <f t="shared" si="13"/>
        <v>3UNCERABX8A40751100</v>
      </c>
      <c r="N365" s="89" t="str">
        <f t="shared" si="14"/>
        <v>3UNCERABX8A40751090</v>
      </c>
      <c r="O365" s="90">
        <v>75</v>
      </c>
      <c r="P365" s="89">
        <v>3</v>
      </c>
      <c r="Q365" s="89" t="s">
        <v>283</v>
      </c>
      <c r="R365" s="90">
        <v>1100</v>
      </c>
      <c r="S365" s="90">
        <v>4200</v>
      </c>
      <c r="T365" s="90">
        <v>1090</v>
      </c>
      <c r="U365" s="90">
        <v>1090</v>
      </c>
      <c r="V365" s="90">
        <v>4000</v>
      </c>
      <c r="W365" s="81">
        <v>2</v>
      </c>
      <c r="X365" s="82" t="s">
        <v>14</v>
      </c>
      <c r="Y365" s="83" t="s">
        <v>15</v>
      </c>
      <c r="Z365" s="84">
        <v>6</v>
      </c>
      <c r="AA365" s="85" t="s">
        <v>266</v>
      </c>
      <c r="AB365" s="86">
        <v>1170</v>
      </c>
      <c r="AC365" s="83"/>
      <c r="AD365" s="85"/>
      <c r="AE365" s="86"/>
      <c r="AF365" s="83"/>
      <c r="AG365" s="85"/>
      <c r="AH365" s="86"/>
      <c r="AI365" s="83"/>
      <c r="AJ365" s="85"/>
      <c r="AK365" s="86"/>
      <c r="AL365" s="87">
        <v>6</v>
      </c>
      <c r="AM365" s="88"/>
      <c r="AN365" s="88" t="s">
        <v>472</v>
      </c>
      <c r="AO365" s="230" t="str">
        <f t="shared" si="15"/>
        <v>3UNCERABX8A4075</v>
      </c>
    </row>
    <row r="366" spans="1:41" x14ac:dyDescent="0.15">
      <c r="A366" s="80">
        <v>4114</v>
      </c>
      <c r="B366" s="89">
        <v>271</v>
      </c>
      <c r="C366" s="89">
        <v>3621</v>
      </c>
      <c r="D366" s="89" t="s">
        <v>276</v>
      </c>
      <c r="E366" s="89" t="s">
        <v>18</v>
      </c>
      <c r="F366" s="89" t="s">
        <v>184</v>
      </c>
      <c r="G366" s="89" t="str">
        <f t="shared" si="12"/>
        <v>3UNCERABX8A33</v>
      </c>
      <c r="H366" s="89" t="s">
        <v>269</v>
      </c>
      <c r="I366" s="89" t="s">
        <v>20</v>
      </c>
      <c r="J366" s="89" t="s">
        <v>21</v>
      </c>
      <c r="K366" s="89" t="s">
        <v>2173</v>
      </c>
      <c r="L366" s="89" t="s">
        <v>284</v>
      </c>
      <c r="M366" s="89" t="str">
        <f t="shared" si="13"/>
        <v>3UNCERABX8A33751245</v>
      </c>
      <c r="N366" s="89" t="str">
        <f t="shared" si="14"/>
        <v>3UNCERABX8A33751240</v>
      </c>
      <c r="O366" s="90">
        <v>75</v>
      </c>
      <c r="P366" s="89">
        <v>3</v>
      </c>
      <c r="Q366" s="89" t="s">
        <v>285</v>
      </c>
      <c r="R366" s="90">
        <v>1245</v>
      </c>
      <c r="S366" s="90">
        <v>4200</v>
      </c>
      <c r="T366" s="90">
        <v>1240</v>
      </c>
      <c r="U366" s="90">
        <v>1240</v>
      </c>
      <c r="V366" s="90">
        <v>2000</v>
      </c>
      <c r="W366" s="81">
        <v>2</v>
      </c>
      <c r="X366" s="82" t="s">
        <v>14</v>
      </c>
      <c r="Y366" s="83" t="s">
        <v>15</v>
      </c>
      <c r="Z366" s="84">
        <v>6</v>
      </c>
      <c r="AA366" s="85" t="s">
        <v>266</v>
      </c>
      <c r="AB366" s="86">
        <v>1450</v>
      </c>
      <c r="AC366" s="83"/>
      <c r="AD366" s="85"/>
      <c r="AE366" s="86"/>
      <c r="AF366" s="83"/>
      <c r="AG366" s="85"/>
      <c r="AH366" s="86"/>
      <c r="AI366" s="83"/>
      <c r="AJ366" s="85"/>
      <c r="AK366" s="86"/>
      <c r="AL366" s="87">
        <v>6</v>
      </c>
      <c r="AM366" s="88"/>
      <c r="AN366" s="88" t="s">
        <v>472</v>
      </c>
      <c r="AO366" s="230" t="str">
        <f t="shared" si="15"/>
        <v>3UNCERABX8A3375</v>
      </c>
    </row>
    <row r="367" spans="1:41" x14ac:dyDescent="0.15">
      <c r="A367" s="80">
        <v>4114</v>
      </c>
      <c r="B367" s="89">
        <v>271</v>
      </c>
      <c r="C367" s="89">
        <v>3621</v>
      </c>
      <c r="D367" s="89" t="s">
        <v>276</v>
      </c>
      <c r="E367" s="89" t="s">
        <v>18</v>
      </c>
      <c r="F367" s="89" t="s">
        <v>184</v>
      </c>
      <c r="G367" s="89" t="str">
        <f t="shared" si="12"/>
        <v>3UNCERABX8A33</v>
      </c>
      <c r="H367" s="89" t="s">
        <v>269</v>
      </c>
      <c r="I367" s="89" t="s">
        <v>20</v>
      </c>
      <c r="J367" s="89" t="s">
        <v>21</v>
      </c>
      <c r="K367" s="89" t="s">
        <v>2173</v>
      </c>
      <c r="L367" s="89" t="s">
        <v>284</v>
      </c>
      <c r="M367" s="89" t="str">
        <f t="shared" si="13"/>
        <v>3UNCERABX8A33751340</v>
      </c>
      <c r="N367" s="89" t="str">
        <f t="shared" si="14"/>
        <v>3UNCERABX8A33751330</v>
      </c>
      <c r="O367" s="90">
        <v>75</v>
      </c>
      <c r="P367" s="89">
        <v>3</v>
      </c>
      <c r="Q367" s="89" t="s">
        <v>285</v>
      </c>
      <c r="R367" s="90">
        <v>1340</v>
      </c>
      <c r="S367" s="90">
        <v>4200</v>
      </c>
      <c r="T367" s="90">
        <v>1330</v>
      </c>
      <c r="U367" s="90">
        <v>1330</v>
      </c>
      <c r="V367" s="90">
        <v>2000</v>
      </c>
      <c r="W367" s="81">
        <v>2</v>
      </c>
      <c r="X367" s="82" t="s">
        <v>14</v>
      </c>
      <c r="Y367" s="83" t="s">
        <v>15</v>
      </c>
      <c r="Z367" s="84">
        <v>6</v>
      </c>
      <c r="AA367" s="85" t="s">
        <v>266</v>
      </c>
      <c r="AB367" s="86">
        <v>1450</v>
      </c>
      <c r="AC367" s="83"/>
      <c r="AD367" s="85"/>
      <c r="AE367" s="86"/>
      <c r="AF367" s="83"/>
      <c r="AG367" s="85"/>
      <c r="AH367" s="86"/>
      <c r="AI367" s="83"/>
      <c r="AJ367" s="85"/>
      <c r="AK367" s="86"/>
      <c r="AL367" s="87">
        <v>6</v>
      </c>
      <c r="AM367" s="88"/>
      <c r="AN367" s="88" t="s">
        <v>472</v>
      </c>
      <c r="AO367" s="230" t="str">
        <f t="shared" si="15"/>
        <v>3UNCERABX8A3375</v>
      </c>
    </row>
    <row r="368" spans="1:41" x14ac:dyDescent="0.15">
      <c r="A368" s="80">
        <v>4114</v>
      </c>
      <c r="B368" s="89">
        <v>271</v>
      </c>
      <c r="C368" s="89">
        <v>3621</v>
      </c>
      <c r="D368" s="89" t="s">
        <v>276</v>
      </c>
      <c r="E368" s="89" t="s">
        <v>18</v>
      </c>
      <c r="F368" s="89" t="s">
        <v>184</v>
      </c>
      <c r="G368" s="89" t="str">
        <f t="shared" si="12"/>
        <v>3UNCERABX8A26</v>
      </c>
      <c r="H368" s="89" t="s">
        <v>269</v>
      </c>
      <c r="I368" s="89" t="s">
        <v>20</v>
      </c>
      <c r="J368" s="89" t="s">
        <v>21</v>
      </c>
      <c r="K368" s="89" t="s">
        <v>2174</v>
      </c>
      <c r="L368" s="89" t="s">
        <v>2175</v>
      </c>
      <c r="M368" s="89" t="str">
        <f t="shared" si="13"/>
        <v>3UNCERABX8A26381260</v>
      </c>
      <c r="N368" s="89" t="str">
        <f t="shared" si="14"/>
        <v>3UNCERABX8A26381250</v>
      </c>
      <c r="O368" s="90">
        <v>38</v>
      </c>
      <c r="P368" s="89">
        <v>3</v>
      </c>
      <c r="Q368" s="89" t="s">
        <v>2016</v>
      </c>
      <c r="R368" s="90">
        <v>1260</v>
      </c>
      <c r="S368" s="90">
        <v>12200</v>
      </c>
      <c r="T368" s="90">
        <v>1250</v>
      </c>
      <c r="U368" s="90">
        <v>1250</v>
      </c>
      <c r="V368" s="90">
        <v>7000</v>
      </c>
      <c r="W368" s="81">
        <v>2</v>
      </c>
      <c r="X368" s="82" t="s">
        <v>14</v>
      </c>
      <c r="Y368" s="83" t="s">
        <v>15</v>
      </c>
      <c r="Z368" s="84">
        <v>6</v>
      </c>
      <c r="AA368" s="85" t="s">
        <v>266</v>
      </c>
      <c r="AB368" s="86">
        <v>1450</v>
      </c>
      <c r="AC368" s="83"/>
      <c r="AD368" s="85"/>
      <c r="AE368" s="86"/>
      <c r="AF368" s="83"/>
      <c r="AG368" s="85"/>
      <c r="AH368" s="86"/>
      <c r="AI368" s="83"/>
      <c r="AJ368" s="85"/>
      <c r="AK368" s="86"/>
      <c r="AL368" s="87">
        <v>6</v>
      </c>
      <c r="AM368" s="88"/>
      <c r="AN368" s="88" t="s">
        <v>472</v>
      </c>
      <c r="AO368" s="230" t="str">
        <f t="shared" si="15"/>
        <v>3UNCERABX8A2638</v>
      </c>
    </row>
    <row r="369" spans="1:41" x14ac:dyDescent="0.15">
      <c r="A369" s="80">
        <v>4114</v>
      </c>
      <c r="B369" s="89">
        <v>271</v>
      </c>
      <c r="C369" s="89">
        <v>380604</v>
      </c>
      <c r="D369" s="89" t="s">
        <v>17</v>
      </c>
      <c r="E369" s="89" t="s">
        <v>18</v>
      </c>
      <c r="F369" s="89" t="s">
        <v>26</v>
      </c>
      <c r="G369" s="89" t="str">
        <f t="shared" si="12"/>
        <v>3UNCERABX8AD</v>
      </c>
      <c r="H369" s="89" t="s">
        <v>1662</v>
      </c>
      <c r="I369" s="89" t="s">
        <v>20</v>
      </c>
      <c r="J369" s="89" t="s">
        <v>21</v>
      </c>
      <c r="K369" s="89" t="s">
        <v>2039</v>
      </c>
      <c r="L369" s="89" t="s">
        <v>2040</v>
      </c>
      <c r="M369" s="89" t="str">
        <f t="shared" si="13"/>
        <v>3UNCERABX8AD751335</v>
      </c>
      <c r="N369" s="89" t="str">
        <f t="shared" si="14"/>
        <v>3UNCERABX8AD751330</v>
      </c>
      <c r="O369" s="90">
        <v>75</v>
      </c>
      <c r="P369" s="89">
        <v>3</v>
      </c>
      <c r="Q369" s="89" t="s">
        <v>55</v>
      </c>
      <c r="R369" s="90">
        <v>1335</v>
      </c>
      <c r="S369" s="90">
        <v>5200</v>
      </c>
      <c r="T369" s="90">
        <v>1335</v>
      </c>
      <c r="U369" s="90">
        <v>1330</v>
      </c>
      <c r="V369" s="90">
        <v>5000</v>
      </c>
      <c r="W369" s="81">
        <v>2</v>
      </c>
      <c r="X369" s="82" t="s">
        <v>14</v>
      </c>
      <c r="Y369" s="83" t="s">
        <v>15</v>
      </c>
      <c r="Z369" s="84">
        <v>6</v>
      </c>
      <c r="AA369" s="85" t="s">
        <v>24</v>
      </c>
      <c r="AB369" s="86">
        <v>1450</v>
      </c>
      <c r="AC369" s="83">
        <v>6</v>
      </c>
      <c r="AD369" s="85" t="s">
        <v>24</v>
      </c>
      <c r="AE369" s="86">
        <v>1450</v>
      </c>
      <c r="AF369" s="83"/>
      <c r="AG369" s="85"/>
      <c r="AH369" s="86"/>
      <c r="AI369" s="83"/>
      <c r="AJ369" s="85"/>
      <c r="AK369" s="86"/>
      <c r="AL369" s="87">
        <v>6</v>
      </c>
      <c r="AM369" s="88"/>
      <c r="AN369" s="88" t="s">
        <v>472</v>
      </c>
      <c r="AO369" s="230" t="str">
        <f t="shared" si="15"/>
        <v>3UNCERABX8AD75</v>
      </c>
    </row>
    <row r="370" spans="1:41" x14ac:dyDescent="0.15">
      <c r="A370" s="80">
        <v>4113</v>
      </c>
      <c r="B370" s="89">
        <v>272</v>
      </c>
      <c r="C370" s="89">
        <v>36882</v>
      </c>
      <c r="D370" s="89" t="s">
        <v>61</v>
      </c>
      <c r="E370" s="89" t="s">
        <v>45</v>
      </c>
      <c r="F370" s="89" t="s">
        <v>26</v>
      </c>
      <c r="G370" s="89" t="str">
        <f t="shared" si="12"/>
        <v>3UNCERABX8A07</v>
      </c>
      <c r="H370" s="89" t="s">
        <v>269</v>
      </c>
      <c r="I370" s="89" t="s">
        <v>20</v>
      </c>
      <c r="J370" s="89" t="s">
        <v>21</v>
      </c>
      <c r="K370" s="89" t="s">
        <v>286</v>
      </c>
      <c r="L370" s="89" t="s">
        <v>287</v>
      </c>
      <c r="M370" s="89" t="str">
        <f t="shared" si="13"/>
        <v>3UNCERABX8A07751100</v>
      </c>
      <c r="N370" s="89" t="str">
        <f t="shared" si="14"/>
        <v>3UNCERABX8A07751090</v>
      </c>
      <c r="O370" s="90">
        <v>75</v>
      </c>
      <c r="P370" s="89">
        <v>3</v>
      </c>
      <c r="Q370" s="89" t="s">
        <v>288</v>
      </c>
      <c r="R370" s="90">
        <v>1100</v>
      </c>
      <c r="S370" s="90">
        <v>4400</v>
      </c>
      <c r="T370" s="90">
        <v>1090</v>
      </c>
      <c r="U370" s="90">
        <v>1090</v>
      </c>
      <c r="V370" s="90">
        <v>2000</v>
      </c>
      <c r="W370" s="81">
        <v>2</v>
      </c>
      <c r="X370" s="82" t="s">
        <v>14</v>
      </c>
      <c r="Y370" s="83" t="s">
        <v>15</v>
      </c>
      <c r="Z370" s="84">
        <v>6</v>
      </c>
      <c r="AA370" s="85" t="s">
        <v>266</v>
      </c>
      <c r="AB370" s="86">
        <v>1450</v>
      </c>
      <c r="AC370" s="83"/>
      <c r="AD370" s="85"/>
      <c r="AE370" s="86"/>
      <c r="AF370" s="83"/>
      <c r="AG370" s="85"/>
      <c r="AH370" s="86"/>
      <c r="AI370" s="83"/>
      <c r="AJ370" s="85"/>
      <c r="AK370" s="86"/>
      <c r="AL370" s="87">
        <v>6</v>
      </c>
      <c r="AM370" s="88"/>
      <c r="AN370" s="88" t="s">
        <v>472</v>
      </c>
      <c r="AO370" s="230" t="str">
        <f t="shared" si="15"/>
        <v>3UNCERABX8A0775</v>
      </c>
    </row>
    <row r="371" spans="1:41" x14ac:dyDescent="0.15">
      <c r="A371" s="80">
        <v>4114</v>
      </c>
      <c r="B371" s="89">
        <v>277</v>
      </c>
      <c r="C371" s="89"/>
      <c r="D371" s="89" t="s">
        <v>870</v>
      </c>
      <c r="E371" s="89"/>
      <c r="F371" s="89"/>
      <c r="G371" s="89" t="str">
        <f t="shared" si="12"/>
        <v>3UNCERABX8A01</v>
      </c>
      <c r="H371" s="89" t="s">
        <v>269</v>
      </c>
      <c r="I371" s="89" t="s">
        <v>20</v>
      </c>
      <c r="J371" s="89" t="s">
        <v>21</v>
      </c>
      <c r="K371" s="89" t="s">
        <v>2176</v>
      </c>
      <c r="L371" s="89" t="s">
        <v>2177</v>
      </c>
      <c r="M371" s="89" t="str">
        <f t="shared" si="13"/>
        <v>3UNCERABX8A01381100</v>
      </c>
      <c r="N371" s="89" t="str">
        <f t="shared" si="14"/>
        <v>3UNCERABX8A0138400</v>
      </c>
      <c r="O371" s="90">
        <v>38</v>
      </c>
      <c r="P371" s="89">
        <v>3</v>
      </c>
      <c r="Q371" s="89" t="s">
        <v>680</v>
      </c>
      <c r="R371" s="90">
        <v>1100</v>
      </c>
      <c r="S371" s="90">
        <v>3650</v>
      </c>
      <c r="T371" s="90">
        <v>400</v>
      </c>
      <c r="U371" s="90">
        <v>400</v>
      </c>
      <c r="V371" s="90">
        <v>1000</v>
      </c>
      <c r="W371" s="81">
        <v>2</v>
      </c>
      <c r="X371" s="82" t="s">
        <v>14</v>
      </c>
      <c r="Y371" s="83" t="s">
        <v>295</v>
      </c>
      <c r="Z371" s="84">
        <v>6</v>
      </c>
      <c r="AA371" s="85" t="s">
        <v>266</v>
      </c>
      <c r="AB371" s="86">
        <v>1450</v>
      </c>
      <c r="AC371" s="83">
        <v>3</v>
      </c>
      <c r="AD371" s="85" t="s">
        <v>459</v>
      </c>
      <c r="AE371" s="86">
        <v>422</v>
      </c>
      <c r="AF371" s="83"/>
      <c r="AG371" s="85"/>
      <c r="AH371" s="86"/>
      <c r="AI371" s="83"/>
      <c r="AJ371" s="85"/>
      <c r="AK371" s="86"/>
      <c r="AL371" s="87">
        <v>6</v>
      </c>
      <c r="AM371" s="88"/>
      <c r="AN371" s="88" t="s">
        <v>472</v>
      </c>
      <c r="AO371" s="230" t="str">
        <f t="shared" si="15"/>
        <v>3UNCERABX8A0138</v>
      </c>
    </row>
    <row r="372" spans="1:41" x14ac:dyDescent="0.15">
      <c r="A372" s="80">
        <v>4114</v>
      </c>
      <c r="B372" s="89">
        <v>277</v>
      </c>
      <c r="C372" s="89"/>
      <c r="D372" s="89" t="s">
        <v>575</v>
      </c>
      <c r="E372" s="89"/>
      <c r="F372" s="89"/>
      <c r="G372" s="89" t="str">
        <f t="shared" si="12"/>
        <v>3UYCERABX9A09</v>
      </c>
      <c r="H372" s="89" t="s">
        <v>269</v>
      </c>
      <c r="I372" s="89" t="s">
        <v>2036</v>
      </c>
      <c r="J372" s="89" t="s">
        <v>21</v>
      </c>
      <c r="K372" s="89" t="s">
        <v>2178</v>
      </c>
      <c r="L372" s="89" t="s">
        <v>2179</v>
      </c>
      <c r="M372" s="89" t="str">
        <f t="shared" si="13"/>
        <v>3UYCERABX9A09501110</v>
      </c>
      <c r="N372" s="89" t="str">
        <f t="shared" si="14"/>
        <v>3UYCERABX9A0950500</v>
      </c>
      <c r="O372" s="90">
        <v>50</v>
      </c>
      <c r="P372" s="89">
        <v>3</v>
      </c>
      <c r="Q372" s="89" t="s">
        <v>486</v>
      </c>
      <c r="R372" s="90">
        <v>1110</v>
      </c>
      <c r="S372" s="90">
        <v>4200</v>
      </c>
      <c r="T372" s="90">
        <v>500</v>
      </c>
      <c r="U372" s="90">
        <v>500</v>
      </c>
      <c r="V372" s="90">
        <v>1000</v>
      </c>
      <c r="W372" s="81">
        <v>2</v>
      </c>
      <c r="X372" s="82" t="s">
        <v>14</v>
      </c>
      <c r="Y372" s="83" t="s">
        <v>295</v>
      </c>
      <c r="Z372" s="84">
        <v>6</v>
      </c>
      <c r="AA372" s="85" t="s">
        <v>266</v>
      </c>
      <c r="AB372" s="86">
        <v>1450</v>
      </c>
      <c r="AC372" s="83">
        <v>3</v>
      </c>
      <c r="AD372" s="85" t="s">
        <v>459</v>
      </c>
      <c r="AE372" s="86">
        <v>505</v>
      </c>
      <c r="AF372" s="83"/>
      <c r="AG372" s="85"/>
      <c r="AH372" s="86"/>
      <c r="AI372" s="83"/>
      <c r="AJ372" s="85"/>
      <c r="AK372" s="86"/>
      <c r="AL372" s="87">
        <v>6</v>
      </c>
      <c r="AM372" s="88"/>
      <c r="AN372" s="88" t="s">
        <v>472</v>
      </c>
      <c r="AO372" s="230" t="str">
        <f t="shared" si="15"/>
        <v>3UYCERABX9A0950</v>
      </c>
    </row>
    <row r="373" spans="1:41" x14ac:dyDescent="0.15">
      <c r="A373" s="80">
        <v>4114</v>
      </c>
      <c r="B373" s="89">
        <v>277</v>
      </c>
      <c r="C373" s="89"/>
      <c r="D373" s="89" t="s">
        <v>575</v>
      </c>
      <c r="E373" s="89"/>
      <c r="F373" s="89"/>
      <c r="G373" s="89" t="str">
        <f t="shared" si="12"/>
        <v>3UYCERABX9A09</v>
      </c>
      <c r="H373" s="89" t="s">
        <v>269</v>
      </c>
      <c r="I373" s="89" t="s">
        <v>2036</v>
      </c>
      <c r="J373" s="89" t="s">
        <v>21</v>
      </c>
      <c r="K373" s="89" t="s">
        <v>2178</v>
      </c>
      <c r="L373" s="89" t="s">
        <v>2179</v>
      </c>
      <c r="M373" s="89" t="str">
        <f t="shared" si="13"/>
        <v>3UYCERABX9A09501110</v>
      </c>
      <c r="N373" s="89" t="str">
        <f t="shared" si="14"/>
        <v>3UYCERABX9A0950500</v>
      </c>
      <c r="O373" s="90">
        <v>50</v>
      </c>
      <c r="P373" s="89">
        <v>3</v>
      </c>
      <c r="Q373" s="89" t="s">
        <v>486</v>
      </c>
      <c r="R373" s="90">
        <v>1110</v>
      </c>
      <c r="S373" s="90">
        <v>4200</v>
      </c>
      <c r="T373" s="90">
        <v>500</v>
      </c>
      <c r="U373" s="90">
        <v>500</v>
      </c>
      <c r="V373" s="90">
        <v>500</v>
      </c>
      <c r="W373" s="81">
        <v>2</v>
      </c>
      <c r="X373" s="82" t="s">
        <v>14</v>
      </c>
      <c r="Y373" s="83" t="s">
        <v>295</v>
      </c>
      <c r="Z373" s="84">
        <v>6</v>
      </c>
      <c r="AA373" s="85" t="s">
        <v>266</v>
      </c>
      <c r="AB373" s="86">
        <v>1450</v>
      </c>
      <c r="AC373" s="83">
        <v>3</v>
      </c>
      <c r="AD373" s="85" t="s">
        <v>459</v>
      </c>
      <c r="AE373" s="86">
        <v>505</v>
      </c>
      <c r="AF373" s="83"/>
      <c r="AG373" s="85"/>
      <c r="AH373" s="86"/>
      <c r="AI373" s="83"/>
      <c r="AJ373" s="85"/>
      <c r="AK373" s="86"/>
      <c r="AL373" s="87">
        <v>6</v>
      </c>
      <c r="AM373" s="88"/>
      <c r="AN373" s="88" t="s">
        <v>472</v>
      </c>
      <c r="AO373" s="230" t="str">
        <f t="shared" si="15"/>
        <v>3UYCERABX9A0950</v>
      </c>
    </row>
    <row r="374" spans="1:41" x14ac:dyDescent="0.15">
      <c r="A374" s="80">
        <v>4114</v>
      </c>
      <c r="B374" s="89">
        <v>277</v>
      </c>
      <c r="C374" s="89"/>
      <c r="D374" s="89" t="s">
        <v>575</v>
      </c>
      <c r="E374" s="89"/>
      <c r="F374" s="89"/>
      <c r="G374" s="89" t="str">
        <f t="shared" si="12"/>
        <v>3UYCERABX9A09</v>
      </c>
      <c r="H374" s="89" t="s">
        <v>269</v>
      </c>
      <c r="I374" s="89" t="s">
        <v>2036</v>
      </c>
      <c r="J374" s="89" t="s">
        <v>21</v>
      </c>
      <c r="K374" s="89" t="s">
        <v>2178</v>
      </c>
      <c r="L374" s="89" t="s">
        <v>2179</v>
      </c>
      <c r="M374" s="89" t="str">
        <f t="shared" si="13"/>
        <v>3UYCERABX9A09501050</v>
      </c>
      <c r="N374" s="89" t="str">
        <f t="shared" si="14"/>
        <v>3UYCERABX9A09501000</v>
      </c>
      <c r="O374" s="90">
        <v>50</v>
      </c>
      <c r="P374" s="89">
        <v>3</v>
      </c>
      <c r="Q374" s="89" t="s">
        <v>486</v>
      </c>
      <c r="R374" s="90">
        <v>1050</v>
      </c>
      <c r="S374" s="90">
        <v>4200</v>
      </c>
      <c r="T374" s="90">
        <v>1000</v>
      </c>
      <c r="U374" s="90">
        <v>1000</v>
      </c>
      <c r="V374" s="90">
        <v>1000</v>
      </c>
      <c r="W374" s="81">
        <v>2</v>
      </c>
      <c r="X374" s="82" t="s">
        <v>14</v>
      </c>
      <c r="Y374" s="83" t="s">
        <v>295</v>
      </c>
      <c r="Z374" s="84">
        <v>6</v>
      </c>
      <c r="AA374" s="85" t="s">
        <v>266</v>
      </c>
      <c r="AB374" s="86">
        <v>1450</v>
      </c>
      <c r="AC374" s="83">
        <v>6</v>
      </c>
      <c r="AD374" s="85" t="s">
        <v>16</v>
      </c>
      <c r="AE374" s="86">
        <v>1060</v>
      </c>
      <c r="AF374" s="83"/>
      <c r="AG374" s="85"/>
      <c r="AH374" s="86"/>
      <c r="AI374" s="83"/>
      <c r="AJ374" s="85"/>
      <c r="AK374" s="86"/>
      <c r="AL374" s="87">
        <v>6</v>
      </c>
      <c r="AM374" s="88"/>
      <c r="AN374" s="88" t="s">
        <v>472</v>
      </c>
      <c r="AO374" s="230" t="str">
        <f t="shared" si="15"/>
        <v>3UYCERABX9A0950</v>
      </c>
    </row>
    <row r="375" spans="1:41" x14ac:dyDescent="0.15">
      <c r="A375" s="80">
        <v>4114</v>
      </c>
      <c r="B375" s="89">
        <v>271</v>
      </c>
      <c r="C375" s="89">
        <v>7361</v>
      </c>
      <c r="D375" s="89" t="s">
        <v>2043</v>
      </c>
      <c r="E375" s="89" t="s">
        <v>18</v>
      </c>
      <c r="F375" s="89" t="s">
        <v>12</v>
      </c>
      <c r="G375" s="89" t="str">
        <f t="shared" si="12"/>
        <v>3UNCERABX9A09</v>
      </c>
      <c r="H375" s="89" t="s">
        <v>269</v>
      </c>
      <c r="I375" s="89" t="s">
        <v>1550</v>
      </c>
      <c r="J375" s="89" t="s">
        <v>21</v>
      </c>
      <c r="K375" s="89" t="s">
        <v>2178</v>
      </c>
      <c r="L375" s="89" t="s">
        <v>2179</v>
      </c>
      <c r="M375" s="89" t="str">
        <f t="shared" si="13"/>
        <v>3UNCERABX9A09501050</v>
      </c>
      <c r="N375" s="89" t="str">
        <f t="shared" si="14"/>
        <v>3UNCERABX9A09501040</v>
      </c>
      <c r="O375" s="90">
        <v>50</v>
      </c>
      <c r="P375" s="89">
        <v>3</v>
      </c>
      <c r="Q375" s="89" t="s">
        <v>486</v>
      </c>
      <c r="R375" s="90">
        <v>1050</v>
      </c>
      <c r="S375" s="90">
        <v>4200</v>
      </c>
      <c r="T375" s="90">
        <v>1040</v>
      </c>
      <c r="U375" s="90">
        <v>1040</v>
      </c>
      <c r="V375" s="90">
        <v>1000</v>
      </c>
      <c r="W375" s="81">
        <v>2</v>
      </c>
      <c r="X375" s="82" t="s">
        <v>14</v>
      </c>
      <c r="Y375" s="83" t="s">
        <v>487</v>
      </c>
      <c r="Z375" s="84">
        <v>6</v>
      </c>
      <c r="AA375" s="85" t="s">
        <v>266</v>
      </c>
      <c r="AB375" s="86">
        <v>1170</v>
      </c>
      <c r="AC375" s="83"/>
      <c r="AD375" s="85"/>
      <c r="AE375" s="86"/>
      <c r="AF375" s="83"/>
      <c r="AG375" s="85"/>
      <c r="AH375" s="86"/>
      <c r="AI375" s="83"/>
      <c r="AJ375" s="85"/>
      <c r="AK375" s="86"/>
      <c r="AL375" s="87">
        <v>6</v>
      </c>
      <c r="AM375" s="88"/>
      <c r="AN375" s="88" t="s">
        <v>472</v>
      </c>
      <c r="AO375" s="230" t="str">
        <f t="shared" si="15"/>
        <v>3UNCERABX9A0950</v>
      </c>
    </row>
    <row r="376" spans="1:41" x14ac:dyDescent="0.15">
      <c r="A376" s="80">
        <v>4114</v>
      </c>
      <c r="B376" s="89">
        <v>271</v>
      </c>
      <c r="C376" s="89">
        <v>7361</v>
      </c>
      <c r="D376" s="89" t="s">
        <v>2043</v>
      </c>
      <c r="E376" s="89" t="s">
        <v>18</v>
      </c>
      <c r="F376" s="89" t="s">
        <v>12</v>
      </c>
      <c r="G376" s="89" t="str">
        <f t="shared" si="12"/>
        <v>3UNCERABX9A09</v>
      </c>
      <c r="H376" s="89" t="s">
        <v>269</v>
      </c>
      <c r="I376" s="89" t="s">
        <v>1550</v>
      </c>
      <c r="J376" s="89" t="s">
        <v>21</v>
      </c>
      <c r="K376" s="89" t="s">
        <v>2178</v>
      </c>
      <c r="L376" s="89" t="s">
        <v>2179</v>
      </c>
      <c r="M376" s="89" t="str">
        <f t="shared" si="13"/>
        <v>3UNCERABX9A09501280</v>
      </c>
      <c r="N376" s="89" t="str">
        <f t="shared" si="14"/>
        <v>3UNCERABX9A09501270</v>
      </c>
      <c r="O376" s="90">
        <v>50</v>
      </c>
      <c r="P376" s="89">
        <v>3</v>
      </c>
      <c r="Q376" s="89" t="s">
        <v>486</v>
      </c>
      <c r="R376" s="90">
        <v>1280</v>
      </c>
      <c r="S376" s="90">
        <v>6500</v>
      </c>
      <c r="T376" s="90">
        <v>1270</v>
      </c>
      <c r="U376" s="90">
        <v>1270</v>
      </c>
      <c r="V376" s="90">
        <v>4000</v>
      </c>
      <c r="W376" s="81">
        <v>2</v>
      </c>
      <c r="X376" s="82" t="s">
        <v>14</v>
      </c>
      <c r="Y376" s="83" t="s">
        <v>487</v>
      </c>
      <c r="Z376" s="84">
        <v>6</v>
      </c>
      <c r="AA376" s="85" t="s">
        <v>266</v>
      </c>
      <c r="AB376" s="86">
        <v>1320</v>
      </c>
      <c r="AC376" s="83"/>
      <c r="AD376" s="85"/>
      <c r="AE376" s="86"/>
      <c r="AF376" s="83"/>
      <c r="AG376" s="85"/>
      <c r="AH376" s="86"/>
      <c r="AI376" s="83"/>
      <c r="AJ376" s="85"/>
      <c r="AK376" s="86"/>
      <c r="AL376" s="87">
        <v>6</v>
      </c>
      <c r="AM376" s="88"/>
      <c r="AN376" s="88" t="s">
        <v>472</v>
      </c>
      <c r="AO376" s="230" t="str">
        <f t="shared" si="15"/>
        <v>3UNCERABX9A0950</v>
      </c>
    </row>
    <row r="377" spans="1:41" x14ac:dyDescent="0.15">
      <c r="A377" s="80">
        <v>4113</v>
      </c>
      <c r="B377" s="89">
        <v>272</v>
      </c>
      <c r="C377" s="89">
        <v>36882</v>
      </c>
      <c r="D377" s="89" t="s">
        <v>61</v>
      </c>
      <c r="E377" s="89" t="s">
        <v>45</v>
      </c>
      <c r="F377" s="89" t="s">
        <v>26</v>
      </c>
      <c r="G377" s="89" t="str">
        <f t="shared" si="12"/>
        <v>3UNCERATKA0707</v>
      </c>
      <c r="H377" s="89" t="s">
        <v>269</v>
      </c>
      <c r="I377" s="89" t="s">
        <v>20</v>
      </c>
      <c r="J377" s="89" t="s">
        <v>21</v>
      </c>
      <c r="K377" s="89" t="s">
        <v>289</v>
      </c>
      <c r="L377" s="89" t="s">
        <v>290</v>
      </c>
      <c r="M377" s="89" t="str">
        <f t="shared" si="13"/>
        <v>3UNCERATKA0707751100</v>
      </c>
      <c r="N377" s="89" t="str">
        <f t="shared" si="14"/>
        <v>3UNCERATKA0707751090</v>
      </c>
      <c r="O377" s="90">
        <v>75</v>
      </c>
      <c r="P377" s="89">
        <v>3</v>
      </c>
      <c r="Q377" s="89" t="s">
        <v>288</v>
      </c>
      <c r="R377" s="90">
        <v>1100</v>
      </c>
      <c r="S377" s="90">
        <v>4400</v>
      </c>
      <c r="T377" s="90">
        <v>1090</v>
      </c>
      <c r="U377" s="90">
        <v>1090</v>
      </c>
      <c r="V377" s="90">
        <v>2000</v>
      </c>
      <c r="W377" s="81">
        <v>2</v>
      </c>
      <c r="X377" s="82" t="s">
        <v>14</v>
      </c>
      <c r="Y377" s="83" t="s">
        <v>15</v>
      </c>
      <c r="Z377" s="84">
        <v>6</v>
      </c>
      <c r="AA377" s="85" t="s">
        <v>266</v>
      </c>
      <c r="AB377" s="86">
        <v>1450</v>
      </c>
      <c r="AC377" s="83"/>
      <c r="AD377" s="85"/>
      <c r="AE377" s="86"/>
      <c r="AF377" s="83"/>
      <c r="AG377" s="85"/>
      <c r="AH377" s="86"/>
      <c r="AI377" s="83"/>
      <c r="AJ377" s="85"/>
      <c r="AK377" s="86"/>
      <c r="AL377" s="87"/>
      <c r="AM377" s="88"/>
      <c r="AN377" s="88" t="s">
        <v>471</v>
      </c>
      <c r="AO377" s="230" t="str">
        <f t="shared" si="15"/>
        <v>3UNCERATKA070775</v>
      </c>
    </row>
    <row r="378" spans="1:41" x14ac:dyDescent="0.15">
      <c r="A378" s="80">
        <v>4114</v>
      </c>
      <c r="B378" s="89">
        <v>272</v>
      </c>
      <c r="C378" s="89">
        <v>36882</v>
      </c>
      <c r="D378" s="89" t="s">
        <v>61</v>
      </c>
      <c r="E378" s="89" t="s">
        <v>45</v>
      </c>
      <c r="F378" s="89" t="s">
        <v>26</v>
      </c>
      <c r="G378" s="89" t="str">
        <f t="shared" si="12"/>
        <v>3UNCERATKA1214</v>
      </c>
      <c r="H378" s="89" t="s">
        <v>269</v>
      </c>
      <c r="I378" s="89" t="s">
        <v>20</v>
      </c>
      <c r="J378" s="89" t="s">
        <v>21</v>
      </c>
      <c r="K378" s="89" t="s">
        <v>2180</v>
      </c>
      <c r="L378" s="89" t="s">
        <v>2181</v>
      </c>
      <c r="M378" s="89" t="str">
        <f t="shared" si="13"/>
        <v>3UNCERATKA1214381300</v>
      </c>
      <c r="N378" s="89" t="str">
        <f t="shared" si="14"/>
        <v>3UNCERATKA1214381050</v>
      </c>
      <c r="O378" s="90">
        <v>38</v>
      </c>
      <c r="P378" s="89">
        <v>3</v>
      </c>
      <c r="Q378" s="89" t="s">
        <v>526</v>
      </c>
      <c r="R378" s="90">
        <v>1300</v>
      </c>
      <c r="S378" s="90">
        <v>6000</v>
      </c>
      <c r="T378" s="90">
        <v>1050</v>
      </c>
      <c r="U378" s="90">
        <v>1050</v>
      </c>
      <c r="V378" s="90">
        <v>5500</v>
      </c>
      <c r="W378" s="81">
        <v>2</v>
      </c>
      <c r="X378" s="82" t="s">
        <v>14</v>
      </c>
      <c r="Y378" s="83" t="s">
        <v>295</v>
      </c>
      <c r="Z378" s="84">
        <v>6</v>
      </c>
      <c r="AA378" s="85" t="s">
        <v>266</v>
      </c>
      <c r="AB378" s="86">
        <v>1450</v>
      </c>
      <c r="AC378" s="83">
        <v>6</v>
      </c>
      <c r="AD378" s="85" t="s">
        <v>266</v>
      </c>
      <c r="AE378" s="86">
        <v>1250</v>
      </c>
      <c r="AF378" s="83"/>
      <c r="AG378" s="85"/>
      <c r="AH378" s="86"/>
      <c r="AI378" s="83"/>
      <c r="AJ378" s="85"/>
      <c r="AK378" s="86"/>
      <c r="AL378" s="87"/>
      <c r="AM378" s="88"/>
      <c r="AN378" s="88" t="s">
        <v>471</v>
      </c>
      <c r="AO378" s="230" t="str">
        <f t="shared" si="15"/>
        <v>3UNCERATKA121438</v>
      </c>
    </row>
    <row r="379" spans="1:41" x14ac:dyDescent="0.15">
      <c r="A379" s="80">
        <v>4114</v>
      </c>
      <c r="B379" s="89">
        <v>272</v>
      </c>
      <c r="C379" s="89">
        <v>36882</v>
      </c>
      <c r="D379" s="89" t="s">
        <v>61</v>
      </c>
      <c r="E379" s="89" t="s">
        <v>45</v>
      </c>
      <c r="F379" s="89" t="s">
        <v>26</v>
      </c>
      <c r="G379" s="89" t="str">
        <f t="shared" si="12"/>
        <v>3UNCERATKA1214</v>
      </c>
      <c r="H379" s="89" t="s">
        <v>269</v>
      </c>
      <c r="I379" s="89" t="s">
        <v>20</v>
      </c>
      <c r="J379" s="89" t="s">
        <v>21</v>
      </c>
      <c r="K379" s="89" t="s">
        <v>2180</v>
      </c>
      <c r="L379" s="89" t="s">
        <v>2181</v>
      </c>
      <c r="M379" s="89" t="str">
        <f t="shared" si="13"/>
        <v>3UNCERATKA1214381300</v>
      </c>
      <c r="N379" s="89" t="str">
        <f t="shared" si="14"/>
        <v>3UNCERATKA121438300</v>
      </c>
      <c r="O379" s="90">
        <v>38</v>
      </c>
      <c r="P379" s="89">
        <v>3</v>
      </c>
      <c r="Q379" s="89" t="s">
        <v>526</v>
      </c>
      <c r="R379" s="90">
        <v>1300</v>
      </c>
      <c r="S379" s="90">
        <v>6000</v>
      </c>
      <c r="T379" s="90">
        <v>300</v>
      </c>
      <c r="U379" s="90">
        <v>300</v>
      </c>
      <c r="V379" s="90">
        <v>200</v>
      </c>
      <c r="W379" s="81">
        <v>2</v>
      </c>
      <c r="X379" s="82" t="s">
        <v>14</v>
      </c>
      <c r="Y379" s="83" t="s">
        <v>295</v>
      </c>
      <c r="Z379" s="84">
        <v>6</v>
      </c>
      <c r="AA379" s="85" t="s">
        <v>266</v>
      </c>
      <c r="AB379" s="86">
        <v>1450</v>
      </c>
      <c r="AC379" s="83">
        <v>3</v>
      </c>
      <c r="AD379" s="85" t="s">
        <v>459</v>
      </c>
      <c r="AE379" s="86">
        <v>300</v>
      </c>
      <c r="AF379" s="83"/>
      <c r="AG379" s="85"/>
      <c r="AH379" s="86"/>
      <c r="AI379" s="83"/>
      <c r="AJ379" s="85"/>
      <c r="AK379" s="86"/>
      <c r="AL379" s="87"/>
      <c r="AM379" s="88"/>
      <c r="AN379" s="88" t="s">
        <v>471</v>
      </c>
      <c r="AO379" s="230" t="str">
        <f t="shared" si="15"/>
        <v>3UNCERATKA121438</v>
      </c>
    </row>
    <row r="380" spans="1:41" x14ac:dyDescent="0.15">
      <c r="A380" s="80">
        <v>4114</v>
      </c>
      <c r="B380" s="89">
        <v>274</v>
      </c>
      <c r="C380" s="89">
        <v>36888</v>
      </c>
      <c r="D380" s="89" t="s">
        <v>291</v>
      </c>
      <c r="E380" s="89" t="s">
        <v>66</v>
      </c>
      <c r="F380" s="89" t="s">
        <v>26</v>
      </c>
      <c r="G380" s="89" t="str">
        <f t="shared" si="12"/>
        <v>3UNCERAJMDAB</v>
      </c>
      <c r="H380" s="89" t="s">
        <v>269</v>
      </c>
      <c r="I380" s="89" t="s">
        <v>20</v>
      </c>
      <c r="J380" s="89" t="s">
        <v>21</v>
      </c>
      <c r="K380" s="89" t="s">
        <v>292</v>
      </c>
      <c r="L380" s="89" t="s">
        <v>293</v>
      </c>
      <c r="M380" s="89" t="str">
        <f t="shared" si="13"/>
        <v>3UNCERAJMDAB381550</v>
      </c>
      <c r="N380" s="89" t="str">
        <f t="shared" si="14"/>
        <v>3UNCERAJMDAB38750</v>
      </c>
      <c r="O380" s="90">
        <v>38</v>
      </c>
      <c r="P380" s="89">
        <v>3</v>
      </c>
      <c r="Q380" s="89" t="s">
        <v>294</v>
      </c>
      <c r="R380" s="90">
        <v>1550</v>
      </c>
      <c r="S380" s="90">
        <v>12200</v>
      </c>
      <c r="T380" s="90">
        <v>750</v>
      </c>
      <c r="U380" s="90">
        <v>750</v>
      </c>
      <c r="V380" s="90">
        <v>6000</v>
      </c>
      <c r="W380" s="81">
        <v>2</v>
      </c>
      <c r="X380" s="82" t="s">
        <v>14</v>
      </c>
      <c r="Y380" s="83" t="s">
        <v>295</v>
      </c>
      <c r="Z380" s="84">
        <v>6</v>
      </c>
      <c r="AA380" s="85" t="s">
        <v>266</v>
      </c>
      <c r="AB380" s="86">
        <v>1700</v>
      </c>
      <c r="AC380" s="83">
        <v>6</v>
      </c>
      <c r="AD380" s="85" t="s">
        <v>266</v>
      </c>
      <c r="AE380" s="86">
        <v>930</v>
      </c>
      <c r="AF380" s="83"/>
      <c r="AG380" s="85"/>
      <c r="AH380" s="86"/>
      <c r="AI380" s="83"/>
      <c r="AJ380" s="85"/>
      <c r="AK380" s="86"/>
      <c r="AL380" s="87"/>
      <c r="AM380" s="88"/>
      <c r="AN380" s="88" t="s">
        <v>471</v>
      </c>
      <c r="AO380" s="230" t="str">
        <f t="shared" si="15"/>
        <v>3UNCERAJMDAB38</v>
      </c>
    </row>
    <row r="381" spans="1:41" x14ac:dyDescent="0.15">
      <c r="A381" s="80">
        <v>4114</v>
      </c>
      <c r="B381" s="89">
        <v>271</v>
      </c>
      <c r="C381" s="89">
        <v>50713</v>
      </c>
      <c r="D381" s="89" t="s">
        <v>83</v>
      </c>
      <c r="E381" s="89" t="s">
        <v>18</v>
      </c>
      <c r="F381" s="89" t="s">
        <v>184</v>
      </c>
      <c r="G381" s="89" t="str">
        <f t="shared" si="12"/>
        <v>3UNCERAJWZB</v>
      </c>
      <c r="H381" s="89" t="s">
        <v>269</v>
      </c>
      <c r="I381" s="89" t="s">
        <v>20</v>
      </c>
      <c r="J381" s="89" t="s">
        <v>21</v>
      </c>
      <c r="K381" s="89" t="s">
        <v>296</v>
      </c>
      <c r="L381" s="89" t="s">
        <v>297</v>
      </c>
      <c r="M381" s="89" t="str">
        <f t="shared" si="13"/>
        <v>3UNCERAJWZB381590</v>
      </c>
      <c r="N381" s="89" t="str">
        <f t="shared" si="14"/>
        <v>3UNCERAJWZB381585</v>
      </c>
      <c r="O381" s="90">
        <v>38</v>
      </c>
      <c r="P381" s="89">
        <v>3</v>
      </c>
      <c r="Q381" s="89" t="s">
        <v>294</v>
      </c>
      <c r="R381" s="90">
        <v>1590</v>
      </c>
      <c r="S381" s="90">
        <v>6200</v>
      </c>
      <c r="T381" s="90">
        <v>1585</v>
      </c>
      <c r="U381" s="90">
        <v>1585</v>
      </c>
      <c r="V381" s="90">
        <v>6000</v>
      </c>
      <c r="W381" s="81">
        <v>2</v>
      </c>
      <c r="X381" s="82" t="s">
        <v>14</v>
      </c>
      <c r="Y381" s="83" t="s">
        <v>15</v>
      </c>
      <c r="Z381" s="84">
        <v>6</v>
      </c>
      <c r="AA381" s="85" t="s">
        <v>266</v>
      </c>
      <c r="AB381" s="86">
        <v>1700</v>
      </c>
      <c r="AC381" s="83"/>
      <c r="AD381" s="85"/>
      <c r="AE381" s="86"/>
      <c r="AF381" s="83"/>
      <c r="AG381" s="85"/>
      <c r="AH381" s="86"/>
      <c r="AI381" s="83"/>
      <c r="AJ381" s="85"/>
      <c r="AK381" s="86"/>
      <c r="AL381" s="87"/>
      <c r="AM381" s="88"/>
      <c r="AN381" s="88" t="s">
        <v>474</v>
      </c>
      <c r="AO381" s="230" t="str">
        <f t="shared" si="15"/>
        <v>3UNCERAJWZB38</v>
      </c>
    </row>
    <row r="382" spans="1:41" x14ac:dyDescent="0.15">
      <c r="A382" s="80">
        <v>4114</v>
      </c>
      <c r="B382" s="89">
        <v>271</v>
      </c>
      <c r="C382" s="89">
        <v>50713</v>
      </c>
      <c r="D382" s="89" t="s">
        <v>83</v>
      </c>
      <c r="E382" s="89" t="s">
        <v>18</v>
      </c>
      <c r="F382" s="89" t="s">
        <v>184</v>
      </c>
      <c r="G382" s="89" t="str">
        <f t="shared" si="12"/>
        <v>3UNCERAJWZB</v>
      </c>
      <c r="H382" s="89" t="s">
        <v>269</v>
      </c>
      <c r="I382" s="89" t="s">
        <v>20</v>
      </c>
      <c r="J382" s="89" t="s">
        <v>21</v>
      </c>
      <c r="K382" s="89" t="s">
        <v>296</v>
      </c>
      <c r="L382" s="89" t="s">
        <v>297</v>
      </c>
      <c r="M382" s="89" t="str">
        <f t="shared" si="13"/>
        <v>3UNCERAJWZB381595</v>
      </c>
      <c r="N382" s="89" t="str">
        <f t="shared" si="14"/>
        <v>3UNCERAJWZB381585</v>
      </c>
      <c r="O382" s="90">
        <v>38</v>
      </c>
      <c r="P382" s="89">
        <v>3</v>
      </c>
      <c r="Q382" s="89" t="s">
        <v>294</v>
      </c>
      <c r="R382" s="90">
        <v>1595</v>
      </c>
      <c r="S382" s="90">
        <v>6200</v>
      </c>
      <c r="T382" s="90">
        <v>1585</v>
      </c>
      <c r="U382" s="90">
        <v>1585</v>
      </c>
      <c r="V382" s="90">
        <v>6000</v>
      </c>
      <c r="W382" s="81">
        <v>2</v>
      </c>
      <c r="X382" s="82" t="s">
        <v>14</v>
      </c>
      <c r="Y382" s="83" t="s">
        <v>15</v>
      </c>
      <c r="Z382" s="84">
        <v>6</v>
      </c>
      <c r="AA382" s="85" t="s">
        <v>266</v>
      </c>
      <c r="AB382" s="86">
        <v>1700</v>
      </c>
      <c r="AC382" s="83"/>
      <c r="AD382" s="85"/>
      <c r="AE382" s="86"/>
      <c r="AF382" s="83"/>
      <c r="AG382" s="85"/>
      <c r="AH382" s="86"/>
      <c r="AI382" s="83"/>
      <c r="AJ382" s="85"/>
      <c r="AK382" s="86"/>
      <c r="AL382" s="87"/>
      <c r="AM382" s="88"/>
      <c r="AN382" s="88" t="s">
        <v>474</v>
      </c>
      <c r="AO382" s="230" t="str">
        <f t="shared" si="15"/>
        <v>3UNCERAJWZB38</v>
      </c>
    </row>
    <row r="383" spans="1:41" x14ac:dyDescent="0.15">
      <c r="A383" s="80">
        <v>4114</v>
      </c>
      <c r="B383" s="89">
        <v>271</v>
      </c>
      <c r="C383" s="89">
        <v>50713</v>
      </c>
      <c r="D383" s="89" t="s">
        <v>83</v>
      </c>
      <c r="E383" s="89" t="s">
        <v>18</v>
      </c>
      <c r="F383" s="89" t="s">
        <v>184</v>
      </c>
      <c r="G383" s="89" t="str">
        <f t="shared" si="12"/>
        <v>3UNCERAJWZB</v>
      </c>
      <c r="H383" s="89" t="s">
        <v>269</v>
      </c>
      <c r="I383" s="89" t="s">
        <v>20</v>
      </c>
      <c r="J383" s="89" t="s">
        <v>21</v>
      </c>
      <c r="K383" s="89" t="s">
        <v>296</v>
      </c>
      <c r="L383" s="89" t="s">
        <v>297</v>
      </c>
      <c r="M383" s="89" t="str">
        <f t="shared" si="13"/>
        <v>3UNCERAJWZB501595</v>
      </c>
      <c r="N383" s="89" t="str">
        <f t="shared" si="14"/>
        <v>3UNCERAJWZB501585</v>
      </c>
      <c r="O383" s="90">
        <v>50</v>
      </c>
      <c r="P383" s="89">
        <v>3</v>
      </c>
      <c r="Q383" s="89" t="s">
        <v>294</v>
      </c>
      <c r="R383" s="90">
        <v>1595</v>
      </c>
      <c r="S383" s="90">
        <v>6000</v>
      </c>
      <c r="T383" s="90">
        <v>1585</v>
      </c>
      <c r="U383" s="90">
        <v>1585</v>
      </c>
      <c r="V383" s="90">
        <v>5800</v>
      </c>
      <c r="W383" s="81">
        <v>2</v>
      </c>
      <c r="X383" s="82" t="s">
        <v>14</v>
      </c>
      <c r="Y383" s="83" t="s">
        <v>15</v>
      </c>
      <c r="Z383" s="84">
        <v>6</v>
      </c>
      <c r="AA383" s="85" t="s">
        <v>266</v>
      </c>
      <c r="AB383" s="86">
        <v>1700</v>
      </c>
      <c r="AC383" s="83"/>
      <c r="AD383" s="85"/>
      <c r="AE383" s="86"/>
      <c r="AF383" s="83"/>
      <c r="AG383" s="85"/>
      <c r="AH383" s="86"/>
      <c r="AI383" s="83"/>
      <c r="AJ383" s="85"/>
      <c r="AK383" s="86"/>
      <c r="AL383" s="87"/>
      <c r="AM383" s="88"/>
      <c r="AN383" s="88" t="s">
        <v>474</v>
      </c>
      <c r="AO383" s="230" t="str">
        <f t="shared" si="15"/>
        <v>3UNCERAJWZB50</v>
      </c>
    </row>
    <row r="384" spans="1:41" x14ac:dyDescent="0.15">
      <c r="A384" s="80">
        <v>4114</v>
      </c>
      <c r="B384" s="89">
        <v>271</v>
      </c>
      <c r="C384" s="89">
        <v>5163</v>
      </c>
      <c r="D384" s="89" t="s">
        <v>2182</v>
      </c>
      <c r="E384" s="89" t="s">
        <v>18</v>
      </c>
      <c r="F384" s="89" t="s">
        <v>184</v>
      </c>
      <c r="G384" s="89" t="str">
        <f t="shared" si="12"/>
        <v>3UNCERAJWZB</v>
      </c>
      <c r="H384" s="89" t="s">
        <v>269</v>
      </c>
      <c r="I384" s="89" t="s">
        <v>20</v>
      </c>
      <c r="J384" s="89" t="s">
        <v>21</v>
      </c>
      <c r="K384" s="89" t="s">
        <v>296</v>
      </c>
      <c r="L384" s="89" t="s">
        <v>297</v>
      </c>
      <c r="M384" s="89" t="str">
        <f t="shared" si="13"/>
        <v>3UNCERAJWZB251610</v>
      </c>
      <c r="N384" s="89" t="str">
        <f t="shared" si="14"/>
        <v>3UNCERAJWZB251600</v>
      </c>
      <c r="O384" s="90">
        <v>25</v>
      </c>
      <c r="P384" s="89">
        <v>3</v>
      </c>
      <c r="Q384" s="89" t="s">
        <v>294</v>
      </c>
      <c r="R384" s="90">
        <v>1610</v>
      </c>
      <c r="S384" s="90">
        <v>12300</v>
      </c>
      <c r="T384" s="90">
        <v>1600</v>
      </c>
      <c r="U384" s="90">
        <v>1600</v>
      </c>
      <c r="V384" s="90">
        <v>4000</v>
      </c>
      <c r="W384" s="81">
        <v>2</v>
      </c>
      <c r="X384" s="82" t="s">
        <v>14</v>
      </c>
      <c r="Y384" s="83" t="s">
        <v>15</v>
      </c>
      <c r="Z384" s="84">
        <v>6</v>
      </c>
      <c r="AA384" s="85" t="s">
        <v>266</v>
      </c>
      <c r="AB384" s="86">
        <v>1700</v>
      </c>
      <c r="AC384" s="83"/>
      <c r="AD384" s="85"/>
      <c r="AE384" s="86"/>
      <c r="AF384" s="83"/>
      <c r="AG384" s="85"/>
      <c r="AH384" s="86"/>
      <c r="AI384" s="83"/>
      <c r="AJ384" s="85"/>
      <c r="AK384" s="86"/>
      <c r="AL384" s="87"/>
      <c r="AM384" s="88"/>
      <c r="AN384" s="88" t="s">
        <v>474</v>
      </c>
      <c r="AO384" s="230" t="str">
        <f t="shared" si="15"/>
        <v>3UNCERAJWZB25</v>
      </c>
    </row>
    <row r="385" spans="1:41" x14ac:dyDescent="0.15">
      <c r="A385" s="80">
        <v>4114</v>
      </c>
      <c r="B385" s="89">
        <v>272</v>
      </c>
      <c r="C385" s="89">
        <v>36882</v>
      </c>
      <c r="D385" s="89" t="s">
        <v>61</v>
      </c>
      <c r="E385" s="89" t="s">
        <v>45</v>
      </c>
      <c r="F385" s="89" t="s">
        <v>26</v>
      </c>
      <c r="G385" s="89" t="str">
        <f t="shared" si="12"/>
        <v>3UNCERAMDB8K14</v>
      </c>
      <c r="H385" s="89" t="s">
        <v>269</v>
      </c>
      <c r="I385" s="89" t="s">
        <v>20</v>
      </c>
      <c r="J385" s="89" t="s">
        <v>21</v>
      </c>
      <c r="K385" s="89" t="s">
        <v>298</v>
      </c>
      <c r="L385" s="89" t="s">
        <v>299</v>
      </c>
      <c r="M385" s="89" t="str">
        <f t="shared" si="13"/>
        <v>3UNCERAMDB8K14751060</v>
      </c>
      <c r="N385" s="89" t="str">
        <f t="shared" si="14"/>
        <v>3UNCERAMDB8K14751050</v>
      </c>
      <c r="O385" s="90">
        <v>75</v>
      </c>
      <c r="P385" s="89">
        <v>3</v>
      </c>
      <c r="Q385" s="89" t="s">
        <v>59</v>
      </c>
      <c r="R385" s="90">
        <v>1060</v>
      </c>
      <c r="S385" s="90">
        <v>4300</v>
      </c>
      <c r="T385" s="90">
        <v>1050</v>
      </c>
      <c r="U385" s="90">
        <v>1050</v>
      </c>
      <c r="V385" s="90">
        <v>4000</v>
      </c>
      <c r="W385" s="81">
        <v>2</v>
      </c>
      <c r="X385" s="82" t="s">
        <v>14</v>
      </c>
      <c r="Y385" s="83" t="s">
        <v>300</v>
      </c>
      <c r="Z385" s="84">
        <v>6</v>
      </c>
      <c r="AA385" s="85" t="s">
        <v>266</v>
      </c>
      <c r="AB385" s="86">
        <v>1450</v>
      </c>
      <c r="AC385" s="83">
        <v>6</v>
      </c>
      <c r="AD385" s="85" t="s">
        <v>266</v>
      </c>
      <c r="AE385" s="86">
        <v>1250</v>
      </c>
      <c r="AF385" s="83"/>
      <c r="AG385" s="85"/>
      <c r="AH385" s="86"/>
      <c r="AI385" s="83"/>
      <c r="AJ385" s="85"/>
      <c r="AK385" s="86"/>
      <c r="AL385" s="87">
        <v>6</v>
      </c>
      <c r="AM385" s="88" t="s">
        <v>301</v>
      </c>
      <c r="AN385" s="88" t="s">
        <v>473</v>
      </c>
      <c r="AO385" s="230" t="str">
        <f t="shared" si="15"/>
        <v>3UNCERAMDB8K1475</v>
      </c>
    </row>
    <row r="386" spans="1:41" x14ac:dyDescent="0.15">
      <c r="A386" s="80">
        <v>4114</v>
      </c>
      <c r="B386" s="89">
        <v>272</v>
      </c>
      <c r="C386" s="89">
        <v>36882</v>
      </c>
      <c r="D386" s="89" t="s">
        <v>61</v>
      </c>
      <c r="E386" s="89" t="s">
        <v>45</v>
      </c>
      <c r="F386" s="89" t="s">
        <v>26</v>
      </c>
      <c r="G386" s="89" t="str">
        <f t="shared" si="12"/>
        <v>3UNCERAJMDB8KB</v>
      </c>
      <c r="H386" s="89" t="s">
        <v>269</v>
      </c>
      <c r="I386" s="89" t="s">
        <v>20</v>
      </c>
      <c r="J386" s="89" t="s">
        <v>21</v>
      </c>
      <c r="K386" s="89" t="s">
        <v>302</v>
      </c>
      <c r="L386" s="89" t="s">
        <v>303</v>
      </c>
      <c r="M386" s="89" t="str">
        <f t="shared" si="13"/>
        <v>3UNCERAJMDB8KB751060</v>
      </c>
      <c r="N386" s="89" t="str">
        <f t="shared" si="14"/>
        <v>3UNCERAJMDB8KB751050</v>
      </c>
      <c r="O386" s="90">
        <v>75</v>
      </c>
      <c r="P386" s="89">
        <v>3</v>
      </c>
      <c r="Q386" s="89" t="s">
        <v>294</v>
      </c>
      <c r="R386" s="90">
        <v>1060</v>
      </c>
      <c r="S386" s="90">
        <v>4300</v>
      </c>
      <c r="T386" s="90">
        <v>1050</v>
      </c>
      <c r="U386" s="90">
        <v>1050</v>
      </c>
      <c r="V386" s="90">
        <v>4000</v>
      </c>
      <c r="W386" s="81">
        <v>2</v>
      </c>
      <c r="X386" s="82" t="s">
        <v>14</v>
      </c>
      <c r="Y386" s="83" t="s">
        <v>300</v>
      </c>
      <c r="Z386" s="84">
        <v>6</v>
      </c>
      <c r="AA386" s="85" t="s">
        <v>266</v>
      </c>
      <c r="AB386" s="86">
        <v>1450</v>
      </c>
      <c r="AC386" s="83">
        <v>6</v>
      </c>
      <c r="AD386" s="85" t="s">
        <v>266</v>
      </c>
      <c r="AE386" s="86">
        <v>1250</v>
      </c>
      <c r="AF386" s="83"/>
      <c r="AG386" s="85"/>
      <c r="AH386" s="86"/>
      <c r="AI386" s="83"/>
      <c r="AJ386" s="85"/>
      <c r="AK386" s="86"/>
      <c r="AL386" s="87">
        <v>6</v>
      </c>
      <c r="AM386" s="88" t="s">
        <v>301</v>
      </c>
      <c r="AN386" s="88" t="s">
        <v>473</v>
      </c>
      <c r="AO386" s="230" t="str">
        <f t="shared" si="15"/>
        <v>3UNCERAJMDB8KB75</v>
      </c>
    </row>
    <row r="387" spans="1:41" x14ac:dyDescent="0.15">
      <c r="A387" s="80">
        <v>4114</v>
      </c>
      <c r="B387" s="89">
        <v>272</v>
      </c>
      <c r="C387" s="89">
        <v>36882</v>
      </c>
      <c r="D387" s="89" t="s">
        <v>61</v>
      </c>
      <c r="E387" s="89" t="s">
        <v>45</v>
      </c>
      <c r="F387" s="89" t="s">
        <v>26</v>
      </c>
      <c r="G387" s="89" t="str">
        <f t="shared" si="12"/>
        <v>3UNCERAJMDAB</v>
      </c>
      <c r="H387" s="89" t="s">
        <v>269</v>
      </c>
      <c r="I387" s="89" t="s">
        <v>20</v>
      </c>
      <c r="J387" s="89" t="s">
        <v>21</v>
      </c>
      <c r="K387" s="89" t="s">
        <v>2183</v>
      </c>
      <c r="L387" s="89" t="s">
        <v>2184</v>
      </c>
      <c r="M387" s="89" t="str">
        <f t="shared" si="13"/>
        <v>3UNCERAJMDAB381270</v>
      </c>
      <c r="N387" s="89" t="str">
        <f t="shared" si="14"/>
        <v>3UNCERAJMDAB381250</v>
      </c>
      <c r="O387" s="90">
        <v>38</v>
      </c>
      <c r="P387" s="89">
        <v>3</v>
      </c>
      <c r="Q387" s="89" t="s">
        <v>294</v>
      </c>
      <c r="R387" s="90">
        <v>1270</v>
      </c>
      <c r="S387" s="90">
        <v>6000</v>
      </c>
      <c r="T387" s="90">
        <v>1250</v>
      </c>
      <c r="U387" s="90">
        <v>1250</v>
      </c>
      <c r="V387" s="90">
        <v>5800</v>
      </c>
      <c r="W387" s="81">
        <v>2</v>
      </c>
      <c r="X387" s="82" t="s">
        <v>14</v>
      </c>
      <c r="Y387" s="83" t="s">
        <v>487</v>
      </c>
      <c r="Z387" s="84">
        <v>6</v>
      </c>
      <c r="AA387" s="85" t="s">
        <v>266</v>
      </c>
      <c r="AB387" s="86">
        <v>1450</v>
      </c>
      <c r="AC387" s="83"/>
      <c r="AD387" s="85"/>
      <c r="AE387" s="86"/>
      <c r="AF387" s="83"/>
      <c r="AG387" s="85"/>
      <c r="AH387" s="86"/>
      <c r="AI387" s="83"/>
      <c r="AJ387" s="85"/>
      <c r="AK387" s="86"/>
      <c r="AL387" s="87">
        <v>6</v>
      </c>
      <c r="AM387" s="88" t="s">
        <v>301</v>
      </c>
      <c r="AN387" s="88" t="s">
        <v>473</v>
      </c>
      <c r="AO387" s="230" t="str">
        <f t="shared" si="15"/>
        <v>3UNCERAJMDAB38</v>
      </c>
    </row>
    <row r="388" spans="1:41" x14ac:dyDescent="0.15">
      <c r="A388" s="80">
        <v>4114</v>
      </c>
      <c r="B388" s="89">
        <v>272</v>
      </c>
      <c r="C388" s="89">
        <v>36882</v>
      </c>
      <c r="D388" s="89" t="s">
        <v>61</v>
      </c>
      <c r="E388" s="89" t="s">
        <v>45</v>
      </c>
      <c r="F388" s="89" t="s">
        <v>26</v>
      </c>
      <c r="G388" s="89" t="str">
        <f t="shared" si="12"/>
        <v>3UNCERAJMDAB</v>
      </c>
      <c r="H388" s="89" t="s">
        <v>269</v>
      </c>
      <c r="I388" s="89" t="s">
        <v>20</v>
      </c>
      <c r="J388" s="89" t="s">
        <v>21</v>
      </c>
      <c r="K388" s="89" t="s">
        <v>2183</v>
      </c>
      <c r="L388" s="89" t="s">
        <v>2184</v>
      </c>
      <c r="M388" s="89" t="str">
        <f t="shared" si="13"/>
        <v>3UNCERAJMDAB381060</v>
      </c>
      <c r="N388" s="89" t="str">
        <f t="shared" si="14"/>
        <v>3UNCERAJMDAB38750</v>
      </c>
      <c r="O388" s="90">
        <v>38</v>
      </c>
      <c r="P388" s="89">
        <v>3</v>
      </c>
      <c r="Q388" s="89" t="s">
        <v>294</v>
      </c>
      <c r="R388" s="90">
        <v>1060</v>
      </c>
      <c r="S388" s="90">
        <v>6000</v>
      </c>
      <c r="T388" s="90">
        <v>750</v>
      </c>
      <c r="U388" s="90">
        <v>750</v>
      </c>
      <c r="V388" s="90">
        <v>5800</v>
      </c>
      <c r="W388" s="81">
        <v>2</v>
      </c>
      <c r="X388" s="82" t="s">
        <v>14</v>
      </c>
      <c r="Y388" s="83" t="s">
        <v>295</v>
      </c>
      <c r="Z388" s="84">
        <v>6</v>
      </c>
      <c r="AA388" s="85" t="s">
        <v>266</v>
      </c>
      <c r="AB388" s="86">
        <v>1450</v>
      </c>
      <c r="AC388" s="83">
        <v>6</v>
      </c>
      <c r="AD388" s="85" t="s">
        <v>266</v>
      </c>
      <c r="AE388" s="86">
        <v>930</v>
      </c>
      <c r="AF388" s="83"/>
      <c r="AG388" s="85"/>
      <c r="AH388" s="86"/>
      <c r="AI388" s="83"/>
      <c r="AJ388" s="85"/>
      <c r="AK388" s="86"/>
      <c r="AL388" s="87">
        <v>6</v>
      </c>
      <c r="AM388" s="88" t="s">
        <v>301</v>
      </c>
      <c r="AN388" s="88" t="s">
        <v>473</v>
      </c>
      <c r="AO388" s="230" t="str">
        <f t="shared" si="15"/>
        <v>3UNCERAJMDAB38</v>
      </c>
    </row>
    <row r="389" spans="1:41" x14ac:dyDescent="0.15">
      <c r="A389" s="80">
        <v>4114</v>
      </c>
      <c r="B389" s="89">
        <v>272</v>
      </c>
      <c r="C389" s="89">
        <v>36882</v>
      </c>
      <c r="D389" s="89" t="s">
        <v>61</v>
      </c>
      <c r="E389" s="89" t="s">
        <v>45</v>
      </c>
      <c r="F389" s="89" t="s">
        <v>26</v>
      </c>
      <c r="G389" s="89" t="str">
        <f t="shared" si="12"/>
        <v>3UNCERAJMDGB</v>
      </c>
      <c r="H389" s="89" t="s">
        <v>269</v>
      </c>
      <c r="I389" s="89" t="s">
        <v>20</v>
      </c>
      <c r="J389" s="89" t="s">
        <v>21</v>
      </c>
      <c r="K389" s="89" t="s">
        <v>2185</v>
      </c>
      <c r="L389" s="89" t="s">
        <v>2186</v>
      </c>
      <c r="M389" s="89" t="str">
        <f t="shared" si="13"/>
        <v>3UNCERAJMDGB381060</v>
      </c>
      <c r="N389" s="89" t="str">
        <f t="shared" si="14"/>
        <v>3UNCERAJMDGB38750</v>
      </c>
      <c r="O389" s="90">
        <v>38</v>
      </c>
      <c r="P389" s="89">
        <v>3</v>
      </c>
      <c r="Q389" s="89" t="s">
        <v>294</v>
      </c>
      <c r="R389" s="90">
        <v>1060</v>
      </c>
      <c r="S389" s="90">
        <v>6000</v>
      </c>
      <c r="T389" s="90">
        <v>750</v>
      </c>
      <c r="U389" s="90">
        <v>750</v>
      </c>
      <c r="V389" s="90">
        <v>2000</v>
      </c>
      <c r="W389" s="81">
        <v>2</v>
      </c>
      <c r="X389" s="82" t="s">
        <v>14</v>
      </c>
      <c r="Y389" s="83" t="s">
        <v>295</v>
      </c>
      <c r="Z389" s="84">
        <v>6</v>
      </c>
      <c r="AA389" s="85" t="s">
        <v>266</v>
      </c>
      <c r="AB389" s="86">
        <v>1450</v>
      </c>
      <c r="AC389" s="83">
        <v>6</v>
      </c>
      <c r="AD389" s="85" t="s">
        <v>266</v>
      </c>
      <c r="AE389" s="86">
        <v>930</v>
      </c>
      <c r="AF389" s="83"/>
      <c r="AG389" s="85"/>
      <c r="AH389" s="86"/>
      <c r="AI389" s="83"/>
      <c r="AJ389" s="85"/>
      <c r="AK389" s="86"/>
      <c r="AL389" s="87">
        <v>6</v>
      </c>
      <c r="AM389" s="88" t="s">
        <v>301</v>
      </c>
      <c r="AN389" s="88" t="s">
        <v>473</v>
      </c>
      <c r="AO389" s="230" t="str">
        <f t="shared" si="15"/>
        <v>3UNCERAJMDGB38</v>
      </c>
    </row>
    <row r="390" spans="1:41" x14ac:dyDescent="0.15">
      <c r="A390" s="80">
        <v>4114</v>
      </c>
      <c r="B390" s="89">
        <v>272</v>
      </c>
      <c r="C390" s="89">
        <v>36882</v>
      </c>
      <c r="D390" s="89" t="s">
        <v>61</v>
      </c>
      <c r="E390" s="89" t="s">
        <v>45</v>
      </c>
      <c r="F390" s="89" t="s">
        <v>26</v>
      </c>
      <c r="G390" s="89" t="str">
        <f t="shared" si="12"/>
        <v>3UNCERAJMDEB</v>
      </c>
      <c r="H390" s="89" t="s">
        <v>269</v>
      </c>
      <c r="I390" s="89" t="s">
        <v>20</v>
      </c>
      <c r="J390" s="89" t="s">
        <v>21</v>
      </c>
      <c r="K390" s="89" t="s">
        <v>2187</v>
      </c>
      <c r="L390" s="89" t="s">
        <v>2188</v>
      </c>
      <c r="M390" s="89" t="str">
        <f t="shared" si="13"/>
        <v>3UNCERAJMDEB381060</v>
      </c>
      <c r="N390" s="89" t="str">
        <f t="shared" si="14"/>
        <v>3UNCERAJMDEB38750</v>
      </c>
      <c r="O390" s="90">
        <v>38</v>
      </c>
      <c r="P390" s="89">
        <v>3</v>
      </c>
      <c r="Q390" s="89" t="s">
        <v>294</v>
      </c>
      <c r="R390" s="90">
        <v>1060</v>
      </c>
      <c r="S390" s="90">
        <v>6000</v>
      </c>
      <c r="T390" s="90">
        <v>750</v>
      </c>
      <c r="U390" s="90">
        <v>750</v>
      </c>
      <c r="V390" s="90">
        <v>2000</v>
      </c>
      <c r="W390" s="81">
        <v>2</v>
      </c>
      <c r="X390" s="82" t="s">
        <v>14</v>
      </c>
      <c r="Y390" s="83" t="s">
        <v>295</v>
      </c>
      <c r="Z390" s="84">
        <v>6</v>
      </c>
      <c r="AA390" s="85" t="s">
        <v>266</v>
      </c>
      <c r="AB390" s="86">
        <v>1450</v>
      </c>
      <c r="AC390" s="83">
        <v>6</v>
      </c>
      <c r="AD390" s="85" t="s">
        <v>266</v>
      </c>
      <c r="AE390" s="86">
        <v>930</v>
      </c>
      <c r="AF390" s="83"/>
      <c r="AG390" s="85"/>
      <c r="AH390" s="86"/>
      <c r="AI390" s="83"/>
      <c r="AJ390" s="85"/>
      <c r="AK390" s="86"/>
      <c r="AL390" s="87">
        <v>6</v>
      </c>
      <c r="AM390" s="88" t="s">
        <v>301</v>
      </c>
      <c r="AN390" s="88" t="s">
        <v>473</v>
      </c>
      <c r="AO390" s="230" t="str">
        <f t="shared" si="15"/>
        <v>3UNCERAJMDEB38</v>
      </c>
    </row>
    <row r="391" spans="1:41" x14ac:dyDescent="0.15">
      <c r="A391" s="80">
        <v>4114</v>
      </c>
      <c r="B391" s="89">
        <v>272</v>
      </c>
      <c r="C391" s="89">
        <v>36882</v>
      </c>
      <c r="D391" s="89" t="s">
        <v>61</v>
      </c>
      <c r="E391" s="89" t="s">
        <v>45</v>
      </c>
      <c r="F391" s="89" t="s">
        <v>26</v>
      </c>
      <c r="G391" s="89" t="str">
        <f t="shared" si="12"/>
        <v>3UNCERAJMDA(B)</v>
      </c>
      <c r="H391" s="89" t="s">
        <v>269</v>
      </c>
      <c r="I391" s="89" t="s">
        <v>20</v>
      </c>
      <c r="J391" s="89" t="s">
        <v>21</v>
      </c>
      <c r="K391" s="89" t="s">
        <v>2347</v>
      </c>
      <c r="L391" s="89" t="s">
        <v>293</v>
      </c>
      <c r="M391" s="89"/>
      <c r="N391" s="89"/>
      <c r="O391" s="90">
        <v>38</v>
      </c>
      <c r="P391" s="89">
        <v>3</v>
      </c>
      <c r="Q391" s="89" t="s">
        <v>2339</v>
      </c>
      <c r="R391" s="90">
        <v>1260</v>
      </c>
      <c r="S391" s="90">
        <v>6200</v>
      </c>
      <c r="T391" s="90">
        <v>1250</v>
      </c>
      <c r="U391" s="90">
        <v>1250</v>
      </c>
      <c r="V391" s="90">
        <v>6000</v>
      </c>
      <c r="W391" s="81">
        <v>1</v>
      </c>
      <c r="X391" s="82" t="s">
        <v>14</v>
      </c>
      <c r="Y391" s="83" t="s">
        <v>487</v>
      </c>
      <c r="Z391" s="84">
        <v>6</v>
      </c>
      <c r="AA391" s="85" t="s">
        <v>266</v>
      </c>
      <c r="AB391" s="86">
        <v>1270</v>
      </c>
      <c r="AC391" s="83"/>
      <c r="AD391" s="85"/>
      <c r="AE391" s="86"/>
      <c r="AF391" s="83"/>
      <c r="AG391" s="85"/>
      <c r="AH391" s="86"/>
      <c r="AI391" s="83"/>
      <c r="AJ391" s="85"/>
      <c r="AK391" s="86"/>
      <c r="AL391" s="87"/>
      <c r="AM391" s="88"/>
      <c r="AN391" s="88"/>
      <c r="AO391" s="230" t="str">
        <f t="shared" si="15"/>
        <v>3UNCERAJMDA(B)38</v>
      </c>
    </row>
    <row r="392" spans="1:41" x14ac:dyDescent="0.15">
      <c r="A392" s="80">
        <v>4114</v>
      </c>
      <c r="B392" s="89">
        <v>272</v>
      </c>
      <c r="C392" s="89">
        <v>36882</v>
      </c>
      <c r="D392" s="89" t="s">
        <v>61</v>
      </c>
      <c r="E392" s="89" t="s">
        <v>45</v>
      </c>
      <c r="F392" s="89" t="s">
        <v>26</v>
      </c>
      <c r="G392" s="89" t="str">
        <f t="shared" si="12"/>
        <v>3UNCERAMD(A)R</v>
      </c>
      <c r="H392" s="89" t="s">
        <v>269</v>
      </c>
      <c r="I392" s="89" t="s">
        <v>20</v>
      </c>
      <c r="J392" s="89" t="s">
        <v>21</v>
      </c>
      <c r="K392" s="89" t="s">
        <v>1556</v>
      </c>
      <c r="L392" s="89" t="s">
        <v>2189</v>
      </c>
      <c r="M392" s="89" t="str">
        <f t="shared" ref="M392" si="16">G392&amp;O392&amp;R392</f>
        <v>3UNCERAMD(A)R381255</v>
      </c>
      <c r="N392" s="89" t="str">
        <f t="shared" ref="N392" si="17">G392&amp;O392&amp;U392</f>
        <v>3UNCERAMD(A)R38750</v>
      </c>
      <c r="O392" s="90">
        <v>38</v>
      </c>
      <c r="P392" s="89">
        <v>3</v>
      </c>
      <c r="Q392" s="89" t="s">
        <v>1997</v>
      </c>
      <c r="R392" s="90">
        <v>1255</v>
      </c>
      <c r="S392" s="90">
        <v>12200</v>
      </c>
      <c r="T392" s="90">
        <v>750</v>
      </c>
      <c r="U392" s="90">
        <v>750</v>
      </c>
      <c r="V392" s="90">
        <v>6000</v>
      </c>
      <c r="W392" s="81">
        <v>2</v>
      </c>
      <c r="X392" s="82" t="s">
        <v>14</v>
      </c>
      <c r="Y392" s="83" t="s">
        <v>295</v>
      </c>
      <c r="Z392" s="84">
        <v>6</v>
      </c>
      <c r="AA392" s="85" t="s">
        <v>266</v>
      </c>
      <c r="AB392" s="86">
        <v>1450</v>
      </c>
      <c r="AC392" s="83">
        <v>6</v>
      </c>
      <c r="AD392" s="85" t="s">
        <v>266</v>
      </c>
      <c r="AE392" s="86">
        <v>930</v>
      </c>
      <c r="AF392" s="83"/>
      <c r="AG392" s="85"/>
      <c r="AH392" s="86"/>
      <c r="AI392" s="83"/>
      <c r="AJ392" s="85"/>
      <c r="AK392" s="86"/>
      <c r="AL392" s="87">
        <v>6</v>
      </c>
      <c r="AM392" s="88" t="s">
        <v>301</v>
      </c>
      <c r="AN392" s="88" t="s">
        <v>473</v>
      </c>
      <c r="AO392" s="230" t="str">
        <f t="shared" si="15"/>
        <v>3UNCERAMD(A)R38</v>
      </c>
    </row>
    <row r="393" spans="1:41" x14ac:dyDescent="0.15">
      <c r="A393" s="80">
        <v>4114</v>
      </c>
      <c r="B393" s="89">
        <v>272</v>
      </c>
      <c r="C393" s="89">
        <v>36882</v>
      </c>
      <c r="D393" s="89" t="s">
        <v>61</v>
      </c>
      <c r="E393" s="89" t="s">
        <v>45</v>
      </c>
      <c r="F393" s="89" t="s">
        <v>26</v>
      </c>
      <c r="G393" s="89" t="str">
        <f t="shared" si="12"/>
        <v>3UNCERATKA0709</v>
      </c>
      <c r="H393" s="89" t="s">
        <v>1662</v>
      </c>
      <c r="I393" s="89" t="s">
        <v>1550</v>
      </c>
      <c r="J393" s="89" t="s">
        <v>1552</v>
      </c>
      <c r="K393" s="89" t="s">
        <v>2190</v>
      </c>
      <c r="L393" s="89" t="s">
        <v>2191</v>
      </c>
      <c r="M393" s="89" t="str">
        <f t="shared" si="13"/>
        <v>3UNCERATKA0709751200</v>
      </c>
      <c r="N393" s="89" t="str">
        <f t="shared" si="14"/>
        <v>3UNCERATKA0709751190</v>
      </c>
      <c r="O393" s="90">
        <v>75</v>
      </c>
      <c r="P393" s="89">
        <v>3</v>
      </c>
      <c r="Q393" s="89" t="s">
        <v>486</v>
      </c>
      <c r="R393" s="90">
        <v>1200</v>
      </c>
      <c r="S393" s="90">
        <v>4500</v>
      </c>
      <c r="T393" s="90">
        <v>1190</v>
      </c>
      <c r="U393" s="90">
        <v>1190</v>
      </c>
      <c r="V393" s="90">
        <v>4000</v>
      </c>
      <c r="W393" s="81">
        <v>2</v>
      </c>
      <c r="X393" s="82" t="s">
        <v>2014</v>
      </c>
      <c r="Y393" s="83" t="s">
        <v>487</v>
      </c>
      <c r="Z393" s="84">
        <v>6</v>
      </c>
      <c r="AA393" s="85" t="s">
        <v>266</v>
      </c>
      <c r="AB393" s="86">
        <v>1250</v>
      </c>
      <c r="AC393" s="83"/>
      <c r="AD393" s="85"/>
      <c r="AE393" s="86"/>
      <c r="AF393" s="83"/>
      <c r="AG393" s="85"/>
      <c r="AH393" s="86"/>
      <c r="AI393" s="83"/>
      <c r="AJ393" s="85"/>
      <c r="AK393" s="86"/>
      <c r="AL393" s="87"/>
      <c r="AM393" s="88"/>
      <c r="AN393" s="88"/>
      <c r="AO393" s="230" t="str">
        <f t="shared" si="15"/>
        <v>3UNCERATKA070975</v>
      </c>
    </row>
    <row r="394" spans="1:41" x14ac:dyDescent="0.15">
      <c r="A394" s="80">
        <v>4114</v>
      </c>
      <c r="B394" s="89">
        <v>274</v>
      </c>
      <c r="C394" s="89">
        <v>36888</v>
      </c>
      <c r="D394" s="89" t="s">
        <v>560</v>
      </c>
      <c r="E394" s="89"/>
      <c r="F394" s="89"/>
      <c r="G394" s="89" t="str">
        <f t="shared" si="12"/>
        <v>3UYCERATKA1440</v>
      </c>
      <c r="H394" s="89" t="s">
        <v>1662</v>
      </c>
      <c r="I394" s="89" t="s">
        <v>2036</v>
      </c>
      <c r="J394" s="89" t="s">
        <v>1552</v>
      </c>
      <c r="K394" s="89" t="s">
        <v>2192</v>
      </c>
      <c r="L394" s="89" t="s">
        <v>2193</v>
      </c>
      <c r="M394" s="89" t="str">
        <f t="shared" si="13"/>
        <v>3UYCERATKA1440501100</v>
      </c>
      <c r="N394" s="89" t="str">
        <f t="shared" si="14"/>
        <v>3UYCERATKA1440501000</v>
      </c>
      <c r="O394" s="90">
        <v>50</v>
      </c>
      <c r="P394" s="89">
        <v>3</v>
      </c>
      <c r="Q394" s="89" t="s">
        <v>2021</v>
      </c>
      <c r="R394" s="90">
        <v>1100</v>
      </c>
      <c r="S394" s="90">
        <v>4200</v>
      </c>
      <c r="T394" s="90">
        <v>1000</v>
      </c>
      <c r="U394" s="90">
        <v>1000</v>
      </c>
      <c r="V394" s="90">
        <v>500</v>
      </c>
      <c r="W394" s="81">
        <v>2</v>
      </c>
      <c r="X394" s="82" t="s">
        <v>2014</v>
      </c>
      <c r="Y394" s="83" t="s">
        <v>2015</v>
      </c>
      <c r="Z394" s="84">
        <v>6</v>
      </c>
      <c r="AA394" s="85" t="s">
        <v>266</v>
      </c>
      <c r="AB394" s="86">
        <v>1450</v>
      </c>
      <c r="AC394" s="83">
        <v>6</v>
      </c>
      <c r="AD394" s="85" t="s">
        <v>16</v>
      </c>
      <c r="AE394" s="86">
        <v>1450</v>
      </c>
      <c r="AF394" s="83"/>
      <c r="AG394" s="85"/>
      <c r="AH394" s="86"/>
      <c r="AI394" s="83"/>
      <c r="AJ394" s="85"/>
      <c r="AK394" s="86"/>
      <c r="AL394" s="87"/>
      <c r="AM394" s="88"/>
      <c r="AN394" s="88"/>
      <c r="AO394" s="230" t="str">
        <f t="shared" si="15"/>
        <v>3UYCERATKA144050</v>
      </c>
    </row>
    <row r="395" spans="1:41" x14ac:dyDescent="0.15">
      <c r="A395" s="80">
        <v>4114</v>
      </c>
      <c r="B395" s="89">
        <v>274</v>
      </c>
      <c r="C395" s="89">
        <v>36888</v>
      </c>
      <c r="D395" s="89" t="s">
        <v>560</v>
      </c>
      <c r="E395" s="89"/>
      <c r="F395" s="89"/>
      <c r="G395" s="89" t="str">
        <f t="shared" si="12"/>
        <v>3UYCERATKA1540</v>
      </c>
      <c r="H395" s="89" t="s">
        <v>1662</v>
      </c>
      <c r="I395" s="89" t="s">
        <v>2036</v>
      </c>
      <c r="J395" s="89" t="s">
        <v>1552</v>
      </c>
      <c r="K395" s="89" t="s">
        <v>2194</v>
      </c>
      <c r="L395" s="89" t="s">
        <v>2195</v>
      </c>
      <c r="M395" s="89" t="str">
        <f t="shared" si="13"/>
        <v>3UYCERATKA1540501080</v>
      </c>
      <c r="N395" s="89" t="str">
        <f t="shared" si="14"/>
        <v>3UYCERATKA1540501000</v>
      </c>
      <c r="O395" s="90">
        <v>50</v>
      </c>
      <c r="P395" s="89">
        <v>3</v>
      </c>
      <c r="Q395" s="89" t="s">
        <v>2021</v>
      </c>
      <c r="R395" s="90">
        <v>1080</v>
      </c>
      <c r="S395" s="90">
        <v>6500</v>
      </c>
      <c r="T395" s="90">
        <v>1000</v>
      </c>
      <c r="U395" s="90">
        <v>1000</v>
      </c>
      <c r="V395" s="90">
        <v>500</v>
      </c>
      <c r="W395" s="81">
        <v>2</v>
      </c>
      <c r="X395" s="82" t="s">
        <v>2014</v>
      </c>
      <c r="Y395" s="83" t="s">
        <v>2015</v>
      </c>
      <c r="Z395" s="84">
        <v>6</v>
      </c>
      <c r="AA395" s="85" t="s">
        <v>266</v>
      </c>
      <c r="AB395" s="86">
        <v>1450</v>
      </c>
      <c r="AC395" s="83">
        <v>6</v>
      </c>
      <c r="AD395" s="85" t="s">
        <v>16</v>
      </c>
      <c r="AE395" s="86">
        <v>1450</v>
      </c>
      <c r="AF395" s="83"/>
      <c r="AG395" s="85"/>
      <c r="AH395" s="86"/>
      <c r="AI395" s="83"/>
      <c r="AJ395" s="85"/>
      <c r="AK395" s="86"/>
      <c r="AL395" s="87"/>
      <c r="AM395" s="88"/>
      <c r="AN395" s="88"/>
      <c r="AO395" s="230" t="str">
        <f t="shared" si="15"/>
        <v>3UYCERATKA154050</v>
      </c>
    </row>
    <row r="396" spans="1:41" x14ac:dyDescent="0.15">
      <c r="A396" s="80">
        <v>4114</v>
      </c>
      <c r="B396" s="89">
        <v>274</v>
      </c>
      <c r="C396" s="89">
        <v>36888</v>
      </c>
      <c r="D396" s="89" t="s">
        <v>560</v>
      </c>
      <c r="E396" s="89"/>
      <c r="F396" s="89"/>
      <c r="G396" s="89" t="str">
        <f t="shared" si="12"/>
        <v>3UNCERATKA1540</v>
      </c>
      <c r="H396" s="89" t="s">
        <v>1662</v>
      </c>
      <c r="I396" s="89" t="s">
        <v>1550</v>
      </c>
      <c r="J396" s="89" t="s">
        <v>1552</v>
      </c>
      <c r="K396" s="89" t="s">
        <v>2194</v>
      </c>
      <c r="L396" s="89" t="s">
        <v>2195</v>
      </c>
      <c r="M396" s="89" t="str">
        <f t="shared" si="13"/>
        <v>3UNCERATKA1540501080</v>
      </c>
      <c r="N396" s="89" t="str">
        <f t="shared" si="14"/>
        <v>3UNCERATKA1540501070</v>
      </c>
      <c r="O396" s="90">
        <v>50</v>
      </c>
      <c r="P396" s="89">
        <v>3</v>
      </c>
      <c r="Q396" s="89" t="s">
        <v>2021</v>
      </c>
      <c r="R396" s="90">
        <v>1080</v>
      </c>
      <c r="S396" s="90">
        <v>6500</v>
      </c>
      <c r="T396" s="90">
        <v>1070</v>
      </c>
      <c r="U396" s="90">
        <v>1070</v>
      </c>
      <c r="V396" s="90">
        <v>5000</v>
      </c>
      <c r="W396" s="81">
        <v>2</v>
      </c>
      <c r="X396" s="82" t="s">
        <v>2014</v>
      </c>
      <c r="Y396" s="83" t="s">
        <v>487</v>
      </c>
      <c r="Z396" s="84">
        <v>6</v>
      </c>
      <c r="AA396" s="85" t="s">
        <v>266</v>
      </c>
      <c r="AB396" s="86">
        <v>1450</v>
      </c>
      <c r="AC396" s="83"/>
      <c r="AD396" s="85"/>
      <c r="AE396" s="86"/>
      <c r="AF396" s="83"/>
      <c r="AG396" s="85"/>
      <c r="AH396" s="86"/>
      <c r="AI396" s="83"/>
      <c r="AJ396" s="85"/>
      <c r="AK396" s="86"/>
      <c r="AL396" s="87"/>
      <c r="AM396" s="88"/>
      <c r="AN396" s="88"/>
      <c r="AO396" s="230" t="str">
        <f t="shared" si="15"/>
        <v>3UNCERATKA154050</v>
      </c>
    </row>
    <row r="397" spans="1:41" x14ac:dyDescent="0.15">
      <c r="A397" s="80">
        <v>4114</v>
      </c>
      <c r="B397" s="89">
        <v>273</v>
      </c>
      <c r="C397" s="89">
        <v>36882</v>
      </c>
      <c r="D397" s="89" t="s">
        <v>544</v>
      </c>
      <c r="E397" s="89" t="s">
        <v>41</v>
      </c>
      <c r="F397" s="89"/>
      <c r="G397" s="89" t="str">
        <f t="shared" si="12"/>
        <v>3UNCERATKA0909</v>
      </c>
      <c r="H397" s="89" t="s">
        <v>1662</v>
      </c>
      <c r="I397" s="89" t="s">
        <v>1550</v>
      </c>
      <c r="J397" s="89" t="s">
        <v>1552</v>
      </c>
      <c r="K397" s="89" t="s">
        <v>2196</v>
      </c>
      <c r="L397" s="89" t="s">
        <v>2197</v>
      </c>
      <c r="M397" s="89" t="str">
        <f t="shared" si="13"/>
        <v>3UNCERATKA0909751360</v>
      </c>
      <c r="N397" s="89" t="str">
        <f t="shared" si="14"/>
        <v>3UNCERATKA0909751350</v>
      </c>
      <c r="O397" s="90">
        <v>75</v>
      </c>
      <c r="P397" s="89">
        <v>3</v>
      </c>
      <c r="Q397" s="89" t="s">
        <v>486</v>
      </c>
      <c r="R397" s="90">
        <v>1360</v>
      </c>
      <c r="S397" s="90">
        <v>4500</v>
      </c>
      <c r="T397" s="90">
        <v>1350</v>
      </c>
      <c r="U397" s="90">
        <v>1350</v>
      </c>
      <c r="V397" s="90">
        <v>3000</v>
      </c>
      <c r="W397" s="81">
        <v>1</v>
      </c>
      <c r="X397" s="82" t="s">
        <v>2014</v>
      </c>
      <c r="Y397" s="83" t="s">
        <v>27</v>
      </c>
      <c r="Z397" s="84">
        <v>6</v>
      </c>
      <c r="AA397" s="85" t="s">
        <v>266</v>
      </c>
      <c r="AB397" s="86"/>
      <c r="AC397" s="83"/>
      <c r="AD397" s="85"/>
      <c r="AE397" s="86"/>
      <c r="AF397" s="83"/>
      <c r="AG397" s="85"/>
      <c r="AH397" s="86"/>
      <c r="AI397" s="83"/>
      <c r="AJ397" s="85"/>
      <c r="AK397" s="86"/>
      <c r="AL397" s="87"/>
      <c r="AM397" s="88"/>
      <c r="AN397" s="88"/>
      <c r="AO397" s="230" t="str">
        <f t="shared" si="15"/>
        <v>3UNCERATKA090975</v>
      </c>
    </row>
    <row r="398" spans="1:41" x14ac:dyDescent="0.15">
      <c r="A398" s="80">
        <v>4114</v>
      </c>
      <c r="B398" s="89">
        <v>273</v>
      </c>
      <c r="C398" s="89">
        <v>36882</v>
      </c>
      <c r="D398" s="89" t="s">
        <v>545</v>
      </c>
      <c r="E398" s="89" t="s">
        <v>41</v>
      </c>
      <c r="F398" s="89"/>
      <c r="G398" s="89" t="str">
        <f t="shared" si="12"/>
        <v>3UNCERATKA0909</v>
      </c>
      <c r="H398" s="89" t="s">
        <v>1662</v>
      </c>
      <c r="I398" s="89" t="s">
        <v>1550</v>
      </c>
      <c r="J398" s="89" t="s">
        <v>1552</v>
      </c>
      <c r="K398" s="89" t="s">
        <v>2196</v>
      </c>
      <c r="L398" s="89" t="s">
        <v>2197</v>
      </c>
      <c r="M398" s="89" t="str">
        <f t="shared" si="13"/>
        <v>3UNCERATKA0909751360</v>
      </c>
      <c r="N398" s="89" t="str">
        <f t="shared" si="14"/>
        <v>3UNCERATKA0909751350</v>
      </c>
      <c r="O398" s="90">
        <v>75</v>
      </c>
      <c r="P398" s="89">
        <v>3</v>
      </c>
      <c r="Q398" s="89" t="s">
        <v>486</v>
      </c>
      <c r="R398" s="90">
        <v>1360</v>
      </c>
      <c r="S398" s="90">
        <v>4500</v>
      </c>
      <c r="T398" s="90">
        <v>1350</v>
      </c>
      <c r="U398" s="90">
        <v>1350</v>
      </c>
      <c r="V398" s="90">
        <v>1300</v>
      </c>
      <c r="W398" s="81">
        <v>2</v>
      </c>
      <c r="X398" s="82" t="s">
        <v>2014</v>
      </c>
      <c r="Y398" s="83" t="s">
        <v>27</v>
      </c>
      <c r="Z398" s="84">
        <v>6</v>
      </c>
      <c r="AA398" s="85" t="s">
        <v>266</v>
      </c>
      <c r="AB398" s="86"/>
      <c r="AC398" s="83"/>
      <c r="AD398" s="85"/>
      <c r="AE398" s="86"/>
      <c r="AF398" s="83"/>
      <c r="AG398" s="85"/>
      <c r="AH398" s="86"/>
      <c r="AI398" s="83"/>
      <c r="AJ398" s="85"/>
      <c r="AK398" s="86"/>
      <c r="AL398" s="87"/>
      <c r="AM398" s="88"/>
      <c r="AN398" s="88"/>
      <c r="AO398" s="230" t="str">
        <f t="shared" si="15"/>
        <v>3UNCERATKA090975</v>
      </c>
    </row>
    <row r="399" spans="1:41" x14ac:dyDescent="0.15">
      <c r="A399" s="80">
        <v>4114</v>
      </c>
      <c r="B399" s="89">
        <v>271</v>
      </c>
      <c r="C399" s="89">
        <v>35541</v>
      </c>
      <c r="D399" s="89" t="s">
        <v>32</v>
      </c>
      <c r="E399" s="89" t="s">
        <v>18</v>
      </c>
      <c r="F399" s="89" t="s">
        <v>12</v>
      </c>
      <c r="G399" s="89" t="str">
        <f t="shared" si="12"/>
        <v>3UNCERATKA07RX</v>
      </c>
      <c r="H399" s="89" t="s">
        <v>1662</v>
      </c>
      <c r="I399" s="89" t="s">
        <v>1550</v>
      </c>
      <c r="J399" s="89" t="s">
        <v>1552</v>
      </c>
      <c r="K399" s="89" t="s">
        <v>2348</v>
      </c>
      <c r="L399" s="89" t="s">
        <v>2349</v>
      </c>
      <c r="M399" s="89" t="str">
        <f t="shared" si="13"/>
        <v>3UNCERATKA07RX381335</v>
      </c>
      <c r="N399" s="89" t="str">
        <f t="shared" si="14"/>
        <v>3UNCERATKA07RX381330</v>
      </c>
      <c r="O399" s="90">
        <v>38</v>
      </c>
      <c r="P399" s="89">
        <v>3</v>
      </c>
      <c r="Q399" s="89" t="s">
        <v>1998</v>
      </c>
      <c r="R399" s="90">
        <v>1335</v>
      </c>
      <c r="S399" s="90">
        <v>12200</v>
      </c>
      <c r="T399" s="90">
        <v>1330</v>
      </c>
      <c r="U399" s="90">
        <v>1330</v>
      </c>
      <c r="V399" s="90">
        <v>6000</v>
      </c>
      <c r="W399" s="81">
        <v>2</v>
      </c>
      <c r="X399" s="82" t="s">
        <v>2014</v>
      </c>
      <c r="Y399" s="83" t="s">
        <v>487</v>
      </c>
      <c r="Z399" s="84">
        <v>6</v>
      </c>
      <c r="AA399" s="85" t="s">
        <v>266</v>
      </c>
      <c r="AB399" s="86">
        <v>1450</v>
      </c>
      <c r="AC399" s="83"/>
      <c r="AD399" s="85"/>
      <c r="AE399" s="86"/>
      <c r="AF399" s="83"/>
      <c r="AG399" s="85"/>
      <c r="AH399" s="86"/>
      <c r="AI399" s="83"/>
      <c r="AJ399" s="85"/>
      <c r="AK399" s="86"/>
      <c r="AL399" s="87"/>
      <c r="AM399" s="88"/>
      <c r="AN399" s="88"/>
      <c r="AO399" s="230" t="str">
        <f t="shared" si="15"/>
        <v>3UNCERATKA07RX38</v>
      </c>
    </row>
    <row r="400" spans="1:41" x14ac:dyDescent="0.15">
      <c r="A400" s="80">
        <v>4114</v>
      </c>
      <c r="B400" s="89">
        <v>271</v>
      </c>
      <c r="C400" s="89">
        <v>35541</v>
      </c>
      <c r="D400" s="89" t="s">
        <v>32</v>
      </c>
      <c r="E400" s="89" t="s">
        <v>18</v>
      </c>
      <c r="F400" s="89" t="s">
        <v>12</v>
      </c>
      <c r="G400" s="89" t="str">
        <f t="shared" si="12"/>
        <v>3UNCERATKA09RX</v>
      </c>
      <c r="H400" s="89" t="s">
        <v>1662</v>
      </c>
      <c r="I400" s="89" t="s">
        <v>1550</v>
      </c>
      <c r="J400" s="89" t="s">
        <v>1552</v>
      </c>
      <c r="K400" s="89" t="s">
        <v>2198</v>
      </c>
      <c r="L400" s="89" t="s">
        <v>2199</v>
      </c>
      <c r="M400" s="89" t="str">
        <f t="shared" si="13"/>
        <v>3UNCERATKA09RX381335</v>
      </c>
      <c r="N400" s="89" t="str">
        <f t="shared" si="14"/>
        <v>3UNCERATKA09RX381330</v>
      </c>
      <c r="O400" s="90">
        <v>38</v>
      </c>
      <c r="P400" s="89">
        <v>3</v>
      </c>
      <c r="Q400" s="89" t="s">
        <v>1998</v>
      </c>
      <c r="R400" s="90">
        <v>1335</v>
      </c>
      <c r="S400" s="90">
        <v>12200</v>
      </c>
      <c r="T400" s="90">
        <v>1330</v>
      </c>
      <c r="U400" s="90">
        <v>1330</v>
      </c>
      <c r="V400" s="90">
        <v>6000</v>
      </c>
      <c r="W400" s="81">
        <v>2</v>
      </c>
      <c r="X400" s="82" t="s">
        <v>2014</v>
      </c>
      <c r="Y400" s="83" t="s">
        <v>487</v>
      </c>
      <c r="Z400" s="84">
        <v>6</v>
      </c>
      <c r="AA400" s="85" t="s">
        <v>266</v>
      </c>
      <c r="AB400" s="86">
        <v>1450</v>
      </c>
      <c r="AC400" s="83"/>
      <c r="AD400" s="85"/>
      <c r="AE400" s="86"/>
      <c r="AF400" s="83"/>
      <c r="AG400" s="85"/>
      <c r="AH400" s="86"/>
      <c r="AI400" s="83"/>
      <c r="AJ400" s="85"/>
      <c r="AK400" s="86"/>
      <c r="AL400" s="87"/>
      <c r="AM400" s="88"/>
      <c r="AN400" s="88"/>
      <c r="AO400" s="230" t="str">
        <f t="shared" si="15"/>
        <v>3UNCERATKA09RX38</v>
      </c>
    </row>
    <row r="401" spans="1:41" x14ac:dyDescent="0.15">
      <c r="A401" s="80">
        <v>4114</v>
      </c>
      <c r="B401" s="89">
        <v>271</v>
      </c>
      <c r="C401" s="89">
        <v>35541</v>
      </c>
      <c r="D401" s="89" t="s">
        <v>32</v>
      </c>
      <c r="E401" s="89" t="s">
        <v>18</v>
      </c>
      <c r="F401" s="89" t="s">
        <v>12</v>
      </c>
      <c r="G401" s="89" t="str">
        <f t="shared" si="12"/>
        <v>3UNCERATKA07X</v>
      </c>
      <c r="H401" s="89" t="s">
        <v>1662</v>
      </c>
      <c r="I401" s="89" t="s">
        <v>1550</v>
      </c>
      <c r="J401" s="89" t="s">
        <v>1552</v>
      </c>
      <c r="K401" s="89" t="s">
        <v>2200</v>
      </c>
      <c r="L401" s="89" t="s">
        <v>2201</v>
      </c>
      <c r="M401" s="89" t="str">
        <f t="shared" si="13"/>
        <v>3UNCERATKA07X751335</v>
      </c>
      <c r="N401" s="89" t="str">
        <f t="shared" si="14"/>
        <v>3UNCERATKA07X751330</v>
      </c>
      <c r="O401" s="90">
        <v>75</v>
      </c>
      <c r="P401" s="89">
        <v>3</v>
      </c>
      <c r="Q401" s="89" t="s">
        <v>486</v>
      </c>
      <c r="R401" s="90">
        <v>1335</v>
      </c>
      <c r="S401" s="90">
        <v>4200</v>
      </c>
      <c r="T401" s="90">
        <v>1330</v>
      </c>
      <c r="U401" s="90">
        <v>1330</v>
      </c>
      <c r="V401" s="90">
        <v>4100</v>
      </c>
      <c r="W401" s="81">
        <v>2</v>
      </c>
      <c r="X401" s="82" t="s">
        <v>2014</v>
      </c>
      <c r="Y401" s="83" t="s">
        <v>487</v>
      </c>
      <c r="Z401" s="84">
        <v>6</v>
      </c>
      <c r="AA401" s="85" t="s">
        <v>266</v>
      </c>
      <c r="AB401" s="86">
        <v>1450</v>
      </c>
      <c r="AC401" s="83"/>
      <c r="AD401" s="85"/>
      <c r="AE401" s="86"/>
      <c r="AF401" s="83"/>
      <c r="AG401" s="85"/>
      <c r="AH401" s="86"/>
      <c r="AI401" s="83"/>
      <c r="AJ401" s="85"/>
      <c r="AK401" s="86"/>
      <c r="AL401" s="87"/>
      <c r="AM401" s="88"/>
      <c r="AN401" s="88"/>
      <c r="AO401" s="230" t="str">
        <f t="shared" si="15"/>
        <v>3UNCERATKA07X75</v>
      </c>
    </row>
    <row r="402" spans="1:41" x14ac:dyDescent="0.15">
      <c r="A402" s="80">
        <v>4114</v>
      </c>
      <c r="B402" s="89">
        <v>271</v>
      </c>
      <c r="C402" s="89">
        <v>7361</v>
      </c>
      <c r="D402" s="89" t="s">
        <v>280</v>
      </c>
      <c r="E402" s="89" t="s">
        <v>18</v>
      </c>
      <c r="F402" s="89" t="s">
        <v>184</v>
      </c>
      <c r="G402" s="89" t="str">
        <f t="shared" si="12"/>
        <v>3UNCERATKA07X</v>
      </c>
      <c r="H402" s="89" t="s">
        <v>1662</v>
      </c>
      <c r="I402" s="89" t="s">
        <v>1550</v>
      </c>
      <c r="J402" s="89" t="s">
        <v>1552</v>
      </c>
      <c r="K402" s="89" t="s">
        <v>2200</v>
      </c>
      <c r="L402" s="89" t="s">
        <v>2202</v>
      </c>
      <c r="M402" s="89" t="str">
        <f t="shared" si="13"/>
        <v>3UNCERATKA07X501110</v>
      </c>
      <c r="N402" s="89" t="str">
        <f t="shared" si="14"/>
        <v>3UNCERATKA07X501100</v>
      </c>
      <c r="O402" s="90">
        <v>50</v>
      </c>
      <c r="P402" s="89">
        <v>3</v>
      </c>
      <c r="Q402" s="89" t="s">
        <v>486</v>
      </c>
      <c r="R402" s="90">
        <v>1110</v>
      </c>
      <c r="S402" s="90">
        <v>4200</v>
      </c>
      <c r="T402" s="90">
        <v>1100</v>
      </c>
      <c r="U402" s="90">
        <v>1100</v>
      </c>
      <c r="V402" s="90">
        <v>4000</v>
      </c>
      <c r="W402" s="81">
        <v>2</v>
      </c>
      <c r="X402" s="82" t="s">
        <v>2014</v>
      </c>
      <c r="Y402" s="83" t="s">
        <v>487</v>
      </c>
      <c r="Z402" s="84">
        <v>6</v>
      </c>
      <c r="AA402" s="85" t="s">
        <v>266</v>
      </c>
      <c r="AB402" s="86">
        <v>1170</v>
      </c>
      <c r="AC402" s="83"/>
      <c r="AD402" s="85"/>
      <c r="AE402" s="86"/>
      <c r="AF402" s="83"/>
      <c r="AG402" s="85"/>
      <c r="AH402" s="86"/>
      <c r="AI402" s="83"/>
      <c r="AJ402" s="85"/>
      <c r="AK402" s="86"/>
      <c r="AL402" s="87"/>
      <c r="AM402" s="88"/>
      <c r="AN402" s="88"/>
      <c r="AO402" s="230" t="str">
        <f t="shared" si="15"/>
        <v>3UNCERATKA07X50</v>
      </c>
    </row>
    <row r="403" spans="1:41" x14ac:dyDescent="0.15">
      <c r="A403" s="80">
        <v>4114</v>
      </c>
      <c r="B403" s="89">
        <v>271</v>
      </c>
      <c r="C403" s="89">
        <v>7361</v>
      </c>
      <c r="D403" s="89" t="s">
        <v>280</v>
      </c>
      <c r="E403" s="89" t="s">
        <v>18</v>
      </c>
      <c r="F403" s="89" t="s">
        <v>184</v>
      </c>
      <c r="G403" s="89" t="str">
        <f t="shared" si="12"/>
        <v>330UNCERABX8AX</v>
      </c>
      <c r="H403" s="89" t="s">
        <v>1662</v>
      </c>
      <c r="I403" s="89" t="s">
        <v>1550</v>
      </c>
      <c r="J403" s="89" t="s">
        <v>1552</v>
      </c>
      <c r="K403" s="89" t="s">
        <v>2203</v>
      </c>
      <c r="L403" s="89" t="s">
        <v>2204</v>
      </c>
      <c r="M403" s="89" t="str">
        <f t="shared" si="13"/>
        <v>330UNCERABX8AX751110</v>
      </c>
      <c r="N403" s="89" t="str">
        <f t="shared" si="14"/>
        <v>330UNCERABX8AX751100</v>
      </c>
      <c r="O403" s="90">
        <v>75</v>
      </c>
      <c r="P403" s="89">
        <v>330</v>
      </c>
      <c r="Q403" s="89" t="s">
        <v>486</v>
      </c>
      <c r="R403" s="90">
        <v>1110</v>
      </c>
      <c r="S403" s="90">
        <v>4200</v>
      </c>
      <c r="T403" s="90">
        <v>1100</v>
      </c>
      <c r="U403" s="90">
        <v>1100</v>
      </c>
      <c r="V403" s="90">
        <v>4000</v>
      </c>
      <c r="W403" s="81">
        <v>2</v>
      </c>
      <c r="X403" s="82" t="s">
        <v>2014</v>
      </c>
      <c r="Y403" s="83" t="s">
        <v>487</v>
      </c>
      <c r="Z403" s="84">
        <v>6</v>
      </c>
      <c r="AA403" s="85" t="s">
        <v>266</v>
      </c>
      <c r="AB403" s="86">
        <v>1170</v>
      </c>
      <c r="AC403" s="83"/>
      <c r="AD403" s="85"/>
      <c r="AE403" s="86"/>
      <c r="AF403" s="83"/>
      <c r="AG403" s="85"/>
      <c r="AH403" s="86"/>
      <c r="AI403" s="83"/>
      <c r="AJ403" s="85"/>
      <c r="AK403" s="86"/>
      <c r="AL403" s="87"/>
      <c r="AM403" s="88"/>
      <c r="AN403" s="88"/>
      <c r="AO403" s="230" t="str">
        <f t="shared" si="15"/>
        <v>330UNCERABX8AX75</v>
      </c>
    </row>
    <row r="404" spans="1:41" x14ac:dyDescent="0.15">
      <c r="A404" s="80">
        <v>4114</v>
      </c>
      <c r="B404" s="89">
        <v>272</v>
      </c>
      <c r="C404" s="89">
        <v>36882</v>
      </c>
      <c r="D404" s="89" t="s">
        <v>61</v>
      </c>
      <c r="E404" s="89" t="s">
        <v>45</v>
      </c>
      <c r="F404" s="89" t="s">
        <v>26</v>
      </c>
      <c r="G404" s="89" t="str">
        <f t="shared" si="12"/>
        <v>3UNCERABX8A37</v>
      </c>
      <c r="H404" s="89" t="s">
        <v>1662</v>
      </c>
      <c r="I404" s="89" t="s">
        <v>1550</v>
      </c>
      <c r="J404" s="89" t="s">
        <v>1552</v>
      </c>
      <c r="K404" s="89" t="s">
        <v>2205</v>
      </c>
      <c r="L404" s="89" t="s">
        <v>2206</v>
      </c>
      <c r="M404" s="89" t="str">
        <f t="shared" si="13"/>
        <v>3UNCERABX8A37751060</v>
      </c>
      <c r="N404" s="89" t="str">
        <f t="shared" si="14"/>
        <v>3UNCERABX8A37751050</v>
      </c>
      <c r="O404" s="90">
        <v>75</v>
      </c>
      <c r="P404" s="89">
        <v>3</v>
      </c>
      <c r="Q404" s="89" t="s">
        <v>2010</v>
      </c>
      <c r="R404" s="90">
        <v>1060</v>
      </c>
      <c r="S404" s="90">
        <v>6200</v>
      </c>
      <c r="T404" s="90">
        <v>1050</v>
      </c>
      <c r="U404" s="90">
        <v>1050</v>
      </c>
      <c r="V404" s="90">
        <v>6000</v>
      </c>
      <c r="W404" s="81">
        <v>2</v>
      </c>
      <c r="X404" s="82" t="s">
        <v>2014</v>
      </c>
      <c r="Y404" s="83" t="s">
        <v>487</v>
      </c>
      <c r="Z404" s="84">
        <v>6</v>
      </c>
      <c r="AA404" s="85" t="s">
        <v>266</v>
      </c>
      <c r="AB404" s="86">
        <v>1250</v>
      </c>
      <c r="AC404" s="83"/>
      <c r="AD404" s="85"/>
      <c r="AE404" s="86"/>
      <c r="AF404" s="83"/>
      <c r="AG404" s="85"/>
      <c r="AH404" s="86"/>
      <c r="AI404" s="83"/>
      <c r="AJ404" s="85"/>
      <c r="AK404" s="86"/>
      <c r="AL404" s="87"/>
      <c r="AM404" s="88"/>
      <c r="AN404" s="88"/>
      <c r="AO404" s="230" t="str">
        <f t="shared" si="15"/>
        <v>3UNCERABX8A3775</v>
      </c>
    </row>
    <row r="405" spans="1:41" x14ac:dyDescent="0.15">
      <c r="A405" s="80">
        <v>4114</v>
      </c>
      <c r="B405" s="89">
        <v>272</v>
      </c>
      <c r="C405" s="89">
        <v>36882</v>
      </c>
      <c r="D405" s="89" t="s">
        <v>61</v>
      </c>
      <c r="E405" s="89" t="s">
        <v>45</v>
      </c>
      <c r="F405" s="89" t="s">
        <v>26</v>
      </c>
      <c r="G405" s="89" t="str">
        <f t="shared" si="12"/>
        <v>3UNCERAJBX8AB</v>
      </c>
      <c r="H405" s="89" t="s">
        <v>1662</v>
      </c>
      <c r="I405" s="89" t="s">
        <v>1550</v>
      </c>
      <c r="J405" s="89" t="s">
        <v>1552</v>
      </c>
      <c r="K405" s="89" t="s">
        <v>2207</v>
      </c>
      <c r="L405" s="89" t="s">
        <v>2208</v>
      </c>
      <c r="M405" s="89" t="str">
        <f t="shared" si="13"/>
        <v>3UNCERAJBX8AB751060</v>
      </c>
      <c r="N405" s="89" t="str">
        <f t="shared" si="14"/>
        <v>3UNCERAJBX8AB751050</v>
      </c>
      <c r="O405" s="90">
        <v>75</v>
      </c>
      <c r="P405" s="89">
        <v>3</v>
      </c>
      <c r="Q405" s="89" t="s">
        <v>275</v>
      </c>
      <c r="R405" s="90">
        <v>1060</v>
      </c>
      <c r="S405" s="90">
        <v>6000</v>
      </c>
      <c r="T405" s="90">
        <v>1050</v>
      </c>
      <c r="U405" s="90">
        <v>1050</v>
      </c>
      <c r="V405" s="90">
        <v>5800</v>
      </c>
      <c r="W405" s="81">
        <v>2</v>
      </c>
      <c r="X405" s="82" t="s">
        <v>2014</v>
      </c>
      <c r="Y405" s="83" t="s">
        <v>487</v>
      </c>
      <c r="Z405" s="84">
        <v>6</v>
      </c>
      <c r="AA405" s="85" t="s">
        <v>266</v>
      </c>
      <c r="AB405" s="86">
        <v>1250</v>
      </c>
      <c r="AC405" s="83"/>
      <c r="AD405" s="85"/>
      <c r="AE405" s="86"/>
      <c r="AF405" s="83"/>
      <c r="AG405" s="85"/>
      <c r="AH405" s="86"/>
      <c r="AI405" s="83"/>
      <c r="AJ405" s="85"/>
      <c r="AK405" s="86"/>
      <c r="AL405" s="87"/>
      <c r="AM405" s="88"/>
      <c r="AN405" s="88"/>
      <c r="AO405" s="230" t="str">
        <f t="shared" si="15"/>
        <v>3UNCERAJBX8AB75</v>
      </c>
    </row>
    <row r="406" spans="1:41" x14ac:dyDescent="0.15">
      <c r="A406" s="80">
        <v>4114</v>
      </c>
      <c r="B406" s="89">
        <v>277</v>
      </c>
      <c r="C406" s="89"/>
      <c r="D406" s="89" t="s">
        <v>575</v>
      </c>
      <c r="E406" s="89" t="s">
        <v>2133</v>
      </c>
      <c r="F406" s="89"/>
      <c r="G406" s="89" t="str">
        <f t="shared" si="12"/>
        <v>3UYCERAJBX9AB</v>
      </c>
      <c r="H406" s="89" t="s">
        <v>1662</v>
      </c>
      <c r="I406" s="89" t="s">
        <v>2036</v>
      </c>
      <c r="J406" s="89" t="s">
        <v>1552</v>
      </c>
      <c r="K406" s="89" t="s">
        <v>2209</v>
      </c>
      <c r="L406" s="89" t="s">
        <v>2210</v>
      </c>
      <c r="M406" s="89" t="str">
        <f t="shared" si="13"/>
        <v>3UYCERAJBX9AB501595</v>
      </c>
      <c r="N406" s="89" t="str">
        <f t="shared" si="14"/>
        <v>3UYCERAJBX9AB50600</v>
      </c>
      <c r="O406" s="90">
        <v>50</v>
      </c>
      <c r="P406" s="89">
        <v>3</v>
      </c>
      <c r="Q406" s="89" t="s">
        <v>275</v>
      </c>
      <c r="R406" s="90">
        <v>1595</v>
      </c>
      <c r="S406" s="90">
        <v>6200</v>
      </c>
      <c r="T406" s="90">
        <v>600</v>
      </c>
      <c r="U406" s="90">
        <v>600</v>
      </c>
      <c r="V406" s="90">
        <v>1000</v>
      </c>
      <c r="W406" s="81">
        <v>2</v>
      </c>
      <c r="X406" s="82" t="s">
        <v>2014</v>
      </c>
      <c r="Y406" s="83" t="s">
        <v>2015</v>
      </c>
      <c r="Z406" s="84">
        <v>6</v>
      </c>
      <c r="AA406" s="85" t="s">
        <v>266</v>
      </c>
      <c r="AB406" s="86">
        <v>1700</v>
      </c>
      <c r="AC406" s="83"/>
      <c r="AD406" s="85"/>
      <c r="AE406" s="86"/>
      <c r="AF406" s="83"/>
      <c r="AG406" s="85"/>
      <c r="AH406" s="86"/>
      <c r="AI406" s="83"/>
      <c r="AJ406" s="85"/>
      <c r="AK406" s="86"/>
      <c r="AL406" s="87"/>
      <c r="AM406" s="88"/>
      <c r="AN406" s="88"/>
      <c r="AO406" s="230" t="str">
        <f t="shared" si="15"/>
        <v>3UYCERAJBX9AB50</v>
      </c>
    </row>
    <row r="407" spans="1:41" x14ac:dyDescent="0.15">
      <c r="A407" s="80">
        <v>4114</v>
      </c>
      <c r="B407" s="89">
        <v>271</v>
      </c>
      <c r="C407" s="89">
        <v>35541</v>
      </c>
      <c r="D407" s="89" t="s">
        <v>32</v>
      </c>
      <c r="E407" s="89" t="s">
        <v>18</v>
      </c>
      <c r="F407" s="89" t="s">
        <v>12</v>
      </c>
      <c r="G407" s="89" t="str">
        <f t="shared" si="12"/>
        <v>3UNCERABX8E26</v>
      </c>
      <c r="H407" s="89" t="s">
        <v>1662</v>
      </c>
      <c r="I407" s="89" t="s">
        <v>1550</v>
      </c>
      <c r="J407" s="89" t="s">
        <v>1552</v>
      </c>
      <c r="K407" s="89" t="s">
        <v>2211</v>
      </c>
      <c r="L407" s="89" t="s">
        <v>2212</v>
      </c>
      <c r="M407" s="89" t="str">
        <f t="shared" si="13"/>
        <v>3UNCERABX8E26381340</v>
      </c>
      <c r="N407" s="89" t="str">
        <f t="shared" si="14"/>
        <v>3UNCERABX8E26381330</v>
      </c>
      <c r="O407" s="90">
        <v>38</v>
      </c>
      <c r="P407" s="89">
        <v>3</v>
      </c>
      <c r="Q407" s="89" t="s">
        <v>2016</v>
      </c>
      <c r="R407" s="90">
        <v>1340</v>
      </c>
      <c r="S407" s="90">
        <v>12200</v>
      </c>
      <c r="T407" s="90">
        <v>1330</v>
      </c>
      <c r="U407" s="90">
        <v>1330</v>
      </c>
      <c r="V407" s="90">
        <v>6000</v>
      </c>
      <c r="W407" s="81">
        <v>2</v>
      </c>
      <c r="X407" s="82" t="s">
        <v>2014</v>
      </c>
      <c r="Y407" s="83" t="s">
        <v>487</v>
      </c>
      <c r="Z407" s="84">
        <v>6</v>
      </c>
      <c r="AA407" s="85" t="s">
        <v>266</v>
      </c>
      <c r="AB407" s="86"/>
      <c r="AC407" s="83"/>
      <c r="AD407" s="85"/>
      <c r="AE407" s="86"/>
      <c r="AF407" s="83"/>
      <c r="AG407" s="85"/>
      <c r="AH407" s="86"/>
      <c r="AI407" s="83"/>
      <c r="AJ407" s="85"/>
      <c r="AK407" s="86"/>
      <c r="AL407" s="87"/>
      <c r="AM407" s="88"/>
      <c r="AN407" s="88"/>
      <c r="AO407" s="230" t="str">
        <f t="shared" si="15"/>
        <v>3UNCERABX8E2638</v>
      </c>
    </row>
    <row r="408" spans="1:41" x14ac:dyDescent="0.15">
      <c r="A408" s="80">
        <v>4114</v>
      </c>
      <c r="B408" s="89">
        <v>271</v>
      </c>
      <c r="C408" s="89">
        <v>50713</v>
      </c>
      <c r="D408" s="89" t="s">
        <v>83</v>
      </c>
      <c r="E408" s="89" t="s">
        <v>18</v>
      </c>
      <c r="F408" s="89" t="s">
        <v>12</v>
      </c>
      <c r="G408" s="89" t="str">
        <f t="shared" si="12"/>
        <v>3UNCERABKE26</v>
      </c>
      <c r="H408" s="89" t="s">
        <v>1662</v>
      </c>
      <c r="I408" s="89" t="s">
        <v>1550</v>
      </c>
      <c r="J408" s="89" t="s">
        <v>1552</v>
      </c>
      <c r="K408" s="89" t="s">
        <v>2213</v>
      </c>
      <c r="L408" s="89" t="s">
        <v>2214</v>
      </c>
      <c r="M408" s="89" t="str">
        <f t="shared" si="13"/>
        <v>3UNCERABKE26251330</v>
      </c>
      <c r="N408" s="89" t="str">
        <f t="shared" si="14"/>
        <v>3UNCERABKE2625650</v>
      </c>
      <c r="O408" s="90">
        <v>25</v>
      </c>
      <c r="P408" s="89">
        <v>3</v>
      </c>
      <c r="Q408" s="89" t="s">
        <v>2016</v>
      </c>
      <c r="R408" s="90">
        <v>1330</v>
      </c>
      <c r="S408" s="90">
        <v>6000</v>
      </c>
      <c r="T408" s="90">
        <v>650</v>
      </c>
      <c r="U408" s="90">
        <v>650</v>
      </c>
      <c r="V408" s="90">
        <v>1000</v>
      </c>
      <c r="W408" s="81">
        <v>2</v>
      </c>
      <c r="X408" s="82" t="s">
        <v>2014</v>
      </c>
      <c r="Y408" s="83" t="s">
        <v>295</v>
      </c>
      <c r="Z408" s="84">
        <v>6</v>
      </c>
      <c r="AA408" s="85" t="s">
        <v>266</v>
      </c>
      <c r="AB408" s="86">
        <v>1450</v>
      </c>
      <c r="AC408" s="84">
        <v>3</v>
      </c>
      <c r="AD408" s="85" t="s">
        <v>39</v>
      </c>
      <c r="AE408" s="86" t="s">
        <v>2027</v>
      </c>
      <c r="AF408" s="83"/>
      <c r="AG408" s="85"/>
      <c r="AH408" s="86"/>
      <c r="AI408" s="83"/>
      <c r="AJ408" s="85"/>
      <c r="AK408" s="86"/>
      <c r="AL408" s="87"/>
      <c r="AM408" s="88"/>
      <c r="AN408" s="88"/>
      <c r="AO408" s="230" t="str">
        <f t="shared" si="15"/>
        <v>3UNCERABKE2625</v>
      </c>
    </row>
    <row r="409" spans="1:41" x14ac:dyDescent="0.15">
      <c r="A409" s="80">
        <v>4114</v>
      </c>
      <c r="B409" s="89">
        <v>271</v>
      </c>
      <c r="C409" s="89">
        <v>35541</v>
      </c>
      <c r="D409" s="89" t="s">
        <v>32</v>
      </c>
      <c r="E409" s="89" t="s">
        <v>18</v>
      </c>
      <c r="F409" s="89" t="s">
        <v>12</v>
      </c>
      <c r="G409" s="89" t="str">
        <f t="shared" si="12"/>
        <v>3UNCERABKE26</v>
      </c>
      <c r="H409" s="89" t="s">
        <v>1662</v>
      </c>
      <c r="I409" s="89" t="s">
        <v>1550</v>
      </c>
      <c r="J409" s="89" t="s">
        <v>1552</v>
      </c>
      <c r="K409" s="89" t="s">
        <v>2213</v>
      </c>
      <c r="L409" s="89" t="s">
        <v>2214</v>
      </c>
      <c r="M409" s="89" t="str">
        <f t="shared" si="13"/>
        <v>3UNCERABKE26251340</v>
      </c>
      <c r="N409" s="89" t="str">
        <f t="shared" si="14"/>
        <v>3UNCERABKE26251330</v>
      </c>
      <c r="O409" s="90">
        <v>25</v>
      </c>
      <c r="P409" s="89">
        <v>3</v>
      </c>
      <c r="Q409" s="89" t="s">
        <v>2016</v>
      </c>
      <c r="R409" s="90">
        <v>1340</v>
      </c>
      <c r="S409" s="90">
        <v>12300</v>
      </c>
      <c r="T409" s="90">
        <v>1330</v>
      </c>
      <c r="U409" s="90">
        <v>1330</v>
      </c>
      <c r="V409" s="90">
        <v>6000</v>
      </c>
      <c r="W409" s="81">
        <v>2</v>
      </c>
      <c r="X409" s="82" t="s">
        <v>2014</v>
      </c>
      <c r="Y409" s="83" t="s">
        <v>487</v>
      </c>
      <c r="Z409" s="84">
        <v>6</v>
      </c>
      <c r="AA409" s="85" t="s">
        <v>266</v>
      </c>
      <c r="AB409" s="86"/>
      <c r="AC409" s="83"/>
      <c r="AD409" s="85"/>
      <c r="AE409" s="86"/>
      <c r="AF409" s="83"/>
      <c r="AG409" s="85"/>
      <c r="AH409" s="86"/>
      <c r="AI409" s="83"/>
      <c r="AJ409" s="85"/>
      <c r="AK409" s="86"/>
      <c r="AL409" s="87"/>
      <c r="AM409" s="88"/>
      <c r="AN409" s="88"/>
      <c r="AO409" s="230" t="str">
        <f t="shared" si="15"/>
        <v>3UNCERABKE2625</v>
      </c>
    </row>
    <row r="410" spans="1:41" x14ac:dyDescent="0.15">
      <c r="A410" s="80">
        <v>4114</v>
      </c>
      <c r="B410" s="89">
        <v>274</v>
      </c>
      <c r="C410" s="89">
        <v>36888</v>
      </c>
      <c r="D410" s="89" t="s">
        <v>65</v>
      </c>
      <c r="E410" s="89" t="s">
        <v>66</v>
      </c>
      <c r="F410" s="89"/>
      <c r="G410" s="89" t="str">
        <f t="shared" si="12"/>
        <v>3UNCERABX8APF</v>
      </c>
      <c r="H410" s="89" t="s">
        <v>452</v>
      </c>
      <c r="I410" s="89" t="s">
        <v>470</v>
      </c>
      <c r="J410" s="89" t="s">
        <v>1618</v>
      </c>
      <c r="K410" s="89" t="s">
        <v>2215</v>
      </c>
      <c r="L410" s="89" t="s">
        <v>2216</v>
      </c>
      <c r="M410" s="89" t="str">
        <f t="shared" si="13"/>
        <v>3UNCERABX8APF501330</v>
      </c>
      <c r="N410" s="89" t="str">
        <f t="shared" si="14"/>
        <v>3UNCERABX8APF501310</v>
      </c>
      <c r="O410" s="90">
        <v>50</v>
      </c>
      <c r="P410" s="89">
        <v>3</v>
      </c>
      <c r="Q410" s="89" t="s">
        <v>504</v>
      </c>
      <c r="R410" s="90">
        <v>1330</v>
      </c>
      <c r="S410" s="90">
        <v>6251</v>
      </c>
      <c r="T410" s="90">
        <v>1310</v>
      </c>
      <c r="U410" s="90">
        <v>1310</v>
      </c>
      <c r="V410" s="90">
        <v>5800</v>
      </c>
      <c r="W410" s="81">
        <v>2</v>
      </c>
      <c r="X410" s="82" t="s">
        <v>505</v>
      </c>
      <c r="Y410" s="83" t="s">
        <v>506</v>
      </c>
      <c r="Z410" s="84">
        <v>6</v>
      </c>
      <c r="AA410" s="85" t="s">
        <v>266</v>
      </c>
      <c r="AB410" s="86"/>
      <c r="AC410" s="83"/>
      <c r="AD410" s="85"/>
      <c r="AE410" s="86"/>
      <c r="AF410" s="83"/>
      <c r="AG410" s="85"/>
      <c r="AH410" s="86"/>
      <c r="AI410" s="83"/>
      <c r="AJ410" s="85"/>
      <c r="AK410" s="86"/>
      <c r="AL410" s="87"/>
      <c r="AM410" s="88"/>
      <c r="AN410" s="88"/>
      <c r="AO410" s="230" t="str">
        <f t="shared" si="15"/>
        <v>3UNCERABX8APF50</v>
      </c>
    </row>
    <row r="411" spans="1:41" x14ac:dyDescent="0.15">
      <c r="A411" s="80">
        <v>4114</v>
      </c>
      <c r="B411" s="89">
        <v>271</v>
      </c>
      <c r="C411" s="89">
        <v>35541</v>
      </c>
      <c r="D411" s="89" t="s">
        <v>32</v>
      </c>
      <c r="E411" s="89" t="s">
        <v>18</v>
      </c>
      <c r="F411" s="89" t="s">
        <v>12</v>
      </c>
      <c r="G411" s="89" t="str">
        <f t="shared" si="12"/>
        <v>3UNCERABX8AX</v>
      </c>
      <c r="H411" s="89" t="s">
        <v>452</v>
      </c>
      <c r="I411" s="89" t="s">
        <v>470</v>
      </c>
      <c r="J411" s="89" t="s">
        <v>1618</v>
      </c>
      <c r="K411" s="89" t="s">
        <v>2217</v>
      </c>
      <c r="L411" s="89" t="s">
        <v>2218</v>
      </c>
      <c r="M411" s="89" t="str">
        <f t="shared" si="13"/>
        <v>3UNCERABX8AX751490</v>
      </c>
      <c r="N411" s="89" t="str">
        <f t="shared" si="14"/>
        <v>3UNCERABX8AX751485</v>
      </c>
      <c r="O411" s="90">
        <v>75</v>
      </c>
      <c r="P411" s="89">
        <v>3</v>
      </c>
      <c r="Q411" s="89" t="s">
        <v>2028</v>
      </c>
      <c r="R411" s="90">
        <v>1490</v>
      </c>
      <c r="S411" s="90">
        <v>6000</v>
      </c>
      <c r="T411" s="90">
        <v>1485</v>
      </c>
      <c r="U411" s="90">
        <v>1485</v>
      </c>
      <c r="V411" s="90">
        <v>5800</v>
      </c>
      <c r="W411" s="81">
        <v>2</v>
      </c>
      <c r="X411" s="82" t="s">
        <v>505</v>
      </c>
      <c r="Y411" s="83" t="s">
        <v>506</v>
      </c>
      <c r="Z411" s="84">
        <v>6</v>
      </c>
      <c r="AA411" s="85" t="s">
        <v>266</v>
      </c>
      <c r="AB411" s="86">
        <v>1600</v>
      </c>
      <c r="AC411" s="83"/>
      <c r="AD411" s="85"/>
      <c r="AE411" s="86"/>
      <c r="AF411" s="83"/>
      <c r="AG411" s="85"/>
      <c r="AH411" s="86"/>
      <c r="AI411" s="83"/>
      <c r="AJ411" s="85"/>
      <c r="AK411" s="86"/>
      <c r="AL411" s="87"/>
      <c r="AM411" s="88"/>
      <c r="AN411" s="88"/>
      <c r="AO411" s="230" t="str">
        <f t="shared" si="15"/>
        <v>3UNCERABX8AX75</v>
      </c>
    </row>
    <row r="412" spans="1:41" x14ac:dyDescent="0.15">
      <c r="A412" s="80">
        <v>4114</v>
      </c>
      <c r="B412" s="89">
        <v>272</v>
      </c>
      <c r="C412" s="89">
        <v>36882</v>
      </c>
      <c r="D412" s="89" t="s">
        <v>61</v>
      </c>
      <c r="E412" s="89" t="s">
        <v>45</v>
      </c>
      <c r="F412" s="89" t="s">
        <v>26</v>
      </c>
      <c r="G412" s="89" t="str">
        <f t="shared" si="12"/>
        <v>3UNCERABX8G07</v>
      </c>
      <c r="H412" s="89" t="s">
        <v>1662</v>
      </c>
      <c r="I412" s="89" t="s">
        <v>1550</v>
      </c>
      <c r="J412" s="89" t="s">
        <v>1552</v>
      </c>
      <c r="K412" s="89" t="s">
        <v>2219</v>
      </c>
      <c r="L412" s="89" t="s">
        <v>2220</v>
      </c>
      <c r="M412" s="89" t="str">
        <f t="shared" si="13"/>
        <v>3UNCERABX8G07751100</v>
      </c>
      <c r="N412" s="89" t="str">
        <f t="shared" si="14"/>
        <v>3UNCERABX8G07751090</v>
      </c>
      <c r="O412" s="90">
        <v>75</v>
      </c>
      <c r="P412" s="89">
        <v>3</v>
      </c>
      <c r="Q412" s="89" t="s">
        <v>578</v>
      </c>
      <c r="R412" s="90">
        <v>1100</v>
      </c>
      <c r="S412" s="90">
        <v>4400</v>
      </c>
      <c r="T412" s="90">
        <v>1090</v>
      </c>
      <c r="U412" s="90">
        <v>1090</v>
      </c>
      <c r="V412" s="90">
        <v>1000</v>
      </c>
      <c r="W412" s="81">
        <v>2</v>
      </c>
      <c r="X412" s="82" t="s">
        <v>2014</v>
      </c>
      <c r="Y412" s="83" t="s">
        <v>487</v>
      </c>
      <c r="Z412" s="84">
        <v>6</v>
      </c>
      <c r="AA412" s="85" t="s">
        <v>266</v>
      </c>
      <c r="AB412" s="86">
        <v>1450</v>
      </c>
      <c r="AC412" s="83"/>
      <c r="AD412" s="85"/>
      <c r="AE412" s="86"/>
      <c r="AF412" s="83"/>
      <c r="AG412" s="85"/>
      <c r="AH412" s="86"/>
      <c r="AI412" s="83"/>
      <c r="AJ412" s="85"/>
      <c r="AK412" s="86"/>
      <c r="AL412" s="87"/>
      <c r="AM412" s="88"/>
      <c r="AN412" s="88"/>
      <c r="AO412" s="230" t="str">
        <f t="shared" si="15"/>
        <v>3UNCERABX8G0775</v>
      </c>
    </row>
    <row r="413" spans="1:41" x14ac:dyDescent="0.15">
      <c r="A413" s="80">
        <v>4114</v>
      </c>
      <c r="B413" s="89">
        <v>272</v>
      </c>
      <c r="C413" s="89">
        <v>36882</v>
      </c>
      <c r="D413" s="89" t="s">
        <v>61</v>
      </c>
      <c r="E413" s="89" t="s">
        <v>45</v>
      </c>
      <c r="F413" s="89" t="s">
        <v>26</v>
      </c>
      <c r="G413" s="89" t="str">
        <f t="shared" si="12"/>
        <v>3UNCERATKG0707</v>
      </c>
      <c r="H413" s="89" t="s">
        <v>1662</v>
      </c>
      <c r="I413" s="89" t="s">
        <v>1550</v>
      </c>
      <c r="J413" s="89" t="s">
        <v>1552</v>
      </c>
      <c r="K413" s="89" t="s">
        <v>2221</v>
      </c>
      <c r="L413" s="89" t="s">
        <v>2222</v>
      </c>
      <c r="M413" s="89" t="str">
        <f t="shared" si="13"/>
        <v>3UNCERATKG0707751100</v>
      </c>
      <c r="N413" s="89" t="str">
        <f t="shared" si="14"/>
        <v>3UNCERATKG0707751090</v>
      </c>
      <c r="O413" s="90">
        <v>75</v>
      </c>
      <c r="P413" s="89">
        <v>3</v>
      </c>
      <c r="Q413" s="89" t="s">
        <v>578</v>
      </c>
      <c r="R413" s="90">
        <v>1100</v>
      </c>
      <c r="S413" s="90">
        <v>4400</v>
      </c>
      <c r="T413" s="90">
        <v>1090</v>
      </c>
      <c r="U413" s="90">
        <v>1090</v>
      </c>
      <c r="V413" s="90">
        <v>1000</v>
      </c>
      <c r="W413" s="81">
        <v>2</v>
      </c>
      <c r="X413" s="82" t="s">
        <v>2014</v>
      </c>
      <c r="Y413" s="83" t="s">
        <v>487</v>
      </c>
      <c r="Z413" s="84">
        <v>6</v>
      </c>
      <c r="AA413" s="85" t="s">
        <v>266</v>
      </c>
      <c r="AB413" s="86">
        <v>1450</v>
      </c>
      <c r="AC413" s="83"/>
      <c r="AD413" s="85"/>
      <c r="AE413" s="86"/>
      <c r="AF413" s="83"/>
      <c r="AG413" s="85"/>
      <c r="AH413" s="86"/>
      <c r="AI413" s="83"/>
      <c r="AJ413" s="85"/>
      <c r="AK413" s="86"/>
      <c r="AL413" s="87"/>
      <c r="AM413" s="88"/>
      <c r="AN413" s="88"/>
      <c r="AO413" s="230" t="str">
        <f t="shared" si="15"/>
        <v>3UNCERATKG070775</v>
      </c>
    </row>
    <row r="414" spans="1:41" x14ac:dyDescent="0.15">
      <c r="A414" s="80">
        <v>4114</v>
      </c>
      <c r="B414" s="89">
        <v>274</v>
      </c>
      <c r="C414" s="89">
        <v>36888</v>
      </c>
      <c r="D414" s="89" t="s">
        <v>65</v>
      </c>
      <c r="E414" s="89"/>
      <c r="F414" s="89" t="s">
        <v>26</v>
      </c>
      <c r="G414" s="89"/>
      <c r="H414" s="89" t="s">
        <v>1662</v>
      </c>
      <c r="I414" s="89" t="s">
        <v>1550</v>
      </c>
      <c r="J414" s="89" t="s">
        <v>1618</v>
      </c>
      <c r="K414" s="89" t="s">
        <v>2350</v>
      </c>
      <c r="L414" s="89" t="s">
        <v>2351</v>
      </c>
      <c r="M414" s="89"/>
      <c r="N414" s="89"/>
      <c r="O414" s="90">
        <v>50</v>
      </c>
      <c r="P414" s="89">
        <v>3</v>
      </c>
      <c r="Q414" s="89" t="s">
        <v>504</v>
      </c>
      <c r="R414" s="90">
        <v>1500</v>
      </c>
      <c r="S414" s="90">
        <v>9100</v>
      </c>
      <c r="T414" s="90">
        <v>1490</v>
      </c>
      <c r="U414" s="90">
        <v>1490</v>
      </c>
      <c r="V414" s="90">
        <v>9000</v>
      </c>
      <c r="W414" s="81">
        <v>2</v>
      </c>
      <c r="X414" s="82" t="s">
        <v>2014</v>
      </c>
      <c r="Y414" s="83" t="s">
        <v>487</v>
      </c>
      <c r="Z414" s="84">
        <v>6</v>
      </c>
      <c r="AA414" s="85" t="s">
        <v>266</v>
      </c>
      <c r="AB414" s="86">
        <v>1600</v>
      </c>
      <c r="AC414" s="83"/>
      <c r="AD414" s="85"/>
      <c r="AE414" s="86"/>
      <c r="AF414" s="83"/>
      <c r="AG414" s="85"/>
      <c r="AH414" s="86"/>
      <c r="AI414" s="83"/>
      <c r="AJ414" s="85"/>
      <c r="AK414" s="86"/>
      <c r="AL414" s="87"/>
      <c r="AM414" s="88"/>
      <c r="AN414" s="88"/>
      <c r="AO414" s="230"/>
    </row>
    <row r="415" spans="1:41" x14ac:dyDescent="0.15">
      <c r="A415" s="80">
        <v>4114</v>
      </c>
      <c r="B415" s="89">
        <v>274</v>
      </c>
      <c r="C415" s="89">
        <v>36888</v>
      </c>
      <c r="D415" s="89" t="s">
        <v>65</v>
      </c>
      <c r="E415" s="89" t="s">
        <v>66</v>
      </c>
      <c r="F415" s="89"/>
      <c r="G415" s="89" t="str">
        <f t="shared" si="12"/>
        <v>3UNCERATKA12PF</v>
      </c>
      <c r="H415" s="89" t="s">
        <v>452</v>
      </c>
      <c r="I415" s="89" t="s">
        <v>470</v>
      </c>
      <c r="J415" s="89" t="s">
        <v>1618</v>
      </c>
      <c r="K415" s="89" t="s">
        <v>2223</v>
      </c>
      <c r="L415" s="89" t="s">
        <v>2224</v>
      </c>
      <c r="M415" s="89" t="str">
        <f t="shared" si="13"/>
        <v>3UNCERATKA12PF501494</v>
      </c>
      <c r="N415" s="89" t="str">
        <f t="shared" si="14"/>
        <v>3UNCERATKA12PF501480</v>
      </c>
      <c r="O415" s="90">
        <v>50</v>
      </c>
      <c r="P415" s="89">
        <v>3</v>
      </c>
      <c r="Q415" s="89" t="s">
        <v>504</v>
      </c>
      <c r="R415" s="90">
        <v>1494</v>
      </c>
      <c r="S415" s="90">
        <v>6250</v>
      </c>
      <c r="T415" s="90">
        <v>1480</v>
      </c>
      <c r="U415" s="90">
        <v>1480</v>
      </c>
      <c r="V415" s="90">
        <v>6000</v>
      </c>
      <c r="W415" s="81">
        <v>2</v>
      </c>
      <c r="X415" s="82" t="s">
        <v>505</v>
      </c>
      <c r="Y415" s="83" t="s">
        <v>506</v>
      </c>
      <c r="Z415" s="84">
        <v>6</v>
      </c>
      <c r="AA415" s="85" t="s">
        <v>266</v>
      </c>
      <c r="AB415" s="86"/>
      <c r="AC415" s="83"/>
      <c r="AD415" s="85"/>
      <c r="AE415" s="86"/>
      <c r="AF415" s="83"/>
      <c r="AG415" s="85"/>
      <c r="AH415" s="86"/>
      <c r="AI415" s="83"/>
      <c r="AJ415" s="85"/>
      <c r="AK415" s="86"/>
      <c r="AL415" s="87"/>
      <c r="AM415" s="88"/>
      <c r="AN415" s="88"/>
      <c r="AO415" s="230" t="str">
        <f t="shared" si="15"/>
        <v>3UNCERATKA12PF50</v>
      </c>
    </row>
    <row r="416" spans="1:41" x14ac:dyDescent="0.15">
      <c r="A416" s="80">
        <v>4114</v>
      </c>
      <c r="B416" s="89">
        <v>274</v>
      </c>
      <c r="C416" s="89">
        <v>36888</v>
      </c>
      <c r="D416" s="89" t="s">
        <v>65</v>
      </c>
      <c r="E416" s="89" t="s">
        <v>66</v>
      </c>
      <c r="F416" s="89"/>
      <c r="G416" s="89" t="str">
        <f t="shared" si="12"/>
        <v>3UNCERATKA12PF</v>
      </c>
      <c r="H416" s="89" t="s">
        <v>452</v>
      </c>
      <c r="I416" s="89" t="s">
        <v>470</v>
      </c>
      <c r="J416" s="89" t="s">
        <v>1618</v>
      </c>
      <c r="K416" s="89" t="s">
        <v>2223</v>
      </c>
      <c r="L416" s="89" t="s">
        <v>2224</v>
      </c>
      <c r="M416" s="89" t="str">
        <f t="shared" si="13"/>
        <v>3UNCERATKA12PF501330</v>
      </c>
      <c r="N416" s="89" t="str">
        <f t="shared" si="14"/>
        <v>3UNCERATKA12PF50400</v>
      </c>
      <c r="O416" s="90">
        <v>50</v>
      </c>
      <c r="P416" s="89">
        <v>3</v>
      </c>
      <c r="Q416" s="89" t="s">
        <v>504</v>
      </c>
      <c r="R416" s="90">
        <v>1330</v>
      </c>
      <c r="S416" s="90">
        <v>6251</v>
      </c>
      <c r="T416" s="90">
        <v>400</v>
      </c>
      <c r="U416" s="90">
        <v>400</v>
      </c>
      <c r="V416" s="90">
        <v>200</v>
      </c>
      <c r="W416" s="81">
        <v>2</v>
      </c>
      <c r="X416" s="82" t="s">
        <v>505</v>
      </c>
      <c r="Y416" s="83" t="s">
        <v>295</v>
      </c>
      <c r="Z416" s="84">
        <v>6</v>
      </c>
      <c r="AA416" s="85" t="s">
        <v>266</v>
      </c>
      <c r="AB416" s="86">
        <v>1450</v>
      </c>
      <c r="AC416" s="83">
        <v>3</v>
      </c>
      <c r="AD416" s="85" t="s">
        <v>39</v>
      </c>
      <c r="AE416" s="86">
        <v>450</v>
      </c>
      <c r="AF416" s="83"/>
      <c r="AG416" s="85"/>
      <c r="AH416" s="86"/>
      <c r="AI416" s="83"/>
      <c r="AJ416" s="85"/>
      <c r="AK416" s="86"/>
      <c r="AL416" s="87"/>
      <c r="AM416" s="88"/>
      <c r="AN416" s="88"/>
      <c r="AO416" s="230" t="str">
        <f t="shared" si="15"/>
        <v>3UNCERATKA12PF50</v>
      </c>
    </row>
    <row r="417" spans="1:41" x14ac:dyDescent="0.15">
      <c r="A417" s="80">
        <v>4114</v>
      </c>
      <c r="B417" s="89">
        <v>274</v>
      </c>
      <c r="C417" s="89">
        <v>36888</v>
      </c>
      <c r="D417" s="89" t="s">
        <v>65</v>
      </c>
      <c r="E417" s="89" t="s">
        <v>66</v>
      </c>
      <c r="F417" s="89"/>
      <c r="G417" s="89" t="str">
        <f t="shared" si="12"/>
        <v>3UNCERATKA13PF</v>
      </c>
      <c r="H417" s="89" t="s">
        <v>452</v>
      </c>
      <c r="I417" s="89" t="s">
        <v>470</v>
      </c>
      <c r="J417" s="89" t="s">
        <v>1618</v>
      </c>
      <c r="K417" s="89" t="s">
        <v>2225</v>
      </c>
      <c r="L417" s="89" t="s">
        <v>2226</v>
      </c>
      <c r="M417" s="89" t="str">
        <f t="shared" si="13"/>
        <v>3UNCERATKA13PF501330</v>
      </c>
      <c r="N417" s="89" t="str">
        <f t="shared" si="14"/>
        <v>3UNCERATKA13PF50400</v>
      </c>
      <c r="O417" s="90">
        <v>50</v>
      </c>
      <c r="P417" s="89">
        <v>3</v>
      </c>
      <c r="Q417" s="89" t="s">
        <v>504</v>
      </c>
      <c r="R417" s="90">
        <v>1330</v>
      </c>
      <c r="S417" s="90">
        <v>6251</v>
      </c>
      <c r="T417" s="90">
        <v>400</v>
      </c>
      <c r="U417" s="90">
        <v>400</v>
      </c>
      <c r="V417" s="90">
        <v>200</v>
      </c>
      <c r="W417" s="81">
        <v>2</v>
      </c>
      <c r="X417" s="82" t="s">
        <v>505</v>
      </c>
      <c r="Y417" s="83" t="s">
        <v>295</v>
      </c>
      <c r="Z417" s="84">
        <v>6</v>
      </c>
      <c r="AA417" s="85" t="s">
        <v>266</v>
      </c>
      <c r="AB417" s="86">
        <v>1450</v>
      </c>
      <c r="AC417" s="83">
        <v>3</v>
      </c>
      <c r="AD417" s="85" t="s">
        <v>39</v>
      </c>
      <c r="AE417" s="86">
        <v>450</v>
      </c>
      <c r="AF417" s="83"/>
      <c r="AG417" s="85"/>
      <c r="AH417" s="86"/>
      <c r="AI417" s="83"/>
      <c r="AJ417" s="85"/>
      <c r="AK417" s="86"/>
      <c r="AL417" s="87"/>
      <c r="AM417" s="88"/>
      <c r="AN417" s="88"/>
      <c r="AO417" s="230" t="str">
        <f t="shared" si="15"/>
        <v>3UNCERATKA13PF50</v>
      </c>
    </row>
    <row r="418" spans="1:41" x14ac:dyDescent="0.15">
      <c r="A418" s="80">
        <v>4114</v>
      </c>
      <c r="B418" s="89">
        <v>274</v>
      </c>
      <c r="C418" s="89">
        <v>36888</v>
      </c>
      <c r="D418" s="89" t="s">
        <v>65</v>
      </c>
      <c r="E418" s="89" t="s">
        <v>66</v>
      </c>
      <c r="F418" s="89"/>
      <c r="G418" s="89" t="str">
        <f t="shared" si="12"/>
        <v>3UNCERATKA15PF</v>
      </c>
      <c r="H418" s="89" t="s">
        <v>452</v>
      </c>
      <c r="I418" s="89" t="s">
        <v>470</v>
      </c>
      <c r="J418" s="89" t="s">
        <v>1618</v>
      </c>
      <c r="K418" s="89" t="s">
        <v>2227</v>
      </c>
      <c r="L418" s="89" t="s">
        <v>2228</v>
      </c>
      <c r="M418" s="89" t="str">
        <f t="shared" si="13"/>
        <v>3UNCERATKA15PF501330</v>
      </c>
      <c r="N418" s="89" t="str">
        <f t="shared" si="14"/>
        <v>3UNCERATKA15PF50400</v>
      </c>
      <c r="O418" s="90">
        <v>50</v>
      </c>
      <c r="P418" s="89">
        <v>3</v>
      </c>
      <c r="Q418" s="89" t="s">
        <v>504</v>
      </c>
      <c r="R418" s="90">
        <v>1330</v>
      </c>
      <c r="S418" s="90">
        <v>6251</v>
      </c>
      <c r="T418" s="90">
        <v>400</v>
      </c>
      <c r="U418" s="90">
        <v>400</v>
      </c>
      <c r="V418" s="90">
        <v>200</v>
      </c>
      <c r="W418" s="81">
        <v>2</v>
      </c>
      <c r="X418" s="82" t="s">
        <v>505</v>
      </c>
      <c r="Y418" s="83" t="s">
        <v>295</v>
      </c>
      <c r="Z418" s="84">
        <v>6</v>
      </c>
      <c r="AA418" s="85" t="s">
        <v>266</v>
      </c>
      <c r="AB418" s="86">
        <v>1450</v>
      </c>
      <c r="AC418" s="83">
        <v>3</v>
      </c>
      <c r="AD418" s="85" t="s">
        <v>39</v>
      </c>
      <c r="AE418" s="86">
        <v>450</v>
      </c>
      <c r="AF418" s="83"/>
      <c r="AG418" s="85"/>
      <c r="AH418" s="86"/>
      <c r="AI418" s="83"/>
      <c r="AJ418" s="85"/>
      <c r="AK418" s="86"/>
      <c r="AL418" s="87"/>
      <c r="AM418" s="88"/>
      <c r="AN418" s="88"/>
      <c r="AO418" s="230" t="str">
        <f t="shared" si="15"/>
        <v>3UNCERATKA15PF50</v>
      </c>
    </row>
    <row r="419" spans="1:41" ht="24" x14ac:dyDescent="0.15">
      <c r="A419" s="80">
        <v>4551</v>
      </c>
      <c r="B419" s="89">
        <v>274</v>
      </c>
      <c r="C419" s="89">
        <v>36888</v>
      </c>
      <c r="D419" s="89" t="s">
        <v>65</v>
      </c>
      <c r="E419" s="89" t="s">
        <v>66</v>
      </c>
      <c r="F419" s="89" t="s">
        <v>111</v>
      </c>
      <c r="G419" s="89" t="str">
        <f t="shared" si="12"/>
        <v>3UNTPICTT405D</v>
      </c>
      <c r="H419" s="89" t="s">
        <v>452</v>
      </c>
      <c r="I419" s="89" t="s">
        <v>20</v>
      </c>
      <c r="J419" s="89" t="s">
        <v>251</v>
      </c>
      <c r="K419" s="89" t="s">
        <v>2229</v>
      </c>
      <c r="L419" s="89" t="s">
        <v>2230</v>
      </c>
      <c r="M419" s="89" t="str">
        <f t="shared" si="13"/>
        <v>3UNTPICTT405D501094</v>
      </c>
      <c r="N419" s="89" t="str">
        <f t="shared" si="14"/>
        <v>3UNTPICTT405D501094</v>
      </c>
      <c r="O419" s="90">
        <v>50</v>
      </c>
      <c r="P419" s="89">
        <v>3</v>
      </c>
      <c r="Q419" s="89" t="s">
        <v>254</v>
      </c>
      <c r="R419" s="90">
        <v>1094</v>
      </c>
      <c r="S419" s="90">
        <v>6000</v>
      </c>
      <c r="T419" s="90">
        <v>1094</v>
      </c>
      <c r="U419" s="90">
        <v>1094</v>
      </c>
      <c r="V419" s="90">
        <v>5000</v>
      </c>
      <c r="W419" s="81">
        <v>2</v>
      </c>
      <c r="X419" s="82" t="s">
        <v>142</v>
      </c>
      <c r="Y419" s="83" t="s">
        <v>15</v>
      </c>
      <c r="Z419" s="84">
        <v>6</v>
      </c>
      <c r="AA419" s="85" t="s">
        <v>24</v>
      </c>
      <c r="AB419" s="86">
        <v>1700</v>
      </c>
      <c r="AC419" s="83"/>
      <c r="AD419" s="85"/>
      <c r="AE419" s="86"/>
      <c r="AF419" s="83"/>
      <c r="AG419" s="85"/>
      <c r="AH419" s="86"/>
      <c r="AI419" s="83"/>
      <c r="AJ419" s="85"/>
      <c r="AK419" s="86"/>
      <c r="AL419" s="87"/>
      <c r="AM419" s="88"/>
      <c r="AN419" s="198" t="s">
        <v>477</v>
      </c>
      <c r="AO419" s="230" t="str">
        <f t="shared" si="15"/>
        <v>3UNTPICTT405D50</v>
      </c>
    </row>
    <row r="420" spans="1:41" ht="24" x14ac:dyDescent="0.15">
      <c r="A420" s="80">
        <v>4551</v>
      </c>
      <c r="B420" s="89">
        <v>272</v>
      </c>
      <c r="C420" s="89">
        <v>36888</v>
      </c>
      <c r="D420" s="89" t="s">
        <v>65</v>
      </c>
      <c r="E420" s="89" t="s">
        <v>66</v>
      </c>
      <c r="F420" s="89" t="s">
        <v>111</v>
      </c>
      <c r="G420" s="89" t="str">
        <f t="shared" si="12"/>
        <v>3UNTPICTT405B</v>
      </c>
      <c r="H420" s="89" t="s">
        <v>452</v>
      </c>
      <c r="I420" s="89" t="s">
        <v>20</v>
      </c>
      <c r="J420" s="89" t="s">
        <v>251</v>
      </c>
      <c r="K420" s="89" t="s">
        <v>2231</v>
      </c>
      <c r="L420" s="89" t="s">
        <v>2232</v>
      </c>
      <c r="M420" s="89" t="str">
        <f t="shared" si="13"/>
        <v>3UNTPICTT405B501094</v>
      </c>
      <c r="N420" s="89" t="str">
        <f t="shared" si="14"/>
        <v>3UNTPICTT405B501094</v>
      </c>
      <c r="O420" s="90">
        <v>50</v>
      </c>
      <c r="P420" s="89">
        <v>3</v>
      </c>
      <c r="Q420" s="89" t="s">
        <v>254</v>
      </c>
      <c r="R420" s="90">
        <v>1094</v>
      </c>
      <c r="S420" s="90">
        <v>6000</v>
      </c>
      <c r="T420" s="90">
        <v>1094</v>
      </c>
      <c r="U420" s="90">
        <v>1094</v>
      </c>
      <c r="V420" s="90">
        <v>6000</v>
      </c>
      <c r="W420" s="81">
        <v>2</v>
      </c>
      <c r="X420" s="82" t="s">
        <v>142</v>
      </c>
      <c r="Y420" s="83" t="s">
        <v>15</v>
      </c>
      <c r="Z420" s="84">
        <v>6</v>
      </c>
      <c r="AA420" s="85" t="s">
        <v>24</v>
      </c>
      <c r="AB420" s="86">
        <v>1700</v>
      </c>
      <c r="AC420" s="83"/>
      <c r="AD420" s="85"/>
      <c r="AE420" s="86"/>
      <c r="AF420" s="83"/>
      <c r="AG420" s="85"/>
      <c r="AH420" s="86"/>
      <c r="AI420" s="83"/>
      <c r="AJ420" s="85"/>
      <c r="AK420" s="86"/>
      <c r="AL420" s="87"/>
      <c r="AM420" s="88"/>
      <c r="AN420" s="198" t="s">
        <v>477</v>
      </c>
      <c r="AO420" s="230" t="str">
        <f t="shared" si="15"/>
        <v>3UNTPICTT405B50</v>
      </c>
    </row>
    <row r="421" spans="1:41" x14ac:dyDescent="0.15">
      <c r="A421" s="80"/>
      <c r="B421" s="89"/>
      <c r="C421" s="89"/>
      <c r="D421" s="89" t="s">
        <v>460</v>
      </c>
      <c r="E421" s="89"/>
      <c r="F421" s="89"/>
      <c r="G421" s="89" t="str">
        <f t="shared" si="12"/>
        <v>3UNCERAMDA14</v>
      </c>
      <c r="H421" s="89" t="s">
        <v>269</v>
      </c>
      <c r="I421" s="89" t="s">
        <v>20</v>
      </c>
      <c r="J421" s="89" t="s">
        <v>21</v>
      </c>
      <c r="K421" s="89" t="s">
        <v>457</v>
      </c>
      <c r="L421" s="89" t="s">
        <v>458</v>
      </c>
      <c r="M421" s="89" t="str">
        <f t="shared" si="13"/>
        <v>3UNCERAMDA14501100</v>
      </c>
      <c r="N421" s="89" t="str">
        <f t="shared" si="14"/>
        <v>3UNCERAMDA14501090</v>
      </c>
      <c r="O421" s="90">
        <v>50</v>
      </c>
      <c r="P421" s="89">
        <v>3</v>
      </c>
      <c r="Q421" s="89" t="s">
        <v>2007</v>
      </c>
      <c r="R421" s="90">
        <v>1100</v>
      </c>
      <c r="S421" s="90">
        <v>4000</v>
      </c>
      <c r="T421" s="90">
        <v>1090</v>
      </c>
      <c r="U421" s="90">
        <v>1090</v>
      </c>
      <c r="V421" s="90">
        <v>1000</v>
      </c>
      <c r="W421" s="81">
        <v>1</v>
      </c>
      <c r="X421" s="82" t="s">
        <v>14</v>
      </c>
      <c r="Y421" s="83" t="s">
        <v>295</v>
      </c>
      <c r="Z421" s="84">
        <v>6</v>
      </c>
      <c r="AA421" s="85" t="s">
        <v>266</v>
      </c>
      <c r="AB421" s="86">
        <v>1450</v>
      </c>
      <c r="AC421" s="139"/>
      <c r="AD421" s="126"/>
      <c r="AE421" s="92"/>
      <c r="AF421" s="83"/>
      <c r="AG421" s="85"/>
      <c r="AH421" s="86"/>
      <c r="AI421" s="83"/>
      <c r="AJ421" s="85"/>
      <c r="AK421" s="86"/>
      <c r="AL421" s="87"/>
      <c r="AM421" s="88"/>
      <c r="AN421" s="88" t="s">
        <v>471</v>
      </c>
      <c r="AO421" s="230" t="str">
        <f t="shared" si="15"/>
        <v>3UNCERAMDA1450</v>
      </c>
    </row>
    <row r="422" spans="1:41" x14ac:dyDescent="0.15">
      <c r="A422" s="80"/>
      <c r="B422" s="89"/>
      <c r="C422" s="89"/>
      <c r="D422" s="89" t="s">
        <v>461</v>
      </c>
      <c r="E422" s="89"/>
      <c r="F422" s="89"/>
      <c r="G422" s="89" t="str">
        <f t="shared" si="12"/>
        <v>3UNCERAMDA14</v>
      </c>
      <c r="H422" s="89" t="s">
        <v>269</v>
      </c>
      <c r="I422" s="89" t="s">
        <v>20</v>
      </c>
      <c r="J422" s="89" t="s">
        <v>21</v>
      </c>
      <c r="K422" s="89" t="s">
        <v>457</v>
      </c>
      <c r="L422" s="89" t="s">
        <v>458</v>
      </c>
      <c r="M422" s="89" t="str">
        <f t="shared" si="13"/>
        <v>3UNCERAMDA14501100</v>
      </c>
      <c r="N422" s="89" t="str">
        <f t="shared" si="14"/>
        <v>3UNCERAMDA14501090</v>
      </c>
      <c r="O422" s="90">
        <v>50</v>
      </c>
      <c r="P422" s="89">
        <v>3</v>
      </c>
      <c r="Q422" s="89" t="s">
        <v>2029</v>
      </c>
      <c r="R422" s="90">
        <v>1100</v>
      </c>
      <c r="S422" s="90">
        <v>4000</v>
      </c>
      <c r="T422" s="90">
        <v>1090</v>
      </c>
      <c r="U422" s="90">
        <v>1090</v>
      </c>
      <c r="V422" s="90">
        <v>2800</v>
      </c>
      <c r="W422" s="81">
        <v>2</v>
      </c>
      <c r="X422" s="82" t="s">
        <v>14</v>
      </c>
      <c r="Y422" s="83" t="s">
        <v>295</v>
      </c>
      <c r="Z422" s="84">
        <v>6</v>
      </c>
      <c r="AA422" s="85" t="s">
        <v>266</v>
      </c>
      <c r="AB422" s="86">
        <v>1450</v>
      </c>
      <c r="AC422" s="139"/>
      <c r="AD422" s="126"/>
      <c r="AE422" s="92"/>
      <c r="AF422" s="83"/>
      <c r="AG422" s="85"/>
      <c r="AH422" s="86"/>
      <c r="AI422" s="83"/>
      <c r="AJ422" s="85"/>
      <c r="AK422" s="86"/>
      <c r="AL422" s="87"/>
      <c r="AM422" s="88"/>
      <c r="AN422" s="88" t="s">
        <v>471</v>
      </c>
      <c r="AO422" s="230" t="str">
        <f t="shared" si="15"/>
        <v>3UNCERAMDA1450</v>
      </c>
    </row>
    <row r="423" spans="1:41" x14ac:dyDescent="0.15">
      <c r="A423" s="80">
        <v>4114</v>
      </c>
      <c r="B423" s="89">
        <v>272</v>
      </c>
      <c r="C423" s="89"/>
      <c r="D423" s="89" t="s">
        <v>2160</v>
      </c>
      <c r="E423" s="89" t="s">
        <v>2120</v>
      </c>
      <c r="F423" s="89"/>
      <c r="G423" s="89" t="str">
        <f t="shared" si="12"/>
        <v>3UNCERAMDA14</v>
      </c>
      <c r="H423" s="89" t="s">
        <v>269</v>
      </c>
      <c r="I423" s="89" t="s">
        <v>20</v>
      </c>
      <c r="J423" s="89" t="s">
        <v>21</v>
      </c>
      <c r="K423" s="89" t="s">
        <v>457</v>
      </c>
      <c r="L423" s="89" t="s">
        <v>458</v>
      </c>
      <c r="M423" s="89" t="str">
        <f t="shared" si="13"/>
        <v>3UNCERAMDA141001310</v>
      </c>
      <c r="N423" s="89" t="str">
        <f t="shared" si="14"/>
        <v>3UNCERAMDA141001300</v>
      </c>
      <c r="O423" s="90">
        <v>100</v>
      </c>
      <c r="P423" s="89">
        <v>3</v>
      </c>
      <c r="Q423" s="89" t="s">
        <v>831</v>
      </c>
      <c r="R423" s="90">
        <v>1310</v>
      </c>
      <c r="S423" s="90">
        <v>2400</v>
      </c>
      <c r="T423" s="90">
        <v>1300</v>
      </c>
      <c r="U423" s="90">
        <v>1300</v>
      </c>
      <c r="V423" s="90">
        <v>2100</v>
      </c>
      <c r="W423" s="81">
        <v>2</v>
      </c>
      <c r="X423" s="82" t="s">
        <v>14</v>
      </c>
      <c r="Y423" s="83" t="s">
        <v>487</v>
      </c>
      <c r="Z423" s="84">
        <v>6</v>
      </c>
      <c r="AA423" s="85" t="s">
        <v>266</v>
      </c>
      <c r="AB423" s="86">
        <v>1450</v>
      </c>
      <c r="AC423" s="83"/>
      <c r="AD423" s="85"/>
      <c r="AE423" s="86"/>
      <c r="AF423" s="83"/>
      <c r="AG423" s="85"/>
      <c r="AH423" s="86"/>
      <c r="AI423" s="83"/>
      <c r="AJ423" s="85"/>
      <c r="AK423" s="86"/>
      <c r="AL423" s="87"/>
      <c r="AM423" s="88"/>
      <c r="AN423" s="88" t="s">
        <v>471</v>
      </c>
      <c r="AO423" s="230" t="str">
        <f t="shared" si="15"/>
        <v>3UNCERAMDA14100</v>
      </c>
    </row>
    <row r="424" spans="1:41" x14ac:dyDescent="0.15">
      <c r="A424" s="80">
        <v>4551</v>
      </c>
      <c r="B424" s="89">
        <v>272</v>
      </c>
      <c r="C424" s="89">
        <v>4985</v>
      </c>
      <c r="D424" s="89" t="s">
        <v>304</v>
      </c>
      <c r="E424" s="89" t="s">
        <v>45</v>
      </c>
      <c r="F424" s="89" t="s">
        <v>210</v>
      </c>
      <c r="G424" s="89" t="str">
        <f t="shared" si="12"/>
        <v>3301TNTTPTNJ-AS</v>
      </c>
      <c r="H424" s="89" t="s">
        <v>265</v>
      </c>
      <c r="I424" s="89" t="s">
        <v>20</v>
      </c>
      <c r="J424" s="89" t="s">
        <v>2233</v>
      </c>
      <c r="K424" s="89" t="s">
        <v>453</v>
      </c>
      <c r="L424" s="89" t="s">
        <v>305</v>
      </c>
      <c r="M424" s="89" t="str">
        <f t="shared" si="13"/>
        <v>3301TNTTPTNJ-AS1001150</v>
      </c>
      <c r="N424" s="89" t="str">
        <f t="shared" si="14"/>
        <v>3301TNTTPTNJ-AS1001050</v>
      </c>
      <c r="O424" s="90">
        <v>100</v>
      </c>
      <c r="P424" s="89">
        <v>3301</v>
      </c>
      <c r="Q424" s="89" t="s">
        <v>262</v>
      </c>
      <c r="R424" s="90">
        <v>1150</v>
      </c>
      <c r="S424" s="90">
        <v>2000</v>
      </c>
      <c r="T424" s="90">
        <v>1050</v>
      </c>
      <c r="U424" s="90">
        <v>1050</v>
      </c>
      <c r="V424" s="90">
        <v>2000</v>
      </c>
      <c r="W424" s="81">
        <v>2</v>
      </c>
      <c r="X424" s="82" t="s">
        <v>529</v>
      </c>
      <c r="Y424" s="83" t="s">
        <v>295</v>
      </c>
      <c r="Z424" s="84">
        <v>6</v>
      </c>
      <c r="AA424" s="85" t="s">
        <v>266</v>
      </c>
      <c r="AB424" s="86">
        <v>1450</v>
      </c>
      <c r="AC424" s="83">
        <v>6</v>
      </c>
      <c r="AD424" s="85" t="s">
        <v>272</v>
      </c>
      <c r="AE424" s="86">
        <v>1270</v>
      </c>
      <c r="AF424" s="83"/>
      <c r="AG424" s="85"/>
      <c r="AH424" s="86"/>
      <c r="AI424" s="83"/>
      <c r="AJ424" s="85"/>
      <c r="AK424" s="86"/>
      <c r="AL424" s="87"/>
      <c r="AM424" s="88"/>
      <c r="AN424" s="88" t="s">
        <v>479</v>
      </c>
      <c r="AO424" s="230" t="str">
        <f t="shared" si="15"/>
        <v>3301TNTTPTNJ-AS100</v>
      </c>
    </row>
    <row r="425" spans="1:41" x14ac:dyDescent="0.15">
      <c r="A425" s="80">
        <v>4551</v>
      </c>
      <c r="B425" s="89">
        <v>272</v>
      </c>
      <c r="C425" s="89">
        <v>4985</v>
      </c>
      <c r="D425" s="89" t="s">
        <v>304</v>
      </c>
      <c r="E425" s="89" t="s">
        <v>45</v>
      </c>
      <c r="F425" s="89" t="s">
        <v>210</v>
      </c>
      <c r="G425" s="89" t="str">
        <f t="shared" si="12"/>
        <v>3301TNTTPTNJ-AS</v>
      </c>
      <c r="H425" s="89" t="s">
        <v>265</v>
      </c>
      <c r="I425" s="89" t="s">
        <v>20</v>
      </c>
      <c r="J425" s="89" t="s">
        <v>2233</v>
      </c>
      <c r="K425" s="89" t="s">
        <v>453</v>
      </c>
      <c r="L425" s="89" t="s">
        <v>305</v>
      </c>
      <c r="M425" s="89" t="str">
        <f t="shared" si="13"/>
        <v>3301TNTTPTNJ-AS1001280</v>
      </c>
      <c r="N425" s="89" t="str">
        <f t="shared" si="14"/>
        <v>3301TNTTPTNJ-AS1001050</v>
      </c>
      <c r="O425" s="90">
        <v>100</v>
      </c>
      <c r="P425" s="89">
        <v>3301</v>
      </c>
      <c r="Q425" s="89" t="s">
        <v>262</v>
      </c>
      <c r="R425" s="90">
        <v>1280</v>
      </c>
      <c r="S425" s="90">
        <v>2000</v>
      </c>
      <c r="T425" s="90">
        <v>1150</v>
      </c>
      <c r="U425" s="90">
        <v>1050</v>
      </c>
      <c r="V425" s="90">
        <v>2000</v>
      </c>
      <c r="W425" s="81">
        <v>2</v>
      </c>
      <c r="X425" s="82" t="s">
        <v>529</v>
      </c>
      <c r="Y425" s="83" t="s">
        <v>295</v>
      </c>
      <c r="Z425" s="84">
        <v>6</v>
      </c>
      <c r="AA425" s="85" t="s">
        <v>16</v>
      </c>
      <c r="AB425" s="86">
        <v>1450</v>
      </c>
      <c r="AC425" s="83">
        <v>6</v>
      </c>
      <c r="AD425" s="85" t="s">
        <v>272</v>
      </c>
      <c r="AE425" s="86">
        <v>1270</v>
      </c>
      <c r="AF425" s="83"/>
      <c r="AG425" s="85"/>
      <c r="AH425" s="86"/>
      <c r="AI425" s="83"/>
      <c r="AJ425" s="85"/>
      <c r="AK425" s="86"/>
      <c r="AL425" s="87"/>
      <c r="AM425" s="88"/>
      <c r="AN425" s="88" t="s">
        <v>479</v>
      </c>
      <c r="AO425" s="230" t="str">
        <f t="shared" si="15"/>
        <v>3301TNTTPTNJ-AS100</v>
      </c>
    </row>
    <row r="426" spans="1:41" x14ac:dyDescent="0.15">
      <c r="A426" s="80">
        <v>4551</v>
      </c>
      <c r="B426" s="89">
        <v>272</v>
      </c>
      <c r="C426" s="89">
        <v>4985</v>
      </c>
      <c r="D426" s="89" t="s">
        <v>304</v>
      </c>
      <c r="E426" s="89" t="s">
        <v>45</v>
      </c>
      <c r="F426" s="89" t="s">
        <v>210</v>
      </c>
      <c r="G426" s="89" t="str">
        <f t="shared" si="12"/>
        <v>3301TNTTPTNJ-AS</v>
      </c>
      <c r="H426" s="89" t="s">
        <v>265</v>
      </c>
      <c r="I426" s="89" t="s">
        <v>20</v>
      </c>
      <c r="J426" s="89" t="s">
        <v>2233</v>
      </c>
      <c r="K426" s="89" t="s">
        <v>453</v>
      </c>
      <c r="L426" s="89" t="s">
        <v>305</v>
      </c>
      <c r="M426" s="89" t="str">
        <f t="shared" si="13"/>
        <v>3301TNTTPTNJ-AS1001200</v>
      </c>
      <c r="N426" s="89" t="str">
        <f t="shared" si="14"/>
        <v>3301TNTTPTNJ-AS1001050</v>
      </c>
      <c r="O426" s="90">
        <v>100</v>
      </c>
      <c r="P426" s="89">
        <v>3301</v>
      </c>
      <c r="Q426" s="89" t="s">
        <v>262</v>
      </c>
      <c r="R426" s="90">
        <v>1200</v>
      </c>
      <c r="S426" s="90">
        <v>2000</v>
      </c>
      <c r="T426" s="90">
        <v>1150</v>
      </c>
      <c r="U426" s="90">
        <v>1050</v>
      </c>
      <c r="V426" s="90">
        <v>2000</v>
      </c>
      <c r="W426" s="81">
        <v>2</v>
      </c>
      <c r="X426" s="82" t="s">
        <v>529</v>
      </c>
      <c r="Y426" s="83" t="s">
        <v>295</v>
      </c>
      <c r="Z426" s="84">
        <v>6</v>
      </c>
      <c r="AA426" s="85" t="s">
        <v>16</v>
      </c>
      <c r="AB426" s="86">
        <v>1270</v>
      </c>
      <c r="AC426" s="83">
        <v>6</v>
      </c>
      <c r="AD426" s="85" t="s">
        <v>272</v>
      </c>
      <c r="AE426" s="86">
        <v>1270</v>
      </c>
      <c r="AF426" s="83"/>
      <c r="AG426" s="85"/>
      <c r="AH426" s="86"/>
      <c r="AI426" s="83"/>
      <c r="AJ426" s="85"/>
      <c r="AK426" s="86"/>
      <c r="AL426" s="87"/>
      <c r="AM426" s="88"/>
      <c r="AN426" s="88" t="s">
        <v>479</v>
      </c>
      <c r="AO426" s="230" t="str">
        <f t="shared" si="15"/>
        <v>3301TNTTPTNJ-AS100</v>
      </c>
    </row>
    <row r="427" spans="1:41" ht="24" x14ac:dyDescent="0.15">
      <c r="A427" s="80">
        <v>4551</v>
      </c>
      <c r="B427" s="89"/>
      <c r="C427" s="89"/>
      <c r="D427" s="89" t="s">
        <v>306</v>
      </c>
      <c r="E427" s="89"/>
      <c r="F427" s="89" t="s">
        <v>210</v>
      </c>
      <c r="G427" s="89" t="str">
        <f t="shared" si="12"/>
        <v>UYJTCSTHCE</v>
      </c>
      <c r="H427" s="89" t="s">
        <v>269</v>
      </c>
      <c r="I427" s="89" t="s">
        <v>28</v>
      </c>
      <c r="J427" s="89" t="s">
        <v>307</v>
      </c>
      <c r="K427" s="89" t="s">
        <v>308</v>
      </c>
      <c r="L427" s="89" t="s">
        <v>309</v>
      </c>
      <c r="M427" s="89" t="str">
        <f t="shared" si="13"/>
        <v>UYJTCSTHCE381336</v>
      </c>
      <c r="N427" s="89" t="str">
        <f t="shared" si="14"/>
        <v>UYJTCSTHCE38715</v>
      </c>
      <c r="O427" s="90">
        <v>38</v>
      </c>
      <c r="P427" s="89"/>
      <c r="Q427" s="89" t="s">
        <v>69</v>
      </c>
      <c r="R427" s="90">
        <v>1336</v>
      </c>
      <c r="S427" s="90">
        <v>12050</v>
      </c>
      <c r="T427" s="90">
        <v>715</v>
      </c>
      <c r="U427" s="90">
        <v>715</v>
      </c>
      <c r="V427" s="90">
        <v>3920</v>
      </c>
      <c r="W427" s="81">
        <v>2</v>
      </c>
      <c r="X427" s="82" t="s">
        <v>2014</v>
      </c>
      <c r="Y427" s="83" t="s">
        <v>2030</v>
      </c>
      <c r="Z427" s="84">
        <v>6</v>
      </c>
      <c r="AA427" s="85" t="s">
        <v>24</v>
      </c>
      <c r="AB427" s="86">
        <v>1600</v>
      </c>
      <c r="AC427" s="83">
        <v>6</v>
      </c>
      <c r="AD427" s="85" t="s">
        <v>272</v>
      </c>
      <c r="AE427" s="86">
        <v>1500</v>
      </c>
      <c r="AF427" s="83"/>
      <c r="AG427" s="85"/>
      <c r="AH427" s="86"/>
      <c r="AI427" s="83"/>
      <c r="AJ427" s="85"/>
      <c r="AK427" s="86"/>
      <c r="AL427" s="87">
        <v>7</v>
      </c>
      <c r="AM427" s="88" t="s">
        <v>310</v>
      </c>
      <c r="AN427" s="198" t="s">
        <v>480</v>
      </c>
      <c r="AO427" s="230" t="str">
        <f t="shared" si="15"/>
        <v>UYJTCSTHCE38</v>
      </c>
    </row>
    <row r="428" spans="1:41" ht="24" x14ac:dyDescent="0.15">
      <c r="A428" s="80">
        <v>4558</v>
      </c>
      <c r="B428" s="89">
        <v>276</v>
      </c>
      <c r="C428" s="89"/>
      <c r="D428" s="89" t="s">
        <v>306</v>
      </c>
      <c r="E428" s="89" t="s">
        <v>2234</v>
      </c>
      <c r="F428" s="89" t="s">
        <v>210</v>
      </c>
      <c r="G428" s="89" t="str">
        <f t="shared" si="12"/>
        <v>3TYJTCSTHCE</v>
      </c>
      <c r="H428" s="89" t="s">
        <v>771</v>
      </c>
      <c r="I428" s="89" t="s">
        <v>28</v>
      </c>
      <c r="J428" s="89" t="s">
        <v>307</v>
      </c>
      <c r="K428" s="89" t="s">
        <v>308</v>
      </c>
      <c r="L428" s="89" t="s">
        <v>309</v>
      </c>
      <c r="M428" s="89" t="str">
        <f t="shared" si="13"/>
        <v>3TYJTCSTHCE381336</v>
      </c>
      <c r="N428" s="89" t="str">
        <f t="shared" si="14"/>
        <v>3TYJTCSTHCE38715</v>
      </c>
      <c r="O428" s="90">
        <v>38</v>
      </c>
      <c r="P428" s="89">
        <v>3</v>
      </c>
      <c r="Q428" s="89" t="s">
        <v>69</v>
      </c>
      <c r="R428" s="90">
        <v>1336</v>
      </c>
      <c r="S428" s="90">
        <v>12050</v>
      </c>
      <c r="T428" s="90">
        <v>715</v>
      </c>
      <c r="U428" s="90">
        <v>715</v>
      </c>
      <c r="V428" s="90">
        <v>3920</v>
      </c>
      <c r="W428" s="81">
        <v>2</v>
      </c>
      <c r="X428" s="82" t="s">
        <v>2014</v>
      </c>
      <c r="Y428" s="83" t="s">
        <v>2030</v>
      </c>
      <c r="Z428" s="84">
        <v>6</v>
      </c>
      <c r="AA428" s="85" t="s">
        <v>24</v>
      </c>
      <c r="AB428" s="86">
        <v>1600</v>
      </c>
      <c r="AC428" s="83">
        <v>6</v>
      </c>
      <c r="AD428" s="85" t="s">
        <v>272</v>
      </c>
      <c r="AE428" s="86">
        <v>1500</v>
      </c>
      <c r="AF428" s="83"/>
      <c r="AG428" s="85"/>
      <c r="AH428" s="86"/>
      <c r="AI428" s="83"/>
      <c r="AJ428" s="85"/>
      <c r="AK428" s="86"/>
      <c r="AL428" s="87">
        <v>7</v>
      </c>
      <c r="AM428" s="88" t="s">
        <v>310</v>
      </c>
      <c r="AN428" s="198" t="s">
        <v>480</v>
      </c>
      <c r="AO428" s="230" t="str">
        <f t="shared" si="15"/>
        <v>3TYJTCSTHCE38</v>
      </c>
    </row>
    <row r="429" spans="1:41" ht="24" x14ac:dyDescent="0.15">
      <c r="A429" s="80">
        <v>4558</v>
      </c>
      <c r="B429" s="89">
        <v>276</v>
      </c>
      <c r="C429" s="89"/>
      <c r="D429" s="89" t="s">
        <v>306</v>
      </c>
      <c r="E429" s="89" t="s">
        <v>2234</v>
      </c>
      <c r="F429" s="89" t="s">
        <v>210</v>
      </c>
      <c r="G429" s="89" t="str">
        <f t="shared" si="12"/>
        <v>33STYJTCSTHCE</v>
      </c>
      <c r="H429" s="89" t="s">
        <v>771</v>
      </c>
      <c r="I429" s="89" t="s">
        <v>28</v>
      </c>
      <c r="J429" s="89" t="s">
        <v>307</v>
      </c>
      <c r="K429" s="89" t="s">
        <v>308</v>
      </c>
      <c r="L429" s="89" t="s">
        <v>309</v>
      </c>
      <c r="M429" s="89" t="str">
        <f t="shared" si="13"/>
        <v>33STYJTCSTHCE381336</v>
      </c>
      <c r="N429" s="89" t="str">
        <f t="shared" si="14"/>
        <v>33STYJTCSTHCE38715</v>
      </c>
      <c r="O429" s="90">
        <v>38</v>
      </c>
      <c r="P429" s="89" t="s">
        <v>1602</v>
      </c>
      <c r="Q429" s="89" t="s">
        <v>69</v>
      </c>
      <c r="R429" s="90">
        <v>1336</v>
      </c>
      <c r="S429" s="90">
        <v>12050</v>
      </c>
      <c r="T429" s="90">
        <v>715</v>
      </c>
      <c r="U429" s="90">
        <v>715</v>
      </c>
      <c r="V429" s="90">
        <v>3920</v>
      </c>
      <c r="W429" s="81">
        <v>2</v>
      </c>
      <c r="X429" s="82" t="s">
        <v>2014</v>
      </c>
      <c r="Y429" s="83" t="s">
        <v>2030</v>
      </c>
      <c r="Z429" s="84">
        <v>6</v>
      </c>
      <c r="AA429" s="85" t="s">
        <v>24</v>
      </c>
      <c r="AB429" s="86">
        <v>1600</v>
      </c>
      <c r="AC429" s="83">
        <v>6</v>
      </c>
      <c r="AD429" s="85" t="s">
        <v>272</v>
      </c>
      <c r="AE429" s="86">
        <v>1500</v>
      </c>
      <c r="AF429" s="83"/>
      <c r="AG429" s="85"/>
      <c r="AH429" s="86"/>
      <c r="AI429" s="83"/>
      <c r="AJ429" s="85"/>
      <c r="AK429" s="86"/>
      <c r="AL429" s="87">
        <v>7</v>
      </c>
      <c r="AM429" s="88" t="s">
        <v>310</v>
      </c>
      <c r="AN429" s="198" t="s">
        <v>480</v>
      </c>
      <c r="AO429" s="230" t="str">
        <f t="shared" si="15"/>
        <v>33STYJTCSTHCE38</v>
      </c>
    </row>
    <row r="430" spans="1:41" ht="24" x14ac:dyDescent="0.15">
      <c r="A430" s="80">
        <v>4561</v>
      </c>
      <c r="B430" s="89">
        <v>272</v>
      </c>
      <c r="C430" s="89">
        <v>36882</v>
      </c>
      <c r="D430" s="89" t="s">
        <v>61</v>
      </c>
      <c r="E430" s="89" t="s">
        <v>45</v>
      </c>
      <c r="F430" s="89"/>
      <c r="G430" s="89" t="str">
        <f t="shared" si="12"/>
        <v>3UNKNZMCRALCB</v>
      </c>
      <c r="H430" s="89" t="s">
        <v>452</v>
      </c>
      <c r="I430" s="89" t="s">
        <v>1550</v>
      </c>
      <c r="J430" s="89" t="s">
        <v>2235</v>
      </c>
      <c r="K430" s="89" t="s">
        <v>2236</v>
      </c>
      <c r="L430" s="89" t="s">
        <v>1150</v>
      </c>
      <c r="M430" s="89" t="str">
        <f t="shared" si="13"/>
        <v>3UNKNZMCRALCB251590</v>
      </c>
      <c r="N430" s="89" t="str">
        <f t="shared" si="14"/>
        <v>3UNKNZMCRALCB251540</v>
      </c>
      <c r="O430" s="90">
        <v>25</v>
      </c>
      <c r="P430" s="89">
        <v>3</v>
      </c>
      <c r="Q430" s="89" t="s">
        <v>503</v>
      </c>
      <c r="R430" s="90">
        <v>1590</v>
      </c>
      <c r="S430" s="90">
        <v>12500</v>
      </c>
      <c r="T430" s="90">
        <v>1590</v>
      </c>
      <c r="U430" s="90">
        <v>1540</v>
      </c>
      <c r="V430" s="90">
        <v>12000</v>
      </c>
      <c r="W430" s="81">
        <v>2</v>
      </c>
      <c r="X430" s="82" t="s">
        <v>529</v>
      </c>
      <c r="Y430" s="83" t="s">
        <v>487</v>
      </c>
      <c r="Z430" s="84">
        <v>6</v>
      </c>
      <c r="AA430" s="85" t="s">
        <v>24</v>
      </c>
      <c r="AB430" s="86">
        <v>1700</v>
      </c>
      <c r="AC430" s="83"/>
      <c r="AD430" s="85"/>
      <c r="AE430" s="86"/>
      <c r="AF430" s="83"/>
      <c r="AG430" s="85"/>
      <c r="AH430" s="86"/>
      <c r="AI430" s="83"/>
      <c r="AJ430" s="85"/>
      <c r="AK430" s="86"/>
      <c r="AL430" s="87"/>
      <c r="AM430" s="88"/>
      <c r="AN430" s="198" t="s">
        <v>480</v>
      </c>
      <c r="AO430" s="230" t="str">
        <f t="shared" si="15"/>
        <v>3UNKNZMCRALCB25</v>
      </c>
    </row>
    <row r="431" spans="1:41" ht="24" x14ac:dyDescent="0.15">
      <c r="A431" s="80">
        <v>4561</v>
      </c>
      <c r="B431" s="89">
        <v>272</v>
      </c>
      <c r="C431" s="89">
        <v>36882</v>
      </c>
      <c r="D431" s="89" t="s">
        <v>61</v>
      </c>
      <c r="E431" s="89" t="s">
        <v>45</v>
      </c>
      <c r="F431" s="89"/>
      <c r="G431" s="89" t="str">
        <f t="shared" si="12"/>
        <v>3UNKNZMCRALCB</v>
      </c>
      <c r="H431" s="89" t="s">
        <v>452</v>
      </c>
      <c r="I431" s="89" t="s">
        <v>1550</v>
      </c>
      <c r="J431" s="89" t="s">
        <v>2235</v>
      </c>
      <c r="K431" s="89" t="s">
        <v>2236</v>
      </c>
      <c r="L431" s="89" t="s">
        <v>1150</v>
      </c>
      <c r="M431" s="89" t="str">
        <f t="shared" si="13"/>
        <v>3UNKNZMCRALCB251110</v>
      </c>
      <c r="N431" s="89" t="str">
        <f t="shared" si="14"/>
        <v>3UNKNZMCRALCB251050</v>
      </c>
      <c r="O431" s="90">
        <v>25</v>
      </c>
      <c r="P431" s="89">
        <v>3</v>
      </c>
      <c r="Q431" s="89" t="s">
        <v>503</v>
      </c>
      <c r="R431" s="90">
        <v>1110</v>
      </c>
      <c r="S431" s="90">
        <v>12100</v>
      </c>
      <c r="T431" s="90">
        <v>1050</v>
      </c>
      <c r="U431" s="90">
        <v>1050</v>
      </c>
      <c r="V431" s="90">
        <v>6000</v>
      </c>
      <c r="W431" s="81">
        <v>1</v>
      </c>
      <c r="X431" s="82" t="s">
        <v>529</v>
      </c>
      <c r="Y431" s="83" t="s">
        <v>208</v>
      </c>
      <c r="Z431" s="84">
        <v>6</v>
      </c>
      <c r="AA431" s="85" t="s">
        <v>24</v>
      </c>
      <c r="AB431" s="86">
        <v>1450</v>
      </c>
      <c r="AC431" s="83">
        <v>6</v>
      </c>
      <c r="AD431" s="85" t="s">
        <v>272</v>
      </c>
      <c r="AE431" s="86">
        <v>1250</v>
      </c>
      <c r="AF431" s="83"/>
      <c r="AG431" s="85"/>
      <c r="AH431" s="86"/>
      <c r="AI431" s="83"/>
      <c r="AJ431" s="85"/>
      <c r="AK431" s="86"/>
      <c r="AL431" s="87"/>
      <c r="AM431" s="88"/>
      <c r="AN431" s="198" t="s">
        <v>480</v>
      </c>
      <c r="AO431" s="230" t="str">
        <f t="shared" si="15"/>
        <v>3UNKNZMCRALCB25</v>
      </c>
    </row>
    <row r="432" spans="1:41" ht="24" x14ac:dyDescent="0.15">
      <c r="A432" s="80">
        <v>4561</v>
      </c>
      <c r="B432" s="89">
        <v>272</v>
      </c>
      <c r="C432" s="89">
        <v>3689</v>
      </c>
      <c r="D432" s="89" t="s">
        <v>1367</v>
      </c>
      <c r="E432" s="89" t="s">
        <v>45</v>
      </c>
      <c r="F432" s="89"/>
      <c r="G432" s="89" t="str">
        <f t="shared" si="12"/>
        <v>3UYKNZMCRALCB</v>
      </c>
      <c r="H432" s="89" t="s">
        <v>452</v>
      </c>
      <c r="I432" s="89" t="s">
        <v>2036</v>
      </c>
      <c r="J432" s="89" t="s">
        <v>2235</v>
      </c>
      <c r="K432" s="89" t="s">
        <v>2236</v>
      </c>
      <c r="L432" s="89" t="s">
        <v>2237</v>
      </c>
      <c r="M432" s="89" t="str">
        <f t="shared" si="13"/>
        <v>3UYKNZMCRALCB251110</v>
      </c>
      <c r="N432" s="89" t="str">
        <f t="shared" si="14"/>
        <v>3UYKNZMCRALCB251050</v>
      </c>
      <c r="O432" s="90">
        <v>25</v>
      </c>
      <c r="P432" s="89">
        <v>3</v>
      </c>
      <c r="Q432" s="89" t="s">
        <v>503</v>
      </c>
      <c r="R432" s="90">
        <v>1110</v>
      </c>
      <c r="S432" s="90">
        <v>12100</v>
      </c>
      <c r="T432" s="90">
        <v>1050</v>
      </c>
      <c r="U432" s="90">
        <v>1050</v>
      </c>
      <c r="V432" s="90">
        <v>6000</v>
      </c>
      <c r="W432" s="81">
        <v>1</v>
      </c>
      <c r="X432" s="82" t="s">
        <v>529</v>
      </c>
      <c r="Y432" s="83" t="s">
        <v>208</v>
      </c>
      <c r="Z432" s="84">
        <v>6</v>
      </c>
      <c r="AA432" s="85" t="s">
        <v>24</v>
      </c>
      <c r="AB432" s="86">
        <v>1450</v>
      </c>
      <c r="AC432" s="83">
        <v>6</v>
      </c>
      <c r="AD432" s="85" t="s">
        <v>272</v>
      </c>
      <c r="AE432" s="86">
        <v>1250</v>
      </c>
      <c r="AF432" s="83"/>
      <c r="AG432" s="85"/>
      <c r="AH432" s="86"/>
      <c r="AI432" s="83"/>
      <c r="AJ432" s="85"/>
      <c r="AK432" s="86"/>
      <c r="AL432" s="87"/>
      <c r="AM432" s="88"/>
      <c r="AN432" s="198" t="s">
        <v>480</v>
      </c>
      <c r="AO432" s="230" t="str">
        <f t="shared" si="15"/>
        <v>3UYKNZMCRALCB25</v>
      </c>
    </row>
    <row r="433" spans="1:41" x14ac:dyDescent="0.15">
      <c r="A433" s="80">
        <v>4556</v>
      </c>
      <c r="B433" s="89">
        <v>275</v>
      </c>
      <c r="C433" s="89">
        <v>5174</v>
      </c>
      <c r="D433" s="89" t="s">
        <v>116</v>
      </c>
      <c r="E433" s="89" t="s">
        <v>117</v>
      </c>
      <c r="F433" s="89" t="s">
        <v>2052</v>
      </c>
      <c r="G433" s="89" t="str">
        <f t="shared" si="12"/>
        <v>3TNCLBPETV</v>
      </c>
      <c r="H433" s="89" t="s">
        <v>1653</v>
      </c>
      <c r="I433" s="89" t="s">
        <v>20</v>
      </c>
      <c r="J433" s="89" t="s">
        <v>143</v>
      </c>
      <c r="K433" s="89" t="s">
        <v>2238</v>
      </c>
      <c r="L433" s="89" t="s">
        <v>2239</v>
      </c>
      <c r="M433" s="89" t="str">
        <f t="shared" si="13"/>
        <v>3TNCLBPETV161120</v>
      </c>
      <c r="N433" s="89" t="str">
        <f t="shared" si="14"/>
        <v>3TNCLBPETV161000</v>
      </c>
      <c r="O433" s="90">
        <v>16</v>
      </c>
      <c r="P433" s="89">
        <v>3</v>
      </c>
      <c r="Q433" s="89" t="s">
        <v>2031</v>
      </c>
      <c r="R433" s="90">
        <v>1120</v>
      </c>
      <c r="S433" s="90">
        <v>6000</v>
      </c>
      <c r="T433" s="90">
        <v>1120</v>
      </c>
      <c r="U433" s="90">
        <v>1000</v>
      </c>
      <c r="V433" s="90">
        <v>6000</v>
      </c>
      <c r="W433" s="81">
        <v>2</v>
      </c>
      <c r="X433" s="82" t="s">
        <v>136</v>
      </c>
      <c r="Y433" s="83" t="s">
        <v>15</v>
      </c>
      <c r="Z433" s="84">
        <v>6</v>
      </c>
      <c r="AA433" s="85" t="s">
        <v>147</v>
      </c>
      <c r="AB433" s="86">
        <v>1140</v>
      </c>
      <c r="AC433" s="83">
        <v>6</v>
      </c>
      <c r="AD433" s="85" t="s">
        <v>147</v>
      </c>
      <c r="AE433" s="86">
        <v>1140</v>
      </c>
      <c r="AF433" s="83"/>
      <c r="AG433" s="85"/>
      <c r="AH433" s="86"/>
      <c r="AI433" s="83"/>
      <c r="AJ433" s="85"/>
      <c r="AK433" s="86"/>
      <c r="AL433" s="87"/>
      <c r="AM433" s="88"/>
      <c r="AN433" s="233" t="s">
        <v>476</v>
      </c>
      <c r="AO433" s="230" t="str">
        <f t="shared" si="15"/>
        <v>3TNCLBPETV16</v>
      </c>
    </row>
    <row r="434" spans="1:41" x14ac:dyDescent="0.15">
      <c r="A434" s="80">
        <v>4557</v>
      </c>
      <c r="B434" s="89">
        <v>276</v>
      </c>
      <c r="C434" s="89">
        <v>5174</v>
      </c>
      <c r="D434" s="89" t="s">
        <v>116</v>
      </c>
      <c r="E434" s="89" t="s">
        <v>58</v>
      </c>
      <c r="F434" s="89" t="s">
        <v>2052</v>
      </c>
      <c r="G434" s="89" t="str">
        <f t="shared" si="12"/>
        <v>3UNMCLBHLGKJV</v>
      </c>
      <c r="H434" s="89" t="s">
        <v>1662</v>
      </c>
      <c r="I434" s="89" t="s">
        <v>20</v>
      </c>
      <c r="J434" s="89" t="s">
        <v>165</v>
      </c>
      <c r="K434" s="89" t="s">
        <v>172</v>
      </c>
      <c r="L434" s="89" t="s">
        <v>173</v>
      </c>
      <c r="M434" s="89" t="str">
        <f t="shared" si="13"/>
        <v>3UNMCLBHLGKJV251005</v>
      </c>
      <c r="N434" s="89" t="str">
        <f t="shared" si="14"/>
        <v>3UNMCLBHLGKJV251000</v>
      </c>
      <c r="O434" s="90">
        <v>25</v>
      </c>
      <c r="P434" s="89">
        <v>3</v>
      </c>
      <c r="Q434" s="89" t="s">
        <v>174</v>
      </c>
      <c r="R434" s="90">
        <v>1005</v>
      </c>
      <c r="S434" s="90">
        <v>2000</v>
      </c>
      <c r="T434" s="90">
        <v>1005</v>
      </c>
      <c r="U434" s="90">
        <v>1000</v>
      </c>
      <c r="V434" s="90">
        <v>2000</v>
      </c>
      <c r="W434" s="81">
        <v>2</v>
      </c>
      <c r="X434" s="82" t="s">
        <v>136</v>
      </c>
      <c r="Y434" s="83" t="s">
        <v>2002</v>
      </c>
      <c r="Z434" s="84">
        <v>6</v>
      </c>
      <c r="AA434" s="85" t="s">
        <v>24</v>
      </c>
      <c r="AB434" s="86">
        <v>1450</v>
      </c>
      <c r="AC434" s="83">
        <v>6</v>
      </c>
      <c r="AD434" s="85" t="s">
        <v>175</v>
      </c>
      <c r="AE434" s="86">
        <v>1015</v>
      </c>
      <c r="AF434" s="110">
        <v>2</v>
      </c>
      <c r="AG434" s="85" t="s">
        <v>24</v>
      </c>
      <c r="AH434" s="86">
        <v>1450</v>
      </c>
      <c r="AI434" s="110">
        <v>3</v>
      </c>
      <c r="AJ434" s="85" t="s">
        <v>24</v>
      </c>
      <c r="AK434" s="86">
        <v>1450</v>
      </c>
      <c r="AL434" s="87"/>
      <c r="AM434" s="88"/>
      <c r="AN434" s="233" t="s">
        <v>476</v>
      </c>
      <c r="AO434" s="230" t="str">
        <f t="shared" si="15"/>
        <v>3UNMCLBHLGKJV25</v>
      </c>
    </row>
    <row r="435" spans="1:41" x14ac:dyDescent="0.15">
      <c r="A435" s="80">
        <v>4557</v>
      </c>
      <c r="B435" s="89">
        <v>276</v>
      </c>
      <c r="C435" s="89">
        <v>5174</v>
      </c>
      <c r="D435" s="89" t="s">
        <v>116</v>
      </c>
      <c r="E435" s="89" t="s">
        <v>58</v>
      </c>
      <c r="F435" s="89" t="s">
        <v>2052</v>
      </c>
      <c r="G435" s="89" t="str">
        <f t="shared" si="12"/>
        <v>3UNMCLBHLGKJV</v>
      </c>
      <c r="H435" s="89" t="s">
        <v>1662</v>
      </c>
      <c r="I435" s="89" t="s">
        <v>20</v>
      </c>
      <c r="J435" s="89" t="s">
        <v>165</v>
      </c>
      <c r="K435" s="89" t="s">
        <v>172</v>
      </c>
      <c r="L435" s="89" t="s">
        <v>173</v>
      </c>
      <c r="M435" s="89" t="str">
        <f t="shared" si="13"/>
        <v>3UNMCLBHLGKJV501005</v>
      </c>
      <c r="N435" s="89" t="str">
        <f t="shared" si="14"/>
        <v>3UNMCLBHLGKJV501000</v>
      </c>
      <c r="O435" s="90">
        <v>50</v>
      </c>
      <c r="P435" s="89">
        <v>3</v>
      </c>
      <c r="Q435" s="89" t="s">
        <v>174</v>
      </c>
      <c r="R435" s="90">
        <v>1005</v>
      </c>
      <c r="S435" s="90">
        <v>4000</v>
      </c>
      <c r="T435" s="90">
        <v>1005</v>
      </c>
      <c r="U435" s="90">
        <v>1000</v>
      </c>
      <c r="V435" s="90">
        <v>2000</v>
      </c>
      <c r="W435" s="81">
        <v>2</v>
      </c>
      <c r="X435" s="82" t="s">
        <v>136</v>
      </c>
      <c r="Y435" s="83" t="s">
        <v>2002</v>
      </c>
      <c r="Z435" s="84">
        <v>6</v>
      </c>
      <c r="AA435" s="85" t="s">
        <v>24</v>
      </c>
      <c r="AB435" s="86">
        <v>1450</v>
      </c>
      <c r="AC435" s="83">
        <v>6</v>
      </c>
      <c r="AD435" s="85" t="s">
        <v>175</v>
      </c>
      <c r="AE435" s="86">
        <v>1015</v>
      </c>
      <c r="AF435" s="110">
        <v>2</v>
      </c>
      <c r="AG435" s="85" t="s">
        <v>24</v>
      </c>
      <c r="AH435" s="86">
        <v>1450</v>
      </c>
      <c r="AI435" s="110">
        <v>3</v>
      </c>
      <c r="AJ435" s="85" t="s">
        <v>24</v>
      </c>
      <c r="AK435" s="86">
        <v>1450</v>
      </c>
      <c r="AL435" s="87"/>
      <c r="AM435" s="88"/>
      <c r="AN435" s="233" t="s">
        <v>476</v>
      </c>
      <c r="AO435" s="230" t="str">
        <f t="shared" si="15"/>
        <v>3UNMCLBHLGKJV50</v>
      </c>
    </row>
    <row r="436" spans="1:41" x14ac:dyDescent="0.15">
      <c r="A436" s="80">
        <v>4556</v>
      </c>
      <c r="B436" s="89">
        <v>276</v>
      </c>
      <c r="C436" s="89">
        <v>5174</v>
      </c>
      <c r="D436" s="89" t="s">
        <v>116</v>
      </c>
      <c r="E436" s="89" t="s">
        <v>58</v>
      </c>
      <c r="F436" s="89" t="s">
        <v>2052</v>
      </c>
      <c r="G436" s="89" t="str">
        <f t="shared" si="12"/>
        <v>3TNMCLBHLGKJV</v>
      </c>
      <c r="H436" s="89" t="s">
        <v>1653</v>
      </c>
      <c r="I436" s="89" t="s">
        <v>20</v>
      </c>
      <c r="J436" s="89" t="s">
        <v>165</v>
      </c>
      <c r="K436" s="89" t="s">
        <v>172</v>
      </c>
      <c r="L436" s="89" t="s">
        <v>173</v>
      </c>
      <c r="M436" s="89" t="str">
        <f t="shared" si="13"/>
        <v>3TNMCLBHLGKJV501005</v>
      </c>
      <c r="N436" s="89" t="str">
        <f t="shared" si="14"/>
        <v>3TNMCLBHLGKJV501000</v>
      </c>
      <c r="O436" s="90">
        <v>50</v>
      </c>
      <c r="P436" s="89">
        <v>3</v>
      </c>
      <c r="Q436" s="89" t="s">
        <v>174</v>
      </c>
      <c r="R436" s="90">
        <v>1005</v>
      </c>
      <c r="S436" s="90">
        <v>4000</v>
      </c>
      <c r="T436" s="90">
        <v>1005</v>
      </c>
      <c r="U436" s="90">
        <v>1000</v>
      </c>
      <c r="V436" s="90">
        <v>4000</v>
      </c>
      <c r="W436" s="81">
        <v>2</v>
      </c>
      <c r="X436" s="82" t="s">
        <v>136</v>
      </c>
      <c r="Y436" s="83" t="s">
        <v>2002</v>
      </c>
      <c r="Z436" s="84">
        <v>6</v>
      </c>
      <c r="AA436" s="85" t="s">
        <v>24</v>
      </c>
      <c r="AB436" s="86">
        <v>1450</v>
      </c>
      <c r="AC436" s="83">
        <v>6</v>
      </c>
      <c r="AD436" s="85" t="s">
        <v>175</v>
      </c>
      <c r="AE436" s="86">
        <v>1015</v>
      </c>
      <c r="AF436" s="110">
        <v>2</v>
      </c>
      <c r="AG436" s="85" t="s">
        <v>24</v>
      </c>
      <c r="AH436" s="86">
        <v>1450</v>
      </c>
      <c r="AI436" s="110">
        <v>3</v>
      </c>
      <c r="AJ436" s="85" t="s">
        <v>24</v>
      </c>
      <c r="AK436" s="86">
        <v>1450</v>
      </c>
      <c r="AL436" s="87"/>
      <c r="AM436" s="88"/>
      <c r="AN436" s="233" t="s">
        <v>476</v>
      </c>
      <c r="AO436" s="230" t="str">
        <f t="shared" si="15"/>
        <v>3TNMCLBHLGKJV50</v>
      </c>
    </row>
    <row r="437" spans="1:41" x14ac:dyDescent="0.15">
      <c r="A437" s="80">
        <v>4557</v>
      </c>
      <c r="B437" s="89">
        <v>276</v>
      </c>
      <c r="C437" s="89">
        <v>5174</v>
      </c>
      <c r="D437" s="89" t="s">
        <v>116</v>
      </c>
      <c r="E437" s="89" t="s">
        <v>58</v>
      </c>
      <c r="F437" s="89" t="s">
        <v>2057</v>
      </c>
      <c r="G437" s="89" t="str">
        <f t="shared" si="12"/>
        <v>3UNMCLBHLGTV</v>
      </c>
      <c r="H437" s="89" t="s">
        <v>1662</v>
      </c>
      <c r="I437" s="89" t="s">
        <v>20</v>
      </c>
      <c r="J437" s="89" t="s">
        <v>165</v>
      </c>
      <c r="K437" s="89" t="s">
        <v>176</v>
      </c>
      <c r="L437" s="89" t="s">
        <v>177</v>
      </c>
      <c r="M437" s="89" t="str">
        <f t="shared" si="13"/>
        <v>3UNMCLBHLGTV251005</v>
      </c>
      <c r="N437" s="89" t="str">
        <f t="shared" si="14"/>
        <v>3UNMCLBHLGTV251000</v>
      </c>
      <c r="O437" s="90">
        <v>25</v>
      </c>
      <c r="P437" s="89">
        <v>3</v>
      </c>
      <c r="Q437" s="89" t="s">
        <v>178</v>
      </c>
      <c r="R437" s="90">
        <v>1005</v>
      </c>
      <c r="S437" s="90">
        <v>8000</v>
      </c>
      <c r="T437" s="90">
        <v>1005</v>
      </c>
      <c r="U437" s="90">
        <v>1000</v>
      </c>
      <c r="V437" s="90">
        <v>2000</v>
      </c>
      <c r="W437" s="81">
        <v>2</v>
      </c>
      <c r="X437" s="82" t="s">
        <v>136</v>
      </c>
      <c r="Y437" s="83" t="s">
        <v>2002</v>
      </c>
      <c r="Z437" s="84">
        <v>6</v>
      </c>
      <c r="AA437" s="85" t="s">
        <v>24</v>
      </c>
      <c r="AB437" s="86">
        <v>1450</v>
      </c>
      <c r="AC437" s="83">
        <v>6</v>
      </c>
      <c r="AD437" s="85" t="s">
        <v>175</v>
      </c>
      <c r="AE437" s="86">
        <v>1015</v>
      </c>
      <c r="AF437" s="110">
        <v>2</v>
      </c>
      <c r="AG437" s="85" t="s">
        <v>24</v>
      </c>
      <c r="AH437" s="86">
        <v>1450</v>
      </c>
      <c r="AI437" s="110">
        <v>3</v>
      </c>
      <c r="AJ437" s="85" t="s">
        <v>24</v>
      </c>
      <c r="AK437" s="86">
        <v>1450</v>
      </c>
      <c r="AL437" s="87"/>
      <c r="AM437" s="88"/>
      <c r="AN437" s="233" t="s">
        <v>476</v>
      </c>
      <c r="AO437" s="230" t="str">
        <f t="shared" si="15"/>
        <v>3UNMCLBHLGTV25</v>
      </c>
    </row>
    <row r="438" spans="1:41" x14ac:dyDescent="0.15">
      <c r="A438" s="80">
        <v>4557</v>
      </c>
      <c r="B438" s="89">
        <v>276</v>
      </c>
      <c r="C438" s="89">
        <v>5174</v>
      </c>
      <c r="D438" s="89" t="s">
        <v>116</v>
      </c>
      <c r="E438" s="89" t="s">
        <v>58</v>
      </c>
      <c r="F438" s="89" t="s">
        <v>2057</v>
      </c>
      <c r="G438" s="89" t="str">
        <f t="shared" si="12"/>
        <v>3UNMCLBHLGTV</v>
      </c>
      <c r="H438" s="89" t="s">
        <v>1662</v>
      </c>
      <c r="I438" s="89" t="s">
        <v>20</v>
      </c>
      <c r="J438" s="89" t="s">
        <v>165</v>
      </c>
      <c r="K438" s="89" t="s">
        <v>176</v>
      </c>
      <c r="L438" s="89" t="s">
        <v>177</v>
      </c>
      <c r="M438" s="89" t="str">
        <f t="shared" si="13"/>
        <v>3UNMCLBHLGTV501005</v>
      </c>
      <c r="N438" s="89" t="str">
        <f t="shared" si="14"/>
        <v>3UNMCLBHLGTV501000</v>
      </c>
      <c r="O438" s="90">
        <v>50</v>
      </c>
      <c r="P438" s="89">
        <v>3</v>
      </c>
      <c r="Q438" s="89" t="s">
        <v>178</v>
      </c>
      <c r="R438" s="90">
        <v>1005</v>
      </c>
      <c r="S438" s="90">
        <v>4100</v>
      </c>
      <c r="T438" s="90">
        <v>1005</v>
      </c>
      <c r="U438" s="90">
        <v>1000</v>
      </c>
      <c r="V438" s="90">
        <v>4000</v>
      </c>
      <c r="W438" s="81">
        <v>2</v>
      </c>
      <c r="X438" s="82" t="s">
        <v>136</v>
      </c>
      <c r="Y438" s="83" t="s">
        <v>2002</v>
      </c>
      <c r="Z438" s="84">
        <v>6</v>
      </c>
      <c r="AA438" s="85" t="s">
        <v>24</v>
      </c>
      <c r="AB438" s="86">
        <v>1450</v>
      </c>
      <c r="AC438" s="83">
        <v>6</v>
      </c>
      <c r="AD438" s="85" t="s">
        <v>175</v>
      </c>
      <c r="AE438" s="86">
        <v>1015</v>
      </c>
      <c r="AF438" s="110">
        <v>2</v>
      </c>
      <c r="AG438" s="85" t="s">
        <v>24</v>
      </c>
      <c r="AH438" s="86">
        <v>1450</v>
      </c>
      <c r="AI438" s="110">
        <v>3</v>
      </c>
      <c r="AJ438" s="85" t="s">
        <v>24</v>
      </c>
      <c r="AK438" s="86">
        <v>1450</v>
      </c>
      <c r="AL438" s="87"/>
      <c r="AM438" s="88"/>
      <c r="AN438" s="233" t="s">
        <v>476</v>
      </c>
      <c r="AO438" s="230" t="str">
        <f t="shared" si="15"/>
        <v>3UNMCLBHLGTV50</v>
      </c>
    </row>
    <row r="439" spans="1:41" x14ac:dyDescent="0.15">
      <c r="A439" s="80">
        <v>4556</v>
      </c>
      <c r="B439" s="89">
        <v>276</v>
      </c>
      <c r="C439" s="89">
        <v>5174</v>
      </c>
      <c r="D439" s="89" t="s">
        <v>116</v>
      </c>
      <c r="E439" s="89" t="s">
        <v>58</v>
      </c>
      <c r="F439" s="89" t="s">
        <v>2057</v>
      </c>
      <c r="G439" s="89" t="str">
        <f t="shared" si="12"/>
        <v>3TNMCLBHLGTV</v>
      </c>
      <c r="H439" s="89" t="s">
        <v>1653</v>
      </c>
      <c r="I439" s="89" t="s">
        <v>20</v>
      </c>
      <c r="J439" s="89" t="s">
        <v>165</v>
      </c>
      <c r="K439" s="89" t="s">
        <v>176</v>
      </c>
      <c r="L439" s="89" t="s">
        <v>177</v>
      </c>
      <c r="M439" s="89" t="str">
        <f t="shared" si="13"/>
        <v>3TNMCLBHLGTV501005</v>
      </c>
      <c r="N439" s="89" t="str">
        <f t="shared" si="14"/>
        <v>3TNMCLBHLGTV501000</v>
      </c>
      <c r="O439" s="90">
        <v>50</v>
      </c>
      <c r="P439" s="89">
        <v>3</v>
      </c>
      <c r="Q439" s="89" t="s">
        <v>178</v>
      </c>
      <c r="R439" s="90">
        <v>1005</v>
      </c>
      <c r="S439" s="90">
        <v>4100</v>
      </c>
      <c r="T439" s="90">
        <v>1005</v>
      </c>
      <c r="U439" s="90">
        <v>1000</v>
      </c>
      <c r="V439" s="90">
        <v>4000</v>
      </c>
      <c r="W439" s="81">
        <v>2</v>
      </c>
      <c r="X439" s="82" t="s">
        <v>136</v>
      </c>
      <c r="Y439" s="83" t="s">
        <v>2002</v>
      </c>
      <c r="Z439" s="84">
        <v>6</v>
      </c>
      <c r="AA439" s="85" t="s">
        <v>24</v>
      </c>
      <c r="AB439" s="86">
        <v>1450</v>
      </c>
      <c r="AC439" s="83">
        <v>6</v>
      </c>
      <c r="AD439" s="85" t="s">
        <v>175</v>
      </c>
      <c r="AE439" s="86">
        <v>1015</v>
      </c>
      <c r="AF439" s="110">
        <v>2</v>
      </c>
      <c r="AG439" s="85" t="s">
        <v>24</v>
      </c>
      <c r="AH439" s="86">
        <v>1450</v>
      </c>
      <c r="AI439" s="110">
        <v>3</v>
      </c>
      <c r="AJ439" s="85" t="s">
        <v>24</v>
      </c>
      <c r="AK439" s="86">
        <v>1450</v>
      </c>
      <c r="AL439" s="87"/>
      <c r="AM439" s="88"/>
      <c r="AN439" s="233" t="s">
        <v>476</v>
      </c>
      <c r="AO439" s="230" t="str">
        <f t="shared" si="15"/>
        <v>3TNMCLBHLGTV50</v>
      </c>
    </row>
    <row r="440" spans="1:41" x14ac:dyDescent="0.15">
      <c r="A440" s="80">
        <v>4556</v>
      </c>
      <c r="B440" s="89">
        <v>272</v>
      </c>
      <c r="C440" s="89">
        <v>36882</v>
      </c>
      <c r="D440" s="89" t="s">
        <v>61</v>
      </c>
      <c r="E440" s="89" t="s">
        <v>45</v>
      </c>
      <c r="F440" s="89" t="s">
        <v>46</v>
      </c>
      <c r="G440" s="89" t="str">
        <f t="shared" si="12"/>
        <v>3TNMLBMTSF</v>
      </c>
      <c r="H440" s="89" t="s">
        <v>1653</v>
      </c>
      <c r="I440" s="89" t="s">
        <v>20</v>
      </c>
      <c r="J440" s="89" t="s">
        <v>205</v>
      </c>
      <c r="K440" s="89" t="s">
        <v>242</v>
      </c>
      <c r="L440" s="89" t="s">
        <v>243</v>
      </c>
      <c r="M440" s="89" t="str">
        <f t="shared" si="13"/>
        <v>3TNMLBMTSF501255</v>
      </c>
      <c r="N440" s="89" t="str">
        <f t="shared" si="14"/>
        <v>3TNMLBMTSF501250</v>
      </c>
      <c r="O440" s="90">
        <v>50</v>
      </c>
      <c r="P440" s="89">
        <v>3</v>
      </c>
      <c r="Q440" s="89" t="s">
        <v>151</v>
      </c>
      <c r="R440" s="90">
        <v>1255</v>
      </c>
      <c r="S440" s="90">
        <v>6100</v>
      </c>
      <c r="T440" s="90">
        <v>1250</v>
      </c>
      <c r="U440" s="90">
        <v>1250</v>
      </c>
      <c r="V440" s="90">
        <v>3000</v>
      </c>
      <c r="W440" s="81">
        <v>2</v>
      </c>
      <c r="X440" s="82"/>
      <c r="Y440" s="83" t="s">
        <v>208</v>
      </c>
      <c r="Z440" s="84"/>
      <c r="AA440" s="85"/>
      <c r="AB440" s="86"/>
      <c r="AC440" s="84">
        <v>3</v>
      </c>
      <c r="AD440" s="85" t="s">
        <v>2003</v>
      </c>
      <c r="AE440" s="86">
        <v>1260</v>
      </c>
      <c r="AF440" s="83">
        <v>2</v>
      </c>
      <c r="AG440" s="85" t="s">
        <v>209</v>
      </c>
      <c r="AH440" s="86" t="s">
        <v>2005</v>
      </c>
      <c r="AI440" s="83">
        <v>3</v>
      </c>
      <c r="AJ440" s="85" t="s">
        <v>24</v>
      </c>
      <c r="AK440" s="86">
        <v>1450</v>
      </c>
      <c r="AL440" s="87"/>
      <c r="AM440" s="88"/>
      <c r="AN440" s="88" t="s">
        <v>476</v>
      </c>
      <c r="AO440" s="230" t="str">
        <f t="shared" si="15"/>
        <v>3TNMLBMTSF50</v>
      </c>
    </row>
    <row r="441" spans="1:41" x14ac:dyDescent="0.15">
      <c r="A441" s="80">
        <v>4556</v>
      </c>
      <c r="B441" s="89">
        <v>271</v>
      </c>
      <c r="C441" s="89"/>
      <c r="D441" s="89" t="s">
        <v>530</v>
      </c>
      <c r="E441" s="89" t="s">
        <v>11</v>
      </c>
      <c r="F441" s="89"/>
      <c r="G441" s="89" t="str">
        <f t="shared" si="12"/>
        <v>3TNMLBMBSF</v>
      </c>
      <c r="H441" s="89" t="s">
        <v>1653</v>
      </c>
      <c r="I441" s="89" t="s">
        <v>1550</v>
      </c>
      <c r="J441" s="89" t="s">
        <v>531</v>
      </c>
      <c r="K441" s="89" t="s">
        <v>2240</v>
      </c>
      <c r="L441" s="89" t="s">
        <v>2241</v>
      </c>
      <c r="M441" s="89" t="str">
        <f t="shared" si="13"/>
        <v>3TNMLBMBSF121350</v>
      </c>
      <c r="N441" s="89" t="str">
        <f t="shared" si="14"/>
        <v>3TNMLBMBSF12600</v>
      </c>
      <c r="O441" s="90">
        <v>12</v>
      </c>
      <c r="P441" s="89">
        <v>3</v>
      </c>
      <c r="Q441" s="89" t="s">
        <v>2032</v>
      </c>
      <c r="R441" s="90">
        <v>1350</v>
      </c>
      <c r="S441" s="90">
        <v>12800</v>
      </c>
      <c r="T441" s="90">
        <v>600</v>
      </c>
      <c r="U441" s="90">
        <v>600</v>
      </c>
      <c r="V441" s="90">
        <v>3000</v>
      </c>
      <c r="W441" s="81">
        <v>1</v>
      </c>
      <c r="X441" s="82"/>
      <c r="Y441" s="83" t="s">
        <v>208</v>
      </c>
      <c r="Z441" s="84">
        <v>6</v>
      </c>
      <c r="AA441" s="85" t="s">
        <v>147</v>
      </c>
      <c r="AB441" s="86">
        <v>605</v>
      </c>
      <c r="AC441" s="84">
        <v>3</v>
      </c>
      <c r="AD441" s="122" t="s">
        <v>2003</v>
      </c>
      <c r="AE441" s="86">
        <v>605</v>
      </c>
      <c r="AF441" s="83"/>
      <c r="AG441" s="85"/>
      <c r="AH441" s="86"/>
      <c r="AI441" s="83"/>
      <c r="AJ441" s="85"/>
      <c r="AK441" s="86"/>
      <c r="AL441" s="87"/>
      <c r="AM441" s="88"/>
      <c r="AN441" s="234"/>
      <c r="AO441" s="230" t="str">
        <f t="shared" si="15"/>
        <v>3TNMLBMBSF12</v>
      </c>
    </row>
    <row r="442" spans="1:41" x14ac:dyDescent="0.15">
      <c r="A442" s="80">
        <v>4227</v>
      </c>
      <c r="B442" s="89">
        <v>276</v>
      </c>
      <c r="C442" s="89">
        <v>2220</v>
      </c>
      <c r="D442" s="89" t="s">
        <v>171</v>
      </c>
      <c r="E442" s="89" t="s">
        <v>58</v>
      </c>
      <c r="F442" s="89" t="s">
        <v>46</v>
      </c>
      <c r="G442" s="89" t="str">
        <f t="shared" si="12"/>
        <v>3UNMCLBDMSEYK</v>
      </c>
      <c r="H442" s="89" t="s">
        <v>1662</v>
      </c>
      <c r="I442" s="89" t="s">
        <v>20</v>
      </c>
      <c r="J442" s="89" t="s">
        <v>165</v>
      </c>
      <c r="K442" s="89" t="s">
        <v>2242</v>
      </c>
      <c r="L442" s="89" t="s">
        <v>2243</v>
      </c>
      <c r="M442" s="89" t="str">
        <f t="shared" si="13"/>
        <v>3UNMCLBDMSEYK501300</v>
      </c>
      <c r="N442" s="89" t="str">
        <f t="shared" si="14"/>
        <v>3UNMCLBDMSEYK501190</v>
      </c>
      <c r="O442" s="90">
        <v>50</v>
      </c>
      <c r="P442" s="89">
        <v>3</v>
      </c>
      <c r="Q442" s="89" t="s">
        <v>2004</v>
      </c>
      <c r="R442" s="90">
        <v>1300</v>
      </c>
      <c r="S442" s="90">
        <v>4000</v>
      </c>
      <c r="T442" s="90">
        <v>1190</v>
      </c>
      <c r="U442" s="90">
        <v>1190</v>
      </c>
      <c r="V442" s="90">
        <v>4000</v>
      </c>
      <c r="W442" s="81">
        <v>2</v>
      </c>
      <c r="X442" s="82" t="s">
        <v>136</v>
      </c>
      <c r="Y442" s="83" t="s">
        <v>2002</v>
      </c>
      <c r="Z442" s="84">
        <v>6</v>
      </c>
      <c r="AA442" s="85" t="s">
        <v>24</v>
      </c>
      <c r="AB442" s="86">
        <v>1450</v>
      </c>
      <c r="AC442" s="83">
        <v>6</v>
      </c>
      <c r="AD442" s="85" t="s">
        <v>147</v>
      </c>
      <c r="AE442" s="86">
        <v>1220</v>
      </c>
      <c r="AF442" s="110">
        <v>2</v>
      </c>
      <c r="AG442" s="85" t="s">
        <v>24</v>
      </c>
      <c r="AH442" s="86">
        <v>1450</v>
      </c>
      <c r="AI442" s="110">
        <v>3</v>
      </c>
      <c r="AJ442" s="85" t="s">
        <v>24</v>
      </c>
      <c r="AK442" s="86">
        <v>1450</v>
      </c>
      <c r="AL442" s="87"/>
      <c r="AM442" s="88"/>
      <c r="AN442" s="88" t="s">
        <v>476</v>
      </c>
      <c r="AO442" s="230" t="str">
        <f t="shared" si="15"/>
        <v>3UNMCLBDMSEYK50</v>
      </c>
    </row>
    <row r="443" spans="1:41" x14ac:dyDescent="0.15">
      <c r="A443" s="80">
        <v>4556</v>
      </c>
      <c r="B443" s="89">
        <v>276</v>
      </c>
      <c r="C443" s="89">
        <v>4049</v>
      </c>
      <c r="D443" s="89" t="s">
        <v>311</v>
      </c>
      <c r="E443" s="89" t="s">
        <v>58</v>
      </c>
      <c r="F443" s="89" t="s">
        <v>12</v>
      </c>
      <c r="G443" s="89" t="str">
        <f t="shared" si="12"/>
        <v>3TNDMSX42G</v>
      </c>
      <c r="H443" s="89" t="s">
        <v>265</v>
      </c>
      <c r="I443" s="89" t="s">
        <v>20</v>
      </c>
      <c r="J443" s="89" t="s">
        <v>312</v>
      </c>
      <c r="K443" s="89" t="s">
        <v>313</v>
      </c>
      <c r="L443" s="89" t="s">
        <v>314</v>
      </c>
      <c r="M443" s="89" t="str">
        <f t="shared" si="13"/>
        <v>3TNDMSX42G501360</v>
      </c>
      <c r="N443" s="89" t="str">
        <f t="shared" si="14"/>
        <v>3TNDMSX42G50680</v>
      </c>
      <c r="O443" s="90">
        <v>50</v>
      </c>
      <c r="P443" s="89">
        <v>3</v>
      </c>
      <c r="Q443" s="89" t="s">
        <v>313</v>
      </c>
      <c r="R443" s="90">
        <v>1360</v>
      </c>
      <c r="S443" s="90">
        <v>4100</v>
      </c>
      <c r="T443" s="90">
        <v>680</v>
      </c>
      <c r="U443" s="90">
        <v>680</v>
      </c>
      <c r="V443" s="90">
        <v>2000</v>
      </c>
      <c r="W443" s="81">
        <v>2</v>
      </c>
      <c r="X443" s="82"/>
      <c r="Y443" s="83" t="s">
        <v>208</v>
      </c>
      <c r="Z443" s="84"/>
      <c r="AA443" s="85"/>
      <c r="AB443" s="86"/>
      <c r="AC443" s="84">
        <v>6</v>
      </c>
      <c r="AD443" s="85" t="s">
        <v>24</v>
      </c>
      <c r="AE443" s="86">
        <v>1600</v>
      </c>
      <c r="AF443" s="83">
        <v>2</v>
      </c>
      <c r="AG443" s="85" t="s">
        <v>209</v>
      </c>
      <c r="AH443" s="86" t="s">
        <v>315</v>
      </c>
      <c r="AI443" s="83">
        <v>3</v>
      </c>
      <c r="AJ443" s="85" t="s">
        <v>266</v>
      </c>
      <c r="AK443" s="86">
        <v>1450</v>
      </c>
      <c r="AL443" s="87"/>
      <c r="AM443" s="88"/>
      <c r="AN443" s="233" t="s">
        <v>476</v>
      </c>
      <c r="AO443" s="230" t="str">
        <f t="shared" si="15"/>
        <v>3TNDMSX42G50</v>
      </c>
    </row>
    <row r="444" spans="1:41" x14ac:dyDescent="0.15">
      <c r="A444" s="80">
        <v>4556</v>
      </c>
      <c r="B444" s="89">
        <v>276</v>
      </c>
      <c r="C444" s="89">
        <v>4049</v>
      </c>
      <c r="D444" s="89" t="s">
        <v>316</v>
      </c>
      <c r="E444" s="89" t="s">
        <v>58</v>
      </c>
      <c r="F444" s="89" t="s">
        <v>26</v>
      </c>
      <c r="G444" s="89" t="str">
        <f t="shared" si="12"/>
        <v>3TNDMSX42GPC</v>
      </c>
      <c r="H444" s="89" t="s">
        <v>265</v>
      </c>
      <c r="I444" s="89" t="s">
        <v>20</v>
      </c>
      <c r="J444" s="89" t="s">
        <v>312</v>
      </c>
      <c r="K444" s="89" t="s">
        <v>317</v>
      </c>
      <c r="L444" s="89" t="s">
        <v>318</v>
      </c>
      <c r="M444" s="89" t="str">
        <f t="shared" si="13"/>
        <v>3TNDMSX42GPC501360</v>
      </c>
      <c r="N444" s="89" t="str">
        <f t="shared" si="14"/>
        <v>3TNDMSX42GPC50680</v>
      </c>
      <c r="O444" s="90">
        <v>50</v>
      </c>
      <c r="P444" s="89">
        <v>3</v>
      </c>
      <c r="Q444" s="89" t="s">
        <v>313</v>
      </c>
      <c r="R444" s="90">
        <v>1360</v>
      </c>
      <c r="S444" s="90">
        <v>4100</v>
      </c>
      <c r="T444" s="90">
        <v>680</v>
      </c>
      <c r="U444" s="90">
        <v>680</v>
      </c>
      <c r="V444" s="90">
        <v>2000</v>
      </c>
      <c r="W444" s="81">
        <v>2</v>
      </c>
      <c r="X444" s="82" t="s">
        <v>136</v>
      </c>
      <c r="Y444" s="83" t="s">
        <v>208</v>
      </c>
      <c r="Z444" s="84">
        <v>6</v>
      </c>
      <c r="AA444" s="85" t="s">
        <v>24</v>
      </c>
      <c r="AB444" s="86">
        <v>1450</v>
      </c>
      <c r="AC444" s="83">
        <v>3</v>
      </c>
      <c r="AD444" s="85" t="s">
        <v>2033</v>
      </c>
      <c r="AE444" s="86">
        <v>690</v>
      </c>
      <c r="AF444" s="83"/>
      <c r="AG444" s="85" t="s">
        <v>24</v>
      </c>
      <c r="AH444" s="86">
        <v>1450</v>
      </c>
      <c r="AI444" s="83"/>
      <c r="AJ444" s="85"/>
      <c r="AK444" s="86"/>
      <c r="AL444" s="87"/>
      <c r="AM444" s="88"/>
      <c r="AN444" s="233" t="s">
        <v>476</v>
      </c>
      <c r="AO444" s="230" t="str">
        <f t="shared" si="15"/>
        <v>3TNDMSX42GPC50</v>
      </c>
    </row>
    <row r="445" spans="1:41" x14ac:dyDescent="0.15">
      <c r="A445" s="80">
        <v>4556</v>
      </c>
      <c r="B445" s="89">
        <v>275</v>
      </c>
      <c r="C445" s="89">
        <v>5174</v>
      </c>
      <c r="D445" s="89" t="s">
        <v>116</v>
      </c>
      <c r="E445" s="89" t="s">
        <v>117</v>
      </c>
      <c r="F445" s="89" t="s">
        <v>2052</v>
      </c>
      <c r="G445" s="89" t="str">
        <f t="shared" si="12"/>
        <v>3TNMCLBTET1MV</v>
      </c>
      <c r="H445" s="89" t="s">
        <v>771</v>
      </c>
      <c r="I445" s="89" t="s">
        <v>20</v>
      </c>
      <c r="J445" s="89" t="s">
        <v>165</v>
      </c>
      <c r="K445" s="89" t="s">
        <v>425</v>
      </c>
      <c r="L445" s="89" t="s">
        <v>426</v>
      </c>
      <c r="M445" s="89" t="str">
        <f t="shared" si="13"/>
        <v>3TNMCLBTET1MV381005</v>
      </c>
      <c r="N445" s="89" t="str">
        <f t="shared" si="14"/>
        <v>3TNMCLBTET1MV381000</v>
      </c>
      <c r="O445" s="90">
        <v>38</v>
      </c>
      <c r="P445" s="89">
        <v>3</v>
      </c>
      <c r="Q445" s="89" t="s">
        <v>2034</v>
      </c>
      <c r="R445" s="90">
        <v>1005</v>
      </c>
      <c r="S445" s="90">
        <v>8000</v>
      </c>
      <c r="T445" s="90">
        <v>1005</v>
      </c>
      <c r="U445" s="90">
        <v>1000</v>
      </c>
      <c r="V445" s="90">
        <v>8000</v>
      </c>
      <c r="W445" s="81">
        <v>2</v>
      </c>
      <c r="X445" s="82" t="s">
        <v>136</v>
      </c>
      <c r="Y445" s="83" t="s">
        <v>2002</v>
      </c>
      <c r="Z445" s="84">
        <v>6</v>
      </c>
      <c r="AA445" s="85" t="s">
        <v>24</v>
      </c>
      <c r="AB445" s="86">
        <v>1450</v>
      </c>
      <c r="AC445" s="83">
        <v>6</v>
      </c>
      <c r="AD445" s="85" t="s">
        <v>175</v>
      </c>
      <c r="AE445" s="86">
        <v>1015</v>
      </c>
      <c r="AF445" s="110">
        <v>2</v>
      </c>
      <c r="AG445" s="85" t="s">
        <v>24</v>
      </c>
      <c r="AH445" s="86">
        <v>1450</v>
      </c>
      <c r="AI445" s="110">
        <v>3</v>
      </c>
      <c r="AJ445" s="85" t="s">
        <v>24</v>
      </c>
      <c r="AK445" s="86">
        <v>1450</v>
      </c>
      <c r="AL445" s="87"/>
      <c r="AM445" s="88"/>
      <c r="AN445" s="233" t="s">
        <v>476</v>
      </c>
      <c r="AO445" s="230" t="str">
        <f t="shared" ref="AO445:AO454" si="18">G445&amp;O445</f>
        <v>3TNMCLBTET1MV38</v>
      </c>
    </row>
    <row r="446" spans="1:41" x14ac:dyDescent="0.15">
      <c r="A446" s="80">
        <v>4556</v>
      </c>
      <c r="B446" s="89">
        <v>275</v>
      </c>
      <c r="C446" s="89">
        <v>5174</v>
      </c>
      <c r="D446" s="89" t="s">
        <v>116</v>
      </c>
      <c r="E446" s="89" t="s">
        <v>117</v>
      </c>
      <c r="F446" s="89" t="s">
        <v>2052</v>
      </c>
      <c r="G446" s="89" t="str">
        <f t="shared" si="12"/>
        <v>3TNMCLBHLKTV</v>
      </c>
      <c r="H446" s="89" t="s">
        <v>265</v>
      </c>
      <c r="I446" s="89" t="s">
        <v>20</v>
      </c>
      <c r="J446" s="89" t="s">
        <v>165</v>
      </c>
      <c r="K446" s="89" t="s">
        <v>319</v>
      </c>
      <c r="L446" s="89" t="s">
        <v>320</v>
      </c>
      <c r="M446" s="89" t="str">
        <f t="shared" si="13"/>
        <v>3TNMCLBHLKTV251030</v>
      </c>
      <c r="N446" s="89" t="str">
        <f t="shared" si="14"/>
        <v>3TNMCLBHLKTV251000</v>
      </c>
      <c r="O446" s="90">
        <v>25</v>
      </c>
      <c r="P446" s="89">
        <v>3</v>
      </c>
      <c r="Q446" s="89" t="s">
        <v>2340</v>
      </c>
      <c r="R446" s="90">
        <v>1030</v>
      </c>
      <c r="S446" s="90">
        <v>4000</v>
      </c>
      <c r="T446" s="90">
        <v>1000</v>
      </c>
      <c r="U446" s="90">
        <v>1000</v>
      </c>
      <c r="V446" s="90">
        <v>2000</v>
      </c>
      <c r="W446" s="81">
        <v>2</v>
      </c>
      <c r="X446" s="82" t="s">
        <v>136</v>
      </c>
      <c r="Y446" s="83" t="s">
        <v>2002</v>
      </c>
      <c r="Z446" s="84">
        <v>6</v>
      </c>
      <c r="AA446" s="85" t="s">
        <v>24</v>
      </c>
      <c r="AB446" s="86">
        <v>1450</v>
      </c>
      <c r="AC446" s="83">
        <v>6</v>
      </c>
      <c r="AD446" s="85" t="s">
        <v>175</v>
      </c>
      <c r="AE446" s="86">
        <v>1015</v>
      </c>
      <c r="AF446" s="83"/>
      <c r="AG446" s="85" t="s">
        <v>24</v>
      </c>
      <c r="AH446" s="86">
        <v>1450</v>
      </c>
      <c r="AI446" s="83"/>
      <c r="AJ446" s="85"/>
      <c r="AK446" s="86"/>
      <c r="AL446" s="87"/>
      <c r="AM446" s="88"/>
      <c r="AN446" s="233" t="s">
        <v>476</v>
      </c>
      <c r="AO446" s="196" t="str">
        <f t="shared" si="18"/>
        <v>3TNMCLBHLKTV25</v>
      </c>
    </row>
    <row r="447" spans="1:41" x14ac:dyDescent="0.15">
      <c r="A447" s="80">
        <v>4556</v>
      </c>
      <c r="B447" s="89">
        <v>275</v>
      </c>
      <c r="C447" s="89">
        <v>5174</v>
      </c>
      <c r="D447" s="89" t="s">
        <v>116</v>
      </c>
      <c r="E447" s="89" t="s">
        <v>117</v>
      </c>
      <c r="F447" s="89" t="s">
        <v>2052</v>
      </c>
      <c r="G447" s="89" t="str">
        <f t="shared" si="12"/>
        <v>3TNMCLBHLKTV</v>
      </c>
      <c r="H447" s="89" t="s">
        <v>265</v>
      </c>
      <c r="I447" s="89" t="s">
        <v>20</v>
      </c>
      <c r="J447" s="89" t="s">
        <v>165</v>
      </c>
      <c r="K447" s="89" t="s">
        <v>319</v>
      </c>
      <c r="L447" s="89" t="s">
        <v>320</v>
      </c>
      <c r="M447" s="89" t="str">
        <f t="shared" si="13"/>
        <v>3TNMCLBHLKTV501030</v>
      </c>
      <c r="N447" s="89" t="str">
        <f t="shared" si="14"/>
        <v>3TNMCLBHLKTV501000</v>
      </c>
      <c r="O447" s="90">
        <v>50</v>
      </c>
      <c r="P447" s="89">
        <v>3</v>
      </c>
      <c r="Q447" s="89" t="s">
        <v>321</v>
      </c>
      <c r="R447" s="90">
        <v>1030</v>
      </c>
      <c r="S447" s="90">
        <v>4100</v>
      </c>
      <c r="T447" s="90">
        <v>1000</v>
      </c>
      <c r="U447" s="90">
        <v>1000</v>
      </c>
      <c r="V447" s="90">
        <v>2000</v>
      </c>
      <c r="W447" s="81">
        <v>2</v>
      </c>
      <c r="X447" s="82" t="s">
        <v>136</v>
      </c>
      <c r="Y447" s="83" t="s">
        <v>2002</v>
      </c>
      <c r="Z447" s="84">
        <v>6</v>
      </c>
      <c r="AA447" s="85" t="s">
        <v>24</v>
      </c>
      <c r="AB447" s="86">
        <v>1450</v>
      </c>
      <c r="AC447" s="83">
        <v>6</v>
      </c>
      <c r="AD447" s="85" t="s">
        <v>175</v>
      </c>
      <c r="AE447" s="86">
        <v>1015</v>
      </c>
      <c r="AF447" s="83"/>
      <c r="AG447" s="85" t="s">
        <v>24</v>
      </c>
      <c r="AH447" s="86">
        <v>1450</v>
      </c>
      <c r="AI447" s="83"/>
      <c r="AJ447" s="85"/>
      <c r="AK447" s="86"/>
      <c r="AL447" s="87"/>
      <c r="AM447" s="88"/>
      <c r="AN447" s="233" t="s">
        <v>476</v>
      </c>
      <c r="AO447" s="230" t="str">
        <f t="shared" si="18"/>
        <v>3TNMCLBHLKTV50</v>
      </c>
    </row>
    <row r="448" spans="1:41" x14ac:dyDescent="0.15">
      <c r="A448" s="116">
        <v>4556</v>
      </c>
      <c r="B448" s="91">
        <v>275</v>
      </c>
      <c r="C448" s="91">
        <v>5174</v>
      </c>
      <c r="D448" s="91" t="s">
        <v>116</v>
      </c>
      <c r="E448" s="91" t="s">
        <v>117</v>
      </c>
      <c r="F448" s="91" t="s">
        <v>2052</v>
      </c>
      <c r="G448" s="91" t="str">
        <f t="shared" si="12"/>
        <v>3TNMCLBHLDTV</v>
      </c>
      <c r="H448" s="91" t="s">
        <v>265</v>
      </c>
      <c r="I448" s="91" t="s">
        <v>20</v>
      </c>
      <c r="J448" s="91" t="s">
        <v>165</v>
      </c>
      <c r="K448" s="91" t="s">
        <v>322</v>
      </c>
      <c r="L448" s="91" t="s">
        <v>323</v>
      </c>
      <c r="M448" s="91" t="str">
        <f t="shared" si="13"/>
        <v>3TNMCLBHLDTV501030</v>
      </c>
      <c r="N448" s="91" t="str">
        <f t="shared" si="14"/>
        <v>3TNMCLBHLDTV501000</v>
      </c>
      <c r="O448" s="117">
        <v>50</v>
      </c>
      <c r="P448" s="91">
        <v>3</v>
      </c>
      <c r="Q448" s="91" t="s">
        <v>2341</v>
      </c>
      <c r="R448" s="117">
        <v>1030</v>
      </c>
      <c r="S448" s="117">
        <v>4100</v>
      </c>
      <c r="T448" s="117">
        <v>1005</v>
      </c>
      <c r="U448" s="117">
        <v>1000</v>
      </c>
      <c r="V448" s="117">
        <v>2000</v>
      </c>
      <c r="W448" s="118">
        <v>2</v>
      </c>
      <c r="X448" s="119" t="s">
        <v>136</v>
      </c>
      <c r="Y448" s="120" t="s">
        <v>2002</v>
      </c>
      <c r="Z448" s="121">
        <v>6</v>
      </c>
      <c r="AA448" s="85" t="s">
        <v>24</v>
      </c>
      <c r="AB448" s="123">
        <v>1450</v>
      </c>
      <c r="AC448" s="120">
        <v>6</v>
      </c>
      <c r="AD448" s="122" t="s">
        <v>175</v>
      </c>
      <c r="AE448" s="123">
        <v>1015</v>
      </c>
      <c r="AF448" s="120"/>
      <c r="AG448" s="122" t="s">
        <v>24</v>
      </c>
      <c r="AH448" s="123">
        <v>1450</v>
      </c>
      <c r="AI448" s="120"/>
      <c r="AJ448" s="122"/>
      <c r="AK448" s="123"/>
      <c r="AL448" s="124"/>
      <c r="AM448" s="125"/>
      <c r="AN448" s="235" t="s">
        <v>476</v>
      </c>
      <c r="AO448" s="196" t="str">
        <f t="shared" si="18"/>
        <v>3TNMCLBHLDTV50</v>
      </c>
    </row>
    <row r="449" spans="1:41" x14ac:dyDescent="0.15">
      <c r="A449" s="80">
        <v>4556</v>
      </c>
      <c r="B449" s="89">
        <v>275</v>
      </c>
      <c r="C449" s="89">
        <v>2042</v>
      </c>
      <c r="D449" s="89" t="s">
        <v>247</v>
      </c>
      <c r="E449" s="89" t="s">
        <v>117</v>
      </c>
      <c r="F449" s="89" t="s">
        <v>2052</v>
      </c>
      <c r="G449" s="89" t="str">
        <f t="shared" ref="G449:G454" si="19">CONCATENATE(P449,H449,I449,J449,K449)</f>
        <v>3TNMLBHLGTF</v>
      </c>
      <c r="H449" s="89" t="s">
        <v>1653</v>
      </c>
      <c r="I449" s="89" t="s">
        <v>20</v>
      </c>
      <c r="J449" s="89" t="s">
        <v>422</v>
      </c>
      <c r="K449" s="89" t="s">
        <v>2244</v>
      </c>
      <c r="L449" s="89" t="s">
        <v>1000</v>
      </c>
      <c r="M449" s="89" t="str">
        <f t="shared" ref="M449:M454" si="20">G449&amp;O449&amp;R449</f>
        <v>3TNMLBHLGTF501005</v>
      </c>
      <c r="N449" s="89" t="str">
        <f t="shared" ref="N449:N454" si="21">G449&amp;O449&amp;U449</f>
        <v>3TNMLBHLGTF501000</v>
      </c>
      <c r="O449" s="90">
        <v>50</v>
      </c>
      <c r="P449" s="89">
        <v>3</v>
      </c>
      <c r="Q449" s="89" t="s">
        <v>999</v>
      </c>
      <c r="R449" s="90">
        <v>1005</v>
      </c>
      <c r="S449" s="90">
        <v>4100</v>
      </c>
      <c r="T449" s="90">
        <v>1005</v>
      </c>
      <c r="U449" s="90">
        <v>1000</v>
      </c>
      <c r="V449" s="90">
        <v>4100</v>
      </c>
      <c r="W449" s="81">
        <v>2</v>
      </c>
      <c r="X449" s="82"/>
      <c r="Y449" s="83" t="s">
        <v>208</v>
      </c>
      <c r="Z449" s="84"/>
      <c r="AA449" s="85"/>
      <c r="AB449" s="86"/>
      <c r="AC449" s="84">
        <v>6</v>
      </c>
      <c r="AD449" s="85"/>
      <c r="AE449" s="86"/>
      <c r="AF449" s="83"/>
      <c r="AG449" s="85"/>
      <c r="AH449" s="86"/>
      <c r="AI449" s="83"/>
      <c r="AJ449" s="85"/>
      <c r="AK449" s="86"/>
      <c r="AL449" s="87"/>
      <c r="AM449" s="88"/>
      <c r="AN449" s="88" t="s">
        <v>476</v>
      </c>
      <c r="AO449" s="230" t="str">
        <f t="shared" si="18"/>
        <v>3TNMLBHLGTF50</v>
      </c>
    </row>
    <row r="450" spans="1:41" x14ac:dyDescent="0.15">
      <c r="A450" s="116">
        <v>4556</v>
      </c>
      <c r="B450" s="91">
        <v>276</v>
      </c>
      <c r="C450" s="91">
        <v>3540</v>
      </c>
      <c r="D450" s="91" t="s">
        <v>324</v>
      </c>
      <c r="E450" s="91" t="s">
        <v>58</v>
      </c>
      <c r="F450" s="91" t="s">
        <v>46</v>
      </c>
      <c r="G450" s="91" t="str">
        <f t="shared" si="19"/>
        <v>3UNMLBKF9BF</v>
      </c>
      <c r="H450" s="91" t="s">
        <v>452</v>
      </c>
      <c r="I450" s="91" t="s">
        <v>20</v>
      </c>
      <c r="J450" s="91" t="s">
        <v>422</v>
      </c>
      <c r="K450" s="91" t="s">
        <v>325</v>
      </c>
      <c r="L450" s="91" t="s">
        <v>326</v>
      </c>
      <c r="M450" s="91" t="str">
        <f t="shared" si="20"/>
        <v>3UNMLBKF9BF91280</v>
      </c>
      <c r="N450" s="91" t="str">
        <f t="shared" si="21"/>
        <v>3UNMLBKF9BF91200</v>
      </c>
      <c r="O450" s="117">
        <v>9</v>
      </c>
      <c r="P450" s="91">
        <v>3</v>
      </c>
      <c r="Q450" s="91" t="s">
        <v>327</v>
      </c>
      <c r="R450" s="117">
        <v>1280</v>
      </c>
      <c r="S450" s="117">
        <v>12000</v>
      </c>
      <c r="T450" s="117">
        <v>1200</v>
      </c>
      <c r="U450" s="117">
        <v>1200</v>
      </c>
      <c r="V450" s="117">
        <v>2000</v>
      </c>
      <c r="W450" s="118">
        <v>2</v>
      </c>
      <c r="X450" s="119"/>
      <c r="Y450" s="120" t="s">
        <v>208</v>
      </c>
      <c r="Z450" s="121"/>
      <c r="AA450" s="122"/>
      <c r="AB450" s="123"/>
      <c r="AC450" s="121">
        <v>3</v>
      </c>
      <c r="AD450" s="122" t="s">
        <v>2033</v>
      </c>
      <c r="AE450" s="123">
        <v>1220</v>
      </c>
      <c r="AF450" s="120"/>
      <c r="AG450" s="122"/>
      <c r="AH450" s="123"/>
      <c r="AI450" s="120"/>
      <c r="AJ450" s="122"/>
      <c r="AK450" s="123"/>
      <c r="AL450" s="124"/>
      <c r="AM450" s="125"/>
      <c r="AN450" s="235" t="s">
        <v>476</v>
      </c>
      <c r="AO450" s="232" t="str">
        <f t="shared" si="18"/>
        <v>3UNMLBKF9BF9</v>
      </c>
    </row>
    <row r="451" spans="1:41" x14ac:dyDescent="0.15">
      <c r="A451" s="116">
        <v>4556</v>
      </c>
      <c r="B451" s="91">
        <v>276</v>
      </c>
      <c r="C451" s="91">
        <v>3540</v>
      </c>
      <c r="D451" s="91" t="s">
        <v>324</v>
      </c>
      <c r="E451" s="91" t="s">
        <v>58</v>
      </c>
      <c r="F451" s="91" t="s">
        <v>46</v>
      </c>
      <c r="G451" s="91" t="str">
        <f t="shared" si="19"/>
        <v>3UNMLBKF9BF</v>
      </c>
      <c r="H451" s="91" t="s">
        <v>452</v>
      </c>
      <c r="I451" s="91" t="s">
        <v>20</v>
      </c>
      <c r="J451" s="91" t="s">
        <v>422</v>
      </c>
      <c r="K451" s="91" t="s">
        <v>325</v>
      </c>
      <c r="L451" s="91" t="s">
        <v>326</v>
      </c>
      <c r="M451" s="91" t="str">
        <f t="shared" si="20"/>
        <v>3UNMLBKF9BF91400</v>
      </c>
      <c r="N451" s="91" t="str">
        <f t="shared" si="21"/>
        <v>3UNMLBKF9BF91200</v>
      </c>
      <c r="O451" s="117">
        <v>9</v>
      </c>
      <c r="P451" s="91">
        <v>3</v>
      </c>
      <c r="Q451" s="91" t="s">
        <v>327</v>
      </c>
      <c r="R451" s="117">
        <v>1400</v>
      </c>
      <c r="S451" s="117">
        <v>12000</v>
      </c>
      <c r="T451" s="117">
        <v>1200</v>
      </c>
      <c r="U451" s="117">
        <v>1200</v>
      </c>
      <c r="V451" s="117">
        <v>2000</v>
      </c>
      <c r="W451" s="118">
        <v>2</v>
      </c>
      <c r="X451" s="119"/>
      <c r="Y451" s="120" t="s">
        <v>208</v>
      </c>
      <c r="Z451" s="121"/>
      <c r="AA451" s="122"/>
      <c r="AB451" s="123"/>
      <c r="AC451" s="121">
        <v>3</v>
      </c>
      <c r="AD451" s="122" t="s">
        <v>2033</v>
      </c>
      <c r="AE451" s="123">
        <v>1220</v>
      </c>
      <c r="AF451" s="120"/>
      <c r="AG451" s="122"/>
      <c r="AH451" s="123"/>
      <c r="AI451" s="120"/>
      <c r="AJ451" s="122"/>
      <c r="AK451" s="123"/>
      <c r="AL451" s="124"/>
      <c r="AM451" s="125"/>
      <c r="AN451" s="235" t="s">
        <v>476</v>
      </c>
      <c r="AO451" s="232" t="str">
        <f t="shared" si="18"/>
        <v>3UNMLBKF9BF9</v>
      </c>
    </row>
    <row r="452" spans="1:41" x14ac:dyDescent="0.15">
      <c r="A452" s="116">
        <v>4556</v>
      </c>
      <c r="B452" s="91">
        <v>276</v>
      </c>
      <c r="C452" s="91">
        <v>3540</v>
      </c>
      <c r="D452" s="91" t="s">
        <v>324</v>
      </c>
      <c r="E452" s="91" t="s">
        <v>58</v>
      </c>
      <c r="F452" s="91" t="s">
        <v>46</v>
      </c>
      <c r="G452" s="91" t="str">
        <f t="shared" si="19"/>
        <v>3UNMLBKF9BF</v>
      </c>
      <c r="H452" s="91" t="s">
        <v>452</v>
      </c>
      <c r="I452" s="91" t="s">
        <v>20</v>
      </c>
      <c r="J452" s="91" t="s">
        <v>422</v>
      </c>
      <c r="K452" s="91" t="s">
        <v>325</v>
      </c>
      <c r="L452" s="91" t="s">
        <v>326</v>
      </c>
      <c r="M452" s="91" t="str">
        <f t="shared" si="20"/>
        <v>3UNMLBKF9BF91400</v>
      </c>
      <c r="N452" s="91" t="str">
        <f t="shared" si="21"/>
        <v>3UNMLBKF9BF91000</v>
      </c>
      <c r="O452" s="117">
        <v>9</v>
      </c>
      <c r="P452" s="91">
        <v>3</v>
      </c>
      <c r="Q452" s="91" t="s">
        <v>327</v>
      </c>
      <c r="R452" s="117">
        <v>1400</v>
      </c>
      <c r="S452" s="117">
        <v>12000</v>
      </c>
      <c r="T452" s="117">
        <v>1000</v>
      </c>
      <c r="U452" s="117">
        <v>1000</v>
      </c>
      <c r="V452" s="117">
        <v>500</v>
      </c>
      <c r="W452" s="118">
        <v>2</v>
      </c>
      <c r="X452" s="119"/>
      <c r="Y452" s="120" t="s">
        <v>208</v>
      </c>
      <c r="Z452" s="121"/>
      <c r="AA452" s="122"/>
      <c r="AB452" s="123"/>
      <c r="AC452" s="121">
        <v>3</v>
      </c>
      <c r="AD452" s="122" t="s">
        <v>2033</v>
      </c>
      <c r="AE452" s="123">
        <v>1020</v>
      </c>
      <c r="AF452" s="120"/>
      <c r="AG452" s="122"/>
      <c r="AH452" s="123"/>
      <c r="AI452" s="120"/>
      <c r="AJ452" s="122"/>
      <c r="AK452" s="123"/>
      <c r="AL452" s="124"/>
      <c r="AM452" s="125"/>
      <c r="AN452" s="235" t="s">
        <v>476</v>
      </c>
      <c r="AO452" s="232" t="str">
        <f t="shared" si="18"/>
        <v>3UNMLBKF9BF9</v>
      </c>
    </row>
    <row r="453" spans="1:41" ht="12.75" thickBot="1" x14ac:dyDescent="0.2">
      <c r="A453" s="94">
        <v>4556</v>
      </c>
      <c r="B453" s="95">
        <v>276</v>
      </c>
      <c r="C453" s="95">
        <v>3540</v>
      </c>
      <c r="D453" s="95" t="s">
        <v>324</v>
      </c>
      <c r="E453" s="95" t="s">
        <v>58</v>
      </c>
      <c r="F453" s="95" t="s">
        <v>46</v>
      </c>
      <c r="G453" s="95" t="str">
        <f t="shared" si="19"/>
        <v>3UNMLBKF9BF</v>
      </c>
      <c r="H453" s="95" t="s">
        <v>452</v>
      </c>
      <c r="I453" s="95" t="s">
        <v>20</v>
      </c>
      <c r="J453" s="95" t="s">
        <v>422</v>
      </c>
      <c r="K453" s="95" t="s">
        <v>325</v>
      </c>
      <c r="L453" s="95" t="s">
        <v>326</v>
      </c>
      <c r="M453" s="95" t="str">
        <f t="shared" si="20"/>
        <v>3UNMLBKF9BF91400</v>
      </c>
      <c r="N453" s="95" t="str">
        <f t="shared" si="21"/>
        <v>3UNMLBKF9BF91360</v>
      </c>
      <c r="O453" s="96">
        <v>9</v>
      </c>
      <c r="P453" s="95">
        <v>3</v>
      </c>
      <c r="Q453" s="95" t="s">
        <v>327</v>
      </c>
      <c r="R453" s="96">
        <v>1400</v>
      </c>
      <c r="S453" s="96">
        <v>12000</v>
      </c>
      <c r="T453" s="96">
        <v>1360</v>
      </c>
      <c r="U453" s="96">
        <v>1360</v>
      </c>
      <c r="V453" s="96">
        <v>2100</v>
      </c>
      <c r="W453" s="97">
        <v>2</v>
      </c>
      <c r="X453" s="98"/>
      <c r="Y453" s="99" t="s">
        <v>208</v>
      </c>
      <c r="Z453" s="100"/>
      <c r="AA453" s="101"/>
      <c r="AB453" s="102"/>
      <c r="AC453" s="100">
        <v>3</v>
      </c>
      <c r="AD453" s="101" t="s">
        <v>2033</v>
      </c>
      <c r="AE453" s="102">
        <v>1380</v>
      </c>
      <c r="AF453" s="99"/>
      <c r="AG453" s="101"/>
      <c r="AH453" s="102"/>
      <c r="AI453" s="99"/>
      <c r="AJ453" s="101"/>
      <c r="AK453" s="102"/>
      <c r="AL453" s="103"/>
      <c r="AM453" s="104"/>
      <c r="AN453" s="236" t="s">
        <v>476</v>
      </c>
      <c r="AO453" s="237" t="str">
        <f t="shared" si="18"/>
        <v>3UNMLBKF9BF9</v>
      </c>
    </row>
    <row r="454" spans="1:41" x14ac:dyDescent="0.15">
      <c r="A454" s="80">
        <v>4113</v>
      </c>
      <c r="B454" s="89">
        <v>272</v>
      </c>
      <c r="C454" s="89">
        <v>4641</v>
      </c>
      <c r="D454" s="89" t="s">
        <v>98</v>
      </c>
      <c r="E454" s="89" t="s">
        <v>45</v>
      </c>
      <c r="F454" s="89" t="s">
        <v>46</v>
      </c>
      <c r="G454" s="89" t="str">
        <f t="shared" si="19"/>
        <v>3TNCERASY08</v>
      </c>
      <c r="H454" s="89" t="s">
        <v>1653</v>
      </c>
      <c r="I454" s="89" t="s">
        <v>20</v>
      </c>
      <c r="J454" s="89" t="s">
        <v>21</v>
      </c>
      <c r="K454" s="89" t="s">
        <v>99</v>
      </c>
      <c r="L454" s="89" t="s">
        <v>100</v>
      </c>
      <c r="M454" s="89" t="str">
        <f t="shared" si="20"/>
        <v>3TNCERASY08251045</v>
      </c>
      <c r="N454" s="89" t="str">
        <f t="shared" si="21"/>
        <v>3TNCERASY0825500</v>
      </c>
      <c r="O454" s="90">
        <v>25</v>
      </c>
      <c r="P454" s="89">
        <v>3</v>
      </c>
      <c r="Q454" s="89" t="s">
        <v>19</v>
      </c>
      <c r="R454" s="90">
        <v>1045</v>
      </c>
      <c r="S454" s="90">
        <v>12400</v>
      </c>
      <c r="T454" s="90">
        <v>500</v>
      </c>
      <c r="U454" s="90">
        <v>500</v>
      </c>
      <c r="V454" s="90">
        <v>4000</v>
      </c>
      <c r="W454" s="81">
        <v>2</v>
      </c>
      <c r="X454" s="82" t="s">
        <v>14</v>
      </c>
      <c r="Y454" s="83" t="s">
        <v>295</v>
      </c>
      <c r="Z454" s="84">
        <v>6</v>
      </c>
      <c r="AA454" s="85" t="s">
        <v>24</v>
      </c>
      <c r="AB454" s="86">
        <v>1450</v>
      </c>
      <c r="AC454" s="83">
        <v>3</v>
      </c>
      <c r="AD454" s="85" t="s">
        <v>1661</v>
      </c>
      <c r="AE454" s="86">
        <v>505</v>
      </c>
      <c r="AF454" s="83"/>
      <c r="AG454" s="85"/>
      <c r="AH454" s="86"/>
      <c r="AI454" s="83"/>
      <c r="AJ454" s="85"/>
      <c r="AK454" s="86"/>
      <c r="AL454" s="87"/>
      <c r="AM454" s="88"/>
      <c r="AN454" s="88" t="s">
        <v>471</v>
      </c>
      <c r="AO454" s="230" t="str">
        <f t="shared" si="18"/>
        <v>3TNCERASY0825</v>
      </c>
    </row>
  </sheetData>
  <sheetProtection sheet="1" objects="1" scenarios="1"/>
  <sortState xmlns:xlrd2="http://schemas.microsoft.com/office/spreadsheetml/2017/richdata2" ref="A4:S276">
    <sortCondition ref="Q4:Q276"/>
  </sortState>
  <phoneticPr fontId="1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620"/>
  <sheetViews>
    <sheetView workbookViewId="0">
      <pane xSplit="5" ySplit="2" topLeftCell="F1550" activePane="bottomRight" state="frozen"/>
      <selection pane="topRight" activeCell="F1" sqref="F1"/>
      <selection pane="bottomLeft" activeCell="A3" sqref="A3"/>
      <selection pane="bottomRight" activeCell="A1556" sqref="A1556:W1620"/>
    </sheetView>
  </sheetViews>
  <sheetFormatPr defaultColWidth="9" defaultRowHeight="12" x14ac:dyDescent="0.15"/>
  <cols>
    <col min="1" max="1" width="8.5" style="143" bestFit="1" customWidth="1"/>
    <col min="2" max="2" width="15.5" style="143" bestFit="1" customWidth="1"/>
    <col min="3" max="4" width="12.375" style="143" bestFit="1" customWidth="1"/>
    <col min="5" max="5" width="16.125" style="143" customWidth="1"/>
    <col min="6" max="6" width="3.875" style="143" customWidth="1"/>
    <col min="7" max="7" width="4" style="143" customWidth="1"/>
    <col min="8" max="8" width="3.5" style="143" customWidth="1"/>
    <col min="9" max="9" width="4.75" style="143" customWidth="1"/>
    <col min="10" max="10" width="5.875" style="143" customWidth="1"/>
    <col min="11" max="11" width="6.125" style="143" customWidth="1"/>
    <col min="12" max="12" width="3.25" style="143" customWidth="1"/>
    <col min="13" max="13" width="40.125" style="143" customWidth="1"/>
    <col min="14" max="16" width="7.25" style="144" customWidth="1"/>
    <col min="17" max="17" width="4" style="143" customWidth="1"/>
    <col min="18" max="18" width="6.875" style="143" customWidth="1"/>
    <col min="19" max="19" width="5.375" style="143" customWidth="1"/>
    <col min="20" max="21" width="10.5" style="145" bestFit="1" customWidth="1"/>
    <col min="22" max="22" width="15.125" style="143" bestFit="1" customWidth="1"/>
    <col min="23" max="23" width="13" style="143" bestFit="1" customWidth="1"/>
    <col min="24" max="25" width="9" style="143"/>
    <col min="26" max="28" width="9" style="148" customWidth="1"/>
    <col min="29" max="16384" width="9" style="143"/>
  </cols>
  <sheetData>
    <row r="1" spans="1:28" s="141" customFormat="1" ht="11.25" x14ac:dyDescent="0.15">
      <c r="A1" s="140">
        <v>1</v>
      </c>
      <c r="B1" s="140">
        <v>2</v>
      </c>
      <c r="C1" s="140">
        <v>3</v>
      </c>
      <c r="D1" s="140">
        <v>4</v>
      </c>
      <c r="E1" s="140">
        <v>5</v>
      </c>
      <c r="F1" s="140">
        <v>6</v>
      </c>
      <c r="G1" s="140">
        <v>7</v>
      </c>
      <c r="H1" s="140">
        <v>8</v>
      </c>
      <c r="I1" s="140">
        <v>9</v>
      </c>
      <c r="J1" s="140">
        <v>10</v>
      </c>
      <c r="K1" s="140">
        <v>11</v>
      </c>
      <c r="L1" s="140">
        <v>12</v>
      </c>
      <c r="M1" s="140">
        <v>13</v>
      </c>
      <c r="N1" s="140">
        <v>14</v>
      </c>
      <c r="O1" s="140">
        <v>15</v>
      </c>
      <c r="P1" s="140">
        <v>16</v>
      </c>
      <c r="Q1" s="140">
        <v>17</v>
      </c>
      <c r="R1" s="140">
        <v>18</v>
      </c>
      <c r="S1" s="140">
        <v>19</v>
      </c>
      <c r="T1" s="140">
        <v>20</v>
      </c>
      <c r="U1" s="140">
        <v>21</v>
      </c>
      <c r="V1" s="140">
        <v>22</v>
      </c>
      <c r="W1" s="140">
        <v>23</v>
      </c>
      <c r="X1" s="140">
        <v>24</v>
      </c>
      <c r="Z1" s="146"/>
      <c r="AA1" s="146"/>
      <c r="AB1" s="146"/>
    </row>
    <row r="2" spans="1:28" s="142" customFormat="1" ht="22.5" x14ac:dyDescent="0.15">
      <c r="A2" s="149" t="s">
        <v>328</v>
      </c>
      <c r="B2" s="149" t="s">
        <v>329</v>
      </c>
      <c r="C2" s="149" t="s">
        <v>330</v>
      </c>
      <c r="D2" s="149" t="s">
        <v>331</v>
      </c>
      <c r="E2" s="149" t="s">
        <v>332</v>
      </c>
      <c r="F2" s="149" t="s">
        <v>333</v>
      </c>
      <c r="G2" s="149" t="s">
        <v>334</v>
      </c>
      <c r="H2" s="149" t="s">
        <v>335</v>
      </c>
      <c r="I2" s="149" t="s">
        <v>336</v>
      </c>
      <c r="J2" s="149" t="s">
        <v>337</v>
      </c>
      <c r="K2" s="149" t="s">
        <v>338</v>
      </c>
      <c r="L2" s="149" t="s">
        <v>7</v>
      </c>
      <c r="M2" s="149" t="s">
        <v>339</v>
      </c>
      <c r="N2" s="150" t="s">
        <v>340</v>
      </c>
      <c r="O2" s="150" t="s">
        <v>341</v>
      </c>
      <c r="P2" s="150" t="s">
        <v>342</v>
      </c>
      <c r="Q2" s="149" t="s">
        <v>343</v>
      </c>
      <c r="R2" s="149" t="s">
        <v>344</v>
      </c>
      <c r="S2" s="149" t="s">
        <v>345</v>
      </c>
      <c r="T2" s="151" t="s">
        <v>346</v>
      </c>
      <c r="U2" s="151" t="s">
        <v>347</v>
      </c>
      <c r="V2" s="149" t="s">
        <v>348</v>
      </c>
      <c r="W2" s="149" t="s">
        <v>349</v>
      </c>
      <c r="X2" s="149" t="s">
        <v>350</v>
      </c>
      <c r="Z2" s="147" t="s">
        <v>419</v>
      </c>
      <c r="AA2" s="147" t="s">
        <v>420</v>
      </c>
      <c r="AB2" s="147" t="s">
        <v>421</v>
      </c>
    </row>
    <row r="3" spans="1:28" s="141" customFormat="1" ht="11.25" x14ac:dyDescent="0.15">
      <c r="A3" s="173">
        <v>3662798</v>
      </c>
      <c r="B3" s="173" t="s">
        <v>351</v>
      </c>
      <c r="C3" s="173" t="s">
        <v>352</v>
      </c>
      <c r="D3" s="173" t="s">
        <v>353</v>
      </c>
      <c r="E3" s="173" t="s">
        <v>116</v>
      </c>
      <c r="F3" s="173">
        <v>3</v>
      </c>
      <c r="G3" s="173" t="s">
        <v>19</v>
      </c>
      <c r="H3" s="173" t="s">
        <v>20</v>
      </c>
      <c r="I3" s="173" t="s">
        <v>205</v>
      </c>
      <c r="J3" s="173"/>
      <c r="K3" s="173" t="s">
        <v>212</v>
      </c>
      <c r="L3" s="173">
        <v>50</v>
      </c>
      <c r="M3" s="173" t="s">
        <v>213</v>
      </c>
      <c r="N3" s="174">
        <v>1120</v>
      </c>
      <c r="O3" s="174">
        <v>1120</v>
      </c>
      <c r="P3" s="174">
        <v>4000</v>
      </c>
      <c r="Q3" s="173">
        <v>2</v>
      </c>
      <c r="R3" s="173">
        <v>8</v>
      </c>
      <c r="S3" s="173" t="s">
        <v>354</v>
      </c>
      <c r="T3" s="175">
        <v>44704</v>
      </c>
      <c r="U3" s="175">
        <v>44755</v>
      </c>
      <c r="V3" s="173" t="s">
        <v>355</v>
      </c>
      <c r="W3" s="173"/>
      <c r="X3" s="173"/>
      <c r="Z3" s="146" t="str">
        <f ca="1">IF(SUM(AA3:AB3)=0,"",SUM(AA3:AB3))</f>
        <v/>
      </c>
      <c r="AA3" s="146" t="str">
        <f ca="1">IFERROR(IF(OR(OFFSET('S4'!#REF!,MATCH($A3,'S4'!$D$5:$D$2535,0)-1,6)="巻返し",OFFSET('S4'!#REF!,MATCH($A3,'S4'!$D$5:$D$2535,0)-1,6)="スリット"),SUMIF('S4'!$D$5:$D$2535,$A3,'S4'!$U$5:$U$2535),""),"")</f>
        <v/>
      </c>
      <c r="AB3" s="146" t="str">
        <f ca="1">IFERROR(IF(OR(OFFSET('S5'!#REF!,MATCH($A3,'S5'!$D$5:$D$2103,0)-1,6)="巻返し",OFFSET('S5'!#REF!,MATCH($A3,'S5'!$D$5:$D$2103,0)-1,6)="スリット"),SUMIF('S5'!$D$5:$D$2103,$A3,'S5'!$T$5:$T$2103),""),"")</f>
        <v/>
      </c>
    </row>
    <row r="4" spans="1:28" s="141" customFormat="1" ht="11.25" x14ac:dyDescent="0.15">
      <c r="A4" s="173">
        <v>3662809</v>
      </c>
      <c r="B4" s="173" t="s">
        <v>351</v>
      </c>
      <c r="C4" s="173" t="s">
        <v>352</v>
      </c>
      <c r="D4" s="173" t="s">
        <v>353</v>
      </c>
      <c r="E4" s="173" t="s">
        <v>116</v>
      </c>
      <c r="F4" s="173">
        <v>3</v>
      </c>
      <c r="G4" s="173" t="s">
        <v>19</v>
      </c>
      <c r="H4" s="173" t="s">
        <v>20</v>
      </c>
      <c r="I4" s="173" t="s">
        <v>205</v>
      </c>
      <c r="J4" s="173"/>
      <c r="K4" s="173" t="s">
        <v>216</v>
      </c>
      <c r="L4" s="173">
        <v>50</v>
      </c>
      <c r="M4" s="173" t="s">
        <v>217</v>
      </c>
      <c r="N4" s="174">
        <v>1120</v>
      </c>
      <c r="O4" s="174">
        <v>1120</v>
      </c>
      <c r="P4" s="174">
        <v>5000</v>
      </c>
      <c r="Q4" s="173">
        <v>2</v>
      </c>
      <c r="R4" s="173">
        <v>12</v>
      </c>
      <c r="S4" s="173" t="s">
        <v>354</v>
      </c>
      <c r="T4" s="175">
        <v>44704</v>
      </c>
      <c r="U4" s="175">
        <v>44743</v>
      </c>
      <c r="V4" s="173" t="s">
        <v>355</v>
      </c>
      <c r="W4" s="173"/>
      <c r="X4" s="173"/>
      <c r="Z4" s="146" t="str">
        <f t="shared" ref="Z4:Z67" ca="1" si="0">IF(SUM(AA4:AB4)=0,"",SUM(AA4:AB4))</f>
        <v/>
      </c>
      <c r="AA4" s="146" t="str">
        <f ca="1">IFERROR(IF(OR(OFFSET('S4'!#REF!,MATCH($A4,'S4'!$D$5:$D$2535,0)-1,6)="巻返し",OFFSET('S4'!#REF!,MATCH($A4,'S4'!$D$5:$D$2535,0)-1,6)="スリット"),SUMIF('S4'!$D$5:$D$2535,$A4,'S4'!$U$5:$U$2535),""),"")</f>
        <v/>
      </c>
      <c r="AB4" s="146" t="str">
        <f ca="1">IFERROR(IF(OR(OFFSET('S5'!#REF!,MATCH($A4,'S5'!$D$5:$D$2103,0)-1,6)="巻返し",OFFSET('S5'!#REF!,MATCH($A4,'S5'!$D$5:$D$2103,0)-1,6)="スリット"),SUMIF('S5'!$D$5:$D$2103,$A4,'S5'!$T$5:$T$2103),""),"")</f>
        <v/>
      </c>
    </row>
    <row r="5" spans="1:28" s="141" customFormat="1" ht="11.25" x14ac:dyDescent="0.15">
      <c r="A5" s="173">
        <v>3662810</v>
      </c>
      <c r="B5" s="173" t="s">
        <v>351</v>
      </c>
      <c r="C5" s="173" t="s">
        <v>352</v>
      </c>
      <c r="D5" s="173" t="s">
        <v>353</v>
      </c>
      <c r="E5" s="173" t="s">
        <v>116</v>
      </c>
      <c r="F5" s="173">
        <v>3</v>
      </c>
      <c r="G5" s="173" t="s">
        <v>19</v>
      </c>
      <c r="H5" s="173" t="s">
        <v>20</v>
      </c>
      <c r="I5" s="173" t="s">
        <v>205</v>
      </c>
      <c r="J5" s="173"/>
      <c r="K5" s="173" t="s">
        <v>216</v>
      </c>
      <c r="L5" s="173">
        <v>50</v>
      </c>
      <c r="M5" s="173" t="s">
        <v>217</v>
      </c>
      <c r="N5" s="174">
        <v>1120</v>
      </c>
      <c r="O5" s="174">
        <v>1120</v>
      </c>
      <c r="P5" s="174">
        <v>5000</v>
      </c>
      <c r="Q5" s="173">
        <v>2</v>
      </c>
      <c r="R5" s="173">
        <v>12</v>
      </c>
      <c r="S5" s="173" t="s">
        <v>354</v>
      </c>
      <c r="T5" s="175">
        <v>44704</v>
      </c>
      <c r="U5" s="175">
        <v>44750</v>
      </c>
      <c r="V5" s="173" t="s">
        <v>355</v>
      </c>
      <c r="W5" s="173"/>
      <c r="X5" s="173"/>
      <c r="Z5" s="146" t="str">
        <f t="shared" ca="1" si="0"/>
        <v/>
      </c>
      <c r="AA5" s="146" t="str">
        <f ca="1">IFERROR(IF(OR(OFFSET('S4'!#REF!,MATCH($A5,'S4'!$D$5:$D$2535,0)-1,6)="巻返し",OFFSET('S4'!#REF!,MATCH($A5,'S4'!$D$5:$D$2535,0)-1,6)="スリット"),SUMIF('S4'!$D$5:$D$2535,$A5,'S4'!$U$5:$U$2535),""),"")</f>
        <v/>
      </c>
      <c r="AB5" s="146" t="str">
        <f ca="1">IFERROR(IF(OR(OFFSET('S5'!#REF!,MATCH($A5,'S5'!$D$5:$D$2103,0)-1,6)="巻返し",OFFSET('S5'!#REF!,MATCH($A5,'S5'!$D$5:$D$2103,0)-1,6)="スリット"),SUMIF('S5'!$D$5:$D$2103,$A5,'S5'!$T$5:$T$2103),""),"")</f>
        <v/>
      </c>
    </row>
    <row r="6" spans="1:28" s="141" customFormat="1" ht="11.25" x14ac:dyDescent="0.15">
      <c r="A6" s="173">
        <v>3662811</v>
      </c>
      <c r="B6" s="173" t="s">
        <v>351</v>
      </c>
      <c r="C6" s="173" t="s">
        <v>352</v>
      </c>
      <c r="D6" s="173" t="s">
        <v>353</v>
      </c>
      <c r="E6" s="173" t="s">
        <v>116</v>
      </c>
      <c r="F6" s="173">
        <v>3</v>
      </c>
      <c r="G6" s="173" t="s">
        <v>19</v>
      </c>
      <c r="H6" s="173" t="s">
        <v>20</v>
      </c>
      <c r="I6" s="173" t="s">
        <v>205</v>
      </c>
      <c r="J6" s="173"/>
      <c r="K6" s="173" t="s">
        <v>216</v>
      </c>
      <c r="L6" s="173">
        <v>50</v>
      </c>
      <c r="M6" s="173" t="s">
        <v>217</v>
      </c>
      <c r="N6" s="174">
        <v>1120</v>
      </c>
      <c r="O6" s="174">
        <v>1120</v>
      </c>
      <c r="P6" s="174">
        <v>5000</v>
      </c>
      <c r="Q6" s="173">
        <v>2</v>
      </c>
      <c r="R6" s="173">
        <v>12</v>
      </c>
      <c r="S6" s="173" t="s">
        <v>354</v>
      </c>
      <c r="T6" s="175">
        <v>44704</v>
      </c>
      <c r="U6" s="175">
        <v>44755</v>
      </c>
      <c r="V6" s="173" t="s">
        <v>355</v>
      </c>
      <c r="W6" s="173"/>
      <c r="X6" s="173"/>
      <c r="Z6" s="146" t="str">
        <f t="shared" ca="1" si="0"/>
        <v/>
      </c>
      <c r="AA6" s="146" t="str">
        <f ca="1">IFERROR(IF(OR(OFFSET('S4'!#REF!,MATCH($A6,'S4'!$D$5:$D$2535,0)-1,6)="巻返し",OFFSET('S4'!#REF!,MATCH($A6,'S4'!$D$5:$D$2535,0)-1,6)="スリット"),SUMIF('S4'!$D$5:$D$2535,$A6,'S4'!$U$5:$U$2535),""),"")</f>
        <v/>
      </c>
      <c r="AB6" s="146" t="str">
        <f ca="1">IFERROR(IF(OR(OFFSET('S5'!#REF!,MATCH($A6,'S5'!$D$5:$D$2103,0)-1,6)="巻返し",OFFSET('S5'!#REF!,MATCH($A6,'S5'!$D$5:$D$2103,0)-1,6)="スリット"),SUMIF('S5'!$D$5:$D$2103,$A6,'S5'!$T$5:$T$2103),""),"")</f>
        <v/>
      </c>
    </row>
    <row r="7" spans="1:28" s="141" customFormat="1" ht="11.25" x14ac:dyDescent="0.15">
      <c r="A7" s="173">
        <v>3667093</v>
      </c>
      <c r="B7" s="173" t="s">
        <v>351</v>
      </c>
      <c r="C7" s="173" t="s">
        <v>358</v>
      </c>
      <c r="D7" s="173" t="s">
        <v>353</v>
      </c>
      <c r="E7" s="173" t="s">
        <v>61</v>
      </c>
      <c r="F7" s="173">
        <v>3</v>
      </c>
      <c r="G7" s="173" t="s">
        <v>19</v>
      </c>
      <c r="H7" s="173" t="s">
        <v>20</v>
      </c>
      <c r="I7" s="173" t="s">
        <v>205</v>
      </c>
      <c r="J7" s="173"/>
      <c r="K7" s="173" t="s">
        <v>242</v>
      </c>
      <c r="L7" s="173">
        <v>50</v>
      </c>
      <c r="M7" s="173" t="s">
        <v>243</v>
      </c>
      <c r="N7" s="174">
        <v>1255</v>
      </c>
      <c r="O7" s="174">
        <v>1250</v>
      </c>
      <c r="P7" s="174">
        <v>2000</v>
      </c>
      <c r="Q7" s="173">
        <v>2</v>
      </c>
      <c r="R7" s="173">
        <v>12</v>
      </c>
      <c r="S7" s="173" t="s">
        <v>354</v>
      </c>
      <c r="T7" s="175">
        <v>44734</v>
      </c>
      <c r="U7" s="175">
        <v>44757</v>
      </c>
      <c r="V7" s="173" t="s">
        <v>355</v>
      </c>
      <c r="W7" s="173"/>
      <c r="X7" s="173"/>
      <c r="Z7" s="146" t="str">
        <f t="shared" ca="1" si="0"/>
        <v/>
      </c>
      <c r="AA7" s="146" t="str">
        <f ca="1">IFERROR(IF(OR(OFFSET('S4'!#REF!,MATCH($A7,'S4'!$D$5:$D$2535,0)-1,6)="巻返し",OFFSET('S4'!#REF!,MATCH($A7,'S4'!$D$5:$D$2535,0)-1,6)="スリット"),SUMIF('S4'!$D$5:$D$2535,$A7,'S4'!$U$5:$U$2535),""),"")</f>
        <v/>
      </c>
      <c r="AB7" s="146" t="str">
        <f ca="1">IFERROR(IF(OR(OFFSET('S5'!#REF!,MATCH($A7,'S5'!$D$5:$D$2103,0)-1,6)="巻返し",OFFSET('S5'!#REF!,MATCH($A7,'S5'!$D$5:$D$2103,0)-1,6)="スリット"),SUMIF('S5'!$D$5:$D$2103,$A7,'S5'!$T$5:$T$2103),""),"")</f>
        <v/>
      </c>
    </row>
    <row r="8" spans="1:28" s="141" customFormat="1" ht="11.25" x14ac:dyDescent="0.15">
      <c r="A8" s="173">
        <v>3667095</v>
      </c>
      <c r="B8" s="173" t="s">
        <v>351</v>
      </c>
      <c r="C8" s="173" t="s">
        <v>352</v>
      </c>
      <c r="D8" s="173" t="s">
        <v>353</v>
      </c>
      <c r="E8" s="173" t="s">
        <v>232</v>
      </c>
      <c r="F8" s="173">
        <v>3</v>
      </c>
      <c r="G8" s="173" t="s">
        <v>19</v>
      </c>
      <c r="H8" s="173" t="s">
        <v>20</v>
      </c>
      <c r="I8" s="173" t="s">
        <v>205</v>
      </c>
      <c r="J8" s="173"/>
      <c r="K8" s="173" t="s">
        <v>230</v>
      </c>
      <c r="L8" s="173">
        <v>25</v>
      </c>
      <c r="M8" s="173" t="s">
        <v>231</v>
      </c>
      <c r="N8" s="174">
        <v>1240</v>
      </c>
      <c r="O8" s="174">
        <v>1240</v>
      </c>
      <c r="P8" s="174">
        <v>2000</v>
      </c>
      <c r="Q8" s="173">
        <v>1</v>
      </c>
      <c r="R8" s="173">
        <v>6</v>
      </c>
      <c r="S8" s="173" t="s">
        <v>354</v>
      </c>
      <c r="T8" s="175">
        <v>44734</v>
      </c>
      <c r="U8" s="175">
        <v>44757</v>
      </c>
      <c r="V8" s="173" t="s">
        <v>355</v>
      </c>
      <c r="W8" s="173"/>
      <c r="X8" s="173"/>
      <c r="Z8" s="146" t="str">
        <f t="shared" ca="1" si="0"/>
        <v/>
      </c>
      <c r="AA8" s="146" t="str">
        <f ca="1">IFERROR(IF(OR(OFFSET('S4'!#REF!,MATCH($A8,'S4'!$D$5:$D$2535,0)-1,6)="巻返し",OFFSET('S4'!#REF!,MATCH($A8,'S4'!$D$5:$D$2535,0)-1,6)="スリット"),SUMIF('S4'!$D$5:$D$2535,$A8,'S4'!$U$5:$U$2535),""),"")</f>
        <v/>
      </c>
      <c r="AB8" s="146" t="str">
        <f ca="1">IFERROR(IF(OR(OFFSET('S5'!#REF!,MATCH($A8,'S5'!$D$5:$D$2103,0)-1,6)="巻返し",OFFSET('S5'!#REF!,MATCH($A8,'S5'!$D$5:$D$2103,0)-1,6)="スリット"),SUMIF('S5'!$D$5:$D$2103,$A8,'S5'!$T$5:$T$2103),""),"")</f>
        <v/>
      </c>
    </row>
    <row r="9" spans="1:28" s="141" customFormat="1" ht="11.25" x14ac:dyDescent="0.15">
      <c r="A9" s="173">
        <v>3667096</v>
      </c>
      <c r="B9" s="173" t="s">
        <v>351</v>
      </c>
      <c r="C9" s="173" t="s">
        <v>364</v>
      </c>
      <c r="D9" s="173" t="s">
        <v>353</v>
      </c>
      <c r="E9" s="173" t="s">
        <v>171</v>
      </c>
      <c r="F9" s="173" t="s">
        <v>96</v>
      </c>
      <c r="G9" s="173" t="s">
        <v>19</v>
      </c>
      <c r="H9" s="173" t="s">
        <v>20</v>
      </c>
      <c r="I9" s="173" t="s">
        <v>165</v>
      </c>
      <c r="J9" s="173"/>
      <c r="K9" s="173" t="s">
        <v>169</v>
      </c>
      <c r="L9" s="173">
        <v>50</v>
      </c>
      <c r="M9" s="173" t="s">
        <v>170</v>
      </c>
      <c r="N9" s="174">
        <v>1190</v>
      </c>
      <c r="O9" s="174">
        <v>1190</v>
      </c>
      <c r="P9" s="174">
        <v>6000</v>
      </c>
      <c r="Q9" s="173">
        <v>2</v>
      </c>
      <c r="R9" s="173">
        <v>22</v>
      </c>
      <c r="S9" s="173" t="s">
        <v>354</v>
      </c>
      <c r="T9" s="175">
        <v>44734</v>
      </c>
      <c r="U9" s="175">
        <v>44757</v>
      </c>
      <c r="V9" s="173" t="s">
        <v>355</v>
      </c>
      <c r="W9" s="173"/>
      <c r="X9" s="173"/>
      <c r="Z9" s="146" t="str">
        <f t="shared" ca="1" si="0"/>
        <v/>
      </c>
      <c r="AA9" s="146" t="str">
        <f ca="1">IFERROR(IF(OR(OFFSET('S4'!#REF!,MATCH($A9,'S4'!$D$5:$D$2535,0)-1,6)="巻返し",OFFSET('S4'!#REF!,MATCH($A9,'S4'!$D$5:$D$2535,0)-1,6)="スリット"),SUMIF('S4'!$D$5:$D$2535,$A9,'S4'!$U$5:$U$2535),""),"")</f>
        <v/>
      </c>
      <c r="AB9" s="146" t="str">
        <f ca="1">IFERROR(IF(OR(OFFSET('S5'!#REF!,MATCH($A9,'S5'!$D$5:$D$2103,0)-1,6)="巻返し",OFFSET('S5'!#REF!,MATCH($A9,'S5'!$D$5:$D$2103,0)-1,6)="スリット"),SUMIF('S5'!$D$5:$D$2103,$A9,'S5'!$T$5:$T$2103),""),"")</f>
        <v/>
      </c>
    </row>
    <row r="10" spans="1:28" s="141" customFormat="1" ht="11.25" x14ac:dyDescent="0.15">
      <c r="A10" s="173">
        <v>3667098</v>
      </c>
      <c r="B10" s="173" t="s">
        <v>423</v>
      </c>
      <c r="C10" s="173" t="s">
        <v>364</v>
      </c>
      <c r="D10" s="173" t="s">
        <v>353</v>
      </c>
      <c r="E10" s="173" t="s">
        <v>316</v>
      </c>
      <c r="F10" s="173">
        <v>3</v>
      </c>
      <c r="G10" s="173" t="s">
        <v>265</v>
      </c>
      <c r="H10" s="173" t="s">
        <v>20</v>
      </c>
      <c r="I10" s="173" t="s">
        <v>312</v>
      </c>
      <c r="J10" s="173"/>
      <c r="K10" s="173" t="s">
        <v>317</v>
      </c>
      <c r="L10" s="173">
        <v>50</v>
      </c>
      <c r="M10" s="173" t="s">
        <v>318</v>
      </c>
      <c r="N10" s="174">
        <v>680</v>
      </c>
      <c r="O10" s="174">
        <v>680</v>
      </c>
      <c r="P10" s="174">
        <v>2000</v>
      </c>
      <c r="Q10" s="173">
        <v>2</v>
      </c>
      <c r="R10" s="173">
        <v>8</v>
      </c>
      <c r="S10" s="173" t="s">
        <v>354</v>
      </c>
      <c r="T10" s="175">
        <v>44734</v>
      </c>
      <c r="U10" s="175">
        <v>44757</v>
      </c>
      <c r="V10" s="173" t="s">
        <v>355</v>
      </c>
      <c r="W10" s="173"/>
      <c r="X10" s="173"/>
      <c r="Z10" s="146" t="str">
        <f t="shared" ca="1" si="0"/>
        <v/>
      </c>
      <c r="AA10" s="146" t="str">
        <f ca="1">IFERROR(IF(OR(OFFSET('S4'!#REF!,MATCH($A10,'S4'!$D$5:$D$2535,0)-1,6)="巻返し",OFFSET('S4'!#REF!,MATCH($A10,'S4'!$D$5:$D$2535,0)-1,6)="スリット"),SUMIF('S4'!$D$5:$D$2535,$A10,'S4'!$U$5:$U$2535),""),"")</f>
        <v/>
      </c>
      <c r="AB10" s="146" t="str">
        <f ca="1">IFERROR(IF(OR(OFFSET('S5'!#REF!,MATCH($A10,'S5'!$D$5:$D$2103,0)-1,6)="巻返し",OFFSET('S5'!#REF!,MATCH($A10,'S5'!$D$5:$D$2103,0)-1,6)="スリット"),SUMIF('S5'!$D$5:$D$2103,$A10,'S5'!$T$5:$T$2103),""),"")</f>
        <v/>
      </c>
    </row>
    <row r="11" spans="1:28" s="141" customFormat="1" ht="11.25" x14ac:dyDescent="0.15">
      <c r="A11" s="173">
        <v>3667098</v>
      </c>
      <c r="B11" s="173" t="s">
        <v>423</v>
      </c>
      <c r="C11" s="173" t="s">
        <v>364</v>
      </c>
      <c r="D11" s="173" t="s">
        <v>353</v>
      </c>
      <c r="E11" s="173" t="s">
        <v>316</v>
      </c>
      <c r="F11" s="173">
        <v>3</v>
      </c>
      <c r="G11" s="173" t="s">
        <v>265</v>
      </c>
      <c r="H11" s="173" t="s">
        <v>20</v>
      </c>
      <c r="I11" s="173" t="s">
        <v>312</v>
      </c>
      <c r="J11" s="173"/>
      <c r="K11" s="173" t="s">
        <v>317</v>
      </c>
      <c r="L11" s="173">
        <v>50</v>
      </c>
      <c r="M11" s="173" t="s">
        <v>318</v>
      </c>
      <c r="N11" s="174">
        <v>680</v>
      </c>
      <c r="O11" s="174">
        <v>680</v>
      </c>
      <c r="P11" s="174">
        <v>2000</v>
      </c>
      <c r="Q11" s="173">
        <v>2</v>
      </c>
      <c r="R11" s="173">
        <v>8</v>
      </c>
      <c r="S11" s="173" t="s">
        <v>354</v>
      </c>
      <c r="T11" s="175">
        <v>44734</v>
      </c>
      <c r="U11" s="175">
        <v>44757</v>
      </c>
      <c r="V11" s="173" t="s">
        <v>355</v>
      </c>
      <c r="W11" s="173"/>
      <c r="X11" s="173"/>
      <c r="Z11" s="146" t="str">
        <f t="shared" ca="1" si="0"/>
        <v/>
      </c>
      <c r="AA11" s="146" t="str">
        <f ca="1">IFERROR(IF(OR(OFFSET('S4'!#REF!,MATCH($A11,'S4'!$D$5:$D$2535,0)-1,6)="巻返し",OFFSET('S4'!#REF!,MATCH($A11,'S4'!$D$5:$D$2535,0)-1,6)="スリット"),SUMIF('S4'!$D$5:$D$2535,$A11,'S4'!$U$5:$U$2535),""),"")</f>
        <v/>
      </c>
      <c r="AB11" s="146" t="str">
        <f ca="1">IFERROR(IF(OR(OFFSET('S5'!#REF!,MATCH($A11,'S5'!$D$5:$D$2103,0)-1,6)="巻返し",OFFSET('S5'!#REF!,MATCH($A11,'S5'!$D$5:$D$2103,0)-1,6)="スリット"),SUMIF('S5'!$D$5:$D$2103,$A11,'S5'!$T$5:$T$2103),""),"")</f>
        <v/>
      </c>
    </row>
    <row r="12" spans="1:28" s="141" customFormat="1" ht="11.25" x14ac:dyDescent="0.15">
      <c r="A12" s="173">
        <v>3667099</v>
      </c>
      <c r="B12" s="173" t="s">
        <v>351</v>
      </c>
      <c r="C12" s="173" t="s">
        <v>364</v>
      </c>
      <c r="D12" s="173" t="s">
        <v>353</v>
      </c>
      <c r="E12" s="173" t="s">
        <v>183</v>
      </c>
      <c r="F12" s="173">
        <v>3</v>
      </c>
      <c r="G12" s="173" t="s">
        <v>19</v>
      </c>
      <c r="H12" s="173" t="s">
        <v>20</v>
      </c>
      <c r="I12" s="173" t="s">
        <v>165</v>
      </c>
      <c r="J12" s="173"/>
      <c r="K12" s="173" t="s">
        <v>180</v>
      </c>
      <c r="L12" s="173">
        <v>100</v>
      </c>
      <c r="M12" s="173" t="s">
        <v>181</v>
      </c>
      <c r="N12" s="174">
        <v>1205</v>
      </c>
      <c r="O12" s="174">
        <v>1205</v>
      </c>
      <c r="P12" s="174">
        <v>2500</v>
      </c>
      <c r="Q12" s="173">
        <v>2</v>
      </c>
      <c r="R12" s="173">
        <v>4</v>
      </c>
      <c r="S12" s="173" t="s">
        <v>354</v>
      </c>
      <c r="T12" s="175">
        <v>44734</v>
      </c>
      <c r="U12" s="175">
        <v>44757</v>
      </c>
      <c r="V12" s="173" t="s">
        <v>355</v>
      </c>
      <c r="W12" s="173"/>
      <c r="X12" s="173"/>
      <c r="Z12" s="146" t="str">
        <f t="shared" ca="1" si="0"/>
        <v/>
      </c>
      <c r="AA12" s="146" t="str">
        <f ca="1">IFERROR(IF(OR(OFFSET('S4'!#REF!,MATCH($A12,'S4'!$D$5:$D$2535,0)-1,6)="巻返し",OFFSET('S4'!#REF!,MATCH($A12,'S4'!$D$5:$D$2535,0)-1,6)="スリット"),SUMIF('S4'!$D$5:$D$2535,$A12,'S4'!$U$5:$U$2535),""),"")</f>
        <v/>
      </c>
      <c r="AB12" s="146" t="str">
        <f ca="1">IFERROR(IF(OR(OFFSET('S5'!#REF!,MATCH($A12,'S5'!$D$5:$D$2103,0)-1,6)="巻返し",OFFSET('S5'!#REF!,MATCH($A12,'S5'!$D$5:$D$2103,0)-1,6)="スリット"),SUMIF('S5'!$D$5:$D$2103,$A12,'S5'!$T$5:$T$2103),""),"")</f>
        <v/>
      </c>
    </row>
    <row r="13" spans="1:28" s="141" customFormat="1" ht="11.25" x14ac:dyDescent="0.15">
      <c r="A13" s="173">
        <v>3667100</v>
      </c>
      <c r="B13" s="173" t="s">
        <v>351</v>
      </c>
      <c r="C13" s="173" t="s">
        <v>364</v>
      </c>
      <c r="D13" s="173" t="s">
        <v>353</v>
      </c>
      <c r="E13" s="173" t="s">
        <v>148</v>
      </c>
      <c r="F13" s="173">
        <v>3</v>
      </c>
      <c r="G13" s="173" t="s">
        <v>19</v>
      </c>
      <c r="H13" s="173" t="s">
        <v>20</v>
      </c>
      <c r="I13" s="173" t="s">
        <v>143</v>
      </c>
      <c r="J13" s="173"/>
      <c r="K13" s="173" t="s">
        <v>149</v>
      </c>
      <c r="L13" s="173">
        <v>50</v>
      </c>
      <c r="M13" s="173" t="s">
        <v>150</v>
      </c>
      <c r="N13" s="174">
        <v>1120</v>
      </c>
      <c r="O13" s="174">
        <v>1120</v>
      </c>
      <c r="P13" s="174">
        <v>6000</v>
      </c>
      <c r="Q13" s="173">
        <v>2</v>
      </c>
      <c r="R13" s="173">
        <v>6</v>
      </c>
      <c r="S13" s="173" t="s">
        <v>354</v>
      </c>
      <c r="T13" s="175">
        <v>44734</v>
      </c>
      <c r="U13" s="175">
        <v>44757</v>
      </c>
      <c r="V13" s="173" t="s">
        <v>355</v>
      </c>
      <c r="W13" s="173"/>
      <c r="X13" s="173"/>
      <c r="Z13" s="146" t="str">
        <f t="shared" ca="1" si="0"/>
        <v/>
      </c>
      <c r="AA13" s="146" t="str">
        <f ca="1">IFERROR(IF(OR(OFFSET('S4'!#REF!,MATCH($A13,'S4'!$D$5:$D$2535,0)-1,6)="巻返し",OFFSET('S4'!#REF!,MATCH($A13,'S4'!$D$5:$D$2535,0)-1,6)="スリット"),SUMIF('S4'!$D$5:$D$2535,$A13,'S4'!$U$5:$U$2535),""),"")</f>
        <v/>
      </c>
      <c r="AB13" s="146" t="str">
        <f ca="1">IFERROR(IF(OR(OFFSET('S5'!#REF!,MATCH($A13,'S5'!$D$5:$D$2103,0)-1,6)="巻返し",OFFSET('S5'!#REF!,MATCH($A13,'S5'!$D$5:$D$2103,0)-1,6)="スリット"),SUMIF('S5'!$D$5:$D$2103,$A13,'S5'!$T$5:$T$2103),""),"")</f>
        <v/>
      </c>
    </row>
    <row r="14" spans="1:28" s="141" customFormat="1" ht="11.25" x14ac:dyDescent="0.15">
      <c r="A14" s="173">
        <v>3667101</v>
      </c>
      <c r="B14" s="173" t="s">
        <v>351</v>
      </c>
      <c r="C14" s="173" t="s">
        <v>364</v>
      </c>
      <c r="D14" s="173" t="s">
        <v>353</v>
      </c>
      <c r="E14" s="173" t="s">
        <v>148</v>
      </c>
      <c r="F14" s="173">
        <v>3</v>
      </c>
      <c r="G14" s="173" t="s">
        <v>19</v>
      </c>
      <c r="H14" s="173" t="s">
        <v>20</v>
      </c>
      <c r="I14" s="173" t="s">
        <v>165</v>
      </c>
      <c r="J14" s="173"/>
      <c r="K14" s="173" t="s">
        <v>169</v>
      </c>
      <c r="L14" s="173">
        <v>50</v>
      </c>
      <c r="M14" s="173" t="s">
        <v>170</v>
      </c>
      <c r="N14" s="174">
        <v>1120</v>
      </c>
      <c r="O14" s="174">
        <v>1120</v>
      </c>
      <c r="P14" s="174">
        <v>6000</v>
      </c>
      <c r="Q14" s="173">
        <v>2</v>
      </c>
      <c r="R14" s="173">
        <v>1</v>
      </c>
      <c r="S14" s="173" t="s">
        <v>354</v>
      </c>
      <c r="T14" s="175">
        <v>44734</v>
      </c>
      <c r="U14" s="175">
        <v>44757</v>
      </c>
      <c r="V14" s="173" t="s">
        <v>355</v>
      </c>
      <c r="W14" s="173"/>
      <c r="X14" s="173"/>
      <c r="Z14" s="146" t="str">
        <f t="shared" ca="1" si="0"/>
        <v/>
      </c>
      <c r="AA14" s="146" t="str">
        <f ca="1">IFERROR(IF(OR(OFFSET('S4'!#REF!,MATCH($A14,'S4'!$D$5:$D$2535,0)-1,6)="巻返し",OFFSET('S4'!#REF!,MATCH($A14,'S4'!$D$5:$D$2535,0)-1,6)="スリット"),SUMIF('S4'!$D$5:$D$2535,$A14,'S4'!$U$5:$U$2535),""),"")</f>
        <v/>
      </c>
      <c r="AB14" s="146" t="str">
        <f ca="1">IFERROR(IF(OR(OFFSET('S5'!#REF!,MATCH($A14,'S5'!$D$5:$D$2103,0)-1,6)="巻返し",OFFSET('S5'!#REF!,MATCH($A14,'S5'!$D$5:$D$2103,0)-1,6)="スリット"),SUMIF('S5'!$D$5:$D$2103,$A14,'S5'!$T$5:$T$2103),""),"")</f>
        <v/>
      </c>
    </row>
    <row r="15" spans="1:28" s="141" customFormat="1" ht="11.25" x14ac:dyDescent="0.15">
      <c r="A15" s="173">
        <v>3667102</v>
      </c>
      <c r="B15" s="173" t="s">
        <v>351</v>
      </c>
      <c r="C15" s="173" t="s">
        <v>364</v>
      </c>
      <c r="D15" s="173" t="s">
        <v>353</v>
      </c>
      <c r="E15" s="173" t="s">
        <v>148</v>
      </c>
      <c r="F15" s="173">
        <v>3</v>
      </c>
      <c r="G15" s="173" t="s">
        <v>19</v>
      </c>
      <c r="H15" s="173" t="s">
        <v>20</v>
      </c>
      <c r="I15" s="173" t="s">
        <v>165</v>
      </c>
      <c r="J15" s="173"/>
      <c r="K15" s="173" t="s">
        <v>180</v>
      </c>
      <c r="L15" s="173">
        <v>25</v>
      </c>
      <c r="M15" s="173" t="s">
        <v>181</v>
      </c>
      <c r="N15" s="174">
        <v>1120</v>
      </c>
      <c r="O15" s="174">
        <v>1120</v>
      </c>
      <c r="P15" s="174">
        <v>4000</v>
      </c>
      <c r="Q15" s="173">
        <v>2</v>
      </c>
      <c r="R15" s="173">
        <v>4</v>
      </c>
      <c r="S15" s="173" t="s">
        <v>354</v>
      </c>
      <c r="T15" s="175">
        <v>44734</v>
      </c>
      <c r="U15" s="175">
        <v>44757</v>
      </c>
      <c r="V15" s="173" t="s">
        <v>355</v>
      </c>
      <c r="W15" s="173"/>
      <c r="X15" s="173"/>
      <c r="Z15" s="146" t="str">
        <f t="shared" ca="1" si="0"/>
        <v/>
      </c>
      <c r="AA15" s="146" t="str">
        <f ca="1">IFERROR(IF(OR(OFFSET('S4'!#REF!,MATCH($A15,'S4'!$D$5:$D$2535,0)-1,6)="巻返し",OFFSET('S4'!#REF!,MATCH($A15,'S4'!$D$5:$D$2535,0)-1,6)="スリット"),SUMIF('S4'!$D$5:$D$2535,$A15,'S4'!$U$5:$U$2535),""),"")</f>
        <v/>
      </c>
      <c r="AB15" s="146" t="str">
        <f ca="1">IFERROR(IF(OR(OFFSET('S5'!#REF!,MATCH($A15,'S5'!$D$5:$D$2103,0)-1,6)="巻返し",OFFSET('S5'!#REF!,MATCH($A15,'S5'!$D$5:$D$2103,0)-1,6)="スリット"),SUMIF('S5'!$D$5:$D$2103,$A15,'S5'!$T$5:$T$2103),""),"")</f>
        <v/>
      </c>
    </row>
    <row r="16" spans="1:28" s="141" customFormat="1" ht="11.25" x14ac:dyDescent="0.15">
      <c r="A16" s="173">
        <v>3667103</v>
      </c>
      <c r="B16" s="173" t="s">
        <v>351</v>
      </c>
      <c r="C16" s="173" t="s">
        <v>364</v>
      </c>
      <c r="D16" s="173" t="s">
        <v>353</v>
      </c>
      <c r="E16" s="173" t="s">
        <v>148</v>
      </c>
      <c r="F16" s="173">
        <v>3</v>
      </c>
      <c r="G16" s="173" t="s">
        <v>19</v>
      </c>
      <c r="H16" s="173" t="s">
        <v>20</v>
      </c>
      <c r="I16" s="173" t="s">
        <v>165</v>
      </c>
      <c r="J16" s="173"/>
      <c r="K16" s="173" t="s">
        <v>180</v>
      </c>
      <c r="L16" s="173">
        <v>50</v>
      </c>
      <c r="M16" s="173" t="s">
        <v>181</v>
      </c>
      <c r="N16" s="174">
        <v>1120</v>
      </c>
      <c r="O16" s="174">
        <v>1120</v>
      </c>
      <c r="P16" s="174">
        <v>4000</v>
      </c>
      <c r="Q16" s="173">
        <v>2</v>
      </c>
      <c r="R16" s="173">
        <v>6</v>
      </c>
      <c r="S16" s="173" t="s">
        <v>354</v>
      </c>
      <c r="T16" s="175">
        <v>44734</v>
      </c>
      <c r="U16" s="175">
        <v>44757</v>
      </c>
      <c r="V16" s="173" t="s">
        <v>355</v>
      </c>
      <c r="W16" s="173"/>
      <c r="X16" s="173"/>
      <c r="Z16" s="146" t="str">
        <f t="shared" ca="1" si="0"/>
        <v/>
      </c>
      <c r="AA16" s="146" t="str">
        <f ca="1">IFERROR(IF(OR(OFFSET('S4'!#REF!,MATCH($A16,'S4'!$D$5:$D$2535,0)-1,6)="巻返し",OFFSET('S4'!#REF!,MATCH($A16,'S4'!$D$5:$D$2535,0)-1,6)="スリット"),SUMIF('S4'!$D$5:$D$2535,$A16,'S4'!$U$5:$U$2535),""),"")</f>
        <v/>
      </c>
      <c r="AB16" s="146" t="str">
        <f ca="1">IFERROR(IF(OR(OFFSET('S5'!#REF!,MATCH($A16,'S5'!$D$5:$D$2103,0)-1,6)="巻返し",OFFSET('S5'!#REF!,MATCH($A16,'S5'!$D$5:$D$2103,0)-1,6)="スリット"),SUMIF('S5'!$D$5:$D$2103,$A16,'S5'!$T$5:$T$2103),""),"")</f>
        <v/>
      </c>
    </row>
    <row r="17" spans="1:28" s="141" customFormat="1" ht="11.25" x14ac:dyDescent="0.15">
      <c r="A17" s="173">
        <v>3667104</v>
      </c>
      <c r="B17" s="173" t="s">
        <v>351</v>
      </c>
      <c r="C17" s="173" t="s">
        <v>352</v>
      </c>
      <c r="D17" s="173" t="s">
        <v>353</v>
      </c>
      <c r="E17" s="173" t="s">
        <v>247</v>
      </c>
      <c r="F17" s="173">
        <v>3</v>
      </c>
      <c r="G17" s="173" t="s">
        <v>19</v>
      </c>
      <c r="H17" s="173" t="s">
        <v>20</v>
      </c>
      <c r="I17" s="173" t="s">
        <v>205</v>
      </c>
      <c r="J17" s="173"/>
      <c r="K17" s="173" t="s">
        <v>248</v>
      </c>
      <c r="L17" s="173">
        <v>12</v>
      </c>
      <c r="M17" s="173" t="s">
        <v>249</v>
      </c>
      <c r="N17" s="174">
        <v>1000</v>
      </c>
      <c r="O17" s="174">
        <v>1000</v>
      </c>
      <c r="P17" s="174">
        <v>6000</v>
      </c>
      <c r="Q17" s="173">
        <v>2</v>
      </c>
      <c r="R17" s="173">
        <v>4</v>
      </c>
      <c r="S17" s="173" t="s">
        <v>354</v>
      </c>
      <c r="T17" s="175">
        <v>44734</v>
      </c>
      <c r="U17" s="175">
        <v>44762</v>
      </c>
      <c r="V17" s="173" t="s">
        <v>355</v>
      </c>
      <c r="W17" s="173"/>
      <c r="X17" s="173"/>
      <c r="Z17" s="146" t="str">
        <f t="shared" ca="1" si="0"/>
        <v/>
      </c>
      <c r="AA17" s="146" t="str">
        <f ca="1">IFERROR(IF(OR(OFFSET('S4'!#REF!,MATCH($A17,'S4'!$D$5:$D$2535,0)-1,6)="巻返し",OFFSET('S4'!#REF!,MATCH($A17,'S4'!$D$5:$D$2535,0)-1,6)="スリット"),SUMIF('S4'!$D$5:$D$2535,$A17,'S4'!$U$5:$U$2535),""),"")</f>
        <v/>
      </c>
      <c r="AB17" s="146" t="str">
        <f ca="1">IFERROR(IF(OR(OFFSET('S5'!#REF!,MATCH($A17,'S5'!$D$5:$D$2103,0)-1,6)="巻返し",OFFSET('S5'!#REF!,MATCH($A17,'S5'!$D$5:$D$2103,0)-1,6)="スリット"),SUMIF('S5'!$D$5:$D$2103,$A17,'S5'!$T$5:$T$2103),""),"")</f>
        <v/>
      </c>
    </row>
    <row r="18" spans="1:28" s="141" customFormat="1" ht="11.25" x14ac:dyDescent="0.15">
      <c r="A18" s="173">
        <v>3667105</v>
      </c>
      <c r="B18" s="173" t="s">
        <v>351</v>
      </c>
      <c r="C18" s="173" t="s">
        <v>352</v>
      </c>
      <c r="D18" s="173" t="s">
        <v>353</v>
      </c>
      <c r="E18" s="173" t="s">
        <v>247</v>
      </c>
      <c r="F18" s="173">
        <v>3</v>
      </c>
      <c r="G18" s="173" t="s">
        <v>19</v>
      </c>
      <c r="H18" s="173" t="s">
        <v>20</v>
      </c>
      <c r="I18" s="173" t="s">
        <v>143</v>
      </c>
      <c r="J18" s="173"/>
      <c r="K18" s="173" t="s">
        <v>149</v>
      </c>
      <c r="L18" s="173">
        <v>38</v>
      </c>
      <c r="M18" s="173" t="s">
        <v>150</v>
      </c>
      <c r="N18" s="174">
        <v>1125</v>
      </c>
      <c r="O18" s="174">
        <v>1120</v>
      </c>
      <c r="P18" s="174">
        <v>4000</v>
      </c>
      <c r="Q18" s="173">
        <v>2</v>
      </c>
      <c r="R18" s="173">
        <v>2</v>
      </c>
      <c r="S18" s="173" t="s">
        <v>354</v>
      </c>
      <c r="T18" s="175">
        <v>44734</v>
      </c>
      <c r="U18" s="175">
        <v>44750</v>
      </c>
      <c r="V18" s="173" t="s">
        <v>355</v>
      </c>
      <c r="W18" s="173"/>
      <c r="X18" s="173"/>
      <c r="Z18" s="146" t="str">
        <f t="shared" ca="1" si="0"/>
        <v/>
      </c>
      <c r="AA18" s="146" t="str">
        <f ca="1">IFERROR(IF(OR(OFFSET('S4'!#REF!,MATCH($A18,'S4'!$D$5:$D$2535,0)-1,6)="巻返し",OFFSET('S4'!#REF!,MATCH($A18,'S4'!$D$5:$D$2535,0)-1,6)="スリット"),SUMIF('S4'!$D$5:$D$2535,$A18,'S4'!$U$5:$U$2535),""),"")</f>
        <v/>
      </c>
      <c r="AB18" s="146" t="str">
        <f ca="1">IFERROR(IF(OR(OFFSET('S5'!#REF!,MATCH($A18,'S5'!$D$5:$D$2103,0)-1,6)="巻返し",OFFSET('S5'!#REF!,MATCH($A18,'S5'!$D$5:$D$2103,0)-1,6)="スリット"),SUMIF('S5'!$D$5:$D$2103,$A18,'S5'!$T$5:$T$2103),""),"")</f>
        <v/>
      </c>
    </row>
    <row r="19" spans="1:28" s="141" customFormat="1" ht="11.25" x14ac:dyDescent="0.15">
      <c r="A19" s="173">
        <v>3667106</v>
      </c>
      <c r="B19" s="173" t="s">
        <v>351</v>
      </c>
      <c r="C19" s="173" t="s">
        <v>352</v>
      </c>
      <c r="D19" s="173" t="s">
        <v>353</v>
      </c>
      <c r="E19" s="173" t="s">
        <v>116</v>
      </c>
      <c r="F19" s="173">
        <v>3</v>
      </c>
      <c r="G19" s="173" t="s">
        <v>19</v>
      </c>
      <c r="H19" s="173" t="s">
        <v>20</v>
      </c>
      <c r="I19" s="173" t="s">
        <v>205</v>
      </c>
      <c r="J19" s="173"/>
      <c r="K19" s="173" t="s">
        <v>212</v>
      </c>
      <c r="L19" s="173">
        <v>25</v>
      </c>
      <c r="M19" s="173" t="s">
        <v>213</v>
      </c>
      <c r="N19" s="174">
        <v>1120</v>
      </c>
      <c r="O19" s="174">
        <v>1120</v>
      </c>
      <c r="P19" s="174">
        <v>4000</v>
      </c>
      <c r="Q19" s="173">
        <v>2</v>
      </c>
      <c r="R19" s="173">
        <v>4</v>
      </c>
      <c r="S19" s="173" t="s">
        <v>354</v>
      </c>
      <c r="T19" s="175">
        <v>44734</v>
      </c>
      <c r="U19" s="175">
        <v>44767</v>
      </c>
      <c r="V19" s="173" t="s">
        <v>355</v>
      </c>
      <c r="W19" s="173"/>
      <c r="X19" s="173"/>
      <c r="Z19" s="146" t="str">
        <f t="shared" ca="1" si="0"/>
        <v/>
      </c>
      <c r="AA19" s="146" t="str">
        <f ca="1">IFERROR(IF(OR(OFFSET('S4'!#REF!,MATCH($A19,'S4'!$D$5:$D$2535,0)-1,6)="巻返し",OFFSET('S4'!#REF!,MATCH($A19,'S4'!$D$5:$D$2535,0)-1,6)="スリット"),SUMIF('S4'!$D$5:$D$2535,$A19,'S4'!$U$5:$U$2535),""),"")</f>
        <v/>
      </c>
      <c r="AB19" s="146" t="str">
        <f ca="1">IFERROR(IF(OR(OFFSET('S5'!#REF!,MATCH($A19,'S5'!$D$5:$D$2103,0)-1,6)="巻返し",OFFSET('S5'!#REF!,MATCH($A19,'S5'!$D$5:$D$2103,0)-1,6)="スリット"),SUMIF('S5'!$D$5:$D$2103,$A19,'S5'!$T$5:$T$2103),""),"")</f>
        <v/>
      </c>
    </row>
    <row r="20" spans="1:28" s="141" customFormat="1" ht="11.25" x14ac:dyDescent="0.15">
      <c r="A20" s="173">
        <v>3667107</v>
      </c>
      <c r="B20" s="173" t="s">
        <v>351</v>
      </c>
      <c r="C20" s="173" t="s">
        <v>352</v>
      </c>
      <c r="D20" s="173" t="s">
        <v>353</v>
      </c>
      <c r="E20" s="173" t="s">
        <v>116</v>
      </c>
      <c r="F20" s="173">
        <v>3</v>
      </c>
      <c r="G20" s="173" t="s">
        <v>19</v>
      </c>
      <c r="H20" s="173" t="s">
        <v>28</v>
      </c>
      <c r="I20" s="173" t="s">
        <v>205</v>
      </c>
      <c r="J20" s="173"/>
      <c r="K20" s="173" t="s">
        <v>212</v>
      </c>
      <c r="L20" s="173">
        <v>25</v>
      </c>
      <c r="M20" s="173" t="s">
        <v>213</v>
      </c>
      <c r="N20" s="174">
        <v>1120</v>
      </c>
      <c r="O20" s="174">
        <v>1120</v>
      </c>
      <c r="P20" s="174">
        <v>4000</v>
      </c>
      <c r="Q20" s="173">
        <v>2</v>
      </c>
      <c r="R20" s="173">
        <v>2</v>
      </c>
      <c r="S20" s="173" t="s">
        <v>354</v>
      </c>
      <c r="T20" s="175">
        <v>44734</v>
      </c>
      <c r="U20" s="175">
        <v>44767</v>
      </c>
      <c r="V20" s="173" t="s">
        <v>355</v>
      </c>
      <c r="W20" s="173"/>
      <c r="X20" s="173"/>
      <c r="Z20" s="146" t="str">
        <f t="shared" ca="1" si="0"/>
        <v/>
      </c>
      <c r="AA20" s="146" t="str">
        <f ca="1">IFERROR(IF(OR(OFFSET('S4'!#REF!,MATCH($A20,'S4'!$D$5:$D$2535,0)-1,6)="巻返し",OFFSET('S4'!#REF!,MATCH($A20,'S4'!$D$5:$D$2535,0)-1,6)="スリット"),SUMIF('S4'!$D$5:$D$2535,$A20,'S4'!$U$5:$U$2535),""),"")</f>
        <v/>
      </c>
      <c r="AB20" s="146" t="str">
        <f ca="1">IFERROR(IF(OR(OFFSET('S5'!#REF!,MATCH($A20,'S5'!$D$5:$D$2103,0)-1,6)="巻返し",OFFSET('S5'!#REF!,MATCH($A20,'S5'!$D$5:$D$2103,0)-1,6)="スリット"),SUMIF('S5'!$D$5:$D$2103,$A20,'S5'!$T$5:$T$2103),""),"")</f>
        <v/>
      </c>
    </row>
    <row r="21" spans="1:28" s="141" customFormat="1" ht="11.25" x14ac:dyDescent="0.15">
      <c r="A21" s="173">
        <v>3667108</v>
      </c>
      <c r="B21" s="173" t="s">
        <v>351</v>
      </c>
      <c r="C21" s="173" t="s">
        <v>352</v>
      </c>
      <c r="D21" s="173" t="s">
        <v>353</v>
      </c>
      <c r="E21" s="173" t="s">
        <v>116</v>
      </c>
      <c r="F21" s="173">
        <v>3</v>
      </c>
      <c r="G21" s="173" t="s">
        <v>19</v>
      </c>
      <c r="H21" s="173" t="s">
        <v>20</v>
      </c>
      <c r="I21" s="173" t="s">
        <v>205</v>
      </c>
      <c r="J21" s="173"/>
      <c r="K21" s="173" t="s">
        <v>212</v>
      </c>
      <c r="L21" s="173">
        <v>50</v>
      </c>
      <c r="M21" s="173" t="s">
        <v>213</v>
      </c>
      <c r="N21" s="174">
        <v>1000</v>
      </c>
      <c r="O21" s="174">
        <v>1000</v>
      </c>
      <c r="P21" s="174">
        <v>4000</v>
      </c>
      <c r="Q21" s="173">
        <v>2</v>
      </c>
      <c r="R21" s="173">
        <v>2</v>
      </c>
      <c r="S21" s="173" t="s">
        <v>354</v>
      </c>
      <c r="T21" s="175">
        <v>44734</v>
      </c>
      <c r="U21" s="175">
        <v>44761</v>
      </c>
      <c r="V21" s="173" t="s">
        <v>355</v>
      </c>
      <c r="W21" s="173"/>
      <c r="X21" s="173"/>
      <c r="Z21" s="146" t="str">
        <f t="shared" ca="1" si="0"/>
        <v/>
      </c>
      <c r="AA21" s="146" t="str">
        <f ca="1">IFERROR(IF(OR(OFFSET('S4'!#REF!,MATCH($A21,'S4'!$D$5:$D$2535,0)-1,6)="巻返し",OFFSET('S4'!#REF!,MATCH($A21,'S4'!$D$5:$D$2535,0)-1,6)="スリット"),SUMIF('S4'!$D$5:$D$2535,$A21,'S4'!$U$5:$U$2535),""),"")</f>
        <v/>
      </c>
      <c r="AB21" s="146" t="str">
        <f ca="1">IFERROR(IF(OR(OFFSET('S5'!#REF!,MATCH($A21,'S5'!$D$5:$D$2103,0)-1,6)="巻返し",OFFSET('S5'!#REF!,MATCH($A21,'S5'!$D$5:$D$2103,0)-1,6)="スリット"),SUMIF('S5'!$D$5:$D$2103,$A21,'S5'!$T$5:$T$2103),""),"")</f>
        <v/>
      </c>
    </row>
    <row r="22" spans="1:28" s="141" customFormat="1" ht="11.25" x14ac:dyDescent="0.15">
      <c r="A22" s="173">
        <v>3667109</v>
      </c>
      <c r="B22" s="173" t="s">
        <v>351</v>
      </c>
      <c r="C22" s="173" t="s">
        <v>352</v>
      </c>
      <c r="D22" s="173" t="s">
        <v>353</v>
      </c>
      <c r="E22" s="173" t="s">
        <v>116</v>
      </c>
      <c r="F22" s="173">
        <v>3</v>
      </c>
      <c r="G22" s="173" t="s">
        <v>19</v>
      </c>
      <c r="H22" s="173" t="s">
        <v>20</v>
      </c>
      <c r="I22" s="173" t="s">
        <v>205</v>
      </c>
      <c r="J22" s="173"/>
      <c r="K22" s="173" t="s">
        <v>212</v>
      </c>
      <c r="L22" s="173">
        <v>50</v>
      </c>
      <c r="M22" s="173" t="s">
        <v>213</v>
      </c>
      <c r="N22" s="174">
        <v>1120</v>
      </c>
      <c r="O22" s="174">
        <v>1120</v>
      </c>
      <c r="P22" s="174">
        <v>4000</v>
      </c>
      <c r="Q22" s="173">
        <v>2</v>
      </c>
      <c r="R22" s="173">
        <v>8</v>
      </c>
      <c r="S22" s="173" t="s">
        <v>354</v>
      </c>
      <c r="T22" s="175">
        <v>44734</v>
      </c>
      <c r="U22" s="175">
        <v>44774</v>
      </c>
      <c r="V22" s="173" t="s">
        <v>355</v>
      </c>
      <c r="W22" s="173"/>
      <c r="X22" s="173"/>
      <c r="Z22" s="146" t="str">
        <f t="shared" ca="1" si="0"/>
        <v/>
      </c>
      <c r="AA22" s="146" t="str">
        <f ca="1">IFERROR(IF(OR(OFFSET('S4'!#REF!,MATCH($A22,'S4'!$D$5:$D$2535,0)-1,6)="巻返し",OFFSET('S4'!#REF!,MATCH($A22,'S4'!$D$5:$D$2535,0)-1,6)="スリット"),SUMIF('S4'!$D$5:$D$2535,$A22,'S4'!$U$5:$U$2535),""),"")</f>
        <v/>
      </c>
      <c r="AB22" s="146" t="str">
        <f ca="1">IFERROR(IF(OR(OFFSET('S5'!#REF!,MATCH($A22,'S5'!$D$5:$D$2103,0)-1,6)="巻返し",OFFSET('S5'!#REF!,MATCH($A22,'S5'!$D$5:$D$2103,0)-1,6)="スリット"),SUMIF('S5'!$D$5:$D$2103,$A22,'S5'!$T$5:$T$2103),""),"")</f>
        <v/>
      </c>
    </row>
    <row r="23" spans="1:28" s="141" customFormat="1" ht="11.25" x14ac:dyDescent="0.15">
      <c r="A23" s="173">
        <v>3667110</v>
      </c>
      <c r="B23" s="173" t="s">
        <v>351</v>
      </c>
      <c r="C23" s="173" t="s">
        <v>352</v>
      </c>
      <c r="D23" s="173" t="s">
        <v>353</v>
      </c>
      <c r="E23" s="173" t="s">
        <v>116</v>
      </c>
      <c r="F23" s="173">
        <v>3</v>
      </c>
      <c r="G23" s="173" t="s">
        <v>19</v>
      </c>
      <c r="H23" s="173" t="s">
        <v>20</v>
      </c>
      <c r="I23" s="173" t="s">
        <v>205</v>
      </c>
      <c r="J23" s="173"/>
      <c r="K23" s="173" t="s">
        <v>212</v>
      </c>
      <c r="L23" s="173">
        <v>50</v>
      </c>
      <c r="M23" s="173" t="s">
        <v>213</v>
      </c>
      <c r="N23" s="174">
        <v>1120</v>
      </c>
      <c r="O23" s="174">
        <v>1120</v>
      </c>
      <c r="P23" s="174">
        <v>4000</v>
      </c>
      <c r="Q23" s="173">
        <v>2</v>
      </c>
      <c r="R23" s="173">
        <v>8</v>
      </c>
      <c r="S23" s="173" t="s">
        <v>354</v>
      </c>
      <c r="T23" s="175">
        <v>44734</v>
      </c>
      <c r="U23" s="175">
        <v>44774</v>
      </c>
      <c r="V23" s="173" t="s">
        <v>355</v>
      </c>
      <c r="W23" s="173"/>
      <c r="X23" s="173"/>
      <c r="Z23" s="146" t="str">
        <f t="shared" ca="1" si="0"/>
        <v/>
      </c>
      <c r="AA23" s="146" t="str">
        <f ca="1">IFERROR(IF(OR(OFFSET('S4'!#REF!,MATCH($A23,'S4'!$D$5:$D$2535,0)-1,6)="巻返し",OFFSET('S4'!#REF!,MATCH($A23,'S4'!$D$5:$D$2535,0)-1,6)="スリット"),SUMIF('S4'!$D$5:$D$2535,$A23,'S4'!$U$5:$U$2535),""),"")</f>
        <v/>
      </c>
      <c r="AB23" s="146" t="str">
        <f ca="1">IFERROR(IF(OR(OFFSET('S5'!#REF!,MATCH($A23,'S5'!$D$5:$D$2103,0)-1,6)="巻返し",OFFSET('S5'!#REF!,MATCH($A23,'S5'!$D$5:$D$2103,0)-1,6)="スリット"),SUMIF('S5'!$D$5:$D$2103,$A23,'S5'!$T$5:$T$2103),""),"")</f>
        <v/>
      </c>
    </row>
    <row r="24" spans="1:28" s="141" customFormat="1" ht="11.25" x14ac:dyDescent="0.15">
      <c r="A24" s="173">
        <v>3667111</v>
      </c>
      <c r="B24" s="173" t="s">
        <v>351</v>
      </c>
      <c r="C24" s="173" t="s">
        <v>352</v>
      </c>
      <c r="D24" s="173" t="s">
        <v>353</v>
      </c>
      <c r="E24" s="173" t="s">
        <v>116</v>
      </c>
      <c r="F24" s="173">
        <v>3</v>
      </c>
      <c r="G24" s="173" t="s">
        <v>19</v>
      </c>
      <c r="H24" s="173" t="s">
        <v>20</v>
      </c>
      <c r="I24" s="173" t="s">
        <v>205</v>
      </c>
      <c r="J24" s="173"/>
      <c r="K24" s="173" t="s">
        <v>212</v>
      </c>
      <c r="L24" s="173">
        <v>50</v>
      </c>
      <c r="M24" s="173" t="s">
        <v>213</v>
      </c>
      <c r="N24" s="174">
        <v>1120</v>
      </c>
      <c r="O24" s="174">
        <v>1120</v>
      </c>
      <c r="P24" s="174">
        <v>4000</v>
      </c>
      <c r="Q24" s="173">
        <v>2</v>
      </c>
      <c r="R24" s="173">
        <v>4</v>
      </c>
      <c r="S24" s="173" t="s">
        <v>354</v>
      </c>
      <c r="T24" s="175">
        <v>44734</v>
      </c>
      <c r="U24" s="175">
        <v>44774</v>
      </c>
      <c r="V24" s="173" t="s">
        <v>355</v>
      </c>
      <c r="W24" s="173"/>
      <c r="X24" s="173"/>
      <c r="Z24" s="146" t="str">
        <f t="shared" ca="1" si="0"/>
        <v/>
      </c>
      <c r="AA24" s="146" t="str">
        <f ca="1">IFERROR(IF(OR(OFFSET('S4'!#REF!,MATCH($A24,'S4'!$D$5:$D$2535,0)-1,6)="巻返し",OFFSET('S4'!#REF!,MATCH($A24,'S4'!$D$5:$D$2535,0)-1,6)="スリット"),SUMIF('S4'!$D$5:$D$2535,$A24,'S4'!$U$5:$U$2535),""),"")</f>
        <v/>
      </c>
      <c r="AB24" s="146" t="str">
        <f ca="1">IFERROR(IF(OR(OFFSET('S5'!#REF!,MATCH($A24,'S5'!$D$5:$D$2103,0)-1,6)="巻返し",OFFSET('S5'!#REF!,MATCH($A24,'S5'!$D$5:$D$2103,0)-1,6)="スリット"),SUMIF('S5'!$D$5:$D$2103,$A24,'S5'!$T$5:$T$2103),""),"")</f>
        <v/>
      </c>
    </row>
    <row r="25" spans="1:28" s="141" customFormat="1" ht="11.25" x14ac:dyDescent="0.15">
      <c r="A25" s="173">
        <v>3667112</v>
      </c>
      <c r="B25" s="173" t="s">
        <v>351</v>
      </c>
      <c r="C25" s="173" t="s">
        <v>352</v>
      </c>
      <c r="D25" s="173" t="s">
        <v>353</v>
      </c>
      <c r="E25" s="173" t="s">
        <v>116</v>
      </c>
      <c r="F25" s="173">
        <v>3</v>
      </c>
      <c r="G25" s="173" t="s">
        <v>19</v>
      </c>
      <c r="H25" s="173" t="s">
        <v>20</v>
      </c>
      <c r="I25" s="173" t="s">
        <v>205</v>
      </c>
      <c r="J25" s="173"/>
      <c r="K25" s="173" t="s">
        <v>212</v>
      </c>
      <c r="L25" s="173">
        <v>50</v>
      </c>
      <c r="M25" s="173" t="s">
        <v>213</v>
      </c>
      <c r="N25" s="174">
        <v>1120</v>
      </c>
      <c r="O25" s="174">
        <v>1120</v>
      </c>
      <c r="P25" s="174">
        <v>4000</v>
      </c>
      <c r="Q25" s="173">
        <v>2</v>
      </c>
      <c r="R25" s="173">
        <v>8</v>
      </c>
      <c r="S25" s="173" t="s">
        <v>354</v>
      </c>
      <c r="T25" s="175">
        <v>44734</v>
      </c>
      <c r="U25" s="175">
        <v>44781</v>
      </c>
      <c r="V25" s="173" t="s">
        <v>355</v>
      </c>
      <c r="W25" s="173"/>
      <c r="X25" s="173"/>
      <c r="Z25" s="146" t="str">
        <f t="shared" ca="1" si="0"/>
        <v/>
      </c>
      <c r="AA25" s="146" t="str">
        <f ca="1">IFERROR(IF(OR(OFFSET('S4'!#REF!,MATCH($A25,'S4'!$D$5:$D$2535,0)-1,6)="巻返し",OFFSET('S4'!#REF!,MATCH($A25,'S4'!$D$5:$D$2535,0)-1,6)="スリット"),SUMIF('S4'!$D$5:$D$2535,$A25,'S4'!$U$5:$U$2535),""),"")</f>
        <v/>
      </c>
      <c r="AB25" s="146" t="str">
        <f ca="1">IFERROR(IF(OR(OFFSET('S5'!#REF!,MATCH($A25,'S5'!$D$5:$D$2103,0)-1,6)="巻返し",OFFSET('S5'!#REF!,MATCH($A25,'S5'!$D$5:$D$2103,0)-1,6)="スリット"),SUMIF('S5'!$D$5:$D$2103,$A25,'S5'!$T$5:$T$2103),""),"")</f>
        <v/>
      </c>
    </row>
    <row r="26" spans="1:28" s="141" customFormat="1" ht="11.25" x14ac:dyDescent="0.15">
      <c r="A26" s="173">
        <v>3667113</v>
      </c>
      <c r="B26" s="173" t="s">
        <v>351</v>
      </c>
      <c r="C26" s="173" t="s">
        <v>352</v>
      </c>
      <c r="D26" s="173" t="s">
        <v>353</v>
      </c>
      <c r="E26" s="173" t="s">
        <v>116</v>
      </c>
      <c r="F26" s="173">
        <v>3</v>
      </c>
      <c r="G26" s="173" t="s">
        <v>19</v>
      </c>
      <c r="H26" s="173" t="s">
        <v>20</v>
      </c>
      <c r="I26" s="173" t="s">
        <v>205</v>
      </c>
      <c r="J26" s="173"/>
      <c r="K26" s="173" t="s">
        <v>212</v>
      </c>
      <c r="L26" s="173">
        <v>50</v>
      </c>
      <c r="M26" s="173" t="s">
        <v>213</v>
      </c>
      <c r="N26" s="174">
        <v>1120</v>
      </c>
      <c r="O26" s="174">
        <v>1120</v>
      </c>
      <c r="P26" s="174">
        <v>4000</v>
      </c>
      <c r="Q26" s="173">
        <v>2</v>
      </c>
      <c r="R26" s="173">
        <v>8</v>
      </c>
      <c r="S26" s="173" t="s">
        <v>354</v>
      </c>
      <c r="T26" s="175">
        <v>44734</v>
      </c>
      <c r="U26" s="175">
        <v>44790</v>
      </c>
      <c r="V26" s="173" t="s">
        <v>355</v>
      </c>
      <c r="W26" s="173"/>
      <c r="X26" s="173"/>
      <c r="Z26" s="146" t="str">
        <f t="shared" ca="1" si="0"/>
        <v/>
      </c>
      <c r="AA26" s="146" t="str">
        <f ca="1">IFERROR(IF(OR(OFFSET('S4'!#REF!,MATCH($A26,'S4'!$D$5:$D$2535,0)-1,6)="巻返し",OFFSET('S4'!#REF!,MATCH($A26,'S4'!$D$5:$D$2535,0)-1,6)="スリット"),SUMIF('S4'!$D$5:$D$2535,$A26,'S4'!$U$5:$U$2535),""),"")</f>
        <v/>
      </c>
      <c r="AB26" s="146" t="str">
        <f ca="1">IFERROR(IF(OR(OFFSET('S5'!#REF!,MATCH($A26,'S5'!$D$5:$D$2103,0)-1,6)="巻返し",OFFSET('S5'!#REF!,MATCH($A26,'S5'!$D$5:$D$2103,0)-1,6)="スリット"),SUMIF('S5'!$D$5:$D$2103,$A26,'S5'!$T$5:$T$2103),""),"")</f>
        <v/>
      </c>
    </row>
    <row r="27" spans="1:28" s="141" customFormat="1" ht="11.25" x14ac:dyDescent="0.15">
      <c r="A27" s="173">
        <v>3667114</v>
      </c>
      <c r="B27" s="173" t="s">
        <v>351</v>
      </c>
      <c r="C27" s="173" t="s">
        <v>352</v>
      </c>
      <c r="D27" s="173" t="s">
        <v>353</v>
      </c>
      <c r="E27" s="173" t="s">
        <v>116</v>
      </c>
      <c r="F27" s="173">
        <v>3</v>
      </c>
      <c r="G27" s="173" t="s">
        <v>19</v>
      </c>
      <c r="H27" s="173" t="s">
        <v>20</v>
      </c>
      <c r="I27" s="173" t="s">
        <v>205</v>
      </c>
      <c r="J27" s="173"/>
      <c r="K27" s="173" t="s">
        <v>211</v>
      </c>
      <c r="L27" s="173">
        <v>25</v>
      </c>
      <c r="M27" s="173" t="s">
        <v>491</v>
      </c>
      <c r="N27" s="174">
        <v>1050</v>
      </c>
      <c r="O27" s="174">
        <v>1050</v>
      </c>
      <c r="P27" s="174">
        <v>4000</v>
      </c>
      <c r="Q27" s="173">
        <v>2</v>
      </c>
      <c r="R27" s="173">
        <v>2</v>
      </c>
      <c r="S27" s="173" t="s">
        <v>354</v>
      </c>
      <c r="T27" s="175">
        <v>44734</v>
      </c>
      <c r="U27" s="175">
        <v>44757</v>
      </c>
      <c r="V27" s="173" t="s">
        <v>355</v>
      </c>
      <c r="W27" s="173"/>
      <c r="X27" s="173"/>
      <c r="Z27" s="146" t="str">
        <f t="shared" ca="1" si="0"/>
        <v/>
      </c>
      <c r="AA27" s="146" t="str">
        <f ca="1">IFERROR(IF(OR(OFFSET('S4'!#REF!,MATCH($A27,'S4'!$D$5:$D$2535,0)-1,6)="巻返し",OFFSET('S4'!#REF!,MATCH($A27,'S4'!$D$5:$D$2535,0)-1,6)="スリット"),SUMIF('S4'!$D$5:$D$2535,$A27,'S4'!$U$5:$U$2535),""),"")</f>
        <v/>
      </c>
      <c r="AB27" s="146" t="str">
        <f ca="1">IFERROR(IF(OR(OFFSET('S5'!#REF!,MATCH($A27,'S5'!$D$5:$D$2103,0)-1,6)="巻返し",OFFSET('S5'!#REF!,MATCH($A27,'S5'!$D$5:$D$2103,0)-1,6)="スリット"),SUMIF('S5'!$D$5:$D$2103,$A27,'S5'!$T$5:$T$2103),""),"")</f>
        <v/>
      </c>
    </row>
    <row r="28" spans="1:28" s="141" customFormat="1" ht="11.25" x14ac:dyDescent="0.15">
      <c r="A28" s="173">
        <v>3667115</v>
      </c>
      <c r="B28" s="173" t="s">
        <v>351</v>
      </c>
      <c r="C28" s="173" t="s">
        <v>352</v>
      </c>
      <c r="D28" s="173" t="s">
        <v>353</v>
      </c>
      <c r="E28" s="173" t="s">
        <v>116</v>
      </c>
      <c r="F28" s="173">
        <v>3</v>
      </c>
      <c r="G28" s="173" t="s">
        <v>19</v>
      </c>
      <c r="H28" s="173" t="s">
        <v>20</v>
      </c>
      <c r="I28" s="173" t="s">
        <v>205</v>
      </c>
      <c r="J28" s="173"/>
      <c r="K28" s="173" t="s">
        <v>211</v>
      </c>
      <c r="L28" s="173">
        <v>50</v>
      </c>
      <c r="M28" s="173" t="s">
        <v>370</v>
      </c>
      <c r="N28" s="174">
        <v>1050</v>
      </c>
      <c r="O28" s="174">
        <v>1050</v>
      </c>
      <c r="P28" s="174">
        <v>4100</v>
      </c>
      <c r="Q28" s="173">
        <v>2</v>
      </c>
      <c r="R28" s="173">
        <v>6</v>
      </c>
      <c r="S28" s="173" t="s">
        <v>354</v>
      </c>
      <c r="T28" s="175">
        <v>44734</v>
      </c>
      <c r="U28" s="175">
        <v>44757</v>
      </c>
      <c r="V28" s="173" t="s">
        <v>355</v>
      </c>
      <c r="W28" s="173"/>
      <c r="X28" s="173"/>
      <c r="Z28" s="146" t="str">
        <f t="shared" ca="1" si="0"/>
        <v/>
      </c>
      <c r="AA28" s="146" t="str">
        <f ca="1">IFERROR(IF(OR(OFFSET('S4'!#REF!,MATCH($A28,'S4'!$D$5:$D$2535,0)-1,6)="巻返し",OFFSET('S4'!#REF!,MATCH($A28,'S4'!$D$5:$D$2535,0)-1,6)="スリット"),SUMIF('S4'!$D$5:$D$2535,$A28,'S4'!$U$5:$U$2535),""),"")</f>
        <v/>
      </c>
      <c r="AB28" s="146" t="str">
        <f ca="1">IFERROR(IF(OR(OFFSET('S5'!#REF!,MATCH($A28,'S5'!$D$5:$D$2103,0)-1,6)="巻返し",OFFSET('S5'!#REF!,MATCH($A28,'S5'!$D$5:$D$2103,0)-1,6)="スリット"),SUMIF('S5'!$D$5:$D$2103,$A28,'S5'!$T$5:$T$2103),""),"")</f>
        <v/>
      </c>
    </row>
    <row r="29" spans="1:28" s="141" customFormat="1" ht="11.25" x14ac:dyDescent="0.15">
      <c r="A29" s="173">
        <v>3667116</v>
      </c>
      <c r="B29" s="173" t="s">
        <v>351</v>
      </c>
      <c r="C29" s="173" t="s">
        <v>352</v>
      </c>
      <c r="D29" s="173" t="s">
        <v>353</v>
      </c>
      <c r="E29" s="173" t="s">
        <v>116</v>
      </c>
      <c r="F29" s="173">
        <v>3</v>
      </c>
      <c r="G29" s="173" t="s">
        <v>19</v>
      </c>
      <c r="H29" s="173" t="s">
        <v>20</v>
      </c>
      <c r="I29" s="173" t="s">
        <v>205</v>
      </c>
      <c r="J29" s="173"/>
      <c r="K29" s="173" t="s">
        <v>211</v>
      </c>
      <c r="L29" s="173">
        <v>75</v>
      </c>
      <c r="M29" s="173" t="s">
        <v>370</v>
      </c>
      <c r="N29" s="174">
        <v>1050</v>
      </c>
      <c r="O29" s="174">
        <v>1050</v>
      </c>
      <c r="P29" s="174">
        <v>2000</v>
      </c>
      <c r="Q29" s="173">
        <v>2</v>
      </c>
      <c r="R29" s="173">
        <v>2</v>
      </c>
      <c r="S29" s="173" t="s">
        <v>354</v>
      </c>
      <c r="T29" s="175">
        <v>44734</v>
      </c>
      <c r="U29" s="175">
        <v>44757</v>
      </c>
      <c r="V29" s="173" t="s">
        <v>355</v>
      </c>
      <c r="W29" s="173"/>
      <c r="X29" s="173"/>
      <c r="Z29" s="146" t="str">
        <f t="shared" ca="1" si="0"/>
        <v/>
      </c>
      <c r="AA29" s="146" t="str">
        <f ca="1">IFERROR(IF(OR(OFFSET('S4'!#REF!,MATCH($A29,'S4'!$D$5:$D$2535,0)-1,6)="巻返し",OFFSET('S4'!#REF!,MATCH($A29,'S4'!$D$5:$D$2535,0)-1,6)="スリット"),SUMIF('S4'!$D$5:$D$2535,$A29,'S4'!$U$5:$U$2535),""),"")</f>
        <v/>
      </c>
      <c r="AB29" s="146" t="str">
        <f ca="1">IFERROR(IF(OR(OFFSET('S5'!#REF!,MATCH($A29,'S5'!$D$5:$D$2103,0)-1,6)="巻返し",OFFSET('S5'!#REF!,MATCH($A29,'S5'!$D$5:$D$2103,0)-1,6)="スリット"),SUMIF('S5'!$D$5:$D$2103,$A29,'S5'!$T$5:$T$2103),""),"")</f>
        <v/>
      </c>
    </row>
    <row r="30" spans="1:28" s="141" customFormat="1" ht="11.25" x14ac:dyDescent="0.15">
      <c r="A30" s="173">
        <v>3667117</v>
      </c>
      <c r="B30" s="173" t="s">
        <v>351</v>
      </c>
      <c r="C30" s="173" t="s">
        <v>352</v>
      </c>
      <c r="D30" s="173" t="s">
        <v>353</v>
      </c>
      <c r="E30" s="173" t="s">
        <v>116</v>
      </c>
      <c r="F30" s="173">
        <v>3</v>
      </c>
      <c r="G30" s="173" t="s">
        <v>19</v>
      </c>
      <c r="H30" s="173" t="s">
        <v>20</v>
      </c>
      <c r="I30" s="173" t="s">
        <v>165</v>
      </c>
      <c r="J30" s="173"/>
      <c r="K30" s="173" t="s">
        <v>185</v>
      </c>
      <c r="L30" s="173">
        <v>50</v>
      </c>
      <c r="M30" s="173" t="s">
        <v>186</v>
      </c>
      <c r="N30" s="174">
        <v>1005</v>
      </c>
      <c r="O30" s="174">
        <v>1000</v>
      </c>
      <c r="P30" s="174">
        <v>4000</v>
      </c>
      <c r="Q30" s="173">
        <v>2</v>
      </c>
      <c r="R30" s="173">
        <v>3</v>
      </c>
      <c r="S30" s="173" t="s">
        <v>354</v>
      </c>
      <c r="T30" s="175">
        <v>44734</v>
      </c>
      <c r="U30" s="175">
        <v>44757</v>
      </c>
      <c r="V30" s="173" t="s">
        <v>355</v>
      </c>
      <c r="W30" s="173"/>
      <c r="X30" s="173"/>
      <c r="Z30" s="146" t="str">
        <f t="shared" ca="1" si="0"/>
        <v/>
      </c>
      <c r="AA30" s="146" t="str">
        <f ca="1">IFERROR(IF(OR(OFFSET('S4'!#REF!,MATCH($A30,'S4'!$D$5:$D$2535,0)-1,6)="巻返し",OFFSET('S4'!#REF!,MATCH($A30,'S4'!$D$5:$D$2535,0)-1,6)="スリット"),SUMIF('S4'!$D$5:$D$2535,$A30,'S4'!$U$5:$U$2535),""),"")</f>
        <v/>
      </c>
      <c r="AB30" s="146" t="str">
        <f ca="1">IFERROR(IF(OR(OFFSET('S5'!#REF!,MATCH($A30,'S5'!$D$5:$D$2103,0)-1,6)="巻返し",OFFSET('S5'!#REF!,MATCH($A30,'S5'!$D$5:$D$2103,0)-1,6)="スリット"),SUMIF('S5'!$D$5:$D$2103,$A30,'S5'!$T$5:$T$2103),""),"")</f>
        <v/>
      </c>
    </row>
    <row r="31" spans="1:28" s="141" customFormat="1" ht="11.25" x14ac:dyDescent="0.15">
      <c r="A31" s="173">
        <v>3667119</v>
      </c>
      <c r="B31" s="173" t="s">
        <v>351</v>
      </c>
      <c r="C31" s="173" t="s">
        <v>352</v>
      </c>
      <c r="D31" s="173" t="s">
        <v>353</v>
      </c>
      <c r="E31" s="173" t="s">
        <v>116</v>
      </c>
      <c r="F31" s="173">
        <v>3</v>
      </c>
      <c r="G31" s="173" t="s">
        <v>19</v>
      </c>
      <c r="H31" s="173" t="s">
        <v>20</v>
      </c>
      <c r="I31" s="173" t="s">
        <v>205</v>
      </c>
      <c r="J31" s="173"/>
      <c r="K31" s="173" t="s">
        <v>216</v>
      </c>
      <c r="L31" s="173">
        <v>25</v>
      </c>
      <c r="M31" s="173" t="s">
        <v>217</v>
      </c>
      <c r="N31" s="174">
        <v>1005</v>
      </c>
      <c r="O31" s="174">
        <v>1000</v>
      </c>
      <c r="P31" s="174">
        <v>4000</v>
      </c>
      <c r="Q31" s="173">
        <v>2</v>
      </c>
      <c r="R31" s="173">
        <v>15</v>
      </c>
      <c r="S31" s="173" t="s">
        <v>354</v>
      </c>
      <c r="T31" s="175">
        <v>44734</v>
      </c>
      <c r="U31" s="175">
        <v>44767</v>
      </c>
      <c r="V31" s="173" t="s">
        <v>355</v>
      </c>
      <c r="W31" s="173"/>
      <c r="X31" s="173"/>
      <c r="Z31" s="146" t="str">
        <f t="shared" ca="1" si="0"/>
        <v/>
      </c>
      <c r="AA31" s="146" t="str">
        <f ca="1">IFERROR(IF(OR(OFFSET('S4'!#REF!,MATCH($A31,'S4'!$D$5:$D$2535,0)-1,6)="巻返し",OFFSET('S4'!#REF!,MATCH($A31,'S4'!$D$5:$D$2535,0)-1,6)="スリット"),SUMIF('S4'!$D$5:$D$2535,$A31,'S4'!$U$5:$U$2535),""),"")</f>
        <v/>
      </c>
      <c r="AB31" s="146" t="str">
        <f ca="1">IFERROR(IF(OR(OFFSET('S5'!#REF!,MATCH($A31,'S5'!$D$5:$D$2103,0)-1,6)="巻返し",OFFSET('S5'!#REF!,MATCH($A31,'S5'!$D$5:$D$2103,0)-1,6)="スリット"),SUMIF('S5'!$D$5:$D$2103,$A31,'S5'!$T$5:$T$2103),""),"")</f>
        <v/>
      </c>
    </row>
    <row r="32" spans="1:28" s="141" customFormat="1" ht="11.25" x14ac:dyDescent="0.15">
      <c r="A32" s="173">
        <v>3667120</v>
      </c>
      <c r="B32" s="173" t="s">
        <v>351</v>
      </c>
      <c r="C32" s="173" t="s">
        <v>352</v>
      </c>
      <c r="D32" s="173" t="s">
        <v>353</v>
      </c>
      <c r="E32" s="173" t="s">
        <v>116</v>
      </c>
      <c r="F32" s="173">
        <v>3</v>
      </c>
      <c r="G32" s="173" t="s">
        <v>19</v>
      </c>
      <c r="H32" s="173" t="s">
        <v>20</v>
      </c>
      <c r="I32" s="173" t="s">
        <v>205</v>
      </c>
      <c r="J32" s="173"/>
      <c r="K32" s="173" t="s">
        <v>216</v>
      </c>
      <c r="L32" s="173">
        <v>50</v>
      </c>
      <c r="M32" s="173" t="s">
        <v>217</v>
      </c>
      <c r="N32" s="174">
        <v>1120</v>
      </c>
      <c r="O32" s="174">
        <v>1120</v>
      </c>
      <c r="P32" s="174">
        <v>5000</v>
      </c>
      <c r="Q32" s="173">
        <v>2</v>
      </c>
      <c r="R32" s="173">
        <v>12</v>
      </c>
      <c r="S32" s="173" t="s">
        <v>354</v>
      </c>
      <c r="T32" s="175">
        <v>44734</v>
      </c>
      <c r="U32" s="175">
        <v>44762</v>
      </c>
      <c r="V32" s="173" t="s">
        <v>355</v>
      </c>
      <c r="W32" s="173"/>
      <c r="X32" s="173"/>
      <c r="Z32" s="146" t="str">
        <f t="shared" ca="1" si="0"/>
        <v/>
      </c>
      <c r="AA32" s="146" t="str">
        <f ca="1">IFERROR(IF(OR(OFFSET('S4'!#REF!,MATCH($A32,'S4'!$D$5:$D$2535,0)-1,6)="巻返し",OFFSET('S4'!#REF!,MATCH($A32,'S4'!$D$5:$D$2535,0)-1,6)="スリット"),SUMIF('S4'!$D$5:$D$2535,$A32,'S4'!$U$5:$U$2535),""),"")</f>
        <v/>
      </c>
      <c r="AB32" s="146" t="str">
        <f ca="1">IFERROR(IF(OR(OFFSET('S5'!#REF!,MATCH($A32,'S5'!$D$5:$D$2103,0)-1,6)="巻返し",OFFSET('S5'!#REF!,MATCH($A32,'S5'!$D$5:$D$2103,0)-1,6)="スリット"),SUMIF('S5'!$D$5:$D$2103,$A32,'S5'!$T$5:$T$2103),""),"")</f>
        <v/>
      </c>
    </row>
    <row r="33" spans="1:28" s="141" customFormat="1" ht="11.25" x14ac:dyDescent="0.15">
      <c r="A33" s="173">
        <v>3667121</v>
      </c>
      <c r="B33" s="173" t="s">
        <v>351</v>
      </c>
      <c r="C33" s="173" t="s">
        <v>352</v>
      </c>
      <c r="D33" s="173" t="s">
        <v>353</v>
      </c>
      <c r="E33" s="173" t="s">
        <v>116</v>
      </c>
      <c r="F33" s="173">
        <v>3</v>
      </c>
      <c r="G33" s="173" t="s">
        <v>19</v>
      </c>
      <c r="H33" s="173" t="s">
        <v>20</v>
      </c>
      <c r="I33" s="173" t="s">
        <v>205</v>
      </c>
      <c r="J33" s="173"/>
      <c r="K33" s="173" t="s">
        <v>216</v>
      </c>
      <c r="L33" s="173">
        <v>50</v>
      </c>
      <c r="M33" s="173" t="s">
        <v>217</v>
      </c>
      <c r="N33" s="174">
        <v>1120</v>
      </c>
      <c r="O33" s="174">
        <v>1120</v>
      </c>
      <c r="P33" s="174">
        <v>5000</v>
      </c>
      <c r="Q33" s="173">
        <v>2</v>
      </c>
      <c r="R33" s="173">
        <v>12</v>
      </c>
      <c r="S33" s="173" t="s">
        <v>354</v>
      </c>
      <c r="T33" s="175">
        <v>44734</v>
      </c>
      <c r="U33" s="175">
        <v>44774</v>
      </c>
      <c r="V33" s="173" t="s">
        <v>355</v>
      </c>
      <c r="W33" s="173"/>
      <c r="X33" s="173"/>
      <c r="Z33" s="146" t="str">
        <f t="shared" ca="1" si="0"/>
        <v/>
      </c>
      <c r="AA33" s="146" t="str">
        <f ca="1">IFERROR(IF(OR(OFFSET('S4'!#REF!,MATCH($A33,'S4'!$D$5:$D$2535,0)-1,6)="巻返し",OFFSET('S4'!#REF!,MATCH($A33,'S4'!$D$5:$D$2535,0)-1,6)="スリット"),SUMIF('S4'!$D$5:$D$2535,$A33,'S4'!$U$5:$U$2535),""),"")</f>
        <v/>
      </c>
      <c r="AB33" s="146" t="str">
        <f ca="1">IFERROR(IF(OR(OFFSET('S5'!#REF!,MATCH($A33,'S5'!$D$5:$D$2103,0)-1,6)="巻返し",OFFSET('S5'!#REF!,MATCH($A33,'S5'!$D$5:$D$2103,0)-1,6)="スリット"),SUMIF('S5'!$D$5:$D$2103,$A33,'S5'!$T$5:$T$2103),""),"")</f>
        <v/>
      </c>
    </row>
    <row r="34" spans="1:28" s="141" customFormat="1" ht="11.25" x14ac:dyDescent="0.15">
      <c r="A34" s="173">
        <v>3667122</v>
      </c>
      <c r="B34" s="173" t="s">
        <v>351</v>
      </c>
      <c r="C34" s="173" t="s">
        <v>352</v>
      </c>
      <c r="D34" s="173" t="s">
        <v>353</v>
      </c>
      <c r="E34" s="173" t="s">
        <v>116</v>
      </c>
      <c r="F34" s="173">
        <v>3</v>
      </c>
      <c r="G34" s="173" t="s">
        <v>19</v>
      </c>
      <c r="H34" s="173" t="s">
        <v>20</v>
      </c>
      <c r="I34" s="173" t="s">
        <v>205</v>
      </c>
      <c r="J34" s="173"/>
      <c r="K34" s="173" t="s">
        <v>216</v>
      </c>
      <c r="L34" s="173">
        <v>50</v>
      </c>
      <c r="M34" s="173" t="s">
        <v>217</v>
      </c>
      <c r="N34" s="174">
        <v>1120</v>
      </c>
      <c r="O34" s="174">
        <v>1120</v>
      </c>
      <c r="P34" s="174">
        <v>5000</v>
      </c>
      <c r="Q34" s="173">
        <v>2</v>
      </c>
      <c r="R34" s="173">
        <v>12</v>
      </c>
      <c r="S34" s="173" t="s">
        <v>354</v>
      </c>
      <c r="T34" s="175">
        <v>44734</v>
      </c>
      <c r="U34" s="175">
        <v>44781</v>
      </c>
      <c r="V34" s="173" t="s">
        <v>355</v>
      </c>
      <c r="W34" s="173"/>
      <c r="X34" s="173"/>
      <c r="Z34" s="146" t="str">
        <f t="shared" ca="1" si="0"/>
        <v/>
      </c>
      <c r="AA34" s="146" t="str">
        <f ca="1">IFERROR(IF(OR(OFFSET('S4'!#REF!,MATCH($A34,'S4'!$D$5:$D$2535,0)-1,6)="巻返し",OFFSET('S4'!#REF!,MATCH($A34,'S4'!$D$5:$D$2535,0)-1,6)="スリット"),SUMIF('S4'!$D$5:$D$2535,$A34,'S4'!$U$5:$U$2535),""),"")</f>
        <v/>
      </c>
      <c r="AB34" s="146" t="str">
        <f ca="1">IFERROR(IF(OR(OFFSET('S5'!#REF!,MATCH($A34,'S5'!$D$5:$D$2103,0)-1,6)="巻返し",OFFSET('S5'!#REF!,MATCH($A34,'S5'!$D$5:$D$2103,0)-1,6)="スリット"),SUMIF('S5'!$D$5:$D$2103,$A34,'S5'!$T$5:$T$2103),""),"")</f>
        <v/>
      </c>
    </row>
    <row r="35" spans="1:28" s="141" customFormat="1" ht="11.25" x14ac:dyDescent="0.15">
      <c r="A35" s="173">
        <v>3667123</v>
      </c>
      <c r="B35" s="173" t="s">
        <v>351</v>
      </c>
      <c r="C35" s="173" t="s">
        <v>352</v>
      </c>
      <c r="D35" s="173" t="s">
        <v>353</v>
      </c>
      <c r="E35" s="173" t="s">
        <v>116</v>
      </c>
      <c r="F35" s="173">
        <v>3</v>
      </c>
      <c r="G35" s="173" t="s">
        <v>19</v>
      </c>
      <c r="H35" s="173" t="s">
        <v>20</v>
      </c>
      <c r="I35" s="173" t="s">
        <v>205</v>
      </c>
      <c r="J35" s="173"/>
      <c r="K35" s="173" t="s">
        <v>216</v>
      </c>
      <c r="L35" s="173">
        <v>50</v>
      </c>
      <c r="M35" s="173" t="s">
        <v>217</v>
      </c>
      <c r="N35" s="174">
        <v>1120</v>
      </c>
      <c r="O35" s="174">
        <v>1120</v>
      </c>
      <c r="P35" s="174">
        <v>5000</v>
      </c>
      <c r="Q35" s="173">
        <v>2</v>
      </c>
      <c r="R35" s="173">
        <v>12</v>
      </c>
      <c r="S35" s="173" t="s">
        <v>354</v>
      </c>
      <c r="T35" s="175">
        <v>44734</v>
      </c>
      <c r="U35" s="175">
        <v>44790</v>
      </c>
      <c r="V35" s="173" t="s">
        <v>355</v>
      </c>
      <c r="W35" s="173"/>
      <c r="X35" s="173"/>
      <c r="Z35" s="146" t="str">
        <f t="shared" ca="1" si="0"/>
        <v/>
      </c>
      <c r="AA35" s="146" t="str">
        <f ca="1">IFERROR(IF(OR(OFFSET('S4'!#REF!,MATCH($A35,'S4'!$D$5:$D$2535,0)-1,6)="巻返し",OFFSET('S4'!#REF!,MATCH($A35,'S4'!$D$5:$D$2535,0)-1,6)="スリット"),SUMIF('S4'!$D$5:$D$2535,$A35,'S4'!$U$5:$U$2535),""),"")</f>
        <v/>
      </c>
      <c r="AB35" s="146" t="str">
        <f ca="1">IFERROR(IF(OR(OFFSET('S5'!#REF!,MATCH($A35,'S5'!$D$5:$D$2103,0)-1,6)="巻返し",OFFSET('S5'!#REF!,MATCH($A35,'S5'!$D$5:$D$2103,0)-1,6)="スリット"),SUMIF('S5'!$D$5:$D$2103,$A35,'S5'!$T$5:$T$2103),""),"")</f>
        <v/>
      </c>
    </row>
    <row r="36" spans="1:28" s="141" customFormat="1" ht="11.25" x14ac:dyDescent="0.15">
      <c r="A36" s="173">
        <v>3667124</v>
      </c>
      <c r="B36" s="173" t="s">
        <v>351</v>
      </c>
      <c r="C36" s="173" t="s">
        <v>352</v>
      </c>
      <c r="D36" s="173" t="s">
        <v>353</v>
      </c>
      <c r="E36" s="173" t="s">
        <v>116</v>
      </c>
      <c r="F36" s="173">
        <v>3</v>
      </c>
      <c r="G36" s="173" t="s">
        <v>19</v>
      </c>
      <c r="H36" s="173" t="s">
        <v>20</v>
      </c>
      <c r="I36" s="173" t="s">
        <v>165</v>
      </c>
      <c r="J36" s="173"/>
      <c r="K36" s="173" t="s">
        <v>187</v>
      </c>
      <c r="L36" s="173">
        <v>50</v>
      </c>
      <c r="M36" s="173" t="s">
        <v>188</v>
      </c>
      <c r="N36" s="174">
        <v>1000</v>
      </c>
      <c r="O36" s="174">
        <v>1000</v>
      </c>
      <c r="P36" s="174">
        <v>3000</v>
      </c>
      <c r="Q36" s="173">
        <v>2</v>
      </c>
      <c r="R36" s="173">
        <v>2</v>
      </c>
      <c r="S36" s="173" t="s">
        <v>354</v>
      </c>
      <c r="T36" s="175">
        <v>44734</v>
      </c>
      <c r="U36" s="175">
        <v>44767</v>
      </c>
      <c r="V36" s="173" t="s">
        <v>355</v>
      </c>
      <c r="W36" s="173"/>
      <c r="X36" s="173"/>
      <c r="Z36" s="146" t="str">
        <f t="shared" ca="1" si="0"/>
        <v/>
      </c>
      <c r="AA36" s="146" t="str">
        <f ca="1">IFERROR(IF(OR(OFFSET('S4'!#REF!,MATCH($A36,'S4'!$D$5:$D$2535,0)-1,6)="巻返し",OFFSET('S4'!#REF!,MATCH($A36,'S4'!$D$5:$D$2535,0)-1,6)="スリット"),SUMIF('S4'!$D$5:$D$2535,$A36,'S4'!$U$5:$U$2535),""),"")</f>
        <v/>
      </c>
      <c r="AB36" s="146" t="str">
        <f ca="1">IFERROR(IF(OR(OFFSET('S5'!#REF!,MATCH($A36,'S5'!$D$5:$D$2103,0)-1,6)="巻返し",OFFSET('S5'!#REF!,MATCH($A36,'S5'!$D$5:$D$2103,0)-1,6)="スリット"),SUMIF('S5'!$D$5:$D$2103,$A36,'S5'!$T$5:$T$2103),""),"")</f>
        <v/>
      </c>
    </row>
    <row r="37" spans="1:28" s="141" customFormat="1" ht="11.25" x14ac:dyDescent="0.15">
      <c r="A37" s="173">
        <v>3667125</v>
      </c>
      <c r="B37" s="173" t="s">
        <v>351</v>
      </c>
      <c r="C37" s="173" t="s">
        <v>352</v>
      </c>
      <c r="D37" s="173" t="s">
        <v>353</v>
      </c>
      <c r="E37" s="173" t="s">
        <v>116</v>
      </c>
      <c r="F37" s="173">
        <v>3</v>
      </c>
      <c r="G37" s="173" t="s">
        <v>19</v>
      </c>
      <c r="H37" s="173" t="s">
        <v>20</v>
      </c>
      <c r="I37" s="173" t="s">
        <v>205</v>
      </c>
      <c r="J37" s="173"/>
      <c r="K37" s="173" t="s">
        <v>218</v>
      </c>
      <c r="L37" s="173">
        <v>25</v>
      </c>
      <c r="M37" s="173" t="s">
        <v>219</v>
      </c>
      <c r="N37" s="174">
        <v>1005</v>
      </c>
      <c r="O37" s="174">
        <v>1000</v>
      </c>
      <c r="P37" s="174">
        <v>4000</v>
      </c>
      <c r="Q37" s="173">
        <v>2</v>
      </c>
      <c r="R37" s="173">
        <v>2</v>
      </c>
      <c r="S37" s="173" t="s">
        <v>354</v>
      </c>
      <c r="T37" s="175">
        <v>44734</v>
      </c>
      <c r="U37" s="175">
        <v>44767</v>
      </c>
      <c r="V37" s="173" t="s">
        <v>355</v>
      </c>
      <c r="W37" s="173"/>
      <c r="X37" s="173"/>
      <c r="Z37" s="146" t="str">
        <f t="shared" ca="1" si="0"/>
        <v/>
      </c>
      <c r="AA37" s="146" t="str">
        <f ca="1">IFERROR(IF(OR(OFFSET('S4'!#REF!,MATCH($A37,'S4'!$D$5:$D$2535,0)-1,6)="巻返し",OFFSET('S4'!#REF!,MATCH($A37,'S4'!$D$5:$D$2535,0)-1,6)="スリット"),SUMIF('S4'!$D$5:$D$2535,$A37,'S4'!$U$5:$U$2535),""),"")</f>
        <v/>
      </c>
      <c r="AB37" s="146" t="str">
        <f ca="1">IFERROR(IF(OR(OFFSET('S5'!#REF!,MATCH($A37,'S5'!$D$5:$D$2103,0)-1,6)="巻返し",OFFSET('S5'!#REF!,MATCH($A37,'S5'!$D$5:$D$2103,0)-1,6)="スリット"),SUMIF('S5'!$D$5:$D$2103,$A37,'S5'!$T$5:$T$2103),""),"")</f>
        <v/>
      </c>
    </row>
    <row r="38" spans="1:28" s="141" customFormat="1" ht="11.25" x14ac:dyDescent="0.15">
      <c r="A38" s="173">
        <v>3667126</v>
      </c>
      <c r="B38" s="173" t="s">
        <v>351</v>
      </c>
      <c r="C38" s="173" t="s">
        <v>352</v>
      </c>
      <c r="D38" s="173" t="s">
        <v>353</v>
      </c>
      <c r="E38" s="173" t="s">
        <v>116</v>
      </c>
      <c r="F38" s="173">
        <v>3</v>
      </c>
      <c r="G38" s="173" t="s">
        <v>19</v>
      </c>
      <c r="H38" s="173" t="s">
        <v>20</v>
      </c>
      <c r="I38" s="173" t="s">
        <v>205</v>
      </c>
      <c r="J38" s="173"/>
      <c r="K38" s="173" t="s">
        <v>218</v>
      </c>
      <c r="L38" s="173">
        <v>50</v>
      </c>
      <c r="M38" s="173" t="s">
        <v>219</v>
      </c>
      <c r="N38" s="174">
        <v>1000</v>
      </c>
      <c r="O38" s="174">
        <v>1000</v>
      </c>
      <c r="P38" s="174">
        <v>4000</v>
      </c>
      <c r="Q38" s="173">
        <v>2</v>
      </c>
      <c r="R38" s="173">
        <v>15</v>
      </c>
      <c r="S38" s="173" t="s">
        <v>354</v>
      </c>
      <c r="T38" s="175">
        <v>44734</v>
      </c>
      <c r="U38" s="175">
        <v>44767</v>
      </c>
      <c r="V38" s="173" t="s">
        <v>355</v>
      </c>
      <c r="W38" s="173"/>
      <c r="X38" s="173"/>
      <c r="Z38" s="146" t="str">
        <f t="shared" ca="1" si="0"/>
        <v/>
      </c>
      <c r="AA38" s="146" t="str">
        <f ca="1">IFERROR(IF(OR(OFFSET('S4'!#REF!,MATCH($A38,'S4'!$D$5:$D$2535,0)-1,6)="巻返し",OFFSET('S4'!#REF!,MATCH($A38,'S4'!$D$5:$D$2535,0)-1,6)="スリット"),SUMIF('S4'!$D$5:$D$2535,$A38,'S4'!$U$5:$U$2535),""),"")</f>
        <v/>
      </c>
      <c r="AB38" s="146" t="str">
        <f ca="1">IFERROR(IF(OR(OFFSET('S5'!#REF!,MATCH($A38,'S5'!$D$5:$D$2103,0)-1,6)="巻返し",OFFSET('S5'!#REF!,MATCH($A38,'S5'!$D$5:$D$2103,0)-1,6)="スリット"),SUMIF('S5'!$D$5:$D$2103,$A38,'S5'!$T$5:$T$2103),""),"")</f>
        <v/>
      </c>
    </row>
    <row r="39" spans="1:28" s="141" customFormat="1" ht="11.25" x14ac:dyDescent="0.15">
      <c r="A39" s="173">
        <v>3667127</v>
      </c>
      <c r="B39" s="173" t="s">
        <v>351</v>
      </c>
      <c r="C39" s="173" t="s">
        <v>352</v>
      </c>
      <c r="D39" s="173" t="s">
        <v>353</v>
      </c>
      <c r="E39" s="173" t="s">
        <v>116</v>
      </c>
      <c r="F39" s="173" t="s">
        <v>158</v>
      </c>
      <c r="G39" s="173" t="s">
        <v>19</v>
      </c>
      <c r="H39" s="173" t="s">
        <v>20</v>
      </c>
      <c r="I39" s="173" t="s">
        <v>165</v>
      </c>
      <c r="J39" s="173"/>
      <c r="K39" s="173" t="s">
        <v>192</v>
      </c>
      <c r="L39" s="173">
        <v>50</v>
      </c>
      <c r="M39" s="173" t="s">
        <v>193</v>
      </c>
      <c r="N39" s="174">
        <v>1005</v>
      </c>
      <c r="O39" s="174">
        <v>1000</v>
      </c>
      <c r="P39" s="174">
        <v>4000</v>
      </c>
      <c r="Q39" s="173">
        <v>2</v>
      </c>
      <c r="R39" s="173">
        <v>6</v>
      </c>
      <c r="S39" s="173" t="s">
        <v>354</v>
      </c>
      <c r="T39" s="175">
        <v>44734</v>
      </c>
      <c r="U39" s="175">
        <v>44767</v>
      </c>
      <c r="V39" s="173" t="s">
        <v>355</v>
      </c>
      <c r="W39" s="173"/>
      <c r="X39" s="173"/>
      <c r="Z39" s="146" t="str">
        <f t="shared" ca="1" si="0"/>
        <v/>
      </c>
      <c r="AA39" s="146" t="str">
        <f ca="1">IFERROR(IF(OR(OFFSET('S4'!#REF!,MATCH($A39,'S4'!$D$5:$D$2535,0)-1,6)="巻返し",OFFSET('S4'!#REF!,MATCH($A39,'S4'!$D$5:$D$2535,0)-1,6)="スリット"),SUMIF('S4'!$D$5:$D$2535,$A39,'S4'!$U$5:$U$2535),""),"")</f>
        <v/>
      </c>
      <c r="AB39" s="146" t="str">
        <f ca="1">IFERROR(IF(OR(OFFSET('S5'!#REF!,MATCH($A39,'S5'!$D$5:$D$2103,0)-1,6)="巻返し",OFFSET('S5'!#REF!,MATCH($A39,'S5'!$D$5:$D$2103,0)-1,6)="スリット"),SUMIF('S5'!$D$5:$D$2103,$A39,'S5'!$T$5:$T$2103),""),"")</f>
        <v/>
      </c>
    </row>
    <row r="40" spans="1:28" s="141" customFormat="1" ht="11.25" x14ac:dyDescent="0.15">
      <c r="A40" s="173">
        <v>3667128</v>
      </c>
      <c r="B40" s="173" t="s">
        <v>351</v>
      </c>
      <c r="C40" s="173" t="s">
        <v>352</v>
      </c>
      <c r="D40" s="173" t="s">
        <v>353</v>
      </c>
      <c r="E40" s="173" t="s">
        <v>116</v>
      </c>
      <c r="F40" s="173" t="s">
        <v>158</v>
      </c>
      <c r="G40" s="173" t="s">
        <v>19</v>
      </c>
      <c r="H40" s="173" t="s">
        <v>20</v>
      </c>
      <c r="I40" s="173" t="s">
        <v>165</v>
      </c>
      <c r="J40" s="173"/>
      <c r="K40" s="173" t="s">
        <v>195</v>
      </c>
      <c r="L40" s="173">
        <v>50</v>
      </c>
      <c r="M40" s="173" t="s">
        <v>196</v>
      </c>
      <c r="N40" s="174">
        <v>1005</v>
      </c>
      <c r="O40" s="174">
        <v>1000</v>
      </c>
      <c r="P40" s="174">
        <v>4000</v>
      </c>
      <c r="Q40" s="173">
        <v>2</v>
      </c>
      <c r="R40" s="173">
        <v>3</v>
      </c>
      <c r="S40" s="173" t="s">
        <v>354</v>
      </c>
      <c r="T40" s="175">
        <v>44734</v>
      </c>
      <c r="U40" s="175">
        <v>44767</v>
      </c>
      <c r="V40" s="173" t="s">
        <v>355</v>
      </c>
      <c r="W40" s="173"/>
      <c r="X40" s="173"/>
      <c r="Z40" s="146" t="str">
        <f t="shared" ca="1" si="0"/>
        <v/>
      </c>
      <c r="AA40" s="146" t="str">
        <f ca="1">IFERROR(IF(OR(OFFSET('S4'!#REF!,MATCH($A40,'S4'!$D$5:$D$2535,0)-1,6)="巻返し",OFFSET('S4'!#REF!,MATCH($A40,'S4'!$D$5:$D$2535,0)-1,6)="スリット"),SUMIF('S4'!$D$5:$D$2535,$A40,'S4'!$U$5:$U$2535),""),"")</f>
        <v/>
      </c>
      <c r="AB40" s="146" t="str">
        <f ca="1">IFERROR(IF(OR(OFFSET('S5'!#REF!,MATCH($A40,'S5'!$D$5:$D$2103,0)-1,6)="巻返し",OFFSET('S5'!#REF!,MATCH($A40,'S5'!$D$5:$D$2103,0)-1,6)="スリット"),SUMIF('S5'!$D$5:$D$2103,$A40,'S5'!$T$5:$T$2103),""),"")</f>
        <v/>
      </c>
    </row>
    <row r="41" spans="1:28" s="141" customFormat="1" ht="11.25" x14ac:dyDescent="0.15">
      <c r="A41" s="173">
        <v>3667129</v>
      </c>
      <c r="B41" s="173" t="s">
        <v>351</v>
      </c>
      <c r="C41" s="173" t="s">
        <v>352</v>
      </c>
      <c r="D41" s="173" t="s">
        <v>353</v>
      </c>
      <c r="E41" s="173" t="s">
        <v>116</v>
      </c>
      <c r="F41" s="173" t="s">
        <v>158</v>
      </c>
      <c r="G41" s="173" t="s">
        <v>19</v>
      </c>
      <c r="H41" s="173" t="s">
        <v>20</v>
      </c>
      <c r="I41" s="173" t="s">
        <v>165</v>
      </c>
      <c r="J41" s="173"/>
      <c r="K41" s="173" t="s">
        <v>197</v>
      </c>
      <c r="L41" s="173">
        <v>50</v>
      </c>
      <c r="M41" s="173" t="s">
        <v>198</v>
      </c>
      <c r="N41" s="174">
        <v>1005</v>
      </c>
      <c r="O41" s="174">
        <v>1000</v>
      </c>
      <c r="P41" s="174">
        <v>4000</v>
      </c>
      <c r="Q41" s="173">
        <v>2</v>
      </c>
      <c r="R41" s="173">
        <v>6</v>
      </c>
      <c r="S41" s="173" t="s">
        <v>354</v>
      </c>
      <c r="T41" s="175">
        <v>44734</v>
      </c>
      <c r="U41" s="175">
        <v>44767</v>
      </c>
      <c r="V41" s="173" t="s">
        <v>355</v>
      </c>
      <c r="W41" s="173"/>
      <c r="X41" s="173"/>
      <c r="Z41" s="146" t="str">
        <f t="shared" ca="1" si="0"/>
        <v/>
      </c>
      <c r="AA41" s="146" t="str">
        <f ca="1">IFERROR(IF(OR(OFFSET('S4'!#REF!,MATCH($A41,'S4'!$D$5:$D$2535,0)-1,6)="巻返し",OFFSET('S4'!#REF!,MATCH($A41,'S4'!$D$5:$D$2535,0)-1,6)="スリット"),SUMIF('S4'!$D$5:$D$2535,$A41,'S4'!$U$5:$U$2535),""),"")</f>
        <v/>
      </c>
      <c r="AB41" s="146" t="str">
        <f ca="1">IFERROR(IF(OR(OFFSET('S5'!#REF!,MATCH($A41,'S5'!$D$5:$D$2103,0)-1,6)="巻返し",OFFSET('S5'!#REF!,MATCH($A41,'S5'!$D$5:$D$2103,0)-1,6)="スリット"),SUMIF('S5'!$D$5:$D$2103,$A41,'S5'!$T$5:$T$2103),""),"")</f>
        <v/>
      </c>
    </row>
    <row r="42" spans="1:28" s="141" customFormat="1" ht="11.25" x14ac:dyDescent="0.15">
      <c r="A42" s="173">
        <v>3667132</v>
      </c>
      <c r="B42" s="173" t="s">
        <v>351</v>
      </c>
      <c r="C42" s="173" t="s">
        <v>352</v>
      </c>
      <c r="D42" s="173" t="s">
        <v>353</v>
      </c>
      <c r="E42" s="173" t="s">
        <v>116</v>
      </c>
      <c r="F42" s="173">
        <v>3</v>
      </c>
      <c r="G42" s="173" t="s">
        <v>19</v>
      </c>
      <c r="H42" s="173" t="s">
        <v>20</v>
      </c>
      <c r="I42" s="173" t="s">
        <v>205</v>
      </c>
      <c r="J42" s="173"/>
      <c r="K42" s="173" t="s">
        <v>221</v>
      </c>
      <c r="L42" s="173">
        <v>25</v>
      </c>
      <c r="M42" s="173" t="s">
        <v>222</v>
      </c>
      <c r="N42" s="174">
        <v>1000</v>
      </c>
      <c r="O42" s="174">
        <v>1000</v>
      </c>
      <c r="P42" s="174">
        <v>6000</v>
      </c>
      <c r="Q42" s="173">
        <v>2</v>
      </c>
      <c r="R42" s="173">
        <v>6</v>
      </c>
      <c r="S42" s="173" t="s">
        <v>354</v>
      </c>
      <c r="T42" s="175">
        <v>44734</v>
      </c>
      <c r="U42" s="175">
        <v>44774</v>
      </c>
      <c r="V42" s="173" t="s">
        <v>355</v>
      </c>
      <c r="W42" s="173"/>
      <c r="X42" s="173"/>
      <c r="Z42" s="146" t="str">
        <f t="shared" ca="1" si="0"/>
        <v/>
      </c>
      <c r="AA42" s="146" t="str">
        <f ca="1">IFERROR(IF(OR(OFFSET('S4'!#REF!,MATCH($A42,'S4'!$D$5:$D$2535,0)-1,6)="巻返し",OFFSET('S4'!#REF!,MATCH($A42,'S4'!$D$5:$D$2535,0)-1,6)="スリット"),SUMIF('S4'!$D$5:$D$2535,$A42,'S4'!$U$5:$U$2535),""),"")</f>
        <v/>
      </c>
      <c r="AB42" s="146" t="str">
        <f ca="1">IFERROR(IF(OR(OFFSET('S5'!#REF!,MATCH($A42,'S5'!$D$5:$D$2103,0)-1,6)="巻返し",OFFSET('S5'!#REF!,MATCH($A42,'S5'!$D$5:$D$2103,0)-1,6)="スリット"),SUMIF('S5'!$D$5:$D$2103,$A42,'S5'!$T$5:$T$2103),""),"")</f>
        <v/>
      </c>
    </row>
    <row r="43" spans="1:28" s="141" customFormat="1" ht="11.25" x14ac:dyDescent="0.15">
      <c r="A43" s="173">
        <v>3667133</v>
      </c>
      <c r="B43" s="173" t="s">
        <v>351</v>
      </c>
      <c r="C43" s="173" t="s">
        <v>352</v>
      </c>
      <c r="D43" s="173" t="s">
        <v>353</v>
      </c>
      <c r="E43" s="173" t="s">
        <v>116</v>
      </c>
      <c r="F43" s="173">
        <v>3</v>
      </c>
      <c r="G43" s="173" t="s">
        <v>19</v>
      </c>
      <c r="H43" s="173" t="s">
        <v>20</v>
      </c>
      <c r="I43" s="173" t="s">
        <v>205</v>
      </c>
      <c r="J43" s="173"/>
      <c r="K43" s="173" t="s">
        <v>221</v>
      </c>
      <c r="L43" s="173">
        <v>25</v>
      </c>
      <c r="M43" s="173" t="s">
        <v>222</v>
      </c>
      <c r="N43" s="174">
        <v>1100</v>
      </c>
      <c r="O43" s="174">
        <v>1100</v>
      </c>
      <c r="P43" s="174">
        <v>6000</v>
      </c>
      <c r="Q43" s="173">
        <v>2</v>
      </c>
      <c r="R43" s="173">
        <v>12</v>
      </c>
      <c r="S43" s="173" t="s">
        <v>354</v>
      </c>
      <c r="T43" s="175">
        <v>44734</v>
      </c>
      <c r="U43" s="175">
        <v>44774</v>
      </c>
      <c r="V43" s="173" t="s">
        <v>355</v>
      </c>
      <c r="W43" s="173"/>
      <c r="X43" s="173"/>
      <c r="Z43" s="146" t="str">
        <f t="shared" ca="1" si="0"/>
        <v/>
      </c>
      <c r="AA43" s="146" t="str">
        <f ca="1">IFERROR(IF(OR(OFFSET('S4'!#REF!,MATCH($A43,'S4'!$D$5:$D$2535,0)-1,6)="巻返し",OFFSET('S4'!#REF!,MATCH($A43,'S4'!$D$5:$D$2535,0)-1,6)="スリット"),SUMIF('S4'!$D$5:$D$2535,$A43,'S4'!$U$5:$U$2535),""),"")</f>
        <v/>
      </c>
      <c r="AB43" s="146" t="str">
        <f ca="1">IFERROR(IF(OR(OFFSET('S5'!#REF!,MATCH($A43,'S5'!$D$5:$D$2103,0)-1,6)="巻返し",OFFSET('S5'!#REF!,MATCH($A43,'S5'!$D$5:$D$2103,0)-1,6)="スリット"),SUMIF('S5'!$D$5:$D$2103,$A43,'S5'!$T$5:$T$2103),""),"")</f>
        <v/>
      </c>
    </row>
    <row r="44" spans="1:28" s="141" customFormat="1" ht="11.25" x14ac:dyDescent="0.15">
      <c r="A44" s="173">
        <v>3667134</v>
      </c>
      <c r="B44" s="173" t="s">
        <v>351</v>
      </c>
      <c r="C44" s="173" t="s">
        <v>352</v>
      </c>
      <c r="D44" s="173" t="s">
        <v>353</v>
      </c>
      <c r="E44" s="173" t="s">
        <v>116</v>
      </c>
      <c r="F44" s="173">
        <v>3</v>
      </c>
      <c r="G44" s="173" t="s">
        <v>19</v>
      </c>
      <c r="H44" s="173" t="s">
        <v>20</v>
      </c>
      <c r="I44" s="173" t="s">
        <v>165</v>
      </c>
      <c r="J44" s="173"/>
      <c r="K44" s="173" t="s">
        <v>172</v>
      </c>
      <c r="L44" s="173">
        <v>50</v>
      </c>
      <c r="M44" s="173" t="s">
        <v>173</v>
      </c>
      <c r="N44" s="174">
        <v>1005</v>
      </c>
      <c r="O44" s="174">
        <v>1000</v>
      </c>
      <c r="P44" s="174">
        <v>2000</v>
      </c>
      <c r="Q44" s="173">
        <v>2</v>
      </c>
      <c r="R44" s="173">
        <v>4</v>
      </c>
      <c r="S44" s="173" t="s">
        <v>354</v>
      </c>
      <c r="T44" s="175">
        <v>44734</v>
      </c>
      <c r="U44" s="175">
        <v>44767</v>
      </c>
      <c r="V44" s="173" t="s">
        <v>355</v>
      </c>
      <c r="W44" s="173"/>
      <c r="X44" s="173"/>
      <c r="Z44" s="146" t="str">
        <f t="shared" ca="1" si="0"/>
        <v/>
      </c>
      <c r="AA44" s="146" t="str">
        <f ca="1">IFERROR(IF(OR(OFFSET('S4'!#REF!,MATCH($A44,'S4'!$D$5:$D$2535,0)-1,6)="巻返し",OFFSET('S4'!#REF!,MATCH($A44,'S4'!$D$5:$D$2535,0)-1,6)="スリット"),SUMIF('S4'!$D$5:$D$2535,$A44,'S4'!$U$5:$U$2535),""),"")</f>
        <v/>
      </c>
      <c r="AB44" s="146" t="str">
        <f ca="1">IFERROR(IF(OR(OFFSET('S5'!#REF!,MATCH($A44,'S5'!$D$5:$D$2103,0)-1,6)="巻返し",OFFSET('S5'!#REF!,MATCH($A44,'S5'!$D$5:$D$2103,0)-1,6)="スリット"),SUMIF('S5'!$D$5:$D$2103,$A44,'S5'!$T$5:$T$2103),""),"")</f>
        <v/>
      </c>
    </row>
    <row r="45" spans="1:28" s="141" customFormat="1" ht="11.25" x14ac:dyDescent="0.15">
      <c r="A45" s="173">
        <v>3667135</v>
      </c>
      <c r="B45" s="173" t="s">
        <v>351</v>
      </c>
      <c r="C45" s="173" t="s">
        <v>352</v>
      </c>
      <c r="D45" s="173" t="s">
        <v>353</v>
      </c>
      <c r="E45" s="173" t="s">
        <v>116</v>
      </c>
      <c r="F45" s="173">
        <v>3</v>
      </c>
      <c r="G45" s="173" t="s">
        <v>19</v>
      </c>
      <c r="H45" s="173" t="s">
        <v>20</v>
      </c>
      <c r="I45" s="173" t="s">
        <v>165</v>
      </c>
      <c r="J45" s="173"/>
      <c r="K45" s="173" t="s">
        <v>176</v>
      </c>
      <c r="L45" s="173">
        <v>25</v>
      </c>
      <c r="M45" s="173" t="s">
        <v>177</v>
      </c>
      <c r="N45" s="174">
        <v>1005</v>
      </c>
      <c r="O45" s="174">
        <v>1000</v>
      </c>
      <c r="P45" s="174">
        <v>2000</v>
      </c>
      <c r="Q45" s="173">
        <v>2</v>
      </c>
      <c r="R45" s="173">
        <v>8</v>
      </c>
      <c r="S45" s="173" t="s">
        <v>354</v>
      </c>
      <c r="T45" s="175">
        <v>44734</v>
      </c>
      <c r="U45" s="175">
        <v>44767</v>
      </c>
      <c r="V45" s="173" t="s">
        <v>355</v>
      </c>
      <c r="W45" s="173"/>
      <c r="X45" s="173"/>
      <c r="Z45" s="146" t="str">
        <f t="shared" ca="1" si="0"/>
        <v/>
      </c>
      <c r="AA45" s="146" t="str">
        <f ca="1">IFERROR(IF(OR(OFFSET('S4'!#REF!,MATCH($A45,'S4'!$D$5:$D$2535,0)-1,6)="巻返し",OFFSET('S4'!#REF!,MATCH($A45,'S4'!$D$5:$D$2535,0)-1,6)="スリット"),SUMIF('S4'!$D$5:$D$2535,$A45,'S4'!$U$5:$U$2535),""),"")</f>
        <v/>
      </c>
      <c r="AB45" s="146" t="str">
        <f ca="1">IFERROR(IF(OR(OFFSET('S5'!#REF!,MATCH($A45,'S5'!$D$5:$D$2103,0)-1,6)="巻返し",OFFSET('S5'!#REF!,MATCH($A45,'S5'!$D$5:$D$2103,0)-1,6)="スリット"),SUMIF('S5'!$D$5:$D$2103,$A45,'S5'!$T$5:$T$2103),""),"")</f>
        <v/>
      </c>
    </row>
    <row r="46" spans="1:28" s="141" customFormat="1" ht="11.25" x14ac:dyDescent="0.15">
      <c r="A46" s="173">
        <v>3667136</v>
      </c>
      <c r="B46" s="173" t="s">
        <v>351</v>
      </c>
      <c r="C46" s="173" t="s">
        <v>352</v>
      </c>
      <c r="D46" s="173" t="s">
        <v>353</v>
      </c>
      <c r="E46" s="173" t="s">
        <v>116</v>
      </c>
      <c r="F46" s="173">
        <v>3</v>
      </c>
      <c r="G46" s="173" t="s">
        <v>19</v>
      </c>
      <c r="H46" s="173" t="s">
        <v>20</v>
      </c>
      <c r="I46" s="173" t="s">
        <v>165</v>
      </c>
      <c r="J46" s="173"/>
      <c r="K46" s="173" t="s">
        <v>176</v>
      </c>
      <c r="L46" s="173">
        <v>50</v>
      </c>
      <c r="M46" s="173" t="s">
        <v>177</v>
      </c>
      <c r="N46" s="174">
        <v>1005</v>
      </c>
      <c r="O46" s="174">
        <v>1000</v>
      </c>
      <c r="P46" s="174">
        <v>4000</v>
      </c>
      <c r="Q46" s="173">
        <v>2</v>
      </c>
      <c r="R46" s="173">
        <v>2</v>
      </c>
      <c r="S46" s="173" t="s">
        <v>354</v>
      </c>
      <c r="T46" s="175">
        <v>44734</v>
      </c>
      <c r="U46" s="175">
        <v>44767</v>
      </c>
      <c r="V46" s="173" t="s">
        <v>355</v>
      </c>
      <c r="W46" s="173"/>
      <c r="X46" s="173"/>
      <c r="Z46" s="146" t="str">
        <f t="shared" ca="1" si="0"/>
        <v/>
      </c>
      <c r="AA46" s="146" t="str">
        <f ca="1">IFERROR(IF(OR(OFFSET('S4'!#REF!,MATCH($A46,'S4'!$D$5:$D$2535,0)-1,6)="巻返し",OFFSET('S4'!#REF!,MATCH($A46,'S4'!$D$5:$D$2535,0)-1,6)="スリット"),SUMIF('S4'!$D$5:$D$2535,$A46,'S4'!$U$5:$U$2535),""),"")</f>
        <v/>
      </c>
      <c r="AB46" s="146" t="str">
        <f ca="1">IFERROR(IF(OR(OFFSET('S5'!#REF!,MATCH($A46,'S5'!$D$5:$D$2103,0)-1,6)="巻返し",OFFSET('S5'!#REF!,MATCH($A46,'S5'!$D$5:$D$2103,0)-1,6)="スリット"),SUMIF('S5'!$D$5:$D$2103,$A46,'S5'!$T$5:$T$2103),""),"")</f>
        <v/>
      </c>
    </row>
    <row r="47" spans="1:28" s="141" customFormat="1" ht="11.25" x14ac:dyDescent="0.15">
      <c r="A47" s="173">
        <v>3667137</v>
      </c>
      <c r="B47" s="173" t="s">
        <v>351</v>
      </c>
      <c r="C47" s="173" t="s">
        <v>352</v>
      </c>
      <c r="D47" s="173" t="s">
        <v>353</v>
      </c>
      <c r="E47" s="173" t="s">
        <v>116</v>
      </c>
      <c r="F47" s="173">
        <v>3</v>
      </c>
      <c r="G47" s="173" t="s">
        <v>19</v>
      </c>
      <c r="H47" s="173" t="s">
        <v>20</v>
      </c>
      <c r="I47" s="173" t="s">
        <v>165</v>
      </c>
      <c r="J47" s="173"/>
      <c r="K47" s="173" t="s">
        <v>176</v>
      </c>
      <c r="L47" s="173">
        <v>50</v>
      </c>
      <c r="M47" s="173" t="s">
        <v>177</v>
      </c>
      <c r="N47" s="174">
        <v>1125</v>
      </c>
      <c r="O47" s="174">
        <v>1120</v>
      </c>
      <c r="P47" s="174">
        <v>4000</v>
      </c>
      <c r="Q47" s="173">
        <v>2</v>
      </c>
      <c r="R47" s="173">
        <v>9</v>
      </c>
      <c r="S47" s="173" t="s">
        <v>354</v>
      </c>
      <c r="T47" s="175">
        <v>44734</v>
      </c>
      <c r="U47" s="175">
        <v>44767</v>
      </c>
      <c r="V47" s="173" t="s">
        <v>355</v>
      </c>
      <c r="W47" s="173"/>
      <c r="X47" s="173"/>
      <c r="Z47" s="146" t="str">
        <f t="shared" ca="1" si="0"/>
        <v/>
      </c>
      <c r="AA47" s="146" t="str">
        <f ca="1">IFERROR(IF(OR(OFFSET('S4'!#REF!,MATCH($A47,'S4'!$D$5:$D$2535,0)-1,6)="巻返し",OFFSET('S4'!#REF!,MATCH($A47,'S4'!$D$5:$D$2535,0)-1,6)="スリット"),SUMIF('S4'!$D$5:$D$2535,$A47,'S4'!$U$5:$U$2535),""),"")</f>
        <v/>
      </c>
      <c r="AB47" s="146" t="str">
        <f ca="1">IFERROR(IF(OR(OFFSET('S5'!#REF!,MATCH($A47,'S5'!$D$5:$D$2103,0)-1,6)="巻返し",OFFSET('S5'!#REF!,MATCH($A47,'S5'!$D$5:$D$2103,0)-1,6)="スリット"),SUMIF('S5'!$D$5:$D$2103,$A47,'S5'!$T$5:$T$2103),""),"")</f>
        <v/>
      </c>
    </row>
    <row r="48" spans="1:28" s="141" customFormat="1" ht="11.25" x14ac:dyDescent="0.15">
      <c r="A48" s="173">
        <v>3667138</v>
      </c>
      <c r="B48" s="173" t="s">
        <v>351</v>
      </c>
      <c r="C48" s="173" t="s">
        <v>352</v>
      </c>
      <c r="D48" s="173" t="s">
        <v>353</v>
      </c>
      <c r="E48" s="173" t="s">
        <v>116</v>
      </c>
      <c r="F48" s="173">
        <v>3</v>
      </c>
      <c r="G48" s="173" t="s">
        <v>19</v>
      </c>
      <c r="H48" s="173" t="s">
        <v>20</v>
      </c>
      <c r="I48" s="173" t="s">
        <v>143</v>
      </c>
      <c r="J48" s="173"/>
      <c r="K48" s="173" t="s">
        <v>152</v>
      </c>
      <c r="L48" s="173">
        <v>38</v>
      </c>
      <c r="M48" s="173" t="s">
        <v>153</v>
      </c>
      <c r="N48" s="174">
        <v>1005</v>
      </c>
      <c r="O48" s="174">
        <v>1000</v>
      </c>
      <c r="P48" s="174">
        <v>4000</v>
      </c>
      <c r="Q48" s="173">
        <v>2</v>
      </c>
      <c r="R48" s="173">
        <v>4</v>
      </c>
      <c r="S48" s="173" t="s">
        <v>354</v>
      </c>
      <c r="T48" s="175">
        <v>44734</v>
      </c>
      <c r="U48" s="175">
        <v>44767</v>
      </c>
      <c r="V48" s="173" t="s">
        <v>355</v>
      </c>
      <c r="W48" s="173"/>
      <c r="X48" s="173"/>
      <c r="Z48" s="146" t="str">
        <f t="shared" ca="1" si="0"/>
        <v/>
      </c>
      <c r="AA48" s="146" t="str">
        <f ca="1">IFERROR(IF(OR(OFFSET('S4'!#REF!,MATCH($A48,'S4'!$D$5:$D$2535,0)-1,6)="巻返し",OFFSET('S4'!#REF!,MATCH($A48,'S4'!$D$5:$D$2535,0)-1,6)="スリット"),SUMIF('S4'!$D$5:$D$2535,$A48,'S4'!$U$5:$U$2535),""),"")</f>
        <v/>
      </c>
      <c r="AB48" s="146" t="str">
        <f ca="1">IFERROR(IF(OR(OFFSET('S5'!#REF!,MATCH($A48,'S5'!$D$5:$D$2103,0)-1,6)="巻返し",OFFSET('S5'!#REF!,MATCH($A48,'S5'!$D$5:$D$2103,0)-1,6)="スリット"),SUMIF('S5'!$D$5:$D$2103,$A48,'S5'!$T$5:$T$2103),""),"")</f>
        <v/>
      </c>
    </row>
    <row r="49" spans="1:28" s="141" customFormat="1" ht="11.25" x14ac:dyDescent="0.15">
      <c r="A49" s="173">
        <v>3667139</v>
      </c>
      <c r="B49" s="173" t="s">
        <v>351</v>
      </c>
      <c r="C49" s="173" t="s">
        <v>352</v>
      </c>
      <c r="D49" s="173" t="s">
        <v>353</v>
      </c>
      <c r="E49" s="173" t="s">
        <v>116</v>
      </c>
      <c r="F49" s="173">
        <v>3</v>
      </c>
      <c r="G49" s="173" t="s">
        <v>19</v>
      </c>
      <c r="H49" s="173" t="s">
        <v>28</v>
      </c>
      <c r="I49" s="173" t="s">
        <v>205</v>
      </c>
      <c r="J49" s="173"/>
      <c r="K49" s="173" t="s">
        <v>237</v>
      </c>
      <c r="L49" s="173">
        <v>25</v>
      </c>
      <c r="M49" s="173" t="s">
        <v>238</v>
      </c>
      <c r="N49" s="174">
        <v>1120</v>
      </c>
      <c r="O49" s="174">
        <v>1120</v>
      </c>
      <c r="P49" s="174">
        <v>8000</v>
      </c>
      <c r="Q49" s="173">
        <v>2</v>
      </c>
      <c r="R49" s="173">
        <v>2</v>
      </c>
      <c r="S49" s="173" t="s">
        <v>354</v>
      </c>
      <c r="T49" s="175">
        <v>44734</v>
      </c>
      <c r="U49" s="175">
        <v>44753</v>
      </c>
      <c r="V49" s="173" t="s">
        <v>355</v>
      </c>
      <c r="W49" s="173"/>
      <c r="X49" s="173"/>
      <c r="Z49" s="146" t="str">
        <f t="shared" ca="1" si="0"/>
        <v/>
      </c>
      <c r="AA49" s="146" t="str">
        <f ca="1">IFERROR(IF(OR(OFFSET('S4'!#REF!,MATCH($A49,'S4'!$D$5:$D$2535,0)-1,6)="巻返し",OFFSET('S4'!#REF!,MATCH($A49,'S4'!$D$5:$D$2535,0)-1,6)="スリット"),SUMIF('S4'!$D$5:$D$2535,$A49,'S4'!$U$5:$U$2535),""),"")</f>
        <v/>
      </c>
      <c r="AB49" s="146" t="str">
        <f ca="1">IFERROR(IF(OR(OFFSET('S5'!#REF!,MATCH($A49,'S5'!$D$5:$D$2103,0)-1,6)="巻返し",OFFSET('S5'!#REF!,MATCH($A49,'S5'!$D$5:$D$2103,0)-1,6)="スリット"),SUMIF('S5'!$D$5:$D$2103,$A49,'S5'!$T$5:$T$2103),""),"")</f>
        <v/>
      </c>
    </row>
    <row r="50" spans="1:28" s="141" customFormat="1" ht="11.25" x14ac:dyDescent="0.15">
      <c r="A50" s="173">
        <v>3667140</v>
      </c>
      <c r="B50" s="173" t="s">
        <v>351</v>
      </c>
      <c r="C50" s="173" t="s">
        <v>352</v>
      </c>
      <c r="D50" s="173" t="s">
        <v>353</v>
      </c>
      <c r="E50" s="173" t="s">
        <v>116</v>
      </c>
      <c r="F50" s="173">
        <v>3</v>
      </c>
      <c r="G50" s="173" t="s">
        <v>19</v>
      </c>
      <c r="H50" s="173" t="s">
        <v>28</v>
      </c>
      <c r="I50" s="173" t="s">
        <v>205</v>
      </c>
      <c r="J50" s="173"/>
      <c r="K50" s="173" t="s">
        <v>233</v>
      </c>
      <c r="L50" s="173">
        <v>50</v>
      </c>
      <c r="M50" s="173" t="s">
        <v>234</v>
      </c>
      <c r="N50" s="174">
        <v>1120</v>
      </c>
      <c r="O50" s="174">
        <v>1120</v>
      </c>
      <c r="P50" s="174">
        <v>4000</v>
      </c>
      <c r="Q50" s="173">
        <v>2</v>
      </c>
      <c r="R50" s="173">
        <v>9</v>
      </c>
      <c r="S50" s="173" t="s">
        <v>354</v>
      </c>
      <c r="T50" s="175">
        <v>44734</v>
      </c>
      <c r="U50" s="175">
        <v>44762</v>
      </c>
      <c r="V50" s="173" t="s">
        <v>355</v>
      </c>
      <c r="W50" s="173"/>
      <c r="X50" s="173"/>
      <c r="Z50" s="146" t="str">
        <f t="shared" ca="1" si="0"/>
        <v/>
      </c>
      <c r="AA50" s="146" t="str">
        <f ca="1">IFERROR(IF(OR(OFFSET('S4'!#REF!,MATCH($A50,'S4'!$D$5:$D$2535,0)-1,6)="巻返し",OFFSET('S4'!#REF!,MATCH($A50,'S4'!$D$5:$D$2535,0)-1,6)="スリット"),SUMIF('S4'!$D$5:$D$2535,$A50,'S4'!$U$5:$U$2535),""),"")</f>
        <v/>
      </c>
      <c r="AB50" s="146" t="str">
        <f ca="1">IFERROR(IF(OR(OFFSET('S5'!#REF!,MATCH($A50,'S5'!$D$5:$D$2103,0)-1,6)="巻返し",OFFSET('S5'!#REF!,MATCH($A50,'S5'!$D$5:$D$2103,0)-1,6)="スリット"),SUMIF('S5'!$D$5:$D$2103,$A50,'S5'!$T$5:$T$2103),""),"")</f>
        <v/>
      </c>
    </row>
    <row r="51" spans="1:28" s="141" customFormat="1" ht="11.25" x14ac:dyDescent="0.15">
      <c r="A51" s="173">
        <v>3667141</v>
      </c>
      <c r="B51" s="173" t="s">
        <v>351</v>
      </c>
      <c r="C51" s="173" t="s">
        <v>352</v>
      </c>
      <c r="D51" s="173" t="s">
        <v>353</v>
      </c>
      <c r="E51" s="173" t="s">
        <v>116</v>
      </c>
      <c r="F51" s="173">
        <v>3</v>
      </c>
      <c r="G51" s="173" t="s">
        <v>19</v>
      </c>
      <c r="H51" s="173" t="s">
        <v>28</v>
      </c>
      <c r="I51" s="173" t="s">
        <v>205</v>
      </c>
      <c r="J51" s="173"/>
      <c r="K51" s="173" t="s">
        <v>224</v>
      </c>
      <c r="L51" s="173">
        <v>25</v>
      </c>
      <c r="M51" s="173" t="s">
        <v>225</v>
      </c>
      <c r="N51" s="174">
        <v>1120</v>
      </c>
      <c r="O51" s="174">
        <v>1120</v>
      </c>
      <c r="P51" s="174">
        <v>8000</v>
      </c>
      <c r="Q51" s="173">
        <v>2</v>
      </c>
      <c r="R51" s="173">
        <v>1</v>
      </c>
      <c r="S51" s="173" t="s">
        <v>354</v>
      </c>
      <c r="T51" s="175">
        <v>44734</v>
      </c>
      <c r="U51" s="175">
        <v>44767</v>
      </c>
      <c r="V51" s="173" t="s">
        <v>355</v>
      </c>
      <c r="W51" s="173"/>
      <c r="X51" s="173"/>
      <c r="Z51" s="146" t="str">
        <f t="shared" ca="1" si="0"/>
        <v/>
      </c>
      <c r="AA51" s="146" t="str">
        <f ca="1">IFERROR(IF(OR(OFFSET('S4'!#REF!,MATCH($A51,'S4'!$D$5:$D$2535,0)-1,6)="巻返し",OFFSET('S4'!#REF!,MATCH($A51,'S4'!$D$5:$D$2535,0)-1,6)="スリット"),SUMIF('S4'!$D$5:$D$2535,$A51,'S4'!$U$5:$U$2535),""),"")</f>
        <v/>
      </c>
      <c r="AB51" s="146" t="str">
        <f ca="1">IFERROR(IF(OR(OFFSET('S5'!#REF!,MATCH($A51,'S5'!$D$5:$D$2103,0)-1,6)="巻返し",OFFSET('S5'!#REF!,MATCH($A51,'S5'!$D$5:$D$2103,0)-1,6)="スリット"),SUMIF('S5'!$D$5:$D$2103,$A51,'S5'!$T$5:$T$2103),""),"")</f>
        <v/>
      </c>
    </row>
    <row r="52" spans="1:28" s="141" customFormat="1" ht="11.25" x14ac:dyDescent="0.15">
      <c r="A52" s="173">
        <v>3667142</v>
      </c>
      <c r="B52" s="173" t="s">
        <v>351</v>
      </c>
      <c r="C52" s="173" t="s">
        <v>352</v>
      </c>
      <c r="D52" s="173" t="s">
        <v>353</v>
      </c>
      <c r="E52" s="173" t="s">
        <v>116</v>
      </c>
      <c r="F52" s="173">
        <v>3</v>
      </c>
      <c r="G52" s="173" t="s">
        <v>19</v>
      </c>
      <c r="H52" s="173" t="s">
        <v>28</v>
      </c>
      <c r="I52" s="173" t="s">
        <v>205</v>
      </c>
      <c r="J52" s="173"/>
      <c r="K52" s="173" t="s">
        <v>233</v>
      </c>
      <c r="L52" s="173">
        <v>50</v>
      </c>
      <c r="M52" s="173" t="s">
        <v>234</v>
      </c>
      <c r="N52" s="174">
        <v>1120</v>
      </c>
      <c r="O52" s="174">
        <v>1120</v>
      </c>
      <c r="P52" s="174">
        <v>4000</v>
      </c>
      <c r="Q52" s="173">
        <v>2</v>
      </c>
      <c r="R52" s="173">
        <v>6</v>
      </c>
      <c r="S52" s="173" t="s">
        <v>354</v>
      </c>
      <c r="T52" s="175">
        <v>44734</v>
      </c>
      <c r="U52" s="175">
        <v>44762</v>
      </c>
      <c r="V52" s="173" t="s">
        <v>355</v>
      </c>
      <c r="W52" s="173"/>
      <c r="X52" s="173"/>
      <c r="Z52" s="146" t="str">
        <f t="shared" ca="1" si="0"/>
        <v/>
      </c>
      <c r="AA52" s="146" t="str">
        <f ca="1">IFERROR(IF(OR(OFFSET('S4'!#REF!,MATCH($A52,'S4'!$D$5:$D$2535,0)-1,6)="巻返し",OFFSET('S4'!#REF!,MATCH($A52,'S4'!$D$5:$D$2535,0)-1,6)="スリット"),SUMIF('S4'!$D$5:$D$2535,$A52,'S4'!$U$5:$U$2535),""),"")</f>
        <v/>
      </c>
      <c r="AB52" s="146" t="str">
        <f ca="1">IFERROR(IF(OR(OFFSET('S5'!#REF!,MATCH($A52,'S5'!$D$5:$D$2103,0)-1,6)="巻返し",OFFSET('S5'!#REF!,MATCH($A52,'S5'!$D$5:$D$2103,0)-1,6)="スリット"),SUMIF('S5'!$D$5:$D$2103,$A52,'S5'!$T$5:$T$2103),""),"")</f>
        <v/>
      </c>
    </row>
    <row r="53" spans="1:28" s="141" customFormat="1" ht="11.25" x14ac:dyDescent="0.15">
      <c r="A53" s="173">
        <v>3667714</v>
      </c>
      <c r="B53" s="173" t="s">
        <v>423</v>
      </c>
      <c r="C53" s="173" t="s">
        <v>364</v>
      </c>
      <c r="D53" s="173" t="s">
        <v>353</v>
      </c>
      <c r="E53" s="173" t="s">
        <v>316</v>
      </c>
      <c r="F53" s="173">
        <v>3</v>
      </c>
      <c r="G53" s="173" t="s">
        <v>265</v>
      </c>
      <c r="H53" s="173" t="s">
        <v>20</v>
      </c>
      <c r="I53" s="173" t="s">
        <v>312</v>
      </c>
      <c r="J53" s="173"/>
      <c r="K53" s="173" t="s">
        <v>317</v>
      </c>
      <c r="L53" s="173">
        <v>50</v>
      </c>
      <c r="M53" s="173" t="s">
        <v>318</v>
      </c>
      <c r="N53" s="174">
        <v>680</v>
      </c>
      <c r="O53" s="174">
        <v>680</v>
      </c>
      <c r="P53" s="174">
        <v>2000</v>
      </c>
      <c r="Q53" s="173">
        <v>2</v>
      </c>
      <c r="R53" s="173">
        <v>8</v>
      </c>
      <c r="S53" s="173" t="s">
        <v>354</v>
      </c>
      <c r="T53" s="175">
        <v>44735</v>
      </c>
      <c r="U53" s="175">
        <v>44757</v>
      </c>
      <c r="V53" s="173" t="s">
        <v>355</v>
      </c>
      <c r="W53" s="173"/>
      <c r="X53" s="173"/>
      <c r="Z53" s="146" t="str">
        <f t="shared" ca="1" si="0"/>
        <v/>
      </c>
      <c r="AA53" s="146" t="str">
        <f ca="1">IFERROR(IF(OR(OFFSET('S4'!#REF!,MATCH($A53,'S4'!$D$5:$D$2535,0)-1,6)="巻返し",OFFSET('S4'!#REF!,MATCH($A53,'S4'!$D$5:$D$2535,0)-1,6)="スリット"),SUMIF('S4'!$D$5:$D$2535,$A53,'S4'!$U$5:$U$2535),""),"")</f>
        <v/>
      </c>
      <c r="AB53" s="146" t="str">
        <f ca="1">IFERROR(IF(OR(OFFSET('S5'!#REF!,MATCH($A53,'S5'!$D$5:$D$2103,0)-1,6)="巻返し",OFFSET('S5'!#REF!,MATCH($A53,'S5'!$D$5:$D$2103,0)-1,6)="スリット"),SUMIF('S5'!$D$5:$D$2103,$A53,'S5'!$T$5:$T$2103),""),"")</f>
        <v/>
      </c>
    </row>
    <row r="54" spans="1:28" s="141" customFormat="1" ht="11.25" x14ac:dyDescent="0.15">
      <c r="A54" s="173">
        <v>3667721</v>
      </c>
      <c r="B54" s="173" t="s">
        <v>510</v>
      </c>
      <c r="C54" s="173" t="s">
        <v>364</v>
      </c>
      <c r="D54" s="173" t="s">
        <v>353</v>
      </c>
      <c r="E54" s="173" t="s">
        <v>324</v>
      </c>
      <c r="F54" s="173">
        <v>3</v>
      </c>
      <c r="G54" s="173" t="s">
        <v>269</v>
      </c>
      <c r="H54" s="173" t="s">
        <v>20</v>
      </c>
      <c r="I54" s="173" t="s">
        <v>205</v>
      </c>
      <c r="J54" s="173"/>
      <c r="K54" s="173" t="s">
        <v>325</v>
      </c>
      <c r="L54" s="173">
        <v>9</v>
      </c>
      <c r="M54" s="173" t="s">
        <v>326</v>
      </c>
      <c r="N54" s="174">
        <v>1200</v>
      </c>
      <c r="O54" s="174">
        <v>1200</v>
      </c>
      <c r="P54" s="174">
        <v>2000</v>
      </c>
      <c r="Q54" s="173">
        <v>2</v>
      </c>
      <c r="R54" s="173">
        <v>10</v>
      </c>
      <c r="S54" s="173" t="s">
        <v>354</v>
      </c>
      <c r="T54" s="175">
        <v>44735</v>
      </c>
      <c r="U54" s="175">
        <v>44773</v>
      </c>
      <c r="V54" s="173" t="s">
        <v>428</v>
      </c>
      <c r="W54" s="173"/>
      <c r="X54" s="173"/>
      <c r="Z54" s="146" t="str">
        <f t="shared" ca="1" si="0"/>
        <v/>
      </c>
      <c r="AA54" s="146" t="str">
        <f ca="1">IFERROR(IF(OR(OFFSET('S4'!#REF!,MATCH($A54,'S4'!$D$5:$D$2535,0)-1,6)="巻返し",OFFSET('S4'!#REF!,MATCH($A54,'S4'!$D$5:$D$2535,0)-1,6)="スリット"),SUMIF('S4'!$D$5:$D$2535,$A54,'S4'!$U$5:$U$2535),""),"")</f>
        <v/>
      </c>
      <c r="AB54" s="146" t="str">
        <f ca="1">IFERROR(IF(OR(OFFSET('S5'!#REF!,MATCH($A54,'S5'!$D$5:$D$2103,0)-1,6)="巻返し",OFFSET('S5'!#REF!,MATCH($A54,'S5'!$D$5:$D$2103,0)-1,6)="スリット"),SUMIF('S5'!$D$5:$D$2103,$A54,'S5'!$T$5:$T$2103),""),"")</f>
        <v/>
      </c>
    </row>
    <row r="55" spans="1:28" s="141" customFormat="1" ht="11.25" x14ac:dyDescent="0.15">
      <c r="A55" s="173">
        <v>3669159</v>
      </c>
      <c r="B55" s="173" t="s">
        <v>423</v>
      </c>
      <c r="C55" s="173" t="s">
        <v>356</v>
      </c>
      <c r="D55" s="173" t="s">
        <v>353</v>
      </c>
      <c r="E55" s="173" t="s">
        <v>530</v>
      </c>
      <c r="F55" s="173">
        <v>3</v>
      </c>
      <c r="G55" s="173" t="s">
        <v>265</v>
      </c>
      <c r="H55" s="173" t="s">
        <v>20</v>
      </c>
      <c r="I55" s="173" t="s">
        <v>205</v>
      </c>
      <c r="J55" s="173"/>
      <c r="K55" s="173" t="s">
        <v>522</v>
      </c>
      <c r="L55" s="173">
        <v>12</v>
      </c>
      <c r="M55" s="173" t="s">
        <v>523</v>
      </c>
      <c r="N55" s="174">
        <v>600</v>
      </c>
      <c r="O55" s="174">
        <v>600</v>
      </c>
      <c r="P55" s="174">
        <v>3000</v>
      </c>
      <c r="Q55" s="173">
        <v>1</v>
      </c>
      <c r="R55" s="173">
        <v>8</v>
      </c>
      <c r="S55" s="173" t="s">
        <v>354</v>
      </c>
      <c r="T55" s="175">
        <v>44747</v>
      </c>
      <c r="U55" s="175">
        <v>44773</v>
      </c>
      <c r="V55" s="173" t="s">
        <v>355</v>
      </c>
      <c r="W55" s="173"/>
      <c r="X55" s="173"/>
      <c r="Z55" s="146" t="str">
        <f t="shared" ca="1" si="0"/>
        <v/>
      </c>
      <c r="AA55" s="146" t="str">
        <f ca="1">IFERROR(IF(OR(OFFSET('S4'!#REF!,MATCH($A55,'S4'!$D$5:$D$2535,0)-1,6)="巻返し",OFFSET('S4'!#REF!,MATCH($A55,'S4'!$D$5:$D$2535,0)-1,6)="スリット"),SUMIF('S4'!$D$5:$D$2535,$A55,'S4'!$U$5:$U$2535),""),"")</f>
        <v/>
      </c>
      <c r="AB55" s="146" t="str">
        <f ca="1">IFERROR(IF(OR(OFFSET('S5'!#REF!,MATCH($A55,'S5'!$D$5:$D$2103,0)-1,6)="巻返し",OFFSET('S5'!#REF!,MATCH($A55,'S5'!$D$5:$D$2103,0)-1,6)="スリット"),SUMIF('S5'!$D$5:$D$2103,$A55,'S5'!$T$5:$T$2103),""),"")</f>
        <v/>
      </c>
    </row>
    <row r="56" spans="1:28" s="141" customFormat="1" ht="11.25" x14ac:dyDescent="0.15">
      <c r="A56" s="173">
        <v>3671808</v>
      </c>
      <c r="B56" s="173" t="s">
        <v>351</v>
      </c>
      <c r="C56" s="173" t="s">
        <v>358</v>
      </c>
      <c r="D56" s="173" t="s">
        <v>353</v>
      </c>
      <c r="E56" s="173" t="s">
        <v>61</v>
      </c>
      <c r="F56" s="173">
        <v>3</v>
      </c>
      <c r="G56" s="173" t="s">
        <v>19</v>
      </c>
      <c r="H56" s="173" t="s">
        <v>20</v>
      </c>
      <c r="I56" s="173" t="s">
        <v>205</v>
      </c>
      <c r="J56" s="173"/>
      <c r="K56" s="173" t="s">
        <v>242</v>
      </c>
      <c r="L56" s="173">
        <v>50</v>
      </c>
      <c r="M56" s="173" t="s">
        <v>243</v>
      </c>
      <c r="N56" s="174">
        <v>1255</v>
      </c>
      <c r="O56" s="174">
        <v>1250</v>
      </c>
      <c r="P56" s="174">
        <v>2000</v>
      </c>
      <c r="Q56" s="173">
        <v>2</v>
      </c>
      <c r="R56" s="173">
        <v>6</v>
      </c>
      <c r="S56" s="173" t="s">
        <v>354</v>
      </c>
      <c r="T56" s="175">
        <v>44763</v>
      </c>
      <c r="U56" s="175">
        <v>44795</v>
      </c>
      <c r="V56" s="173" t="s">
        <v>355</v>
      </c>
      <c r="W56" s="173"/>
      <c r="X56" s="173"/>
      <c r="Z56" s="146" t="str">
        <f t="shared" ca="1" si="0"/>
        <v/>
      </c>
      <c r="AA56" s="146" t="str">
        <f ca="1">IFERROR(IF(OR(OFFSET('S4'!#REF!,MATCH($A56,'S4'!$D$5:$D$2535,0)-1,6)="巻返し",OFFSET('S4'!#REF!,MATCH($A56,'S4'!$D$5:$D$2535,0)-1,6)="スリット"),SUMIF('S4'!$D$5:$D$2535,$A56,'S4'!$U$5:$U$2535),""),"")</f>
        <v/>
      </c>
      <c r="AB56" s="146" t="str">
        <f ca="1">IFERROR(IF(OR(OFFSET('S5'!#REF!,MATCH($A56,'S5'!$D$5:$D$2103,0)-1,6)="巻返し",OFFSET('S5'!#REF!,MATCH($A56,'S5'!$D$5:$D$2103,0)-1,6)="スリット"),SUMIF('S5'!$D$5:$D$2103,$A56,'S5'!$T$5:$T$2103),""),"")</f>
        <v/>
      </c>
    </row>
    <row r="57" spans="1:28" s="141" customFormat="1" ht="11.25" x14ac:dyDescent="0.15">
      <c r="A57" s="173">
        <v>3671810</v>
      </c>
      <c r="B57" s="173" t="s">
        <v>351</v>
      </c>
      <c r="C57" s="173" t="s">
        <v>364</v>
      </c>
      <c r="D57" s="173" t="s">
        <v>353</v>
      </c>
      <c r="E57" s="173" t="s">
        <v>171</v>
      </c>
      <c r="F57" s="173" t="s">
        <v>96</v>
      </c>
      <c r="G57" s="173" t="s">
        <v>19</v>
      </c>
      <c r="H57" s="173" t="s">
        <v>20</v>
      </c>
      <c r="I57" s="173" t="s">
        <v>165</v>
      </c>
      <c r="J57" s="173"/>
      <c r="K57" s="173" t="s">
        <v>169</v>
      </c>
      <c r="L57" s="173">
        <v>50</v>
      </c>
      <c r="M57" s="173" t="s">
        <v>170</v>
      </c>
      <c r="N57" s="174">
        <v>1190</v>
      </c>
      <c r="O57" s="174">
        <v>1190</v>
      </c>
      <c r="P57" s="174">
        <v>6000</v>
      </c>
      <c r="Q57" s="173">
        <v>2</v>
      </c>
      <c r="R57" s="173">
        <v>2</v>
      </c>
      <c r="S57" s="173" t="s">
        <v>354</v>
      </c>
      <c r="T57" s="175">
        <v>44763</v>
      </c>
      <c r="U57" s="175">
        <v>44795</v>
      </c>
      <c r="V57" s="173" t="s">
        <v>355</v>
      </c>
      <c r="W57" s="173"/>
      <c r="X57" s="173"/>
      <c r="Z57" s="146" t="str">
        <f t="shared" ca="1" si="0"/>
        <v/>
      </c>
      <c r="AA57" s="146" t="str">
        <f ca="1">IFERROR(IF(OR(OFFSET('S4'!#REF!,MATCH($A57,'S4'!$D$5:$D$2535,0)-1,6)="巻返し",OFFSET('S4'!#REF!,MATCH($A57,'S4'!$D$5:$D$2535,0)-1,6)="スリット"),SUMIF('S4'!$D$5:$D$2535,$A57,'S4'!$U$5:$U$2535),""),"")</f>
        <v/>
      </c>
      <c r="AB57" s="146" t="str">
        <f ca="1">IFERROR(IF(OR(OFFSET('S5'!#REF!,MATCH($A57,'S5'!$D$5:$D$2103,0)-1,6)="巻返し",OFFSET('S5'!#REF!,MATCH($A57,'S5'!$D$5:$D$2103,0)-1,6)="スリット"),SUMIF('S5'!$D$5:$D$2103,$A57,'S5'!$T$5:$T$2103),""),"")</f>
        <v/>
      </c>
    </row>
    <row r="58" spans="1:28" s="141" customFormat="1" ht="11.25" x14ac:dyDescent="0.15">
      <c r="A58" s="173">
        <v>3671811</v>
      </c>
      <c r="B58" s="173" t="s">
        <v>351</v>
      </c>
      <c r="C58" s="173" t="s">
        <v>364</v>
      </c>
      <c r="D58" s="173" t="s">
        <v>353</v>
      </c>
      <c r="E58" s="173" t="s">
        <v>171</v>
      </c>
      <c r="F58" s="173">
        <v>3</v>
      </c>
      <c r="G58" s="173" t="s">
        <v>19</v>
      </c>
      <c r="H58" s="173" t="s">
        <v>20</v>
      </c>
      <c r="I58" s="173" t="s">
        <v>165</v>
      </c>
      <c r="J58" s="173"/>
      <c r="K58" s="173" t="s">
        <v>180</v>
      </c>
      <c r="L58" s="173">
        <v>50</v>
      </c>
      <c r="M58" s="173" t="s">
        <v>181</v>
      </c>
      <c r="N58" s="174">
        <v>1200</v>
      </c>
      <c r="O58" s="174">
        <v>1190</v>
      </c>
      <c r="P58" s="174">
        <v>6000</v>
      </c>
      <c r="Q58" s="173">
        <v>2</v>
      </c>
      <c r="R58" s="173">
        <v>10</v>
      </c>
      <c r="S58" s="173" t="s">
        <v>354</v>
      </c>
      <c r="T58" s="175">
        <v>44763</v>
      </c>
      <c r="U58" s="175">
        <v>44795</v>
      </c>
      <c r="V58" s="173" t="s">
        <v>355</v>
      </c>
      <c r="W58" s="173"/>
      <c r="X58" s="173"/>
      <c r="Z58" s="146" t="str">
        <f t="shared" ca="1" si="0"/>
        <v/>
      </c>
      <c r="AA58" s="146" t="str">
        <f ca="1">IFERROR(IF(OR(OFFSET('S4'!#REF!,MATCH($A58,'S4'!$D$5:$D$2535,0)-1,6)="巻返し",OFFSET('S4'!#REF!,MATCH($A58,'S4'!$D$5:$D$2535,0)-1,6)="スリット"),SUMIF('S4'!$D$5:$D$2535,$A58,'S4'!$U$5:$U$2535),""),"")</f>
        <v/>
      </c>
      <c r="AB58" s="146" t="str">
        <f ca="1">IFERROR(IF(OR(OFFSET('S5'!#REF!,MATCH($A58,'S5'!$D$5:$D$2103,0)-1,6)="巻返し",OFFSET('S5'!#REF!,MATCH($A58,'S5'!$D$5:$D$2103,0)-1,6)="スリット"),SUMIF('S5'!$D$5:$D$2103,$A58,'S5'!$T$5:$T$2103),""),"")</f>
        <v/>
      </c>
    </row>
    <row r="59" spans="1:28" s="141" customFormat="1" ht="11.25" x14ac:dyDescent="0.15">
      <c r="A59" s="173">
        <v>3671813</v>
      </c>
      <c r="B59" s="173" t="s">
        <v>351</v>
      </c>
      <c r="C59" s="173" t="s">
        <v>364</v>
      </c>
      <c r="D59" s="173" t="s">
        <v>353</v>
      </c>
      <c r="E59" s="173" t="s">
        <v>183</v>
      </c>
      <c r="F59" s="173">
        <v>3</v>
      </c>
      <c r="G59" s="173" t="s">
        <v>19</v>
      </c>
      <c r="H59" s="173" t="s">
        <v>20</v>
      </c>
      <c r="I59" s="173" t="s">
        <v>165</v>
      </c>
      <c r="J59" s="173"/>
      <c r="K59" s="173" t="s">
        <v>180</v>
      </c>
      <c r="L59" s="173">
        <v>100</v>
      </c>
      <c r="M59" s="173" t="s">
        <v>181</v>
      </c>
      <c r="N59" s="174">
        <v>1205</v>
      </c>
      <c r="O59" s="174">
        <v>1205</v>
      </c>
      <c r="P59" s="174">
        <v>2500</v>
      </c>
      <c r="Q59" s="173">
        <v>2</v>
      </c>
      <c r="R59" s="173">
        <v>4</v>
      </c>
      <c r="S59" s="173" t="s">
        <v>354</v>
      </c>
      <c r="T59" s="175">
        <v>44763</v>
      </c>
      <c r="U59" s="175">
        <v>44795</v>
      </c>
      <c r="V59" s="173" t="s">
        <v>355</v>
      </c>
      <c r="W59" s="173"/>
      <c r="X59" s="173"/>
      <c r="Z59" s="146" t="str">
        <f t="shared" ca="1" si="0"/>
        <v/>
      </c>
      <c r="AA59" s="146" t="str">
        <f ca="1">IFERROR(IF(OR(OFFSET('S4'!#REF!,MATCH($A59,'S4'!$D$5:$D$2535,0)-1,6)="巻返し",OFFSET('S4'!#REF!,MATCH($A59,'S4'!$D$5:$D$2535,0)-1,6)="スリット"),SUMIF('S4'!$D$5:$D$2535,$A59,'S4'!$U$5:$U$2535),""),"")</f>
        <v/>
      </c>
      <c r="AB59" s="146" t="str">
        <f ca="1">IFERROR(IF(OR(OFFSET('S5'!#REF!,MATCH($A59,'S5'!$D$5:$D$2103,0)-1,6)="巻返し",OFFSET('S5'!#REF!,MATCH($A59,'S5'!$D$5:$D$2103,0)-1,6)="スリット"),SUMIF('S5'!$D$5:$D$2103,$A59,'S5'!$T$5:$T$2103),""),"")</f>
        <v/>
      </c>
    </row>
    <row r="60" spans="1:28" s="141" customFormat="1" ht="11.25" x14ac:dyDescent="0.15">
      <c r="A60" s="173">
        <v>3671814</v>
      </c>
      <c r="B60" s="173" t="s">
        <v>351</v>
      </c>
      <c r="C60" s="173" t="s">
        <v>364</v>
      </c>
      <c r="D60" s="173" t="s">
        <v>353</v>
      </c>
      <c r="E60" s="173" t="s">
        <v>148</v>
      </c>
      <c r="F60" s="173">
        <v>3</v>
      </c>
      <c r="G60" s="173" t="s">
        <v>19</v>
      </c>
      <c r="H60" s="173" t="s">
        <v>20</v>
      </c>
      <c r="I60" s="173" t="s">
        <v>143</v>
      </c>
      <c r="J60" s="173"/>
      <c r="K60" s="173" t="s">
        <v>149</v>
      </c>
      <c r="L60" s="173">
        <v>50</v>
      </c>
      <c r="M60" s="173" t="s">
        <v>150</v>
      </c>
      <c r="N60" s="174">
        <v>1120</v>
      </c>
      <c r="O60" s="174">
        <v>1120</v>
      </c>
      <c r="P60" s="174">
        <v>6000</v>
      </c>
      <c r="Q60" s="173">
        <v>2</v>
      </c>
      <c r="R60" s="173">
        <v>6</v>
      </c>
      <c r="S60" s="173" t="s">
        <v>354</v>
      </c>
      <c r="T60" s="175">
        <v>44763</v>
      </c>
      <c r="U60" s="175">
        <v>44795</v>
      </c>
      <c r="V60" s="173" t="s">
        <v>355</v>
      </c>
      <c r="W60" s="173"/>
      <c r="X60" s="173"/>
      <c r="Z60" s="146" t="str">
        <f t="shared" ca="1" si="0"/>
        <v/>
      </c>
      <c r="AA60" s="146" t="str">
        <f ca="1">IFERROR(IF(OR(OFFSET('S4'!#REF!,MATCH($A60,'S4'!$D$5:$D$2535,0)-1,6)="巻返し",OFFSET('S4'!#REF!,MATCH($A60,'S4'!$D$5:$D$2535,0)-1,6)="スリット"),SUMIF('S4'!$D$5:$D$2535,$A60,'S4'!$U$5:$U$2535),""),"")</f>
        <v/>
      </c>
      <c r="AB60" s="146" t="str">
        <f ca="1">IFERROR(IF(OR(OFFSET('S5'!#REF!,MATCH($A60,'S5'!$D$5:$D$2103,0)-1,6)="巻返し",OFFSET('S5'!#REF!,MATCH($A60,'S5'!$D$5:$D$2103,0)-1,6)="スリット"),SUMIF('S5'!$D$5:$D$2103,$A60,'S5'!$T$5:$T$2103),""),"")</f>
        <v/>
      </c>
    </row>
    <row r="61" spans="1:28" s="141" customFormat="1" ht="11.25" x14ac:dyDescent="0.15">
      <c r="A61" s="173">
        <v>3671815</v>
      </c>
      <c r="B61" s="173" t="s">
        <v>351</v>
      </c>
      <c r="C61" s="173" t="s">
        <v>364</v>
      </c>
      <c r="D61" s="173" t="s">
        <v>353</v>
      </c>
      <c r="E61" s="173" t="s">
        <v>148</v>
      </c>
      <c r="F61" s="173">
        <v>3</v>
      </c>
      <c r="G61" s="173" t="s">
        <v>19</v>
      </c>
      <c r="H61" s="173" t="s">
        <v>20</v>
      </c>
      <c r="I61" s="173" t="s">
        <v>165</v>
      </c>
      <c r="J61" s="173"/>
      <c r="K61" s="173" t="s">
        <v>169</v>
      </c>
      <c r="L61" s="173">
        <v>50</v>
      </c>
      <c r="M61" s="173" t="s">
        <v>170</v>
      </c>
      <c r="N61" s="174">
        <v>1120</v>
      </c>
      <c r="O61" s="174">
        <v>1120</v>
      </c>
      <c r="P61" s="174">
        <v>6000</v>
      </c>
      <c r="Q61" s="173">
        <v>2</v>
      </c>
      <c r="R61" s="173">
        <v>2</v>
      </c>
      <c r="S61" s="173" t="s">
        <v>354</v>
      </c>
      <c r="T61" s="175">
        <v>44763</v>
      </c>
      <c r="U61" s="175">
        <v>44795</v>
      </c>
      <c r="V61" s="173" t="s">
        <v>355</v>
      </c>
      <c r="W61" s="173"/>
      <c r="X61" s="173"/>
      <c r="Z61" s="146" t="str">
        <f t="shared" ca="1" si="0"/>
        <v/>
      </c>
      <c r="AA61" s="146" t="str">
        <f ca="1">IFERROR(IF(OR(OFFSET('S4'!#REF!,MATCH($A61,'S4'!$D$5:$D$2535,0)-1,6)="巻返し",OFFSET('S4'!#REF!,MATCH($A61,'S4'!$D$5:$D$2535,0)-1,6)="スリット"),SUMIF('S4'!$D$5:$D$2535,$A61,'S4'!$U$5:$U$2535),""),"")</f>
        <v/>
      </c>
      <c r="AB61" s="146" t="str">
        <f ca="1">IFERROR(IF(OR(OFFSET('S5'!#REF!,MATCH($A61,'S5'!$D$5:$D$2103,0)-1,6)="巻返し",OFFSET('S5'!#REF!,MATCH($A61,'S5'!$D$5:$D$2103,0)-1,6)="スリット"),SUMIF('S5'!$D$5:$D$2103,$A61,'S5'!$T$5:$T$2103),""),"")</f>
        <v/>
      </c>
    </row>
    <row r="62" spans="1:28" s="141" customFormat="1" ht="11.25" x14ac:dyDescent="0.15">
      <c r="A62" s="173">
        <v>3671816</v>
      </c>
      <c r="B62" s="173" t="s">
        <v>351</v>
      </c>
      <c r="C62" s="173" t="s">
        <v>364</v>
      </c>
      <c r="D62" s="173" t="s">
        <v>353</v>
      </c>
      <c r="E62" s="173" t="s">
        <v>148</v>
      </c>
      <c r="F62" s="173">
        <v>3</v>
      </c>
      <c r="G62" s="173" t="s">
        <v>19</v>
      </c>
      <c r="H62" s="173" t="s">
        <v>20</v>
      </c>
      <c r="I62" s="173" t="s">
        <v>165</v>
      </c>
      <c r="J62" s="173"/>
      <c r="K62" s="173" t="s">
        <v>180</v>
      </c>
      <c r="L62" s="173">
        <v>25</v>
      </c>
      <c r="M62" s="173" t="s">
        <v>181</v>
      </c>
      <c r="N62" s="174">
        <v>1120</v>
      </c>
      <c r="O62" s="174">
        <v>1120</v>
      </c>
      <c r="P62" s="174">
        <v>4000</v>
      </c>
      <c r="Q62" s="173">
        <v>2</v>
      </c>
      <c r="R62" s="173">
        <v>4</v>
      </c>
      <c r="S62" s="173" t="s">
        <v>354</v>
      </c>
      <c r="T62" s="175">
        <v>44763</v>
      </c>
      <c r="U62" s="175">
        <v>44795</v>
      </c>
      <c r="V62" s="173" t="s">
        <v>355</v>
      </c>
      <c r="W62" s="173"/>
      <c r="X62" s="173"/>
      <c r="Z62" s="146" t="str">
        <f t="shared" ca="1" si="0"/>
        <v/>
      </c>
      <c r="AA62" s="146" t="str">
        <f ca="1">IFERROR(IF(OR(OFFSET('S4'!#REF!,MATCH($A62,'S4'!$D$5:$D$2535,0)-1,6)="巻返し",OFFSET('S4'!#REF!,MATCH($A62,'S4'!$D$5:$D$2535,0)-1,6)="スリット"),SUMIF('S4'!$D$5:$D$2535,$A62,'S4'!$U$5:$U$2535),""),"")</f>
        <v/>
      </c>
      <c r="AB62" s="146" t="str">
        <f ca="1">IFERROR(IF(OR(OFFSET('S5'!#REF!,MATCH($A62,'S5'!$D$5:$D$2103,0)-1,6)="巻返し",OFFSET('S5'!#REF!,MATCH($A62,'S5'!$D$5:$D$2103,0)-1,6)="スリット"),SUMIF('S5'!$D$5:$D$2103,$A62,'S5'!$T$5:$T$2103),""),"")</f>
        <v/>
      </c>
    </row>
    <row r="63" spans="1:28" s="141" customFormat="1" ht="11.25" x14ac:dyDescent="0.15">
      <c r="A63" s="173">
        <v>3671817</v>
      </c>
      <c r="B63" s="173" t="s">
        <v>351</v>
      </c>
      <c r="C63" s="173" t="s">
        <v>364</v>
      </c>
      <c r="D63" s="173" t="s">
        <v>353</v>
      </c>
      <c r="E63" s="173" t="s">
        <v>148</v>
      </c>
      <c r="F63" s="173">
        <v>3</v>
      </c>
      <c r="G63" s="173" t="s">
        <v>19</v>
      </c>
      <c r="H63" s="173" t="s">
        <v>20</v>
      </c>
      <c r="I63" s="173" t="s">
        <v>165</v>
      </c>
      <c r="J63" s="173"/>
      <c r="K63" s="173" t="s">
        <v>180</v>
      </c>
      <c r="L63" s="173">
        <v>50</v>
      </c>
      <c r="M63" s="173" t="s">
        <v>181</v>
      </c>
      <c r="N63" s="174">
        <v>1120</v>
      </c>
      <c r="O63" s="174">
        <v>1120</v>
      </c>
      <c r="P63" s="174">
        <v>4000</v>
      </c>
      <c r="Q63" s="173">
        <v>2</v>
      </c>
      <c r="R63" s="173">
        <v>6</v>
      </c>
      <c r="S63" s="173" t="s">
        <v>354</v>
      </c>
      <c r="T63" s="175">
        <v>44763</v>
      </c>
      <c r="U63" s="175">
        <v>44795</v>
      </c>
      <c r="V63" s="173" t="s">
        <v>355</v>
      </c>
      <c r="W63" s="173"/>
      <c r="X63" s="173"/>
      <c r="Z63" s="146" t="str">
        <f t="shared" ca="1" si="0"/>
        <v/>
      </c>
      <c r="AA63" s="146" t="str">
        <f ca="1">IFERROR(IF(OR(OFFSET('S4'!#REF!,MATCH($A63,'S4'!$D$5:$D$2535,0)-1,6)="巻返し",OFFSET('S4'!#REF!,MATCH($A63,'S4'!$D$5:$D$2535,0)-1,6)="スリット"),SUMIF('S4'!$D$5:$D$2535,$A63,'S4'!$U$5:$U$2535),""),"")</f>
        <v/>
      </c>
      <c r="AB63" s="146" t="str">
        <f ca="1">IFERROR(IF(OR(OFFSET('S5'!#REF!,MATCH($A63,'S5'!$D$5:$D$2103,0)-1,6)="巻返し",OFFSET('S5'!#REF!,MATCH($A63,'S5'!$D$5:$D$2103,0)-1,6)="スリット"),SUMIF('S5'!$D$5:$D$2103,$A63,'S5'!$T$5:$T$2103),""),"")</f>
        <v/>
      </c>
    </row>
    <row r="64" spans="1:28" s="141" customFormat="1" ht="11.25" x14ac:dyDescent="0.15">
      <c r="A64" s="173">
        <v>3671818</v>
      </c>
      <c r="B64" s="173" t="s">
        <v>351</v>
      </c>
      <c r="C64" s="173" t="s">
        <v>352</v>
      </c>
      <c r="D64" s="173" t="s">
        <v>353</v>
      </c>
      <c r="E64" s="173" t="s">
        <v>116</v>
      </c>
      <c r="F64" s="173">
        <v>3</v>
      </c>
      <c r="G64" s="173" t="s">
        <v>19</v>
      </c>
      <c r="H64" s="173" t="s">
        <v>20</v>
      </c>
      <c r="I64" s="173" t="s">
        <v>205</v>
      </c>
      <c r="J64" s="173"/>
      <c r="K64" s="173" t="s">
        <v>212</v>
      </c>
      <c r="L64" s="173">
        <v>25</v>
      </c>
      <c r="M64" s="173" t="s">
        <v>213</v>
      </c>
      <c r="N64" s="174">
        <v>1000</v>
      </c>
      <c r="O64" s="174">
        <v>1000</v>
      </c>
      <c r="P64" s="174">
        <v>4000</v>
      </c>
      <c r="Q64" s="173">
        <v>2</v>
      </c>
      <c r="R64" s="173">
        <v>3</v>
      </c>
      <c r="S64" s="173" t="s">
        <v>354</v>
      </c>
      <c r="T64" s="175">
        <v>44763</v>
      </c>
      <c r="U64" s="175">
        <v>44795</v>
      </c>
      <c r="V64" s="173" t="s">
        <v>355</v>
      </c>
      <c r="W64" s="173"/>
      <c r="X64" s="173"/>
      <c r="Z64" s="146" t="str">
        <f t="shared" ca="1" si="0"/>
        <v/>
      </c>
      <c r="AA64" s="146" t="str">
        <f ca="1">IFERROR(IF(OR(OFFSET('S4'!#REF!,MATCH($A64,'S4'!$D$5:$D$2535,0)-1,6)="巻返し",OFFSET('S4'!#REF!,MATCH($A64,'S4'!$D$5:$D$2535,0)-1,6)="スリット"),SUMIF('S4'!$D$5:$D$2535,$A64,'S4'!$U$5:$U$2535),""),"")</f>
        <v/>
      </c>
      <c r="AB64" s="146" t="str">
        <f ca="1">IFERROR(IF(OR(OFFSET('S5'!#REF!,MATCH($A64,'S5'!$D$5:$D$2103,0)-1,6)="巻返し",OFFSET('S5'!#REF!,MATCH($A64,'S5'!$D$5:$D$2103,0)-1,6)="スリット"),SUMIF('S5'!$D$5:$D$2103,$A64,'S5'!$T$5:$T$2103),""),"")</f>
        <v/>
      </c>
    </row>
    <row r="65" spans="1:28" s="141" customFormat="1" ht="11.25" x14ac:dyDescent="0.15">
      <c r="A65" s="173">
        <v>3671819</v>
      </c>
      <c r="B65" s="173" t="s">
        <v>351</v>
      </c>
      <c r="C65" s="173" t="s">
        <v>352</v>
      </c>
      <c r="D65" s="173" t="s">
        <v>353</v>
      </c>
      <c r="E65" s="173" t="s">
        <v>116</v>
      </c>
      <c r="F65" s="173">
        <v>3</v>
      </c>
      <c r="G65" s="173" t="s">
        <v>19</v>
      </c>
      <c r="H65" s="173" t="s">
        <v>20</v>
      </c>
      <c r="I65" s="173" t="s">
        <v>205</v>
      </c>
      <c r="J65" s="173"/>
      <c r="K65" s="173" t="s">
        <v>212</v>
      </c>
      <c r="L65" s="173">
        <v>25</v>
      </c>
      <c r="M65" s="173" t="s">
        <v>213</v>
      </c>
      <c r="N65" s="174">
        <v>1120</v>
      </c>
      <c r="O65" s="174">
        <v>1120</v>
      </c>
      <c r="P65" s="174">
        <v>4000</v>
      </c>
      <c r="Q65" s="173">
        <v>2</v>
      </c>
      <c r="R65" s="173">
        <v>6</v>
      </c>
      <c r="S65" s="173" t="s">
        <v>354</v>
      </c>
      <c r="T65" s="175">
        <v>44763</v>
      </c>
      <c r="U65" s="175">
        <v>44795</v>
      </c>
      <c r="V65" s="173" t="s">
        <v>355</v>
      </c>
      <c r="W65" s="173"/>
      <c r="X65" s="173"/>
      <c r="Z65" s="146" t="str">
        <f t="shared" ca="1" si="0"/>
        <v/>
      </c>
      <c r="AA65" s="146" t="str">
        <f ca="1">IFERROR(IF(OR(OFFSET('S4'!#REF!,MATCH($A65,'S4'!$D$5:$D$2535,0)-1,6)="巻返し",OFFSET('S4'!#REF!,MATCH($A65,'S4'!$D$5:$D$2535,0)-1,6)="スリット"),SUMIF('S4'!$D$5:$D$2535,$A65,'S4'!$U$5:$U$2535),""),"")</f>
        <v/>
      </c>
      <c r="AB65" s="146" t="str">
        <f ca="1">IFERROR(IF(OR(OFFSET('S5'!#REF!,MATCH($A65,'S5'!$D$5:$D$2103,0)-1,6)="巻返し",OFFSET('S5'!#REF!,MATCH($A65,'S5'!$D$5:$D$2103,0)-1,6)="スリット"),SUMIF('S5'!$D$5:$D$2103,$A65,'S5'!$T$5:$T$2103),""),"")</f>
        <v/>
      </c>
    </row>
    <row r="66" spans="1:28" s="141" customFormat="1" ht="11.25" x14ac:dyDescent="0.15">
      <c r="A66" s="173">
        <v>3671820</v>
      </c>
      <c r="B66" s="173" t="s">
        <v>351</v>
      </c>
      <c r="C66" s="173" t="s">
        <v>352</v>
      </c>
      <c r="D66" s="173" t="s">
        <v>353</v>
      </c>
      <c r="E66" s="173" t="s">
        <v>116</v>
      </c>
      <c r="F66" s="173">
        <v>3</v>
      </c>
      <c r="G66" s="173" t="s">
        <v>19</v>
      </c>
      <c r="H66" s="173" t="s">
        <v>20</v>
      </c>
      <c r="I66" s="173" t="s">
        <v>205</v>
      </c>
      <c r="J66" s="173"/>
      <c r="K66" s="173" t="s">
        <v>212</v>
      </c>
      <c r="L66" s="173">
        <v>50</v>
      </c>
      <c r="M66" s="173" t="s">
        <v>213</v>
      </c>
      <c r="N66" s="174">
        <v>1000</v>
      </c>
      <c r="O66" s="174">
        <v>1000</v>
      </c>
      <c r="P66" s="174">
        <v>4000</v>
      </c>
      <c r="Q66" s="173">
        <v>2</v>
      </c>
      <c r="R66" s="173">
        <v>4</v>
      </c>
      <c r="S66" s="173" t="s">
        <v>354</v>
      </c>
      <c r="T66" s="175">
        <v>44763</v>
      </c>
      <c r="U66" s="175">
        <v>44790</v>
      </c>
      <c r="V66" s="173" t="s">
        <v>355</v>
      </c>
      <c r="W66" s="173"/>
      <c r="X66" s="173"/>
      <c r="Z66" s="146" t="str">
        <f t="shared" ca="1" si="0"/>
        <v/>
      </c>
      <c r="AA66" s="146" t="str">
        <f ca="1">IFERROR(IF(OR(OFFSET('S4'!#REF!,MATCH($A66,'S4'!$D$5:$D$2535,0)-1,6)="巻返し",OFFSET('S4'!#REF!,MATCH($A66,'S4'!$D$5:$D$2535,0)-1,6)="スリット"),SUMIF('S4'!$D$5:$D$2535,$A66,'S4'!$U$5:$U$2535),""),"")</f>
        <v/>
      </c>
      <c r="AB66" s="146" t="str">
        <f ca="1">IFERROR(IF(OR(OFFSET('S5'!#REF!,MATCH($A66,'S5'!$D$5:$D$2103,0)-1,6)="巻返し",OFFSET('S5'!#REF!,MATCH($A66,'S5'!$D$5:$D$2103,0)-1,6)="スリット"),SUMIF('S5'!$D$5:$D$2103,$A66,'S5'!$T$5:$T$2103),""),"")</f>
        <v/>
      </c>
    </row>
    <row r="67" spans="1:28" s="141" customFormat="1" ht="11.25" x14ac:dyDescent="0.15">
      <c r="A67" s="173">
        <v>3671821</v>
      </c>
      <c r="B67" s="173" t="s">
        <v>351</v>
      </c>
      <c r="C67" s="173" t="s">
        <v>352</v>
      </c>
      <c r="D67" s="173" t="s">
        <v>353</v>
      </c>
      <c r="E67" s="173" t="s">
        <v>116</v>
      </c>
      <c r="F67" s="173">
        <v>3</v>
      </c>
      <c r="G67" s="173" t="s">
        <v>19</v>
      </c>
      <c r="H67" s="173" t="s">
        <v>20</v>
      </c>
      <c r="I67" s="173" t="s">
        <v>205</v>
      </c>
      <c r="J67" s="173"/>
      <c r="K67" s="173" t="s">
        <v>212</v>
      </c>
      <c r="L67" s="173">
        <v>50</v>
      </c>
      <c r="M67" s="173" t="s">
        <v>213</v>
      </c>
      <c r="N67" s="174">
        <v>1120</v>
      </c>
      <c r="O67" s="174">
        <v>1120</v>
      </c>
      <c r="P67" s="174">
        <v>4000</v>
      </c>
      <c r="Q67" s="173">
        <v>2</v>
      </c>
      <c r="R67" s="173">
        <v>8</v>
      </c>
      <c r="S67" s="173" t="s">
        <v>354</v>
      </c>
      <c r="T67" s="175">
        <v>44763</v>
      </c>
      <c r="U67" s="175">
        <v>44802</v>
      </c>
      <c r="V67" s="173" t="s">
        <v>355</v>
      </c>
      <c r="W67" s="173"/>
      <c r="X67" s="173"/>
      <c r="Z67" s="146" t="str">
        <f t="shared" ca="1" si="0"/>
        <v/>
      </c>
      <c r="AA67" s="146" t="str">
        <f ca="1">IFERROR(IF(OR(OFFSET('S4'!#REF!,MATCH($A67,'S4'!$D$5:$D$2535,0)-1,6)="巻返し",OFFSET('S4'!#REF!,MATCH($A67,'S4'!$D$5:$D$2535,0)-1,6)="スリット"),SUMIF('S4'!$D$5:$D$2535,$A67,'S4'!$U$5:$U$2535),""),"")</f>
        <v/>
      </c>
      <c r="AB67" s="146" t="str">
        <f ca="1">IFERROR(IF(OR(OFFSET('S5'!#REF!,MATCH($A67,'S5'!$D$5:$D$2103,0)-1,6)="巻返し",OFFSET('S5'!#REF!,MATCH($A67,'S5'!$D$5:$D$2103,0)-1,6)="スリット"),SUMIF('S5'!$D$5:$D$2103,$A67,'S5'!$T$5:$T$2103),""),"")</f>
        <v/>
      </c>
    </row>
    <row r="68" spans="1:28" s="141" customFormat="1" ht="11.25" x14ac:dyDescent="0.15">
      <c r="A68" s="173">
        <v>3671822</v>
      </c>
      <c r="B68" s="173" t="s">
        <v>351</v>
      </c>
      <c r="C68" s="173" t="s">
        <v>352</v>
      </c>
      <c r="D68" s="173" t="s">
        <v>353</v>
      </c>
      <c r="E68" s="173" t="s">
        <v>116</v>
      </c>
      <c r="F68" s="173">
        <v>3</v>
      </c>
      <c r="G68" s="173" t="s">
        <v>19</v>
      </c>
      <c r="H68" s="173" t="s">
        <v>20</v>
      </c>
      <c r="I68" s="173" t="s">
        <v>205</v>
      </c>
      <c r="J68" s="173"/>
      <c r="K68" s="173" t="s">
        <v>212</v>
      </c>
      <c r="L68" s="173">
        <v>50</v>
      </c>
      <c r="M68" s="173" t="s">
        <v>213</v>
      </c>
      <c r="N68" s="174">
        <v>1120</v>
      </c>
      <c r="O68" s="174">
        <v>1120</v>
      </c>
      <c r="P68" s="174">
        <v>4000</v>
      </c>
      <c r="Q68" s="173">
        <v>2</v>
      </c>
      <c r="R68" s="173">
        <v>4</v>
      </c>
      <c r="S68" s="173" t="s">
        <v>354</v>
      </c>
      <c r="T68" s="175">
        <v>44763</v>
      </c>
      <c r="U68" s="175">
        <v>44804</v>
      </c>
      <c r="V68" s="173" t="s">
        <v>355</v>
      </c>
      <c r="W68" s="173"/>
      <c r="X68" s="173"/>
      <c r="Z68" s="146" t="str">
        <f t="shared" ref="Z68:Z131" ca="1" si="1">IF(SUM(AA68:AB68)=0,"",SUM(AA68:AB68))</f>
        <v/>
      </c>
      <c r="AA68" s="146" t="str">
        <f ca="1">IFERROR(IF(OR(OFFSET('S4'!#REF!,MATCH($A68,'S4'!$D$5:$D$2535,0)-1,6)="巻返し",OFFSET('S4'!#REF!,MATCH($A68,'S4'!$D$5:$D$2535,0)-1,6)="スリット"),SUMIF('S4'!$D$5:$D$2535,$A68,'S4'!$U$5:$U$2535),""),"")</f>
        <v/>
      </c>
      <c r="AB68" s="146" t="str">
        <f ca="1">IFERROR(IF(OR(OFFSET('S5'!#REF!,MATCH($A68,'S5'!$D$5:$D$2103,0)-1,6)="巻返し",OFFSET('S5'!#REF!,MATCH($A68,'S5'!$D$5:$D$2103,0)-1,6)="スリット"),SUMIF('S5'!$D$5:$D$2103,$A68,'S5'!$T$5:$T$2103),""),"")</f>
        <v/>
      </c>
    </row>
    <row r="69" spans="1:28" s="141" customFormat="1" ht="11.25" x14ac:dyDescent="0.15">
      <c r="A69" s="173">
        <v>3671823</v>
      </c>
      <c r="B69" s="173" t="s">
        <v>351</v>
      </c>
      <c r="C69" s="173" t="s">
        <v>352</v>
      </c>
      <c r="D69" s="173" t="s">
        <v>353</v>
      </c>
      <c r="E69" s="173" t="s">
        <v>116</v>
      </c>
      <c r="F69" s="173">
        <v>3</v>
      </c>
      <c r="G69" s="173" t="s">
        <v>19</v>
      </c>
      <c r="H69" s="173" t="s">
        <v>20</v>
      </c>
      <c r="I69" s="173" t="s">
        <v>205</v>
      </c>
      <c r="J69" s="173"/>
      <c r="K69" s="173" t="s">
        <v>212</v>
      </c>
      <c r="L69" s="173">
        <v>50</v>
      </c>
      <c r="M69" s="173" t="s">
        <v>213</v>
      </c>
      <c r="N69" s="174">
        <v>1120</v>
      </c>
      <c r="O69" s="174">
        <v>1120</v>
      </c>
      <c r="P69" s="174">
        <v>4000</v>
      </c>
      <c r="Q69" s="173">
        <v>2</v>
      </c>
      <c r="R69" s="173">
        <v>8</v>
      </c>
      <c r="S69" s="173" t="s">
        <v>354</v>
      </c>
      <c r="T69" s="175">
        <v>44763</v>
      </c>
      <c r="U69" s="175">
        <v>44809</v>
      </c>
      <c r="V69" s="173" t="s">
        <v>355</v>
      </c>
      <c r="W69" s="173"/>
      <c r="X69" s="173"/>
      <c r="Z69" s="146" t="str">
        <f t="shared" ca="1" si="1"/>
        <v/>
      </c>
      <c r="AA69" s="146" t="str">
        <f ca="1">IFERROR(IF(OR(OFFSET('S4'!#REF!,MATCH($A69,'S4'!$D$5:$D$2535,0)-1,6)="巻返し",OFFSET('S4'!#REF!,MATCH($A69,'S4'!$D$5:$D$2535,0)-1,6)="スリット"),SUMIF('S4'!$D$5:$D$2535,$A69,'S4'!$U$5:$U$2535),""),"")</f>
        <v/>
      </c>
      <c r="AB69" s="146" t="str">
        <f ca="1">IFERROR(IF(OR(OFFSET('S5'!#REF!,MATCH($A69,'S5'!$D$5:$D$2103,0)-1,6)="巻返し",OFFSET('S5'!#REF!,MATCH($A69,'S5'!$D$5:$D$2103,0)-1,6)="スリット"),SUMIF('S5'!$D$5:$D$2103,$A69,'S5'!$T$5:$T$2103),""),"")</f>
        <v/>
      </c>
    </row>
    <row r="70" spans="1:28" s="141" customFormat="1" ht="11.25" x14ac:dyDescent="0.15">
      <c r="A70" s="173">
        <v>3671824</v>
      </c>
      <c r="B70" s="173" t="s">
        <v>351</v>
      </c>
      <c r="C70" s="173" t="s">
        <v>352</v>
      </c>
      <c r="D70" s="173" t="s">
        <v>353</v>
      </c>
      <c r="E70" s="173" t="s">
        <v>116</v>
      </c>
      <c r="F70" s="173">
        <v>3</v>
      </c>
      <c r="G70" s="173" t="s">
        <v>19</v>
      </c>
      <c r="H70" s="173" t="s">
        <v>20</v>
      </c>
      <c r="I70" s="173" t="s">
        <v>205</v>
      </c>
      <c r="J70" s="173"/>
      <c r="K70" s="173" t="s">
        <v>212</v>
      </c>
      <c r="L70" s="173">
        <v>50</v>
      </c>
      <c r="M70" s="173" t="s">
        <v>213</v>
      </c>
      <c r="N70" s="174">
        <v>1120</v>
      </c>
      <c r="O70" s="174">
        <v>1120</v>
      </c>
      <c r="P70" s="174">
        <v>4000</v>
      </c>
      <c r="Q70" s="173">
        <v>2</v>
      </c>
      <c r="R70" s="173">
        <v>8</v>
      </c>
      <c r="S70" s="173" t="s">
        <v>354</v>
      </c>
      <c r="T70" s="175">
        <v>44763</v>
      </c>
      <c r="U70" s="175">
        <v>44816</v>
      </c>
      <c r="V70" s="173" t="s">
        <v>355</v>
      </c>
      <c r="W70" s="173"/>
      <c r="X70" s="173"/>
      <c r="Z70" s="146" t="str">
        <f t="shared" ca="1" si="1"/>
        <v/>
      </c>
      <c r="AA70" s="146" t="str">
        <f ca="1">IFERROR(IF(OR(OFFSET('S4'!#REF!,MATCH($A70,'S4'!$D$5:$D$2535,0)-1,6)="巻返し",OFFSET('S4'!#REF!,MATCH($A70,'S4'!$D$5:$D$2535,0)-1,6)="スリット"),SUMIF('S4'!$D$5:$D$2535,$A70,'S4'!$U$5:$U$2535),""),"")</f>
        <v/>
      </c>
      <c r="AB70" s="146" t="str">
        <f ca="1">IFERROR(IF(OR(OFFSET('S5'!#REF!,MATCH($A70,'S5'!$D$5:$D$2103,0)-1,6)="巻返し",OFFSET('S5'!#REF!,MATCH($A70,'S5'!$D$5:$D$2103,0)-1,6)="スリット"),SUMIF('S5'!$D$5:$D$2103,$A70,'S5'!$T$5:$T$2103),""),"")</f>
        <v/>
      </c>
    </row>
    <row r="71" spans="1:28" s="141" customFormat="1" ht="11.25" x14ac:dyDescent="0.15">
      <c r="A71" s="173">
        <v>3671825</v>
      </c>
      <c r="B71" s="173" t="s">
        <v>351</v>
      </c>
      <c r="C71" s="173" t="s">
        <v>352</v>
      </c>
      <c r="D71" s="173" t="s">
        <v>353</v>
      </c>
      <c r="E71" s="173" t="s">
        <v>116</v>
      </c>
      <c r="F71" s="173">
        <v>3</v>
      </c>
      <c r="G71" s="173" t="s">
        <v>19</v>
      </c>
      <c r="H71" s="173" t="s">
        <v>20</v>
      </c>
      <c r="I71" s="173" t="s">
        <v>205</v>
      </c>
      <c r="J71" s="173"/>
      <c r="K71" s="173" t="s">
        <v>211</v>
      </c>
      <c r="L71" s="173">
        <v>50</v>
      </c>
      <c r="M71" s="173" t="s">
        <v>370</v>
      </c>
      <c r="N71" s="174">
        <v>1050</v>
      </c>
      <c r="O71" s="174">
        <v>1050</v>
      </c>
      <c r="P71" s="174">
        <v>4100</v>
      </c>
      <c r="Q71" s="173">
        <v>2</v>
      </c>
      <c r="R71" s="173">
        <v>3</v>
      </c>
      <c r="S71" s="173" t="s">
        <v>354</v>
      </c>
      <c r="T71" s="175">
        <v>44763</v>
      </c>
      <c r="U71" s="175">
        <v>44790</v>
      </c>
      <c r="V71" s="173" t="s">
        <v>355</v>
      </c>
      <c r="W71" s="173"/>
      <c r="X71" s="173"/>
      <c r="Z71" s="146" t="str">
        <f t="shared" ca="1" si="1"/>
        <v/>
      </c>
      <c r="AA71" s="146" t="str">
        <f ca="1">IFERROR(IF(OR(OFFSET('S4'!#REF!,MATCH($A71,'S4'!$D$5:$D$2535,0)-1,6)="巻返し",OFFSET('S4'!#REF!,MATCH($A71,'S4'!$D$5:$D$2535,0)-1,6)="スリット"),SUMIF('S4'!$D$5:$D$2535,$A71,'S4'!$U$5:$U$2535),""),"")</f>
        <v/>
      </c>
      <c r="AB71" s="146" t="str">
        <f ca="1">IFERROR(IF(OR(OFFSET('S5'!#REF!,MATCH($A71,'S5'!$D$5:$D$2103,0)-1,6)="巻返し",OFFSET('S5'!#REF!,MATCH($A71,'S5'!$D$5:$D$2103,0)-1,6)="スリット"),SUMIF('S5'!$D$5:$D$2103,$A71,'S5'!$T$5:$T$2103),""),"")</f>
        <v/>
      </c>
    </row>
    <row r="72" spans="1:28" s="141" customFormat="1" ht="11.25" x14ac:dyDescent="0.15">
      <c r="A72" s="173">
        <v>3671826</v>
      </c>
      <c r="B72" s="173" t="s">
        <v>351</v>
      </c>
      <c r="C72" s="173" t="s">
        <v>352</v>
      </c>
      <c r="D72" s="173" t="s">
        <v>353</v>
      </c>
      <c r="E72" s="173" t="s">
        <v>116</v>
      </c>
      <c r="F72" s="173">
        <v>3</v>
      </c>
      <c r="G72" s="173" t="s">
        <v>19</v>
      </c>
      <c r="H72" s="173" t="s">
        <v>20</v>
      </c>
      <c r="I72" s="173" t="s">
        <v>205</v>
      </c>
      <c r="J72" s="173"/>
      <c r="K72" s="173" t="s">
        <v>211</v>
      </c>
      <c r="L72" s="173">
        <v>75</v>
      </c>
      <c r="M72" s="173" t="s">
        <v>370</v>
      </c>
      <c r="N72" s="174">
        <v>1050</v>
      </c>
      <c r="O72" s="174">
        <v>1050</v>
      </c>
      <c r="P72" s="174">
        <v>2000</v>
      </c>
      <c r="Q72" s="173">
        <v>2</v>
      </c>
      <c r="R72" s="173">
        <v>2</v>
      </c>
      <c r="S72" s="173" t="s">
        <v>354</v>
      </c>
      <c r="T72" s="175">
        <v>44763</v>
      </c>
      <c r="U72" s="175">
        <v>44790</v>
      </c>
      <c r="V72" s="173" t="s">
        <v>355</v>
      </c>
      <c r="W72" s="173"/>
      <c r="X72" s="173"/>
      <c r="Z72" s="146" t="str">
        <f t="shared" ca="1" si="1"/>
        <v/>
      </c>
      <c r="AA72" s="146" t="str">
        <f ca="1">IFERROR(IF(OR(OFFSET('S4'!#REF!,MATCH($A72,'S4'!$D$5:$D$2535,0)-1,6)="巻返し",OFFSET('S4'!#REF!,MATCH($A72,'S4'!$D$5:$D$2535,0)-1,6)="スリット"),SUMIF('S4'!$D$5:$D$2535,$A72,'S4'!$U$5:$U$2535),""),"")</f>
        <v/>
      </c>
      <c r="AB72" s="146" t="str">
        <f ca="1">IFERROR(IF(OR(OFFSET('S5'!#REF!,MATCH($A72,'S5'!$D$5:$D$2103,0)-1,6)="巻返し",OFFSET('S5'!#REF!,MATCH($A72,'S5'!$D$5:$D$2103,0)-1,6)="スリット"),SUMIF('S5'!$D$5:$D$2103,$A72,'S5'!$T$5:$T$2103),""),"")</f>
        <v/>
      </c>
    </row>
    <row r="73" spans="1:28" s="141" customFormat="1" ht="11.25" x14ac:dyDescent="0.15">
      <c r="A73" s="173">
        <v>3671828</v>
      </c>
      <c r="B73" s="173" t="s">
        <v>351</v>
      </c>
      <c r="C73" s="173" t="s">
        <v>352</v>
      </c>
      <c r="D73" s="173" t="s">
        <v>353</v>
      </c>
      <c r="E73" s="173" t="s">
        <v>116</v>
      </c>
      <c r="F73" s="173">
        <v>3</v>
      </c>
      <c r="G73" s="173" t="s">
        <v>19</v>
      </c>
      <c r="H73" s="173" t="s">
        <v>20</v>
      </c>
      <c r="I73" s="173" t="s">
        <v>165</v>
      </c>
      <c r="J73" s="173"/>
      <c r="K73" s="173" t="s">
        <v>245</v>
      </c>
      <c r="L73" s="173">
        <v>16</v>
      </c>
      <c r="M73" s="173" t="s">
        <v>366</v>
      </c>
      <c r="N73" s="174">
        <v>1005</v>
      </c>
      <c r="O73" s="174">
        <v>1005</v>
      </c>
      <c r="P73" s="174">
        <v>3000</v>
      </c>
      <c r="Q73" s="173">
        <v>2</v>
      </c>
      <c r="R73" s="173">
        <v>1</v>
      </c>
      <c r="S73" s="173" t="s">
        <v>354</v>
      </c>
      <c r="T73" s="175">
        <v>44763</v>
      </c>
      <c r="U73" s="175">
        <v>44810</v>
      </c>
      <c r="V73" s="173" t="s">
        <v>355</v>
      </c>
      <c r="W73" s="173"/>
      <c r="X73" s="173"/>
      <c r="Z73" s="146" t="str">
        <f t="shared" ca="1" si="1"/>
        <v/>
      </c>
      <c r="AA73" s="146" t="str">
        <f ca="1">IFERROR(IF(OR(OFFSET('S4'!#REF!,MATCH($A73,'S4'!$D$5:$D$2535,0)-1,6)="巻返し",OFFSET('S4'!#REF!,MATCH($A73,'S4'!$D$5:$D$2535,0)-1,6)="スリット"),SUMIF('S4'!$D$5:$D$2535,$A73,'S4'!$U$5:$U$2535),""),"")</f>
        <v/>
      </c>
      <c r="AB73" s="146" t="str">
        <f ca="1">IFERROR(IF(OR(OFFSET('S5'!#REF!,MATCH($A73,'S5'!$D$5:$D$2103,0)-1,6)="巻返し",OFFSET('S5'!#REF!,MATCH($A73,'S5'!$D$5:$D$2103,0)-1,6)="スリット"),SUMIF('S5'!$D$5:$D$2103,$A73,'S5'!$T$5:$T$2103),""),"")</f>
        <v/>
      </c>
    </row>
    <row r="74" spans="1:28" s="141" customFormat="1" ht="11.25" x14ac:dyDescent="0.15">
      <c r="A74" s="173">
        <v>3671829</v>
      </c>
      <c r="B74" s="173" t="s">
        <v>351</v>
      </c>
      <c r="C74" s="173" t="s">
        <v>352</v>
      </c>
      <c r="D74" s="173" t="s">
        <v>353</v>
      </c>
      <c r="E74" s="173" t="s">
        <v>116</v>
      </c>
      <c r="F74" s="173">
        <v>3</v>
      </c>
      <c r="G74" s="173" t="s">
        <v>19</v>
      </c>
      <c r="H74" s="173" t="s">
        <v>20</v>
      </c>
      <c r="I74" s="173" t="s">
        <v>205</v>
      </c>
      <c r="J74" s="173"/>
      <c r="K74" s="173" t="s">
        <v>216</v>
      </c>
      <c r="L74" s="173">
        <v>25</v>
      </c>
      <c r="M74" s="173" t="s">
        <v>217</v>
      </c>
      <c r="N74" s="174">
        <v>1005</v>
      </c>
      <c r="O74" s="174">
        <v>1000</v>
      </c>
      <c r="P74" s="174">
        <v>4000</v>
      </c>
      <c r="Q74" s="173">
        <v>2</v>
      </c>
      <c r="R74" s="173">
        <v>6</v>
      </c>
      <c r="S74" s="173" t="s">
        <v>354</v>
      </c>
      <c r="T74" s="175">
        <v>44763</v>
      </c>
      <c r="U74" s="175">
        <v>44795</v>
      </c>
      <c r="V74" s="173" t="s">
        <v>355</v>
      </c>
      <c r="W74" s="173"/>
      <c r="X74" s="173"/>
      <c r="Z74" s="146" t="str">
        <f t="shared" ca="1" si="1"/>
        <v/>
      </c>
      <c r="AA74" s="146" t="str">
        <f ca="1">IFERROR(IF(OR(OFFSET('S4'!#REF!,MATCH($A74,'S4'!$D$5:$D$2535,0)-1,6)="巻返し",OFFSET('S4'!#REF!,MATCH($A74,'S4'!$D$5:$D$2535,0)-1,6)="スリット"),SUMIF('S4'!$D$5:$D$2535,$A74,'S4'!$U$5:$U$2535),""),"")</f>
        <v/>
      </c>
      <c r="AB74" s="146" t="str">
        <f ca="1">IFERROR(IF(OR(OFFSET('S5'!#REF!,MATCH($A74,'S5'!$D$5:$D$2103,0)-1,6)="巻返し",OFFSET('S5'!#REF!,MATCH($A74,'S5'!$D$5:$D$2103,0)-1,6)="スリット"),SUMIF('S5'!$D$5:$D$2103,$A74,'S5'!$T$5:$T$2103),""),"")</f>
        <v/>
      </c>
    </row>
    <row r="75" spans="1:28" s="141" customFormat="1" ht="11.25" x14ac:dyDescent="0.15">
      <c r="A75" s="173">
        <v>3671830</v>
      </c>
      <c r="B75" s="173" t="s">
        <v>351</v>
      </c>
      <c r="C75" s="173" t="s">
        <v>352</v>
      </c>
      <c r="D75" s="173" t="s">
        <v>353</v>
      </c>
      <c r="E75" s="173" t="s">
        <v>116</v>
      </c>
      <c r="F75" s="173">
        <v>3</v>
      </c>
      <c r="G75" s="173" t="s">
        <v>19</v>
      </c>
      <c r="H75" s="173" t="s">
        <v>20</v>
      </c>
      <c r="I75" s="173" t="s">
        <v>205</v>
      </c>
      <c r="J75" s="173"/>
      <c r="K75" s="173" t="s">
        <v>216</v>
      </c>
      <c r="L75" s="173">
        <v>50</v>
      </c>
      <c r="M75" s="173" t="s">
        <v>217</v>
      </c>
      <c r="N75" s="174">
        <v>1120</v>
      </c>
      <c r="O75" s="174">
        <v>1120</v>
      </c>
      <c r="P75" s="174">
        <v>5000</v>
      </c>
      <c r="Q75" s="173">
        <v>2</v>
      </c>
      <c r="R75" s="173">
        <v>12</v>
      </c>
      <c r="S75" s="173" t="s">
        <v>354</v>
      </c>
      <c r="T75" s="175">
        <v>44763</v>
      </c>
      <c r="U75" s="175">
        <v>44796</v>
      </c>
      <c r="V75" s="173" t="s">
        <v>355</v>
      </c>
      <c r="W75" s="173"/>
      <c r="X75" s="173"/>
      <c r="Z75" s="146" t="str">
        <f t="shared" ca="1" si="1"/>
        <v/>
      </c>
      <c r="AA75" s="146" t="str">
        <f ca="1">IFERROR(IF(OR(OFFSET('S4'!#REF!,MATCH($A75,'S4'!$D$5:$D$2535,0)-1,6)="巻返し",OFFSET('S4'!#REF!,MATCH($A75,'S4'!$D$5:$D$2535,0)-1,6)="スリット"),SUMIF('S4'!$D$5:$D$2535,$A75,'S4'!$U$5:$U$2535),""),"")</f>
        <v/>
      </c>
      <c r="AB75" s="146" t="str">
        <f ca="1">IFERROR(IF(OR(OFFSET('S5'!#REF!,MATCH($A75,'S5'!$D$5:$D$2103,0)-1,6)="巻返し",OFFSET('S5'!#REF!,MATCH($A75,'S5'!$D$5:$D$2103,0)-1,6)="スリット"),SUMIF('S5'!$D$5:$D$2103,$A75,'S5'!$T$5:$T$2103),""),"")</f>
        <v/>
      </c>
    </row>
    <row r="76" spans="1:28" s="141" customFormat="1" ht="11.25" x14ac:dyDescent="0.15">
      <c r="A76" s="173">
        <v>3671831</v>
      </c>
      <c r="B76" s="173" t="s">
        <v>351</v>
      </c>
      <c r="C76" s="173" t="s">
        <v>352</v>
      </c>
      <c r="D76" s="173" t="s">
        <v>353</v>
      </c>
      <c r="E76" s="173" t="s">
        <v>116</v>
      </c>
      <c r="F76" s="173">
        <v>3</v>
      </c>
      <c r="G76" s="173" t="s">
        <v>19</v>
      </c>
      <c r="H76" s="173" t="s">
        <v>20</v>
      </c>
      <c r="I76" s="173" t="s">
        <v>205</v>
      </c>
      <c r="J76" s="173"/>
      <c r="K76" s="173" t="s">
        <v>216</v>
      </c>
      <c r="L76" s="173">
        <v>50</v>
      </c>
      <c r="M76" s="173" t="s">
        <v>217</v>
      </c>
      <c r="N76" s="174">
        <v>1120</v>
      </c>
      <c r="O76" s="174">
        <v>1120</v>
      </c>
      <c r="P76" s="174">
        <v>5000</v>
      </c>
      <c r="Q76" s="173">
        <v>2</v>
      </c>
      <c r="R76" s="173">
        <v>12</v>
      </c>
      <c r="S76" s="173" t="s">
        <v>354</v>
      </c>
      <c r="T76" s="175">
        <v>44763</v>
      </c>
      <c r="U76" s="175">
        <v>44802</v>
      </c>
      <c r="V76" s="173" t="s">
        <v>355</v>
      </c>
      <c r="W76" s="173"/>
      <c r="X76" s="173"/>
      <c r="Z76" s="146" t="str">
        <f t="shared" ca="1" si="1"/>
        <v/>
      </c>
      <c r="AA76" s="146" t="str">
        <f ca="1">IFERROR(IF(OR(OFFSET('S4'!#REF!,MATCH($A76,'S4'!$D$5:$D$2535,0)-1,6)="巻返し",OFFSET('S4'!#REF!,MATCH($A76,'S4'!$D$5:$D$2535,0)-1,6)="スリット"),SUMIF('S4'!$D$5:$D$2535,$A76,'S4'!$U$5:$U$2535),""),"")</f>
        <v/>
      </c>
      <c r="AB76" s="146" t="str">
        <f ca="1">IFERROR(IF(OR(OFFSET('S5'!#REF!,MATCH($A76,'S5'!$D$5:$D$2103,0)-1,6)="巻返し",OFFSET('S5'!#REF!,MATCH($A76,'S5'!$D$5:$D$2103,0)-1,6)="スリット"),SUMIF('S5'!$D$5:$D$2103,$A76,'S5'!$T$5:$T$2103),""),"")</f>
        <v/>
      </c>
    </row>
    <row r="77" spans="1:28" s="141" customFormat="1" ht="11.25" x14ac:dyDescent="0.15">
      <c r="A77" s="173">
        <v>3671832</v>
      </c>
      <c r="B77" s="173" t="s">
        <v>351</v>
      </c>
      <c r="C77" s="173" t="s">
        <v>352</v>
      </c>
      <c r="D77" s="173" t="s">
        <v>353</v>
      </c>
      <c r="E77" s="173" t="s">
        <v>116</v>
      </c>
      <c r="F77" s="173">
        <v>3</v>
      </c>
      <c r="G77" s="173" t="s">
        <v>19</v>
      </c>
      <c r="H77" s="173" t="s">
        <v>20</v>
      </c>
      <c r="I77" s="173" t="s">
        <v>205</v>
      </c>
      <c r="J77" s="173"/>
      <c r="K77" s="173" t="s">
        <v>216</v>
      </c>
      <c r="L77" s="173">
        <v>50</v>
      </c>
      <c r="M77" s="173" t="s">
        <v>217</v>
      </c>
      <c r="N77" s="174">
        <v>1120</v>
      </c>
      <c r="O77" s="174">
        <v>1120</v>
      </c>
      <c r="P77" s="174">
        <v>5000</v>
      </c>
      <c r="Q77" s="173">
        <v>2</v>
      </c>
      <c r="R77" s="173">
        <v>14</v>
      </c>
      <c r="S77" s="173" t="s">
        <v>354</v>
      </c>
      <c r="T77" s="175">
        <v>44763</v>
      </c>
      <c r="U77" s="175">
        <v>44809</v>
      </c>
      <c r="V77" s="173" t="s">
        <v>355</v>
      </c>
      <c r="W77" s="173"/>
      <c r="X77" s="173"/>
      <c r="Z77" s="146" t="str">
        <f t="shared" ca="1" si="1"/>
        <v/>
      </c>
      <c r="AA77" s="146" t="str">
        <f ca="1">IFERROR(IF(OR(OFFSET('S4'!#REF!,MATCH($A77,'S4'!$D$5:$D$2535,0)-1,6)="巻返し",OFFSET('S4'!#REF!,MATCH($A77,'S4'!$D$5:$D$2535,0)-1,6)="スリット"),SUMIF('S4'!$D$5:$D$2535,$A77,'S4'!$U$5:$U$2535),""),"")</f>
        <v/>
      </c>
      <c r="AB77" s="146" t="str">
        <f ca="1">IFERROR(IF(OR(OFFSET('S5'!#REF!,MATCH($A77,'S5'!$D$5:$D$2103,0)-1,6)="巻返し",OFFSET('S5'!#REF!,MATCH($A77,'S5'!$D$5:$D$2103,0)-1,6)="スリット"),SUMIF('S5'!$D$5:$D$2103,$A77,'S5'!$T$5:$T$2103),""),"")</f>
        <v/>
      </c>
    </row>
    <row r="78" spans="1:28" s="141" customFormat="1" ht="11.25" x14ac:dyDescent="0.15">
      <c r="A78" s="173">
        <v>3671833</v>
      </c>
      <c r="B78" s="173" t="s">
        <v>351</v>
      </c>
      <c r="C78" s="173" t="s">
        <v>352</v>
      </c>
      <c r="D78" s="173" t="s">
        <v>353</v>
      </c>
      <c r="E78" s="173" t="s">
        <v>116</v>
      </c>
      <c r="F78" s="173">
        <v>3</v>
      </c>
      <c r="G78" s="173" t="s">
        <v>19</v>
      </c>
      <c r="H78" s="173" t="s">
        <v>20</v>
      </c>
      <c r="I78" s="173" t="s">
        <v>205</v>
      </c>
      <c r="J78" s="173"/>
      <c r="K78" s="173" t="s">
        <v>216</v>
      </c>
      <c r="L78" s="173">
        <v>50</v>
      </c>
      <c r="M78" s="173" t="s">
        <v>217</v>
      </c>
      <c r="N78" s="174">
        <v>1120</v>
      </c>
      <c r="O78" s="174">
        <v>1120</v>
      </c>
      <c r="P78" s="174">
        <v>5000</v>
      </c>
      <c r="Q78" s="173">
        <v>2</v>
      </c>
      <c r="R78" s="173">
        <v>14</v>
      </c>
      <c r="S78" s="173" t="s">
        <v>354</v>
      </c>
      <c r="T78" s="175">
        <v>44763</v>
      </c>
      <c r="U78" s="175">
        <v>44816</v>
      </c>
      <c r="V78" s="173" t="s">
        <v>355</v>
      </c>
      <c r="W78" s="173"/>
      <c r="X78" s="173"/>
      <c r="Z78" s="146" t="str">
        <f t="shared" ca="1" si="1"/>
        <v/>
      </c>
      <c r="AA78" s="146" t="str">
        <f ca="1">IFERROR(IF(OR(OFFSET('S4'!#REF!,MATCH($A78,'S4'!$D$5:$D$2535,0)-1,6)="巻返し",OFFSET('S4'!#REF!,MATCH($A78,'S4'!$D$5:$D$2535,0)-1,6)="スリット"),SUMIF('S4'!$D$5:$D$2535,$A78,'S4'!$U$5:$U$2535),""),"")</f>
        <v/>
      </c>
      <c r="AB78" s="146" t="str">
        <f ca="1">IFERROR(IF(OR(OFFSET('S5'!#REF!,MATCH($A78,'S5'!$D$5:$D$2103,0)-1,6)="巻返し",OFFSET('S5'!#REF!,MATCH($A78,'S5'!$D$5:$D$2103,0)-1,6)="スリット"),SUMIF('S5'!$D$5:$D$2103,$A78,'S5'!$T$5:$T$2103),""),"")</f>
        <v/>
      </c>
    </row>
    <row r="79" spans="1:28" s="141" customFormat="1" ht="11.25" x14ac:dyDescent="0.15">
      <c r="A79" s="173">
        <v>3671834</v>
      </c>
      <c r="B79" s="173" t="s">
        <v>351</v>
      </c>
      <c r="C79" s="173" t="s">
        <v>352</v>
      </c>
      <c r="D79" s="173" t="s">
        <v>353</v>
      </c>
      <c r="E79" s="173" t="s">
        <v>116</v>
      </c>
      <c r="F79" s="173">
        <v>3</v>
      </c>
      <c r="G79" s="173" t="s">
        <v>19</v>
      </c>
      <c r="H79" s="173" t="s">
        <v>20</v>
      </c>
      <c r="I79" s="173" t="s">
        <v>205</v>
      </c>
      <c r="J79" s="173"/>
      <c r="K79" s="173" t="s">
        <v>218</v>
      </c>
      <c r="L79" s="173">
        <v>25</v>
      </c>
      <c r="M79" s="173" t="s">
        <v>219</v>
      </c>
      <c r="N79" s="174">
        <v>1005</v>
      </c>
      <c r="O79" s="174">
        <v>1000</v>
      </c>
      <c r="P79" s="174">
        <v>4000</v>
      </c>
      <c r="Q79" s="173">
        <v>2</v>
      </c>
      <c r="R79" s="173">
        <v>6</v>
      </c>
      <c r="S79" s="173" t="s">
        <v>354</v>
      </c>
      <c r="T79" s="175">
        <v>44763</v>
      </c>
      <c r="U79" s="175">
        <v>44795</v>
      </c>
      <c r="V79" s="173" t="s">
        <v>355</v>
      </c>
      <c r="W79" s="173"/>
      <c r="X79" s="173"/>
      <c r="Z79" s="146" t="str">
        <f t="shared" ca="1" si="1"/>
        <v/>
      </c>
      <c r="AA79" s="146" t="str">
        <f ca="1">IFERROR(IF(OR(OFFSET('S4'!#REF!,MATCH($A79,'S4'!$D$5:$D$2535,0)-1,6)="巻返し",OFFSET('S4'!#REF!,MATCH($A79,'S4'!$D$5:$D$2535,0)-1,6)="スリット"),SUMIF('S4'!$D$5:$D$2535,$A79,'S4'!$U$5:$U$2535),""),"")</f>
        <v/>
      </c>
      <c r="AB79" s="146" t="str">
        <f ca="1">IFERROR(IF(OR(OFFSET('S5'!#REF!,MATCH($A79,'S5'!$D$5:$D$2103,0)-1,6)="巻返し",OFFSET('S5'!#REF!,MATCH($A79,'S5'!$D$5:$D$2103,0)-1,6)="スリット"),SUMIF('S5'!$D$5:$D$2103,$A79,'S5'!$T$5:$T$2103),""),"")</f>
        <v/>
      </c>
    </row>
    <row r="80" spans="1:28" s="141" customFormat="1" ht="11.25" x14ac:dyDescent="0.15">
      <c r="A80" s="173">
        <v>3671835</v>
      </c>
      <c r="B80" s="173" t="s">
        <v>351</v>
      </c>
      <c r="C80" s="173" t="s">
        <v>352</v>
      </c>
      <c r="D80" s="173" t="s">
        <v>353</v>
      </c>
      <c r="E80" s="173" t="s">
        <v>116</v>
      </c>
      <c r="F80" s="173">
        <v>3</v>
      </c>
      <c r="G80" s="173" t="s">
        <v>19</v>
      </c>
      <c r="H80" s="173" t="s">
        <v>20</v>
      </c>
      <c r="I80" s="173" t="s">
        <v>205</v>
      </c>
      <c r="J80" s="173"/>
      <c r="K80" s="173" t="s">
        <v>218</v>
      </c>
      <c r="L80" s="173">
        <v>50</v>
      </c>
      <c r="M80" s="173" t="s">
        <v>219</v>
      </c>
      <c r="N80" s="174">
        <v>1000</v>
      </c>
      <c r="O80" s="174">
        <v>1000</v>
      </c>
      <c r="P80" s="174">
        <v>4000</v>
      </c>
      <c r="Q80" s="173">
        <v>2</v>
      </c>
      <c r="R80" s="173">
        <v>21</v>
      </c>
      <c r="S80" s="173" t="s">
        <v>354</v>
      </c>
      <c r="T80" s="175">
        <v>44763</v>
      </c>
      <c r="U80" s="175">
        <v>44795</v>
      </c>
      <c r="V80" s="173" t="s">
        <v>355</v>
      </c>
      <c r="W80" s="173"/>
      <c r="X80" s="173"/>
      <c r="Z80" s="146" t="str">
        <f t="shared" ca="1" si="1"/>
        <v/>
      </c>
      <c r="AA80" s="146" t="str">
        <f ca="1">IFERROR(IF(OR(OFFSET('S4'!#REF!,MATCH($A80,'S4'!$D$5:$D$2535,0)-1,6)="巻返し",OFFSET('S4'!#REF!,MATCH($A80,'S4'!$D$5:$D$2535,0)-1,6)="スリット"),SUMIF('S4'!$D$5:$D$2535,$A80,'S4'!$U$5:$U$2535),""),"")</f>
        <v/>
      </c>
      <c r="AB80" s="146" t="str">
        <f ca="1">IFERROR(IF(OR(OFFSET('S5'!#REF!,MATCH($A80,'S5'!$D$5:$D$2103,0)-1,6)="巻返し",OFFSET('S5'!#REF!,MATCH($A80,'S5'!$D$5:$D$2103,0)-1,6)="スリット"),SUMIF('S5'!$D$5:$D$2103,$A80,'S5'!$T$5:$T$2103),""),"")</f>
        <v/>
      </c>
    </row>
    <row r="81" spans="1:28" s="141" customFormat="1" ht="11.25" x14ac:dyDescent="0.15">
      <c r="A81" s="173">
        <v>3671836</v>
      </c>
      <c r="B81" s="173" t="s">
        <v>351</v>
      </c>
      <c r="C81" s="173" t="s">
        <v>352</v>
      </c>
      <c r="D81" s="173" t="s">
        <v>353</v>
      </c>
      <c r="E81" s="173" t="s">
        <v>116</v>
      </c>
      <c r="F81" s="173" t="s">
        <v>158</v>
      </c>
      <c r="G81" s="173" t="s">
        <v>19</v>
      </c>
      <c r="H81" s="173" t="s">
        <v>20</v>
      </c>
      <c r="I81" s="173" t="s">
        <v>165</v>
      </c>
      <c r="J81" s="173"/>
      <c r="K81" s="173" t="s">
        <v>192</v>
      </c>
      <c r="L81" s="173">
        <v>50</v>
      </c>
      <c r="M81" s="173" t="s">
        <v>193</v>
      </c>
      <c r="N81" s="174">
        <v>1005</v>
      </c>
      <c r="O81" s="174">
        <v>1000</v>
      </c>
      <c r="P81" s="174">
        <v>4000</v>
      </c>
      <c r="Q81" s="173">
        <v>2</v>
      </c>
      <c r="R81" s="173">
        <v>3</v>
      </c>
      <c r="S81" s="173" t="s">
        <v>354</v>
      </c>
      <c r="T81" s="175">
        <v>44763</v>
      </c>
      <c r="U81" s="175">
        <v>44795</v>
      </c>
      <c r="V81" s="173" t="s">
        <v>355</v>
      </c>
      <c r="W81" s="173"/>
      <c r="X81" s="173"/>
      <c r="Z81" s="146" t="str">
        <f t="shared" ca="1" si="1"/>
        <v/>
      </c>
      <c r="AA81" s="146" t="str">
        <f ca="1">IFERROR(IF(OR(OFFSET('S4'!#REF!,MATCH($A81,'S4'!$D$5:$D$2535,0)-1,6)="巻返し",OFFSET('S4'!#REF!,MATCH($A81,'S4'!$D$5:$D$2535,0)-1,6)="スリット"),SUMIF('S4'!$D$5:$D$2535,$A81,'S4'!$U$5:$U$2535),""),"")</f>
        <v/>
      </c>
      <c r="AB81" s="146" t="str">
        <f ca="1">IFERROR(IF(OR(OFFSET('S5'!#REF!,MATCH($A81,'S5'!$D$5:$D$2103,0)-1,6)="巻返し",OFFSET('S5'!#REF!,MATCH($A81,'S5'!$D$5:$D$2103,0)-1,6)="スリット"),SUMIF('S5'!$D$5:$D$2103,$A81,'S5'!$T$5:$T$2103),""),"")</f>
        <v/>
      </c>
    </row>
    <row r="82" spans="1:28" s="141" customFormat="1" ht="11.25" x14ac:dyDescent="0.15">
      <c r="A82" s="173">
        <v>3671837</v>
      </c>
      <c r="B82" s="173" t="s">
        <v>351</v>
      </c>
      <c r="C82" s="173" t="s">
        <v>352</v>
      </c>
      <c r="D82" s="173" t="s">
        <v>353</v>
      </c>
      <c r="E82" s="173" t="s">
        <v>116</v>
      </c>
      <c r="F82" s="173" t="s">
        <v>158</v>
      </c>
      <c r="G82" s="173" t="s">
        <v>19</v>
      </c>
      <c r="H82" s="173" t="s">
        <v>20</v>
      </c>
      <c r="I82" s="173" t="s">
        <v>165</v>
      </c>
      <c r="J82" s="173"/>
      <c r="K82" s="173" t="s">
        <v>197</v>
      </c>
      <c r="L82" s="173">
        <v>50</v>
      </c>
      <c r="M82" s="173" t="s">
        <v>198</v>
      </c>
      <c r="N82" s="174">
        <v>1005</v>
      </c>
      <c r="O82" s="174">
        <v>1000</v>
      </c>
      <c r="P82" s="174">
        <v>4000</v>
      </c>
      <c r="Q82" s="173">
        <v>2</v>
      </c>
      <c r="R82" s="173">
        <v>3</v>
      </c>
      <c r="S82" s="173" t="s">
        <v>354</v>
      </c>
      <c r="T82" s="175">
        <v>44763</v>
      </c>
      <c r="U82" s="175">
        <v>44795</v>
      </c>
      <c r="V82" s="173" t="s">
        <v>355</v>
      </c>
      <c r="W82" s="173"/>
      <c r="X82" s="173"/>
      <c r="Z82" s="146" t="str">
        <f t="shared" ca="1" si="1"/>
        <v/>
      </c>
      <c r="AA82" s="146" t="str">
        <f ca="1">IFERROR(IF(OR(OFFSET('S4'!#REF!,MATCH($A82,'S4'!$D$5:$D$2535,0)-1,6)="巻返し",OFFSET('S4'!#REF!,MATCH($A82,'S4'!$D$5:$D$2535,0)-1,6)="スリット"),SUMIF('S4'!$D$5:$D$2535,$A82,'S4'!$U$5:$U$2535),""),"")</f>
        <v/>
      </c>
      <c r="AB82" s="146" t="str">
        <f ca="1">IFERROR(IF(OR(OFFSET('S5'!#REF!,MATCH($A82,'S5'!$D$5:$D$2103,0)-1,6)="巻返し",OFFSET('S5'!#REF!,MATCH($A82,'S5'!$D$5:$D$2103,0)-1,6)="スリット"),SUMIF('S5'!$D$5:$D$2103,$A82,'S5'!$T$5:$T$2103),""),"")</f>
        <v/>
      </c>
    </row>
    <row r="83" spans="1:28" s="141" customFormat="1" ht="11.25" x14ac:dyDescent="0.15">
      <c r="A83" s="173">
        <v>3671838</v>
      </c>
      <c r="B83" s="173" t="s">
        <v>351</v>
      </c>
      <c r="C83" s="173" t="s">
        <v>352</v>
      </c>
      <c r="D83" s="173" t="s">
        <v>353</v>
      </c>
      <c r="E83" s="173" t="s">
        <v>116</v>
      </c>
      <c r="F83" s="173">
        <v>3</v>
      </c>
      <c r="G83" s="173" t="s">
        <v>19</v>
      </c>
      <c r="H83" s="173" t="s">
        <v>20</v>
      </c>
      <c r="I83" s="173" t="s">
        <v>165</v>
      </c>
      <c r="J83" s="173"/>
      <c r="K83" s="173" t="s">
        <v>166</v>
      </c>
      <c r="L83" s="173">
        <v>50</v>
      </c>
      <c r="M83" s="173" t="s">
        <v>167</v>
      </c>
      <c r="N83" s="174">
        <v>1005</v>
      </c>
      <c r="O83" s="174">
        <v>1000</v>
      </c>
      <c r="P83" s="174">
        <v>2000</v>
      </c>
      <c r="Q83" s="173">
        <v>2</v>
      </c>
      <c r="R83" s="173">
        <v>2</v>
      </c>
      <c r="S83" s="173" t="s">
        <v>354</v>
      </c>
      <c r="T83" s="175">
        <v>44763</v>
      </c>
      <c r="U83" s="175">
        <v>44792</v>
      </c>
      <c r="V83" s="173" t="s">
        <v>355</v>
      </c>
      <c r="W83" s="173"/>
      <c r="X83" s="173"/>
      <c r="Z83" s="146" t="str">
        <f t="shared" ca="1" si="1"/>
        <v/>
      </c>
      <c r="AA83" s="146" t="str">
        <f ca="1">IFERROR(IF(OR(OFFSET('S4'!#REF!,MATCH($A83,'S4'!$D$5:$D$2535,0)-1,6)="巻返し",OFFSET('S4'!#REF!,MATCH($A83,'S4'!$D$5:$D$2535,0)-1,6)="スリット"),SUMIF('S4'!$D$5:$D$2535,$A83,'S4'!$U$5:$U$2535),""),"")</f>
        <v/>
      </c>
      <c r="AB83" s="146" t="str">
        <f ca="1">IFERROR(IF(OR(OFFSET('S5'!#REF!,MATCH($A83,'S5'!$D$5:$D$2103,0)-1,6)="巻返し",OFFSET('S5'!#REF!,MATCH($A83,'S5'!$D$5:$D$2103,0)-1,6)="スリット"),SUMIF('S5'!$D$5:$D$2103,$A83,'S5'!$T$5:$T$2103),""),"")</f>
        <v/>
      </c>
    </row>
    <row r="84" spans="1:28" s="141" customFormat="1" ht="11.25" x14ac:dyDescent="0.15">
      <c r="A84" s="173">
        <v>3671839</v>
      </c>
      <c r="B84" s="173" t="s">
        <v>351</v>
      </c>
      <c r="C84" s="173" t="s">
        <v>352</v>
      </c>
      <c r="D84" s="173" t="s">
        <v>353</v>
      </c>
      <c r="E84" s="173" t="s">
        <v>116</v>
      </c>
      <c r="F84" s="173">
        <v>3</v>
      </c>
      <c r="G84" s="173" t="s">
        <v>19</v>
      </c>
      <c r="H84" s="173" t="s">
        <v>20</v>
      </c>
      <c r="I84" s="173" t="s">
        <v>165</v>
      </c>
      <c r="J84" s="173"/>
      <c r="K84" s="173" t="s">
        <v>172</v>
      </c>
      <c r="L84" s="173">
        <v>50</v>
      </c>
      <c r="M84" s="173" t="s">
        <v>173</v>
      </c>
      <c r="N84" s="174">
        <v>1005</v>
      </c>
      <c r="O84" s="174">
        <v>1000</v>
      </c>
      <c r="P84" s="174">
        <v>2000</v>
      </c>
      <c r="Q84" s="173">
        <v>2</v>
      </c>
      <c r="R84" s="173">
        <v>6</v>
      </c>
      <c r="S84" s="173" t="s">
        <v>354</v>
      </c>
      <c r="T84" s="175">
        <v>44763</v>
      </c>
      <c r="U84" s="175">
        <v>44795</v>
      </c>
      <c r="V84" s="173" t="s">
        <v>355</v>
      </c>
      <c r="W84" s="173"/>
      <c r="X84" s="173"/>
      <c r="Z84" s="146" t="str">
        <f t="shared" ca="1" si="1"/>
        <v/>
      </c>
      <c r="AA84" s="146" t="str">
        <f ca="1">IFERROR(IF(OR(OFFSET('S4'!#REF!,MATCH($A84,'S4'!$D$5:$D$2535,0)-1,6)="巻返し",OFFSET('S4'!#REF!,MATCH($A84,'S4'!$D$5:$D$2535,0)-1,6)="スリット"),SUMIF('S4'!$D$5:$D$2535,$A84,'S4'!$U$5:$U$2535),""),"")</f>
        <v/>
      </c>
      <c r="AB84" s="146" t="str">
        <f ca="1">IFERROR(IF(OR(OFFSET('S5'!#REF!,MATCH($A84,'S5'!$D$5:$D$2103,0)-1,6)="巻返し",OFFSET('S5'!#REF!,MATCH($A84,'S5'!$D$5:$D$2103,0)-1,6)="スリット"),SUMIF('S5'!$D$5:$D$2103,$A84,'S5'!$T$5:$T$2103),""),"")</f>
        <v/>
      </c>
    </row>
    <row r="85" spans="1:28" s="141" customFormat="1" ht="11.25" x14ac:dyDescent="0.15">
      <c r="A85" s="173">
        <v>3671840</v>
      </c>
      <c r="B85" s="173" t="s">
        <v>351</v>
      </c>
      <c r="C85" s="173" t="s">
        <v>352</v>
      </c>
      <c r="D85" s="173" t="s">
        <v>353</v>
      </c>
      <c r="E85" s="173" t="s">
        <v>116</v>
      </c>
      <c r="F85" s="173">
        <v>3</v>
      </c>
      <c r="G85" s="173" t="s">
        <v>19</v>
      </c>
      <c r="H85" s="173" t="s">
        <v>20</v>
      </c>
      <c r="I85" s="173" t="s">
        <v>165</v>
      </c>
      <c r="J85" s="173"/>
      <c r="K85" s="173" t="s">
        <v>176</v>
      </c>
      <c r="L85" s="173">
        <v>50</v>
      </c>
      <c r="M85" s="173" t="s">
        <v>177</v>
      </c>
      <c r="N85" s="174">
        <v>1005</v>
      </c>
      <c r="O85" s="174">
        <v>1000</v>
      </c>
      <c r="P85" s="174">
        <v>4000</v>
      </c>
      <c r="Q85" s="173">
        <v>2</v>
      </c>
      <c r="R85" s="173">
        <v>3</v>
      </c>
      <c r="S85" s="173" t="s">
        <v>354</v>
      </c>
      <c r="T85" s="175">
        <v>44763</v>
      </c>
      <c r="U85" s="175">
        <v>44795</v>
      </c>
      <c r="V85" s="173" t="s">
        <v>355</v>
      </c>
      <c r="W85" s="173"/>
      <c r="X85" s="173"/>
      <c r="Z85" s="146" t="str">
        <f t="shared" ca="1" si="1"/>
        <v/>
      </c>
      <c r="AA85" s="146" t="str">
        <f ca="1">IFERROR(IF(OR(OFFSET('S4'!#REF!,MATCH($A85,'S4'!$D$5:$D$2535,0)-1,6)="巻返し",OFFSET('S4'!#REF!,MATCH($A85,'S4'!$D$5:$D$2535,0)-1,6)="スリット"),SUMIF('S4'!$D$5:$D$2535,$A85,'S4'!$U$5:$U$2535),""),"")</f>
        <v/>
      </c>
      <c r="AB85" s="146" t="str">
        <f ca="1">IFERROR(IF(OR(OFFSET('S5'!#REF!,MATCH($A85,'S5'!$D$5:$D$2103,0)-1,6)="巻返し",OFFSET('S5'!#REF!,MATCH($A85,'S5'!$D$5:$D$2103,0)-1,6)="スリット"),SUMIF('S5'!$D$5:$D$2103,$A85,'S5'!$T$5:$T$2103),""),"")</f>
        <v/>
      </c>
    </row>
    <row r="86" spans="1:28" s="141" customFormat="1" ht="11.25" x14ac:dyDescent="0.15">
      <c r="A86" s="173">
        <v>3671841</v>
      </c>
      <c r="B86" s="173" t="s">
        <v>351</v>
      </c>
      <c r="C86" s="173" t="s">
        <v>352</v>
      </c>
      <c r="D86" s="173" t="s">
        <v>353</v>
      </c>
      <c r="E86" s="173" t="s">
        <v>116</v>
      </c>
      <c r="F86" s="173">
        <v>3</v>
      </c>
      <c r="G86" s="173" t="s">
        <v>19</v>
      </c>
      <c r="H86" s="173" t="s">
        <v>20</v>
      </c>
      <c r="I86" s="173" t="s">
        <v>143</v>
      </c>
      <c r="J86" s="173"/>
      <c r="K86" s="173" t="s">
        <v>152</v>
      </c>
      <c r="L86" s="173">
        <v>38</v>
      </c>
      <c r="M86" s="173" t="s">
        <v>153</v>
      </c>
      <c r="N86" s="174">
        <v>1005</v>
      </c>
      <c r="O86" s="174">
        <v>1000</v>
      </c>
      <c r="P86" s="174">
        <v>4000</v>
      </c>
      <c r="Q86" s="173">
        <v>2</v>
      </c>
      <c r="R86" s="173">
        <v>2</v>
      </c>
      <c r="S86" s="173" t="s">
        <v>354</v>
      </c>
      <c r="T86" s="175">
        <v>44763</v>
      </c>
      <c r="U86" s="175">
        <v>44795</v>
      </c>
      <c r="V86" s="173" t="s">
        <v>355</v>
      </c>
      <c r="W86" s="173"/>
      <c r="X86" s="173"/>
      <c r="Z86" s="146" t="str">
        <f t="shared" ca="1" si="1"/>
        <v/>
      </c>
      <c r="AA86" s="146" t="str">
        <f ca="1">IFERROR(IF(OR(OFFSET('S4'!#REF!,MATCH($A86,'S4'!$D$5:$D$2535,0)-1,6)="巻返し",OFFSET('S4'!#REF!,MATCH($A86,'S4'!$D$5:$D$2535,0)-1,6)="スリット"),SUMIF('S4'!$D$5:$D$2535,$A86,'S4'!$U$5:$U$2535),""),"")</f>
        <v/>
      </c>
      <c r="AB86" s="146" t="str">
        <f ca="1">IFERROR(IF(OR(OFFSET('S5'!#REF!,MATCH($A86,'S5'!$D$5:$D$2103,0)-1,6)="巻返し",OFFSET('S5'!#REF!,MATCH($A86,'S5'!$D$5:$D$2103,0)-1,6)="スリット"),SUMIF('S5'!$D$5:$D$2103,$A86,'S5'!$T$5:$T$2103),""),"")</f>
        <v/>
      </c>
    </row>
    <row r="87" spans="1:28" s="141" customFormat="1" ht="11.25" x14ac:dyDescent="0.15">
      <c r="A87" s="173">
        <v>3671842</v>
      </c>
      <c r="B87" s="173" t="s">
        <v>351</v>
      </c>
      <c r="C87" s="173" t="s">
        <v>352</v>
      </c>
      <c r="D87" s="173" t="s">
        <v>353</v>
      </c>
      <c r="E87" s="173" t="s">
        <v>116</v>
      </c>
      <c r="F87" s="173">
        <v>3</v>
      </c>
      <c r="G87" s="173" t="s">
        <v>19</v>
      </c>
      <c r="H87" s="173" t="s">
        <v>28</v>
      </c>
      <c r="I87" s="173" t="s">
        <v>205</v>
      </c>
      <c r="J87" s="173"/>
      <c r="K87" s="173" t="s">
        <v>237</v>
      </c>
      <c r="L87" s="173">
        <v>50</v>
      </c>
      <c r="M87" s="173" t="s">
        <v>238</v>
      </c>
      <c r="N87" s="174">
        <v>1120</v>
      </c>
      <c r="O87" s="174">
        <v>1120</v>
      </c>
      <c r="P87" s="174">
        <v>4000</v>
      </c>
      <c r="Q87" s="173">
        <v>2</v>
      </c>
      <c r="R87" s="173">
        <v>2</v>
      </c>
      <c r="S87" s="173" t="s">
        <v>354</v>
      </c>
      <c r="T87" s="175">
        <v>44763</v>
      </c>
      <c r="U87" s="175">
        <v>44795</v>
      </c>
      <c r="V87" s="173" t="s">
        <v>355</v>
      </c>
      <c r="W87" s="173"/>
      <c r="X87" s="173"/>
      <c r="Z87" s="146" t="str">
        <f t="shared" ca="1" si="1"/>
        <v/>
      </c>
      <c r="AA87" s="146" t="str">
        <f ca="1">IFERROR(IF(OR(OFFSET('S4'!#REF!,MATCH($A87,'S4'!$D$5:$D$2535,0)-1,6)="巻返し",OFFSET('S4'!#REF!,MATCH($A87,'S4'!$D$5:$D$2535,0)-1,6)="スリット"),SUMIF('S4'!$D$5:$D$2535,$A87,'S4'!$U$5:$U$2535),""),"")</f>
        <v/>
      </c>
      <c r="AB87" s="146" t="str">
        <f ca="1">IFERROR(IF(OR(OFFSET('S5'!#REF!,MATCH($A87,'S5'!$D$5:$D$2103,0)-1,6)="巻返し",OFFSET('S5'!#REF!,MATCH($A87,'S5'!$D$5:$D$2103,0)-1,6)="スリット"),SUMIF('S5'!$D$5:$D$2103,$A87,'S5'!$T$5:$T$2103),""),"")</f>
        <v/>
      </c>
    </row>
    <row r="88" spans="1:28" s="141" customFormat="1" ht="11.25" x14ac:dyDescent="0.15">
      <c r="A88" s="173">
        <v>3671843</v>
      </c>
      <c r="B88" s="173" t="s">
        <v>351</v>
      </c>
      <c r="C88" s="173" t="s">
        <v>352</v>
      </c>
      <c r="D88" s="173" t="s">
        <v>353</v>
      </c>
      <c r="E88" s="173" t="s">
        <v>116</v>
      </c>
      <c r="F88" s="173">
        <v>3</v>
      </c>
      <c r="G88" s="173" t="s">
        <v>19</v>
      </c>
      <c r="H88" s="173" t="s">
        <v>28</v>
      </c>
      <c r="I88" s="173" t="s">
        <v>205</v>
      </c>
      <c r="J88" s="173"/>
      <c r="K88" s="173" t="s">
        <v>237</v>
      </c>
      <c r="L88" s="173">
        <v>25</v>
      </c>
      <c r="M88" s="173" t="s">
        <v>238</v>
      </c>
      <c r="N88" s="174">
        <v>1120</v>
      </c>
      <c r="O88" s="174">
        <v>1120</v>
      </c>
      <c r="P88" s="174">
        <v>8000</v>
      </c>
      <c r="Q88" s="173">
        <v>2</v>
      </c>
      <c r="R88" s="173">
        <v>1</v>
      </c>
      <c r="S88" s="173" t="s">
        <v>354</v>
      </c>
      <c r="T88" s="175">
        <v>44763</v>
      </c>
      <c r="U88" s="175">
        <v>44795</v>
      </c>
      <c r="V88" s="173" t="s">
        <v>355</v>
      </c>
      <c r="W88" s="173"/>
      <c r="X88" s="173"/>
      <c r="Z88" s="146" t="str">
        <f t="shared" ca="1" si="1"/>
        <v/>
      </c>
      <c r="AA88" s="146" t="str">
        <f ca="1">IFERROR(IF(OR(OFFSET('S4'!#REF!,MATCH($A88,'S4'!$D$5:$D$2535,0)-1,6)="巻返し",OFFSET('S4'!#REF!,MATCH($A88,'S4'!$D$5:$D$2535,0)-1,6)="スリット"),SUMIF('S4'!$D$5:$D$2535,$A88,'S4'!$U$5:$U$2535),""),"")</f>
        <v/>
      </c>
      <c r="AB88" s="146" t="str">
        <f ca="1">IFERROR(IF(OR(OFFSET('S5'!#REF!,MATCH($A88,'S5'!$D$5:$D$2103,0)-1,6)="巻返し",OFFSET('S5'!#REF!,MATCH($A88,'S5'!$D$5:$D$2103,0)-1,6)="スリット"),SUMIF('S5'!$D$5:$D$2103,$A88,'S5'!$T$5:$T$2103),""),"")</f>
        <v/>
      </c>
    </row>
    <row r="89" spans="1:28" s="141" customFormat="1" ht="11.25" x14ac:dyDescent="0.15">
      <c r="A89" s="173">
        <v>3671844</v>
      </c>
      <c r="B89" s="173" t="s">
        <v>351</v>
      </c>
      <c r="C89" s="173" t="s">
        <v>352</v>
      </c>
      <c r="D89" s="173" t="s">
        <v>353</v>
      </c>
      <c r="E89" s="173" t="s">
        <v>116</v>
      </c>
      <c r="F89" s="173">
        <v>3</v>
      </c>
      <c r="G89" s="173" t="s">
        <v>19</v>
      </c>
      <c r="H89" s="173" t="s">
        <v>28</v>
      </c>
      <c r="I89" s="173" t="s">
        <v>205</v>
      </c>
      <c r="J89" s="173"/>
      <c r="K89" s="173" t="s">
        <v>235</v>
      </c>
      <c r="L89" s="173">
        <v>50</v>
      </c>
      <c r="M89" s="173" t="s">
        <v>236</v>
      </c>
      <c r="N89" s="174">
        <v>1120</v>
      </c>
      <c r="O89" s="174">
        <v>1120</v>
      </c>
      <c r="P89" s="174">
        <v>4000</v>
      </c>
      <c r="Q89" s="173">
        <v>2</v>
      </c>
      <c r="R89" s="173">
        <v>16</v>
      </c>
      <c r="S89" s="173" t="s">
        <v>354</v>
      </c>
      <c r="T89" s="175">
        <v>44763</v>
      </c>
      <c r="U89" s="175">
        <v>44795</v>
      </c>
      <c r="V89" s="173" t="s">
        <v>355</v>
      </c>
      <c r="W89" s="173"/>
      <c r="X89" s="173"/>
      <c r="Z89" s="146" t="str">
        <f t="shared" ca="1" si="1"/>
        <v/>
      </c>
      <c r="AA89" s="146" t="str">
        <f ca="1">IFERROR(IF(OR(OFFSET('S4'!#REF!,MATCH($A89,'S4'!$D$5:$D$2535,0)-1,6)="巻返し",OFFSET('S4'!#REF!,MATCH($A89,'S4'!$D$5:$D$2535,0)-1,6)="スリット"),SUMIF('S4'!$D$5:$D$2535,$A89,'S4'!$U$5:$U$2535),""),"")</f>
        <v/>
      </c>
      <c r="AB89" s="146" t="str">
        <f ca="1">IFERROR(IF(OR(OFFSET('S5'!#REF!,MATCH($A89,'S5'!$D$5:$D$2103,0)-1,6)="巻返し",OFFSET('S5'!#REF!,MATCH($A89,'S5'!$D$5:$D$2103,0)-1,6)="スリット"),SUMIF('S5'!$D$5:$D$2103,$A89,'S5'!$T$5:$T$2103),""),"")</f>
        <v/>
      </c>
    </row>
    <row r="90" spans="1:28" s="141" customFormat="1" ht="11.25" x14ac:dyDescent="0.15">
      <c r="A90" s="173">
        <v>3671845</v>
      </c>
      <c r="B90" s="173" t="s">
        <v>351</v>
      </c>
      <c r="C90" s="173" t="s">
        <v>352</v>
      </c>
      <c r="D90" s="173" t="s">
        <v>353</v>
      </c>
      <c r="E90" s="173" t="s">
        <v>116</v>
      </c>
      <c r="F90" s="173">
        <v>3</v>
      </c>
      <c r="G90" s="173" t="s">
        <v>19</v>
      </c>
      <c r="H90" s="173" t="s">
        <v>28</v>
      </c>
      <c r="I90" s="173" t="s">
        <v>205</v>
      </c>
      <c r="J90" s="173"/>
      <c r="K90" s="173" t="s">
        <v>224</v>
      </c>
      <c r="L90" s="173">
        <v>25</v>
      </c>
      <c r="M90" s="173" t="s">
        <v>225</v>
      </c>
      <c r="N90" s="174">
        <v>1120</v>
      </c>
      <c r="O90" s="174">
        <v>1120</v>
      </c>
      <c r="P90" s="174">
        <v>8000</v>
      </c>
      <c r="Q90" s="173">
        <v>2</v>
      </c>
      <c r="R90" s="173">
        <v>1</v>
      </c>
      <c r="S90" s="173" t="s">
        <v>354</v>
      </c>
      <c r="T90" s="175">
        <v>44763</v>
      </c>
      <c r="U90" s="175">
        <v>44790</v>
      </c>
      <c r="V90" s="173" t="s">
        <v>355</v>
      </c>
      <c r="W90" s="173"/>
      <c r="X90" s="173"/>
      <c r="Z90" s="146" t="str">
        <f t="shared" ca="1" si="1"/>
        <v/>
      </c>
      <c r="AA90" s="146" t="str">
        <f ca="1">IFERROR(IF(OR(OFFSET('S4'!#REF!,MATCH($A90,'S4'!$D$5:$D$2535,0)-1,6)="巻返し",OFFSET('S4'!#REF!,MATCH($A90,'S4'!$D$5:$D$2535,0)-1,6)="スリット"),SUMIF('S4'!$D$5:$D$2535,$A90,'S4'!$U$5:$U$2535),""),"")</f>
        <v/>
      </c>
      <c r="AB90" s="146" t="str">
        <f ca="1">IFERROR(IF(OR(OFFSET('S5'!#REF!,MATCH($A90,'S5'!$D$5:$D$2103,0)-1,6)="巻返し",OFFSET('S5'!#REF!,MATCH($A90,'S5'!$D$5:$D$2103,0)-1,6)="スリット"),SUMIF('S5'!$D$5:$D$2103,$A90,'S5'!$T$5:$T$2103),""),"")</f>
        <v/>
      </c>
    </row>
    <row r="91" spans="1:28" s="141" customFormat="1" ht="11.25" x14ac:dyDescent="0.15">
      <c r="A91" s="173">
        <v>3671846</v>
      </c>
      <c r="B91" s="173" t="s">
        <v>351</v>
      </c>
      <c r="C91" s="173" t="s">
        <v>352</v>
      </c>
      <c r="D91" s="173" t="s">
        <v>353</v>
      </c>
      <c r="E91" s="173" t="s">
        <v>116</v>
      </c>
      <c r="F91" s="173">
        <v>3</v>
      </c>
      <c r="G91" s="173" t="s">
        <v>19</v>
      </c>
      <c r="H91" s="173" t="s">
        <v>28</v>
      </c>
      <c r="I91" s="173" t="s">
        <v>205</v>
      </c>
      <c r="J91" s="173"/>
      <c r="K91" s="173" t="s">
        <v>224</v>
      </c>
      <c r="L91" s="173">
        <v>50</v>
      </c>
      <c r="M91" s="173" t="s">
        <v>225</v>
      </c>
      <c r="N91" s="174">
        <v>1120</v>
      </c>
      <c r="O91" s="174">
        <v>1120</v>
      </c>
      <c r="P91" s="174">
        <v>5000</v>
      </c>
      <c r="Q91" s="173">
        <v>2</v>
      </c>
      <c r="R91" s="173">
        <v>2</v>
      </c>
      <c r="S91" s="173" t="s">
        <v>354</v>
      </c>
      <c r="T91" s="175">
        <v>44763</v>
      </c>
      <c r="U91" s="175">
        <v>44790</v>
      </c>
      <c r="V91" s="173" t="s">
        <v>355</v>
      </c>
      <c r="W91" s="173"/>
      <c r="X91" s="173"/>
      <c r="Z91" s="146" t="str">
        <f t="shared" ca="1" si="1"/>
        <v/>
      </c>
      <c r="AA91" s="146" t="str">
        <f ca="1">IFERROR(IF(OR(OFFSET('S4'!#REF!,MATCH($A91,'S4'!$D$5:$D$2535,0)-1,6)="巻返し",OFFSET('S4'!#REF!,MATCH($A91,'S4'!$D$5:$D$2535,0)-1,6)="スリット"),SUMIF('S4'!$D$5:$D$2535,$A91,'S4'!$U$5:$U$2535),""),"")</f>
        <v/>
      </c>
      <c r="AB91" s="146" t="str">
        <f ca="1">IFERROR(IF(OR(OFFSET('S5'!#REF!,MATCH($A91,'S5'!$D$5:$D$2103,0)-1,6)="巻返し",OFFSET('S5'!#REF!,MATCH($A91,'S5'!$D$5:$D$2103,0)-1,6)="スリット"),SUMIF('S5'!$D$5:$D$2103,$A91,'S5'!$T$5:$T$2103),""),"")</f>
        <v/>
      </c>
    </row>
    <row r="92" spans="1:28" s="141" customFormat="1" ht="11.25" x14ac:dyDescent="0.15">
      <c r="A92" s="173">
        <v>3672286</v>
      </c>
      <c r="B92" s="173" t="s">
        <v>510</v>
      </c>
      <c r="C92" s="173" t="s">
        <v>364</v>
      </c>
      <c r="D92" s="173" t="s">
        <v>353</v>
      </c>
      <c r="E92" s="173" t="s">
        <v>324</v>
      </c>
      <c r="F92" s="173">
        <v>3</v>
      </c>
      <c r="G92" s="173" t="s">
        <v>269</v>
      </c>
      <c r="H92" s="173" t="s">
        <v>20</v>
      </c>
      <c r="I92" s="173" t="s">
        <v>205</v>
      </c>
      <c r="J92" s="173"/>
      <c r="K92" s="173" t="s">
        <v>325</v>
      </c>
      <c r="L92" s="173">
        <v>9</v>
      </c>
      <c r="M92" s="173" t="s">
        <v>326</v>
      </c>
      <c r="N92" s="174">
        <v>1360</v>
      </c>
      <c r="O92" s="174">
        <v>1360</v>
      </c>
      <c r="P92" s="174">
        <v>2100</v>
      </c>
      <c r="Q92" s="173">
        <v>2</v>
      </c>
      <c r="R92" s="173">
        <v>25</v>
      </c>
      <c r="S92" s="173" t="s">
        <v>354</v>
      </c>
      <c r="T92" s="175">
        <v>44767</v>
      </c>
      <c r="U92" s="175">
        <v>44851</v>
      </c>
      <c r="V92" s="173" t="s">
        <v>428</v>
      </c>
      <c r="W92" s="173"/>
      <c r="X92" s="173"/>
      <c r="Z92" s="146" t="str">
        <f t="shared" ca="1" si="1"/>
        <v/>
      </c>
      <c r="AA92" s="146" t="str">
        <f ca="1">IFERROR(IF(OR(OFFSET('S4'!#REF!,MATCH($A92,'S4'!$D$5:$D$2535,0)-1,6)="巻返し",OFFSET('S4'!#REF!,MATCH($A92,'S4'!$D$5:$D$2535,0)-1,6)="スリット"),SUMIF('S4'!$D$5:$D$2535,$A92,'S4'!$U$5:$U$2535),""),"")</f>
        <v/>
      </c>
      <c r="AB92" s="146" t="str">
        <f ca="1">IFERROR(IF(OR(OFFSET('S5'!#REF!,MATCH($A92,'S5'!$D$5:$D$2103,0)-1,6)="巻返し",OFFSET('S5'!#REF!,MATCH($A92,'S5'!$D$5:$D$2103,0)-1,6)="スリット"),SUMIF('S5'!$D$5:$D$2103,$A92,'S5'!$T$5:$T$2103),""),"")</f>
        <v/>
      </c>
    </row>
    <row r="93" spans="1:28" s="141" customFormat="1" ht="11.25" x14ac:dyDescent="0.15">
      <c r="A93" s="173">
        <v>3672431</v>
      </c>
      <c r="B93" s="173" t="s">
        <v>510</v>
      </c>
      <c r="C93" s="173" t="s">
        <v>364</v>
      </c>
      <c r="D93" s="173" t="s">
        <v>353</v>
      </c>
      <c r="E93" s="173" t="s">
        <v>324</v>
      </c>
      <c r="F93" s="173">
        <v>3</v>
      </c>
      <c r="G93" s="173" t="s">
        <v>269</v>
      </c>
      <c r="H93" s="173" t="s">
        <v>20</v>
      </c>
      <c r="I93" s="173" t="s">
        <v>205</v>
      </c>
      <c r="J93" s="173"/>
      <c r="K93" s="173" t="s">
        <v>325</v>
      </c>
      <c r="L93" s="173">
        <v>9</v>
      </c>
      <c r="M93" s="173" t="s">
        <v>326</v>
      </c>
      <c r="N93" s="174">
        <v>1200</v>
      </c>
      <c r="O93" s="174">
        <v>1200</v>
      </c>
      <c r="P93" s="174">
        <v>2000</v>
      </c>
      <c r="Q93" s="173">
        <v>2</v>
      </c>
      <c r="R93" s="173">
        <v>5</v>
      </c>
      <c r="S93" s="173" t="s">
        <v>354</v>
      </c>
      <c r="T93" s="175">
        <v>44769</v>
      </c>
      <c r="U93" s="175">
        <v>44773</v>
      </c>
      <c r="V93" s="173" t="s">
        <v>428</v>
      </c>
      <c r="W93" s="173"/>
      <c r="X93" s="173"/>
      <c r="Z93" s="146" t="str">
        <f t="shared" ca="1" si="1"/>
        <v/>
      </c>
      <c r="AA93" s="146" t="str">
        <f ca="1">IFERROR(IF(OR(OFFSET('S4'!#REF!,MATCH($A93,'S4'!$D$5:$D$2535,0)-1,6)="巻返し",OFFSET('S4'!#REF!,MATCH($A93,'S4'!$D$5:$D$2535,0)-1,6)="スリット"),SUMIF('S4'!$D$5:$D$2535,$A93,'S4'!$U$5:$U$2535),""),"")</f>
        <v/>
      </c>
      <c r="AB93" s="146" t="str">
        <f ca="1">IFERROR(IF(OR(OFFSET('S5'!#REF!,MATCH($A93,'S5'!$D$5:$D$2103,0)-1,6)="巻返し",OFFSET('S5'!#REF!,MATCH($A93,'S5'!$D$5:$D$2103,0)-1,6)="スリット"),SUMIF('S5'!$D$5:$D$2103,$A93,'S5'!$T$5:$T$2103),""),"")</f>
        <v/>
      </c>
    </row>
    <row r="94" spans="1:28" s="141" customFormat="1" ht="11.25" x14ac:dyDescent="0.15">
      <c r="A94" s="173">
        <v>3673085</v>
      </c>
      <c r="B94" s="173" t="s">
        <v>423</v>
      </c>
      <c r="C94" s="173" t="s">
        <v>352</v>
      </c>
      <c r="D94" s="173" t="s">
        <v>353</v>
      </c>
      <c r="E94" s="173" t="s">
        <v>116</v>
      </c>
      <c r="F94" s="173">
        <v>3</v>
      </c>
      <c r="G94" s="173" t="s">
        <v>265</v>
      </c>
      <c r="H94" s="173" t="s">
        <v>20</v>
      </c>
      <c r="I94" s="173" t="s">
        <v>165</v>
      </c>
      <c r="J94" s="173"/>
      <c r="K94" s="173" t="s">
        <v>319</v>
      </c>
      <c r="L94" s="173">
        <v>25</v>
      </c>
      <c r="M94" s="173" t="s">
        <v>320</v>
      </c>
      <c r="N94" s="174">
        <v>1000</v>
      </c>
      <c r="O94" s="174">
        <v>1000</v>
      </c>
      <c r="P94" s="174">
        <v>2000</v>
      </c>
      <c r="Q94" s="173">
        <v>2</v>
      </c>
      <c r="R94" s="173">
        <v>2</v>
      </c>
      <c r="S94" s="173" t="s">
        <v>354</v>
      </c>
      <c r="T94" s="175">
        <v>44771</v>
      </c>
      <c r="U94" s="175">
        <v>44783</v>
      </c>
      <c r="V94" s="173" t="s">
        <v>355</v>
      </c>
      <c r="W94" s="173"/>
      <c r="X94" s="173"/>
      <c r="Z94" s="146" t="str">
        <f t="shared" ca="1" si="1"/>
        <v/>
      </c>
      <c r="AA94" s="146" t="str">
        <f ca="1">IFERROR(IF(OR(OFFSET('S4'!#REF!,MATCH($A94,'S4'!$D$5:$D$2535,0)-1,6)="巻返し",OFFSET('S4'!#REF!,MATCH($A94,'S4'!$D$5:$D$2535,0)-1,6)="スリット"),SUMIF('S4'!$D$5:$D$2535,$A94,'S4'!$U$5:$U$2535),""),"")</f>
        <v/>
      </c>
      <c r="AB94" s="146" t="str">
        <f ca="1">IFERROR(IF(OR(OFFSET('S5'!#REF!,MATCH($A94,'S5'!$D$5:$D$2103,0)-1,6)="巻返し",OFFSET('S5'!#REF!,MATCH($A94,'S5'!$D$5:$D$2103,0)-1,6)="スリット"),SUMIF('S5'!$D$5:$D$2103,$A94,'S5'!$T$5:$T$2103),""),"")</f>
        <v/>
      </c>
    </row>
    <row r="95" spans="1:28" s="141" customFormat="1" ht="11.25" x14ac:dyDescent="0.15">
      <c r="A95" s="173">
        <v>3673409</v>
      </c>
      <c r="B95" s="173" t="s">
        <v>351</v>
      </c>
      <c r="C95" s="173" t="s">
        <v>352</v>
      </c>
      <c r="D95" s="173" t="s">
        <v>353</v>
      </c>
      <c r="E95" s="173" t="s">
        <v>116</v>
      </c>
      <c r="F95" s="173">
        <v>3</v>
      </c>
      <c r="G95" s="173" t="s">
        <v>19</v>
      </c>
      <c r="H95" s="173" t="s">
        <v>20</v>
      </c>
      <c r="I95" s="173" t="s">
        <v>205</v>
      </c>
      <c r="J95" s="173"/>
      <c r="K95" s="173" t="s">
        <v>221</v>
      </c>
      <c r="L95" s="173">
        <v>25</v>
      </c>
      <c r="M95" s="173" t="s">
        <v>222</v>
      </c>
      <c r="N95" s="174">
        <v>1100</v>
      </c>
      <c r="O95" s="174">
        <v>1100</v>
      </c>
      <c r="P95" s="174">
        <v>6000</v>
      </c>
      <c r="Q95" s="173">
        <v>2</v>
      </c>
      <c r="R95" s="173">
        <v>1</v>
      </c>
      <c r="S95" s="173" t="s">
        <v>354</v>
      </c>
      <c r="T95" s="175">
        <v>44777</v>
      </c>
      <c r="U95" s="175">
        <v>44804</v>
      </c>
      <c r="V95" s="173" t="s">
        <v>355</v>
      </c>
      <c r="W95" s="173"/>
      <c r="X95" s="173"/>
      <c r="Z95" s="146" t="str">
        <f t="shared" ca="1" si="1"/>
        <v/>
      </c>
      <c r="AA95" s="146" t="str">
        <f ca="1">IFERROR(IF(OR(OFFSET('S4'!#REF!,MATCH($A95,'S4'!$D$5:$D$2535,0)-1,6)="巻返し",OFFSET('S4'!#REF!,MATCH($A95,'S4'!$D$5:$D$2535,0)-1,6)="スリット"),SUMIF('S4'!$D$5:$D$2535,$A95,'S4'!$U$5:$U$2535),""),"")</f>
        <v/>
      </c>
      <c r="AB95" s="146" t="str">
        <f ca="1">IFERROR(IF(OR(OFFSET('S5'!#REF!,MATCH($A95,'S5'!$D$5:$D$2103,0)-1,6)="巻返し",OFFSET('S5'!#REF!,MATCH($A95,'S5'!$D$5:$D$2103,0)-1,6)="スリット"),SUMIF('S5'!$D$5:$D$2103,$A95,'S5'!$T$5:$T$2103),""),"")</f>
        <v/>
      </c>
    </row>
    <row r="96" spans="1:28" s="141" customFormat="1" ht="11.25" x14ac:dyDescent="0.15">
      <c r="A96" s="173">
        <v>3674223</v>
      </c>
      <c r="B96" s="173" t="s">
        <v>423</v>
      </c>
      <c r="C96" s="173" t="s">
        <v>352</v>
      </c>
      <c r="D96" s="173" t="s">
        <v>353</v>
      </c>
      <c r="E96" s="173" t="s">
        <v>116</v>
      </c>
      <c r="F96" s="173">
        <v>3</v>
      </c>
      <c r="G96" s="173" t="s">
        <v>265</v>
      </c>
      <c r="H96" s="173" t="s">
        <v>20</v>
      </c>
      <c r="I96" s="173" t="s">
        <v>165</v>
      </c>
      <c r="J96" s="173"/>
      <c r="K96" s="173" t="s">
        <v>319</v>
      </c>
      <c r="L96" s="173">
        <v>50</v>
      </c>
      <c r="M96" s="173" t="s">
        <v>483</v>
      </c>
      <c r="N96" s="174">
        <v>1000</v>
      </c>
      <c r="O96" s="174">
        <v>1000</v>
      </c>
      <c r="P96" s="174">
        <v>1700</v>
      </c>
      <c r="Q96" s="173">
        <v>2</v>
      </c>
      <c r="R96" s="173">
        <v>1</v>
      </c>
      <c r="S96" s="173" t="s">
        <v>354</v>
      </c>
      <c r="T96" s="175">
        <v>44782</v>
      </c>
      <c r="U96" s="175">
        <v>44804</v>
      </c>
      <c r="V96" s="173" t="s">
        <v>355</v>
      </c>
      <c r="W96" s="173"/>
      <c r="X96" s="173"/>
      <c r="Z96" s="146" t="str">
        <f t="shared" ca="1" si="1"/>
        <v/>
      </c>
      <c r="AA96" s="146" t="str">
        <f ca="1">IFERROR(IF(OR(OFFSET('S4'!#REF!,MATCH($A96,'S4'!$D$5:$D$2535,0)-1,6)="巻返し",OFFSET('S4'!#REF!,MATCH($A96,'S4'!$D$5:$D$2535,0)-1,6)="スリット"),SUMIF('S4'!$D$5:$D$2535,$A96,'S4'!$U$5:$U$2535),""),"")</f>
        <v/>
      </c>
      <c r="AB96" s="146" t="str">
        <f ca="1">IFERROR(IF(OR(OFFSET('S5'!#REF!,MATCH($A96,'S5'!$D$5:$D$2103,0)-1,6)="巻返し",OFFSET('S5'!#REF!,MATCH($A96,'S5'!$D$5:$D$2103,0)-1,6)="スリット"),SUMIF('S5'!$D$5:$D$2103,$A96,'S5'!$T$5:$T$2103),""),"")</f>
        <v/>
      </c>
    </row>
    <row r="97" spans="1:28" s="141" customFormat="1" ht="11.25" x14ac:dyDescent="0.15">
      <c r="A97" s="173">
        <v>3674224</v>
      </c>
      <c r="B97" s="173" t="s">
        <v>423</v>
      </c>
      <c r="C97" s="173" t="s">
        <v>352</v>
      </c>
      <c r="D97" s="173" t="s">
        <v>353</v>
      </c>
      <c r="E97" s="173" t="s">
        <v>116</v>
      </c>
      <c r="F97" s="173">
        <v>3</v>
      </c>
      <c r="G97" s="173" t="s">
        <v>265</v>
      </c>
      <c r="H97" s="173" t="s">
        <v>20</v>
      </c>
      <c r="I97" s="173" t="s">
        <v>165</v>
      </c>
      <c r="J97" s="173"/>
      <c r="K97" s="173" t="s">
        <v>319</v>
      </c>
      <c r="L97" s="173">
        <v>50</v>
      </c>
      <c r="M97" s="173" t="s">
        <v>483</v>
      </c>
      <c r="N97" s="174">
        <v>1000</v>
      </c>
      <c r="O97" s="174">
        <v>1000</v>
      </c>
      <c r="P97" s="174">
        <v>1800</v>
      </c>
      <c r="Q97" s="173">
        <v>2</v>
      </c>
      <c r="R97" s="173">
        <v>2</v>
      </c>
      <c r="S97" s="173" t="s">
        <v>354</v>
      </c>
      <c r="T97" s="175">
        <v>44782</v>
      </c>
      <c r="U97" s="175">
        <v>44804</v>
      </c>
      <c r="V97" s="173" t="s">
        <v>355</v>
      </c>
      <c r="W97" s="173"/>
      <c r="X97" s="173"/>
      <c r="Z97" s="146" t="str">
        <f t="shared" ca="1" si="1"/>
        <v/>
      </c>
      <c r="AA97" s="146" t="str">
        <f ca="1">IFERROR(IF(OR(OFFSET('S4'!#REF!,MATCH($A97,'S4'!$D$5:$D$2535,0)-1,6)="巻返し",OFFSET('S4'!#REF!,MATCH($A97,'S4'!$D$5:$D$2535,0)-1,6)="スリット"),SUMIF('S4'!$D$5:$D$2535,$A97,'S4'!$U$5:$U$2535),""),"")</f>
        <v/>
      </c>
      <c r="AB97" s="146" t="str">
        <f ca="1">IFERROR(IF(OR(OFFSET('S5'!#REF!,MATCH($A97,'S5'!$D$5:$D$2103,0)-1,6)="巻返し",OFFSET('S5'!#REF!,MATCH($A97,'S5'!$D$5:$D$2103,0)-1,6)="スリット"),SUMIF('S5'!$D$5:$D$2103,$A97,'S5'!$T$5:$T$2103),""),"")</f>
        <v/>
      </c>
    </row>
    <row r="98" spans="1:28" s="141" customFormat="1" ht="11.25" x14ac:dyDescent="0.15">
      <c r="A98" s="173">
        <v>3674225</v>
      </c>
      <c r="B98" s="173" t="s">
        <v>423</v>
      </c>
      <c r="C98" s="173" t="s">
        <v>352</v>
      </c>
      <c r="D98" s="173" t="s">
        <v>353</v>
      </c>
      <c r="E98" s="173" t="s">
        <v>116</v>
      </c>
      <c r="F98" s="173">
        <v>3</v>
      </c>
      <c r="G98" s="173" t="s">
        <v>265</v>
      </c>
      <c r="H98" s="173" t="s">
        <v>20</v>
      </c>
      <c r="I98" s="173" t="s">
        <v>165</v>
      </c>
      <c r="J98" s="173"/>
      <c r="K98" s="173" t="s">
        <v>322</v>
      </c>
      <c r="L98" s="173">
        <v>50</v>
      </c>
      <c r="M98" s="173" t="s">
        <v>323</v>
      </c>
      <c r="N98" s="174">
        <v>1000</v>
      </c>
      <c r="O98" s="174">
        <v>1000</v>
      </c>
      <c r="P98" s="174">
        <v>1700</v>
      </c>
      <c r="Q98" s="173">
        <v>2</v>
      </c>
      <c r="R98" s="173">
        <v>1</v>
      </c>
      <c r="S98" s="173" t="s">
        <v>354</v>
      </c>
      <c r="T98" s="175">
        <v>44782</v>
      </c>
      <c r="U98" s="175">
        <v>44804</v>
      </c>
      <c r="V98" s="173" t="s">
        <v>355</v>
      </c>
      <c r="W98" s="173"/>
      <c r="X98" s="173"/>
      <c r="Z98" s="146" t="str">
        <f t="shared" ca="1" si="1"/>
        <v/>
      </c>
      <c r="AA98" s="146" t="str">
        <f ca="1">IFERROR(IF(OR(OFFSET('S4'!#REF!,MATCH($A98,'S4'!$D$5:$D$2535,0)-1,6)="巻返し",OFFSET('S4'!#REF!,MATCH($A98,'S4'!$D$5:$D$2535,0)-1,6)="スリット"),SUMIF('S4'!$D$5:$D$2535,$A98,'S4'!$U$5:$U$2535),""),"")</f>
        <v/>
      </c>
      <c r="AB98" s="146" t="str">
        <f ca="1">IFERROR(IF(OR(OFFSET('S5'!#REF!,MATCH($A98,'S5'!$D$5:$D$2103,0)-1,6)="巻返し",OFFSET('S5'!#REF!,MATCH($A98,'S5'!$D$5:$D$2103,0)-1,6)="スリット"),SUMIF('S5'!$D$5:$D$2103,$A98,'S5'!$T$5:$T$2103),""),"")</f>
        <v/>
      </c>
    </row>
    <row r="99" spans="1:28" s="141" customFormat="1" ht="11.25" x14ac:dyDescent="0.15">
      <c r="A99" s="173">
        <v>3674505</v>
      </c>
      <c r="B99" s="173" t="s">
        <v>351</v>
      </c>
      <c r="C99" s="173" t="s">
        <v>352</v>
      </c>
      <c r="D99" s="173" t="s">
        <v>353</v>
      </c>
      <c r="E99" s="173" t="s">
        <v>116</v>
      </c>
      <c r="F99" s="173">
        <v>3</v>
      </c>
      <c r="G99" s="173" t="s">
        <v>19</v>
      </c>
      <c r="H99" s="173" t="s">
        <v>20</v>
      </c>
      <c r="I99" s="173" t="s">
        <v>205</v>
      </c>
      <c r="J99" s="173"/>
      <c r="K99" s="173" t="s">
        <v>216</v>
      </c>
      <c r="L99" s="173">
        <v>25</v>
      </c>
      <c r="M99" s="173" t="s">
        <v>217</v>
      </c>
      <c r="N99" s="174">
        <v>1005</v>
      </c>
      <c r="O99" s="174">
        <v>1000</v>
      </c>
      <c r="P99" s="174">
        <v>4000</v>
      </c>
      <c r="Q99" s="173">
        <v>2</v>
      </c>
      <c r="R99" s="173">
        <v>3</v>
      </c>
      <c r="S99" s="173" t="s">
        <v>354</v>
      </c>
      <c r="T99" s="175">
        <v>44791</v>
      </c>
      <c r="U99" s="175">
        <v>44795</v>
      </c>
      <c r="V99" s="173" t="s">
        <v>355</v>
      </c>
      <c r="W99" s="173"/>
      <c r="X99" s="173"/>
      <c r="Z99" s="146" t="str">
        <f t="shared" ca="1" si="1"/>
        <v/>
      </c>
      <c r="AA99" s="146" t="str">
        <f ca="1">IFERROR(IF(OR(OFFSET('S4'!#REF!,MATCH($A99,'S4'!$D$5:$D$2535,0)-1,6)="巻返し",OFFSET('S4'!#REF!,MATCH($A99,'S4'!$D$5:$D$2535,0)-1,6)="スリット"),SUMIF('S4'!$D$5:$D$2535,$A99,'S4'!$U$5:$U$2535),""),"")</f>
        <v/>
      </c>
      <c r="AB99" s="146" t="str">
        <f ca="1">IFERROR(IF(OR(OFFSET('S5'!#REF!,MATCH($A99,'S5'!$D$5:$D$2103,0)-1,6)="巻返し",OFFSET('S5'!#REF!,MATCH($A99,'S5'!$D$5:$D$2103,0)-1,6)="スリット"),SUMIF('S5'!$D$5:$D$2103,$A99,'S5'!$T$5:$T$2103),""),"")</f>
        <v/>
      </c>
    </row>
    <row r="100" spans="1:28" s="141" customFormat="1" ht="11.25" x14ac:dyDescent="0.15">
      <c r="A100" s="173">
        <v>3674861</v>
      </c>
      <c r="B100" s="173" t="s">
        <v>351</v>
      </c>
      <c r="C100" s="173" t="s">
        <v>364</v>
      </c>
      <c r="D100" s="173" t="s">
        <v>353</v>
      </c>
      <c r="E100" s="173" t="s">
        <v>171</v>
      </c>
      <c r="F100" s="173">
        <v>3</v>
      </c>
      <c r="G100" s="173" t="s">
        <v>19</v>
      </c>
      <c r="H100" s="173" t="s">
        <v>20</v>
      </c>
      <c r="I100" s="173" t="s">
        <v>165</v>
      </c>
      <c r="J100" s="173"/>
      <c r="K100" s="173" t="s">
        <v>180</v>
      </c>
      <c r="L100" s="173">
        <v>50</v>
      </c>
      <c r="M100" s="173" t="s">
        <v>181</v>
      </c>
      <c r="N100" s="174">
        <v>1200</v>
      </c>
      <c r="O100" s="174">
        <v>1190</v>
      </c>
      <c r="P100" s="174">
        <v>6000</v>
      </c>
      <c r="Q100" s="173">
        <v>2</v>
      </c>
      <c r="R100" s="173">
        <v>6</v>
      </c>
      <c r="S100" s="173" t="s">
        <v>354</v>
      </c>
      <c r="T100" s="175">
        <v>44792</v>
      </c>
      <c r="U100" s="175">
        <v>44834</v>
      </c>
      <c r="V100" s="173" t="s">
        <v>355</v>
      </c>
      <c r="W100" s="173"/>
      <c r="X100" s="173"/>
      <c r="Z100" s="146" t="str">
        <f t="shared" ca="1" si="1"/>
        <v/>
      </c>
      <c r="AA100" s="146" t="str">
        <f ca="1">IFERROR(IF(OR(OFFSET('S4'!#REF!,MATCH($A100,'S4'!$D$5:$D$2535,0)-1,6)="巻返し",OFFSET('S4'!#REF!,MATCH($A100,'S4'!$D$5:$D$2535,0)-1,6)="スリット"),SUMIF('S4'!$D$5:$D$2535,$A100,'S4'!$U$5:$U$2535),""),"")</f>
        <v/>
      </c>
      <c r="AB100" s="146" t="str">
        <f ca="1">IFERROR(IF(OR(OFFSET('S5'!#REF!,MATCH($A100,'S5'!$D$5:$D$2103,0)-1,6)="巻返し",OFFSET('S5'!#REF!,MATCH($A100,'S5'!$D$5:$D$2103,0)-1,6)="スリット"),SUMIF('S5'!$D$5:$D$2103,$A100,'S5'!$T$5:$T$2103),""),"")</f>
        <v/>
      </c>
    </row>
    <row r="101" spans="1:28" s="141" customFormat="1" ht="11.25" x14ac:dyDescent="0.15">
      <c r="A101" s="173">
        <v>3674862</v>
      </c>
      <c r="B101" s="173" t="s">
        <v>351</v>
      </c>
      <c r="C101" s="173" t="s">
        <v>364</v>
      </c>
      <c r="D101" s="173" t="s">
        <v>353</v>
      </c>
      <c r="E101" s="173" t="s">
        <v>148</v>
      </c>
      <c r="F101" s="173">
        <v>3</v>
      </c>
      <c r="G101" s="173" t="s">
        <v>19</v>
      </c>
      <c r="H101" s="173" t="s">
        <v>20</v>
      </c>
      <c r="I101" s="173" t="s">
        <v>165</v>
      </c>
      <c r="J101" s="173"/>
      <c r="K101" s="173" t="s">
        <v>180</v>
      </c>
      <c r="L101" s="173">
        <v>50</v>
      </c>
      <c r="M101" s="173" t="s">
        <v>181</v>
      </c>
      <c r="N101" s="174">
        <v>1120</v>
      </c>
      <c r="O101" s="174">
        <v>1120</v>
      </c>
      <c r="P101" s="174">
        <v>4000</v>
      </c>
      <c r="Q101" s="173">
        <v>2</v>
      </c>
      <c r="R101" s="173">
        <v>6</v>
      </c>
      <c r="S101" s="173" t="s">
        <v>354</v>
      </c>
      <c r="T101" s="175">
        <v>44792</v>
      </c>
      <c r="U101" s="175">
        <v>44834</v>
      </c>
      <c r="V101" s="173" t="s">
        <v>355</v>
      </c>
      <c r="W101" s="173"/>
      <c r="X101" s="173"/>
      <c r="Z101" s="146" t="str">
        <f t="shared" ca="1" si="1"/>
        <v/>
      </c>
      <c r="AA101" s="146" t="str">
        <f ca="1">IFERROR(IF(OR(OFFSET('S4'!#REF!,MATCH($A101,'S4'!$D$5:$D$2535,0)-1,6)="巻返し",OFFSET('S4'!#REF!,MATCH($A101,'S4'!$D$5:$D$2535,0)-1,6)="スリット"),SUMIF('S4'!$D$5:$D$2535,$A101,'S4'!$U$5:$U$2535),""),"")</f>
        <v/>
      </c>
      <c r="AB101" s="146" t="str">
        <f ca="1">IFERROR(IF(OR(OFFSET('S5'!#REF!,MATCH($A101,'S5'!$D$5:$D$2103,0)-1,6)="巻返し",OFFSET('S5'!#REF!,MATCH($A101,'S5'!$D$5:$D$2103,0)-1,6)="スリット"),SUMIF('S5'!$D$5:$D$2103,$A101,'S5'!$T$5:$T$2103),""),"")</f>
        <v/>
      </c>
    </row>
    <row r="102" spans="1:28" s="141" customFormat="1" ht="11.25" x14ac:dyDescent="0.15">
      <c r="A102" s="173">
        <v>3675619</v>
      </c>
      <c r="B102" s="173" t="s">
        <v>351</v>
      </c>
      <c r="C102" s="173" t="s">
        <v>356</v>
      </c>
      <c r="D102" s="173" t="s">
        <v>353</v>
      </c>
      <c r="E102" s="173" t="s">
        <v>17</v>
      </c>
      <c r="F102" s="173">
        <v>3</v>
      </c>
      <c r="G102" s="173" t="s">
        <v>19</v>
      </c>
      <c r="H102" s="173" t="s">
        <v>20</v>
      </c>
      <c r="I102" s="173" t="s">
        <v>205</v>
      </c>
      <c r="J102" s="173"/>
      <c r="K102" s="173" t="s">
        <v>242</v>
      </c>
      <c r="L102" s="173">
        <v>50</v>
      </c>
      <c r="M102" s="173" t="s">
        <v>243</v>
      </c>
      <c r="N102" s="174">
        <v>1000</v>
      </c>
      <c r="O102" s="174">
        <v>1000</v>
      </c>
      <c r="P102" s="174">
        <v>1000</v>
      </c>
      <c r="Q102" s="173">
        <v>2</v>
      </c>
      <c r="R102" s="173">
        <v>6</v>
      </c>
      <c r="S102" s="173" t="s">
        <v>354</v>
      </c>
      <c r="T102" s="175">
        <v>44795</v>
      </c>
      <c r="U102" s="175">
        <v>44833</v>
      </c>
      <c r="V102" s="173" t="s">
        <v>355</v>
      </c>
      <c r="W102" s="173"/>
      <c r="X102" s="173"/>
      <c r="Z102" s="146" t="str">
        <f t="shared" ca="1" si="1"/>
        <v/>
      </c>
      <c r="AA102" s="146" t="str">
        <f ca="1">IFERROR(IF(OR(OFFSET('S4'!#REF!,MATCH($A102,'S4'!$D$5:$D$2535,0)-1,6)="巻返し",OFFSET('S4'!#REF!,MATCH($A102,'S4'!$D$5:$D$2535,0)-1,6)="スリット"),SUMIF('S4'!$D$5:$D$2535,$A102,'S4'!$U$5:$U$2535),""),"")</f>
        <v/>
      </c>
      <c r="AB102" s="146" t="str">
        <f ca="1">IFERROR(IF(OR(OFFSET('S5'!#REF!,MATCH($A102,'S5'!$D$5:$D$2103,0)-1,6)="巻返し",OFFSET('S5'!#REF!,MATCH($A102,'S5'!$D$5:$D$2103,0)-1,6)="スリット"),SUMIF('S5'!$D$5:$D$2103,$A102,'S5'!$T$5:$T$2103),""),"")</f>
        <v/>
      </c>
    </row>
    <row r="103" spans="1:28" s="141" customFormat="1" ht="11.25" x14ac:dyDescent="0.15">
      <c r="A103" s="173">
        <v>3675620</v>
      </c>
      <c r="B103" s="173" t="s">
        <v>351</v>
      </c>
      <c r="C103" s="173" t="s">
        <v>358</v>
      </c>
      <c r="D103" s="173" t="s">
        <v>353</v>
      </c>
      <c r="E103" s="173" t="s">
        <v>61</v>
      </c>
      <c r="F103" s="173">
        <v>3</v>
      </c>
      <c r="G103" s="173" t="s">
        <v>19</v>
      </c>
      <c r="H103" s="173" t="s">
        <v>20</v>
      </c>
      <c r="I103" s="173" t="s">
        <v>205</v>
      </c>
      <c r="J103" s="173"/>
      <c r="K103" s="173" t="s">
        <v>242</v>
      </c>
      <c r="L103" s="173">
        <v>50</v>
      </c>
      <c r="M103" s="173" t="s">
        <v>243</v>
      </c>
      <c r="N103" s="174">
        <v>1255</v>
      </c>
      <c r="O103" s="174">
        <v>1250</v>
      </c>
      <c r="P103" s="174">
        <v>2000</v>
      </c>
      <c r="Q103" s="173">
        <v>2</v>
      </c>
      <c r="R103" s="173">
        <v>6</v>
      </c>
      <c r="S103" s="173" t="s">
        <v>354</v>
      </c>
      <c r="T103" s="175">
        <v>44795</v>
      </c>
      <c r="U103" s="175">
        <v>44833</v>
      </c>
      <c r="V103" s="173" t="s">
        <v>355</v>
      </c>
      <c r="W103" s="173"/>
      <c r="X103" s="173"/>
      <c r="Z103" s="146" t="str">
        <f t="shared" ca="1" si="1"/>
        <v/>
      </c>
      <c r="AA103" s="146" t="str">
        <f ca="1">IFERROR(IF(OR(OFFSET('S4'!#REF!,MATCH($A103,'S4'!$D$5:$D$2535,0)-1,6)="巻返し",OFFSET('S4'!#REF!,MATCH($A103,'S4'!$D$5:$D$2535,0)-1,6)="スリット"),SUMIF('S4'!$D$5:$D$2535,$A103,'S4'!$U$5:$U$2535),""),"")</f>
        <v/>
      </c>
      <c r="AB103" s="146" t="str">
        <f ca="1">IFERROR(IF(OR(OFFSET('S5'!#REF!,MATCH($A103,'S5'!$D$5:$D$2103,0)-1,6)="巻返し",OFFSET('S5'!#REF!,MATCH($A103,'S5'!$D$5:$D$2103,0)-1,6)="スリット"),SUMIF('S5'!$D$5:$D$2103,$A103,'S5'!$T$5:$T$2103),""),"")</f>
        <v/>
      </c>
    </row>
    <row r="104" spans="1:28" s="141" customFormat="1" ht="11.25" x14ac:dyDescent="0.15">
      <c r="A104" s="173">
        <v>3675622</v>
      </c>
      <c r="B104" s="173" t="s">
        <v>351</v>
      </c>
      <c r="C104" s="173" t="s">
        <v>364</v>
      </c>
      <c r="D104" s="173" t="s">
        <v>353</v>
      </c>
      <c r="E104" s="173" t="s">
        <v>171</v>
      </c>
      <c r="F104" s="173" t="s">
        <v>96</v>
      </c>
      <c r="G104" s="173" t="s">
        <v>19</v>
      </c>
      <c r="H104" s="173" t="s">
        <v>20</v>
      </c>
      <c r="I104" s="173" t="s">
        <v>165</v>
      </c>
      <c r="J104" s="173"/>
      <c r="K104" s="173" t="s">
        <v>169</v>
      </c>
      <c r="L104" s="173">
        <v>50</v>
      </c>
      <c r="M104" s="173" t="s">
        <v>170</v>
      </c>
      <c r="N104" s="174">
        <v>1190</v>
      </c>
      <c r="O104" s="174">
        <v>1190</v>
      </c>
      <c r="P104" s="174">
        <v>6000</v>
      </c>
      <c r="Q104" s="173">
        <v>2</v>
      </c>
      <c r="R104" s="173">
        <v>15</v>
      </c>
      <c r="S104" s="173" t="s">
        <v>354</v>
      </c>
      <c r="T104" s="175">
        <v>44795</v>
      </c>
      <c r="U104" s="175">
        <v>44813</v>
      </c>
      <c r="V104" s="173" t="s">
        <v>355</v>
      </c>
      <c r="W104" s="173"/>
      <c r="X104" s="173"/>
      <c r="Z104" s="146" t="str">
        <f t="shared" ca="1" si="1"/>
        <v/>
      </c>
      <c r="AA104" s="146" t="str">
        <f ca="1">IFERROR(IF(OR(OFFSET('S4'!#REF!,MATCH($A104,'S4'!$D$5:$D$2535,0)-1,6)="巻返し",OFFSET('S4'!#REF!,MATCH($A104,'S4'!$D$5:$D$2535,0)-1,6)="スリット"),SUMIF('S4'!$D$5:$D$2535,$A104,'S4'!$U$5:$U$2535),""),"")</f>
        <v/>
      </c>
      <c r="AB104" s="146" t="str">
        <f ca="1">IFERROR(IF(OR(OFFSET('S5'!#REF!,MATCH($A104,'S5'!$D$5:$D$2103,0)-1,6)="巻返し",OFFSET('S5'!#REF!,MATCH($A104,'S5'!$D$5:$D$2103,0)-1,6)="スリット"),SUMIF('S5'!$D$5:$D$2103,$A104,'S5'!$T$5:$T$2103),""),"")</f>
        <v/>
      </c>
    </row>
    <row r="105" spans="1:28" s="141" customFormat="1" ht="11.25" x14ac:dyDescent="0.15">
      <c r="A105" s="173">
        <v>3675623</v>
      </c>
      <c r="B105" s="173" t="s">
        <v>351</v>
      </c>
      <c r="C105" s="173" t="s">
        <v>364</v>
      </c>
      <c r="D105" s="173" t="s">
        <v>353</v>
      </c>
      <c r="E105" s="173" t="s">
        <v>171</v>
      </c>
      <c r="F105" s="173">
        <v>3</v>
      </c>
      <c r="G105" s="173" t="s">
        <v>19</v>
      </c>
      <c r="H105" s="173" t="s">
        <v>20</v>
      </c>
      <c r="I105" s="173" t="s">
        <v>165</v>
      </c>
      <c r="J105" s="173"/>
      <c r="K105" s="173" t="s">
        <v>180</v>
      </c>
      <c r="L105" s="173">
        <v>50</v>
      </c>
      <c r="M105" s="173" t="s">
        <v>181</v>
      </c>
      <c r="N105" s="174">
        <v>1200</v>
      </c>
      <c r="O105" s="174">
        <v>1190</v>
      </c>
      <c r="P105" s="174">
        <v>6000</v>
      </c>
      <c r="Q105" s="173">
        <v>2</v>
      </c>
      <c r="R105" s="173">
        <v>8</v>
      </c>
      <c r="S105" s="173" t="s">
        <v>354</v>
      </c>
      <c r="T105" s="175">
        <v>44795</v>
      </c>
      <c r="U105" s="175">
        <v>44813</v>
      </c>
      <c r="V105" s="173" t="s">
        <v>355</v>
      </c>
      <c r="W105" s="173"/>
      <c r="X105" s="173"/>
      <c r="Z105" s="146" t="str">
        <f t="shared" ca="1" si="1"/>
        <v/>
      </c>
      <c r="AA105" s="146" t="str">
        <f ca="1">IFERROR(IF(OR(OFFSET('S4'!#REF!,MATCH($A105,'S4'!$D$5:$D$2535,0)-1,6)="巻返し",OFFSET('S4'!#REF!,MATCH($A105,'S4'!$D$5:$D$2535,0)-1,6)="スリット"),SUMIF('S4'!$D$5:$D$2535,$A105,'S4'!$U$5:$U$2535),""),"")</f>
        <v/>
      </c>
      <c r="AB105" s="146" t="str">
        <f ca="1">IFERROR(IF(OR(OFFSET('S5'!#REF!,MATCH($A105,'S5'!$D$5:$D$2103,0)-1,6)="巻返し",OFFSET('S5'!#REF!,MATCH($A105,'S5'!$D$5:$D$2103,0)-1,6)="スリット"),SUMIF('S5'!$D$5:$D$2103,$A105,'S5'!$T$5:$T$2103),""),"")</f>
        <v/>
      </c>
    </row>
    <row r="106" spans="1:28" s="141" customFormat="1" ht="11.25" x14ac:dyDescent="0.15">
      <c r="A106" s="173">
        <v>3675625</v>
      </c>
      <c r="B106" s="173" t="s">
        <v>351</v>
      </c>
      <c r="C106" s="173" t="s">
        <v>364</v>
      </c>
      <c r="D106" s="173" t="s">
        <v>353</v>
      </c>
      <c r="E106" s="173" t="s">
        <v>148</v>
      </c>
      <c r="F106" s="173">
        <v>3</v>
      </c>
      <c r="G106" s="173" t="s">
        <v>19</v>
      </c>
      <c r="H106" s="173" t="s">
        <v>20</v>
      </c>
      <c r="I106" s="173" t="s">
        <v>143</v>
      </c>
      <c r="J106" s="173"/>
      <c r="K106" s="173" t="s">
        <v>149</v>
      </c>
      <c r="L106" s="173">
        <v>50</v>
      </c>
      <c r="M106" s="173" t="s">
        <v>150</v>
      </c>
      <c r="N106" s="174">
        <v>1120</v>
      </c>
      <c r="O106" s="174">
        <v>1120</v>
      </c>
      <c r="P106" s="174">
        <v>6000</v>
      </c>
      <c r="Q106" s="173">
        <v>2</v>
      </c>
      <c r="R106" s="173">
        <v>2</v>
      </c>
      <c r="S106" s="173" t="s">
        <v>354</v>
      </c>
      <c r="T106" s="175">
        <v>44795</v>
      </c>
      <c r="U106" s="175">
        <v>44813</v>
      </c>
      <c r="V106" s="173" t="s">
        <v>355</v>
      </c>
      <c r="W106" s="173"/>
      <c r="X106" s="173"/>
      <c r="Z106" s="146" t="str">
        <f t="shared" ca="1" si="1"/>
        <v/>
      </c>
      <c r="AA106" s="146" t="str">
        <f ca="1">IFERROR(IF(OR(OFFSET('S4'!#REF!,MATCH($A106,'S4'!$D$5:$D$2535,0)-1,6)="巻返し",OFFSET('S4'!#REF!,MATCH($A106,'S4'!$D$5:$D$2535,0)-1,6)="スリット"),SUMIF('S4'!$D$5:$D$2535,$A106,'S4'!$U$5:$U$2535),""),"")</f>
        <v/>
      </c>
      <c r="AB106" s="146" t="str">
        <f ca="1">IFERROR(IF(OR(OFFSET('S5'!#REF!,MATCH($A106,'S5'!$D$5:$D$2103,0)-1,6)="巻返し",OFFSET('S5'!#REF!,MATCH($A106,'S5'!$D$5:$D$2103,0)-1,6)="スリット"),SUMIF('S5'!$D$5:$D$2103,$A106,'S5'!$T$5:$T$2103),""),"")</f>
        <v/>
      </c>
    </row>
    <row r="107" spans="1:28" s="141" customFormat="1" ht="11.25" x14ac:dyDescent="0.15">
      <c r="A107" s="173">
        <v>3675626</v>
      </c>
      <c r="B107" s="173" t="s">
        <v>351</v>
      </c>
      <c r="C107" s="173" t="s">
        <v>364</v>
      </c>
      <c r="D107" s="173" t="s">
        <v>353</v>
      </c>
      <c r="E107" s="173" t="s">
        <v>148</v>
      </c>
      <c r="F107" s="173">
        <v>3</v>
      </c>
      <c r="G107" s="173" t="s">
        <v>19</v>
      </c>
      <c r="H107" s="173" t="s">
        <v>20</v>
      </c>
      <c r="I107" s="173" t="s">
        <v>165</v>
      </c>
      <c r="J107" s="173"/>
      <c r="K107" s="173" t="s">
        <v>169</v>
      </c>
      <c r="L107" s="173">
        <v>50</v>
      </c>
      <c r="M107" s="173" t="s">
        <v>170</v>
      </c>
      <c r="N107" s="174">
        <v>1120</v>
      </c>
      <c r="O107" s="174">
        <v>1120</v>
      </c>
      <c r="P107" s="174">
        <v>6000</v>
      </c>
      <c r="Q107" s="173">
        <v>2</v>
      </c>
      <c r="R107" s="173">
        <v>1</v>
      </c>
      <c r="S107" s="173" t="s">
        <v>354</v>
      </c>
      <c r="T107" s="175">
        <v>44795</v>
      </c>
      <c r="U107" s="175">
        <v>44813</v>
      </c>
      <c r="V107" s="173" t="s">
        <v>355</v>
      </c>
      <c r="W107" s="173"/>
      <c r="X107" s="173"/>
      <c r="Z107" s="146" t="str">
        <f t="shared" ca="1" si="1"/>
        <v/>
      </c>
      <c r="AA107" s="146" t="str">
        <f ca="1">IFERROR(IF(OR(OFFSET('S4'!#REF!,MATCH($A107,'S4'!$D$5:$D$2535,0)-1,6)="巻返し",OFFSET('S4'!#REF!,MATCH($A107,'S4'!$D$5:$D$2535,0)-1,6)="スリット"),SUMIF('S4'!$D$5:$D$2535,$A107,'S4'!$U$5:$U$2535),""),"")</f>
        <v/>
      </c>
      <c r="AB107" s="146" t="str">
        <f ca="1">IFERROR(IF(OR(OFFSET('S5'!#REF!,MATCH($A107,'S5'!$D$5:$D$2103,0)-1,6)="巻返し",OFFSET('S5'!#REF!,MATCH($A107,'S5'!$D$5:$D$2103,0)-1,6)="スリット"),SUMIF('S5'!$D$5:$D$2103,$A107,'S5'!$T$5:$T$2103),""),"")</f>
        <v/>
      </c>
    </row>
    <row r="108" spans="1:28" s="141" customFormat="1" ht="11.25" x14ac:dyDescent="0.15">
      <c r="A108" s="173">
        <v>3675627</v>
      </c>
      <c r="B108" s="173" t="s">
        <v>351</v>
      </c>
      <c r="C108" s="173" t="s">
        <v>364</v>
      </c>
      <c r="D108" s="173" t="s">
        <v>353</v>
      </c>
      <c r="E108" s="173" t="s">
        <v>148</v>
      </c>
      <c r="F108" s="173">
        <v>3</v>
      </c>
      <c r="G108" s="173" t="s">
        <v>19</v>
      </c>
      <c r="H108" s="173" t="s">
        <v>20</v>
      </c>
      <c r="I108" s="173" t="s">
        <v>165</v>
      </c>
      <c r="J108" s="173"/>
      <c r="K108" s="173" t="s">
        <v>180</v>
      </c>
      <c r="L108" s="173">
        <v>25</v>
      </c>
      <c r="M108" s="173" t="s">
        <v>181</v>
      </c>
      <c r="N108" s="174">
        <v>1120</v>
      </c>
      <c r="O108" s="174">
        <v>1120</v>
      </c>
      <c r="P108" s="174">
        <v>4000</v>
      </c>
      <c r="Q108" s="173">
        <v>2</v>
      </c>
      <c r="R108" s="173">
        <v>4</v>
      </c>
      <c r="S108" s="173" t="s">
        <v>354</v>
      </c>
      <c r="T108" s="175">
        <v>44795</v>
      </c>
      <c r="U108" s="175">
        <v>44813</v>
      </c>
      <c r="V108" s="173" t="s">
        <v>355</v>
      </c>
      <c r="W108" s="173"/>
      <c r="X108" s="173"/>
      <c r="Z108" s="146" t="str">
        <f t="shared" ca="1" si="1"/>
        <v/>
      </c>
      <c r="AA108" s="146" t="str">
        <f ca="1">IFERROR(IF(OR(OFFSET('S4'!#REF!,MATCH($A108,'S4'!$D$5:$D$2535,0)-1,6)="巻返し",OFFSET('S4'!#REF!,MATCH($A108,'S4'!$D$5:$D$2535,0)-1,6)="スリット"),SUMIF('S4'!$D$5:$D$2535,$A108,'S4'!$U$5:$U$2535),""),"")</f>
        <v/>
      </c>
      <c r="AB108" s="146" t="str">
        <f ca="1">IFERROR(IF(OR(OFFSET('S5'!#REF!,MATCH($A108,'S5'!$D$5:$D$2103,0)-1,6)="巻返し",OFFSET('S5'!#REF!,MATCH($A108,'S5'!$D$5:$D$2103,0)-1,6)="スリット"),SUMIF('S5'!$D$5:$D$2103,$A108,'S5'!$T$5:$T$2103),""),"")</f>
        <v/>
      </c>
    </row>
    <row r="109" spans="1:28" s="141" customFormat="1" ht="11.25" x14ac:dyDescent="0.15">
      <c r="A109" s="173">
        <v>3675628</v>
      </c>
      <c r="B109" s="173" t="s">
        <v>351</v>
      </c>
      <c r="C109" s="173" t="s">
        <v>364</v>
      </c>
      <c r="D109" s="173" t="s">
        <v>353</v>
      </c>
      <c r="E109" s="173" t="s">
        <v>148</v>
      </c>
      <c r="F109" s="173">
        <v>3</v>
      </c>
      <c r="G109" s="173" t="s">
        <v>19</v>
      </c>
      <c r="H109" s="173" t="s">
        <v>20</v>
      </c>
      <c r="I109" s="173" t="s">
        <v>165</v>
      </c>
      <c r="J109" s="173"/>
      <c r="K109" s="173" t="s">
        <v>202</v>
      </c>
      <c r="L109" s="173">
        <v>50</v>
      </c>
      <c r="M109" s="173" t="s">
        <v>424</v>
      </c>
      <c r="N109" s="174">
        <v>1120</v>
      </c>
      <c r="O109" s="174">
        <v>1120</v>
      </c>
      <c r="P109" s="174">
        <v>5000</v>
      </c>
      <c r="Q109" s="173">
        <v>2</v>
      </c>
      <c r="R109" s="173">
        <v>1</v>
      </c>
      <c r="S109" s="173" t="s">
        <v>354</v>
      </c>
      <c r="T109" s="175">
        <v>44795</v>
      </c>
      <c r="U109" s="175">
        <v>44833</v>
      </c>
      <c r="V109" s="173" t="s">
        <v>355</v>
      </c>
      <c r="W109" s="173"/>
      <c r="X109" s="173"/>
      <c r="Z109" s="146" t="str">
        <f t="shared" ca="1" si="1"/>
        <v/>
      </c>
      <c r="AA109" s="146" t="str">
        <f ca="1">IFERROR(IF(OR(OFFSET('S4'!#REF!,MATCH($A109,'S4'!$D$5:$D$2535,0)-1,6)="巻返し",OFFSET('S4'!#REF!,MATCH($A109,'S4'!$D$5:$D$2535,0)-1,6)="スリット"),SUMIF('S4'!$D$5:$D$2535,$A109,'S4'!$U$5:$U$2535),""),"")</f>
        <v/>
      </c>
      <c r="AB109" s="146" t="str">
        <f ca="1">IFERROR(IF(OR(OFFSET('S5'!#REF!,MATCH($A109,'S5'!$D$5:$D$2103,0)-1,6)="巻返し",OFFSET('S5'!#REF!,MATCH($A109,'S5'!$D$5:$D$2103,0)-1,6)="スリット"),SUMIF('S5'!$D$5:$D$2103,$A109,'S5'!$T$5:$T$2103),""),"")</f>
        <v/>
      </c>
    </row>
    <row r="110" spans="1:28" s="141" customFormat="1" ht="11.25" x14ac:dyDescent="0.15">
      <c r="A110" s="173">
        <v>3675629</v>
      </c>
      <c r="B110" s="173" t="s">
        <v>351</v>
      </c>
      <c r="C110" s="173" t="s">
        <v>352</v>
      </c>
      <c r="D110" s="173" t="s">
        <v>353</v>
      </c>
      <c r="E110" s="173" t="s">
        <v>116</v>
      </c>
      <c r="F110" s="173">
        <v>3</v>
      </c>
      <c r="G110" s="173" t="s">
        <v>19</v>
      </c>
      <c r="H110" s="173" t="s">
        <v>20</v>
      </c>
      <c r="I110" s="173" t="s">
        <v>205</v>
      </c>
      <c r="J110" s="173"/>
      <c r="K110" s="173" t="s">
        <v>212</v>
      </c>
      <c r="L110" s="173">
        <v>25</v>
      </c>
      <c r="M110" s="173" t="s">
        <v>213</v>
      </c>
      <c r="N110" s="174">
        <v>1000</v>
      </c>
      <c r="O110" s="174">
        <v>1000</v>
      </c>
      <c r="P110" s="174">
        <v>4000</v>
      </c>
      <c r="Q110" s="173">
        <v>2</v>
      </c>
      <c r="R110" s="173">
        <v>3</v>
      </c>
      <c r="S110" s="173" t="s">
        <v>354</v>
      </c>
      <c r="T110" s="175">
        <v>44795</v>
      </c>
      <c r="U110" s="175">
        <v>44824</v>
      </c>
      <c r="V110" s="173" t="s">
        <v>355</v>
      </c>
      <c r="W110" s="173"/>
      <c r="X110" s="173"/>
      <c r="Z110" s="146" t="str">
        <f t="shared" ca="1" si="1"/>
        <v/>
      </c>
      <c r="AA110" s="146" t="str">
        <f ca="1">IFERROR(IF(OR(OFFSET('S4'!#REF!,MATCH($A110,'S4'!$D$5:$D$2535,0)-1,6)="巻返し",OFFSET('S4'!#REF!,MATCH($A110,'S4'!$D$5:$D$2535,0)-1,6)="スリット"),SUMIF('S4'!$D$5:$D$2535,$A110,'S4'!$U$5:$U$2535),""),"")</f>
        <v/>
      </c>
      <c r="AB110" s="146" t="str">
        <f ca="1">IFERROR(IF(OR(OFFSET('S5'!#REF!,MATCH($A110,'S5'!$D$5:$D$2103,0)-1,6)="巻返し",OFFSET('S5'!#REF!,MATCH($A110,'S5'!$D$5:$D$2103,0)-1,6)="スリット"),SUMIF('S5'!$D$5:$D$2103,$A110,'S5'!$T$5:$T$2103),""),"")</f>
        <v/>
      </c>
    </row>
    <row r="111" spans="1:28" s="141" customFormat="1" ht="11.25" x14ac:dyDescent="0.15">
      <c r="A111" s="173">
        <v>3675630</v>
      </c>
      <c r="B111" s="173" t="s">
        <v>351</v>
      </c>
      <c r="C111" s="173" t="s">
        <v>352</v>
      </c>
      <c r="D111" s="173" t="s">
        <v>353</v>
      </c>
      <c r="E111" s="173" t="s">
        <v>116</v>
      </c>
      <c r="F111" s="173">
        <v>3</v>
      </c>
      <c r="G111" s="173" t="s">
        <v>19</v>
      </c>
      <c r="H111" s="173" t="s">
        <v>20</v>
      </c>
      <c r="I111" s="173" t="s">
        <v>205</v>
      </c>
      <c r="J111" s="173"/>
      <c r="K111" s="173" t="s">
        <v>212</v>
      </c>
      <c r="L111" s="173">
        <v>25</v>
      </c>
      <c r="M111" s="173" t="s">
        <v>213</v>
      </c>
      <c r="N111" s="174">
        <v>1120</v>
      </c>
      <c r="O111" s="174">
        <v>1120</v>
      </c>
      <c r="P111" s="174">
        <v>4000</v>
      </c>
      <c r="Q111" s="173">
        <v>2</v>
      </c>
      <c r="R111" s="173">
        <v>3</v>
      </c>
      <c r="S111" s="173" t="s">
        <v>354</v>
      </c>
      <c r="T111" s="175">
        <v>44795</v>
      </c>
      <c r="U111" s="175">
        <v>44824</v>
      </c>
      <c r="V111" s="173" t="s">
        <v>355</v>
      </c>
      <c r="W111" s="173"/>
      <c r="X111" s="173"/>
      <c r="Z111" s="146" t="str">
        <f t="shared" ca="1" si="1"/>
        <v/>
      </c>
      <c r="AA111" s="146" t="str">
        <f ca="1">IFERROR(IF(OR(OFFSET('S4'!#REF!,MATCH($A111,'S4'!$D$5:$D$2535,0)-1,6)="巻返し",OFFSET('S4'!#REF!,MATCH($A111,'S4'!$D$5:$D$2535,0)-1,6)="スリット"),SUMIF('S4'!$D$5:$D$2535,$A111,'S4'!$U$5:$U$2535),""),"")</f>
        <v/>
      </c>
      <c r="AB111" s="146" t="str">
        <f ca="1">IFERROR(IF(OR(OFFSET('S5'!#REF!,MATCH($A111,'S5'!$D$5:$D$2103,0)-1,6)="巻返し",OFFSET('S5'!#REF!,MATCH($A111,'S5'!$D$5:$D$2103,0)-1,6)="スリット"),SUMIF('S5'!$D$5:$D$2103,$A111,'S5'!$T$5:$T$2103),""),"")</f>
        <v/>
      </c>
    </row>
    <row r="112" spans="1:28" s="141" customFormat="1" ht="11.25" x14ac:dyDescent="0.15">
      <c r="A112" s="173">
        <v>3675631</v>
      </c>
      <c r="B112" s="173" t="s">
        <v>351</v>
      </c>
      <c r="C112" s="173" t="s">
        <v>352</v>
      </c>
      <c r="D112" s="173" t="s">
        <v>353</v>
      </c>
      <c r="E112" s="173" t="s">
        <v>116</v>
      </c>
      <c r="F112" s="173">
        <v>3</v>
      </c>
      <c r="G112" s="173" t="s">
        <v>19</v>
      </c>
      <c r="H112" s="173" t="s">
        <v>20</v>
      </c>
      <c r="I112" s="173" t="s">
        <v>205</v>
      </c>
      <c r="J112" s="173"/>
      <c r="K112" s="173" t="s">
        <v>212</v>
      </c>
      <c r="L112" s="173">
        <v>50</v>
      </c>
      <c r="M112" s="173" t="s">
        <v>213</v>
      </c>
      <c r="N112" s="174">
        <v>1000</v>
      </c>
      <c r="O112" s="174">
        <v>1000</v>
      </c>
      <c r="P112" s="174">
        <v>4000</v>
      </c>
      <c r="Q112" s="173">
        <v>2</v>
      </c>
      <c r="R112" s="173">
        <v>2</v>
      </c>
      <c r="S112" s="173" t="s">
        <v>354</v>
      </c>
      <c r="T112" s="175">
        <v>44795</v>
      </c>
      <c r="U112" s="175">
        <v>44824</v>
      </c>
      <c r="V112" s="173" t="s">
        <v>355</v>
      </c>
      <c r="W112" s="173"/>
      <c r="X112" s="173"/>
      <c r="Z112" s="146" t="str">
        <f t="shared" ca="1" si="1"/>
        <v/>
      </c>
      <c r="AA112" s="146" t="str">
        <f ca="1">IFERROR(IF(OR(OFFSET('S4'!#REF!,MATCH($A112,'S4'!$D$5:$D$2535,0)-1,6)="巻返し",OFFSET('S4'!#REF!,MATCH($A112,'S4'!$D$5:$D$2535,0)-1,6)="スリット"),SUMIF('S4'!$D$5:$D$2535,$A112,'S4'!$U$5:$U$2535),""),"")</f>
        <v/>
      </c>
      <c r="AB112" s="146" t="str">
        <f ca="1">IFERROR(IF(OR(OFFSET('S5'!#REF!,MATCH($A112,'S5'!$D$5:$D$2103,0)-1,6)="巻返し",OFFSET('S5'!#REF!,MATCH($A112,'S5'!$D$5:$D$2103,0)-1,6)="スリット"),SUMIF('S5'!$D$5:$D$2103,$A112,'S5'!$T$5:$T$2103),""),"")</f>
        <v/>
      </c>
    </row>
    <row r="113" spans="1:28" s="141" customFormat="1" ht="11.25" x14ac:dyDescent="0.15">
      <c r="A113" s="173">
        <v>3675632</v>
      </c>
      <c r="B113" s="173" t="s">
        <v>351</v>
      </c>
      <c r="C113" s="173" t="s">
        <v>352</v>
      </c>
      <c r="D113" s="173" t="s">
        <v>353</v>
      </c>
      <c r="E113" s="173" t="s">
        <v>116</v>
      </c>
      <c r="F113" s="173">
        <v>3</v>
      </c>
      <c r="G113" s="173" t="s">
        <v>19</v>
      </c>
      <c r="H113" s="173" t="s">
        <v>20</v>
      </c>
      <c r="I113" s="173" t="s">
        <v>205</v>
      </c>
      <c r="J113" s="173"/>
      <c r="K113" s="173" t="s">
        <v>212</v>
      </c>
      <c r="L113" s="173">
        <v>50</v>
      </c>
      <c r="M113" s="173" t="s">
        <v>213</v>
      </c>
      <c r="N113" s="174">
        <v>1120</v>
      </c>
      <c r="O113" s="174">
        <v>1120</v>
      </c>
      <c r="P113" s="174">
        <v>4000</v>
      </c>
      <c r="Q113" s="173">
        <v>2</v>
      </c>
      <c r="R113" s="173">
        <v>8</v>
      </c>
      <c r="S113" s="173" t="s">
        <v>354</v>
      </c>
      <c r="T113" s="175">
        <v>44795</v>
      </c>
      <c r="U113" s="175">
        <v>44837</v>
      </c>
      <c r="V113" s="173" t="s">
        <v>355</v>
      </c>
      <c r="W113" s="173"/>
      <c r="X113" s="173"/>
      <c r="Z113" s="146" t="str">
        <f t="shared" ca="1" si="1"/>
        <v/>
      </c>
      <c r="AA113" s="146" t="str">
        <f ca="1">IFERROR(IF(OR(OFFSET('S4'!#REF!,MATCH($A113,'S4'!$D$5:$D$2535,0)-1,6)="巻返し",OFFSET('S4'!#REF!,MATCH($A113,'S4'!$D$5:$D$2535,0)-1,6)="スリット"),SUMIF('S4'!$D$5:$D$2535,$A113,'S4'!$U$5:$U$2535),""),"")</f>
        <v/>
      </c>
      <c r="AB113" s="146" t="str">
        <f ca="1">IFERROR(IF(OR(OFFSET('S5'!#REF!,MATCH($A113,'S5'!$D$5:$D$2103,0)-1,6)="巻返し",OFFSET('S5'!#REF!,MATCH($A113,'S5'!$D$5:$D$2103,0)-1,6)="スリット"),SUMIF('S5'!$D$5:$D$2103,$A113,'S5'!$T$5:$T$2103),""),"")</f>
        <v/>
      </c>
    </row>
    <row r="114" spans="1:28" s="141" customFormat="1" ht="11.25" x14ac:dyDescent="0.15">
      <c r="A114" s="173">
        <v>3675633</v>
      </c>
      <c r="B114" s="173" t="s">
        <v>351</v>
      </c>
      <c r="C114" s="173" t="s">
        <v>352</v>
      </c>
      <c r="D114" s="173" t="s">
        <v>353</v>
      </c>
      <c r="E114" s="173" t="s">
        <v>116</v>
      </c>
      <c r="F114" s="173">
        <v>3</v>
      </c>
      <c r="G114" s="173" t="s">
        <v>19</v>
      </c>
      <c r="H114" s="173" t="s">
        <v>20</v>
      </c>
      <c r="I114" s="173" t="s">
        <v>205</v>
      </c>
      <c r="J114" s="173"/>
      <c r="K114" s="173" t="s">
        <v>211</v>
      </c>
      <c r="L114" s="173">
        <v>50</v>
      </c>
      <c r="M114" s="173" t="s">
        <v>370</v>
      </c>
      <c r="N114" s="174">
        <v>1050</v>
      </c>
      <c r="O114" s="174">
        <v>1050</v>
      </c>
      <c r="P114" s="174">
        <v>4100</v>
      </c>
      <c r="Q114" s="173">
        <v>2</v>
      </c>
      <c r="R114" s="173">
        <v>6</v>
      </c>
      <c r="S114" s="173" t="s">
        <v>354</v>
      </c>
      <c r="T114" s="175">
        <v>44795</v>
      </c>
      <c r="U114" s="175">
        <v>44819</v>
      </c>
      <c r="V114" s="173" t="s">
        <v>355</v>
      </c>
      <c r="W114" s="173"/>
      <c r="X114" s="173"/>
      <c r="Z114" s="146" t="str">
        <f t="shared" ca="1" si="1"/>
        <v/>
      </c>
      <c r="AA114" s="146" t="str">
        <f ca="1">IFERROR(IF(OR(OFFSET('S4'!#REF!,MATCH($A114,'S4'!$D$5:$D$2535,0)-1,6)="巻返し",OFFSET('S4'!#REF!,MATCH($A114,'S4'!$D$5:$D$2535,0)-1,6)="スリット"),SUMIF('S4'!$D$5:$D$2535,$A114,'S4'!$U$5:$U$2535),""),"")</f>
        <v/>
      </c>
      <c r="AB114" s="146" t="str">
        <f ca="1">IFERROR(IF(OR(OFFSET('S5'!#REF!,MATCH($A114,'S5'!$D$5:$D$2103,0)-1,6)="巻返し",OFFSET('S5'!#REF!,MATCH($A114,'S5'!$D$5:$D$2103,0)-1,6)="スリット"),SUMIF('S5'!$D$5:$D$2103,$A114,'S5'!$T$5:$T$2103),""),"")</f>
        <v/>
      </c>
    </row>
    <row r="115" spans="1:28" s="141" customFormat="1" ht="11.25" x14ac:dyDescent="0.15">
      <c r="A115" s="173">
        <v>3675634</v>
      </c>
      <c r="B115" s="173" t="s">
        <v>351</v>
      </c>
      <c r="C115" s="173" t="s">
        <v>352</v>
      </c>
      <c r="D115" s="173" t="s">
        <v>353</v>
      </c>
      <c r="E115" s="173" t="s">
        <v>116</v>
      </c>
      <c r="F115" s="173">
        <v>3</v>
      </c>
      <c r="G115" s="173" t="s">
        <v>19</v>
      </c>
      <c r="H115" s="173" t="s">
        <v>20</v>
      </c>
      <c r="I115" s="173" t="s">
        <v>205</v>
      </c>
      <c r="J115" s="173"/>
      <c r="K115" s="173" t="s">
        <v>211</v>
      </c>
      <c r="L115" s="173">
        <v>75</v>
      </c>
      <c r="M115" s="173" t="s">
        <v>370</v>
      </c>
      <c r="N115" s="174">
        <v>1050</v>
      </c>
      <c r="O115" s="174">
        <v>1050</v>
      </c>
      <c r="P115" s="174">
        <v>2000</v>
      </c>
      <c r="Q115" s="173">
        <v>2</v>
      </c>
      <c r="R115" s="173">
        <v>2</v>
      </c>
      <c r="S115" s="173" t="s">
        <v>354</v>
      </c>
      <c r="T115" s="175">
        <v>44795</v>
      </c>
      <c r="U115" s="175">
        <v>44819</v>
      </c>
      <c r="V115" s="173" t="s">
        <v>355</v>
      </c>
      <c r="W115" s="173"/>
      <c r="X115" s="173"/>
      <c r="Z115" s="146" t="str">
        <f t="shared" ca="1" si="1"/>
        <v/>
      </c>
      <c r="AA115" s="146" t="str">
        <f ca="1">IFERROR(IF(OR(OFFSET('S4'!#REF!,MATCH($A115,'S4'!$D$5:$D$2535,0)-1,6)="巻返し",OFFSET('S4'!#REF!,MATCH($A115,'S4'!$D$5:$D$2535,0)-1,6)="スリット"),SUMIF('S4'!$D$5:$D$2535,$A115,'S4'!$U$5:$U$2535),""),"")</f>
        <v/>
      </c>
      <c r="AB115" s="146" t="str">
        <f ca="1">IFERROR(IF(OR(OFFSET('S5'!#REF!,MATCH($A115,'S5'!$D$5:$D$2103,0)-1,6)="巻返し",OFFSET('S5'!#REF!,MATCH($A115,'S5'!$D$5:$D$2103,0)-1,6)="スリット"),SUMIF('S5'!$D$5:$D$2103,$A115,'S5'!$T$5:$T$2103),""),"")</f>
        <v/>
      </c>
    </row>
    <row r="116" spans="1:28" s="141" customFormat="1" ht="11.25" x14ac:dyDescent="0.15">
      <c r="A116" s="173">
        <v>3675635</v>
      </c>
      <c r="B116" s="173" t="s">
        <v>351</v>
      </c>
      <c r="C116" s="173" t="s">
        <v>352</v>
      </c>
      <c r="D116" s="173" t="s">
        <v>353</v>
      </c>
      <c r="E116" s="173" t="s">
        <v>116</v>
      </c>
      <c r="F116" s="173">
        <v>3</v>
      </c>
      <c r="G116" s="173" t="s">
        <v>19</v>
      </c>
      <c r="H116" s="173" t="s">
        <v>20</v>
      </c>
      <c r="I116" s="173" t="s">
        <v>165</v>
      </c>
      <c r="J116" s="173"/>
      <c r="K116" s="173" t="s">
        <v>185</v>
      </c>
      <c r="L116" s="173">
        <v>50</v>
      </c>
      <c r="M116" s="173" t="s">
        <v>186</v>
      </c>
      <c r="N116" s="174">
        <v>1005</v>
      </c>
      <c r="O116" s="174">
        <v>1000</v>
      </c>
      <c r="P116" s="174">
        <v>4000</v>
      </c>
      <c r="Q116" s="173">
        <v>2</v>
      </c>
      <c r="R116" s="173">
        <v>3</v>
      </c>
      <c r="S116" s="173" t="s">
        <v>354</v>
      </c>
      <c r="T116" s="175">
        <v>44795</v>
      </c>
      <c r="U116" s="175">
        <v>44824</v>
      </c>
      <c r="V116" s="173" t="s">
        <v>355</v>
      </c>
      <c r="W116" s="173"/>
      <c r="X116" s="173"/>
      <c r="Z116" s="146" t="str">
        <f t="shared" ca="1" si="1"/>
        <v/>
      </c>
      <c r="AA116" s="146" t="str">
        <f ca="1">IFERROR(IF(OR(OFFSET('S4'!#REF!,MATCH($A116,'S4'!$D$5:$D$2535,0)-1,6)="巻返し",OFFSET('S4'!#REF!,MATCH($A116,'S4'!$D$5:$D$2535,0)-1,6)="スリット"),SUMIF('S4'!$D$5:$D$2535,$A116,'S4'!$U$5:$U$2535),""),"")</f>
        <v/>
      </c>
      <c r="AB116" s="146" t="str">
        <f ca="1">IFERROR(IF(OR(OFFSET('S5'!#REF!,MATCH($A116,'S5'!$D$5:$D$2103,0)-1,6)="巻返し",OFFSET('S5'!#REF!,MATCH($A116,'S5'!$D$5:$D$2103,0)-1,6)="スリット"),SUMIF('S5'!$D$5:$D$2103,$A116,'S5'!$T$5:$T$2103),""),"")</f>
        <v/>
      </c>
    </row>
    <row r="117" spans="1:28" s="141" customFormat="1" ht="11.25" x14ac:dyDescent="0.15">
      <c r="A117" s="173">
        <v>3675636</v>
      </c>
      <c r="B117" s="173" t="s">
        <v>351</v>
      </c>
      <c r="C117" s="173" t="s">
        <v>352</v>
      </c>
      <c r="D117" s="173" t="s">
        <v>353</v>
      </c>
      <c r="E117" s="173" t="s">
        <v>116</v>
      </c>
      <c r="F117" s="173">
        <v>3</v>
      </c>
      <c r="G117" s="173" t="s">
        <v>19</v>
      </c>
      <c r="H117" s="173" t="s">
        <v>20</v>
      </c>
      <c r="I117" s="173" t="s">
        <v>205</v>
      </c>
      <c r="J117" s="173"/>
      <c r="K117" s="173" t="s">
        <v>216</v>
      </c>
      <c r="L117" s="173">
        <v>25</v>
      </c>
      <c r="M117" s="173" t="s">
        <v>217</v>
      </c>
      <c r="N117" s="174">
        <v>1005</v>
      </c>
      <c r="O117" s="174">
        <v>1000</v>
      </c>
      <c r="P117" s="174">
        <v>4000</v>
      </c>
      <c r="Q117" s="173">
        <v>2</v>
      </c>
      <c r="R117" s="173">
        <v>21</v>
      </c>
      <c r="S117" s="173" t="s">
        <v>354</v>
      </c>
      <c r="T117" s="175">
        <v>44795</v>
      </c>
      <c r="U117" s="175">
        <v>44819</v>
      </c>
      <c r="V117" s="173" t="s">
        <v>355</v>
      </c>
      <c r="W117" s="173"/>
      <c r="X117" s="173"/>
      <c r="Z117" s="146" t="str">
        <f t="shared" ca="1" si="1"/>
        <v/>
      </c>
      <c r="AA117" s="146" t="str">
        <f ca="1">IFERROR(IF(OR(OFFSET('S4'!#REF!,MATCH($A117,'S4'!$D$5:$D$2535,0)-1,6)="巻返し",OFFSET('S4'!#REF!,MATCH($A117,'S4'!$D$5:$D$2535,0)-1,6)="スリット"),SUMIF('S4'!$D$5:$D$2535,$A117,'S4'!$U$5:$U$2535),""),"")</f>
        <v/>
      </c>
      <c r="AB117" s="146" t="str">
        <f ca="1">IFERROR(IF(OR(OFFSET('S5'!#REF!,MATCH($A117,'S5'!$D$5:$D$2103,0)-1,6)="巻返し",OFFSET('S5'!#REF!,MATCH($A117,'S5'!$D$5:$D$2103,0)-1,6)="スリット"),SUMIF('S5'!$D$5:$D$2103,$A117,'S5'!$T$5:$T$2103),""),"")</f>
        <v/>
      </c>
    </row>
    <row r="118" spans="1:28" s="141" customFormat="1" ht="11.25" x14ac:dyDescent="0.15">
      <c r="A118" s="173">
        <v>3675637</v>
      </c>
      <c r="B118" s="173" t="s">
        <v>351</v>
      </c>
      <c r="C118" s="173" t="s">
        <v>352</v>
      </c>
      <c r="D118" s="173" t="s">
        <v>353</v>
      </c>
      <c r="E118" s="173" t="s">
        <v>116</v>
      </c>
      <c r="F118" s="173">
        <v>3</v>
      </c>
      <c r="G118" s="173" t="s">
        <v>19</v>
      </c>
      <c r="H118" s="173" t="s">
        <v>20</v>
      </c>
      <c r="I118" s="173" t="s">
        <v>205</v>
      </c>
      <c r="J118" s="173"/>
      <c r="K118" s="173" t="s">
        <v>216</v>
      </c>
      <c r="L118" s="173">
        <v>50</v>
      </c>
      <c r="M118" s="173" t="s">
        <v>217</v>
      </c>
      <c r="N118" s="174">
        <v>1120</v>
      </c>
      <c r="O118" s="174">
        <v>1120</v>
      </c>
      <c r="P118" s="174">
        <v>5000</v>
      </c>
      <c r="Q118" s="173">
        <v>2</v>
      </c>
      <c r="R118" s="173">
        <v>14</v>
      </c>
      <c r="S118" s="173" t="s">
        <v>354</v>
      </c>
      <c r="T118" s="175">
        <v>44795</v>
      </c>
      <c r="U118" s="175">
        <v>44832</v>
      </c>
      <c r="V118" s="173" t="s">
        <v>355</v>
      </c>
      <c r="W118" s="173"/>
      <c r="X118" s="173"/>
      <c r="Z118" s="146" t="str">
        <f t="shared" ca="1" si="1"/>
        <v/>
      </c>
      <c r="AA118" s="146" t="str">
        <f ca="1">IFERROR(IF(OR(OFFSET('S4'!#REF!,MATCH($A118,'S4'!$D$5:$D$2535,0)-1,6)="巻返し",OFFSET('S4'!#REF!,MATCH($A118,'S4'!$D$5:$D$2535,0)-1,6)="スリット"),SUMIF('S4'!$D$5:$D$2535,$A118,'S4'!$U$5:$U$2535),""),"")</f>
        <v/>
      </c>
      <c r="AB118" s="146" t="str">
        <f ca="1">IFERROR(IF(OR(OFFSET('S5'!#REF!,MATCH($A118,'S5'!$D$5:$D$2103,0)-1,6)="巻返し",OFFSET('S5'!#REF!,MATCH($A118,'S5'!$D$5:$D$2103,0)-1,6)="スリット"),SUMIF('S5'!$D$5:$D$2103,$A118,'S5'!$T$5:$T$2103),""),"")</f>
        <v/>
      </c>
    </row>
    <row r="119" spans="1:28" s="141" customFormat="1" ht="11.25" x14ac:dyDescent="0.15">
      <c r="A119" s="173">
        <v>3675638</v>
      </c>
      <c r="B119" s="173" t="s">
        <v>351</v>
      </c>
      <c r="C119" s="173" t="s">
        <v>352</v>
      </c>
      <c r="D119" s="173" t="s">
        <v>353</v>
      </c>
      <c r="E119" s="173" t="s">
        <v>116</v>
      </c>
      <c r="F119" s="173">
        <v>3</v>
      </c>
      <c r="G119" s="173" t="s">
        <v>19</v>
      </c>
      <c r="H119" s="173" t="s">
        <v>20</v>
      </c>
      <c r="I119" s="173" t="s">
        <v>205</v>
      </c>
      <c r="J119" s="173"/>
      <c r="K119" s="173" t="s">
        <v>216</v>
      </c>
      <c r="L119" s="173">
        <v>50</v>
      </c>
      <c r="M119" s="173" t="s">
        <v>217</v>
      </c>
      <c r="N119" s="174">
        <v>1120</v>
      </c>
      <c r="O119" s="174">
        <v>1120</v>
      </c>
      <c r="P119" s="174">
        <v>5000</v>
      </c>
      <c r="Q119" s="173">
        <v>2</v>
      </c>
      <c r="R119" s="173">
        <v>14</v>
      </c>
      <c r="S119" s="173" t="s">
        <v>354</v>
      </c>
      <c r="T119" s="175">
        <v>44795</v>
      </c>
      <c r="U119" s="175">
        <v>44837</v>
      </c>
      <c r="V119" s="173" t="s">
        <v>355</v>
      </c>
      <c r="W119" s="173"/>
      <c r="X119" s="173"/>
      <c r="Z119" s="146" t="str">
        <f t="shared" ca="1" si="1"/>
        <v/>
      </c>
      <c r="AA119" s="146" t="str">
        <f ca="1">IFERROR(IF(OR(OFFSET('S4'!#REF!,MATCH($A119,'S4'!$D$5:$D$2535,0)-1,6)="巻返し",OFFSET('S4'!#REF!,MATCH($A119,'S4'!$D$5:$D$2535,0)-1,6)="スリット"),SUMIF('S4'!$D$5:$D$2535,$A119,'S4'!$U$5:$U$2535),""),"")</f>
        <v/>
      </c>
      <c r="AB119" s="146" t="str">
        <f ca="1">IFERROR(IF(OR(OFFSET('S5'!#REF!,MATCH($A119,'S5'!$D$5:$D$2103,0)-1,6)="巻返し",OFFSET('S5'!#REF!,MATCH($A119,'S5'!$D$5:$D$2103,0)-1,6)="スリット"),SUMIF('S5'!$D$5:$D$2103,$A119,'S5'!$T$5:$T$2103),""),"")</f>
        <v/>
      </c>
    </row>
    <row r="120" spans="1:28" s="141" customFormat="1" ht="11.25" x14ac:dyDescent="0.15">
      <c r="A120" s="173">
        <v>3675639</v>
      </c>
      <c r="B120" s="173" t="s">
        <v>351</v>
      </c>
      <c r="C120" s="173" t="s">
        <v>352</v>
      </c>
      <c r="D120" s="173" t="s">
        <v>353</v>
      </c>
      <c r="E120" s="173" t="s">
        <v>116</v>
      </c>
      <c r="F120" s="173">
        <v>3</v>
      </c>
      <c r="G120" s="173" t="s">
        <v>19</v>
      </c>
      <c r="H120" s="173" t="s">
        <v>20</v>
      </c>
      <c r="I120" s="173" t="s">
        <v>205</v>
      </c>
      <c r="J120" s="173"/>
      <c r="K120" s="173" t="s">
        <v>216</v>
      </c>
      <c r="L120" s="173">
        <v>50</v>
      </c>
      <c r="M120" s="173" t="s">
        <v>217</v>
      </c>
      <c r="N120" s="174">
        <v>1120</v>
      </c>
      <c r="O120" s="174">
        <v>1120</v>
      </c>
      <c r="P120" s="174">
        <v>5000</v>
      </c>
      <c r="Q120" s="173">
        <v>2</v>
      </c>
      <c r="R120" s="173">
        <v>14</v>
      </c>
      <c r="S120" s="173" t="s">
        <v>354</v>
      </c>
      <c r="T120" s="175">
        <v>44795</v>
      </c>
      <c r="U120" s="175">
        <v>44846</v>
      </c>
      <c r="V120" s="173" t="s">
        <v>355</v>
      </c>
      <c r="W120" s="173"/>
      <c r="X120" s="173"/>
      <c r="Z120" s="146" t="str">
        <f t="shared" ca="1" si="1"/>
        <v/>
      </c>
      <c r="AA120" s="146" t="str">
        <f ca="1">IFERROR(IF(OR(OFFSET('S4'!#REF!,MATCH($A120,'S4'!$D$5:$D$2535,0)-1,6)="巻返し",OFFSET('S4'!#REF!,MATCH($A120,'S4'!$D$5:$D$2535,0)-1,6)="スリット"),SUMIF('S4'!$D$5:$D$2535,$A120,'S4'!$U$5:$U$2535),""),"")</f>
        <v/>
      </c>
      <c r="AB120" s="146" t="str">
        <f ca="1">IFERROR(IF(OR(OFFSET('S5'!#REF!,MATCH($A120,'S5'!$D$5:$D$2103,0)-1,6)="巻返し",OFFSET('S5'!#REF!,MATCH($A120,'S5'!$D$5:$D$2103,0)-1,6)="スリット"),SUMIF('S5'!$D$5:$D$2103,$A120,'S5'!$T$5:$T$2103),""),"")</f>
        <v/>
      </c>
    </row>
    <row r="121" spans="1:28" s="141" customFormat="1" ht="11.25" x14ac:dyDescent="0.15">
      <c r="A121" s="173">
        <v>3675640</v>
      </c>
      <c r="B121" s="173" t="s">
        <v>351</v>
      </c>
      <c r="C121" s="173" t="s">
        <v>352</v>
      </c>
      <c r="D121" s="173" t="s">
        <v>353</v>
      </c>
      <c r="E121" s="173" t="s">
        <v>116</v>
      </c>
      <c r="F121" s="173">
        <v>3</v>
      </c>
      <c r="G121" s="173" t="s">
        <v>19</v>
      </c>
      <c r="H121" s="173" t="s">
        <v>20</v>
      </c>
      <c r="I121" s="173" t="s">
        <v>205</v>
      </c>
      <c r="J121" s="173"/>
      <c r="K121" s="173" t="s">
        <v>218</v>
      </c>
      <c r="L121" s="173">
        <v>25</v>
      </c>
      <c r="M121" s="173" t="s">
        <v>219</v>
      </c>
      <c r="N121" s="174">
        <v>1005</v>
      </c>
      <c r="O121" s="174">
        <v>1000</v>
      </c>
      <c r="P121" s="174">
        <v>4000</v>
      </c>
      <c r="Q121" s="173">
        <v>2</v>
      </c>
      <c r="R121" s="173">
        <v>6</v>
      </c>
      <c r="S121" s="173" t="s">
        <v>354</v>
      </c>
      <c r="T121" s="175">
        <v>44795</v>
      </c>
      <c r="U121" s="175">
        <v>44824</v>
      </c>
      <c r="V121" s="173" t="s">
        <v>355</v>
      </c>
      <c r="W121" s="173"/>
      <c r="X121" s="173"/>
      <c r="Z121" s="146" t="str">
        <f t="shared" ca="1" si="1"/>
        <v/>
      </c>
      <c r="AA121" s="146" t="str">
        <f ca="1">IFERROR(IF(OR(OFFSET('S4'!#REF!,MATCH($A121,'S4'!$D$5:$D$2535,0)-1,6)="巻返し",OFFSET('S4'!#REF!,MATCH($A121,'S4'!$D$5:$D$2535,0)-1,6)="スリット"),SUMIF('S4'!$D$5:$D$2535,$A121,'S4'!$U$5:$U$2535),""),"")</f>
        <v/>
      </c>
      <c r="AB121" s="146" t="str">
        <f ca="1">IFERROR(IF(OR(OFFSET('S5'!#REF!,MATCH($A121,'S5'!$D$5:$D$2103,0)-1,6)="巻返し",OFFSET('S5'!#REF!,MATCH($A121,'S5'!$D$5:$D$2103,0)-1,6)="スリット"),SUMIF('S5'!$D$5:$D$2103,$A121,'S5'!$T$5:$T$2103),""),"")</f>
        <v/>
      </c>
    </row>
    <row r="122" spans="1:28" s="141" customFormat="1" ht="11.25" x14ac:dyDescent="0.15">
      <c r="A122" s="173">
        <v>3675641</v>
      </c>
      <c r="B122" s="173" t="s">
        <v>351</v>
      </c>
      <c r="C122" s="173" t="s">
        <v>352</v>
      </c>
      <c r="D122" s="173" t="s">
        <v>353</v>
      </c>
      <c r="E122" s="173" t="s">
        <v>116</v>
      </c>
      <c r="F122" s="173">
        <v>3</v>
      </c>
      <c r="G122" s="173" t="s">
        <v>19</v>
      </c>
      <c r="H122" s="173" t="s">
        <v>20</v>
      </c>
      <c r="I122" s="173" t="s">
        <v>205</v>
      </c>
      <c r="J122" s="173"/>
      <c r="K122" s="173" t="s">
        <v>218</v>
      </c>
      <c r="L122" s="173">
        <v>50</v>
      </c>
      <c r="M122" s="173" t="s">
        <v>219</v>
      </c>
      <c r="N122" s="174">
        <v>1000</v>
      </c>
      <c r="O122" s="174">
        <v>1000</v>
      </c>
      <c r="P122" s="174">
        <v>4000</v>
      </c>
      <c r="Q122" s="173">
        <v>2</v>
      </c>
      <c r="R122" s="173">
        <v>21</v>
      </c>
      <c r="S122" s="173" t="s">
        <v>354</v>
      </c>
      <c r="T122" s="175">
        <v>44795</v>
      </c>
      <c r="U122" s="175">
        <v>44824</v>
      </c>
      <c r="V122" s="173" t="s">
        <v>355</v>
      </c>
      <c r="W122" s="173"/>
      <c r="X122" s="173"/>
      <c r="Z122" s="146" t="str">
        <f t="shared" ca="1" si="1"/>
        <v/>
      </c>
      <c r="AA122" s="146" t="str">
        <f ca="1">IFERROR(IF(OR(OFFSET('S4'!#REF!,MATCH($A122,'S4'!$D$5:$D$2535,0)-1,6)="巻返し",OFFSET('S4'!#REF!,MATCH($A122,'S4'!$D$5:$D$2535,0)-1,6)="スリット"),SUMIF('S4'!$D$5:$D$2535,$A122,'S4'!$U$5:$U$2535),""),"")</f>
        <v/>
      </c>
      <c r="AB122" s="146" t="str">
        <f ca="1">IFERROR(IF(OR(OFFSET('S5'!#REF!,MATCH($A122,'S5'!$D$5:$D$2103,0)-1,6)="巻返し",OFFSET('S5'!#REF!,MATCH($A122,'S5'!$D$5:$D$2103,0)-1,6)="スリット"),SUMIF('S5'!$D$5:$D$2103,$A122,'S5'!$T$5:$T$2103),""),"")</f>
        <v/>
      </c>
    </row>
    <row r="123" spans="1:28" s="141" customFormat="1" ht="11.25" x14ac:dyDescent="0.15">
      <c r="A123" s="173">
        <v>3675642</v>
      </c>
      <c r="B123" s="173" t="s">
        <v>351</v>
      </c>
      <c r="C123" s="173" t="s">
        <v>352</v>
      </c>
      <c r="D123" s="173" t="s">
        <v>353</v>
      </c>
      <c r="E123" s="173" t="s">
        <v>116</v>
      </c>
      <c r="F123" s="173" t="s">
        <v>158</v>
      </c>
      <c r="G123" s="173" t="s">
        <v>19</v>
      </c>
      <c r="H123" s="173" t="s">
        <v>20</v>
      </c>
      <c r="I123" s="173" t="s">
        <v>165</v>
      </c>
      <c r="J123" s="173"/>
      <c r="K123" s="173" t="s">
        <v>195</v>
      </c>
      <c r="L123" s="173">
        <v>50</v>
      </c>
      <c r="M123" s="173" t="s">
        <v>196</v>
      </c>
      <c r="N123" s="174">
        <v>1005</v>
      </c>
      <c r="O123" s="174">
        <v>1000</v>
      </c>
      <c r="P123" s="174">
        <v>4000</v>
      </c>
      <c r="Q123" s="173">
        <v>2</v>
      </c>
      <c r="R123" s="173">
        <v>3</v>
      </c>
      <c r="S123" s="173" t="s">
        <v>354</v>
      </c>
      <c r="T123" s="175">
        <v>44795</v>
      </c>
      <c r="U123" s="175">
        <v>44824</v>
      </c>
      <c r="V123" s="173" t="s">
        <v>355</v>
      </c>
      <c r="W123" s="173"/>
      <c r="X123" s="173"/>
      <c r="Z123" s="146" t="str">
        <f t="shared" ca="1" si="1"/>
        <v/>
      </c>
      <c r="AA123" s="146" t="str">
        <f ca="1">IFERROR(IF(OR(OFFSET('S4'!#REF!,MATCH($A123,'S4'!$D$5:$D$2535,0)-1,6)="巻返し",OFFSET('S4'!#REF!,MATCH($A123,'S4'!$D$5:$D$2535,0)-1,6)="スリット"),SUMIF('S4'!$D$5:$D$2535,$A123,'S4'!$U$5:$U$2535),""),"")</f>
        <v/>
      </c>
      <c r="AB123" s="146" t="str">
        <f ca="1">IFERROR(IF(OR(OFFSET('S5'!#REF!,MATCH($A123,'S5'!$D$5:$D$2103,0)-1,6)="巻返し",OFFSET('S5'!#REF!,MATCH($A123,'S5'!$D$5:$D$2103,0)-1,6)="スリット"),SUMIF('S5'!$D$5:$D$2103,$A123,'S5'!$T$5:$T$2103),""),"")</f>
        <v/>
      </c>
    </row>
    <row r="124" spans="1:28" s="141" customFormat="1" ht="11.25" x14ac:dyDescent="0.15">
      <c r="A124" s="173">
        <v>3675643</v>
      </c>
      <c r="B124" s="173" t="s">
        <v>351</v>
      </c>
      <c r="C124" s="173" t="s">
        <v>352</v>
      </c>
      <c r="D124" s="173" t="s">
        <v>353</v>
      </c>
      <c r="E124" s="173" t="s">
        <v>116</v>
      </c>
      <c r="F124" s="173" t="s">
        <v>158</v>
      </c>
      <c r="G124" s="173" t="s">
        <v>19</v>
      </c>
      <c r="H124" s="173" t="s">
        <v>20</v>
      </c>
      <c r="I124" s="173" t="s">
        <v>165</v>
      </c>
      <c r="J124" s="173"/>
      <c r="K124" s="173" t="s">
        <v>197</v>
      </c>
      <c r="L124" s="173">
        <v>50</v>
      </c>
      <c r="M124" s="173" t="s">
        <v>198</v>
      </c>
      <c r="N124" s="174">
        <v>1005</v>
      </c>
      <c r="O124" s="174">
        <v>1000</v>
      </c>
      <c r="P124" s="174">
        <v>4000</v>
      </c>
      <c r="Q124" s="173">
        <v>2</v>
      </c>
      <c r="R124" s="173">
        <v>6</v>
      </c>
      <c r="S124" s="173" t="s">
        <v>354</v>
      </c>
      <c r="T124" s="175">
        <v>44795</v>
      </c>
      <c r="U124" s="175">
        <v>44824</v>
      </c>
      <c r="V124" s="173" t="s">
        <v>355</v>
      </c>
      <c r="W124" s="173"/>
      <c r="X124" s="173"/>
      <c r="Z124" s="146" t="str">
        <f t="shared" ca="1" si="1"/>
        <v/>
      </c>
      <c r="AA124" s="146" t="str">
        <f ca="1">IFERROR(IF(OR(OFFSET('S4'!#REF!,MATCH($A124,'S4'!$D$5:$D$2535,0)-1,6)="巻返し",OFFSET('S4'!#REF!,MATCH($A124,'S4'!$D$5:$D$2535,0)-1,6)="スリット"),SUMIF('S4'!$D$5:$D$2535,$A124,'S4'!$U$5:$U$2535),""),"")</f>
        <v/>
      </c>
      <c r="AB124" s="146" t="str">
        <f ca="1">IFERROR(IF(OR(OFFSET('S5'!#REF!,MATCH($A124,'S5'!$D$5:$D$2103,0)-1,6)="巻返し",OFFSET('S5'!#REF!,MATCH($A124,'S5'!$D$5:$D$2103,0)-1,6)="スリット"),SUMIF('S5'!$D$5:$D$2103,$A124,'S5'!$T$5:$T$2103),""),"")</f>
        <v/>
      </c>
    </row>
    <row r="125" spans="1:28" s="141" customFormat="1" ht="11.25" x14ac:dyDescent="0.15">
      <c r="A125" s="173">
        <v>3675644</v>
      </c>
      <c r="B125" s="173" t="s">
        <v>351</v>
      </c>
      <c r="C125" s="173" t="s">
        <v>352</v>
      </c>
      <c r="D125" s="173" t="s">
        <v>353</v>
      </c>
      <c r="E125" s="173" t="s">
        <v>116</v>
      </c>
      <c r="F125" s="173">
        <v>3</v>
      </c>
      <c r="G125" s="173" t="s">
        <v>19</v>
      </c>
      <c r="H125" s="173" t="s">
        <v>20</v>
      </c>
      <c r="I125" s="173" t="s">
        <v>165</v>
      </c>
      <c r="J125" s="173"/>
      <c r="K125" s="173" t="s">
        <v>176</v>
      </c>
      <c r="L125" s="173">
        <v>50</v>
      </c>
      <c r="M125" s="173" t="s">
        <v>177</v>
      </c>
      <c r="N125" s="174">
        <v>1005</v>
      </c>
      <c r="O125" s="174">
        <v>1000</v>
      </c>
      <c r="P125" s="174">
        <v>4000</v>
      </c>
      <c r="Q125" s="173">
        <v>2</v>
      </c>
      <c r="R125" s="173">
        <v>3</v>
      </c>
      <c r="S125" s="173" t="s">
        <v>354</v>
      </c>
      <c r="T125" s="175">
        <v>44795</v>
      </c>
      <c r="U125" s="175">
        <v>44824</v>
      </c>
      <c r="V125" s="173" t="s">
        <v>355</v>
      </c>
      <c r="W125" s="173"/>
      <c r="X125" s="173"/>
      <c r="Z125" s="146" t="str">
        <f t="shared" ca="1" si="1"/>
        <v/>
      </c>
      <c r="AA125" s="146" t="str">
        <f ca="1">IFERROR(IF(OR(OFFSET('S4'!#REF!,MATCH($A125,'S4'!$D$5:$D$2535,0)-1,6)="巻返し",OFFSET('S4'!#REF!,MATCH($A125,'S4'!$D$5:$D$2535,0)-1,6)="スリット"),SUMIF('S4'!$D$5:$D$2535,$A125,'S4'!$U$5:$U$2535),""),"")</f>
        <v/>
      </c>
      <c r="AB125" s="146" t="str">
        <f ca="1">IFERROR(IF(OR(OFFSET('S5'!#REF!,MATCH($A125,'S5'!$D$5:$D$2103,0)-1,6)="巻返し",OFFSET('S5'!#REF!,MATCH($A125,'S5'!$D$5:$D$2103,0)-1,6)="スリット"),SUMIF('S5'!$D$5:$D$2103,$A125,'S5'!$T$5:$T$2103),""),"")</f>
        <v/>
      </c>
    </row>
    <row r="126" spans="1:28" s="141" customFormat="1" ht="11.25" x14ac:dyDescent="0.15">
      <c r="A126" s="173">
        <v>3675645</v>
      </c>
      <c r="B126" s="173" t="s">
        <v>351</v>
      </c>
      <c r="C126" s="173" t="s">
        <v>352</v>
      </c>
      <c r="D126" s="173" t="s">
        <v>353</v>
      </c>
      <c r="E126" s="173" t="s">
        <v>116</v>
      </c>
      <c r="F126" s="173">
        <v>3</v>
      </c>
      <c r="G126" s="173" t="s">
        <v>19</v>
      </c>
      <c r="H126" s="173" t="s">
        <v>28</v>
      </c>
      <c r="I126" s="173" t="s">
        <v>205</v>
      </c>
      <c r="J126" s="173"/>
      <c r="K126" s="173" t="s">
        <v>237</v>
      </c>
      <c r="L126" s="173">
        <v>50</v>
      </c>
      <c r="M126" s="173" t="s">
        <v>238</v>
      </c>
      <c r="N126" s="174">
        <v>1120</v>
      </c>
      <c r="O126" s="174">
        <v>1120</v>
      </c>
      <c r="P126" s="174">
        <v>4000</v>
      </c>
      <c r="Q126" s="173">
        <v>2</v>
      </c>
      <c r="R126" s="173">
        <v>2</v>
      </c>
      <c r="S126" s="173" t="s">
        <v>354</v>
      </c>
      <c r="T126" s="175">
        <v>44795</v>
      </c>
      <c r="U126" s="175">
        <v>44830</v>
      </c>
      <c r="V126" s="173" t="s">
        <v>355</v>
      </c>
      <c r="W126" s="173"/>
      <c r="X126" s="173"/>
      <c r="Z126" s="146" t="str">
        <f t="shared" ca="1" si="1"/>
        <v/>
      </c>
      <c r="AA126" s="146" t="str">
        <f ca="1">IFERROR(IF(OR(OFFSET('S4'!#REF!,MATCH($A126,'S4'!$D$5:$D$2535,0)-1,6)="巻返し",OFFSET('S4'!#REF!,MATCH($A126,'S4'!$D$5:$D$2535,0)-1,6)="スリット"),SUMIF('S4'!$D$5:$D$2535,$A126,'S4'!$U$5:$U$2535),""),"")</f>
        <v/>
      </c>
      <c r="AB126" s="146" t="str">
        <f ca="1">IFERROR(IF(OR(OFFSET('S5'!#REF!,MATCH($A126,'S5'!$D$5:$D$2103,0)-1,6)="巻返し",OFFSET('S5'!#REF!,MATCH($A126,'S5'!$D$5:$D$2103,0)-1,6)="スリット"),SUMIF('S5'!$D$5:$D$2103,$A126,'S5'!$T$5:$T$2103),""),"")</f>
        <v/>
      </c>
    </row>
    <row r="127" spans="1:28" s="141" customFormat="1" ht="11.25" x14ac:dyDescent="0.15">
      <c r="A127" s="173">
        <v>3675646</v>
      </c>
      <c r="B127" s="173" t="s">
        <v>351</v>
      </c>
      <c r="C127" s="173" t="s">
        <v>352</v>
      </c>
      <c r="D127" s="173" t="s">
        <v>353</v>
      </c>
      <c r="E127" s="173" t="s">
        <v>116</v>
      </c>
      <c r="F127" s="173">
        <v>3</v>
      </c>
      <c r="G127" s="173" t="s">
        <v>19</v>
      </c>
      <c r="H127" s="173" t="s">
        <v>28</v>
      </c>
      <c r="I127" s="173" t="s">
        <v>205</v>
      </c>
      <c r="J127" s="173"/>
      <c r="K127" s="173" t="s">
        <v>233</v>
      </c>
      <c r="L127" s="173">
        <v>50</v>
      </c>
      <c r="M127" s="173" t="s">
        <v>234</v>
      </c>
      <c r="N127" s="174">
        <v>1120</v>
      </c>
      <c r="O127" s="174">
        <v>1120</v>
      </c>
      <c r="P127" s="174">
        <v>4000</v>
      </c>
      <c r="Q127" s="173">
        <v>2</v>
      </c>
      <c r="R127" s="173">
        <v>4</v>
      </c>
      <c r="S127" s="173" t="s">
        <v>354</v>
      </c>
      <c r="T127" s="175">
        <v>44795</v>
      </c>
      <c r="U127" s="175">
        <v>44830</v>
      </c>
      <c r="V127" s="173" t="s">
        <v>355</v>
      </c>
      <c r="W127" s="173"/>
      <c r="X127" s="173"/>
      <c r="Z127" s="146" t="str">
        <f t="shared" ca="1" si="1"/>
        <v/>
      </c>
      <c r="AA127" s="146" t="str">
        <f ca="1">IFERROR(IF(OR(OFFSET('S4'!#REF!,MATCH($A127,'S4'!$D$5:$D$2535,0)-1,6)="巻返し",OFFSET('S4'!#REF!,MATCH($A127,'S4'!$D$5:$D$2535,0)-1,6)="スリット"),SUMIF('S4'!$D$5:$D$2535,$A127,'S4'!$U$5:$U$2535),""),"")</f>
        <v/>
      </c>
      <c r="AB127" s="146" t="str">
        <f ca="1">IFERROR(IF(OR(OFFSET('S5'!#REF!,MATCH($A127,'S5'!$D$5:$D$2103,0)-1,6)="巻返し",OFFSET('S5'!#REF!,MATCH($A127,'S5'!$D$5:$D$2103,0)-1,6)="スリット"),SUMIF('S5'!$D$5:$D$2103,$A127,'S5'!$T$5:$T$2103),""),"")</f>
        <v/>
      </c>
    </row>
    <row r="128" spans="1:28" s="141" customFormat="1" ht="11.25" x14ac:dyDescent="0.15">
      <c r="A128" s="173">
        <v>3676794</v>
      </c>
      <c r="B128" s="173" t="s">
        <v>351</v>
      </c>
      <c r="C128" s="173" t="s">
        <v>352</v>
      </c>
      <c r="D128" s="173" t="s">
        <v>353</v>
      </c>
      <c r="E128" s="173" t="s">
        <v>116</v>
      </c>
      <c r="F128" s="173">
        <v>3</v>
      </c>
      <c r="G128" s="173" t="s">
        <v>19</v>
      </c>
      <c r="H128" s="173" t="s">
        <v>28</v>
      </c>
      <c r="I128" s="173" t="s">
        <v>205</v>
      </c>
      <c r="J128" s="173"/>
      <c r="K128" s="173" t="s">
        <v>224</v>
      </c>
      <c r="L128" s="173">
        <v>50</v>
      </c>
      <c r="M128" s="173" t="s">
        <v>225</v>
      </c>
      <c r="N128" s="174">
        <v>1120</v>
      </c>
      <c r="O128" s="174">
        <v>1120</v>
      </c>
      <c r="P128" s="174">
        <v>5000</v>
      </c>
      <c r="Q128" s="173">
        <v>2</v>
      </c>
      <c r="R128" s="173">
        <v>1</v>
      </c>
      <c r="S128" s="173" t="s">
        <v>354</v>
      </c>
      <c r="T128" s="175">
        <v>44802</v>
      </c>
      <c r="U128" s="175">
        <v>44824</v>
      </c>
      <c r="V128" s="173" t="s">
        <v>355</v>
      </c>
      <c r="W128" s="173"/>
      <c r="X128" s="173"/>
      <c r="Z128" s="146" t="str">
        <f t="shared" ca="1" si="1"/>
        <v/>
      </c>
      <c r="AA128" s="146" t="str">
        <f ca="1">IFERROR(IF(OR(OFFSET('S4'!#REF!,MATCH($A128,'S4'!$D$5:$D$2535,0)-1,6)="巻返し",OFFSET('S4'!#REF!,MATCH($A128,'S4'!$D$5:$D$2535,0)-1,6)="スリット"),SUMIF('S4'!$D$5:$D$2535,$A128,'S4'!$U$5:$U$2535),""),"")</f>
        <v/>
      </c>
      <c r="AB128" s="146" t="str">
        <f ca="1">IFERROR(IF(OR(OFFSET('S5'!#REF!,MATCH($A128,'S5'!$D$5:$D$2103,0)-1,6)="巻返し",OFFSET('S5'!#REF!,MATCH($A128,'S5'!$D$5:$D$2103,0)-1,6)="スリット"),SUMIF('S5'!$D$5:$D$2103,$A128,'S5'!$T$5:$T$2103),""),"")</f>
        <v/>
      </c>
    </row>
    <row r="129" spans="1:28" s="141" customFormat="1" ht="11.25" x14ac:dyDescent="0.15">
      <c r="A129" s="173">
        <v>3676795</v>
      </c>
      <c r="B129" s="173" t="s">
        <v>351</v>
      </c>
      <c r="C129" s="173" t="s">
        <v>352</v>
      </c>
      <c r="D129" s="173" t="s">
        <v>353</v>
      </c>
      <c r="E129" s="173" t="s">
        <v>116</v>
      </c>
      <c r="F129" s="173">
        <v>3</v>
      </c>
      <c r="G129" s="173" t="s">
        <v>19</v>
      </c>
      <c r="H129" s="173" t="s">
        <v>28</v>
      </c>
      <c r="I129" s="173" t="s">
        <v>205</v>
      </c>
      <c r="J129" s="173"/>
      <c r="K129" s="173" t="s">
        <v>224</v>
      </c>
      <c r="L129" s="173">
        <v>50</v>
      </c>
      <c r="M129" s="173" t="s">
        <v>225</v>
      </c>
      <c r="N129" s="174">
        <v>1120</v>
      </c>
      <c r="O129" s="174">
        <v>1120</v>
      </c>
      <c r="P129" s="174">
        <v>5000</v>
      </c>
      <c r="Q129" s="173">
        <v>2</v>
      </c>
      <c r="R129" s="173">
        <v>2</v>
      </c>
      <c r="S129" s="173" t="s">
        <v>354</v>
      </c>
      <c r="T129" s="175">
        <v>44802</v>
      </c>
      <c r="U129" s="175">
        <v>44830</v>
      </c>
      <c r="V129" s="173" t="s">
        <v>355</v>
      </c>
      <c r="W129" s="173"/>
      <c r="X129" s="173"/>
      <c r="Z129" s="146" t="str">
        <f t="shared" ca="1" si="1"/>
        <v/>
      </c>
      <c r="AA129" s="146" t="str">
        <f ca="1">IFERROR(IF(OR(OFFSET('S4'!#REF!,MATCH($A129,'S4'!$D$5:$D$2535,0)-1,6)="巻返し",OFFSET('S4'!#REF!,MATCH($A129,'S4'!$D$5:$D$2535,0)-1,6)="スリット"),SUMIF('S4'!$D$5:$D$2535,$A129,'S4'!$U$5:$U$2535),""),"")</f>
        <v/>
      </c>
      <c r="AB129" s="146" t="str">
        <f ca="1">IFERROR(IF(OR(OFFSET('S5'!#REF!,MATCH($A129,'S5'!$D$5:$D$2103,0)-1,6)="巻返し",OFFSET('S5'!#REF!,MATCH($A129,'S5'!$D$5:$D$2103,0)-1,6)="スリット"),SUMIF('S5'!$D$5:$D$2103,$A129,'S5'!$T$5:$T$2103),""),"")</f>
        <v/>
      </c>
    </row>
    <row r="130" spans="1:28" s="141" customFormat="1" ht="11.25" x14ac:dyDescent="0.15">
      <c r="A130" s="173">
        <v>3676796</v>
      </c>
      <c r="B130" s="173" t="s">
        <v>351</v>
      </c>
      <c r="C130" s="173" t="s">
        <v>352</v>
      </c>
      <c r="D130" s="173" t="s">
        <v>353</v>
      </c>
      <c r="E130" s="173" t="s">
        <v>116</v>
      </c>
      <c r="F130" s="173">
        <v>3</v>
      </c>
      <c r="G130" s="173" t="s">
        <v>19</v>
      </c>
      <c r="H130" s="173" t="s">
        <v>28</v>
      </c>
      <c r="I130" s="173" t="s">
        <v>205</v>
      </c>
      <c r="J130" s="173"/>
      <c r="K130" s="173" t="s">
        <v>224</v>
      </c>
      <c r="L130" s="173">
        <v>50</v>
      </c>
      <c r="M130" s="173" t="s">
        <v>225</v>
      </c>
      <c r="N130" s="174">
        <v>1120</v>
      </c>
      <c r="O130" s="174">
        <v>1120</v>
      </c>
      <c r="P130" s="174">
        <v>5000</v>
      </c>
      <c r="Q130" s="173">
        <v>2</v>
      </c>
      <c r="R130" s="173">
        <v>1</v>
      </c>
      <c r="S130" s="173" t="s">
        <v>354</v>
      </c>
      <c r="T130" s="175">
        <v>44802</v>
      </c>
      <c r="U130" s="175">
        <v>44830</v>
      </c>
      <c r="V130" s="173" t="s">
        <v>355</v>
      </c>
      <c r="W130" s="173"/>
      <c r="X130" s="173"/>
      <c r="Z130" s="146" t="str">
        <f t="shared" ca="1" si="1"/>
        <v/>
      </c>
      <c r="AA130" s="146" t="str">
        <f ca="1">IFERROR(IF(OR(OFFSET('S4'!#REF!,MATCH($A130,'S4'!$D$5:$D$2535,0)-1,6)="巻返し",OFFSET('S4'!#REF!,MATCH($A130,'S4'!$D$5:$D$2535,0)-1,6)="スリット"),SUMIF('S4'!$D$5:$D$2535,$A130,'S4'!$U$5:$U$2535),""),"")</f>
        <v/>
      </c>
      <c r="AB130" s="146" t="str">
        <f ca="1">IFERROR(IF(OR(OFFSET('S5'!#REF!,MATCH($A130,'S5'!$D$5:$D$2103,0)-1,6)="巻返し",OFFSET('S5'!#REF!,MATCH($A130,'S5'!$D$5:$D$2103,0)-1,6)="スリット"),SUMIF('S5'!$D$5:$D$2103,$A130,'S5'!$T$5:$T$2103),""),"")</f>
        <v/>
      </c>
    </row>
    <row r="131" spans="1:28" s="141" customFormat="1" ht="11.25" x14ac:dyDescent="0.15">
      <c r="A131" s="173">
        <v>3676797</v>
      </c>
      <c r="B131" s="173" t="s">
        <v>351</v>
      </c>
      <c r="C131" s="173" t="s">
        <v>352</v>
      </c>
      <c r="D131" s="173" t="s">
        <v>353</v>
      </c>
      <c r="E131" s="173" t="s">
        <v>116</v>
      </c>
      <c r="F131" s="173">
        <v>3</v>
      </c>
      <c r="G131" s="173" t="s">
        <v>19</v>
      </c>
      <c r="H131" s="173" t="s">
        <v>28</v>
      </c>
      <c r="I131" s="173" t="s">
        <v>205</v>
      </c>
      <c r="J131" s="173"/>
      <c r="K131" s="173" t="s">
        <v>224</v>
      </c>
      <c r="L131" s="173">
        <v>25</v>
      </c>
      <c r="M131" s="173" t="s">
        <v>225</v>
      </c>
      <c r="N131" s="174">
        <v>1120</v>
      </c>
      <c r="O131" s="174">
        <v>1120</v>
      </c>
      <c r="P131" s="174">
        <v>8000</v>
      </c>
      <c r="Q131" s="173">
        <v>2</v>
      </c>
      <c r="R131" s="173">
        <v>1</v>
      </c>
      <c r="S131" s="173" t="s">
        <v>354</v>
      </c>
      <c r="T131" s="175">
        <v>44802</v>
      </c>
      <c r="U131" s="175">
        <v>44830</v>
      </c>
      <c r="V131" s="173" t="s">
        <v>355</v>
      </c>
      <c r="W131" s="173"/>
      <c r="X131" s="173"/>
      <c r="Z131" s="146" t="str">
        <f t="shared" ca="1" si="1"/>
        <v/>
      </c>
      <c r="AA131" s="146" t="str">
        <f ca="1">IFERROR(IF(OR(OFFSET('S4'!#REF!,MATCH($A131,'S4'!$D$5:$D$2535,0)-1,6)="巻返し",OFFSET('S4'!#REF!,MATCH($A131,'S4'!$D$5:$D$2535,0)-1,6)="スリット"),SUMIF('S4'!$D$5:$D$2535,$A131,'S4'!$U$5:$U$2535),""),"")</f>
        <v/>
      </c>
      <c r="AB131" s="146" t="str">
        <f ca="1">IFERROR(IF(OR(OFFSET('S5'!#REF!,MATCH($A131,'S5'!$D$5:$D$2103,0)-1,6)="巻返し",OFFSET('S5'!#REF!,MATCH($A131,'S5'!$D$5:$D$2103,0)-1,6)="スリット"),SUMIF('S5'!$D$5:$D$2103,$A131,'S5'!$T$5:$T$2103),""),"")</f>
        <v/>
      </c>
    </row>
    <row r="132" spans="1:28" s="141" customFormat="1" ht="11.25" x14ac:dyDescent="0.15">
      <c r="A132" s="173">
        <v>3676798</v>
      </c>
      <c r="B132" s="173" t="s">
        <v>351</v>
      </c>
      <c r="C132" s="173" t="s">
        <v>352</v>
      </c>
      <c r="D132" s="173" t="s">
        <v>353</v>
      </c>
      <c r="E132" s="173" t="s">
        <v>116</v>
      </c>
      <c r="F132" s="173">
        <v>3</v>
      </c>
      <c r="G132" s="173" t="s">
        <v>19</v>
      </c>
      <c r="H132" s="173" t="s">
        <v>28</v>
      </c>
      <c r="I132" s="173" t="s">
        <v>205</v>
      </c>
      <c r="J132" s="173"/>
      <c r="K132" s="173" t="s">
        <v>224</v>
      </c>
      <c r="L132" s="173">
        <v>25</v>
      </c>
      <c r="M132" s="173" t="s">
        <v>225</v>
      </c>
      <c r="N132" s="174">
        <v>1120</v>
      </c>
      <c r="O132" s="174">
        <v>1120</v>
      </c>
      <c r="P132" s="174">
        <v>8000</v>
      </c>
      <c r="Q132" s="173">
        <v>2</v>
      </c>
      <c r="R132" s="173">
        <v>1</v>
      </c>
      <c r="S132" s="173" t="s">
        <v>354</v>
      </c>
      <c r="T132" s="175">
        <v>44802</v>
      </c>
      <c r="U132" s="175">
        <v>44830</v>
      </c>
      <c r="V132" s="173" t="s">
        <v>355</v>
      </c>
      <c r="W132" s="173"/>
      <c r="X132" s="173"/>
      <c r="Z132" s="146" t="str">
        <f t="shared" ref="Z132:Z195" ca="1" si="2">IF(SUM(AA132:AB132)=0,"",SUM(AA132:AB132))</f>
        <v/>
      </c>
      <c r="AA132" s="146" t="str">
        <f ca="1">IFERROR(IF(OR(OFFSET('S4'!#REF!,MATCH($A132,'S4'!$D$5:$D$2535,0)-1,6)="巻返し",OFFSET('S4'!#REF!,MATCH($A132,'S4'!$D$5:$D$2535,0)-1,6)="スリット"),SUMIF('S4'!$D$5:$D$2535,$A132,'S4'!$U$5:$U$2535),""),"")</f>
        <v/>
      </c>
      <c r="AB132" s="146" t="str">
        <f ca="1">IFERROR(IF(OR(OFFSET('S5'!#REF!,MATCH($A132,'S5'!$D$5:$D$2103,0)-1,6)="巻返し",OFFSET('S5'!#REF!,MATCH($A132,'S5'!$D$5:$D$2103,0)-1,6)="スリット"),SUMIF('S5'!$D$5:$D$2103,$A132,'S5'!$T$5:$T$2103),""),"")</f>
        <v/>
      </c>
    </row>
    <row r="133" spans="1:28" s="141" customFormat="1" ht="11.25" x14ac:dyDescent="0.15">
      <c r="A133" s="173">
        <v>3676799</v>
      </c>
      <c r="B133" s="173" t="s">
        <v>351</v>
      </c>
      <c r="C133" s="173" t="s">
        <v>352</v>
      </c>
      <c r="D133" s="173" t="s">
        <v>353</v>
      </c>
      <c r="E133" s="173" t="s">
        <v>116</v>
      </c>
      <c r="F133" s="173">
        <v>3</v>
      </c>
      <c r="G133" s="173" t="s">
        <v>19</v>
      </c>
      <c r="H133" s="173" t="s">
        <v>28</v>
      </c>
      <c r="I133" s="173" t="s">
        <v>205</v>
      </c>
      <c r="J133" s="173"/>
      <c r="K133" s="173" t="s">
        <v>233</v>
      </c>
      <c r="L133" s="173">
        <v>50</v>
      </c>
      <c r="M133" s="173" t="s">
        <v>234</v>
      </c>
      <c r="N133" s="174">
        <v>1120</v>
      </c>
      <c r="O133" s="174">
        <v>1120</v>
      </c>
      <c r="P133" s="174">
        <v>4000</v>
      </c>
      <c r="Q133" s="173">
        <v>2</v>
      </c>
      <c r="R133" s="173">
        <v>6</v>
      </c>
      <c r="S133" s="173" t="s">
        <v>354</v>
      </c>
      <c r="T133" s="175">
        <v>44802</v>
      </c>
      <c r="U133" s="175">
        <v>44830</v>
      </c>
      <c r="V133" s="173" t="s">
        <v>355</v>
      </c>
      <c r="W133" s="173"/>
      <c r="X133" s="173"/>
      <c r="Z133" s="146" t="str">
        <f t="shared" ca="1" si="2"/>
        <v/>
      </c>
      <c r="AA133" s="146" t="str">
        <f ca="1">IFERROR(IF(OR(OFFSET('S4'!#REF!,MATCH($A133,'S4'!$D$5:$D$2535,0)-1,6)="巻返し",OFFSET('S4'!#REF!,MATCH($A133,'S4'!$D$5:$D$2535,0)-1,6)="スリット"),SUMIF('S4'!$D$5:$D$2535,$A133,'S4'!$U$5:$U$2535),""),"")</f>
        <v/>
      </c>
      <c r="AB133" s="146" t="str">
        <f ca="1">IFERROR(IF(OR(OFFSET('S5'!#REF!,MATCH($A133,'S5'!$D$5:$D$2103,0)-1,6)="巻返し",OFFSET('S5'!#REF!,MATCH($A133,'S5'!$D$5:$D$2103,0)-1,6)="スリット"),SUMIF('S5'!$D$5:$D$2103,$A133,'S5'!$T$5:$T$2103),""),"")</f>
        <v/>
      </c>
    </row>
    <row r="134" spans="1:28" s="141" customFormat="1" ht="11.25" x14ac:dyDescent="0.15">
      <c r="A134" s="173">
        <v>3676800</v>
      </c>
      <c r="B134" s="173" t="s">
        <v>351</v>
      </c>
      <c r="C134" s="173" t="s">
        <v>352</v>
      </c>
      <c r="D134" s="173" t="s">
        <v>353</v>
      </c>
      <c r="E134" s="173" t="s">
        <v>116</v>
      </c>
      <c r="F134" s="173">
        <v>3</v>
      </c>
      <c r="G134" s="173" t="s">
        <v>19</v>
      </c>
      <c r="H134" s="173" t="s">
        <v>28</v>
      </c>
      <c r="I134" s="173" t="s">
        <v>205</v>
      </c>
      <c r="J134" s="173"/>
      <c r="K134" s="173" t="s">
        <v>233</v>
      </c>
      <c r="L134" s="173">
        <v>50</v>
      </c>
      <c r="M134" s="173" t="s">
        <v>234</v>
      </c>
      <c r="N134" s="174">
        <v>1120</v>
      </c>
      <c r="O134" s="174">
        <v>1120</v>
      </c>
      <c r="P134" s="174">
        <v>4000</v>
      </c>
      <c r="Q134" s="173">
        <v>2</v>
      </c>
      <c r="R134" s="173">
        <v>2</v>
      </c>
      <c r="S134" s="173" t="s">
        <v>354</v>
      </c>
      <c r="T134" s="175">
        <v>44802</v>
      </c>
      <c r="U134" s="175">
        <v>44830</v>
      </c>
      <c r="V134" s="173" t="s">
        <v>355</v>
      </c>
      <c r="W134" s="173"/>
      <c r="X134" s="173"/>
      <c r="Z134" s="146" t="str">
        <f t="shared" ca="1" si="2"/>
        <v/>
      </c>
      <c r="AA134" s="146" t="str">
        <f ca="1">IFERROR(IF(OR(OFFSET('S4'!#REF!,MATCH($A134,'S4'!$D$5:$D$2535,0)-1,6)="巻返し",OFFSET('S4'!#REF!,MATCH($A134,'S4'!$D$5:$D$2535,0)-1,6)="スリット"),SUMIF('S4'!$D$5:$D$2535,$A134,'S4'!$U$5:$U$2535),""),"")</f>
        <v/>
      </c>
      <c r="AB134" s="146" t="str">
        <f ca="1">IFERROR(IF(OR(OFFSET('S5'!#REF!,MATCH($A134,'S5'!$D$5:$D$2103,0)-1,6)="巻返し",OFFSET('S5'!#REF!,MATCH($A134,'S5'!$D$5:$D$2103,0)-1,6)="スリット"),SUMIF('S5'!$D$5:$D$2103,$A134,'S5'!$T$5:$T$2103),""),"")</f>
        <v/>
      </c>
    </row>
    <row r="135" spans="1:28" s="141" customFormat="1" ht="11.25" x14ac:dyDescent="0.15">
      <c r="A135" s="173">
        <v>3677676</v>
      </c>
      <c r="B135" s="173" t="s">
        <v>510</v>
      </c>
      <c r="C135" s="173" t="s">
        <v>364</v>
      </c>
      <c r="D135" s="173" t="s">
        <v>353</v>
      </c>
      <c r="E135" s="173" t="s">
        <v>116</v>
      </c>
      <c r="F135" s="173">
        <v>3</v>
      </c>
      <c r="G135" s="173" t="s">
        <v>269</v>
      </c>
      <c r="H135" s="173" t="s">
        <v>20</v>
      </c>
      <c r="I135" s="173" t="s">
        <v>165</v>
      </c>
      <c r="J135" s="173"/>
      <c r="K135" s="173" t="s">
        <v>176</v>
      </c>
      <c r="L135" s="173">
        <v>25</v>
      </c>
      <c r="M135" s="173" t="s">
        <v>577</v>
      </c>
      <c r="N135" s="174">
        <v>1000</v>
      </c>
      <c r="O135" s="174">
        <v>1000</v>
      </c>
      <c r="P135" s="174">
        <v>8000</v>
      </c>
      <c r="Q135" s="173">
        <v>2</v>
      </c>
      <c r="R135" s="173">
        <v>1</v>
      </c>
      <c r="S135" s="173" t="s">
        <v>354</v>
      </c>
      <c r="T135" s="175">
        <v>44812</v>
      </c>
      <c r="U135" s="175">
        <v>44841</v>
      </c>
      <c r="V135" s="173" t="s">
        <v>428</v>
      </c>
      <c r="W135" s="173"/>
      <c r="X135" s="173"/>
      <c r="Z135" s="146" t="str">
        <f t="shared" ca="1" si="2"/>
        <v/>
      </c>
      <c r="AA135" s="146" t="str">
        <f ca="1">IFERROR(IF(OR(OFFSET('S4'!#REF!,MATCH($A135,'S4'!$D$5:$D$2535,0)-1,6)="巻返し",OFFSET('S4'!#REF!,MATCH($A135,'S4'!$D$5:$D$2535,0)-1,6)="スリット"),SUMIF('S4'!$D$5:$D$2535,$A135,'S4'!$U$5:$U$2535),""),"")</f>
        <v/>
      </c>
      <c r="AB135" s="146" t="str">
        <f ca="1">IFERROR(IF(OR(OFFSET('S5'!#REF!,MATCH($A135,'S5'!$D$5:$D$2103,0)-1,6)="巻返し",OFFSET('S5'!#REF!,MATCH($A135,'S5'!$D$5:$D$2103,0)-1,6)="スリット"),SUMIF('S5'!$D$5:$D$2103,$A135,'S5'!$T$5:$T$2103),""),"")</f>
        <v/>
      </c>
    </row>
    <row r="136" spans="1:28" s="141" customFormat="1" ht="11.25" x14ac:dyDescent="0.15">
      <c r="A136" s="173">
        <v>3677677</v>
      </c>
      <c r="B136" s="173" t="s">
        <v>510</v>
      </c>
      <c r="C136" s="173" t="s">
        <v>364</v>
      </c>
      <c r="D136" s="173" t="s">
        <v>353</v>
      </c>
      <c r="E136" s="173" t="s">
        <v>116</v>
      </c>
      <c r="F136" s="173">
        <v>3</v>
      </c>
      <c r="G136" s="173" t="s">
        <v>269</v>
      </c>
      <c r="H136" s="173" t="s">
        <v>20</v>
      </c>
      <c r="I136" s="173" t="s">
        <v>165</v>
      </c>
      <c r="J136" s="173"/>
      <c r="K136" s="173" t="s">
        <v>172</v>
      </c>
      <c r="L136" s="173">
        <v>25</v>
      </c>
      <c r="M136" s="173" t="s">
        <v>576</v>
      </c>
      <c r="N136" s="174">
        <v>1000</v>
      </c>
      <c r="O136" s="174">
        <v>1000</v>
      </c>
      <c r="P136" s="174">
        <v>2000</v>
      </c>
      <c r="Q136" s="173">
        <v>2</v>
      </c>
      <c r="R136" s="173">
        <v>2</v>
      </c>
      <c r="S136" s="173" t="s">
        <v>354</v>
      </c>
      <c r="T136" s="175">
        <v>44812</v>
      </c>
      <c r="U136" s="175">
        <v>44841</v>
      </c>
      <c r="V136" s="173" t="s">
        <v>428</v>
      </c>
      <c r="W136" s="173"/>
      <c r="X136" s="173"/>
      <c r="Z136" s="146" t="str">
        <f t="shared" ca="1" si="2"/>
        <v/>
      </c>
      <c r="AA136" s="146" t="str">
        <f ca="1">IFERROR(IF(OR(OFFSET('S4'!#REF!,MATCH($A136,'S4'!$D$5:$D$2535,0)-1,6)="巻返し",OFFSET('S4'!#REF!,MATCH($A136,'S4'!$D$5:$D$2535,0)-1,6)="スリット"),SUMIF('S4'!$D$5:$D$2535,$A136,'S4'!$U$5:$U$2535),""),"")</f>
        <v/>
      </c>
      <c r="AB136" s="146" t="str">
        <f ca="1">IFERROR(IF(OR(OFFSET('S5'!#REF!,MATCH($A136,'S5'!$D$5:$D$2103,0)-1,6)="巻返し",OFFSET('S5'!#REF!,MATCH($A136,'S5'!$D$5:$D$2103,0)-1,6)="スリット"),SUMIF('S5'!$D$5:$D$2103,$A136,'S5'!$T$5:$T$2103),""),"")</f>
        <v/>
      </c>
    </row>
    <row r="137" spans="1:28" s="141" customFormat="1" ht="11.25" x14ac:dyDescent="0.15">
      <c r="A137" s="173">
        <v>3677678</v>
      </c>
      <c r="B137" s="173" t="s">
        <v>510</v>
      </c>
      <c r="C137" s="173" t="s">
        <v>364</v>
      </c>
      <c r="D137" s="173" t="s">
        <v>353</v>
      </c>
      <c r="E137" s="173" t="s">
        <v>116</v>
      </c>
      <c r="F137" s="173">
        <v>3</v>
      </c>
      <c r="G137" s="173" t="s">
        <v>269</v>
      </c>
      <c r="H137" s="173" t="s">
        <v>20</v>
      </c>
      <c r="I137" s="173" t="s">
        <v>165</v>
      </c>
      <c r="J137" s="173"/>
      <c r="K137" s="173" t="s">
        <v>172</v>
      </c>
      <c r="L137" s="173">
        <v>50</v>
      </c>
      <c r="M137" s="173" t="s">
        <v>576</v>
      </c>
      <c r="N137" s="174">
        <v>1000</v>
      </c>
      <c r="O137" s="174">
        <v>1000</v>
      </c>
      <c r="P137" s="174">
        <v>4000</v>
      </c>
      <c r="Q137" s="173">
        <v>2</v>
      </c>
      <c r="R137" s="173">
        <v>1</v>
      </c>
      <c r="S137" s="173" t="s">
        <v>354</v>
      </c>
      <c r="T137" s="175">
        <v>44812</v>
      </c>
      <c r="U137" s="175">
        <v>44841</v>
      </c>
      <c r="V137" s="173" t="s">
        <v>428</v>
      </c>
      <c r="W137" s="173"/>
      <c r="X137" s="173"/>
      <c r="Z137" s="146" t="str">
        <f t="shared" ca="1" si="2"/>
        <v/>
      </c>
      <c r="AA137" s="146" t="str">
        <f ca="1">IFERROR(IF(OR(OFFSET('S4'!#REF!,MATCH($A137,'S4'!$D$5:$D$2535,0)-1,6)="巻返し",OFFSET('S4'!#REF!,MATCH($A137,'S4'!$D$5:$D$2535,0)-1,6)="スリット"),SUMIF('S4'!$D$5:$D$2535,$A137,'S4'!$U$5:$U$2535),""),"")</f>
        <v/>
      </c>
      <c r="AB137" s="146" t="str">
        <f ca="1">IFERROR(IF(OR(OFFSET('S5'!#REF!,MATCH($A137,'S5'!$D$5:$D$2103,0)-1,6)="巻返し",OFFSET('S5'!#REF!,MATCH($A137,'S5'!$D$5:$D$2103,0)-1,6)="スリット"),SUMIF('S5'!$D$5:$D$2103,$A137,'S5'!$T$5:$T$2103),""),"")</f>
        <v/>
      </c>
    </row>
    <row r="138" spans="1:28" s="141" customFormat="1" ht="11.25" x14ac:dyDescent="0.15">
      <c r="A138" s="173">
        <v>3679211</v>
      </c>
      <c r="B138" s="173" t="s">
        <v>351</v>
      </c>
      <c r="C138" s="173" t="s">
        <v>352</v>
      </c>
      <c r="D138" s="173" t="s">
        <v>353</v>
      </c>
      <c r="E138" s="173" t="s">
        <v>116</v>
      </c>
      <c r="F138" s="173">
        <v>3</v>
      </c>
      <c r="G138" s="173" t="s">
        <v>19</v>
      </c>
      <c r="H138" s="173" t="s">
        <v>20</v>
      </c>
      <c r="I138" s="173" t="s">
        <v>143</v>
      </c>
      <c r="J138" s="173"/>
      <c r="K138" s="173" t="s">
        <v>152</v>
      </c>
      <c r="L138" s="173">
        <v>38</v>
      </c>
      <c r="M138" s="173" t="s">
        <v>153</v>
      </c>
      <c r="N138" s="174">
        <v>1005</v>
      </c>
      <c r="O138" s="174">
        <v>1000</v>
      </c>
      <c r="P138" s="174">
        <v>4000</v>
      </c>
      <c r="Q138" s="173">
        <v>2</v>
      </c>
      <c r="R138" s="173">
        <v>4</v>
      </c>
      <c r="S138" s="173" t="s">
        <v>354</v>
      </c>
      <c r="T138" s="175">
        <v>44820</v>
      </c>
      <c r="U138" s="175">
        <v>44834</v>
      </c>
      <c r="V138" s="173" t="s">
        <v>355</v>
      </c>
      <c r="W138" s="173"/>
      <c r="X138" s="173"/>
      <c r="Z138" s="146" t="str">
        <f t="shared" ca="1" si="2"/>
        <v/>
      </c>
      <c r="AA138" s="146" t="str">
        <f ca="1">IFERROR(IF(OR(OFFSET('S4'!#REF!,MATCH($A138,'S4'!$D$5:$D$2535,0)-1,6)="巻返し",OFFSET('S4'!#REF!,MATCH($A138,'S4'!$D$5:$D$2535,0)-1,6)="スリット"),SUMIF('S4'!$D$5:$D$2535,$A138,'S4'!$U$5:$U$2535),""),"")</f>
        <v/>
      </c>
      <c r="AB138" s="146" t="str">
        <f ca="1">IFERROR(IF(OR(OFFSET('S5'!#REF!,MATCH($A138,'S5'!$D$5:$D$2103,0)-1,6)="巻返し",OFFSET('S5'!#REF!,MATCH($A138,'S5'!$D$5:$D$2103,0)-1,6)="スリット"),SUMIF('S5'!$D$5:$D$2103,$A138,'S5'!$T$5:$T$2103),""),"")</f>
        <v/>
      </c>
    </row>
    <row r="139" spans="1:28" s="141" customFormat="1" ht="11.25" x14ac:dyDescent="0.15">
      <c r="A139" s="173">
        <v>3680006</v>
      </c>
      <c r="B139" s="173" t="s">
        <v>351</v>
      </c>
      <c r="C139" s="173" t="s">
        <v>358</v>
      </c>
      <c r="D139" s="173" t="s">
        <v>353</v>
      </c>
      <c r="E139" s="173" t="s">
        <v>61</v>
      </c>
      <c r="F139" s="173">
        <v>3</v>
      </c>
      <c r="G139" s="173" t="s">
        <v>19</v>
      </c>
      <c r="H139" s="173" t="s">
        <v>20</v>
      </c>
      <c r="I139" s="173" t="s">
        <v>205</v>
      </c>
      <c r="J139" s="173"/>
      <c r="K139" s="173" t="s">
        <v>242</v>
      </c>
      <c r="L139" s="173">
        <v>50</v>
      </c>
      <c r="M139" s="173" t="s">
        <v>243</v>
      </c>
      <c r="N139" s="174">
        <v>1255</v>
      </c>
      <c r="O139" s="174">
        <v>1250</v>
      </c>
      <c r="P139" s="174">
        <v>2000</v>
      </c>
      <c r="Q139" s="173">
        <v>2</v>
      </c>
      <c r="R139" s="173">
        <v>6</v>
      </c>
      <c r="S139" s="173" t="s">
        <v>354</v>
      </c>
      <c r="T139" s="175">
        <v>44825</v>
      </c>
      <c r="U139" s="175">
        <v>44849</v>
      </c>
      <c r="V139" s="173" t="s">
        <v>355</v>
      </c>
      <c r="W139" s="173"/>
      <c r="X139" s="173"/>
      <c r="Z139" s="146" t="str">
        <f t="shared" ca="1" si="2"/>
        <v/>
      </c>
      <c r="AA139" s="146" t="str">
        <f ca="1">IFERROR(IF(OR(OFFSET('S4'!#REF!,MATCH($A139,'S4'!$D$5:$D$2535,0)-1,6)="巻返し",OFFSET('S4'!#REF!,MATCH($A139,'S4'!$D$5:$D$2535,0)-1,6)="スリット"),SUMIF('S4'!$D$5:$D$2535,$A139,'S4'!$U$5:$U$2535),""),"")</f>
        <v/>
      </c>
      <c r="AB139" s="146" t="str">
        <f ca="1">IFERROR(IF(OR(OFFSET('S5'!#REF!,MATCH($A139,'S5'!$D$5:$D$2103,0)-1,6)="巻返し",OFFSET('S5'!#REF!,MATCH($A139,'S5'!$D$5:$D$2103,0)-1,6)="スリット"),SUMIF('S5'!$D$5:$D$2103,$A139,'S5'!$T$5:$T$2103),""),"")</f>
        <v/>
      </c>
    </row>
    <row r="140" spans="1:28" s="141" customFormat="1" ht="11.25" x14ac:dyDescent="0.15">
      <c r="A140" s="173">
        <v>3680008</v>
      </c>
      <c r="B140" s="173" t="s">
        <v>351</v>
      </c>
      <c r="C140" s="173" t="s">
        <v>364</v>
      </c>
      <c r="D140" s="173" t="s">
        <v>353</v>
      </c>
      <c r="E140" s="173" t="s">
        <v>171</v>
      </c>
      <c r="F140" s="173" t="s">
        <v>96</v>
      </c>
      <c r="G140" s="173" t="s">
        <v>19</v>
      </c>
      <c r="H140" s="173" t="s">
        <v>20</v>
      </c>
      <c r="I140" s="173" t="s">
        <v>165</v>
      </c>
      <c r="J140" s="173"/>
      <c r="K140" s="173" t="s">
        <v>169</v>
      </c>
      <c r="L140" s="173">
        <v>50</v>
      </c>
      <c r="M140" s="173" t="s">
        <v>170</v>
      </c>
      <c r="N140" s="174">
        <v>1190</v>
      </c>
      <c r="O140" s="174">
        <v>1190</v>
      </c>
      <c r="P140" s="174">
        <v>6000</v>
      </c>
      <c r="Q140" s="173">
        <v>2</v>
      </c>
      <c r="R140" s="173">
        <v>6</v>
      </c>
      <c r="S140" s="173" t="s">
        <v>354</v>
      </c>
      <c r="T140" s="175">
        <v>44825</v>
      </c>
      <c r="U140" s="175">
        <v>44849</v>
      </c>
      <c r="V140" s="173" t="s">
        <v>355</v>
      </c>
      <c r="W140" s="173"/>
      <c r="X140" s="173"/>
      <c r="Z140" s="146" t="str">
        <f t="shared" ca="1" si="2"/>
        <v/>
      </c>
      <c r="AA140" s="146" t="str">
        <f ca="1">IFERROR(IF(OR(OFFSET('S4'!#REF!,MATCH($A140,'S4'!$D$5:$D$2535,0)-1,6)="巻返し",OFFSET('S4'!#REF!,MATCH($A140,'S4'!$D$5:$D$2535,0)-1,6)="スリット"),SUMIF('S4'!$D$5:$D$2535,$A140,'S4'!$U$5:$U$2535),""),"")</f>
        <v/>
      </c>
      <c r="AB140" s="146" t="str">
        <f ca="1">IFERROR(IF(OR(OFFSET('S5'!#REF!,MATCH($A140,'S5'!$D$5:$D$2103,0)-1,6)="巻返し",OFFSET('S5'!#REF!,MATCH($A140,'S5'!$D$5:$D$2103,0)-1,6)="スリット"),SUMIF('S5'!$D$5:$D$2103,$A140,'S5'!$T$5:$T$2103),""),"")</f>
        <v/>
      </c>
    </row>
    <row r="141" spans="1:28" s="141" customFormat="1" ht="11.25" x14ac:dyDescent="0.15">
      <c r="A141" s="173">
        <v>3680009</v>
      </c>
      <c r="B141" s="173" t="s">
        <v>351</v>
      </c>
      <c r="C141" s="173" t="s">
        <v>364</v>
      </c>
      <c r="D141" s="173" t="s">
        <v>353</v>
      </c>
      <c r="E141" s="173" t="s">
        <v>171</v>
      </c>
      <c r="F141" s="173">
        <v>3</v>
      </c>
      <c r="G141" s="173" t="s">
        <v>19</v>
      </c>
      <c r="H141" s="173" t="s">
        <v>20</v>
      </c>
      <c r="I141" s="173" t="s">
        <v>165</v>
      </c>
      <c r="J141" s="173"/>
      <c r="K141" s="173" t="s">
        <v>180</v>
      </c>
      <c r="L141" s="173">
        <v>50</v>
      </c>
      <c r="M141" s="173" t="s">
        <v>181</v>
      </c>
      <c r="N141" s="174">
        <v>1200</v>
      </c>
      <c r="O141" s="174">
        <v>1190</v>
      </c>
      <c r="P141" s="174">
        <v>6000</v>
      </c>
      <c r="Q141" s="173">
        <v>2</v>
      </c>
      <c r="R141" s="173">
        <v>8</v>
      </c>
      <c r="S141" s="173" t="s">
        <v>354</v>
      </c>
      <c r="T141" s="175">
        <v>44825</v>
      </c>
      <c r="U141" s="175">
        <v>44849</v>
      </c>
      <c r="V141" s="173" t="s">
        <v>355</v>
      </c>
      <c r="W141" s="173"/>
      <c r="X141" s="173"/>
      <c r="Z141" s="146" t="str">
        <f t="shared" ca="1" si="2"/>
        <v/>
      </c>
      <c r="AA141" s="146" t="str">
        <f ca="1">IFERROR(IF(OR(OFFSET('S4'!#REF!,MATCH($A141,'S4'!$D$5:$D$2535,0)-1,6)="巻返し",OFFSET('S4'!#REF!,MATCH($A141,'S4'!$D$5:$D$2535,0)-1,6)="スリット"),SUMIF('S4'!$D$5:$D$2535,$A141,'S4'!$U$5:$U$2535),""),"")</f>
        <v/>
      </c>
      <c r="AB141" s="146" t="str">
        <f ca="1">IFERROR(IF(OR(OFFSET('S5'!#REF!,MATCH($A141,'S5'!$D$5:$D$2103,0)-1,6)="巻返し",OFFSET('S5'!#REF!,MATCH($A141,'S5'!$D$5:$D$2103,0)-1,6)="スリット"),SUMIF('S5'!$D$5:$D$2103,$A141,'S5'!$T$5:$T$2103),""),"")</f>
        <v/>
      </c>
    </row>
    <row r="142" spans="1:28" s="141" customFormat="1" ht="11.25" x14ac:dyDescent="0.15">
      <c r="A142" s="173">
        <v>3680012</v>
      </c>
      <c r="B142" s="173" t="s">
        <v>351</v>
      </c>
      <c r="C142" s="173" t="s">
        <v>364</v>
      </c>
      <c r="D142" s="173" t="s">
        <v>353</v>
      </c>
      <c r="E142" s="173" t="s">
        <v>148</v>
      </c>
      <c r="F142" s="173">
        <v>3</v>
      </c>
      <c r="G142" s="173" t="s">
        <v>19</v>
      </c>
      <c r="H142" s="173" t="s">
        <v>20</v>
      </c>
      <c r="I142" s="173" t="s">
        <v>143</v>
      </c>
      <c r="J142" s="173"/>
      <c r="K142" s="173" t="s">
        <v>149</v>
      </c>
      <c r="L142" s="173">
        <v>25</v>
      </c>
      <c r="M142" s="173" t="s">
        <v>150</v>
      </c>
      <c r="N142" s="174">
        <v>1120</v>
      </c>
      <c r="O142" s="174">
        <v>1120</v>
      </c>
      <c r="P142" s="174">
        <v>6000</v>
      </c>
      <c r="Q142" s="173">
        <v>2</v>
      </c>
      <c r="R142" s="173">
        <v>4</v>
      </c>
      <c r="S142" s="173" t="s">
        <v>354</v>
      </c>
      <c r="T142" s="175">
        <v>44825</v>
      </c>
      <c r="U142" s="175">
        <v>44849</v>
      </c>
      <c r="V142" s="173" t="s">
        <v>355</v>
      </c>
      <c r="W142" s="173"/>
      <c r="X142" s="173"/>
      <c r="Z142" s="146" t="str">
        <f t="shared" ca="1" si="2"/>
        <v/>
      </c>
      <c r="AA142" s="146" t="str">
        <f ca="1">IFERROR(IF(OR(OFFSET('S4'!#REF!,MATCH($A142,'S4'!$D$5:$D$2535,0)-1,6)="巻返し",OFFSET('S4'!#REF!,MATCH($A142,'S4'!$D$5:$D$2535,0)-1,6)="スリット"),SUMIF('S4'!$D$5:$D$2535,$A142,'S4'!$U$5:$U$2535),""),"")</f>
        <v/>
      </c>
      <c r="AB142" s="146" t="str">
        <f ca="1">IFERROR(IF(OR(OFFSET('S5'!#REF!,MATCH($A142,'S5'!$D$5:$D$2103,0)-1,6)="巻返し",OFFSET('S5'!#REF!,MATCH($A142,'S5'!$D$5:$D$2103,0)-1,6)="スリット"),SUMIF('S5'!$D$5:$D$2103,$A142,'S5'!$T$5:$T$2103),""),"")</f>
        <v/>
      </c>
    </row>
    <row r="143" spans="1:28" s="141" customFormat="1" ht="11.25" x14ac:dyDescent="0.15">
      <c r="A143" s="173">
        <v>3680013</v>
      </c>
      <c r="B143" s="173" t="s">
        <v>351</v>
      </c>
      <c r="C143" s="173" t="s">
        <v>364</v>
      </c>
      <c r="D143" s="173" t="s">
        <v>353</v>
      </c>
      <c r="E143" s="173" t="s">
        <v>148</v>
      </c>
      <c r="F143" s="173">
        <v>3</v>
      </c>
      <c r="G143" s="173" t="s">
        <v>19</v>
      </c>
      <c r="H143" s="173" t="s">
        <v>20</v>
      </c>
      <c r="I143" s="173" t="s">
        <v>143</v>
      </c>
      <c r="J143" s="173"/>
      <c r="K143" s="173" t="s">
        <v>149</v>
      </c>
      <c r="L143" s="173">
        <v>25</v>
      </c>
      <c r="M143" s="173" t="s">
        <v>150</v>
      </c>
      <c r="N143" s="174">
        <v>1120</v>
      </c>
      <c r="O143" s="174">
        <v>1120</v>
      </c>
      <c r="P143" s="174">
        <v>6000</v>
      </c>
      <c r="Q143" s="173">
        <v>2</v>
      </c>
      <c r="R143" s="173">
        <v>2</v>
      </c>
      <c r="S143" s="173" t="s">
        <v>354</v>
      </c>
      <c r="T143" s="175">
        <v>44825</v>
      </c>
      <c r="U143" s="175">
        <v>44849</v>
      </c>
      <c r="V143" s="173" t="s">
        <v>355</v>
      </c>
      <c r="W143" s="173"/>
      <c r="X143" s="173"/>
      <c r="Z143" s="146" t="str">
        <f t="shared" ca="1" si="2"/>
        <v/>
      </c>
      <c r="AA143" s="146" t="str">
        <f ca="1">IFERROR(IF(OR(OFFSET('S4'!#REF!,MATCH($A143,'S4'!$D$5:$D$2535,0)-1,6)="巻返し",OFFSET('S4'!#REF!,MATCH($A143,'S4'!$D$5:$D$2535,0)-1,6)="スリット"),SUMIF('S4'!$D$5:$D$2535,$A143,'S4'!$U$5:$U$2535),""),"")</f>
        <v/>
      </c>
      <c r="AB143" s="146" t="str">
        <f ca="1">IFERROR(IF(OR(OFFSET('S5'!#REF!,MATCH($A143,'S5'!$D$5:$D$2103,0)-1,6)="巻返し",OFFSET('S5'!#REF!,MATCH($A143,'S5'!$D$5:$D$2103,0)-1,6)="スリット"),SUMIF('S5'!$D$5:$D$2103,$A143,'S5'!$T$5:$T$2103),""),"")</f>
        <v/>
      </c>
    </row>
    <row r="144" spans="1:28" s="141" customFormat="1" ht="11.25" x14ac:dyDescent="0.15">
      <c r="A144" s="173">
        <v>3680014</v>
      </c>
      <c r="B144" s="173" t="s">
        <v>351</v>
      </c>
      <c r="C144" s="173" t="s">
        <v>364</v>
      </c>
      <c r="D144" s="173" t="s">
        <v>353</v>
      </c>
      <c r="E144" s="173" t="s">
        <v>148</v>
      </c>
      <c r="F144" s="173">
        <v>3</v>
      </c>
      <c r="G144" s="173" t="s">
        <v>19</v>
      </c>
      <c r="H144" s="173" t="s">
        <v>20</v>
      </c>
      <c r="I144" s="173" t="s">
        <v>143</v>
      </c>
      <c r="J144" s="173"/>
      <c r="K144" s="173" t="s">
        <v>149</v>
      </c>
      <c r="L144" s="173">
        <v>50</v>
      </c>
      <c r="M144" s="173" t="s">
        <v>150</v>
      </c>
      <c r="N144" s="174">
        <v>1120</v>
      </c>
      <c r="O144" s="174">
        <v>1120</v>
      </c>
      <c r="P144" s="174">
        <v>6000</v>
      </c>
      <c r="Q144" s="173">
        <v>2</v>
      </c>
      <c r="R144" s="173">
        <v>11</v>
      </c>
      <c r="S144" s="173" t="s">
        <v>354</v>
      </c>
      <c r="T144" s="175">
        <v>44825</v>
      </c>
      <c r="U144" s="175">
        <v>44849</v>
      </c>
      <c r="V144" s="173" t="s">
        <v>355</v>
      </c>
      <c r="W144" s="173"/>
      <c r="X144" s="173"/>
      <c r="Z144" s="146" t="str">
        <f t="shared" ca="1" si="2"/>
        <v/>
      </c>
      <c r="AA144" s="146" t="str">
        <f ca="1">IFERROR(IF(OR(OFFSET('S4'!#REF!,MATCH($A144,'S4'!$D$5:$D$2535,0)-1,6)="巻返し",OFFSET('S4'!#REF!,MATCH($A144,'S4'!$D$5:$D$2535,0)-1,6)="スリット"),SUMIF('S4'!$D$5:$D$2535,$A144,'S4'!$U$5:$U$2535),""),"")</f>
        <v/>
      </c>
      <c r="AB144" s="146" t="str">
        <f ca="1">IFERROR(IF(OR(OFFSET('S5'!#REF!,MATCH($A144,'S5'!$D$5:$D$2103,0)-1,6)="巻返し",OFFSET('S5'!#REF!,MATCH($A144,'S5'!$D$5:$D$2103,0)-1,6)="スリット"),SUMIF('S5'!$D$5:$D$2103,$A144,'S5'!$T$5:$T$2103),""),"")</f>
        <v/>
      </c>
    </row>
    <row r="145" spans="1:28" s="141" customFormat="1" ht="11.25" x14ac:dyDescent="0.15">
      <c r="A145" s="173">
        <v>3680015</v>
      </c>
      <c r="B145" s="173" t="s">
        <v>351</v>
      </c>
      <c r="C145" s="173" t="s">
        <v>364</v>
      </c>
      <c r="D145" s="173" t="s">
        <v>353</v>
      </c>
      <c r="E145" s="173" t="s">
        <v>148</v>
      </c>
      <c r="F145" s="173">
        <v>3</v>
      </c>
      <c r="G145" s="173" t="s">
        <v>19</v>
      </c>
      <c r="H145" s="173" t="s">
        <v>20</v>
      </c>
      <c r="I145" s="173" t="s">
        <v>165</v>
      </c>
      <c r="J145" s="173"/>
      <c r="K145" s="173" t="s">
        <v>180</v>
      </c>
      <c r="L145" s="173">
        <v>50</v>
      </c>
      <c r="M145" s="173" t="s">
        <v>181</v>
      </c>
      <c r="N145" s="174">
        <v>1120</v>
      </c>
      <c r="O145" s="174">
        <v>1120</v>
      </c>
      <c r="P145" s="174">
        <v>4000</v>
      </c>
      <c r="Q145" s="173">
        <v>2</v>
      </c>
      <c r="R145" s="173">
        <v>6</v>
      </c>
      <c r="S145" s="173" t="s">
        <v>354</v>
      </c>
      <c r="T145" s="175">
        <v>44825</v>
      </c>
      <c r="U145" s="175">
        <v>44849</v>
      </c>
      <c r="V145" s="173" t="s">
        <v>355</v>
      </c>
      <c r="W145" s="173"/>
      <c r="X145" s="173"/>
      <c r="Z145" s="146" t="str">
        <f t="shared" ca="1" si="2"/>
        <v/>
      </c>
      <c r="AA145" s="146" t="str">
        <f ca="1">IFERROR(IF(OR(OFFSET('S4'!#REF!,MATCH($A145,'S4'!$D$5:$D$2535,0)-1,6)="巻返し",OFFSET('S4'!#REF!,MATCH($A145,'S4'!$D$5:$D$2535,0)-1,6)="スリット"),SUMIF('S4'!$D$5:$D$2535,$A145,'S4'!$U$5:$U$2535),""),"")</f>
        <v/>
      </c>
      <c r="AB145" s="146" t="str">
        <f ca="1">IFERROR(IF(OR(OFFSET('S5'!#REF!,MATCH($A145,'S5'!$D$5:$D$2103,0)-1,6)="巻返し",OFFSET('S5'!#REF!,MATCH($A145,'S5'!$D$5:$D$2103,0)-1,6)="スリット"),SUMIF('S5'!$D$5:$D$2103,$A145,'S5'!$T$5:$T$2103),""),"")</f>
        <v/>
      </c>
    </row>
    <row r="146" spans="1:28" s="141" customFormat="1" ht="11.25" x14ac:dyDescent="0.15">
      <c r="A146" s="173">
        <v>3680016</v>
      </c>
      <c r="B146" s="173" t="s">
        <v>351</v>
      </c>
      <c r="C146" s="173" t="s">
        <v>364</v>
      </c>
      <c r="D146" s="173" t="s">
        <v>353</v>
      </c>
      <c r="E146" s="173" t="s">
        <v>148</v>
      </c>
      <c r="F146" s="173">
        <v>3</v>
      </c>
      <c r="G146" s="173" t="s">
        <v>19</v>
      </c>
      <c r="H146" s="173" t="s">
        <v>20</v>
      </c>
      <c r="I146" s="173" t="s">
        <v>165</v>
      </c>
      <c r="J146" s="173"/>
      <c r="K146" s="173" t="s">
        <v>202</v>
      </c>
      <c r="L146" s="173">
        <v>50</v>
      </c>
      <c r="M146" s="173" t="s">
        <v>424</v>
      </c>
      <c r="N146" s="174">
        <v>1120</v>
      </c>
      <c r="O146" s="174">
        <v>1120</v>
      </c>
      <c r="P146" s="174">
        <v>5000</v>
      </c>
      <c r="Q146" s="173">
        <v>2</v>
      </c>
      <c r="R146" s="173">
        <v>2</v>
      </c>
      <c r="S146" s="173" t="s">
        <v>354</v>
      </c>
      <c r="T146" s="175">
        <v>44825</v>
      </c>
      <c r="U146" s="175">
        <v>44849</v>
      </c>
      <c r="V146" s="173" t="s">
        <v>355</v>
      </c>
      <c r="W146" s="173"/>
      <c r="X146" s="173"/>
      <c r="Z146" s="146" t="str">
        <f t="shared" ca="1" si="2"/>
        <v/>
      </c>
      <c r="AA146" s="146" t="str">
        <f ca="1">IFERROR(IF(OR(OFFSET('S4'!#REF!,MATCH($A146,'S4'!$D$5:$D$2535,0)-1,6)="巻返し",OFFSET('S4'!#REF!,MATCH($A146,'S4'!$D$5:$D$2535,0)-1,6)="スリット"),SUMIF('S4'!$D$5:$D$2535,$A146,'S4'!$U$5:$U$2535),""),"")</f>
        <v/>
      </c>
      <c r="AB146" s="146" t="str">
        <f ca="1">IFERROR(IF(OR(OFFSET('S5'!#REF!,MATCH($A146,'S5'!$D$5:$D$2103,0)-1,6)="巻返し",OFFSET('S5'!#REF!,MATCH($A146,'S5'!$D$5:$D$2103,0)-1,6)="スリット"),SUMIF('S5'!$D$5:$D$2103,$A146,'S5'!$T$5:$T$2103),""),"")</f>
        <v/>
      </c>
    </row>
    <row r="147" spans="1:28" s="141" customFormat="1" ht="11.25" x14ac:dyDescent="0.15">
      <c r="A147" s="173">
        <v>3680017</v>
      </c>
      <c r="B147" s="173" t="s">
        <v>351</v>
      </c>
      <c r="C147" s="173" t="s">
        <v>352</v>
      </c>
      <c r="D147" s="173" t="s">
        <v>353</v>
      </c>
      <c r="E147" s="173" t="s">
        <v>247</v>
      </c>
      <c r="F147" s="173">
        <v>3</v>
      </c>
      <c r="G147" s="173" t="s">
        <v>19</v>
      </c>
      <c r="H147" s="173" t="s">
        <v>20</v>
      </c>
      <c r="I147" s="173" t="s">
        <v>205</v>
      </c>
      <c r="J147" s="173"/>
      <c r="K147" s="173" t="s">
        <v>248</v>
      </c>
      <c r="L147" s="173">
        <v>12</v>
      </c>
      <c r="M147" s="173" t="s">
        <v>249</v>
      </c>
      <c r="N147" s="174">
        <v>1000</v>
      </c>
      <c r="O147" s="174">
        <v>1000</v>
      </c>
      <c r="P147" s="174">
        <v>6000</v>
      </c>
      <c r="Q147" s="173">
        <v>2</v>
      </c>
      <c r="R147" s="173">
        <v>8</v>
      </c>
      <c r="S147" s="173" t="s">
        <v>354</v>
      </c>
      <c r="T147" s="175">
        <v>44825</v>
      </c>
      <c r="U147" s="175">
        <v>44851</v>
      </c>
      <c r="V147" s="173" t="s">
        <v>355</v>
      </c>
      <c r="W147" s="173"/>
      <c r="X147" s="173"/>
      <c r="Z147" s="146" t="str">
        <f t="shared" ca="1" si="2"/>
        <v/>
      </c>
      <c r="AA147" s="146" t="str">
        <f ca="1">IFERROR(IF(OR(OFFSET('S4'!#REF!,MATCH($A147,'S4'!$D$5:$D$2535,0)-1,6)="巻返し",OFFSET('S4'!#REF!,MATCH($A147,'S4'!$D$5:$D$2535,0)-1,6)="スリット"),SUMIF('S4'!$D$5:$D$2535,$A147,'S4'!$U$5:$U$2535),""),"")</f>
        <v/>
      </c>
      <c r="AB147" s="146" t="str">
        <f ca="1">IFERROR(IF(OR(OFFSET('S5'!#REF!,MATCH($A147,'S5'!$D$5:$D$2103,0)-1,6)="巻返し",OFFSET('S5'!#REF!,MATCH($A147,'S5'!$D$5:$D$2103,0)-1,6)="スリット"),SUMIF('S5'!$D$5:$D$2103,$A147,'S5'!$T$5:$T$2103),""),"")</f>
        <v/>
      </c>
    </row>
    <row r="148" spans="1:28" s="141" customFormat="1" ht="11.25" x14ac:dyDescent="0.15">
      <c r="A148" s="173">
        <v>3680018</v>
      </c>
      <c r="B148" s="173" t="s">
        <v>351</v>
      </c>
      <c r="C148" s="173" t="s">
        <v>352</v>
      </c>
      <c r="D148" s="173" t="s">
        <v>353</v>
      </c>
      <c r="E148" s="173" t="s">
        <v>247</v>
      </c>
      <c r="F148" s="173">
        <v>3</v>
      </c>
      <c r="G148" s="173" t="s">
        <v>19</v>
      </c>
      <c r="H148" s="173" t="s">
        <v>20</v>
      </c>
      <c r="I148" s="173" t="s">
        <v>143</v>
      </c>
      <c r="J148" s="173"/>
      <c r="K148" s="173" t="s">
        <v>149</v>
      </c>
      <c r="L148" s="173">
        <v>38</v>
      </c>
      <c r="M148" s="173" t="s">
        <v>150</v>
      </c>
      <c r="N148" s="174">
        <v>1125</v>
      </c>
      <c r="O148" s="174">
        <v>1120</v>
      </c>
      <c r="P148" s="174">
        <v>4000</v>
      </c>
      <c r="Q148" s="173">
        <v>2</v>
      </c>
      <c r="R148" s="173">
        <v>2</v>
      </c>
      <c r="S148" s="173" t="s">
        <v>354</v>
      </c>
      <c r="T148" s="175">
        <v>44825</v>
      </c>
      <c r="U148" s="175">
        <v>44851</v>
      </c>
      <c r="V148" s="173" t="s">
        <v>355</v>
      </c>
      <c r="W148" s="173"/>
      <c r="X148" s="173"/>
      <c r="Z148" s="146" t="str">
        <f t="shared" ca="1" si="2"/>
        <v/>
      </c>
      <c r="AA148" s="146" t="str">
        <f ca="1">IFERROR(IF(OR(OFFSET('S4'!#REF!,MATCH($A148,'S4'!$D$5:$D$2535,0)-1,6)="巻返し",OFFSET('S4'!#REF!,MATCH($A148,'S4'!$D$5:$D$2535,0)-1,6)="スリット"),SUMIF('S4'!$D$5:$D$2535,$A148,'S4'!$U$5:$U$2535),""),"")</f>
        <v/>
      </c>
      <c r="AB148" s="146" t="str">
        <f ca="1">IFERROR(IF(OR(OFFSET('S5'!#REF!,MATCH($A148,'S5'!$D$5:$D$2103,0)-1,6)="巻返し",OFFSET('S5'!#REF!,MATCH($A148,'S5'!$D$5:$D$2103,0)-1,6)="スリット"),SUMIF('S5'!$D$5:$D$2103,$A148,'S5'!$T$5:$T$2103),""),"")</f>
        <v/>
      </c>
    </row>
    <row r="149" spans="1:28" s="141" customFormat="1" ht="11.25" x14ac:dyDescent="0.15">
      <c r="A149" s="173">
        <v>3680019</v>
      </c>
      <c r="B149" s="173" t="s">
        <v>351</v>
      </c>
      <c r="C149" s="173" t="s">
        <v>352</v>
      </c>
      <c r="D149" s="173" t="s">
        <v>353</v>
      </c>
      <c r="E149" s="173" t="s">
        <v>116</v>
      </c>
      <c r="F149" s="173">
        <v>3</v>
      </c>
      <c r="G149" s="173" t="s">
        <v>19</v>
      </c>
      <c r="H149" s="173" t="s">
        <v>20</v>
      </c>
      <c r="I149" s="173" t="s">
        <v>205</v>
      </c>
      <c r="J149" s="173"/>
      <c r="K149" s="173" t="s">
        <v>212</v>
      </c>
      <c r="L149" s="173">
        <v>25</v>
      </c>
      <c r="M149" s="173" t="s">
        <v>213</v>
      </c>
      <c r="N149" s="174">
        <v>1120</v>
      </c>
      <c r="O149" s="174">
        <v>1120</v>
      </c>
      <c r="P149" s="174">
        <v>4000</v>
      </c>
      <c r="Q149" s="173">
        <v>2</v>
      </c>
      <c r="R149" s="173">
        <v>6</v>
      </c>
      <c r="S149" s="173" t="s">
        <v>354</v>
      </c>
      <c r="T149" s="175">
        <v>44825</v>
      </c>
      <c r="U149" s="175">
        <v>44855</v>
      </c>
      <c r="V149" s="173" t="s">
        <v>355</v>
      </c>
      <c r="W149" s="173"/>
      <c r="X149" s="173"/>
      <c r="Z149" s="146" t="str">
        <f t="shared" ca="1" si="2"/>
        <v/>
      </c>
      <c r="AA149" s="146" t="str">
        <f ca="1">IFERROR(IF(OR(OFFSET('S4'!#REF!,MATCH($A149,'S4'!$D$5:$D$2535,0)-1,6)="巻返し",OFFSET('S4'!#REF!,MATCH($A149,'S4'!$D$5:$D$2535,0)-1,6)="スリット"),SUMIF('S4'!$D$5:$D$2535,$A149,'S4'!$U$5:$U$2535),""),"")</f>
        <v/>
      </c>
      <c r="AB149" s="146" t="str">
        <f ca="1">IFERROR(IF(OR(OFFSET('S5'!#REF!,MATCH($A149,'S5'!$D$5:$D$2103,0)-1,6)="巻返し",OFFSET('S5'!#REF!,MATCH($A149,'S5'!$D$5:$D$2103,0)-1,6)="スリット"),SUMIF('S5'!$D$5:$D$2103,$A149,'S5'!$T$5:$T$2103),""),"")</f>
        <v/>
      </c>
    </row>
    <row r="150" spans="1:28" s="141" customFormat="1" ht="11.25" x14ac:dyDescent="0.15">
      <c r="A150" s="173">
        <v>3680020</v>
      </c>
      <c r="B150" s="173" t="s">
        <v>351</v>
      </c>
      <c r="C150" s="173" t="s">
        <v>352</v>
      </c>
      <c r="D150" s="173" t="s">
        <v>353</v>
      </c>
      <c r="E150" s="173" t="s">
        <v>116</v>
      </c>
      <c r="F150" s="173">
        <v>3</v>
      </c>
      <c r="G150" s="173" t="s">
        <v>19</v>
      </c>
      <c r="H150" s="173" t="s">
        <v>20</v>
      </c>
      <c r="I150" s="173" t="s">
        <v>205</v>
      </c>
      <c r="J150" s="173"/>
      <c r="K150" s="173" t="s">
        <v>212</v>
      </c>
      <c r="L150" s="173">
        <v>50</v>
      </c>
      <c r="M150" s="173" t="s">
        <v>213</v>
      </c>
      <c r="N150" s="174">
        <v>1120</v>
      </c>
      <c r="O150" s="174">
        <v>1120</v>
      </c>
      <c r="P150" s="174">
        <v>4000</v>
      </c>
      <c r="Q150" s="173">
        <v>2</v>
      </c>
      <c r="R150" s="173">
        <v>8</v>
      </c>
      <c r="S150" s="173" t="s">
        <v>354</v>
      </c>
      <c r="T150" s="175">
        <v>44825</v>
      </c>
      <c r="U150" s="175">
        <v>44862</v>
      </c>
      <c r="V150" s="173" t="s">
        <v>355</v>
      </c>
      <c r="W150" s="173"/>
      <c r="X150" s="173"/>
      <c r="Z150" s="146" t="str">
        <f t="shared" ca="1" si="2"/>
        <v/>
      </c>
      <c r="AA150" s="146" t="str">
        <f ca="1">IFERROR(IF(OR(OFFSET('S4'!#REF!,MATCH($A150,'S4'!$D$5:$D$2535,0)-1,6)="巻返し",OFFSET('S4'!#REF!,MATCH($A150,'S4'!$D$5:$D$2535,0)-1,6)="スリット"),SUMIF('S4'!$D$5:$D$2535,$A150,'S4'!$U$5:$U$2535),""),"")</f>
        <v/>
      </c>
      <c r="AB150" s="146" t="str">
        <f ca="1">IFERROR(IF(OR(OFFSET('S5'!#REF!,MATCH($A150,'S5'!$D$5:$D$2103,0)-1,6)="巻返し",OFFSET('S5'!#REF!,MATCH($A150,'S5'!$D$5:$D$2103,0)-1,6)="スリット"),SUMIF('S5'!$D$5:$D$2103,$A150,'S5'!$T$5:$T$2103),""),"")</f>
        <v/>
      </c>
    </row>
    <row r="151" spans="1:28" s="141" customFormat="1" ht="11.25" x14ac:dyDescent="0.15">
      <c r="A151" s="173">
        <v>3680021</v>
      </c>
      <c r="B151" s="173" t="s">
        <v>351</v>
      </c>
      <c r="C151" s="173" t="s">
        <v>352</v>
      </c>
      <c r="D151" s="173" t="s">
        <v>353</v>
      </c>
      <c r="E151" s="173" t="s">
        <v>116</v>
      </c>
      <c r="F151" s="173">
        <v>3</v>
      </c>
      <c r="G151" s="173" t="s">
        <v>19</v>
      </c>
      <c r="H151" s="173" t="s">
        <v>20</v>
      </c>
      <c r="I151" s="173" t="s">
        <v>205</v>
      </c>
      <c r="J151" s="173"/>
      <c r="K151" s="173" t="s">
        <v>212</v>
      </c>
      <c r="L151" s="173">
        <v>50</v>
      </c>
      <c r="M151" s="173" t="s">
        <v>213</v>
      </c>
      <c r="N151" s="174">
        <v>1120</v>
      </c>
      <c r="O151" s="174">
        <v>1120</v>
      </c>
      <c r="P151" s="174">
        <v>4000</v>
      </c>
      <c r="Q151" s="173">
        <v>2</v>
      </c>
      <c r="R151" s="173">
        <v>8</v>
      </c>
      <c r="S151" s="173" t="s">
        <v>354</v>
      </c>
      <c r="T151" s="175">
        <v>44825</v>
      </c>
      <c r="U151" s="175">
        <v>44869</v>
      </c>
      <c r="V151" s="173" t="s">
        <v>355</v>
      </c>
      <c r="W151" s="173"/>
      <c r="X151" s="173"/>
      <c r="Z151" s="146" t="str">
        <f t="shared" ca="1" si="2"/>
        <v/>
      </c>
      <c r="AA151" s="146" t="str">
        <f ca="1">IFERROR(IF(OR(OFFSET('S4'!#REF!,MATCH($A151,'S4'!$D$5:$D$2535,0)-1,6)="巻返し",OFFSET('S4'!#REF!,MATCH($A151,'S4'!$D$5:$D$2535,0)-1,6)="スリット"),SUMIF('S4'!$D$5:$D$2535,$A151,'S4'!$U$5:$U$2535),""),"")</f>
        <v/>
      </c>
      <c r="AB151" s="146" t="str">
        <f ca="1">IFERROR(IF(OR(OFFSET('S5'!#REF!,MATCH($A151,'S5'!$D$5:$D$2103,0)-1,6)="巻返し",OFFSET('S5'!#REF!,MATCH($A151,'S5'!$D$5:$D$2103,0)-1,6)="スリット"),SUMIF('S5'!$D$5:$D$2103,$A151,'S5'!$T$5:$T$2103),""),"")</f>
        <v/>
      </c>
    </row>
    <row r="152" spans="1:28" s="141" customFormat="1" ht="11.25" x14ac:dyDescent="0.15">
      <c r="A152" s="173">
        <v>3680022</v>
      </c>
      <c r="B152" s="173" t="s">
        <v>351</v>
      </c>
      <c r="C152" s="173" t="s">
        <v>352</v>
      </c>
      <c r="D152" s="173" t="s">
        <v>353</v>
      </c>
      <c r="E152" s="173" t="s">
        <v>116</v>
      </c>
      <c r="F152" s="173">
        <v>3</v>
      </c>
      <c r="G152" s="173" t="s">
        <v>19</v>
      </c>
      <c r="H152" s="173" t="s">
        <v>20</v>
      </c>
      <c r="I152" s="173" t="s">
        <v>205</v>
      </c>
      <c r="J152" s="173"/>
      <c r="K152" s="173" t="s">
        <v>212</v>
      </c>
      <c r="L152" s="173">
        <v>50</v>
      </c>
      <c r="M152" s="173" t="s">
        <v>213</v>
      </c>
      <c r="N152" s="174">
        <v>1120</v>
      </c>
      <c r="O152" s="174">
        <v>1120</v>
      </c>
      <c r="P152" s="174">
        <v>4000</v>
      </c>
      <c r="Q152" s="173">
        <v>2</v>
      </c>
      <c r="R152" s="173">
        <v>8</v>
      </c>
      <c r="S152" s="173" t="s">
        <v>354</v>
      </c>
      <c r="T152" s="175">
        <v>44825</v>
      </c>
      <c r="U152" s="175">
        <v>44879</v>
      </c>
      <c r="V152" s="173" t="s">
        <v>355</v>
      </c>
      <c r="W152" s="173"/>
      <c r="X152" s="173"/>
      <c r="Z152" s="146" t="str">
        <f t="shared" ca="1" si="2"/>
        <v/>
      </c>
      <c r="AA152" s="146" t="str">
        <f ca="1">IFERROR(IF(OR(OFFSET('S4'!#REF!,MATCH($A152,'S4'!$D$5:$D$2535,0)-1,6)="巻返し",OFFSET('S4'!#REF!,MATCH($A152,'S4'!$D$5:$D$2535,0)-1,6)="スリット"),SUMIF('S4'!$D$5:$D$2535,$A152,'S4'!$U$5:$U$2535),""),"")</f>
        <v/>
      </c>
      <c r="AB152" s="146" t="str">
        <f ca="1">IFERROR(IF(OR(OFFSET('S5'!#REF!,MATCH($A152,'S5'!$D$5:$D$2103,0)-1,6)="巻返し",OFFSET('S5'!#REF!,MATCH($A152,'S5'!$D$5:$D$2103,0)-1,6)="スリット"),SUMIF('S5'!$D$5:$D$2103,$A152,'S5'!$T$5:$T$2103),""),"")</f>
        <v/>
      </c>
    </row>
    <row r="153" spans="1:28" s="141" customFormat="1" ht="11.25" x14ac:dyDescent="0.15">
      <c r="A153" s="173">
        <v>3680023</v>
      </c>
      <c r="B153" s="173" t="s">
        <v>351</v>
      </c>
      <c r="C153" s="173" t="s">
        <v>352</v>
      </c>
      <c r="D153" s="173" t="s">
        <v>353</v>
      </c>
      <c r="E153" s="173" t="s">
        <v>116</v>
      </c>
      <c r="F153" s="173">
        <v>3</v>
      </c>
      <c r="G153" s="173" t="s">
        <v>19</v>
      </c>
      <c r="H153" s="173" t="s">
        <v>20</v>
      </c>
      <c r="I153" s="173" t="s">
        <v>205</v>
      </c>
      <c r="J153" s="173"/>
      <c r="K153" s="173" t="s">
        <v>211</v>
      </c>
      <c r="L153" s="173">
        <v>38</v>
      </c>
      <c r="M153" s="173" t="s">
        <v>370</v>
      </c>
      <c r="N153" s="174">
        <v>1005</v>
      </c>
      <c r="O153" s="174">
        <v>1000</v>
      </c>
      <c r="P153" s="174">
        <v>4000</v>
      </c>
      <c r="Q153" s="173">
        <v>2</v>
      </c>
      <c r="R153" s="173">
        <v>3</v>
      </c>
      <c r="S153" s="173" t="s">
        <v>354</v>
      </c>
      <c r="T153" s="175">
        <v>44825</v>
      </c>
      <c r="U153" s="175">
        <v>44855</v>
      </c>
      <c r="V153" s="173" t="s">
        <v>355</v>
      </c>
      <c r="W153" s="173"/>
      <c r="X153" s="173"/>
      <c r="Z153" s="146" t="str">
        <f t="shared" ca="1" si="2"/>
        <v/>
      </c>
      <c r="AA153" s="146" t="str">
        <f ca="1">IFERROR(IF(OR(OFFSET('S4'!#REF!,MATCH($A153,'S4'!$D$5:$D$2535,0)-1,6)="巻返し",OFFSET('S4'!#REF!,MATCH($A153,'S4'!$D$5:$D$2535,0)-1,6)="スリット"),SUMIF('S4'!$D$5:$D$2535,$A153,'S4'!$U$5:$U$2535),""),"")</f>
        <v/>
      </c>
      <c r="AB153" s="146" t="str">
        <f ca="1">IFERROR(IF(OR(OFFSET('S5'!#REF!,MATCH($A153,'S5'!$D$5:$D$2103,0)-1,6)="巻返し",OFFSET('S5'!#REF!,MATCH($A153,'S5'!$D$5:$D$2103,0)-1,6)="スリット"),SUMIF('S5'!$D$5:$D$2103,$A153,'S5'!$T$5:$T$2103),""),"")</f>
        <v/>
      </c>
    </row>
    <row r="154" spans="1:28" s="141" customFormat="1" ht="11.25" x14ac:dyDescent="0.15">
      <c r="A154" s="173">
        <v>3680024</v>
      </c>
      <c r="B154" s="173" t="s">
        <v>351</v>
      </c>
      <c r="C154" s="173" t="s">
        <v>352</v>
      </c>
      <c r="D154" s="173" t="s">
        <v>353</v>
      </c>
      <c r="E154" s="173" t="s">
        <v>116</v>
      </c>
      <c r="F154" s="173">
        <v>3</v>
      </c>
      <c r="G154" s="173" t="s">
        <v>19</v>
      </c>
      <c r="H154" s="173" t="s">
        <v>20</v>
      </c>
      <c r="I154" s="173" t="s">
        <v>205</v>
      </c>
      <c r="J154" s="173"/>
      <c r="K154" s="173" t="s">
        <v>211</v>
      </c>
      <c r="L154" s="173">
        <v>50</v>
      </c>
      <c r="M154" s="173" t="s">
        <v>370</v>
      </c>
      <c r="N154" s="174">
        <v>1050</v>
      </c>
      <c r="O154" s="174">
        <v>1050</v>
      </c>
      <c r="P154" s="174">
        <v>4100</v>
      </c>
      <c r="Q154" s="173">
        <v>2</v>
      </c>
      <c r="R154" s="173">
        <v>3</v>
      </c>
      <c r="S154" s="173" t="s">
        <v>354</v>
      </c>
      <c r="T154" s="175">
        <v>44825</v>
      </c>
      <c r="U154" s="175">
        <v>44855</v>
      </c>
      <c r="V154" s="173" t="s">
        <v>355</v>
      </c>
      <c r="W154" s="173"/>
      <c r="X154" s="173"/>
      <c r="Z154" s="146" t="str">
        <f t="shared" ca="1" si="2"/>
        <v/>
      </c>
      <c r="AA154" s="146" t="str">
        <f ca="1">IFERROR(IF(OR(OFFSET('S4'!#REF!,MATCH($A154,'S4'!$D$5:$D$2535,0)-1,6)="巻返し",OFFSET('S4'!#REF!,MATCH($A154,'S4'!$D$5:$D$2535,0)-1,6)="スリット"),SUMIF('S4'!$D$5:$D$2535,$A154,'S4'!$U$5:$U$2535),""),"")</f>
        <v/>
      </c>
      <c r="AB154" s="146" t="str">
        <f ca="1">IFERROR(IF(OR(OFFSET('S5'!#REF!,MATCH($A154,'S5'!$D$5:$D$2103,0)-1,6)="巻返し",OFFSET('S5'!#REF!,MATCH($A154,'S5'!$D$5:$D$2103,0)-1,6)="スリット"),SUMIF('S5'!$D$5:$D$2103,$A154,'S5'!$T$5:$T$2103),""),"")</f>
        <v/>
      </c>
    </row>
    <row r="155" spans="1:28" s="141" customFormat="1" ht="11.25" x14ac:dyDescent="0.15">
      <c r="A155" s="173">
        <v>3680025</v>
      </c>
      <c r="B155" s="173" t="s">
        <v>351</v>
      </c>
      <c r="C155" s="173" t="s">
        <v>352</v>
      </c>
      <c r="D155" s="173" t="s">
        <v>353</v>
      </c>
      <c r="E155" s="173" t="s">
        <v>116</v>
      </c>
      <c r="F155" s="173">
        <v>3</v>
      </c>
      <c r="G155" s="173" t="s">
        <v>19</v>
      </c>
      <c r="H155" s="173" t="s">
        <v>20</v>
      </c>
      <c r="I155" s="173" t="s">
        <v>205</v>
      </c>
      <c r="J155" s="173"/>
      <c r="K155" s="173" t="s">
        <v>211</v>
      </c>
      <c r="L155" s="173">
        <v>50</v>
      </c>
      <c r="M155" s="173" t="s">
        <v>370</v>
      </c>
      <c r="N155" s="174">
        <v>1170</v>
      </c>
      <c r="O155" s="174">
        <v>1170</v>
      </c>
      <c r="P155" s="174">
        <v>4000</v>
      </c>
      <c r="Q155" s="173">
        <v>2</v>
      </c>
      <c r="R155" s="173">
        <v>2</v>
      </c>
      <c r="S155" s="173" t="s">
        <v>354</v>
      </c>
      <c r="T155" s="175">
        <v>44825</v>
      </c>
      <c r="U155" s="175">
        <v>44855</v>
      </c>
      <c r="V155" s="173" t="s">
        <v>355</v>
      </c>
      <c r="W155" s="173"/>
      <c r="X155" s="173"/>
      <c r="Z155" s="146" t="str">
        <f t="shared" ca="1" si="2"/>
        <v/>
      </c>
      <c r="AA155" s="146" t="str">
        <f ca="1">IFERROR(IF(OR(OFFSET('S4'!#REF!,MATCH($A155,'S4'!$D$5:$D$2535,0)-1,6)="巻返し",OFFSET('S4'!#REF!,MATCH($A155,'S4'!$D$5:$D$2535,0)-1,6)="スリット"),SUMIF('S4'!$D$5:$D$2535,$A155,'S4'!$U$5:$U$2535),""),"")</f>
        <v/>
      </c>
      <c r="AB155" s="146" t="str">
        <f ca="1">IFERROR(IF(OR(OFFSET('S5'!#REF!,MATCH($A155,'S5'!$D$5:$D$2103,0)-1,6)="巻返し",OFFSET('S5'!#REF!,MATCH($A155,'S5'!$D$5:$D$2103,0)-1,6)="スリット"),SUMIF('S5'!$D$5:$D$2103,$A155,'S5'!$T$5:$T$2103),""),"")</f>
        <v/>
      </c>
    </row>
    <row r="156" spans="1:28" s="141" customFormat="1" ht="11.25" x14ac:dyDescent="0.15">
      <c r="A156" s="173">
        <v>3680027</v>
      </c>
      <c r="B156" s="173" t="s">
        <v>351</v>
      </c>
      <c r="C156" s="173" t="s">
        <v>352</v>
      </c>
      <c r="D156" s="173" t="s">
        <v>353</v>
      </c>
      <c r="E156" s="173" t="s">
        <v>116</v>
      </c>
      <c r="F156" s="173">
        <v>3</v>
      </c>
      <c r="G156" s="173" t="s">
        <v>19</v>
      </c>
      <c r="H156" s="173" t="s">
        <v>20</v>
      </c>
      <c r="I156" s="173" t="s">
        <v>205</v>
      </c>
      <c r="J156" s="173"/>
      <c r="K156" s="173" t="s">
        <v>216</v>
      </c>
      <c r="L156" s="173">
        <v>25</v>
      </c>
      <c r="M156" s="173" t="s">
        <v>217</v>
      </c>
      <c r="N156" s="174">
        <v>1005</v>
      </c>
      <c r="O156" s="174">
        <v>1000</v>
      </c>
      <c r="P156" s="174">
        <v>4000</v>
      </c>
      <c r="Q156" s="173">
        <v>2</v>
      </c>
      <c r="R156" s="173">
        <v>15</v>
      </c>
      <c r="S156" s="173" t="s">
        <v>354</v>
      </c>
      <c r="T156" s="175">
        <v>44825</v>
      </c>
      <c r="U156" s="175">
        <v>44855</v>
      </c>
      <c r="V156" s="173" t="s">
        <v>355</v>
      </c>
      <c r="W156" s="173"/>
      <c r="X156" s="173"/>
      <c r="Z156" s="146" t="str">
        <f t="shared" ca="1" si="2"/>
        <v/>
      </c>
      <c r="AA156" s="146" t="str">
        <f ca="1">IFERROR(IF(OR(OFFSET('S4'!#REF!,MATCH($A156,'S4'!$D$5:$D$2535,0)-1,6)="巻返し",OFFSET('S4'!#REF!,MATCH($A156,'S4'!$D$5:$D$2535,0)-1,6)="スリット"),SUMIF('S4'!$D$5:$D$2535,$A156,'S4'!$U$5:$U$2535),""),"")</f>
        <v/>
      </c>
      <c r="AB156" s="146" t="str">
        <f ca="1">IFERROR(IF(OR(OFFSET('S5'!#REF!,MATCH($A156,'S5'!$D$5:$D$2103,0)-1,6)="巻返し",OFFSET('S5'!#REF!,MATCH($A156,'S5'!$D$5:$D$2103,0)-1,6)="スリット"),SUMIF('S5'!$D$5:$D$2103,$A156,'S5'!$T$5:$T$2103),""),"")</f>
        <v/>
      </c>
    </row>
    <row r="157" spans="1:28" s="141" customFormat="1" ht="11.25" x14ac:dyDescent="0.15">
      <c r="A157" s="173">
        <v>3680028</v>
      </c>
      <c r="B157" s="173" t="s">
        <v>351</v>
      </c>
      <c r="C157" s="173" t="s">
        <v>352</v>
      </c>
      <c r="D157" s="173" t="s">
        <v>353</v>
      </c>
      <c r="E157" s="173" t="s">
        <v>116</v>
      </c>
      <c r="F157" s="173">
        <v>3</v>
      </c>
      <c r="G157" s="173" t="s">
        <v>19</v>
      </c>
      <c r="H157" s="173" t="s">
        <v>20</v>
      </c>
      <c r="I157" s="173" t="s">
        <v>205</v>
      </c>
      <c r="J157" s="173"/>
      <c r="K157" s="173" t="s">
        <v>216</v>
      </c>
      <c r="L157" s="173">
        <v>50</v>
      </c>
      <c r="M157" s="173" t="s">
        <v>217</v>
      </c>
      <c r="N157" s="174">
        <v>1120</v>
      </c>
      <c r="O157" s="174">
        <v>1120</v>
      </c>
      <c r="P157" s="174">
        <v>5000</v>
      </c>
      <c r="Q157" s="173">
        <v>2</v>
      </c>
      <c r="R157" s="173">
        <v>12</v>
      </c>
      <c r="S157" s="173" t="s">
        <v>354</v>
      </c>
      <c r="T157" s="175">
        <v>44825</v>
      </c>
      <c r="U157" s="175">
        <v>44860</v>
      </c>
      <c r="V157" s="173" t="s">
        <v>355</v>
      </c>
      <c r="W157" s="173"/>
      <c r="X157" s="173"/>
      <c r="Z157" s="146" t="str">
        <f t="shared" ca="1" si="2"/>
        <v/>
      </c>
      <c r="AA157" s="146" t="str">
        <f ca="1">IFERROR(IF(OR(OFFSET('S4'!#REF!,MATCH($A157,'S4'!$D$5:$D$2535,0)-1,6)="巻返し",OFFSET('S4'!#REF!,MATCH($A157,'S4'!$D$5:$D$2535,0)-1,6)="スリット"),SUMIF('S4'!$D$5:$D$2535,$A157,'S4'!$U$5:$U$2535),""),"")</f>
        <v/>
      </c>
      <c r="AB157" s="146" t="str">
        <f ca="1">IFERROR(IF(OR(OFFSET('S5'!#REF!,MATCH($A157,'S5'!$D$5:$D$2103,0)-1,6)="巻返し",OFFSET('S5'!#REF!,MATCH($A157,'S5'!$D$5:$D$2103,0)-1,6)="スリット"),SUMIF('S5'!$D$5:$D$2103,$A157,'S5'!$T$5:$T$2103),""),"")</f>
        <v/>
      </c>
    </row>
    <row r="158" spans="1:28" s="141" customFormat="1" ht="11.25" x14ac:dyDescent="0.15">
      <c r="A158" s="173">
        <v>3680029</v>
      </c>
      <c r="B158" s="173" t="s">
        <v>351</v>
      </c>
      <c r="C158" s="173" t="s">
        <v>352</v>
      </c>
      <c r="D158" s="173" t="s">
        <v>353</v>
      </c>
      <c r="E158" s="173" t="s">
        <v>116</v>
      </c>
      <c r="F158" s="173">
        <v>3</v>
      </c>
      <c r="G158" s="173" t="s">
        <v>19</v>
      </c>
      <c r="H158" s="173" t="s">
        <v>20</v>
      </c>
      <c r="I158" s="173" t="s">
        <v>205</v>
      </c>
      <c r="J158" s="173"/>
      <c r="K158" s="173" t="s">
        <v>216</v>
      </c>
      <c r="L158" s="173">
        <v>50</v>
      </c>
      <c r="M158" s="173" t="s">
        <v>217</v>
      </c>
      <c r="N158" s="174">
        <v>1120</v>
      </c>
      <c r="O158" s="174">
        <v>1120</v>
      </c>
      <c r="P158" s="174">
        <v>5000</v>
      </c>
      <c r="Q158" s="173">
        <v>2</v>
      </c>
      <c r="R158" s="173">
        <v>12</v>
      </c>
      <c r="S158" s="173" t="s">
        <v>354</v>
      </c>
      <c r="T158" s="175">
        <v>44825</v>
      </c>
      <c r="U158" s="175">
        <v>44862</v>
      </c>
      <c r="V158" s="173" t="s">
        <v>355</v>
      </c>
      <c r="W158" s="173"/>
      <c r="X158" s="173"/>
      <c r="Z158" s="146" t="str">
        <f t="shared" ca="1" si="2"/>
        <v/>
      </c>
      <c r="AA158" s="146" t="str">
        <f ca="1">IFERROR(IF(OR(OFFSET('S4'!#REF!,MATCH($A158,'S4'!$D$5:$D$2535,0)-1,6)="巻返し",OFFSET('S4'!#REF!,MATCH($A158,'S4'!$D$5:$D$2535,0)-1,6)="スリット"),SUMIF('S4'!$D$5:$D$2535,$A158,'S4'!$U$5:$U$2535),""),"")</f>
        <v/>
      </c>
      <c r="AB158" s="146" t="str">
        <f ca="1">IFERROR(IF(OR(OFFSET('S5'!#REF!,MATCH($A158,'S5'!$D$5:$D$2103,0)-1,6)="巻返し",OFFSET('S5'!#REF!,MATCH($A158,'S5'!$D$5:$D$2103,0)-1,6)="スリット"),SUMIF('S5'!$D$5:$D$2103,$A158,'S5'!$T$5:$T$2103),""),"")</f>
        <v/>
      </c>
    </row>
    <row r="159" spans="1:28" s="141" customFormat="1" ht="11.25" x14ac:dyDescent="0.15">
      <c r="A159" s="173">
        <v>3680030</v>
      </c>
      <c r="B159" s="173" t="s">
        <v>351</v>
      </c>
      <c r="C159" s="173" t="s">
        <v>352</v>
      </c>
      <c r="D159" s="173" t="s">
        <v>353</v>
      </c>
      <c r="E159" s="173" t="s">
        <v>116</v>
      </c>
      <c r="F159" s="173">
        <v>3</v>
      </c>
      <c r="G159" s="173" t="s">
        <v>19</v>
      </c>
      <c r="H159" s="173" t="s">
        <v>20</v>
      </c>
      <c r="I159" s="173" t="s">
        <v>205</v>
      </c>
      <c r="J159" s="173"/>
      <c r="K159" s="173" t="s">
        <v>216</v>
      </c>
      <c r="L159" s="173">
        <v>50</v>
      </c>
      <c r="M159" s="173" t="s">
        <v>217</v>
      </c>
      <c r="N159" s="174">
        <v>1120</v>
      </c>
      <c r="O159" s="174">
        <v>1120</v>
      </c>
      <c r="P159" s="174">
        <v>5000</v>
      </c>
      <c r="Q159" s="173">
        <v>2</v>
      </c>
      <c r="R159" s="173">
        <v>12</v>
      </c>
      <c r="S159" s="173" t="s">
        <v>354</v>
      </c>
      <c r="T159" s="175">
        <v>44825</v>
      </c>
      <c r="U159" s="175">
        <v>44869</v>
      </c>
      <c r="V159" s="173" t="s">
        <v>355</v>
      </c>
      <c r="W159" s="173"/>
      <c r="X159" s="173"/>
      <c r="Z159" s="146" t="str">
        <f t="shared" ca="1" si="2"/>
        <v/>
      </c>
      <c r="AA159" s="146" t="str">
        <f ca="1">IFERROR(IF(OR(OFFSET('S4'!#REF!,MATCH($A159,'S4'!$D$5:$D$2535,0)-1,6)="巻返し",OFFSET('S4'!#REF!,MATCH($A159,'S4'!$D$5:$D$2535,0)-1,6)="スリット"),SUMIF('S4'!$D$5:$D$2535,$A159,'S4'!$U$5:$U$2535),""),"")</f>
        <v/>
      </c>
      <c r="AB159" s="146" t="str">
        <f ca="1">IFERROR(IF(OR(OFFSET('S5'!#REF!,MATCH($A159,'S5'!$D$5:$D$2103,0)-1,6)="巻返し",OFFSET('S5'!#REF!,MATCH($A159,'S5'!$D$5:$D$2103,0)-1,6)="スリット"),SUMIF('S5'!$D$5:$D$2103,$A159,'S5'!$T$5:$T$2103),""),"")</f>
        <v/>
      </c>
    </row>
    <row r="160" spans="1:28" s="141" customFormat="1" ht="11.25" x14ac:dyDescent="0.15">
      <c r="A160" s="173">
        <v>3680031</v>
      </c>
      <c r="B160" s="173" t="s">
        <v>351</v>
      </c>
      <c r="C160" s="173" t="s">
        <v>352</v>
      </c>
      <c r="D160" s="173" t="s">
        <v>353</v>
      </c>
      <c r="E160" s="173" t="s">
        <v>116</v>
      </c>
      <c r="F160" s="173">
        <v>3</v>
      </c>
      <c r="G160" s="173" t="s">
        <v>19</v>
      </c>
      <c r="H160" s="173" t="s">
        <v>20</v>
      </c>
      <c r="I160" s="173" t="s">
        <v>205</v>
      </c>
      <c r="J160" s="173"/>
      <c r="K160" s="173" t="s">
        <v>216</v>
      </c>
      <c r="L160" s="173">
        <v>50</v>
      </c>
      <c r="M160" s="173" t="s">
        <v>217</v>
      </c>
      <c r="N160" s="174">
        <v>1120</v>
      </c>
      <c r="O160" s="174">
        <v>1120</v>
      </c>
      <c r="P160" s="174">
        <v>5000</v>
      </c>
      <c r="Q160" s="173">
        <v>2</v>
      </c>
      <c r="R160" s="173">
        <v>12</v>
      </c>
      <c r="S160" s="173" t="s">
        <v>354</v>
      </c>
      <c r="T160" s="175">
        <v>44825</v>
      </c>
      <c r="U160" s="175">
        <v>44879</v>
      </c>
      <c r="V160" s="173" t="s">
        <v>355</v>
      </c>
      <c r="W160" s="173"/>
      <c r="X160" s="173"/>
      <c r="Z160" s="146" t="str">
        <f t="shared" ca="1" si="2"/>
        <v/>
      </c>
      <c r="AA160" s="146" t="str">
        <f ca="1">IFERROR(IF(OR(OFFSET('S4'!#REF!,MATCH($A160,'S4'!$D$5:$D$2535,0)-1,6)="巻返し",OFFSET('S4'!#REF!,MATCH($A160,'S4'!$D$5:$D$2535,0)-1,6)="スリット"),SUMIF('S4'!$D$5:$D$2535,$A160,'S4'!$U$5:$U$2535),""),"")</f>
        <v/>
      </c>
      <c r="AB160" s="146" t="str">
        <f ca="1">IFERROR(IF(OR(OFFSET('S5'!#REF!,MATCH($A160,'S5'!$D$5:$D$2103,0)-1,6)="巻返し",OFFSET('S5'!#REF!,MATCH($A160,'S5'!$D$5:$D$2103,0)-1,6)="スリット"),SUMIF('S5'!$D$5:$D$2103,$A160,'S5'!$T$5:$T$2103),""),"")</f>
        <v/>
      </c>
    </row>
    <row r="161" spans="1:28" s="141" customFormat="1" ht="11.25" x14ac:dyDescent="0.15">
      <c r="A161" s="173">
        <v>3680032</v>
      </c>
      <c r="B161" s="173" t="s">
        <v>351</v>
      </c>
      <c r="C161" s="173" t="s">
        <v>352</v>
      </c>
      <c r="D161" s="173" t="s">
        <v>353</v>
      </c>
      <c r="E161" s="173" t="s">
        <v>116</v>
      </c>
      <c r="F161" s="173">
        <v>3</v>
      </c>
      <c r="G161" s="173" t="s">
        <v>19</v>
      </c>
      <c r="H161" s="173" t="s">
        <v>20</v>
      </c>
      <c r="I161" s="173" t="s">
        <v>205</v>
      </c>
      <c r="J161" s="173"/>
      <c r="K161" s="173" t="s">
        <v>218</v>
      </c>
      <c r="L161" s="173">
        <v>25</v>
      </c>
      <c r="M161" s="173" t="s">
        <v>219</v>
      </c>
      <c r="N161" s="174">
        <v>1005</v>
      </c>
      <c r="O161" s="174">
        <v>1000</v>
      </c>
      <c r="P161" s="174">
        <v>4000</v>
      </c>
      <c r="Q161" s="173">
        <v>2</v>
      </c>
      <c r="R161" s="173">
        <v>8</v>
      </c>
      <c r="S161" s="173" t="s">
        <v>354</v>
      </c>
      <c r="T161" s="175">
        <v>44825</v>
      </c>
      <c r="U161" s="175">
        <v>44851</v>
      </c>
      <c r="V161" s="173" t="s">
        <v>355</v>
      </c>
      <c r="W161" s="173"/>
      <c r="X161" s="173"/>
      <c r="Z161" s="146" t="str">
        <f t="shared" ca="1" si="2"/>
        <v/>
      </c>
      <c r="AA161" s="146" t="str">
        <f ca="1">IFERROR(IF(OR(OFFSET('S4'!#REF!,MATCH($A161,'S4'!$D$5:$D$2535,0)-1,6)="巻返し",OFFSET('S4'!#REF!,MATCH($A161,'S4'!$D$5:$D$2535,0)-1,6)="スリット"),SUMIF('S4'!$D$5:$D$2535,$A161,'S4'!$U$5:$U$2535),""),"")</f>
        <v/>
      </c>
      <c r="AB161" s="146" t="str">
        <f ca="1">IFERROR(IF(OR(OFFSET('S5'!#REF!,MATCH($A161,'S5'!$D$5:$D$2103,0)-1,6)="巻返し",OFFSET('S5'!#REF!,MATCH($A161,'S5'!$D$5:$D$2103,0)-1,6)="スリット"),SUMIF('S5'!$D$5:$D$2103,$A161,'S5'!$T$5:$T$2103),""),"")</f>
        <v/>
      </c>
    </row>
    <row r="162" spans="1:28" s="141" customFormat="1" ht="11.25" x14ac:dyDescent="0.15">
      <c r="A162" s="173">
        <v>3680033</v>
      </c>
      <c r="B162" s="173" t="s">
        <v>351</v>
      </c>
      <c r="C162" s="173" t="s">
        <v>352</v>
      </c>
      <c r="D162" s="173" t="s">
        <v>353</v>
      </c>
      <c r="E162" s="173" t="s">
        <v>116</v>
      </c>
      <c r="F162" s="173">
        <v>3</v>
      </c>
      <c r="G162" s="173" t="s">
        <v>19</v>
      </c>
      <c r="H162" s="173" t="s">
        <v>20</v>
      </c>
      <c r="I162" s="173" t="s">
        <v>205</v>
      </c>
      <c r="J162" s="173"/>
      <c r="K162" s="173" t="s">
        <v>218</v>
      </c>
      <c r="L162" s="173">
        <v>50</v>
      </c>
      <c r="M162" s="173" t="s">
        <v>219</v>
      </c>
      <c r="N162" s="174">
        <v>1000</v>
      </c>
      <c r="O162" s="174">
        <v>1000</v>
      </c>
      <c r="P162" s="174">
        <v>4000</v>
      </c>
      <c r="Q162" s="173">
        <v>2</v>
      </c>
      <c r="R162" s="173">
        <v>18</v>
      </c>
      <c r="S162" s="173" t="s">
        <v>354</v>
      </c>
      <c r="T162" s="175">
        <v>44825</v>
      </c>
      <c r="U162" s="175">
        <v>44855</v>
      </c>
      <c r="V162" s="173" t="s">
        <v>355</v>
      </c>
      <c r="W162" s="173"/>
      <c r="X162" s="173"/>
      <c r="Z162" s="146" t="str">
        <f t="shared" ca="1" si="2"/>
        <v/>
      </c>
      <c r="AA162" s="146" t="str">
        <f ca="1">IFERROR(IF(OR(OFFSET('S4'!#REF!,MATCH($A162,'S4'!$D$5:$D$2535,0)-1,6)="巻返し",OFFSET('S4'!#REF!,MATCH($A162,'S4'!$D$5:$D$2535,0)-1,6)="スリット"),SUMIF('S4'!$D$5:$D$2535,$A162,'S4'!$U$5:$U$2535),""),"")</f>
        <v/>
      </c>
      <c r="AB162" s="146" t="str">
        <f ca="1">IFERROR(IF(OR(OFFSET('S5'!#REF!,MATCH($A162,'S5'!$D$5:$D$2103,0)-1,6)="巻返し",OFFSET('S5'!#REF!,MATCH($A162,'S5'!$D$5:$D$2103,0)-1,6)="スリット"),SUMIF('S5'!$D$5:$D$2103,$A162,'S5'!$T$5:$T$2103),""),"")</f>
        <v/>
      </c>
    </row>
    <row r="163" spans="1:28" s="141" customFormat="1" ht="11.25" x14ac:dyDescent="0.15">
      <c r="A163" s="173">
        <v>3680034</v>
      </c>
      <c r="B163" s="173" t="s">
        <v>351</v>
      </c>
      <c r="C163" s="173" t="s">
        <v>352</v>
      </c>
      <c r="D163" s="173" t="s">
        <v>353</v>
      </c>
      <c r="E163" s="173" t="s">
        <v>116</v>
      </c>
      <c r="F163" s="173" t="s">
        <v>158</v>
      </c>
      <c r="G163" s="173" t="s">
        <v>19</v>
      </c>
      <c r="H163" s="173" t="s">
        <v>20</v>
      </c>
      <c r="I163" s="173" t="s">
        <v>165</v>
      </c>
      <c r="J163" s="173"/>
      <c r="K163" s="173" t="s">
        <v>192</v>
      </c>
      <c r="L163" s="173">
        <v>38</v>
      </c>
      <c r="M163" s="173" t="s">
        <v>193</v>
      </c>
      <c r="N163" s="174">
        <v>1005</v>
      </c>
      <c r="O163" s="174">
        <v>1000</v>
      </c>
      <c r="P163" s="174">
        <v>2000</v>
      </c>
      <c r="Q163" s="173">
        <v>2</v>
      </c>
      <c r="R163" s="173">
        <v>1</v>
      </c>
      <c r="S163" s="173" t="s">
        <v>354</v>
      </c>
      <c r="T163" s="175">
        <v>44825</v>
      </c>
      <c r="U163" s="175">
        <v>44851</v>
      </c>
      <c r="V163" s="173" t="s">
        <v>355</v>
      </c>
      <c r="W163" s="173"/>
      <c r="X163" s="173"/>
      <c r="Z163" s="146" t="str">
        <f t="shared" ca="1" si="2"/>
        <v/>
      </c>
      <c r="AA163" s="146" t="str">
        <f ca="1">IFERROR(IF(OR(OFFSET('S4'!#REF!,MATCH($A163,'S4'!$D$5:$D$2535,0)-1,6)="巻返し",OFFSET('S4'!#REF!,MATCH($A163,'S4'!$D$5:$D$2535,0)-1,6)="スリット"),SUMIF('S4'!$D$5:$D$2535,$A163,'S4'!$U$5:$U$2535),""),"")</f>
        <v/>
      </c>
      <c r="AB163" s="146" t="str">
        <f ca="1">IFERROR(IF(OR(OFFSET('S5'!#REF!,MATCH($A163,'S5'!$D$5:$D$2103,0)-1,6)="巻返し",OFFSET('S5'!#REF!,MATCH($A163,'S5'!$D$5:$D$2103,0)-1,6)="スリット"),SUMIF('S5'!$D$5:$D$2103,$A163,'S5'!$T$5:$T$2103),""),"")</f>
        <v/>
      </c>
    </row>
    <row r="164" spans="1:28" s="141" customFormat="1" ht="11.25" x14ac:dyDescent="0.15">
      <c r="A164" s="173">
        <v>3680035</v>
      </c>
      <c r="B164" s="173" t="s">
        <v>351</v>
      </c>
      <c r="C164" s="173" t="s">
        <v>352</v>
      </c>
      <c r="D164" s="173" t="s">
        <v>353</v>
      </c>
      <c r="E164" s="173" t="s">
        <v>116</v>
      </c>
      <c r="F164" s="173" t="s">
        <v>158</v>
      </c>
      <c r="G164" s="173" t="s">
        <v>19</v>
      </c>
      <c r="H164" s="173" t="s">
        <v>20</v>
      </c>
      <c r="I164" s="173" t="s">
        <v>165</v>
      </c>
      <c r="J164" s="173"/>
      <c r="K164" s="173" t="s">
        <v>192</v>
      </c>
      <c r="L164" s="173">
        <v>50</v>
      </c>
      <c r="M164" s="173" t="s">
        <v>193</v>
      </c>
      <c r="N164" s="174">
        <v>1005</v>
      </c>
      <c r="O164" s="174">
        <v>1000</v>
      </c>
      <c r="P164" s="174">
        <v>4000</v>
      </c>
      <c r="Q164" s="173">
        <v>2</v>
      </c>
      <c r="R164" s="173">
        <v>6</v>
      </c>
      <c r="S164" s="173" t="s">
        <v>354</v>
      </c>
      <c r="T164" s="175">
        <v>44825</v>
      </c>
      <c r="U164" s="175">
        <v>44861</v>
      </c>
      <c r="V164" s="173" t="s">
        <v>355</v>
      </c>
      <c r="W164" s="173"/>
      <c r="X164" s="173"/>
      <c r="Z164" s="146" t="str">
        <f t="shared" ca="1" si="2"/>
        <v/>
      </c>
      <c r="AA164" s="146" t="str">
        <f ca="1">IFERROR(IF(OR(OFFSET('S4'!#REF!,MATCH($A164,'S4'!$D$5:$D$2535,0)-1,6)="巻返し",OFFSET('S4'!#REF!,MATCH($A164,'S4'!$D$5:$D$2535,0)-1,6)="スリット"),SUMIF('S4'!$D$5:$D$2535,$A164,'S4'!$U$5:$U$2535),""),"")</f>
        <v/>
      </c>
      <c r="AB164" s="146" t="str">
        <f ca="1">IFERROR(IF(OR(OFFSET('S5'!#REF!,MATCH($A164,'S5'!$D$5:$D$2103,0)-1,6)="巻返し",OFFSET('S5'!#REF!,MATCH($A164,'S5'!$D$5:$D$2103,0)-1,6)="スリット"),SUMIF('S5'!$D$5:$D$2103,$A164,'S5'!$T$5:$T$2103),""),"")</f>
        <v/>
      </c>
    </row>
    <row r="165" spans="1:28" s="141" customFormat="1" ht="11.25" x14ac:dyDescent="0.15">
      <c r="A165" s="173">
        <v>3680036</v>
      </c>
      <c r="B165" s="173" t="s">
        <v>351</v>
      </c>
      <c r="C165" s="173" t="s">
        <v>352</v>
      </c>
      <c r="D165" s="173" t="s">
        <v>353</v>
      </c>
      <c r="E165" s="173" t="s">
        <v>116</v>
      </c>
      <c r="F165" s="173" t="s">
        <v>158</v>
      </c>
      <c r="G165" s="173" t="s">
        <v>19</v>
      </c>
      <c r="H165" s="173" t="s">
        <v>20</v>
      </c>
      <c r="I165" s="173" t="s">
        <v>165</v>
      </c>
      <c r="J165" s="173"/>
      <c r="K165" s="173" t="s">
        <v>195</v>
      </c>
      <c r="L165" s="173">
        <v>50</v>
      </c>
      <c r="M165" s="173" t="s">
        <v>196</v>
      </c>
      <c r="N165" s="174">
        <v>1005</v>
      </c>
      <c r="O165" s="174">
        <v>1000</v>
      </c>
      <c r="P165" s="174">
        <v>4000</v>
      </c>
      <c r="Q165" s="173">
        <v>2</v>
      </c>
      <c r="R165" s="173">
        <v>3</v>
      </c>
      <c r="S165" s="173" t="s">
        <v>354</v>
      </c>
      <c r="T165" s="175">
        <v>44825</v>
      </c>
      <c r="U165" s="175">
        <v>44861</v>
      </c>
      <c r="V165" s="173" t="s">
        <v>355</v>
      </c>
      <c r="W165" s="173"/>
      <c r="X165" s="173"/>
      <c r="Z165" s="146" t="str">
        <f t="shared" ca="1" si="2"/>
        <v/>
      </c>
      <c r="AA165" s="146" t="str">
        <f ca="1">IFERROR(IF(OR(OFFSET('S4'!#REF!,MATCH($A165,'S4'!$D$5:$D$2535,0)-1,6)="巻返し",OFFSET('S4'!#REF!,MATCH($A165,'S4'!$D$5:$D$2535,0)-1,6)="スリット"),SUMIF('S4'!$D$5:$D$2535,$A165,'S4'!$U$5:$U$2535),""),"")</f>
        <v/>
      </c>
      <c r="AB165" s="146" t="str">
        <f ca="1">IFERROR(IF(OR(OFFSET('S5'!#REF!,MATCH($A165,'S5'!$D$5:$D$2103,0)-1,6)="巻返し",OFFSET('S5'!#REF!,MATCH($A165,'S5'!$D$5:$D$2103,0)-1,6)="スリット"),SUMIF('S5'!$D$5:$D$2103,$A165,'S5'!$T$5:$T$2103),""),"")</f>
        <v/>
      </c>
    </row>
    <row r="166" spans="1:28" s="141" customFormat="1" ht="11.25" x14ac:dyDescent="0.15">
      <c r="A166" s="173">
        <v>3680037</v>
      </c>
      <c r="B166" s="173" t="s">
        <v>351</v>
      </c>
      <c r="C166" s="173" t="s">
        <v>352</v>
      </c>
      <c r="D166" s="173" t="s">
        <v>353</v>
      </c>
      <c r="E166" s="173" t="s">
        <v>116</v>
      </c>
      <c r="F166" s="173">
        <v>3</v>
      </c>
      <c r="G166" s="173" t="s">
        <v>19</v>
      </c>
      <c r="H166" s="173" t="s">
        <v>20</v>
      </c>
      <c r="I166" s="173" t="s">
        <v>165</v>
      </c>
      <c r="J166" s="173"/>
      <c r="K166" s="173" t="s">
        <v>166</v>
      </c>
      <c r="L166" s="173">
        <v>50</v>
      </c>
      <c r="M166" s="173" t="s">
        <v>167</v>
      </c>
      <c r="N166" s="174">
        <v>1005</v>
      </c>
      <c r="O166" s="174">
        <v>1000</v>
      </c>
      <c r="P166" s="174">
        <v>2000</v>
      </c>
      <c r="Q166" s="173">
        <v>2</v>
      </c>
      <c r="R166" s="173">
        <v>2</v>
      </c>
      <c r="S166" s="173" t="s">
        <v>354</v>
      </c>
      <c r="T166" s="175">
        <v>44825</v>
      </c>
      <c r="U166" s="175">
        <v>44855</v>
      </c>
      <c r="V166" s="173" t="s">
        <v>355</v>
      </c>
      <c r="W166" s="173"/>
      <c r="X166" s="173"/>
      <c r="Z166" s="146" t="str">
        <f t="shared" ca="1" si="2"/>
        <v/>
      </c>
      <c r="AA166" s="146" t="str">
        <f ca="1">IFERROR(IF(OR(OFFSET('S4'!#REF!,MATCH($A166,'S4'!$D$5:$D$2535,0)-1,6)="巻返し",OFFSET('S4'!#REF!,MATCH($A166,'S4'!$D$5:$D$2535,0)-1,6)="スリット"),SUMIF('S4'!$D$5:$D$2535,$A166,'S4'!$U$5:$U$2535),""),"")</f>
        <v/>
      </c>
      <c r="AB166" s="146" t="str">
        <f ca="1">IFERROR(IF(OR(OFFSET('S5'!#REF!,MATCH($A166,'S5'!$D$5:$D$2103,0)-1,6)="巻返し",OFFSET('S5'!#REF!,MATCH($A166,'S5'!$D$5:$D$2103,0)-1,6)="スリット"),SUMIF('S5'!$D$5:$D$2103,$A166,'S5'!$T$5:$T$2103),""),"")</f>
        <v/>
      </c>
    </row>
    <row r="167" spans="1:28" s="141" customFormat="1" ht="11.25" x14ac:dyDescent="0.15">
      <c r="A167" s="173">
        <v>3680038</v>
      </c>
      <c r="B167" s="173" t="s">
        <v>351</v>
      </c>
      <c r="C167" s="173" t="s">
        <v>352</v>
      </c>
      <c r="D167" s="173" t="s">
        <v>353</v>
      </c>
      <c r="E167" s="173" t="s">
        <v>116</v>
      </c>
      <c r="F167" s="173">
        <v>3</v>
      </c>
      <c r="G167" s="173" t="s">
        <v>19</v>
      </c>
      <c r="H167" s="173" t="s">
        <v>20</v>
      </c>
      <c r="I167" s="173" t="s">
        <v>165</v>
      </c>
      <c r="J167" s="173"/>
      <c r="K167" s="173" t="s">
        <v>166</v>
      </c>
      <c r="L167" s="173">
        <v>50</v>
      </c>
      <c r="M167" s="173" t="s">
        <v>167</v>
      </c>
      <c r="N167" s="174">
        <v>1005</v>
      </c>
      <c r="O167" s="174">
        <v>1000</v>
      </c>
      <c r="P167" s="174">
        <v>2000</v>
      </c>
      <c r="Q167" s="173">
        <v>2</v>
      </c>
      <c r="R167" s="173">
        <v>2</v>
      </c>
      <c r="S167" s="173" t="s">
        <v>354</v>
      </c>
      <c r="T167" s="175">
        <v>44825</v>
      </c>
      <c r="U167" s="175">
        <v>44895</v>
      </c>
      <c r="V167" s="173" t="s">
        <v>355</v>
      </c>
      <c r="W167" s="173"/>
      <c r="X167" s="173"/>
      <c r="Z167" s="146" t="str">
        <f t="shared" ca="1" si="2"/>
        <v/>
      </c>
      <c r="AA167" s="146" t="str">
        <f ca="1">IFERROR(IF(OR(OFFSET('S4'!#REF!,MATCH($A167,'S4'!$D$5:$D$2535,0)-1,6)="巻返し",OFFSET('S4'!#REF!,MATCH($A167,'S4'!$D$5:$D$2535,0)-1,6)="スリット"),SUMIF('S4'!$D$5:$D$2535,$A167,'S4'!$U$5:$U$2535),""),"")</f>
        <v/>
      </c>
      <c r="AB167" s="146" t="str">
        <f ca="1">IFERROR(IF(OR(OFFSET('S5'!#REF!,MATCH($A167,'S5'!$D$5:$D$2103,0)-1,6)="巻返し",OFFSET('S5'!#REF!,MATCH($A167,'S5'!$D$5:$D$2103,0)-1,6)="スリット"),SUMIF('S5'!$D$5:$D$2103,$A167,'S5'!$T$5:$T$2103),""),"")</f>
        <v/>
      </c>
    </row>
    <row r="168" spans="1:28" s="141" customFormat="1" ht="11.25" x14ac:dyDescent="0.15">
      <c r="A168" s="173">
        <v>3680041</v>
      </c>
      <c r="B168" s="173" t="s">
        <v>351</v>
      </c>
      <c r="C168" s="173" t="s">
        <v>352</v>
      </c>
      <c r="D168" s="173" t="s">
        <v>353</v>
      </c>
      <c r="E168" s="173" t="s">
        <v>116</v>
      </c>
      <c r="F168" s="173">
        <v>3</v>
      </c>
      <c r="G168" s="173" t="s">
        <v>19</v>
      </c>
      <c r="H168" s="173" t="s">
        <v>20</v>
      </c>
      <c r="I168" s="173" t="s">
        <v>205</v>
      </c>
      <c r="J168" s="173"/>
      <c r="K168" s="173" t="s">
        <v>221</v>
      </c>
      <c r="L168" s="173">
        <v>25</v>
      </c>
      <c r="M168" s="173" t="s">
        <v>222</v>
      </c>
      <c r="N168" s="174">
        <v>1000</v>
      </c>
      <c r="O168" s="174">
        <v>1000</v>
      </c>
      <c r="P168" s="174">
        <v>6000</v>
      </c>
      <c r="Q168" s="173">
        <v>2</v>
      </c>
      <c r="R168" s="173">
        <v>6</v>
      </c>
      <c r="S168" s="173" t="s">
        <v>354</v>
      </c>
      <c r="T168" s="175">
        <v>44825</v>
      </c>
      <c r="U168" s="175">
        <v>44848</v>
      </c>
      <c r="V168" s="173" t="s">
        <v>355</v>
      </c>
      <c r="W168" s="173"/>
      <c r="X168" s="173"/>
      <c r="Z168" s="146" t="str">
        <f t="shared" ca="1" si="2"/>
        <v/>
      </c>
      <c r="AA168" s="146" t="str">
        <f ca="1">IFERROR(IF(OR(OFFSET('S4'!#REF!,MATCH($A168,'S4'!$D$5:$D$2535,0)-1,6)="巻返し",OFFSET('S4'!#REF!,MATCH($A168,'S4'!$D$5:$D$2535,0)-1,6)="スリット"),SUMIF('S4'!$D$5:$D$2535,$A168,'S4'!$U$5:$U$2535),""),"")</f>
        <v/>
      </c>
      <c r="AB168" s="146" t="str">
        <f ca="1">IFERROR(IF(OR(OFFSET('S5'!#REF!,MATCH($A168,'S5'!$D$5:$D$2103,0)-1,6)="巻返し",OFFSET('S5'!#REF!,MATCH($A168,'S5'!$D$5:$D$2103,0)-1,6)="スリット"),SUMIF('S5'!$D$5:$D$2103,$A168,'S5'!$T$5:$T$2103),""),"")</f>
        <v/>
      </c>
    </row>
    <row r="169" spans="1:28" s="141" customFormat="1" ht="11.25" x14ac:dyDescent="0.15">
      <c r="A169" s="173">
        <v>3680042</v>
      </c>
      <c r="B169" s="173" t="s">
        <v>351</v>
      </c>
      <c r="C169" s="173" t="s">
        <v>352</v>
      </c>
      <c r="D169" s="173" t="s">
        <v>353</v>
      </c>
      <c r="E169" s="173" t="s">
        <v>116</v>
      </c>
      <c r="F169" s="173">
        <v>3</v>
      </c>
      <c r="G169" s="173" t="s">
        <v>19</v>
      </c>
      <c r="H169" s="173" t="s">
        <v>20</v>
      </c>
      <c r="I169" s="173" t="s">
        <v>165</v>
      </c>
      <c r="J169" s="173"/>
      <c r="K169" s="173" t="s">
        <v>176</v>
      </c>
      <c r="L169" s="173">
        <v>50</v>
      </c>
      <c r="M169" s="173" t="s">
        <v>177</v>
      </c>
      <c r="N169" s="174">
        <v>1005</v>
      </c>
      <c r="O169" s="174">
        <v>1000</v>
      </c>
      <c r="P169" s="174">
        <v>4000</v>
      </c>
      <c r="Q169" s="173">
        <v>2</v>
      </c>
      <c r="R169" s="173">
        <v>2</v>
      </c>
      <c r="S169" s="173" t="s">
        <v>354</v>
      </c>
      <c r="T169" s="175">
        <v>44825</v>
      </c>
      <c r="U169" s="175">
        <v>44855</v>
      </c>
      <c r="V169" s="173" t="s">
        <v>355</v>
      </c>
      <c r="W169" s="173"/>
      <c r="X169" s="173"/>
      <c r="Z169" s="146" t="str">
        <f t="shared" ca="1" si="2"/>
        <v/>
      </c>
      <c r="AA169" s="146" t="str">
        <f ca="1">IFERROR(IF(OR(OFFSET('S4'!#REF!,MATCH($A169,'S4'!$D$5:$D$2535,0)-1,6)="巻返し",OFFSET('S4'!#REF!,MATCH($A169,'S4'!$D$5:$D$2535,0)-1,6)="スリット"),SUMIF('S4'!$D$5:$D$2535,$A169,'S4'!$U$5:$U$2535),""),"")</f>
        <v/>
      </c>
      <c r="AB169" s="146" t="str">
        <f ca="1">IFERROR(IF(OR(OFFSET('S5'!#REF!,MATCH($A169,'S5'!$D$5:$D$2103,0)-1,6)="巻返し",OFFSET('S5'!#REF!,MATCH($A169,'S5'!$D$5:$D$2103,0)-1,6)="スリット"),SUMIF('S5'!$D$5:$D$2103,$A169,'S5'!$T$5:$T$2103),""),"")</f>
        <v/>
      </c>
    </row>
    <row r="170" spans="1:28" s="141" customFormat="1" ht="11.25" x14ac:dyDescent="0.15">
      <c r="A170" s="173">
        <v>3680043</v>
      </c>
      <c r="B170" s="173" t="s">
        <v>351</v>
      </c>
      <c r="C170" s="173" t="s">
        <v>352</v>
      </c>
      <c r="D170" s="173" t="s">
        <v>353</v>
      </c>
      <c r="E170" s="173" t="s">
        <v>116</v>
      </c>
      <c r="F170" s="173">
        <v>3</v>
      </c>
      <c r="G170" s="173" t="s">
        <v>19</v>
      </c>
      <c r="H170" s="173" t="s">
        <v>28</v>
      </c>
      <c r="I170" s="173" t="s">
        <v>205</v>
      </c>
      <c r="J170" s="173"/>
      <c r="K170" s="173" t="s">
        <v>237</v>
      </c>
      <c r="L170" s="173">
        <v>25</v>
      </c>
      <c r="M170" s="173" t="s">
        <v>238</v>
      </c>
      <c r="N170" s="174">
        <v>1120</v>
      </c>
      <c r="O170" s="174">
        <v>1120</v>
      </c>
      <c r="P170" s="174">
        <v>8000</v>
      </c>
      <c r="Q170" s="173">
        <v>2</v>
      </c>
      <c r="R170" s="173">
        <v>1</v>
      </c>
      <c r="S170" s="173" t="s">
        <v>354</v>
      </c>
      <c r="T170" s="175">
        <v>44825</v>
      </c>
      <c r="U170" s="175">
        <v>44855</v>
      </c>
      <c r="V170" s="173" t="s">
        <v>355</v>
      </c>
      <c r="W170" s="173"/>
      <c r="X170" s="173"/>
      <c r="Z170" s="146" t="str">
        <f t="shared" ca="1" si="2"/>
        <v/>
      </c>
      <c r="AA170" s="146" t="str">
        <f ca="1">IFERROR(IF(OR(OFFSET('S4'!#REF!,MATCH($A170,'S4'!$D$5:$D$2535,0)-1,6)="巻返し",OFFSET('S4'!#REF!,MATCH($A170,'S4'!$D$5:$D$2535,0)-1,6)="スリット"),SUMIF('S4'!$D$5:$D$2535,$A170,'S4'!$U$5:$U$2535),""),"")</f>
        <v/>
      </c>
      <c r="AB170" s="146" t="str">
        <f ca="1">IFERROR(IF(OR(OFFSET('S5'!#REF!,MATCH($A170,'S5'!$D$5:$D$2103,0)-1,6)="巻返し",OFFSET('S5'!#REF!,MATCH($A170,'S5'!$D$5:$D$2103,0)-1,6)="スリット"),SUMIF('S5'!$D$5:$D$2103,$A170,'S5'!$T$5:$T$2103),""),"")</f>
        <v/>
      </c>
    </row>
    <row r="171" spans="1:28" s="141" customFormat="1" ht="11.25" x14ac:dyDescent="0.15">
      <c r="A171" s="173">
        <v>3680044</v>
      </c>
      <c r="B171" s="173" t="s">
        <v>351</v>
      </c>
      <c r="C171" s="173" t="s">
        <v>352</v>
      </c>
      <c r="D171" s="173" t="s">
        <v>353</v>
      </c>
      <c r="E171" s="173" t="s">
        <v>116</v>
      </c>
      <c r="F171" s="173">
        <v>3</v>
      </c>
      <c r="G171" s="173" t="s">
        <v>19</v>
      </c>
      <c r="H171" s="173" t="s">
        <v>28</v>
      </c>
      <c r="I171" s="173" t="s">
        <v>205</v>
      </c>
      <c r="J171" s="173"/>
      <c r="K171" s="173" t="s">
        <v>226</v>
      </c>
      <c r="L171" s="173">
        <v>50</v>
      </c>
      <c r="M171" s="173" t="s">
        <v>227</v>
      </c>
      <c r="N171" s="174">
        <v>1120</v>
      </c>
      <c r="O171" s="174">
        <v>1120</v>
      </c>
      <c r="P171" s="174">
        <v>5000</v>
      </c>
      <c r="Q171" s="173">
        <v>2</v>
      </c>
      <c r="R171" s="173">
        <v>2</v>
      </c>
      <c r="S171" s="173" t="s">
        <v>354</v>
      </c>
      <c r="T171" s="175">
        <v>44825</v>
      </c>
      <c r="U171" s="175">
        <v>44855</v>
      </c>
      <c r="V171" s="173" t="s">
        <v>355</v>
      </c>
      <c r="W171" s="173"/>
      <c r="X171" s="173"/>
      <c r="Z171" s="146" t="str">
        <f t="shared" ca="1" si="2"/>
        <v/>
      </c>
      <c r="AA171" s="146" t="str">
        <f ca="1">IFERROR(IF(OR(OFFSET('S4'!#REF!,MATCH($A171,'S4'!$D$5:$D$2535,0)-1,6)="巻返し",OFFSET('S4'!#REF!,MATCH($A171,'S4'!$D$5:$D$2535,0)-1,6)="スリット"),SUMIF('S4'!$D$5:$D$2535,$A171,'S4'!$U$5:$U$2535),""),"")</f>
        <v/>
      </c>
      <c r="AB171" s="146" t="str">
        <f ca="1">IFERROR(IF(OR(OFFSET('S5'!#REF!,MATCH($A171,'S5'!$D$5:$D$2103,0)-1,6)="巻返し",OFFSET('S5'!#REF!,MATCH($A171,'S5'!$D$5:$D$2103,0)-1,6)="スリット"),SUMIF('S5'!$D$5:$D$2103,$A171,'S5'!$T$5:$T$2103),""),"")</f>
        <v/>
      </c>
    </row>
    <row r="172" spans="1:28" s="141" customFormat="1" ht="11.25" x14ac:dyDescent="0.15">
      <c r="A172" s="173">
        <v>3680045</v>
      </c>
      <c r="B172" s="173" t="s">
        <v>351</v>
      </c>
      <c r="C172" s="173" t="s">
        <v>352</v>
      </c>
      <c r="D172" s="173" t="s">
        <v>353</v>
      </c>
      <c r="E172" s="173" t="s">
        <v>116</v>
      </c>
      <c r="F172" s="173">
        <v>3</v>
      </c>
      <c r="G172" s="173" t="s">
        <v>19</v>
      </c>
      <c r="H172" s="173" t="s">
        <v>28</v>
      </c>
      <c r="I172" s="173" t="s">
        <v>205</v>
      </c>
      <c r="J172" s="173"/>
      <c r="K172" s="173" t="s">
        <v>224</v>
      </c>
      <c r="L172" s="173">
        <v>25</v>
      </c>
      <c r="M172" s="173" t="s">
        <v>225</v>
      </c>
      <c r="N172" s="174">
        <v>1120</v>
      </c>
      <c r="O172" s="174">
        <v>1120</v>
      </c>
      <c r="P172" s="174">
        <v>8000</v>
      </c>
      <c r="Q172" s="173">
        <v>2</v>
      </c>
      <c r="R172" s="173">
        <v>1</v>
      </c>
      <c r="S172" s="173" t="s">
        <v>354</v>
      </c>
      <c r="T172" s="175">
        <v>44825</v>
      </c>
      <c r="U172" s="175">
        <v>44855</v>
      </c>
      <c r="V172" s="173" t="s">
        <v>355</v>
      </c>
      <c r="W172" s="173"/>
      <c r="X172" s="173"/>
      <c r="Z172" s="146" t="str">
        <f t="shared" ca="1" si="2"/>
        <v/>
      </c>
      <c r="AA172" s="146" t="str">
        <f ca="1">IFERROR(IF(OR(OFFSET('S4'!#REF!,MATCH($A172,'S4'!$D$5:$D$2535,0)-1,6)="巻返し",OFFSET('S4'!#REF!,MATCH($A172,'S4'!$D$5:$D$2535,0)-1,6)="スリット"),SUMIF('S4'!$D$5:$D$2535,$A172,'S4'!$U$5:$U$2535),""),"")</f>
        <v/>
      </c>
      <c r="AB172" s="146" t="str">
        <f ca="1">IFERROR(IF(OR(OFFSET('S5'!#REF!,MATCH($A172,'S5'!$D$5:$D$2103,0)-1,6)="巻返し",OFFSET('S5'!#REF!,MATCH($A172,'S5'!$D$5:$D$2103,0)-1,6)="スリット"),SUMIF('S5'!$D$5:$D$2103,$A172,'S5'!$T$5:$T$2103),""),"")</f>
        <v/>
      </c>
    </row>
    <row r="173" spans="1:28" s="141" customFormat="1" ht="11.25" x14ac:dyDescent="0.15">
      <c r="A173" s="173">
        <v>3680046</v>
      </c>
      <c r="B173" s="173" t="s">
        <v>351</v>
      </c>
      <c r="C173" s="173" t="s">
        <v>352</v>
      </c>
      <c r="D173" s="173" t="s">
        <v>353</v>
      </c>
      <c r="E173" s="173" t="s">
        <v>116</v>
      </c>
      <c r="F173" s="173">
        <v>3</v>
      </c>
      <c r="G173" s="173" t="s">
        <v>19</v>
      </c>
      <c r="H173" s="173" t="s">
        <v>28</v>
      </c>
      <c r="I173" s="173" t="s">
        <v>205</v>
      </c>
      <c r="J173" s="173"/>
      <c r="K173" s="173" t="s">
        <v>224</v>
      </c>
      <c r="L173" s="173">
        <v>50</v>
      </c>
      <c r="M173" s="173" t="s">
        <v>225</v>
      </c>
      <c r="N173" s="174">
        <v>1120</v>
      </c>
      <c r="O173" s="174">
        <v>1120</v>
      </c>
      <c r="P173" s="174">
        <v>5000</v>
      </c>
      <c r="Q173" s="173">
        <v>2</v>
      </c>
      <c r="R173" s="173">
        <v>2</v>
      </c>
      <c r="S173" s="173" t="s">
        <v>354</v>
      </c>
      <c r="T173" s="175">
        <v>44825</v>
      </c>
      <c r="U173" s="175">
        <v>44855</v>
      </c>
      <c r="V173" s="173" t="s">
        <v>355</v>
      </c>
      <c r="W173" s="173"/>
      <c r="X173" s="173"/>
      <c r="Z173" s="146" t="str">
        <f t="shared" ca="1" si="2"/>
        <v/>
      </c>
      <c r="AA173" s="146" t="str">
        <f ca="1">IFERROR(IF(OR(OFFSET('S4'!#REF!,MATCH($A173,'S4'!$D$5:$D$2535,0)-1,6)="巻返し",OFFSET('S4'!#REF!,MATCH($A173,'S4'!$D$5:$D$2535,0)-1,6)="スリット"),SUMIF('S4'!$D$5:$D$2535,$A173,'S4'!$U$5:$U$2535),""),"")</f>
        <v/>
      </c>
      <c r="AB173" s="146" t="str">
        <f ca="1">IFERROR(IF(OR(OFFSET('S5'!#REF!,MATCH($A173,'S5'!$D$5:$D$2103,0)-1,6)="巻返し",OFFSET('S5'!#REF!,MATCH($A173,'S5'!$D$5:$D$2103,0)-1,6)="スリット"),SUMIF('S5'!$D$5:$D$2103,$A173,'S5'!$T$5:$T$2103),""),"")</f>
        <v/>
      </c>
    </row>
    <row r="174" spans="1:28" s="141" customFormat="1" ht="11.25" x14ac:dyDescent="0.15">
      <c r="A174" s="173">
        <v>3680047</v>
      </c>
      <c r="B174" s="173" t="s">
        <v>351</v>
      </c>
      <c r="C174" s="173" t="s">
        <v>352</v>
      </c>
      <c r="D174" s="173" t="s">
        <v>353</v>
      </c>
      <c r="E174" s="173" t="s">
        <v>116</v>
      </c>
      <c r="F174" s="173">
        <v>3</v>
      </c>
      <c r="G174" s="173" t="s">
        <v>19</v>
      </c>
      <c r="H174" s="173" t="s">
        <v>28</v>
      </c>
      <c r="I174" s="173" t="s">
        <v>205</v>
      </c>
      <c r="J174" s="173"/>
      <c r="K174" s="173" t="s">
        <v>233</v>
      </c>
      <c r="L174" s="173">
        <v>50</v>
      </c>
      <c r="M174" s="173" t="s">
        <v>234</v>
      </c>
      <c r="N174" s="174">
        <v>1120</v>
      </c>
      <c r="O174" s="174">
        <v>1120</v>
      </c>
      <c r="P174" s="174">
        <v>4000</v>
      </c>
      <c r="Q174" s="173">
        <v>2</v>
      </c>
      <c r="R174" s="173">
        <v>6</v>
      </c>
      <c r="S174" s="173" t="s">
        <v>354</v>
      </c>
      <c r="T174" s="175">
        <v>44825</v>
      </c>
      <c r="U174" s="175">
        <v>44855</v>
      </c>
      <c r="V174" s="173" t="s">
        <v>355</v>
      </c>
      <c r="W174" s="173"/>
      <c r="X174" s="173"/>
      <c r="Z174" s="146" t="str">
        <f t="shared" ca="1" si="2"/>
        <v/>
      </c>
      <c r="AA174" s="146" t="str">
        <f ca="1">IFERROR(IF(OR(OFFSET('S4'!#REF!,MATCH($A174,'S4'!$D$5:$D$2535,0)-1,6)="巻返し",OFFSET('S4'!#REF!,MATCH($A174,'S4'!$D$5:$D$2535,0)-1,6)="スリット"),SUMIF('S4'!$D$5:$D$2535,$A174,'S4'!$U$5:$U$2535),""),"")</f>
        <v/>
      </c>
      <c r="AB174" s="146" t="str">
        <f ca="1">IFERROR(IF(OR(OFFSET('S5'!#REF!,MATCH($A174,'S5'!$D$5:$D$2103,0)-1,6)="巻返し",OFFSET('S5'!#REF!,MATCH($A174,'S5'!$D$5:$D$2103,0)-1,6)="スリット"),SUMIF('S5'!$D$5:$D$2103,$A174,'S5'!$T$5:$T$2103),""),"")</f>
        <v/>
      </c>
    </row>
    <row r="175" spans="1:28" s="141" customFormat="1" ht="11.25" x14ac:dyDescent="0.15">
      <c r="A175" s="173">
        <v>3680048</v>
      </c>
      <c r="B175" s="173" t="s">
        <v>423</v>
      </c>
      <c r="C175" s="173" t="s">
        <v>364</v>
      </c>
      <c r="D175" s="173" t="s">
        <v>353</v>
      </c>
      <c r="E175" s="173" t="s">
        <v>316</v>
      </c>
      <c r="F175" s="173">
        <v>3</v>
      </c>
      <c r="G175" s="173" t="s">
        <v>265</v>
      </c>
      <c r="H175" s="173" t="s">
        <v>20</v>
      </c>
      <c r="I175" s="173" t="s">
        <v>312</v>
      </c>
      <c r="J175" s="173"/>
      <c r="K175" s="173" t="s">
        <v>317</v>
      </c>
      <c r="L175" s="173">
        <v>50</v>
      </c>
      <c r="M175" s="173" t="s">
        <v>318</v>
      </c>
      <c r="N175" s="174">
        <v>680</v>
      </c>
      <c r="O175" s="174">
        <v>680</v>
      </c>
      <c r="P175" s="174">
        <v>2000</v>
      </c>
      <c r="Q175" s="173">
        <v>2</v>
      </c>
      <c r="R175" s="173">
        <v>4</v>
      </c>
      <c r="S175" s="173" t="s">
        <v>354</v>
      </c>
      <c r="T175" s="175">
        <v>44825</v>
      </c>
      <c r="U175" s="175">
        <v>44849</v>
      </c>
      <c r="V175" s="173" t="s">
        <v>355</v>
      </c>
      <c r="W175" s="173"/>
      <c r="X175" s="173"/>
      <c r="Z175" s="146" t="str">
        <f t="shared" ca="1" si="2"/>
        <v/>
      </c>
      <c r="AA175" s="146" t="str">
        <f ca="1">IFERROR(IF(OR(OFFSET('S4'!#REF!,MATCH($A175,'S4'!$D$5:$D$2535,0)-1,6)="巻返し",OFFSET('S4'!#REF!,MATCH($A175,'S4'!$D$5:$D$2535,0)-1,6)="スリット"),SUMIF('S4'!$D$5:$D$2535,$A175,'S4'!$U$5:$U$2535),""),"")</f>
        <v/>
      </c>
      <c r="AB175" s="146" t="str">
        <f ca="1">IFERROR(IF(OR(OFFSET('S5'!#REF!,MATCH($A175,'S5'!$D$5:$D$2103,0)-1,6)="巻返し",OFFSET('S5'!#REF!,MATCH($A175,'S5'!$D$5:$D$2103,0)-1,6)="スリット"),SUMIF('S5'!$D$5:$D$2103,$A175,'S5'!$T$5:$T$2103),""),"")</f>
        <v/>
      </c>
    </row>
    <row r="176" spans="1:28" s="141" customFormat="1" ht="11.25" x14ac:dyDescent="0.15">
      <c r="A176" s="173">
        <v>3683046</v>
      </c>
      <c r="B176" s="173" t="s">
        <v>351</v>
      </c>
      <c r="C176" s="173" t="s">
        <v>364</v>
      </c>
      <c r="D176" s="173" t="s">
        <v>353</v>
      </c>
      <c r="E176" s="173" t="s">
        <v>148</v>
      </c>
      <c r="F176" s="173">
        <v>3</v>
      </c>
      <c r="G176" s="173" t="s">
        <v>19</v>
      </c>
      <c r="H176" s="173" t="s">
        <v>20</v>
      </c>
      <c r="I176" s="173" t="s">
        <v>165</v>
      </c>
      <c r="J176" s="173"/>
      <c r="K176" s="173" t="s">
        <v>180</v>
      </c>
      <c r="L176" s="173">
        <v>25</v>
      </c>
      <c r="M176" s="173" t="s">
        <v>181</v>
      </c>
      <c r="N176" s="174">
        <v>1120</v>
      </c>
      <c r="O176" s="174">
        <v>1120</v>
      </c>
      <c r="P176" s="174">
        <v>4000</v>
      </c>
      <c r="Q176" s="173">
        <v>2</v>
      </c>
      <c r="R176" s="173">
        <v>4</v>
      </c>
      <c r="S176" s="173" t="s">
        <v>354</v>
      </c>
      <c r="T176" s="175">
        <v>44846</v>
      </c>
      <c r="U176" s="175">
        <v>44895</v>
      </c>
      <c r="V176" s="173" t="s">
        <v>355</v>
      </c>
      <c r="W176" s="173"/>
      <c r="X176" s="173"/>
      <c r="Z176" s="146" t="str">
        <f t="shared" ca="1" si="2"/>
        <v/>
      </c>
      <c r="AA176" s="146" t="str">
        <f ca="1">IFERROR(IF(OR(OFFSET('S4'!#REF!,MATCH($A176,'S4'!$D$5:$D$2535,0)-1,6)="巻返し",OFFSET('S4'!#REF!,MATCH($A176,'S4'!$D$5:$D$2535,0)-1,6)="スリット"),SUMIF('S4'!$D$5:$D$2535,$A176,'S4'!$U$5:$U$2535),""),"")</f>
        <v/>
      </c>
      <c r="AB176" s="146" t="str">
        <f ca="1">IFERROR(IF(OR(OFFSET('S5'!#REF!,MATCH($A176,'S5'!$D$5:$D$2103,0)-1,6)="巻返し",OFFSET('S5'!#REF!,MATCH($A176,'S5'!$D$5:$D$2103,0)-1,6)="スリット"),SUMIF('S5'!$D$5:$D$2103,$A176,'S5'!$T$5:$T$2103),""),"")</f>
        <v/>
      </c>
    </row>
    <row r="177" spans="1:28" s="141" customFormat="1" ht="11.25" x14ac:dyDescent="0.15">
      <c r="A177" s="173">
        <v>3683662</v>
      </c>
      <c r="B177" s="173" t="s">
        <v>423</v>
      </c>
      <c r="C177" s="173" t="s">
        <v>352</v>
      </c>
      <c r="D177" s="173" t="s">
        <v>353</v>
      </c>
      <c r="E177" s="173" t="s">
        <v>116</v>
      </c>
      <c r="F177" s="173">
        <v>3</v>
      </c>
      <c r="G177" s="173" t="s">
        <v>265</v>
      </c>
      <c r="H177" s="173" t="s">
        <v>20</v>
      </c>
      <c r="I177" s="173" t="s">
        <v>165</v>
      </c>
      <c r="J177" s="173"/>
      <c r="K177" s="173" t="s">
        <v>319</v>
      </c>
      <c r="L177" s="173">
        <v>50</v>
      </c>
      <c r="M177" s="173" t="s">
        <v>483</v>
      </c>
      <c r="N177" s="174">
        <v>1000</v>
      </c>
      <c r="O177" s="174">
        <v>1000</v>
      </c>
      <c r="P177" s="174">
        <v>2000</v>
      </c>
      <c r="Q177" s="173">
        <v>2</v>
      </c>
      <c r="R177" s="173">
        <v>2</v>
      </c>
      <c r="S177" s="173" t="s">
        <v>354</v>
      </c>
      <c r="T177" s="175">
        <v>44851</v>
      </c>
      <c r="U177" s="175">
        <v>44862</v>
      </c>
      <c r="V177" s="173" t="s">
        <v>355</v>
      </c>
      <c r="W177" s="173"/>
      <c r="X177" s="173"/>
      <c r="Z177" s="146" t="str">
        <f t="shared" ca="1" si="2"/>
        <v/>
      </c>
      <c r="AA177" s="146" t="str">
        <f ca="1">IFERROR(IF(OR(OFFSET('S4'!#REF!,MATCH($A177,'S4'!$D$5:$D$2535,0)-1,6)="巻返し",OFFSET('S4'!#REF!,MATCH($A177,'S4'!$D$5:$D$2535,0)-1,6)="スリット"),SUMIF('S4'!$D$5:$D$2535,$A177,'S4'!$U$5:$U$2535),""),"")</f>
        <v/>
      </c>
      <c r="AB177" s="146" t="str">
        <f ca="1">IFERROR(IF(OR(OFFSET('S5'!#REF!,MATCH($A177,'S5'!$D$5:$D$2103,0)-1,6)="巻返し",OFFSET('S5'!#REF!,MATCH($A177,'S5'!$D$5:$D$2103,0)-1,6)="スリット"),SUMIF('S5'!$D$5:$D$2103,$A177,'S5'!$T$5:$T$2103),""),"")</f>
        <v/>
      </c>
    </row>
    <row r="178" spans="1:28" s="141" customFormat="1" ht="11.25" x14ac:dyDescent="0.15">
      <c r="A178" s="173">
        <v>3684757</v>
      </c>
      <c r="B178" s="173" t="s">
        <v>351</v>
      </c>
      <c r="C178" s="173" t="s">
        <v>352</v>
      </c>
      <c r="D178" s="173" t="s">
        <v>353</v>
      </c>
      <c r="E178" s="173" t="s">
        <v>232</v>
      </c>
      <c r="F178" s="173">
        <v>3</v>
      </c>
      <c r="G178" s="173" t="s">
        <v>19</v>
      </c>
      <c r="H178" s="173" t="s">
        <v>20</v>
      </c>
      <c r="I178" s="173" t="s">
        <v>205</v>
      </c>
      <c r="J178" s="173"/>
      <c r="K178" s="173" t="s">
        <v>230</v>
      </c>
      <c r="L178" s="173">
        <v>25</v>
      </c>
      <c r="M178" s="173" t="s">
        <v>231</v>
      </c>
      <c r="N178" s="174">
        <v>1240</v>
      </c>
      <c r="O178" s="174">
        <v>1240</v>
      </c>
      <c r="P178" s="174">
        <v>2000</v>
      </c>
      <c r="Q178" s="173">
        <v>1</v>
      </c>
      <c r="R178" s="173">
        <v>6</v>
      </c>
      <c r="S178" s="173" t="s">
        <v>354</v>
      </c>
      <c r="T178" s="175">
        <v>44855</v>
      </c>
      <c r="U178" s="175">
        <v>44880</v>
      </c>
      <c r="V178" s="173" t="s">
        <v>355</v>
      </c>
      <c r="W178" s="173"/>
      <c r="X178" s="173"/>
      <c r="Z178" s="146" t="str">
        <f t="shared" ca="1" si="2"/>
        <v/>
      </c>
      <c r="AA178" s="146" t="str">
        <f ca="1">IFERROR(IF(OR(OFFSET('S4'!#REF!,MATCH($A178,'S4'!$D$5:$D$2535,0)-1,6)="巻返し",OFFSET('S4'!#REF!,MATCH($A178,'S4'!$D$5:$D$2535,0)-1,6)="スリット"),SUMIF('S4'!$D$5:$D$2535,$A178,'S4'!$U$5:$U$2535),""),"")</f>
        <v/>
      </c>
      <c r="AB178" s="146" t="str">
        <f ca="1">IFERROR(IF(OR(OFFSET('S5'!#REF!,MATCH($A178,'S5'!$D$5:$D$2103,0)-1,6)="巻返し",OFFSET('S5'!#REF!,MATCH($A178,'S5'!$D$5:$D$2103,0)-1,6)="スリット"),SUMIF('S5'!$D$5:$D$2103,$A178,'S5'!$T$5:$T$2103),""),"")</f>
        <v/>
      </c>
    </row>
    <row r="179" spans="1:28" s="141" customFormat="1" ht="11.25" x14ac:dyDescent="0.15">
      <c r="A179" s="173">
        <v>3684758</v>
      </c>
      <c r="B179" s="173" t="s">
        <v>351</v>
      </c>
      <c r="C179" s="173" t="s">
        <v>358</v>
      </c>
      <c r="D179" s="173" t="s">
        <v>353</v>
      </c>
      <c r="E179" s="173" t="s">
        <v>61</v>
      </c>
      <c r="F179" s="173">
        <v>3</v>
      </c>
      <c r="G179" s="173" t="s">
        <v>19</v>
      </c>
      <c r="H179" s="173" t="s">
        <v>20</v>
      </c>
      <c r="I179" s="173" t="s">
        <v>205</v>
      </c>
      <c r="J179" s="173"/>
      <c r="K179" s="173" t="s">
        <v>242</v>
      </c>
      <c r="L179" s="173">
        <v>50</v>
      </c>
      <c r="M179" s="173" t="s">
        <v>243</v>
      </c>
      <c r="N179" s="174">
        <v>1255</v>
      </c>
      <c r="O179" s="174">
        <v>1250</v>
      </c>
      <c r="P179" s="174">
        <v>2000</v>
      </c>
      <c r="Q179" s="173">
        <v>2</v>
      </c>
      <c r="R179" s="173">
        <v>15</v>
      </c>
      <c r="S179" s="173" t="s">
        <v>354</v>
      </c>
      <c r="T179" s="175">
        <v>44855</v>
      </c>
      <c r="U179" s="175">
        <v>44880</v>
      </c>
      <c r="V179" s="173" t="s">
        <v>355</v>
      </c>
      <c r="W179" s="173"/>
      <c r="X179" s="173"/>
      <c r="Z179" s="146" t="str">
        <f t="shared" ca="1" si="2"/>
        <v/>
      </c>
      <c r="AA179" s="146" t="str">
        <f ca="1">IFERROR(IF(OR(OFFSET('S4'!#REF!,MATCH($A179,'S4'!$D$5:$D$2535,0)-1,6)="巻返し",OFFSET('S4'!#REF!,MATCH($A179,'S4'!$D$5:$D$2535,0)-1,6)="スリット"),SUMIF('S4'!$D$5:$D$2535,$A179,'S4'!$U$5:$U$2535),""),"")</f>
        <v/>
      </c>
      <c r="AB179" s="146" t="str">
        <f ca="1">IFERROR(IF(OR(OFFSET('S5'!#REF!,MATCH($A179,'S5'!$D$5:$D$2103,0)-1,6)="巻返し",OFFSET('S5'!#REF!,MATCH($A179,'S5'!$D$5:$D$2103,0)-1,6)="スリット"),SUMIF('S5'!$D$5:$D$2103,$A179,'S5'!$T$5:$T$2103),""),"")</f>
        <v/>
      </c>
    </row>
    <row r="180" spans="1:28" s="141" customFormat="1" ht="11.25" x14ac:dyDescent="0.15">
      <c r="A180" s="173">
        <v>3684759</v>
      </c>
      <c r="B180" s="173" t="s">
        <v>351</v>
      </c>
      <c r="C180" s="173" t="s">
        <v>364</v>
      </c>
      <c r="D180" s="173" t="s">
        <v>353</v>
      </c>
      <c r="E180" s="173" t="s">
        <v>171</v>
      </c>
      <c r="F180" s="173" t="s">
        <v>96</v>
      </c>
      <c r="G180" s="173" t="s">
        <v>19</v>
      </c>
      <c r="H180" s="173" t="s">
        <v>20</v>
      </c>
      <c r="I180" s="173" t="s">
        <v>165</v>
      </c>
      <c r="J180" s="173"/>
      <c r="K180" s="173" t="s">
        <v>169</v>
      </c>
      <c r="L180" s="173">
        <v>50</v>
      </c>
      <c r="M180" s="173" t="s">
        <v>170</v>
      </c>
      <c r="N180" s="174">
        <v>1190</v>
      </c>
      <c r="O180" s="174">
        <v>1190</v>
      </c>
      <c r="P180" s="174">
        <v>6000</v>
      </c>
      <c r="Q180" s="173">
        <v>2</v>
      </c>
      <c r="R180" s="173">
        <v>18</v>
      </c>
      <c r="S180" s="173" t="s">
        <v>354</v>
      </c>
      <c r="T180" s="175">
        <v>44855</v>
      </c>
      <c r="U180" s="175">
        <v>44880</v>
      </c>
      <c r="V180" s="173" t="s">
        <v>355</v>
      </c>
      <c r="W180" s="173"/>
      <c r="X180" s="173"/>
      <c r="Z180" s="146" t="str">
        <f t="shared" ca="1" si="2"/>
        <v/>
      </c>
      <c r="AA180" s="146" t="str">
        <f ca="1">IFERROR(IF(OR(OFFSET('S4'!#REF!,MATCH($A180,'S4'!$D$5:$D$2535,0)-1,6)="巻返し",OFFSET('S4'!#REF!,MATCH($A180,'S4'!$D$5:$D$2535,0)-1,6)="スリット"),SUMIF('S4'!$D$5:$D$2535,$A180,'S4'!$U$5:$U$2535),""),"")</f>
        <v/>
      </c>
      <c r="AB180" s="146" t="str">
        <f ca="1">IFERROR(IF(OR(OFFSET('S5'!#REF!,MATCH($A180,'S5'!$D$5:$D$2103,0)-1,6)="巻返し",OFFSET('S5'!#REF!,MATCH($A180,'S5'!$D$5:$D$2103,0)-1,6)="スリット"),SUMIF('S5'!$D$5:$D$2103,$A180,'S5'!$T$5:$T$2103),""),"")</f>
        <v/>
      </c>
    </row>
    <row r="181" spans="1:28" s="141" customFormat="1" ht="11.25" x14ac:dyDescent="0.15">
      <c r="A181" s="173">
        <v>3684760</v>
      </c>
      <c r="B181" s="173" t="s">
        <v>423</v>
      </c>
      <c r="C181" s="173" t="s">
        <v>364</v>
      </c>
      <c r="D181" s="173" t="s">
        <v>353</v>
      </c>
      <c r="E181" s="173" t="s">
        <v>316</v>
      </c>
      <c r="F181" s="173">
        <v>3</v>
      </c>
      <c r="G181" s="173" t="s">
        <v>265</v>
      </c>
      <c r="H181" s="173" t="s">
        <v>20</v>
      </c>
      <c r="I181" s="173" t="s">
        <v>312</v>
      </c>
      <c r="J181" s="173"/>
      <c r="K181" s="173" t="s">
        <v>317</v>
      </c>
      <c r="L181" s="173">
        <v>50</v>
      </c>
      <c r="M181" s="173" t="s">
        <v>318</v>
      </c>
      <c r="N181" s="174">
        <v>680</v>
      </c>
      <c r="O181" s="174">
        <v>680</v>
      </c>
      <c r="P181" s="174">
        <v>2000</v>
      </c>
      <c r="Q181" s="173">
        <v>2</v>
      </c>
      <c r="R181" s="173">
        <v>4</v>
      </c>
      <c r="S181" s="173" t="s">
        <v>354</v>
      </c>
      <c r="T181" s="175">
        <v>44855</v>
      </c>
      <c r="U181" s="175">
        <v>44880</v>
      </c>
      <c r="V181" s="173" t="s">
        <v>355</v>
      </c>
      <c r="W181" s="173"/>
      <c r="X181" s="173"/>
      <c r="Z181" s="146" t="str">
        <f t="shared" ca="1" si="2"/>
        <v/>
      </c>
      <c r="AA181" s="146" t="str">
        <f ca="1">IFERROR(IF(OR(OFFSET('S4'!#REF!,MATCH($A181,'S4'!$D$5:$D$2535,0)-1,6)="巻返し",OFFSET('S4'!#REF!,MATCH($A181,'S4'!$D$5:$D$2535,0)-1,6)="スリット"),SUMIF('S4'!$D$5:$D$2535,$A181,'S4'!$U$5:$U$2535),""),"")</f>
        <v/>
      </c>
      <c r="AB181" s="146" t="str">
        <f ca="1">IFERROR(IF(OR(OFFSET('S5'!#REF!,MATCH($A181,'S5'!$D$5:$D$2103,0)-1,6)="巻返し",OFFSET('S5'!#REF!,MATCH($A181,'S5'!$D$5:$D$2103,0)-1,6)="スリット"),SUMIF('S5'!$D$5:$D$2103,$A181,'S5'!$T$5:$T$2103),""),"")</f>
        <v/>
      </c>
    </row>
    <row r="182" spans="1:28" s="141" customFormat="1" ht="11.25" x14ac:dyDescent="0.15">
      <c r="A182" s="173">
        <v>3684763</v>
      </c>
      <c r="B182" s="173" t="s">
        <v>351</v>
      </c>
      <c r="C182" s="173" t="s">
        <v>364</v>
      </c>
      <c r="D182" s="173" t="s">
        <v>353</v>
      </c>
      <c r="E182" s="173" t="s">
        <v>148</v>
      </c>
      <c r="F182" s="173">
        <v>3</v>
      </c>
      <c r="G182" s="173" t="s">
        <v>19</v>
      </c>
      <c r="H182" s="173" t="s">
        <v>20</v>
      </c>
      <c r="I182" s="173" t="s">
        <v>143</v>
      </c>
      <c r="J182" s="173"/>
      <c r="K182" s="173" t="s">
        <v>149</v>
      </c>
      <c r="L182" s="173">
        <v>25</v>
      </c>
      <c r="M182" s="173" t="s">
        <v>150</v>
      </c>
      <c r="N182" s="174">
        <v>1120</v>
      </c>
      <c r="O182" s="174">
        <v>1120</v>
      </c>
      <c r="P182" s="174">
        <v>6000</v>
      </c>
      <c r="Q182" s="173">
        <v>2</v>
      </c>
      <c r="R182" s="173">
        <v>4</v>
      </c>
      <c r="S182" s="173" t="s">
        <v>354</v>
      </c>
      <c r="T182" s="175">
        <v>44855</v>
      </c>
      <c r="U182" s="175">
        <v>44880</v>
      </c>
      <c r="V182" s="173" t="s">
        <v>355</v>
      </c>
      <c r="W182" s="173"/>
      <c r="X182" s="173"/>
      <c r="Z182" s="146" t="str">
        <f t="shared" ca="1" si="2"/>
        <v/>
      </c>
      <c r="AA182" s="146" t="str">
        <f ca="1">IFERROR(IF(OR(OFFSET('S4'!#REF!,MATCH($A182,'S4'!$D$5:$D$2535,0)-1,6)="巻返し",OFFSET('S4'!#REF!,MATCH($A182,'S4'!$D$5:$D$2535,0)-1,6)="スリット"),SUMIF('S4'!$D$5:$D$2535,$A182,'S4'!$U$5:$U$2535),""),"")</f>
        <v/>
      </c>
      <c r="AB182" s="146" t="str">
        <f ca="1">IFERROR(IF(OR(OFFSET('S5'!#REF!,MATCH($A182,'S5'!$D$5:$D$2103,0)-1,6)="巻返し",OFFSET('S5'!#REF!,MATCH($A182,'S5'!$D$5:$D$2103,0)-1,6)="スリット"),SUMIF('S5'!$D$5:$D$2103,$A182,'S5'!$T$5:$T$2103),""),"")</f>
        <v/>
      </c>
    </row>
    <row r="183" spans="1:28" s="141" customFormat="1" ht="11.25" x14ac:dyDescent="0.15">
      <c r="A183" s="173">
        <v>3684764</v>
      </c>
      <c r="B183" s="173" t="s">
        <v>351</v>
      </c>
      <c r="C183" s="173" t="s">
        <v>364</v>
      </c>
      <c r="D183" s="173" t="s">
        <v>353</v>
      </c>
      <c r="E183" s="173" t="s">
        <v>148</v>
      </c>
      <c r="F183" s="173">
        <v>3</v>
      </c>
      <c r="G183" s="173" t="s">
        <v>19</v>
      </c>
      <c r="H183" s="173" t="s">
        <v>20</v>
      </c>
      <c r="I183" s="173" t="s">
        <v>143</v>
      </c>
      <c r="J183" s="173"/>
      <c r="K183" s="173" t="s">
        <v>149</v>
      </c>
      <c r="L183" s="173">
        <v>50</v>
      </c>
      <c r="M183" s="173" t="s">
        <v>150</v>
      </c>
      <c r="N183" s="174">
        <v>1120</v>
      </c>
      <c r="O183" s="174">
        <v>1120</v>
      </c>
      <c r="P183" s="174">
        <v>6000</v>
      </c>
      <c r="Q183" s="173">
        <v>2</v>
      </c>
      <c r="R183" s="173">
        <v>5</v>
      </c>
      <c r="S183" s="173" t="s">
        <v>354</v>
      </c>
      <c r="T183" s="175">
        <v>44855</v>
      </c>
      <c r="U183" s="175">
        <v>44880</v>
      </c>
      <c r="V183" s="173" t="s">
        <v>355</v>
      </c>
      <c r="W183" s="173"/>
      <c r="X183" s="173"/>
      <c r="Z183" s="146" t="str">
        <f t="shared" ca="1" si="2"/>
        <v/>
      </c>
      <c r="AA183" s="146" t="str">
        <f ca="1">IFERROR(IF(OR(OFFSET('S4'!#REF!,MATCH($A183,'S4'!$D$5:$D$2535,0)-1,6)="巻返し",OFFSET('S4'!#REF!,MATCH($A183,'S4'!$D$5:$D$2535,0)-1,6)="スリット"),SUMIF('S4'!$D$5:$D$2535,$A183,'S4'!$U$5:$U$2535),""),"")</f>
        <v/>
      </c>
      <c r="AB183" s="146" t="str">
        <f ca="1">IFERROR(IF(OR(OFFSET('S5'!#REF!,MATCH($A183,'S5'!$D$5:$D$2103,0)-1,6)="巻返し",OFFSET('S5'!#REF!,MATCH($A183,'S5'!$D$5:$D$2103,0)-1,6)="スリット"),SUMIF('S5'!$D$5:$D$2103,$A183,'S5'!$T$5:$T$2103),""),"")</f>
        <v/>
      </c>
    </row>
    <row r="184" spans="1:28" s="141" customFormat="1" ht="11.25" x14ac:dyDescent="0.15">
      <c r="A184" s="173">
        <v>3684765</v>
      </c>
      <c r="B184" s="173" t="s">
        <v>351</v>
      </c>
      <c r="C184" s="173" t="s">
        <v>364</v>
      </c>
      <c r="D184" s="173" t="s">
        <v>353</v>
      </c>
      <c r="E184" s="173" t="s">
        <v>148</v>
      </c>
      <c r="F184" s="173">
        <v>3</v>
      </c>
      <c r="G184" s="173" t="s">
        <v>19</v>
      </c>
      <c r="H184" s="173" t="s">
        <v>20</v>
      </c>
      <c r="I184" s="173" t="s">
        <v>165</v>
      </c>
      <c r="J184" s="173"/>
      <c r="K184" s="173" t="s">
        <v>169</v>
      </c>
      <c r="L184" s="173">
        <v>50</v>
      </c>
      <c r="M184" s="173" t="s">
        <v>170</v>
      </c>
      <c r="N184" s="174">
        <v>1120</v>
      </c>
      <c r="O184" s="174">
        <v>1120</v>
      </c>
      <c r="P184" s="174">
        <v>6000</v>
      </c>
      <c r="Q184" s="173">
        <v>2</v>
      </c>
      <c r="R184" s="173">
        <v>2</v>
      </c>
      <c r="S184" s="173" t="s">
        <v>354</v>
      </c>
      <c r="T184" s="175">
        <v>44855</v>
      </c>
      <c r="U184" s="175">
        <v>44880</v>
      </c>
      <c r="V184" s="173" t="s">
        <v>355</v>
      </c>
      <c r="W184" s="173"/>
      <c r="X184" s="173"/>
      <c r="Z184" s="146" t="str">
        <f t="shared" ca="1" si="2"/>
        <v/>
      </c>
      <c r="AA184" s="146" t="str">
        <f ca="1">IFERROR(IF(OR(OFFSET('S4'!#REF!,MATCH($A184,'S4'!$D$5:$D$2535,0)-1,6)="巻返し",OFFSET('S4'!#REF!,MATCH($A184,'S4'!$D$5:$D$2535,0)-1,6)="スリット"),SUMIF('S4'!$D$5:$D$2535,$A184,'S4'!$U$5:$U$2535),""),"")</f>
        <v/>
      </c>
      <c r="AB184" s="146" t="str">
        <f ca="1">IFERROR(IF(OR(OFFSET('S5'!#REF!,MATCH($A184,'S5'!$D$5:$D$2103,0)-1,6)="巻返し",OFFSET('S5'!#REF!,MATCH($A184,'S5'!$D$5:$D$2103,0)-1,6)="スリット"),SUMIF('S5'!$D$5:$D$2103,$A184,'S5'!$T$5:$T$2103),""),"")</f>
        <v/>
      </c>
    </row>
    <row r="185" spans="1:28" s="141" customFormat="1" ht="11.25" x14ac:dyDescent="0.15">
      <c r="A185" s="173">
        <v>3684766</v>
      </c>
      <c r="B185" s="173" t="s">
        <v>351</v>
      </c>
      <c r="C185" s="173" t="s">
        <v>352</v>
      </c>
      <c r="D185" s="173" t="s">
        <v>353</v>
      </c>
      <c r="E185" s="173" t="s">
        <v>247</v>
      </c>
      <c r="F185" s="173">
        <v>3</v>
      </c>
      <c r="G185" s="173" t="s">
        <v>19</v>
      </c>
      <c r="H185" s="173" t="s">
        <v>20</v>
      </c>
      <c r="I185" s="173" t="s">
        <v>205</v>
      </c>
      <c r="J185" s="173"/>
      <c r="K185" s="173" t="s">
        <v>248</v>
      </c>
      <c r="L185" s="173">
        <v>12</v>
      </c>
      <c r="M185" s="173" t="s">
        <v>249</v>
      </c>
      <c r="N185" s="174">
        <v>1000</v>
      </c>
      <c r="O185" s="174">
        <v>1000</v>
      </c>
      <c r="P185" s="174">
        <v>6000</v>
      </c>
      <c r="Q185" s="173">
        <v>2</v>
      </c>
      <c r="R185" s="173">
        <v>4</v>
      </c>
      <c r="S185" s="173" t="s">
        <v>354</v>
      </c>
      <c r="T185" s="175">
        <v>44855</v>
      </c>
      <c r="U185" s="175">
        <v>44883</v>
      </c>
      <c r="V185" s="173" t="s">
        <v>355</v>
      </c>
      <c r="W185" s="173"/>
      <c r="X185" s="173"/>
      <c r="Z185" s="146" t="str">
        <f t="shared" ca="1" si="2"/>
        <v/>
      </c>
      <c r="AA185" s="146" t="str">
        <f ca="1">IFERROR(IF(OR(OFFSET('S4'!#REF!,MATCH($A185,'S4'!$D$5:$D$2535,0)-1,6)="巻返し",OFFSET('S4'!#REF!,MATCH($A185,'S4'!$D$5:$D$2535,0)-1,6)="スリット"),SUMIF('S4'!$D$5:$D$2535,$A185,'S4'!$U$5:$U$2535),""),"")</f>
        <v/>
      </c>
      <c r="AB185" s="146" t="str">
        <f ca="1">IFERROR(IF(OR(OFFSET('S5'!#REF!,MATCH($A185,'S5'!$D$5:$D$2103,0)-1,6)="巻返し",OFFSET('S5'!#REF!,MATCH($A185,'S5'!$D$5:$D$2103,0)-1,6)="スリット"),SUMIF('S5'!$D$5:$D$2103,$A185,'S5'!$T$5:$T$2103),""),"")</f>
        <v/>
      </c>
    </row>
    <row r="186" spans="1:28" s="141" customFormat="1" ht="11.25" x14ac:dyDescent="0.15">
      <c r="A186" s="173">
        <v>3684767</v>
      </c>
      <c r="B186" s="173" t="s">
        <v>351</v>
      </c>
      <c r="C186" s="173" t="s">
        <v>352</v>
      </c>
      <c r="D186" s="173" t="s">
        <v>353</v>
      </c>
      <c r="E186" s="173" t="s">
        <v>116</v>
      </c>
      <c r="F186" s="173">
        <v>3</v>
      </c>
      <c r="G186" s="173" t="s">
        <v>19</v>
      </c>
      <c r="H186" s="173" t="s">
        <v>20</v>
      </c>
      <c r="I186" s="173" t="s">
        <v>205</v>
      </c>
      <c r="J186" s="173"/>
      <c r="K186" s="173" t="s">
        <v>212</v>
      </c>
      <c r="L186" s="173">
        <v>25</v>
      </c>
      <c r="M186" s="173" t="s">
        <v>213</v>
      </c>
      <c r="N186" s="174">
        <v>1120</v>
      </c>
      <c r="O186" s="174">
        <v>1120</v>
      </c>
      <c r="P186" s="174">
        <v>4000</v>
      </c>
      <c r="Q186" s="173">
        <v>2</v>
      </c>
      <c r="R186" s="173">
        <v>6</v>
      </c>
      <c r="S186" s="173" t="s">
        <v>354</v>
      </c>
      <c r="T186" s="175">
        <v>44855</v>
      </c>
      <c r="U186" s="175">
        <v>44886</v>
      </c>
      <c r="V186" s="173" t="s">
        <v>355</v>
      </c>
      <c r="W186" s="173"/>
      <c r="X186" s="173"/>
      <c r="Z186" s="146" t="str">
        <f t="shared" ca="1" si="2"/>
        <v/>
      </c>
      <c r="AA186" s="146" t="str">
        <f ca="1">IFERROR(IF(OR(OFFSET('S4'!#REF!,MATCH($A186,'S4'!$D$5:$D$2535,0)-1,6)="巻返し",OFFSET('S4'!#REF!,MATCH($A186,'S4'!$D$5:$D$2535,0)-1,6)="スリット"),SUMIF('S4'!$D$5:$D$2535,$A186,'S4'!$U$5:$U$2535),""),"")</f>
        <v/>
      </c>
      <c r="AB186" s="146" t="str">
        <f ca="1">IFERROR(IF(OR(OFFSET('S5'!#REF!,MATCH($A186,'S5'!$D$5:$D$2103,0)-1,6)="巻返し",OFFSET('S5'!#REF!,MATCH($A186,'S5'!$D$5:$D$2103,0)-1,6)="スリット"),SUMIF('S5'!$D$5:$D$2103,$A186,'S5'!$T$5:$T$2103),""),"")</f>
        <v/>
      </c>
    </row>
    <row r="187" spans="1:28" s="141" customFormat="1" ht="11.25" x14ac:dyDescent="0.15">
      <c r="A187" s="173">
        <v>3684768</v>
      </c>
      <c r="B187" s="173" t="s">
        <v>351</v>
      </c>
      <c r="C187" s="173" t="s">
        <v>352</v>
      </c>
      <c r="D187" s="173" t="s">
        <v>353</v>
      </c>
      <c r="E187" s="173" t="s">
        <v>116</v>
      </c>
      <c r="F187" s="173">
        <v>3</v>
      </c>
      <c r="G187" s="173" t="s">
        <v>19</v>
      </c>
      <c r="H187" s="173" t="s">
        <v>20</v>
      </c>
      <c r="I187" s="173" t="s">
        <v>205</v>
      </c>
      <c r="J187" s="173"/>
      <c r="K187" s="173" t="s">
        <v>212</v>
      </c>
      <c r="L187" s="173">
        <v>50</v>
      </c>
      <c r="M187" s="173" t="s">
        <v>213</v>
      </c>
      <c r="N187" s="174">
        <v>1120</v>
      </c>
      <c r="O187" s="174">
        <v>1120</v>
      </c>
      <c r="P187" s="174">
        <v>4000</v>
      </c>
      <c r="Q187" s="173">
        <v>2</v>
      </c>
      <c r="R187" s="173">
        <v>8</v>
      </c>
      <c r="S187" s="173" t="s">
        <v>354</v>
      </c>
      <c r="T187" s="175">
        <v>44855</v>
      </c>
      <c r="U187" s="175">
        <v>44880</v>
      </c>
      <c r="V187" s="173" t="s">
        <v>355</v>
      </c>
      <c r="W187" s="173"/>
      <c r="X187" s="173"/>
      <c r="Z187" s="146" t="str">
        <f t="shared" ca="1" si="2"/>
        <v/>
      </c>
      <c r="AA187" s="146" t="str">
        <f ca="1">IFERROR(IF(OR(OFFSET('S4'!#REF!,MATCH($A187,'S4'!$D$5:$D$2535,0)-1,6)="巻返し",OFFSET('S4'!#REF!,MATCH($A187,'S4'!$D$5:$D$2535,0)-1,6)="スリット"),SUMIF('S4'!$D$5:$D$2535,$A187,'S4'!$U$5:$U$2535),""),"")</f>
        <v/>
      </c>
      <c r="AB187" s="146" t="str">
        <f ca="1">IFERROR(IF(OR(OFFSET('S5'!#REF!,MATCH($A187,'S5'!$D$5:$D$2103,0)-1,6)="巻返し",OFFSET('S5'!#REF!,MATCH($A187,'S5'!$D$5:$D$2103,0)-1,6)="スリット"),SUMIF('S5'!$D$5:$D$2103,$A187,'S5'!$T$5:$T$2103),""),"")</f>
        <v/>
      </c>
    </row>
    <row r="188" spans="1:28" s="141" customFormat="1" ht="11.25" x14ac:dyDescent="0.15">
      <c r="A188" s="173">
        <v>3684769</v>
      </c>
      <c r="B188" s="173" t="s">
        <v>351</v>
      </c>
      <c r="C188" s="173" t="s">
        <v>352</v>
      </c>
      <c r="D188" s="173" t="s">
        <v>353</v>
      </c>
      <c r="E188" s="173" t="s">
        <v>116</v>
      </c>
      <c r="F188" s="173">
        <v>3</v>
      </c>
      <c r="G188" s="173" t="s">
        <v>19</v>
      </c>
      <c r="H188" s="173" t="s">
        <v>20</v>
      </c>
      <c r="I188" s="173" t="s">
        <v>205</v>
      </c>
      <c r="J188" s="173"/>
      <c r="K188" s="173" t="s">
        <v>212</v>
      </c>
      <c r="L188" s="173">
        <v>50</v>
      </c>
      <c r="M188" s="173" t="s">
        <v>213</v>
      </c>
      <c r="N188" s="174">
        <v>1120</v>
      </c>
      <c r="O188" s="174">
        <v>1120</v>
      </c>
      <c r="P188" s="174">
        <v>4000</v>
      </c>
      <c r="Q188" s="173">
        <v>2</v>
      </c>
      <c r="R188" s="173">
        <v>4</v>
      </c>
      <c r="S188" s="173" t="s">
        <v>354</v>
      </c>
      <c r="T188" s="175">
        <v>44855</v>
      </c>
      <c r="U188" s="175">
        <v>44883</v>
      </c>
      <c r="V188" s="173" t="s">
        <v>355</v>
      </c>
      <c r="W188" s="173"/>
      <c r="X188" s="173"/>
      <c r="Z188" s="146" t="str">
        <f t="shared" ca="1" si="2"/>
        <v/>
      </c>
      <c r="AA188" s="146" t="str">
        <f ca="1">IFERROR(IF(OR(OFFSET('S4'!#REF!,MATCH($A188,'S4'!$D$5:$D$2535,0)-1,6)="巻返し",OFFSET('S4'!#REF!,MATCH($A188,'S4'!$D$5:$D$2535,0)-1,6)="スリット"),SUMIF('S4'!$D$5:$D$2535,$A188,'S4'!$U$5:$U$2535),""),"")</f>
        <v/>
      </c>
      <c r="AB188" s="146" t="str">
        <f ca="1">IFERROR(IF(OR(OFFSET('S5'!#REF!,MATCH($A188,'S5'!$D$5:$D$2103,0)-1,6)="巻返し",OFFSET('S5'!#REF!,MATCH($A188,'S5'!$D$5:$D$2103,0)-1,6)="スリット"),SUMIF('S5'!$D$5:$D$2103,$A188,'S5'!$T$5:$T$2103),""),"")</f>
        <v/>
      </c>
    </row>
    <row r="189" spans="1:28" s="141" customFormat="1" ht="11.25" x14ac:dyDescent="0.15">
      <c r="A189" s="173">
        <v>3684770</v>
      </c>
      <c r="B189" s="173" t="s">
        <v>351</v>
      </c>
      <c r="C189" s="173" t="s">
        <v>352</v>
      </c>
      <c r="D189" s="173" t="s">
        <v>353</v>
      </c>
      <c r="E189" s="173" t="s">
        <v>116</v>
      </c>
      <c r="F189" s="173">
        <v>3</v>
      </c>
      <c r="G189" s="173" t="s">
        <v>19</v>
      </c>
      <c r="H189" s="173" t="s">
        <v>20</v>
      </c>
      <c r="I189" s="173" t="s">
        <v>205</v>
      </c>
      <c r="J189" s="173"/>
      <c r="K189" s="173" t="s">
        <v>212</v>
      </c>
      <c r="L189" s="173">
        <v>50</v>
      </c>
      <c r="M189" s="173" t="s">
        <v>213</v>
      </c>
      <c r="N189" s="174">
        <v>1120</v>
      </c>
      <c r="O189" s="174">
        <v>1120</v>
      </c>
      <c r="P189" s="174">
        <v>4000</v>
      </c>
      <c r="Q189" s="173">
        <v>2</v>
      </c>
      <c r="R189" s="173">
        <v>8</v>
      </c>
      <c r="S189" s="173" t="s">
        <v>354</v>
      </c>
      <c r="T189" s="175">
        <v>44855</v>
      </c>
      <c r="U189" s="175">
        <v>44887</v>
      </c>
      <c r="V189" s="173" t="s">
        <v>355</v>
      </c>
      <c r="W189" s="173"/>
      <c r="X189" s="173"/>
      <c r="Z189" s="146" t="str">
        <f t="shared" ca="1" si="2"/>
        <v/>
      </c>
      <c r="AA189" s="146" t="str">
        <f ca="1">IFERROR(IF(OR(OFFSET('S4'!#REF!,MATCH($A189,'S4'!$D$5:$D$2535,0)-1,6)="巻返し",OFFSET('S4'!#REF!,MATCH($A189,'S4'!$D$5:$D$2535,0)-1,6)="スリット"),SUMIF('S4'!$D$5:$D$2535,$A189,'S4'!$U$5:$U$2535),""),"")</f>
        <v/>
      </c>
      <c r="AB189" s="146" t="str">
        <f ca="1">IFERROR(IF(OR(OFFSET('S5'!#REF!,MATCH($A189,'S5'!$D$5:$D$2103,0)-1,6)="巻返し",OFFSET('S5'!#REF!,MATCH($A189,'S5'!$D$5:$D$2103,0)-1,6)="スリット"),SUMIF('S5'!$D$5:$D$2103,$A189,'S5'!$T$5:$T$2103),""),"")</f>
        <v/>
      </c>
    </row>
    <row r="190" spans="1:28" s="141" customFormat="1" ht="11.25" x14ac:dyDescent="0.15">
      <c r="A190" s="173">
        <v>3684771</v>
      </c>
      <c r="B190" s="173" t="s">
        <v>351</v>
      </c>
      <c r="C190" s="173" t="s">
        <v>352</v>
      </c>
      <c r="D190" s="173" t="s">
        <v>353</v>
      </c>
      <c r="E190" s="173" t="s">
        <v>116</v>
      </c>
      <c r="F190" s="173">
        <v>3</v>
      </c>
      <c r="G190" s="173" t="s">
        <v>19</v>
      </c>
      <c r="H190" s="173" t="s">
        <v>20</v>
      </c>
      <c r="I190" s="173" t="s">
        <v>205</v>
      </c>
      <c r="J190" s="173"/>
      <c r="K190" s="173" t="s">
        <v>212</v>
      </c>
      <c r="L190" s="173">
        <v>50</v>
      </c>
      <c r="M190" s="173" t="s">
        <v>213</v>
      </c>
      <c r="N190" s="174">
        <v>1120</v>
      </c>
      <c r="O190" s="174">
        <v>1120</v>
      </c>
      <c r="P190" s="174">
        <v>4000</v>
      </c>
      <c r="Q190" s="173">
        <v>2</v>
      </c>
      <c r="R190" s="173">
        <v>8</v>
      </c>
      <c r="S190" s="173" t="s">
        <v>354</v>
      </c>
      <c r="T190" s="175">
        <v>44855</v>
      </c>
      <c r="U190" s="175">
        <v>44896</v>
      </c>
      <c r="V190" s="173" t="s">
        <v>355</v>
      </c>
      <c r="W190" s="173"/>
      <c r="X190" s="173"/>
      <c r="Z190" s="146" t="str">
        <f t="shared" ca="1" si="2"/>
        <v/>
      </c>
      <c r="AA190" s="146" t="str">
        <f ca="1">IFERROR(IF(OR(OFFSET('S4'!#REF!,MATCH($A190,'S4'!$D$5:$D$2535,0)-1,6)="巻返し",OFFSET('S4'!#REF!,MATCH($A190,'S4'!$D$5:$D$2535,0)-1,6)="スリット"),SUMIF('S4'!$D$5:$D$2535,$A190,'S4'!$U$5:$U$2535),""),"")</f>
        <v/>
      </c>
      <c r="AB190" s="146" t="str">
        <f ca="1">IFERROR(IF(OR(OFFSET('S5'!#REF!,MATCH($A190,'S5'!$D$5:$D$2103,0)-1,6)="巻返し",OFFSET('S5'!#REF!,MATCH($A190,'S5'!$D$5:$D$2103,0)-1,6)="スリット"),SUMIF('S5'!$D$5:$D$2103,$A190,'S5'!$T$5:$T$2103),""),"")</f>
        <v/>
      </c>
    </row>
    <row r="191" spans="1:28" s="141" customFormat="1" ht="11.25" x14ac:dyDescent="0.15">
      <c r="A191" s="173">
        <v>3684772</v>
      </c>
      <c r="B191" s="173" t="s">
        <v>351</v>
      </c>
      <c r="C191" s="173" t="s">
        <v>352</v>
      </c>
      <c r="D191" s="173" t="s">
        <v>353</v>
      </c>
      <c r="E191" s="173" t="s">
        <v>116</v>
      </c>
      <c r="F191" s="173">
        <v>3</v>
      </c>
      <c r="G191" s="173" t="s">
        <v>19</v>
      </c>
      <c r="H191" s="173" t="s">
        <v>20</v>
      </c>
      <c r="I191" s="173" t="s">
        <v>205</v>
      </c>
      <c r="J191" s="173"/>
      <c r="K191" s="173" t="s">
        <v>212</v>
      </c>
      <c r="L191" s="173">
        <v>50</v>
      </c>
      <c r="M191" s="173" t="s">
        <v>213</v>
      </c>
      <c r="N191" s="174">
        <v>1120</v>
      </c>
      <c r="O191" s="174">
        <v>1120</v>
      </c>
      <c r="P191" s="174">
        <v>4000</v>
      </c>
      <c r="Q191" s="173">
        <v>2</v>
      </c>
      <c r="R191" s="173">
        <v>8</v>
      </c>
      <c r="S191" s="173" t="s">
        <v>354</v>
      </c>
      <c r="T191" s="175">
        <v>44855</v>
      </c>
      <c r="U191" s="175">
        <v>44904</v>
      </c>
      <c r="V191" s="173" t="s">
        <v>355</v>
      </c>
      <c r="W191" s="173"/>
      <c r="X191" s="173"/>
      <c r="Z191" s="146" t="str">
        <f t="shared" ca="1" si="2"/>
        <v/>
      </c>
      <c r="AA191" s="146" t="str">
        <f ca="1">IFERROR(IF(OR(OFFSET('S4'!#REF!,MATCH($A191,'S4'!$D$5:$D$2535,0)-1,6)="巻返し",OFFSET('S4'!#REF!,MATCH($A191,'S4'!$D$5:$D$2535,0)-1,6)="スリット"),SUMIF('S4'!$D$5:$D$2535,$A191,'S4'!$U$5:$U$2535),""),"")</f>
        <v/>
      </c>
      <c r="AB191" s="146" t="str">
        <f ca="1">IFERROR(IF(OR(OFFSET('S5'!#REF!,MATCH($A191,'S5'!$D$5:$D$2103,0)-1,6)="巻返し",OFFSET('S5'!#REF!,MATCH($A191,'S5'!$D$5:$D$2103,0)-1,6)="スリット"),SUMIF('S5'!$D$5:$D$2103,$A191,'S5'!$T$5:$T$2103),""),"")</f>
        <v/>
      </c>
    </row>
    <row r="192" spans="1:28" s="141" customFormat="1" ht="11.25" x14ac:dyDescent="0.15">
      <c r="A192" s="173">
        <v>3684773</v>
      </c>
      <c r="B192" s="173" t="s">
        <v>351</v>
      </c>
      <c r="C192" s="173" t="s">
        <v>352</v>
      </c>
      <c r="D192" s="173" t="s">
        <v>353</v>
      </c>
      <c r="E192" s="173" t="s">
        <v>116</v>
      </c>
      <c r="F192" s="173">
        <v>3</v>
      </c>
      <c r="G192" s="173" t="s">
        <v>19</v>
      </c>
      <c r="H192" s="173" t="s">
        <v>20</v>
      </c>
      <c r="I192" s="173" t="s">
        <v>205</v>
      </c>
      <c r="J192" s="173"/>
      <c r="K192" s="173" t="s">
        <v>212</v>
      </c>
      <c r="L192" s="173">
        <v>50</v>
      </c>
      <c r="M192" s="173" t="s">
        <v>213</v>
      </c>
      <c r="N192" s="174">
        <v>1120</v>
      </c>
      <c r="O192" s="174">
        <v>1120</v>
      </c>
      <c r="P192" s="174">
        <v>4000</v>
      </c>
      <c r="Q192" s="173">
        <v>2</v>
      </c>
      <c r="R192" s="173">
        <v>8</v>
      </c>
      <c r="S192" s="173" t="s">
        <v>354</v>
      </c>
      <c r="T192" s="175">
        <v>44855</v>
      </c>
      <c r="U192" s="175">
        <v>44911</v>
      </c>
      <c r="V192" s="173" t="s">
        <v>355</v>
      </c>
      <c r="W192" s="173"/>
      <c r="X192" s="173"/>
      <c r="Z192" s="146" t="str">
        <f t="shared" ca="1" si="2"/>
        <v/>
      </c>
      <c r="AA192" s="146" t="str">
        <f ca="1">IFERROR(IF(OR(OFFSET('S4'!#REF!,MATCH($A192,'S4'!$D$5:$D$2535,0)-1,6)="巻返し",OFFSET('S4'!#REF!,MATCH($A192,'S4'!$D$5:$D$2535,0)-1,6)="スリット"),SUMIF('S4'!$D$5:$D$2535,$A192,'S4'!$U$5:$U$2535),""),"")</f>
        <v/>
      </c>
      <c r="AB192" s="146" t="str">
        <f ca="1">IFERROR(IF(OR(OFFSET('S5'!#REF!,MATCH($A192,'S5'!$D$5:$D$2103,0)-1,6)="巻返し",OFFSET('S5'!#REF!,MATCH($A192,'S5'!$D$5:$D$2103,0)-1,6)="スリット"),SUMIF('S5'!$D$5:$D$2103,$A192,'S5'!$T$5:$T$2103),""),"")</f>
        <v/>
      </c>
    </row>
    <row r="193" spans="1:28" s="141" customFormat="1" ht="11.25" x14ac:dyDescent="0.15">
      <c r="A193" s="173">
        <v>3684774</v>
      </c>
      <c r="B193" s="173" t="s">
        <v>351</v>
      </c>
      <c r="C193" s="173" t="s">
        <v>352</v>
      </c>
      <c r="D193" s="173" t="s">
        <v>353</v>
      </c>
      <c r="E193" s="173" t="s">
        <v>116</v>
      </c>
      <c r="F193" s="173">
        <v>3</v>
      </c>
      <c r="G193" s="173" t="s">
        <v>19</v>
      </c>
      <c r="H193" s="173" t="s">
        <v>20</v>
      </c>
      <c r="I193" s="173" t="s">
        <v>205</v>
      </c>
      <c r="J193" s="173"/>
      <c r="K193" s="173" t="s">
        <v>211</v>
      </c>
      <c r="L193" s="173">
        <v>50</v>
      </c>
      <c r="M193" s="173" t="s">
        <v>370</v>
      </c>
      <c r="N193" s="174">
        <v>1050</v>
      </c>
      <c r="O193" s="174">
        <v>1050</v>
      </c>
      <c r="P193" s="174">
        <v>4100</v>
      </c>
      <c r="Q193" s="173">
        <v>2</v>
      </c>
      <c r="R193" s="173">
        <v>3</v>
      </c>
      <c r="S193" s="173" t="s">
        <v>354</v>
      </c>
      <c r="T193" s="175">
        <v>44855</v>
      </c>
      <c r="U193" s="175">
        <v>44890</v>
      </c>
      <c r="V193" s="173" t="s">
        <v>355</v>
      </c>
      <c r="W193" s="173"/>
      <c r="X193" s="173"/>
      <c r="Z193" s="146" t="str">
        <f t="shared" ca="1" si="2"/>
        <v/>
      </c>
      <c r="AA193" s="146" t="str">
        <f ca="1">IFERROR(IF(OR(OFFSET('S4'!#REF!,MATCH($A193,'S4'!$D$5:$D$2535,0)-1,6)="巻返し",OFFSET('S4'!#REF!,MATCH($A193,'S4'!$D$5:$D$2535,0)-1,6)="スリット"),SUMIF('S4'!$D$5:$D$2535,$A193,'S4'!$U$5:$U$2535),""),"")</f>
        <v/>
      </c>
      <c r="AB193" s="146" t="str">
        <f ca="1">IFERROR(IF(OR(OFFSET('S5'!#REF!,MATCH($A193,'S5'!$D$5:$D$2103,0)-1,6)="巻返し",OFFSET('S5'!#REF!,MATCH($A193,'S5'!$D$5:$D$2103,0)-1,6)="スリット"),SUMIF('S5'!$D$5:$D$2103,$A193,'S5'!$T$5:$T$2103),""),"")</f>
        <v/>
      </c>
    </row>
    <row r="194" spans="1:28" s="141" customFormat="1" ht="11.25" x14ac:dyDescent="0.15">
      <c r="A194" s="173">
        <v>3684775</v>
      </c>
      <c r="B194" s="173" t="s">
        <v>351</v>
      </c>
      <c r="C194" s="173" t="s">
        <v>352</v>
      </c>
      <c r="D194" s="173" t="s">
        <v>353</v>
      </c>
      <c r="E194" s="173" t="s">
        <v>116</v>
      </c>
      <c r="F194" s="173">
        <v>3</v>
      </c>
      <c r="G194" s="173" t="s">
        <v>19</v>
      </c>
      <c r="H194" s="173" t="s">
        <v>20</v>
      </c>
      <c r="I194" s="173" t="s">
        <v>205</v>
      </c>
      <c r="J194" s="173"/>
      <c r="K194" s="173" t="s">
        <v>211</v>
      </c>
      <c r="L194" s="173">
        <v>75</v>
      </c>
      <c r="M194" s="173" t="s">
        <v>370</v>
      </c>
      <c r="N194" s="174">
        <v>1050</v>
      </c>
      <c r="O194" s="174">
        <v>1050</v>
      </c>
      <c r="P194" s="174">
        <v>2000</v>
      </c>
      <c r="Q194" s="173">
        <v>2</v>
      </c>
      <c r="R194" s="173">
        <v>2</v>
      </c>
      <c r="S194" s="173" t="s">
        <v>354</v>
      </c>
      <c r="T194" s="175">
        <v>44855</v>
      </c>
      <c r="U194" s="175">
        <v>44890</v>
      </c>
      <c r="V194" s="173" t="s">
        <v>355</v>
      </c>
      <c r="W194" s="173"/>
      <c r="X194" s="173"/>
      <c r="Z194" s="146" t="str">
        <f t="shared" ca="1" si="2"/>
        <v/>
      </c>
      <c r="AA194" s="146" t="str">
        <f ca="1">IFERROR(IF(OR(OFFSET('S4'!#REF!,MATCH($A194,'S4'!$D$5:$D$2535,0)-1,6)="巻返し",OFFSET('S4'!#REF!,MATCH($A194,'S4'!$D$5:$D$2535,0)-1,6)="スリット"),SUMIF('S4'!$D$5:$D$2535,$A194,'S4'!$U$5:$U$2535),""),"")</f>
        <v/>
      </c>
      <c r="AB194" s="146" t="str">
        <f ca="1">IFERROR(IF(OR(OFFSET('S5'!#REF!,MATCH($A194,'S5'!$D$5:$D$2103,0)-1,6)="巻返し",OFFSET('S5'!#REF!,MATCH($A194,'S5'!$D$5:$D$2103,0)-1,6)="スリット"),SUMIF('S5'!$D$5:$D$2103,$A194,'S5'!$T$5:$T$2103),""),"")</f>
        <v/>
      </c>
    </row>
    <row r="195" spans="1:28" s="141" customFormat="1" ht="11.25" x14ac:dyDescent="0.15">
      <c r="A195" s="173">
        <v>3684776</v>
      </c>
      <c r="B195" s="173" t="s">
        <v>351</v>
      </c>
      <c r="C195" s="173" t="s">
        <v>352</v>
      </c>
      <c r="D195" s="173" t="s">
        <v>353</v>
      </c>
      <c r="E195" s="173" t="s">
        <v>116</v>
      </c>
      <c r="F195" s="173">
        <v>3</v>
      </c>
      <c r="G195" s="173" t="s">
        <v>19</v>
      </c>
      <c r="H195" s="173" t="s">
        <v>20</v>
      </c>
      <c r="I195" s="173" t="s">
        <v>165</v>
      </c>
      <c r="J195" s="173"/>
      <c r="K195" s="173" t="s">
        <v>185</v>
      </c>
      <c r="L195" s="173">
        <v>50</v>
      </c>
      <c r="M195" s="173" t="s">
        <v>186</v>
      </c>
      <c r="N195" s="174">
        <v>1005</v>
      </c>
      <c r="O195" s="174">
        <v>1000</v>
      </c>
      <c r="P195" s="174">
        <v>4000</v>
      </c>
      <c r="Q195" s="173">
        <v>2</v>
      </c>
      <c r="R195" s="173">
        <v>6</v>
      </c>
      <c r="S195" s="173" t="s">
        <v>354</v>
      </c>
      <c r="T195" s="175">
        <v>44855</v>
      </c>
      <c r="U195" s="175">
        <v>44890</v>
      </c>
      <c r="V195" s="173" t="s">
        <v>355</v>
      </c>
      <c r="W195" s="173"/>
      <c r="X195" s="173"/>
      <c r="Z195" s="146" t="str">
        <f t="shared" ca="1" si="2"/>
        <v/>
      </c>
      <c r="AA195" s="146" t="str">
        <f ca="1">IFERROR(IF(OR(OFFSET('S4'!#REF!,MATCH($A195,'S4'!$D$5:$D$2535,0)-1,6)="巻返し",OFFSET('S4'!#REF!,MATCH($A195,'S4'!$D$5:$D$2535,0)-1,6)="スリット"),SUMIF('S4'!$D$5:$D$2535,$A195,'S4'!$U$5:$U$2535),""),"")</f>
        <v/>
      </c>
      <c r="AB195" s="146" t="str">
        <f ca="1">IFERROR(IF(OR(OFFSET('S5'!#REF!,MATCH($A195,'S5'!$D$5:$D$2103,0)-1,6)="巻返し",OFFSET('S5'!#REF!,MATCH($A195,'S5'!$D$5:$D$2103,0)-1,6)="スリット"),SUMIF('S5'!$D$5:$D$2103,$A195,'S5'!$T$5:$T$2103),""),"")</f>
        <v/>
      </c>
    </row>
    <row r="196" spans="1:28" s="141" customFormat="1" ht="11.25" x14ac:dyDescent="0.15">
      <c r="A196" s="173">
        <v>3684778</v>
      </c>
      <c r="B196" s="173" t="s">
        <v>351</v>
      </c>
      <c r="C196" s="173" t="s">
        <v>352</v>
      </c>
      <c r="D196" s="173" t="s">
        <v>353</v>
      </c>
      <c r="E196" s="173" t="s">
        <v>116</v>
      </c>
      <c r="F196" s="173">
        <v>3</v>
      </c>
      <c r="G196" s="173" t="s">
        <v>19</v>
      </c>
      <c r="H196" s="173" t="s">
        <v>20</v>
      </c>
      <c r="I196" s="173" t="s">
        <v>205</v>
      </c>
      <c r="J196" s="173"/>
      <c r="K196" s="173" t="s">
        <v>216</v>
      </c>
      <c r="L196" s="173">
        <v>25</v>
      </c>
      <c r="M196" s="173" t="s">
        <v>217</v>
      </c>
      <c r="N196" s="174">
        <v>1005</v>
      </c>
      <c r="O196" s="174">
        <v>1000</v>
      </c>
      <c r="P196" s="174">
        <v>4000</v>
      </c>
      <c r="Q196" s="173">
        <v>2</v>
      </c>
      <c r="R196" s="173">
        <v>27</v>
      </c>
      <c r="S196" s="173" t="s">
        <v>354</v>
      </c>
      <c r="T196" s="175">
        <v>44855</v>
      </c>
      <c r="U196" s="175">
        <v>44886</v>
      </c>
      <c r="V196" s="173" t="s">
        <v>355</v>
      </c>
      <c r="W196" s="173"/>
      <c r="X196" s="173"/>
      <c r="Z196" s="146" t="str">
        <f t="shared" ref="Z196:Z259" ca="1" si="3">IF(SUM(AA196:AB196)=0,"",SUM(AA196:AB196))</f>
        <v/>
      </c>
      <c r="AA196" s="146" t="str">
        <f ca="1">IFERROR(IF(OR(OFFSET('S4'!#REF!,MATCH($A196,'S4'!$D$5:$D$2535,0)-1,6)="巻返し",OFFSET('S4'!#REF!,MATCH($A196,'S4'!$D$5:$D$2535,0)-1,6)="スリット"),SUMIF('S4'!$D$5:$D$2535,$A196,'S4'!$U$5:$U$2535),""),"")</f>
        <v/>
      </c>
      <c r="AB196" s="146" t="str">
        <f ca="1">IFERROR(IF(OR(OFFSET('S5'!#REF!,MATCH($A196,'S5'!$D$5:$D$2103,0)-1,6)="巻返し",OFFSET('S5'!#REF!,MATCH($A196,'S5'!$D$5:$D$2103,0)-1,6)="スリット"),SUMIF('S5'!$D$5:$D$2103,$A196,'S5'!$T$5:$T$2103),""),"")</f>
        <v/>
      </c>
    </row>
    <row r="197" spans="1:28" s="141" customFormat="1" ht="11.25" x14ac:dyDescent="0.15">
      <c r="A197" s="173">
        <v>3684779</v>
      </c>
      <c r="B197" s="173" t="s">
        <v>351</v>
      </c>
      <c r="C197" s="173" t="s">
        <v>352</v>
      </c>
      <c r="D197" s="173" t="s">
        <v>353</v>
      </c>
      <c r="E197" s="173" t="s">
        <v>116</v>
      </c>
      <c r="F197" s="173">
        <v>3</v>
      </c>
      <c r="G197" s="173" t="s">
        <v>19</v>
      </c>
      <c r="H197" s="173" t="s">
        <v>20</v>
      </c>
      <c r="I197" s="173" t="s">
        <v>205</v>
      </c>
      <c r="J197" s="173"/>
      <c r="K197" s="173" t="s">
        <v>216</v>
      </c>
      <c r="L197" s="173">
        <v>50</v>
      </c>
      <c r="M197" s="173" t="s">
        <v>217</v>
      </c>
      <c r="N197" s="174">
        <v>1120</v>
      </c>
      <c r="O197" s="174">
        <v>1120</v>
      </c>
      <c r="P197" s="174">
        <v>5000</v>
      </c>
      <c r="Q197" s="173">
        <v>2</v>
      </c>
      <c r="R197" s="173">
        <v>12</v>
      </c>
      <c r="S197" s="173" t="s">
        <v>354</v>
      </c>
      <c r="T197" s="175">
        <v>44855</v>
      </c>
      <c r="U197" s="175">
        <v>44889</v>
      </c>
      <c r="V197" s="173" t="s">
        <v>355</v>
      </c>
      <c r="W197" s="173"/>
      <c r="X197" s="173"/>
      <c r="Z197" s="146" t="str">
        <f t="shared" ca="1" si="3"/>
        <v/>
      </c>
      <c r="AA197" s="146" t="str">
        <f ca="1">IFERROR(IF(OR(OFFSET('S4'!#REF!,MATCH($A197,'S4'!$D$5:$D$2535,0)-1,6)="巻返し",OFFSET('S4'!#REF!,MATCH($A197,'S4'!$D$5:$D$2535,0)-1,6)="スリット"),SUMIF('S4'!$D$5:$D$2535,$A197,'S4'!$U$5:$U$2535),""),"")</f>
        <v/>
      </c>
      <c r="AB197" s="146" t="str">
        <f ca="1">IFERROR(IF(OR(OFFSET('S5'!#REF!,MATCH($A197,'S5'!$D$5:$D$2103,0)-1,6)="巻返し",OFFSET('S5'!#REF!,MATCH($A197,'S5'!$D$5:$D$2103,0)-1,6)="スリット"),SUMIF('S5'!$D$5:$D$2103,$A197,'S5'!$T$5:$T$2103),""),"")</f>
        <v/>
      </c>
    </row>
    <row r="198" spans="1:28" s="141" customFormat="1" ht="11.25" x14ac:dyDescent="0.15">
      <c r="A198" s="173">
        <v>3684780</v>
      </c>
      <c r="B198" s="173" t="s">
        <v>351</v>
      </c>
      <c r="C198" s="173" t="s">
        <v>352</v>
      </c>
      <c r="D198" s="173" t="s">
        <v>353</v>
      </c>
      <c r="E198" s="173" t="s">
        <v>116</v>
      </c>
      <c r="F198" s="173">
        <v>3</v>
      </c>
      <c r="G198" s="173" t="s">
        <v>19</v>
      </c>
      <c r="H198" s="173" t="s">
        <v>20</v>
      </c>
      <c r="I198" s="173" t="s">
        <v>205</v>
      </c>
      <c r="J198" s="173"/>
      <c r="K198" s="173" t="s">
        <v>216</v>
      </c>
      <c r="L198" s="173">
        <v>50</v>
      </c>
      <c r="M198" s="173" t="s">
        <v>217</v>
      </c>
      <c r="N198" s="174">
        <v>1120</v>
      </c>
      <c r="O198" s="174">
        <v>1120</v>
      </c>
      <c r="P198" s="174">
        <v>5000</v>
      </c>
      <c r="Q198" s="173">
        <v>2</v>
      </c>
      <c r="R198" s="173">
        <v>12</v>
      </c>
      <c r="S198" s="173" t="s">
        <v>354</v>
      </c>
      <c r="T198" s="175">
        <v>44855</v>
      </c>
      <c r="U198" s="175">
        <v>44897</v>
      </c>
      <c r="V198" s="173" t="s">
        <v>355</v>
      </c>
      <c r="W198" s="173"/>
      <c r="X198" s="173"/>
      <c r="Z198" s="146" t="str">
        <f t="shared" ca="1" si="3"/>
        <v/>
      </c>
      <c r="AA198" s="146" t="str">
        <f ca="1">IFERROR(IF(OR(OFFSET('S4'!#REF!,MATCH($A198,'S4'!$D$5:$D$2535,0)-1,6)="巻返し",OFFSET('S4'!#REF!,MATCH($A198,'S4'!$D$5:$D$2535,0)-1,6)="スリット"),SUMIF('S4'!$D$5:$D$2535,$A198,'S4'!$U$5:$U$2535),""),"")</f>
        <v/>
      </c>
      <c r="AB198" s="146" t="str">
        <f ca="1">IFERROR(IF(OR(OFFSET('S5'!#REF!,MATCH($A198,'S5'!$D$5:$D$2103,0)-1,6)="巻返し",OFFSET('S5'!#REF!,MATCH($A198,'S5'!$D$5:$D$2103,0)-1,6)="スリット"),SUMIF('S5'!$D$5:$D$2103,$A198,'S5'!$T$5:$T$2103),""),"")</f>
        <v/>
      </c>
    </row>
    <row r="199" spans="1:28" s="141" customFormat="1" ht="11.25" x14ac:dyDescent="0.15">
      <c r="A199" s="173">
        <v>3684781</v>
      </c>
      <c r="B199" s="173" t="s">
        <v>351</v>
      </c>
      <c r="C199" s="173" t="s">
        <v>352</v>
      </c>
      <c r="D199" s="173" t="s">
        <v>353</v>
      </c>
      <c r="E199" s="173" t="s">
        <v>116</v>
      </c>
      <c r="F199" s="173">
        <v>3</v>
      </c>
      <c r="G199" s="173" t="s">
        <v>19</v>
      </c>
      <c r="H199" s="173" t="s">
        <v>20</v>
      </c>
      <c r="I199" s="173" t="s">
        <v>205</v>
      </c>
      <c r="J199" s="173"/>
      <c r="K199" s="173" t="s">
        <v>216</v>
      </c>
      <c r="L199" s="173">
        <v>50</v>
      </c>
      <c r="M199" s="173" t="s">
        <v>217</v>
      </c>
      <c r="N199" s="174">
        <v>1120</v>
      </c>
      <c r="O199" s="174">
        <v>1120</v>
      </c>
      <c r="P199" s="174">
        <v>5000</v>
      </c>
      <c r="Q199" s="173">
        <v>2</v>
      </c>
      <c r="R199" s="173">
        <v>12</v>
      </c>
      <c r="S199" s="173" t="s">
        <v>354</v>
      </c>
      <c r="T199" s="175">
        <v>44855</v>
      </c>
      <c r="U199" s="175">
        <v>44907</v>
      </c>
      <c r="V199" s="173" t="s">
        <v>355</v>
      </c>
      <c r="W199" s="173"/>
      <c r="X199" s="173"/>
      <c r="Z199" s="146" t="str">
        <f t="shared" ca="1" si="3"/>
        <v/>
      </c>
      <c r="AA199" s="146" t="str">
        <f ca="1">IFERROR(IF(OR(OFFSET('S4'!#REF!,MATCH($A199,'S4'!$D$5:$D$2535,0)-1,6)="巻返し",OFFSET('S4'!#REF!,MATCH($A199,'S4'!$D$5:$D$2535,0)-1,6)="スリット"),SUMIF('S4'!$D$5:$D$2535,$A199,'S4'!$U$5:$U$2535),""),"")</f>
        <v/>
      </c>
      <c r="AB199" s="146" t="str">
        <f ca="1">IFERROR(IF(OR(OFFSET('S5'!#REF!,MATCH($A199,'S5'!$D$5:$D$2103,0)-1,6)="巻返し",OFFSET('S5'!#REF!,MATCH($A199,'S5'!$D$5:$D$2103,0)-1,6)="スリット"),SUMIF('S5'!$D$5:$D$2103,$A199,'S5'!$T$5:$T$2103),""),"")</f>
        <v/>
      </c>
    </row>
    <row r="200" spans="1:28" s="141" customFormat="1" ht="11.25" x14ac:dyDescent="0.15">
      <c r="A200" s="173">
        <v>3684782</v>
      </c>
      <c r="B200" s="173" t="s">
        <v>351</v>
      </c>
      <c r="C200" s="173" t="s">
        <v>352</v>
      </c>
      <c r="D200" s="173" t="s">
        <v>353</v>
      </c>
      <c r="E200" s="173" t="s">
        <v>116</v>
      </c>
      <c r="F200" s="173">
        <v>3</v>
      </c>
      <c r="G200" s="173" t="s">
        <v>19</v>
      </c>
      <c r="H200" s="173" t="s">
        <v>20</v>
      </c>
      <c r="I200" s="173" t="s">
        <v>165</v>
      </c>
      <c r="J200" s="173"/>
      <c r="K200" s="173" t="s">
        <v>187</v>
      </c>
      <c r="L200" s="173">
        <v>50</v>
      </c>
      <c r="M200" s="173" t="s">
        <v>188</v>
      </c>
      <c r="N200" s="174">
        <v>1195</v>
      </c>
      <c r="O200" s="174">
        <v>1190</v>
      </c>
      <c r="P200" s="174">
        <v>6000</v>
      </c>
      <c r="Q200" s="173">
        <v>2</v>
      </c>
      <c r="R200" s="173">
        <v>1</v>
      </c>
      <c r="S200" s="173" t="s">
        <v>354</v>
      </c>
      <c r="T200" s="175">
        <v>44855</v>
      </c>
      <c r="U200" s="175">
        <v>44879</v>
      </c>
      <c r="V200" s="173" t="s">
        <v>360</v>
      </c>
      <c r="W200" s="173"/>
      <c r="X200" s="173"/>
      <c r="Z200" s="146" t="str">
        <f t="shared" ca="1" si="3"/>
        <v/>
      </c>
      <c r="AA200" s="146" t="str">
        <f ca="1">IFERROR(IF(OR(OFFSET('S4'!#REF!,MATCH($A200,'S4'!$D$5:$D$2535,0)-1,6)="巻返し",OFFSET('S4'!#REF!,MATCH($A200,'S4'!$D$5:$D$2535,0)-1,6)="スリット"),SUMIF('S4'!$D$5:$D$2535,$A200,'S4'!$U$5:$U$2535),""),"")</f>
        <v/>
      </c>
      <c r="AB200" s="146" t="str">
        <f ca="1">IFERROR(IF(OR(OFFSET('S5'!#REF!,MATCH($A200,'S5'!$D$5:$D$2103,0)-1,6)="巻返し",OFFSET('S5'!#REF!,MATCH($A200,'S5'!$D$5:$D$2103,0)-1,6)="スリット"),SUMIF('S5'!$D$5:$D$2103,$A200,'S5'!$T$5:$T$2103),""),"")</f>
        <v/>
      </c>
    </row>
    <row r="201" spans="1:28" s="141" customFormat="1" ht="11.25" x14ac:dyDescent="0.15">
      <c r="A201" s="173">
        <v>3684783</v>
      </c>
      <c r="B201" s="173" t="s">
        <v>351</v>
      </c>
      <c r="C201" s="173" t="s">
        <v>352</v>
      </c>
      <c r="D201" s="173" t="s">
        <v>353</v>
      </c>
      <c r="E201" s="173" t="s">
        <v>116</v>
      </c>
      <c r="F201" s="173">
        <v>3</v>
      </c>
      <c r="G201" s="173" t="s">
        <v>19</v>
      </c>
      <c r="H201" s="173" t="s">
        <v>20</v>
      </c>
      <c r="I201" s="173" t="s">
        <v>205</v>
      </c>
      <c r="J201" s="173"/>
      <c r="K201" s="173" t="s">
        <v>218</v>
      </c>
      <c r="L201" s="173">
        <v>25</v>
      </c>
      <c r="M201" s="173" t="s">
        <v>219</v>
      </c>
      <c r="N201" s="174">
        <v>1005</v>
      </c>
      <c r="O201" s="174">
        <v>1000</v>
      </c>
      <c r="P201" s="174">
        <v>4000</v>
      </c>
      <c r="Q201" s="173">
        <v>2</v>
      </c>
      <c r="R201" s="173">
        <v>6</v>
      </c>
      <c r="S201" s="173" t="s">
        <v>354</v>
      </c>
      <c r="T201" s="175">
        <v>44855</v>
      </c>
      <c r="U201" s="175">
        <v>44886</v>
      </c>
      <c r="V201" s="173" t="s">
        <v>355</v>
      </c>
      <c r="W201" s="173"/>
      <c r="X201" s="173"/>
      <c r="Z201" s="146" t="str">
        <f t="shared" ca="1" si="3"/>
        <v/>
      </c>
      <c r="AA201" s="146" t="str">
        <f ca="1">IFERROR(IF(OR(OFFSET('S4'!#REF!,MATCH($A201,'S4'!$D$5:$D$2535,0)-1,6)="巻返し",OFFSET('S4'!#REF!,MATCH($A201,'S4'!$D$5:$D$2535,0)-1,6)="スリット"),SUMIF('S4'!$D$5:$D$2535,$A201,'S4'!$U$5:$U$2535),""),"")</f>
        <v/>
      </c>
      <c r="AB201" s="146" t="str">
        <f ca="1">IFERROR(IF(OR(OFFSET('S5'!#REF!,MATCH($A201,'S5'!$D$5:$D$2103,0)-1,6)="巻返し",OFFSET('S5'!#REF!,MATCH($A201,'S5'!$D$5:$D$2103,0)-1,6)="スリット"),SUMIF('S5'!$D$5:$D$2103,$A201,'S5'!$T$5:$T$2103),""),"")</f>
        <v/>
      </c>
    </row>
    <row r="202" spans="1:28" s="141" customFormat="1" ht="11.25" x14ac:dyDescent="0.15">
      <c r="A202" s="173">
        <v>3684784</v>
      </c>
      <c r="B202" s="173" t="s">
        <v>351</v>
      </c>
      <c r="C202" s="173" t="s">
        <v>352</v>
      </c>
      <c r="D202" s="173" t="s">
        <v>353</v>
      </c>
      <c r="E202" s="173" t="s">
        <v>116</v>
      </c>
      <c r="F202" s="173">
        <v>3</v>
      </c>
      <c r="G202" s="173" t="s">
        <v>19</v>
      </c>
      <c r="H202" s="173" t="s">
        <v>20</v>
      </c>
      <c r="I202" s="173" t="s">
        <v>205</v>
      </c>
      <c r="J202" s="173"/>
      <c r="K202" s="173" t="s">
        <v>218</v>
      </c>
      <c r="L202" s="173">
        <v>50</v>
      </c>
      <c r="M202" s="173" t="s">
        <v>219</v>
      </c>
      <c r="N202" s="174">
        <v>1000</v>
      </c>
      <c r="O202" s="174">
        <v>1000</v>
      </c>
      <c r="P202" s="174">
        <v>4000</v>
      </c>
      <c r="Q202" s="173">
        <v>2</v>
      </c>
      <c r="R202" s="173">
        <v>21</v>
      </c>
      <c r="S202" s="173" t="s">
        <v>354</v>
      </c>
      <c r="T202" s="175">
        <v>44855</v>
      </c>
      <c r="U202" s="175">
        <v>44886</v>
      </c>
      <c r="V202" s="173" t="s">
        <v>355</v>
      </c>
      <c r="W202" s="173"/>
      <c r="X202" s="173"/>
      <c r="Z202" s="146" t="str">
        <f t="shared" ca="1" si="3"/>
        <v/>
      </c>
      <c r="AA202" s="146" t="str">
        <f ca="1">IFERROR(IF(OR(OFFSET('S4'!#REF!,MATCH($A202,'S4'!$D$5:$D$2535,0)-1,6)="巻返し",OFFSET('S4'!#REF!,MATCH($A202,'S4'!$D$5:$D$2535,0)-1,6)="スリット"),SUMIF('S4'!$D$5:$D$2535,$A202,'S4'!$U$5:$U$2535),""),"")</f>
        <v/>
      </c>
      <c r="AB202" s="146" t="str">
        <f ca="1">IFERROR(IF(OR(OFFSET('S5'!#REF!,MATCH($A202,'S5'!$D$5:$D$2103,0)-1,6)="巻返し",OFFSET('S5'!#REF!,MATCH($A202,'S5'!$D$5:$D$2103,0)-1,6)="スリット"),SUMIF('S5'!$D$5:$D$2103,$A202,'S5'!$T$5:$T$2103),""),"")</f>
        <v/>
      </c>
    </row>
    <row r="203" spans="1:28" s="141" customFormat="1" ht="11.25" x14ac:dyDescent="0.15">
      <c r="A203" s="173">
        <v>3684785</v>
      </c>
      <c r="B203" s="173" t="s">
        <v>351</v>
      </c>
      <c r="C203" s="173" t="s">
        <v>352</v>
      </c>
      <c r="D203" s="173" t="s">
        <v>353</v>
      </c>
      <c r="E203" s="173" t="s">
        <v>116</v>
      </c>
      <c r="F203" s="173" t="s">
        <v>158</v>
      </c>
      <c r="G203" s="173" t="s">
        <v>19</v>
      </c>
      <c r="H203" s="173" t="s">
        <v>20</v>
      </c>
      <c r="I203" s="173" t="s">
        <v>165</v>
      </c>
      <c r="J203" s="173"/>
      <c r="K203" s="173" t="s">
        <v>192</v>
      </c>
      <c r="L203" s="173">
        <v>50</v>
      </c>
      <c r="M203" s="173" t="s">
        <v>193</v>
      </c>
      <c r="N203" s="174">
        <v>1005</v>
      </c>
      <c r="O203" s="174">
        <v>1000</v>
      </c>
      <c r="P203" s="174">
        <v>4000</v>
      </c>
      <c r="Q203" s="173">
        <v>2</v>
      </c>
      <c r="R203" s="173">
        <v>3</v>
      </c>
      <c r="S203" s="173" t="s">
        <v>354</v>
      </c>
      <c r="T203" s="175">
        <v>44855</v>
      </c>
      <c r="U203" s="175">
        <v>44889</v>
      </c>
      <c r="V203" s="173" t="s">
        <v>355</v>
      </c>
      <c r="W203" s="173"/>
      <c r="X203" s="173"/>
      <c r="Z203" s="146" t="str">
        <f t="shared" ca="1" si="3"/>
        <v/>
      </c>
      <c r="AA203" s="146" t="str">
        <f ca="1">IFERROR(IF(OR(OFFSET('S4'!#REF!,MATCH($A203,'S4'!$D$5:$D$2535,0)-1,6)="巻返し",OFFSET('S4'!#REF!,MATCH($A203,'S4'!$D$5:$D$2535,0)-1,6)="スリット"),SUMIF('S4'!$D$5:$D$2535,$A203,'S4'!$U$5:$U$2535),""),"")</f>
        <v/>
      </c>
      <c r="AB203" s="146" t="str">
        <f ca="1">IFERROR(IF(OR(OFFSET('S5'!#REF!,MATCH($A203,'S5'!$D$5:$D$2103,0)-1,6)="巻返し",OFFSET('S5'!#REF!,MATCH($A203,'S5'!$D$5:$D$2103,0)-1,6)="スリット"),SUMIF('S5'!$D$5:$D$2103,$A203,'S5'!$T$5:$T$2103),""),"")</f>
        <v/>
      </c>
    </row>
    <row r="204" spans="1:28" s="141" customFormat="1" ht="11.25" x14ac:dyDescent="0.15">
      <c r="A204" s="173">
        <v>3684786</v>
      </c>
      <c r="B204" s="173" t="s">
        <v>351</v>
      </c>
      <c r="C204" s="173" t="s">
        <v>352</v>
      </c>
      <c r="D204" s="173" t="s">
        <v>353</v>
      </c>
      <c r="E204" s="173" t="s">
        <v>116</v>
      </c>
      <c r="F204" s="173" t="s">
        <v>158</v>
      </c>
      <c r="G204" s="173" t="s">
        <v>19</v>
      </c>
      <c r="H204" s="173" t="s">
        <v>20</v>
      </c>
      <c r="I204" s="173" t="s">
        <v>165</v>
      </c>
      <c r="J204" s="173"/>
      <c r="K204" s="173" t="s">
        <v>195</v>
      </c>
      <c r="L204" s="173">
        <v>50</v>
      </c>
      <c r="M204" s="173" t="s">
        <v>196</v>
      </c>
      <c r="N204" s="174">
        <v>1005</v>
      </c>
      <c r="O204" s="174">
        <v>1000</v>
      </c>
      <c r="P204" s="174">
        <v>4000</v>
      </c>
      <c r="Q204" s="173">
        <v>2</v>
      </c>
      <c r="R204" s="173">
        <v>3</v>
      </c>
      <c r="S204" s="173" t="s">
        <v>354</v>
      </c>
      <c r="T204" s="175">
        <v>44855</v>
      </c>
      <c r="U204" s="175">
        <v>44889</v>
      </c>
      <c r="V204" s="173" t="s">
        <v>355</v>
      </c>
      <c r="W204" s="173"/>
      <c r="X204" s="173"/>
      <c r="Z204" s="146" t="str">
        <f t="shared" ca="1" si="3"/>
        <v/>
      </c>
      <c r="AA204" s="146" t="str">
        <f ca="1">IFERROR(IF(OR(OFFSET('S4'!#REF!,MATCH($A204,'S4'!$D$5:$D$2535,0)-1,6)="巻返し",OFFSET('S4'!#REF!,MATCH($A204,'S4'!$D$5:$D$2535,0)-1,6)="スリット"),SUMIF('S4'!$D$5:$D$2535,$A204,'S4'!$U$5:$U$2535),""),"")</f>
        <v/>
      </c>
      <c r="AB204" s="146" t="str">
        <f ca="1">IFERROR(IF(OR(OFFSET('S5'!#REF!,MATCH($A204,'S5'!$D$5:$D$2103,0)-1,6)="巻返し",OFFSET('S5'!#REF!,MATCH($A204,'S5'!$D$5:$D$2103,0)-1,6)="スリット"),SUMIF('S5'!$D$5:$D$2103,$A204,'S5'!$T$5:$T$2103),""),"")</f>
        <v/>
      </c>
    </row>
    <row r="205" spans="1:28" s="141" customFormat="1" ht="11.25" x14ac:dyDescent="0.15">
      <c r="A205" s="173">
        <v>3684787</v>
      </c>
      <c r="B205" s="173" t="s">
        <v>351</v>
      </c>
      <c r="C205" s="173" t="s">
        <v>352</v>
      </c>
      <c r="D205" s="173" t="s">
        <v>353</v>
      </c>
      <c r="E205" s="173" t="s">
        <v>116</v>
      </c>
      <c r="F205" s="173" t="s">
        <v>158</v>
      </c>
      <c r="G205" s="173" t="s">
        <v>19</v>
      </c>
      <c r="H205" s="173" t="s">
        <v>20</v>
      </c>
      <c r="I205" s="173" t="s">
        <v>165</v>
      </c>
      <c r="J205" s="173"/>
      <c r="K205" s="173" t="s">
        <v>197</v>
      </c>
      <c r="L205" s="173">
        <v>50</v>
      </c>
      <c r="M205" s="173" t="s">
        <v>198</v>
      </c>
      <c r="N205" s="174">
        <v>1005</v>
      </c>
      <c r="O205" s="174">
        <v>1000</v>
      </c>
      <c r="P205" s="174">
        <v>4000</v>
      </c>
      <c r="Q205" s="173">
        <v>2</v>
      </c>
      <c r="R205" s="173">
        <v>6</v>
      </c>
      <c r="S205" s="173" t="s">
        <v>354</v>
      </c>
      <c r="T205" s="175">
        <v>44855</v>
      </c>
      <c r="U205" s="175">
        <v>44882</v>
      </c>
      <c r="V205" s="173" t="s">
        <v>355</v>
      </c>
      <c r="W205" s="173"/>
      <c r="X205" s="173"/>
      <c r="Z205" s="146" t="str">
        <f t="shared" ca="1" si="3"/>
        <v/>
      </c>
      <c r="AA205" s="146" t="str">
        <f ca="1">IFERROR(IF(OR(OFFSET('S4'!#REF!,MATCH($A205,'S4'!$D$5:$D$2535,0)-1,6)="巻返し",OFFSET('S4'!#REF!,MATCH($A205,'S4'!$D$5:$D$2535,0)-1,6)="スリット"),SUMIF('S4'!$D$5:$D$2535,$A205,'S4'!$U$5:$U$2535),""),"")</f>
        <v/>
      </c>
      <c r="AB205" s="146" t="str">
        <f ca="1">IFERROR(IF(OR(OFFSET('S5'!#REF!,MATCH($A205,'S5'!$D$5:$D$2103,0)-1,6)="巻返し",OFFSET('S5'!#REF!,MATCH($A205,'S5'!$D$5:$D$2103,0)-1,6)="スリット"),SUMIF('S5'!$D$5:$D$2103,$A205,'S5'!$T$5:$T$2103),""),"")</f>
        <v/>
      </c>
    </row>
    <row r="206" spans="1:28" s="141" customFormat="1" ht="11.25" x14ac:dyDescent="0.15">
      <c r="A206" s="173">
        <v>3684788</v>
      </c>
      <c r="B206" s="173" t="s">
        <v>351</v>
      </c>
      <c r="C206" s="173" t="s">
        <v>352</v>
      </c>
      <c r="D206" s="173" t="s">
        <v>353</v>
      </c>
      <c r="E206" s="173" t="s">
        <v>116</v>
      </c>
      <c r="F206" s="173">
        <v>3</v>
      </c>
      <c r="G206" s="173" t="s">
        <v>19</v>
      </c>
      <c r="H206" s="173" t="s">
        <v>20</v>
      </c>
      <c r="I206" s="173" t="s">
        <v>165</v>
      </c>
      <c r="J206" s="173"/>
      <c r="K206" s="173" t="s">
        <v>200</v>
      </c>
      <c r="L206" s="173">
        <v>50</v>
      </c>
      <c r="M206" s="173" t="s">
        <v>201</v>
      </c>
      <c r="N206" s="174">
        <v>1005</v>
      </c>
      <c r="O206" s="174">
        <v>1000</v>
      </c>
      <c r="P206" s="174">
        <v>4000</v>
      </c>
      <c r="Q206" s="173">
        <v>2</v>
      </c>
      <c r="R206" s="173">
        <v>3</v>
      </c>
      <c r="S206" s="173" t="s">
        <v>354</v>
      </c>
      <c r="T206" s="175">
        <v>44855</v>
      </c>
      <c r="U206" s="175">
        <v>44889</v>
      </c>
      <c r="V206" s="173" t="s">
        <v>355</v>
      </c>
      <c r="W206" s="173"/>
      <c r="X206" s="173"/>
      <c r="Z206" s="146" t="str">
        <f t="shared" ca="1" si="3"/>
        <v/>
      </c>
      <c r="AA206" s="146" t="str">
        <f ca="1">IFERROR(IF(OR(OFFSET('S4'!#REF!,MATCH($A206,'S4'!$D$5:$D$2535,0)-1,6)="巻返し",OFFSET('S4'!#REF!,MATCH($A206,'S4'!$D$5:$D$2535,0)-1,6)="スリット"),SUMIF('S4'!$D$5:$D$2535,$A206,'S4'!$U$5:$U$2535),""),"")</f>
        <v/>
      </c>
      <c r="AB206" s="146" t="str">
        <f ca="1">IFERROR(IF(OR(OFFSET('S5'!#REF!,MATCH($A206,'S5'!$D$5:$D$2103,0)-1,6)="巻返し",OFFSET('S5'!#REF!,MATCH($A206,'S5'!$D$5:$D$2103,0)-1,6)="スリット"),SUMIF('S5'!$D$5:$D$2103,$A206,'S5'!$T$5:$T$2103),""),"")</f>
        <v/>
      </c>
    </row>
    <row r="207" spans="1:28" s="141" customFormat="1" ht="11.25" x14ac:dyDescent="0.15">
      <c r="A207" s="173">
        <v>3684790</v>
      </c>
      <c r="B207" s="173" t="s">
        <v>351</v>
      </c>
      <c r="C207" s="173" t="s">
        <v>352</v>
      </c>
      <c r="D207" s="173" t="s">
        <v>353</v>
      </c>
      <c r="E207" s="173" t="s">
        <v>116</v>
      </c>
      <c r="F207" s="173">
        <v>3</v>
      </c>
      <c r="G207" s="173" t="s">
        <v>19</v>
      </c>
      <c r="H207" s="173" t="s">
        <v>20</v>
      </c>
      <c r="I207" s="173" t="s">
        <v>165</v>
      </c>
      <c r="J207" s="173"/>
      <c r="K207" s="173" t="s">
        <v>172</v>
      </c>
      <c r="L207" s="173">
        <v>50</v>
      </c>
      <c r="M207" s="173" t="s">
        <v>173</v>
      </c>
      <c r="N207" s="174">
        <v>1005</v>
      </c>
      <c r="O207" s="174">
        <v>1000</v>
      </c>
      <c r="P207" s="174">
        <v>2000</v>
      </c>
      <c r="Q207" s="173">
        <v>2</v>
      </c>
      <c r="R207" s="173">
        <v>4</v>
      </c>
      <c r="S207" s="173" t="s">
        <v>354</v>
      </c>
      <c r="T207" s="175">
        <v>44855</v>
      </c>
      <c r="U207" s="175">
        <v>44889</v>
      </c>
      <c r="V207" s="173" t="s">
        <v>355</v>
      </c>
      <c r="W207" s="173"/>
      <c r="X207" s="173"/>
      <c r="Z207" s="146" t="str">
        <f t="shared" ca="1" si="3"/>
        <v/>
      </c>
      <c r="AA207" s="146" t="str">
        <f ca="1">IFERROR(IF(OR(OFFSET('S4'!#REF!,MATCH($A207,'S4'!$D$5:$D$2535,0)-1,6)="巻返し",OFFSET('S4'!#REF!,MATCH($A207,'S4'!$D$5:$D$2535,0)-1,6)="スリット"),SUMIF('S4'!$D$5:$D$2535,$A207,'S4'!$U$5:$U$2535),""),"")</f>
        <v/>
      </c>
      <c r="AB207" s="146" t="str">
        <f ca="1">IFERROR(IF(OR(OFFSET('S5'!#REF!,MATCH($A207,'S5'!$D$5:$D$2103,0)-1,6)="巻返し",OFFSET('S5'!#REF!,MATCH($A207,'S5'!$D$5:$D$2103,0)-1,6)="スリット"),SUMIF('S5'!$D$5:$D$2103,$A207,'S5'!$T$5:$T$2103),""),"")</f>
        <v/>
      </c>
    </row>
    <row r="208" spans="1:28" s="141" customFormat="1" ht="11.25" x14ac:dyDescent="0.15">
      <c r="A208" s="173">
        <v>3684791</v>
      </c>
      <c r="B208" s="173" t="s">
        <v>351</v>
      </c>
      <c r="C208" s="173" t="s">
        <v>352</v>
      </c>
      <c r="D208" s="173" t="s">
        <v>353</v>
      </c>
      <c r="E208" s="173" t="s">
        <v>116</v>
      </c>
      <c r="F208" s="173">
        <v>3</v>
      </c>
      <c r="G208" s="173" t="s">
        <v>19</v>
      </c>
      <c r="H208" s="173" t="s">
        <v>20</v>
      </c>
      <c r="I208" s="173" t="s">
        <v>165</v>
      </c>
      <c r="J208" s="173"/>
      <c r="K208" s="173" t="s">
        <v>176</v>
      </c>
      <c r="L208" s="173">
        <v>50</v>
      </c>
      <c r="M208" s="173" t="s">
        <v>177</v>
      </c>
      <c r="N208" s="174">
        <v>1005</v>
      </c>
      <c r="O208" s="174">
        <v>1000</v>
      </c>
      <c r="P208" s="174">
        <v>4000</v>
      </c>
      <c r="Q208" s="173">
        <v>2</v>
      </c>
      <c r="R208" s="173">
        <v>7</v>
      </c>
      <c r="S208" s="173" t="s">
        <v>354</v>
      </c>
      <c r="T208" s="175">
        <v>44855</v>
      </c>
      <c r="U208" s="175">
        <v>44889</v>
      </c>
      <c r="V208" s="173" t="s">
        <v>355</v>
      </c>
      <c r="W208" s="173"/>
      <c r="X208" s="173"/>
      <c r="Z208" s="146" t="str">
        <f t="shared" ca="1" si="3"/>
        <v/>
      </c>
      <c r="AA208" s="146" t="str">
        <f ca="1">IFERROR(IF(OR(OFFSET('S4'!#REF!,MATCH($A208,'S4'!$D$5:$D$2535,0)-1,6)="巻返し",OFFSET('S4'!#REF!,MATCH($A208,'S4'!$D$5:$D$2535,0)-1,6)="スリット"),SUMIF('S4'!$D$5:$D$2535,$A208,'S4'!$U$5:$U$2535),""),"")</f>
        <v/>
      </c>
      <c r="AB208" s="146" t="str">
        <f ca="1">IFERROR(IF(OR(OFFSET('S5'!#REF!,MATCH($A208,'S5'!$D$5:$D$2103,0)-1,6)="巻返し",OFFSET('S5'!#REF!,MATCH($A208,'S5'!$D$5:$D$2103,0)-1,6)="スリット"),SUMIF('S5'!$D$5:$D$2103,$A208,'S5'!$T$5:$T$2103),""),"")</f>
        <v/>
      </c>
    </row>
    <row r="209" spans="1:28" s="141" customFormat="1" ht="11.25" x14ac:dyDescent="0.15">
      <c r="A209" s="173">
        <v>3684792</v>
      </c>
      <c r="B209" s="173" t="s">
        <v>423</v>
      </c>
      <c r="C209" s="173" t="s">
        <v>352</v>
      </c>
      <c r="D209" s="173" t="s">
        <v>353</v>
      </c>
      <c r="E209" s="173" t="s">
        <v>116</v>
      </c>
      <c r="F209" s="173">
        <v>3</v>
      </c>
      <c r="G209" s="173" t="s">
        <v>265</v>
      </c>
      <c r="H209" s="173" t="s">
        <v>20</v>
      </c>
      <c r="I209" s="173" t="s">
        <v>165</v>
      </c>
      <c r="J209" s="173"/>
      <c r="K209" s="173" t="s">
        <v>319</v>
      </c>
      <c r="L209" s="173">
        <v>25</v>
      </c>
      <c r="M209" s="173" t="s">
        <v>320</v>
      </c>
      <c r="N209" s="174">
        <v>1000</v>
      </c>
      <c r="O209" s="174">
        <v>1000</v>
      </c>
      <c r="P209" s="174">
        <v>2000</v>
      </c>
      <c r="Q209" s="173">
        <v>2</v>
      </c>
      <c r="R209" s="173">
        <v>4</v>
      </c>
      <c r="S209" s="173" t="s">
        <v>354</v>
      </c>
      <c r="T209" s="175">
        <v>44855</v>
      </c>
      <c r="U209" s="175">
        <v>44895</v>
      </c>
      <c r="V209" s="173" t="s">
        <v>355</v>
      </c>
      <c r="W209" s="173"/>
      <c r="X209" s="173"/>
      <c r="Z209" s="146" t="str">
        <f t="shared" ca="1" si="3"/>
        <v/>
      </c>
      <c r="AA209" s="146" t="str">
        <f ca="1">IFERROR(IF(OR(OFFSET('S4'!#REF!,MATCH($A209,'S4'!$D$5:$D$2535,0)-1,6)="巻返し",OFFSET('S4'!#REF!,MATCH($A209,'S4'!$D$5:$D$2535,0)-1,6)="スリット"),SUMIF('S4'!$D$5:$D$2535,$A209,'S4'!$U$5:$U$2535),""),"")</f>
        <v/>
      </c>
      <c r="AB209" s="146" t="str">
        <f ca="1">IFERROR(IF(OR(OFFSET('S5'!#REF!,MATCH($A209,'S5'!$D$5:$D$2103,0)-1,6)="巻返し",OFFSET('S5'!#REF!,MATCH($A209,'S5'!$D$5:$D$2103,0)-1,6)="スリット"),SUMIF('S5'!$D$5:$D$2103,$A209,'S5'!$T$5:$T$2103),""),"")</f>
        <v/>
      </c>
    </row>
    <row r="210" spans="1:28" s="141" customFormat="1" ht="11.25" x14ac:dyDescent="0.15">
      <c r="A210" s="173">
        <v>3684793</v>
      </c>
      <c r="B210" s="173" t="s">
        <v>423</v>
      </c>
      <c r="C210" s="173" t="s">
        <v>352</v>
      </c>
      <c r="D210" s="173" t="s">
        <v>353</v>
      </c>
      <c r="E210" s="173" t="s">
        <v>116</v>
      </c>
      <c r="F210" s="173">
        <v>3</v>
      </c>
      <c r="G210" s="173" t="s">
        <v>265</v>
      </c>
      <c r="H210" s="173" t="s">
        <v>20</v>
      </c>
      <c r="I210" s="173" t="s">
        <v>165</v>
      </c>
      <c r="J210" s="173"/>
      <c r="K210" s="173" t="s">
        <v>319</v>
      </c>
      <c r="L210" s="173">
        <v>50</v>
      </c>
      <c r="M210" s="173" t="s">
        <v>483</v>
      </c>
      <c r="N210" s="174">
        <v>1000</v>
      </c>
      <c r="O210" s="174">
        <v>1000</v>
      </c>
      <c r="P210" s="174">
        <v>2000</v>
      </c>
      <c r="Q210" s="173">
        <v>2</v>
      </c>
      <c r="R210" s="173">
        <v>2</v>
      </c>
      <c r="S210" s="173" t="s">
        <v>354</v>
      </c>
      <c r="T210" s="175">
        <v>44855</v>
      </c>
      <c r="U210" s="175">
        <v>44895</v>
      </c>
      <c r="V210" s="173" t="s">
        <v>355</v>
      </c>
      <c r="W210" s="173"/>
      <c r="X210" s="173"/>
      <c r="Z210" s="146" t="str">
        <f t="shared" ca="1" si="3"/>
        <v/>
      </c>
      <c r="AA210" s="146" t="str">
        <f ca="1">IFERROR(IF(OR(OFFSET('S4'!#REF!,MATCH($A210,'S4'!$D$5:$D$2535,0)-1,6)="巻返し",OFFSET('S4'!#REF!,MATCH($A210,'S4'!$D$5:$D$2535,0)-1,6)="スリット"),SUMIF('S4'!$D$5:$D$2535,$A210,'S4'!$U$5:$U$2535),""),"")</f>
        <v/>
      </c>
      <c r="AB210" s="146" t="str">
        <f ca="1">IFERROR(IF(OR(OFFSET('S5'!#REF!,MATCH($A210,'S5'!$D$5:$D$2103,0)-1,6)="巻返し",OFFSET('S5'!#REF!,MATCH($A210,'S5'!$D$5:$D$2103,0)-1,6)="スリット"),SUMIF('S5'!$D$5:$D$2103,$A210,'S5'!$T$5:$T$2103),""),"")</f>
        <v/>
      </c>
    </row>
    <row r="211" spans="1:28" s="141" customFormat="1" ht="11.25" x14ac:dyDescent="0.15">
      <c r="A211" s="173">
        <v>3684794</v>
      </c>
      <c r="B211" s="173" t="s">
        <v>351</v>
      </c>
      <c r="C211" s="173" t="s">
        <v>352</v>
      </c>
      <c r="D211" s="173" t="s">
        <v>353</v>
      </c>
      <c r="E211" s="173" t="s">
        <v>116</v>
      </c>
      <c r="F211" s="173">
        <v>3</v>
      </c>
      <c r="G211" s="173" t="s">
        <v>19</v>
      </c>
      <c r="H211" s="173" t="s">
        <v>20</v>
      </c>
      <c r="I211" s="173" t="s">
        <v>143</v>
      </c>
      <c r="J211" s="173"/>
      <c r="K211" s="173" t="s">
        <v>152</v>
      </c>
      <c r="L211" s="173">
        <v>38</v>
      </c>
      <c r="M211" s="173" t="s">
        <v>153</v>
      </c>
      <c r="N211" s="174">
        <v>1005</v>
      </c>
      <c r="O211" s="174">
        <v>1000</v>
      </c>
      <c r="P211" s="174">
        <v>4000</v>
      </c>
      <c r="Q211" s="173">
        <v>2</v>
      </c>
      <c r="R211" s="173">
        <v>8</v>
      </c>
      <c r="S211" s="173" t="s">
        <v>354</v>
      </c>
      <c r="T211" s="175">
        <v>44855</v>
      </c>
      <c r="U211" s="175">
        <v>44889</v>
      </c>
      <c r="V211" s="173" t="s">
        <v>355</v>
      </c>
      <c r="W211" s="173"/>
      <c r="X211" s="173"/>
      <c r="Z211" s="146" t="str">
        <f t="shared" ca="1" si="3"/>
        <v/>
      </c>
      <c r="AA211" s="146" t="str">
        <f ca="1">IFERROR(IF(OR(OFFSET('S4'!#REF!,MATCH($A211,'S4'!$D$5:$D$2535,0)-1,6)="巻返し",OFFSET('S4'!#REF!,MATCH($A211,'S4'!$D$5:$D$2535,0)-1,6)="スリット"),SUMIF('S4'!$D$5:$D$2535,$A211,'S4'!$U$5:$U$2535),""),"")</f>
        <v/>
      </c>
      <c r="AB211" s="146" t="str">
        <f ca="1">IFERROR(IF(OR(OFFSET('S5'!#REF!,MATCH($A211,'S5'!$D$5:$D$2103,0)-1,6)="巻返し",OFFSET('S5'!#REF!,MATCH($A211,'S5'!$D$5:$D$2103,0)-1,6)="スリット"),SUMIF('S5'!$D$5:$D$2103,$A211,'S5'!$T$5:$T$2103),""),"")</f>
        <v/>
      </c>
    </row>
    <row r="212" spans="1:28" s="141" customFormat="1" ht="11.25" x14ac:dyDescent="0.15">
      <c r="A212" s="173">
        <v>3684795</v>
      </c>
      <c r="B212" s="173" t="s">
        <v>351</v>
      </c>
      <c r="C212" s="173" t="s">
        <v>352</v>
      </c>
      <c r="D212" s="173" t="s">
        <v>353</v>
      </c>
      <c r="E212" s="173" t="s">
        <v>116</v>
      </c>
      <c r="F212" s="173">
        <v>3</v>
      </c>
      <c r="G212" s="173" t="s">
        <v>19</v>
      </c>
      <c r="H212" s="173" t="s">
        <v>28</v>
      </c>
      <c r="I212" s="173" t="s">
        <v>205</v>
      </c>
      <c r="J212" s="173"/>
      <c r="K212" s="173" t="s">
        <v>237</v>
      </c>
      <c r="L212" s="173">
        <v>25</v>
      </c>
      <c r="M212" s="173" t="s">
        <v>238</v>
      </c>
      <c r="N212" s="174">
        <v>1120</v>
      </c>
      <c r="O212" s="174">
        <v>1120</v>
      </c>
      <c r="P212" s="174">
        <v>8000</v>
      </c>
      <c r="Q212" s="173">
        <v>2</v>
      </c>
      <c r="R212" s="173">
        <v>2</v>
      </c>
      <c r="S212" s="173" t="s">
        <v>354</v>
      </c>
      <c r="T212" s="175">
        <v>44855</v>
      </c>
      <c r="U212" s="175">
        <v>44883</v>
      </c>
      <c r="V212" s="173" t="s">
        <v>355</v>
      </c>
      <c r="W212" s="173"/>
      <c r="X212" s="173"/>
      <c r="Z212" s="146" t="str">
        <f t="shared" ca="1" si="3"/>
        <v/>
      </c>
      <c r="AA212" s="146" t="str">
        <f ca="1">IFERROR(IF(OR(OFFSET('S4'!#REF!,MATCH($A212,'S4'!$D$5:$D$2535,0)-1,6)="巻返し",OFFSET('S4'!#REF!,MATCH($A212,'S4'!$D$5:$D$2535,0)-1,6)="スリット"),SUMIF('S4'!$D$5:$D$2535,$A212,'S4'!$U$5:$U$2535),""),"")</f>
        <v/>
      </c>
      <c r="AB212" s="146" t="str">
        <f ca="1">IFERROR(IF(OR(OFFSET('S5'!#REF!,MATCH($A212,'S5'!$D$5:$D$2103,0)-1,6)="巻返し",OFFSET('S5'!#REF!,MATCH($A212,'S5'!$D$5:$D$2103,0)-1,6)="スリット"),SUMIF('S5'!$D$5:$D$2103,$A212,'S5'!$T$5:$T$2103),""),"")</f>
        <v/>
      </c>
    </row>
    <row r="213" spans="1:28" s="141" customFormat="1" ht="11.25" x14ac:dyDescent="0.15">
      <c r="A213" s="173">
        <v>3684796</v>
      </c>
      <c r="B213" s="173" t="s">
        <v>351</v>
      </c>
      <c r="C213" s="173" t="s">
        <v>352</v>
      </c>
      <c r="D213" s="173" t="s">
        <v>353</v>
      </c>
      <c r="E213" s="173" t="s">
        <v>116</v>
      </c>
      <c r="F213" s="173">
        <v>3</v>
      </c>
      <c r="G213" s="173" t="s">
        <v>19</v>
      </c>
      <c r="H213" s="173" t="s">
        <v>28</v>
      </c>
      <c r="I213" s="173" t="s">
        <v>205</v>
      </c>
      <c r="J213" s="173"/>
      <c r="K213" s="173" t="s">
        <v>237</v>
      </c>
      <c r="L213" s="173">
        <v>50</v>
      </c>
      <c r="M213" s="173" t="s">
        <v>238</v>
      </c>
      <c r="N213" s="174">
        <v>1120</v>
      </c>
      <c r="O213" s="174">
        <v>1120</v>
      </c>
      <c r="P213" s="174">
        <v>4000</v>
      </c>
      <c r="Q213" s="173">
        <v>2</v>
      </c>
      <c r="R213" s="173">
        <v>2</v>
      </c>
      <c r="S213" s="173" t="s">
        <v>354</v>
      </c>
      <c r="T213" s="175">
        <v>44855</v>
      </c>
      <c r="U213" s="175">
        <v>44890</v>
      </c>
      <c r="V213" s="173" t="s">
        <v>355</v>
      </c>
      <c r="W213" s="173"/>
      <c r="X213" s="173"/>
      <c r="Z213" s="146" t="str">
        <f t="shared" ca="1" si="3"/>
        <v/>
      </c>
      <c r="AA213" s="146" t="str">
        <f ca="1">IFERROR(IF(OR(OFFSET('S4'!#REF!,MATCH($A213,'S4'!$D$5:$D$2535,0)-1,6)="巻返し",OFFSET('S4'!#REF!,MATCH($A213,'S4'!$D$5:$D$2535,0)-1,6)="スリット"),SUMIF('S4'!$D$5:$D$2535,$A213,'S4'!$U$5:$U$2535),""),"")</f>
        <v/>
      </c>
      <c r="AB213" s="146" t="str">
        <f ca="1">IFERROR(IF(OR(OFFSET('S5'!#REF!,MATCH($A213,'S5'!$D$5:$D$2103,0)-1,6)="巻返し",OFFSET('S5'!#REF!,MATCH($A213,'S5'!$D$5:$D$2103,0)-1,6)="スリット"),SUMIF('S5'!$D$5:$D$2103,$A213,'S5'!$T$5:$T$2103),""),"")</f>
        <v/>
      </c>
    </row>
    <row r="214" spans="1:28" s="141" customFormat="1" ht="11.25" x14ac:dyDescent="0.15">
      <c r="A214" s="173">
        <v>3684797</v>
      </c>
      <c r="B214" s="173" t="s">
        <v>351</v>
      </c>
      <c r="C214" s="173" t="s">
        <v>352</v>
      </c>
      <c r="D214" s="173" t="s">
        <v>353</v>
      </c>
      <c r="E214" s="173" t="s">
        <v>116</v>
      </c>
      <c r="F214" s="173">
        <v>3</v>
      </c>
      <c r="G214" s="173" t="s">
        <v>19</v>
      </c>
      <c r="H214" s="173" t="s">
        <v>28</v>
      </c>
      <c r="I214" s="173" t="s">
        <v>205</v>
      </c>
      <c r="J214" s="173"/>
      <c r="K214" s="173" t="s">
        <v>237</v>
      </c>
      <c r="L214" s="173">
        <v>50</v>
      </c>
      <c r="M214" s="173" t="s">
        <v>238</v>
      </c>
      <c r="N214" s="174">
        <v>1120</v>
      </c>
      <c r="O214" s="174">
        <v>1120</v>
      </c>
      <c r="P214" s="174">
        <v>4000</v>
      </c>
      <c r="Q214" s="173">
        <v>2</v>
      </c>
      <c r="R214" s="173">
        <v>2</v>
      </c>
      <c r="S214" s="173" t="s">
        <v>354</v>
      </c>
      <c r="T214" s="175">
        <v>44855</v>
      </c>
      <c r="U214" s="175">
        <v>44890</v>
      </c>
      <c r="V214" s="173" t="s">
        <v>355</v>
      </c>
      <c r="W214" s="173"/>
      <c r="X214" s="173"/>
      <c r="Z214" s="146" t="str">
        <f t="shared" ca="1" si="3"/>
        <v/>
      </c>
      <c r="AA214" s="146" t="str">
        <f ca="1">IFERROR(IF(OR(OFFSET('S4'!#REF!,MATCH($A214,'S4'!$D$5:$D$2535,0)-1,6)="巻返し",OFFSET('S4'!#REF!,MATCH($A214,'S4'!$D$5:$D$2535,0)-1,6)="スリット"),SUMIF('S4'!$D$5:$D$2535,$A214,'S4'!$U$5:$U$2535),""),"")</f>
        <v/>
      </c>
      <c r="AB214" s="146" t="str">
        <f ca="1">IFERROR(IF(OR(OFFSET('S5'!#REF!,MATCH($A214,'S5'!$D$5:$D$2103,0)-1,6)="巻返し",OFFSET('S5'!#REF!,MATCH($A214,'S5'!$D$5:$D$2103,0)-1,6)="スリット"),SUMIF('S5'!$D$5:$D$2103,$A214,'S5'!$T$5:$T$2103),""),"")</f>
        <v/>
      </c>
    </row>
    <row r="215" spans="1:28" s="141" customFormat="1" ht="11.25" x14ac:dyDescent="0.15">
      <c r="A215" s="173">
        <v>3684798</v>
      </c>
      <c r="B215" s="173" t="s">
        <v>351</v>
      </c>
      <c r="C215" s="173" t="s">
        <v>352</v>
      </c>
      <c r="D215" s="173" t="s">
        <v>353</v>
      </c>
      <c r="E215" s="173" t="s">
        <v>116</v>
      </c>
      <c r="F215" s="173">
        <v>3</v>
      </c>
      <c r="G215" s="173" t="s">
        <v>19</v>
      </c>
      <c r="H215" s="173" t="s">
        <v>28</v>
      </c>
      <c r="I215" s="173" t="s">
        <v>205</v>
      </c>
      <c r="J215" s="173"/>
      <c r="K215" s="173" t="s">
        <v>224</v>
      </c>
      <c r="L215" s="173">
        <v>25</v>
      </c>
      <c r="M215" s="173" t="s">
        <v>225</v>
      </c>
      <c r="N215" s="174">
        <v>1120</v>
      </c>
      <c r="O215" s="174">
        <v>1120</v>
      </c>
      <c r="P215" s="174">
        <v>8000</v>
      </c>
      <c r="Q215" s="173">
        <v>2</v>
      </c>
      <c r="R215" s="173">
        <v>4</v>
      </c>
      <c r="S215" s="173" t="s">
        <v>354</v>
      </c>
      <c r="T215" s="175">
        <v>44855</v>
      </c>
      <c r="U215" s="175">
        <v>44890</v>
      </c>
      <c r="V215" s="173" t="s">
        <v>355</v>
      </c>
      <c r="W215" s="173"/>
      <c r="X215" s="173"/>
      <c r="Z215" s="146" t="str">
        <f t="shared" ca="1" si="3"/>
        <v/>
      </c>
      <c r="AA215" s="146" t="str">
        <f ca="1">IFERROR(IF(OR(OFFSET('S4'!#REF!,MATCH($A215,'S4'!$D$5:$D$2535,0)-1,6)="巻返し",OFFSET('S4'!#REF!,MATCH($A215,'S4'!$D$5:$D$2535,0)-1,6)="スリット"),SUMIF('S4'!$D$5:$D$2535,$A215,'S4'!$U$5:$U$2535),""),"")</f>
        <v/>
      </c>
      <c r="AB215" s="146" t="str">
        <f ca="1">IFERROR(IF(OR(OFFSET('S5'!#REF!,MATCH($A215,'S5'!$D$5:$D$2103,0)-1,6)="巻返し",OFFSET('S5'!#REF!,MATCH($A215,'S5'!$D$5:$D$2103,0)-1,6)="スリット"),SUMIF('S5'!$D$5:$D$2103,$A215,'S5'!$T$5:$T$2103),""),"")</f>
        <v/>
      </c>
    </row>
    <row r="216" spans="1:28" s="141" customFormat="1" ht="11.25" x14ac:dyDescent="0.15">
      <c r="A216" s="173">
        <v>3684799</v>
      </c>
      <c r="B216" s="173" t="s">
        <v>351</v>
      </c>
      <c r="C216" s="173" t="s">
        <v>352</v>
      </c>
      <c r="D216" s="173" t="s">
        <v>353</v>
      </c>
      <c r="E216" s="173" t="s">
        <v>116</v>
      </c>
      <c r="F216" s="173">
        <v>3</v>
      </c>
      <c r="G216" s="173" t="s">
        <v>19</v>
      </c>
      <c r="H216" s="173" t="s">
        <v>28</v>
      </c>
      <c r="I216" s="173" t="s">
        <v>205</v>
      </c>
      <c r="J216" s="173"/>
      <c r="K216" s="173" t="s">
        <v>233</v>
      </c>
      <c r="L216" s="173">
        <v>50</v>
      </c>
      <c r="M216" s="173" t="s">
        <v>234</v>
      </c>
      <c r="N216" s="174">
        <v>1120</v>
      </c>
      <c r="O216" s="174">
        <v>1120</v>
      </c>
      <c r="P216" s="174">
        <v>4000</v>
      </c>
      <c r="Q216" s="173">
        <v>2</v>
      </c>
      <c r="R216" s="173">
        <v>2</v>
      </c>
      <c r="S216" s="173" t="s">
        <v>354</v>
      </c>
      <c r="T216" s="175">
        <v>44855</v>
      </c>
      <c r="U216" s="175">
        <v>44890</v>
      </c>
      <c r="V216" s="173" t="s">
        <v>355</v>
      </c>
      <c r="W216" s="173"/>
      <c r="X216" s="173"/>
      <c r="Z216" s="146" t="str">
        <f t="shared" ca="1" si="3"/>
        <v/>
      </c>
      <c r="AA216" s="146" t="str">
        <f ca="1">IFERROR(IF(OR(OFFSET('S4'!#REF!,MATCH($A216,'S4'!$D$5:$D$2535,0)-1,6)="巻返し",OFFSET('S4'!#REF!,MATCH($A216,'S4'!$D$5:$D$2535,0)-1,6)="スリット"),SUMIF('S4'!$D$5:$D$2535,$A216,'S4'!$U$5:$U$2535),""),"")</f>
        <v/>
      </c>
      <c r="AB216" s="146" t="str">
        <f ca="1">IFERROR(IF(OR(OFFSET('S5'!#REF!,MATCH($A216,'S5'!$D$5:$D$2103,0)-1,6)="巻返し",OFFSET('S5'!#REF!,MATCH($A216,'S5'!$D$5:$D$2103,0)-1,6)="スリット"),SUMIF('S5'!$D$5:$D$2103,$A216,'S5'!$T$5:$T$2103),""),"")</f>
        <v/>
      </c>
    </row>
    <row r="217" spans="1:28" s="141" customFormat="1" ht="11.25" x14ac:dyDescent="0.15">
      <c r="A217" s="173">
        <v>3684800</v>
      </c>
      <c r="B217" s="173" t="s">
        <v>351</v>
      </c>
      <c r="C217" s="173" t="s">
        <v>352</v>
      </c>
      <c r="D217" s="173" t="s">
        <v>353</v>
      </c>
      <c r="E217" s="173" t="s">
        <v>116</v>
      </c>
      <c r="F217" s="173">
        <v>3</v>
      </c>
      <c r="G217" s="173" t="s">
        <v>19</v>
      </c>
      <c r="H217" s="173" t="s">
        <v>28</v>
      </c>
      <c r="I217" s="173" t="s">
        <v>205</v>
      </c>
      <c r="J217" s="173"/>
      <c r="K217" s="173" t="s">
        <v>224</v>
      </c>
      <c r="L217" s="173">
        <v>50</v>
      </c>
      <c r="M217" s="173" t="s">
        <v>225</v>
      </c>
      <c r="N217" s="174">
        <v>1120</v>
      </c>
      <c r="O217" s="174">
        <v>1120</v>
      </c>
      <c r="P217" s="174">
        <v>5000</v>
      </c>
      <c r="Q217" s="173">
        <v>2</v>
      </c>
      <c r="R217" s="173">
        <v>3</v>
      </c>
      <c r="S217" s="173" t="s">
        <v>354</v>
      </c>
      <c r="T217" s="175">
        <v>44855</v>
      </c>
      <c r="U217" s="175">
        <v>44890</v>
      </c>
      <c r="V217" s="173" t="s">
        <v>355</v>
      </c>
      <c r="W217" s="173"/>
      <c r="X217" s="173"/>
      <c r="Z217" s="146" t="str">
        <f t="shared" ca="1" si="3"/>
        <v/>
      </c>
      <c r="AA217" s="146" t="str">
        <f ca="1">IFERROR(IF(OR(OFFSET('S4'!#REF!,MATCH($A217,'S4'!$D$5:$D$2535,0)-1,6)="巻返し",OFFSET('S4'!#REF!,MATCH($A217,'S4'!$D$5:$D$2535,0)-1,6)="スリット"),SUMIF('S4'!$D$5:$D$2535,$A217,'S4'!$U$5:$U$2535),""),"")</f>
        <v/>
      </c>
      <c r="AB217" s="146" t="str">
        <f ca="1">IFERROR(IF(OR(OFFSET('S5'!#REF!,MATCH($A217,'S5'!$D$5:$D$2103,0)-1,6)="巻返し",OFFSET('S5'!#REF!,MATCH($A217,'S5'!$D$5:$D$2103,0)-1,6)="スリット"),SUMIF('S5'!$D$5:$D$2103,$A217,'S5'!$T$5:$T$2103),""),"")</f>
        <v/>
      </c>
    </row>
    <row r="218" spans="1:28" s="141" customFormat="1" ht="11.25" x14ac:dyDescent="0.15">
      <c r="A218" s="173">
        <v>3684801</v>
      </c>
      <c r="B218" s="173" t="s">
        <v>351</v>
      </c>
      <c r="C218" s="173" t="s">
        <v>352</v>
      </c>
      <c r="D218" s="173" t="s">
        <v>353</v>
      </c>
      <c r="E218" s="173" t="s">
        <v>116</v>
      </c>
      <c r="F218" s="173">
        <v>3</v>
      </c>
      <c r="G218" s="173" t="s">
        <v>19</v>
      </c>
      <c r="H218" s="173" t="s">
        <v>28</v>
      </c>
      <c r="I218" s="173" t="s">
        <v>205</v>
      </c>
      <c r="J218" s="173"/>
      <c r="K218" s="173" t="s">
        <v>233</v>
      </c>
      <c r="L218" s="173">
        <v>50</v>
      </c>
      <c r="M218" s="173" t="s">
        <v>234</v>
      </c>
      <c r="N218" s="174">
        <v>1120</v>
      </c>
      <c r="O218" s="174">
        <v>1120</v>
      </c>
      <c r="P218" s="174">
        <v>4000</v>
      </c>
      <c r="Q218" s="173">
        <v>2</v>
      </c>
      <c r="R218" s="173">
        <v>6</v>
      </c>
      <c r="S218" s="173" t="s">
        <v>354</v>
      </c>
      <c r="T218" s="175">
        <v>44855</v>
      </c>
      <c r="U218" s="175">
        <v>44890</v>
      </c>
      <c r="V218" s="173" t="s">
        <v>355</v>
      </c>
      <c r="W218" s="173"/>
      <c r="X218" s="173"/>
      <c r="Z218" s="146" t="str">
        <f t="shared" ca="1" si="3"/>
        <v/>
      </c>
      <c r="AA218" s="146" t="str">
        <f ca="1">IFERROR(IF(OR(OFFSET('S4'!#REF!,MATCH($A218,'S4'!$D$5:$D$2535,0)-1,6)="巻返し",OFFSET('S4'!#REF!,MATCH($A218,'S4'!$D$5:$D$2535,0)-1,6)="スリット"),SUMIF('S4'!$D$5:$D$2535,$A218,'S4'!$U$5:$U$2535),""),"")</f>
        <v/>
      </c>
      <c r="AB218" s="146" t="str">
        <f ca="1">IFERROR(IF(OR(OFFSET('S5'!#REF!,MATCH($A218,'S5'!$D$5:$D$2103,0)-1,6)="巻返し",OFFSET('S5'!#REF!,MATCH($A218,'S5'!$D$5:$D$2103,0)-1,6)="スリット"),SUMIF('S5'!$D$5:$D$2103,$A218,'S5'!$T$5:$T$2103),""),"")</f>
        <v/>
      </c>
    </row>
    <row r="219" spans="1:28" s="141" customFormat="1" ht="11.25" x14ac:dyDescent="0.15">
      <c r="A219" s="173">
        <v>3686127</v>
      </c>
      <c r="B219" s="173" t="s">
        <v>351</v>
      </c>
      <c r="C219" s="173" t="s">
        <v>352</v>
      </c>
      <c r="D219" s="173" t="s">
        <v>353</v>
      </c>
      <c r="E219" s="173" t="s">
        <v>116</v>
      </c>
      <c r="F219" s="173">
        <v>3</v>
      </c>
      <c r="G219" s="173" t="s">
        <v>19</v>
      </c>
      <c r="H219" s="173" t="s">
        <v>20</v>
      </c>
      <c r="I219" s="173" t="s">
        <v>205</v>
      </c>
      <c r="J219" s="173"/>
      <c r="K219" s="173" t="s">
        <v>216</v>
      </c>
      <c r="L219" s="173">
        <v>50</v>
      </c>
      <c r="M219" s="173" t="s">
        <v>217</v>
      </c>
      <c r="N219" s="174">
        <v>1120</v>
      </c>
      <c r="O219" s="174">
        <v>1120</v>
      </c>
      <c r="P219" s="174">
        <v>5000</v>
      </c>
      <c r="Q219" s="173">
        <v>2</v>
      </c>
      <c r="R219" s="173">
        <v>2</v>
      </c>
      <c r="S219" s="173" t="s">
        <v>354</v>
      </c>
      <c r="T219" s="175">
        <v>44862</v>
      </c>
      <c r="U219" s="175">
        <v>44897</v>
      </c>
      <c r="V219" s="173" t="s">
        <v>355</v>
      </c>
      <c r="W219" s="173"/>
      <c r="X219" s="173"/>
      <c r="Z219" s="146" t="str">
        <f t="shared" ca="1" si="3"/>
        <v/>
      </c>
      <c r="AA219" s="146" t="str">
        <f ca="1">IFERROR(IF(OR(OFFSET('S4'!#REF!,MATCH($A219,'S4'!$D$5:$D$2535,0)-1,6)="巻返し",OFFSET('S4'!#REF!,MATCH($A219,'S4'!$D$5:$D$2535,0)-1,6)="スリット"),SUMIF('S4'!$D$5:$D$2535,$A219,'S4'!$U$5:$U$2535),""),"")</f>
        <v/>
      </c>
      <c r="AB219" s="146" t="str">
        <f ca="1">IFERROR(IF(OR(OFFSET('S5'!#REF!,MATCH($A219,'S5'!$D$5:$D$2103,0)-1,6)="巻返し",OFFSET('S5'!#REF!,MATCH($A219,'S5'!$D$5:$D$2103,0)-1,6)="スリット"),SUMIF('S5'!$D$5:$D$2103,$A219,'S5'!$T$5:$T$2103),""),"")</f>
        <v/>
      </c>
    </row>
    <row r="220" spans="1:28" s="141" customFormat="1" ht="11.25" x14ac:dyDescent="0.15">
      <c r="A220" s="173">
        <v>3686128</v>
      </c>
      <c r="B220" s="173" t="s">
        <v>423</v>
      </c>
      <c r="C220" s="173" t="s">
        <v>356</v>
      </c>
      <c r="D220" s="173" t="s">
        <v>353</v>
      </c>
      <c r="E220" s="173" t="s">
        <v>648</v>
      </c>
      <c r="F220" s="173">
        <v>3</v>
      </c>
      <c r="G220" s="173" t="s">
        <v>265</v>
      </c>
      <c r="H220" s="173" t="s">
        <v>20</v>
      </c>
      <c r="I220" s="173" t="s">
        <v>205</v>
      </c>
      <c r="J220" s="173"/>
      <c r="K220" s="173" t="s">
        <v>522</v>
      </c>
      <c r="L220" s="173">
        <v>12</v>
      </c>
      <c r="M220" s="173" t="s">
        <v>523</v>
      </c>
      <c r="N220" s="174">
        <v>600</v>
      </c>
      <c r="O220" s="174">
        <v>600</v>
      </c>
      <c r="P220" s="174">
        <v>3000</v>
      </c>
      <c r="Q220" s="173">
        <v>1</v>
      </c>
      <c r="R220" s="173">
        <v>8</v>
      </c>
      <c r="S220" s="173" t="s">
        <v>354</v>
      </c>
      <c r="T220" s="175">
        <v>44862</v>
      </c>
      <c r="U220" s="175">
        <v>44895</v>
      </c>
      <c r="V220" s="173" t="s">
        <v>355</v>
      </c>
      <c r="W220" s="173"/>
      <c r="X220" s="173"/>
      <c r="Z220" s="146" t="str">
        <f t="shared" ca="1" si="3"/>
        <v/>
      </c>
      <c r="AA220" s="146" t="str">
        <f ca="1">IFERROR(IF(OR(OFFSET('S4'!#REF!,MATCH($A220,'S4'!$D$5:$D$2535,0)-1,6)="巻返し",OFFSET('S4'!#REF!,MATCH($A220,'S4'!$D$5:$D$2535,0)-1,6)="スリット"),SUMIF('S4'!$D$5:$D$2535,$A220,'S4'!$U$5:$U$2535),""),"")</f>
        <v/>
      </c>
      <c r="AB220" s="146" t="str">
        <f ca="1">IFERROR(IF(OR(OFFSET('S5'!#REF!,MATCH($A220,'S5'!$D$5:$D$2103,0)-1,6)="巻返し",OFFSET('S5'!#REF!,MATCH($A220,'S5'!$D$5:$D$2103,0)-1,6)="スリット"),SUMIF('S5'!$D$5:$D$2103,$A220,'S5'!$T$5:$T$2103),""),"")</f>
        <v/>
      </c>
    </row>
    <row r="221" spans="1:28" s="141" customFormat="1" ht="11.25" x14ac:dyDescent="0.15">
      <c r="A221" s="173">
        <v>3686129</v>
      </c>
      <c r="B221" s="173" t="s">
        <v>351</v>
      </c>
      <c r="C221" s="173" t="s">
        <v>356</v>
      </c>
      <c r="D221" s="173" t="s">
        <v>353</v>
      </c>
      <c r="E221" s="173" t="s">
        <v>229</v>
      </c>
      <c r="F221" s="173">
        <v>3</v>
      </c>
      <c r="G221" s="173" t="s">
        <v>19</v>
      </c>
      <c r="H221" s="173" t="s">
        <v>20</v>
      </c>
      <c r="I221" s="173" t="s">
        <v>205</v>
      </c>
      <c r="J221" s="173"/>
      <c r="K221" s="173" t="s">
        <v>230</v>
      </c>
      <c r="L221" s="173">
        <v>25</v>
      </c>
      <c r="M221" s="173" t="s">
        <v>231</v>
      </c>
      <c r="N221" s="174">
        <v>1000</v>
      </c>
      <c r="O221" s="174">
        <v>1000</v>
      </c>
      <c r="P221" s="174">
        <v>2000</v>
      </c>
      <c r="Q221" s="173">
        <v>2</v>
      </c>
      <c r="R221" s="173">
        <v>6</v>
      </c>
      <c r="S221" s="173" t="s">
        <v>354</v>
      </c>
      <c r="T221" s="175">
        <v>44862</v>
      </c>
      <c r="U221" s="175">
        <v>44895</v>
      </c>
      <c r="V221" s="173" t="s">
        <v>355</v>
      </c>
      <c r="W221" s="173"/>
      <c r="X221" s="173"/>
      <c r="Z221" s="146" t="str">
        <f t="shared" ca="1" si="3"/>
        <v/>
      </c>
      <c r="AA221" s="146" t="str">
        <f ca="1">IFERROR(IF(OR(OFFSET('S4'!#REF!,MATCH($A221,'S4'!$D$5:$D$2535,0)-1,6)="巻返し",OFFSET('S4'!#REF!,MATCH($A221,'S4'!$D$5:$D$2535,0)-1,6)="スリット"),SUMIF('S4'!$D$5:$D$2535,$A221,'S4'!$U$5:$U$2535),""),"")</f>
        <v/>
      </c>
      <c r="AB221" s="146" t="str">
        <f ca="1">IFERROR(IF(OR(OFFSET('S5'!#REF!,MATCH($A221,'S5'!$D$5:$D$2103,0)-1,6)="巻返し",OFFSET('S5'!#REF!,MATCH($A221,'S5'!$D$5:$D$2103,0)-1,6)="スリット"),SUMIF('S5'!$D$5:$D$2103,$A221,'S5'!$T$5:$T$2103),""),"")</f>
        <v/>
      </c>
    </row>
    <row r="222" spans="1:28" s="141" customFormat="1" ht="11.25" x14ac:dyDescent="0.15">
      <c r="A222" s="173">
        <v>3686233</v>
      </c>
      <c r="B222" s="173" t="s">
        <v>351</v>
      </c>
      <c r="C222" s="173" t="s">
        <v>352</v>
      </c>
      <c r="D222" s="173" t="s">
        <v>353</v>
      </c>
      <c r="E222" s="173" t="s">
        <v>116</v>
      </c>
      <c r="F222" s="173">
        <v>3</v>
      </c>
      <c r="G222" s="173" t="s">
        <v>19</v>
      </c>
      <c r="H222" s="173" t="s">
        <v>20</v>
      </c>
      <c r="I222" s="173" t="s">
        <v>165</v>
      </c>
      <c r="J222" s="173"/>
      <c r="K222" s="173" t="s">
        <v>176</v>
      </c>
      <c r="L222" s="173">
        <v>50</v>
      </c>
      <c r="M222" s="173" t="s">
        <v>177</v>
      </c>
      <c r="N222" s="174">
        <v>1005</v>
      </c>
      <c r="O222" s="174">
        <v>1000</v>
      </c>
      <c r="P222" s="174">
        <v>2000</v>
      </c>
      <c r="Q222" s="173">
        <v>2</v>
      </c>
      <c r="R222" s="173">
        <v>2</v>
      </c>
      <c r="S222" s="173" t="s">
        <v>354</v>
      </c>
      <c r="T222" s="175">
        <v>44865</v>
      </c>
      <c r="U222" s="175">
        <v>44889</v>
      </c>
      <c r="V222" s="173" t="s">
        <v>355</v>
      </c>
      <c r="W222" s="173"/>
      <c r="X222" s="173"/>
      <c r="Z222" s="146" t="str">
        <f t="shared" ca="1" si="3"/>
        <v/>
      </c>
      <c r="AA222" s="146" t="str">
        <f ca="1">IFERROR(IF(OR(OFFSET('S4'!#REF!,MATCH($A222,'S4'!$D$5:$D$2535,0)-1,6)="巻返し",OFFSET('S4'!#REF!,MATCH($A222,'S4'!$D$5:$D$2535,0)-1,6)="スリット"),SUMIF('S4'!$D$5:$D$2535,$A222,'S4'!$U$5:$U$2535),""),"")</f>
        <v/>
      </c>
      <c r="AB222" s="146" t="str">
        <f ca="1">IFERROR(IF(OR(OFFSET('S5'!#REF!,MATCH($A222,'S5'!$D$5:$D$2103,0)-1,6)="巻返し",OFFSET('S5'!#REF!,MATCH($A222,'S5'!$D$5:$D$2103,0)-1,6)="スリット"),SUMIF('S5'!$D$5:$D$2103,$A222,'S5'!$T$5:$T$2103),""),"")</f>
        <v/>
      </c>
    </row>
    <row r="223" spans="1:28" s="141" customFormat="1" ht="11.25" x14ac:dyDescent="0.15">
      <c r="A223" s="173">
        <v>3686428</v>
      </c>
      <c r="B223" s="173" t="s">
        <v>510</v>
      </c>
      <c r="C223" s="173" t="s">
        <v>364</v>
      </c>
      <c r="D223" s="173" t="s">
        <v>353</v>
      </c>
      <c r="E223" s="173" t="s">
        <v>171</v>
      </c>
      <c r="F223" s="173">
        <v>3</v>
      </c>
      <c r="G223" s="173" t="s">
        <v>269</v>
      </c>
      <c r="H223" s="173" t="s">
        <v>20</v>
      </c>
      <c r="I223" s="173" t="s">
        <v>165</v>
      </c>
      <c r="J223" s="173"/>
      <c r="K223" s="173" t="s">
        <v>662</v>
      </c>
      <c r="L223" s="173">
        <v>50</v>
      </c>
      <c r="M223" s="173" t="s">
        <v>663</v>
      </c>
      <c r="N223" s="174">
        <v>1190</v>
      </c>
      <c r="O223" s="174">
        <v>1190</v>
      </c>
      <c r="P223" s="174">
        <v>4000</v>
      </c>
      <c r="Q223" s="173">
        <v>2</v>
      </c>
      <c r="R223" s="173">
        <v>1</v>
      </c>
      <c r="S223" s="173" t="s">
        <v>354</v>
      </c>
      <c r="T223" s="175">
        <v>44872</v>
      </c>
      <c r="U223" s="175">
        <v>44895</v>
      </c>
      <c r="V223" s="173" t="s">
        <v>428</v>
      </c>
      <c r="W223" s="173"/>
      <c r="X223" s="173"/>
      <c r="Z223" s="146" t="str">
        <f t="shared" ca="1" si="3"/>
        <v/>
      </c>
      <c r="AA223" s="146" t="str">
        <f ca="1">IFERROR(IF(OR(OFFSET('S4'!#REF!,MATCH($A223,'S4'!$D$5:$D$2535,0)-1,6)="巻返し",OFFSET('S4'!#REF!,MATCH($A223,'S4'!$D$5:$D$2535,0)-1,6)="スリット"),SUMIF('S4'!$D$5:$D$2535,$A223,'S4'!$U$5:$U$2535),""),"")</f>
        <v/>
      </c>
      <c r="AB223" s="146" t="str">
        <f ca="1">IFERROR(IF(OR(OFFSET('S5'!#REF!,MATCH($A223,'S5'!$D$5:$D$2103,0)-1,6)="巻返し",OFFSET('S5'!#REF!,MATCH($A223,'S5'!$D$5:$D$2103,0)-1,6)="スリット"),SUMIF('S5'!$D$5:$D$2103,$A223,'S5'!$T$5:$T$2103),""),"")</f>
        <v/>
      </c>
    </row>
    <row r="224" spans="1:28" s="141" customFormat="1" ht="11.25" x14ac:dyDescent="0.15">
      <c r="A224" s="173">
        <v>3689024</v>
      </c>
      <c r="B224" s="173" t="s">
        <v>351</v>
      </c>
      <c r="C224" s="173" t="s">
        <v>364</v>
      </c>
      <c r="D224" s="173" t="s">
        <v>353</v>
      </c>
      <c r="E224" s="173" t="s">
        <v>171</v>
      </c>
      <c r="F224" s="173">
        <v>3</v>
      </c>
      <c r="G224" s="173" t="s">
        <v>19</v>
      </c>
      <c r="H224" s="173" t="s">
        <v>20</v>
      </c>
      <c r="I224" s="173" t="s">
        <v>165</v>
      </c>
      <c r="J224" s="173"/>
      <c r="K224" s="173" t="s">
        <v>180</v>
      </c>
      <c r="L224" s="173">
        <v>50</v>
      </c>
      <c r="M224" s="173" t="s">
        <v>181</v>
      </c>
      <c r="N224" s="174">
        <v>1200</v>
      </c>
      <c r="O224" s="174">
        <v>1190</v>
      </c>
      <c r="P224" s="174">
        <v>6000</v>
      </c>
      <c r="Q224" s="173">
        <v>2</v>
      </c>
      <c r="R224" s="173">
        <v>8</v>
      </c>
      <c r="S224" s="173" t="s">
        <v>354</v>
      </c>
      <c r="T224" s="175">
        <v>44886</v>
      </c>
      <c r="U224" s="175">
        <v>44918</v>
      </c>
      <c r="V224" s="173" t="s">
        <v>355</v>
      </c>
      <c r="W224" s="173"/>
      <c r="X224" s="173"/>
      <c r="Z224" s="146" t="str">
        <f t="shared" ca="1" si="3"/>
        <v/>
      </c>
      <c r="AA224" s="146" t="str">
        <f ca="1">IFERROR(IF(OR(OFFSET('S4'!#REF!,MATCH($A224,'S4'!$D$5:$D$2535,0)-1,6)="巻返し",OFFSET('S4'!#REF!,MATCH($A224,'S4'!$D$5:$D$2535,0)-1,6)="スリット"),SUMIF('S4'!$D$5:$D$2535,$A224,'S4'!$U$5:$U$2535),""),"")</f>
        <v/>
      </c>
      <c r="AB224" s="146" t="str">
        <f ca="1">IFERROR(IF(OR(OFFSET('S5'!#REF!,MATCH($A224,'S5'!$D$5:$D$2103,0)-1,6)="巻返し",OFFSET('S5'!#REF!,MATCH($A224,'S5'!$D$5:$D$2103,0)-1,6)="スリット"),SUMIF('S5'!$D$5:$D$2103,$A224,'S5'!$T$5:$T$2103),""),"")</f>
        <v/>
      </c>
    </row>
    <row r="225" spans="1:28" s="141" customFormat="1" ht="11.25" x14ac:dyDescent="0.15">
      <c r="A225" s="173">
        <v>3689026</v>
      </c>
      <c r="B225" s="173" t="s">
        <v>351</v>
      </c>
      <c r="C225" s="173" t="s">
        <v>364</v>
      </c>
      <c r="D225" s="173" t="s">
        <v>353</v>
      </c>
      <c r="E225" s="173" t="s">
        <v>148</v>
      </c>
      <c r="F225" s="173">
        <v>3</v>
      </c>
      <c r="G225" s="173" t="s">
        <v>19</v>
      </c>
      <c r="H225" s="173" t="s">
        <v>20</v>
      </c>
      <c r="I225" s="173" t="s">
        <v>165</v>
      </c>
      <c r="J225" s="173"/>
      <c r="K225" s="173" t="s">
        <v>180</v>
      </c>
      <c r="L225" s="173">
        <v>25</v>
      </c>
      <c r="M225" s="173" t="s">
        <v>181</v>
      </c>
      <c r="N225" s="174">
        <v>1120</v>
      </c>
      <c r="O225" s="174">
        <v>1120</v>
      </c>
      <c r="P225" s="174">
        <v>4000</v>
      </c>
      <c r="Q225" s="173">
        <v>2</v>
      </c>
      <c r="R225" s="173">
        <v>4</v>
      </c>
      <c r="S225" s="173" t="s">
        <v>354</v>
      </c>
      <c r="T225" s="175">
        <v>44886</v>
      </c>
      <c r="U225" s="175">
        <v>44918</v>
      </c>
      <c r="V225" s="173" t="s">
        <v>355</v>
      </c>
      <c r="W225" s="173"/>
      <c r="X225" s="173"/>
      <c r="Z225" s="146" t="str">
        <f t="shared" ca="1" si="3"/>
        <v/>
      </c>
      <c r="AA225" s="146" t="str">
        <f ca="1">IFERROR(IF(OR(OFFSET('S4'!#REF!,MATCH($A225,'S4'!$D$5:$D$2535,0)-1,6)="巻返し",OFFSET('S4'!#REF!,MATCH($A225,'S4'!$D$5:$D$2535,0)-1,6)="スリット"),SUMIF('S4'!$D$5:$D$2535,$A225,'S4'!$U$5:$U$2535),""),"")</f>
        <v/>
      </c>
      <c r="AB225" s="146" t="str">
        <f ca="1">IFERROR(IF(OR(OFFSET('S5'!#REF!,MATCH($A225,'S5'!$D$5:$D$2103,0)-1,6)="巻返し",OFFSET('S5'!#REF!,MATCH($A225,'S5'!$D$5:$D$2103,0)-1,6)="スリット"),SUMIF('S5'!$D$5:$D$2103,$A225,'S5'!$T$5:$T$2103),""),"")</f>
        <v/>
      </c>
    </row>
    <row r="226" spans="1:28" s="141" customFormat="1" ht="11.25" x14ac:dyDescent="0.15">
      <c r="A226" s="173">
        <v>3689028</v>
      </c>
      <c r="B226" s="173" t="s">
        <v>351</v>
      </c>
      <c r="C226" s="173" t="s">
        <v>364</v>
      </c>
      <c r="D226" s="173" t="s">
        <v>353</v>
      </c>
      <c r="E226" s="173" t="s">
        <v>148</v>
      </c>
      <c r="F226" s="173">
        <v>3</v>
      </c>
      <c r="G226" s="173" t="s">
        <v>19</v>
      </c>
      <c r="H226" s="173" t="s">
        <v>20</v>
      </c>
      <c r="I226" s="173" t="s">
        <v>165</v>
      </c>
      <c r="J226" s="173"/>
      <c r="K226" s="173" t="s">
        <v>180</v>
      </c>
      <c r="L226" s="173">
        <v>50</v>
      </c>
      <c r="M226" s="173" t="s">
        <v>181</v>
      </c>
      <c r="N226" s="174">
        <v>1120</v>
      </c>
      <c r="O226" s="174">
        <v>1120</v>
      </c>
      <c r="P226" s="174">
        <v>4000</v>
      </c>
      <c r="Q226" s="173">
        <v>2</v>
      </c>
      <c r="R226" s="173">
        <v>6</v>
      </c>
      <c r="S226" s="173" t="s">
        <v>354</v>
      </c>
      <c r="T226" s="175">
        <v>44886</v>
      </c>
      <c r="U226" s="175">
        <v>44918</v>
      </c>
      <c r="V226" s="173" t="s">
        <v>355</v>
      </c>
      <c r="W226" s="173"/>
      <c r="X226" s="173"/>
      <c r="Z226" s="146" t="str">
        <f t="shared" ca="1" si="3"/>
        <v/>
      </c>
      <c r="AA226" s="146" t="str">
        <f ca="1">IFERROR(IF(OR(OFFSET('S4'!#REF!,MATCH($A226,'S4'!$D$5:$D$2535,0)-1,6)="巻返し",OFFSET('S4'!#REF!,MATCH($A226,'S4'!$D$5:$D$2535,0)-1,6)="スリット"),SUMIF('S4'!$D$5:$D$2535,$A226,'S4'!$U$5:$U$2535),""),"")</f>
        <v/>
      </c>
      <c r="AB226" s="146" t="str">
        <f ca="1">IFERROR(IF(OR(OFFSET('S5'!#REF!,MATCH($A226,'S5'!$D$5:$D$2103,0)-1,6)="巻返し",OFFSET('S5'!#REF!,MATCH($A226,'S5'!$D$5:$D$2103,0)-1,6)="スリット"),SUMIF('S5'!$D$5:$D$2103,$A226,'S5'!$T$5:$T$2103),""),"")</f>
        <v/>
      </c>
    </row>
    <row r="227" spans="1:28" s="141" customFormat="1" ht="11.25" x14ac:dyDescent="0.15">
      <c r="A227" s="173">
        <v>3689030</v>
      </c>
      <c r="B227" s="173" t="s">
        <v>351</v>
      </c>
      <c r="C227" s="173" t="s">
        <v>352</v>
      </c>
      <c r="D227" s="173" t="s">
        <v>353</v>
      </c>
      <c r="E227" s="173" t="s">
        <v>116</v>
      </c>
      <c r="F227" s="173">
        <v>3</v>
      </c>
      <c r="G227" s="173" t="s">
        <v>19</v>
      </c>
      <c r="H227" s="173" t="s">
        <v>20</v>
      </c>
      <c r="I227" s="173" t="s">
        <v>205</v>
      </c>
      <c r="J227" s="173"/>
      <c r="K227" s="173" t="s">
        <v>212</v>
      </c>
      <c r="L227" s="173">
        <v>25</v>
      </c>
      <c r="M227" s="173" t="s">
        <v>213</v>
      </c>
      <c r="N227" s="174">
        <v>1120</v>
      </c>
      <c r="O227" s="174">
        <v>1120</v>
      </c>
      <c r="P227" s="174">
        <v>4000</v>
      </c>
      <c r="Q227" s="173">
        <v>2</v>
      </c>
      <c r="R227" s="173">
        <v>3</v>
      </c>
      <c r="S227" s="173" t="s">
        <v>354</v>
      </c>
      <c r="T227" s="175">
        <v>44886</v>
      </c>
      <c r="U227" s="175">
        <v>44918</v>
      </c>
      <c r="V227" s="173" t="s">
        <v>355</v>
      </c>
      <c r="W227" s="173"/>
      <c r="X227" s="173"/>
      <c r="Z227" s="146" t="str">
        <f t="shared" ca="1" si="3"/>
        <v/>
      </c>
      <c r="AA227" s="146" t="str">
        <f ca="1">IFERROR(IF(OR(OFFSET('S4'!#REF!,MATCH($A227,'S4'!$D$5:$D$2535,0)-1,6)="巻返し",OFFSET('S4'!#REF!,MATCH($A227,'S4'!$D$5:$D$2535,0)-1,6)="スリット"),SUMIF('S4'!$D$5:$D$2535,$A227,'S4'!$U$5:$U$2535),""),"")</f>
        <v/>
      </c>
      <c r="AB227" s="146" t="str">
        <f ca="1">IFERROR(IF(OR(OFFSET('S5'!#REF!,MATCH($A227,'S5'!$D$5:$D$2103,0)-1,6)="巻返し",OFFSET('S5'!#REF!,MATCH($A227,'S5'!$D$5:$D$2103,0)-1,6)="スリット"),SUMIF('S5'!$D$5:$D$2103,$A227,'S5'!$T$5:$T$2103),""),"")</f>
        <v/>
      </c>
    </row>
    <row r="228" spans="1:28" s="141" customFormat="1" ht="11.25" x14ac:dyDescent="0.15">
      <c r="A228" s="173">
        <v>3689033</v>
      </c>
      <c r="B228" s="173" t="s">
        <v>351</v>
      </c>
      <c r="C228" s="173" t="s">
        <v>352</v>
      </c>
      <c r="D228" s="173" t="s">
        <v>353</v>
      </c>
      <c r="E228" s="173" t="s">
        <v>116</v>
      </c>
      <c r="F228" s="173">
        <v>3</v>
      </c>
      <c r="G228" s="173" t="s">
        <v>19</v>
      </c>
      <c r="H228" s="173" t="s">
        <v>20</v>
      </c>
      <c r="I228" s="173" t="s">
        <v>205</v>
      </c>
      <c r="J228" s="173"/>
      <c r="K228" s="173" t="s">
        <v>212</v>
      </c>
      <c r="L228" s="173">
        <v>50</v>
      </c>
      <c r="M228" s="173" t="s">
        <v>213</v>
      </c>
      <c r="N228" s="174">
        <v>1000</v>
      </c>
      <c r="O228" s="174">
        <v>1000</v>
      </c>
      <c r="P228" s="174">
        <v>4000</v>
      </c>
      <c r="Q228" s="173">
        <v>2</v>
      </c>
      <c r="R228" s="173">
        <v>2</v>
      </c>
      <c r="S228" s="173" t="s">
        <v>354</v>
      </c>
      <c r="T228" s="175">
        <v>44886</v>
      </c>
      <c r="U228" s="175">
        <v>44918</v>
      </c>
      <c r="V228" s="173" t="s">
        <v>355</v>
      </c>
      <c r="W228" s="173"/>
      <c r="X228" s="173"/>
      <c r="Z228" s="146" t="str">
        <f t="shared" ca="1" si="3"/>
        <v/>
      </c>
      <c r="AA228" s="146" t="str">
        <f ca="1">IFERROR(IF(OR(OFFSET('S4'!#REF!,MATCH($A228,'S4'!$D$5:$D$2535,0)-1,6)="巻返し",OFFSET('S4'!#REF!,MATCH($A228,'S4'!$D$5:$D$2535,0)-1,6)="スリット"),SUMIF('S4'!$D$5:$D$2535,$A228,'S4'!$U$5:$U$2535),""),"")</f>
        <v/>
      </c>
      <c r="AB228" s="146" t="str">
        <f ca="1">IFERROR(IF(OR(OFFSET('S5'!#REF!,MATCH($A228,'S5'!$D$5:$D$2103,0)-1,6)="巻返し",OFFSET('S5'!#REF!,MATCH($A228,'S5'!$D$5:$D$2103,0)-1,6)="スリット"),SUMIF('S5'!$D$5:$D$2103,$A228,'S5'!$T$5:$T$2103),""),"")</f>
        <v/>
      </c>
    </row>
    <row r="229" spans="1:28" s="141" customFormat="1" ht="11.25" x14ac:dyDescent="0.15">
      <c r="A229" s="173">
        <v>3689035</v>
      </c>
      <c r="B229" s="173" t="s">
        <v>351</v>
      </c>
      <c r="C229" s="173" t="s">
        <v>352</v>
      </c>
      <c r="D229" s="173" t="s">
        <v>353</v>
      </c>
      <c r="E229" s="173" t="s">
        <v>116</v>
      </c>
      <c r="F229" s="173">
        <v>3</v>
      </c>
      <c r="G229" s="173" t="s">
        <v>19</v>
      </c>
      <c r="H229" s="173" t="s">
        <v>20</v>
      </c>
      <c r="I229" s="173" t="s">
        <v>205</v>
      </c>
      <c r="J229" s="173"/>
      <c r="K229" s="173" t="s">
        <v>212</v>
      </c>
      <c r="L229" s="173">
        <v>50</v>
      </c>
      <c r="M229" s="173" t="s">
        <v>213</v>
      </c>
      <c r="N229" s="174">
        <v>1120</v>
      </c>
      <c r="O229" s="174">
        <v>1120</v>
      </c>
      <c r="P229" s="174">
        <v>4000</v>
      </c>
      <c r="Q229" s="173">
        <v>2</v>
      </c>
      <c r="R229" s="173">
        <v>9</v>
      </c>
      <c r="S229" s="173" t="s">
        <v>354</v>
      </c>
      <c r="T229" s="175">
        <v>44886</v>
      </c>
      <c r="U229" s="175">
        <v>44918</v>
      </c>
      <c r="V229" s="173" t="s">
        <v>355</v>
      </c>
      <c r="W229" s="173"/>
      <c r="X229" s="173"/>
      <c r="Z229" s="146" t="str">
        <f t="shared" ca="1" si="3"/>
        <v/>
      </c>
      <c r="AA229" s="146" t="str">
        <f ca="1">IFERROR(IF(OR(OFFSET('S4'!#REF!,MATCH($A229,'S4'!$D$5:$D$2535,0)-1,6)="巻返し",OFFSET('S4'!#REF!,MATCH($A229,'S4'!$D$5:$D$2535,0)-1,6)="スリット"),SUMIF('S4'!$D$5:$D$2535,$A229,'S4'!$U$5:$U$2535),""),"")</f>
        <v/>
      </c>
      <c r="AB229" s="146" t="str">
        <f ca="1">IFERROR(IF(OR(OFFSET('S5'!#REF!,MATCH($A229,'S5'!$D$5:$D$2103,0)-1,6)="巻返し",OFFSET('S5'!#REF!,MATCH($A229,'S5'!$D$5:$D$2103,0)-1,6)="スリット"),SUMIF('S5'!$D$5:$D$2103,$A229,'S5'!$T$5:$T$2103),""),"")</f>
        <v/>
      </c>
    </row>
    <row r="230" spans="1:28" s="141" customFormat="1" ht="11.25" x14ac:dyDescent="0.15">
      <c r="A230" s="173">
        <v>3689037</v>
      </c>
      <c r="B230" s="173" t="s">
        <v>351</v>
      </c>
      <c r="C230" s="173" t="s">
        <v>352</v>
      </c>
      <c r="D230" s="173" t="s">
        <v>353</v>
      </c>
      <c r="E230" s="173" t="s">
        <v>116</v>
      </c>
      <c r="F230" s="173">
        <v>3</v>
      </c>
      <c r="G230" s="173" t="s">
        <v>19</v>
      </c>
      <c r="H230" s="173" t="s">
        <v>20</v>
      </c>
      <c r="I230" s="173" t="s">
        <v>205</v>
      </c>
      <c r="J230" s="173"/>
      <c r="K230" s="173" t="s">
        <v>212</v>
      </c>
      <c r="L230" s="173">
        <v>50</v>
      </c>
      <c r="M230" s="173" t="s">
        <v>213</v>
      </c>
      <c r="N230" s="174">
        <v>1120</v>
      </c>
      <c r="O230" s="174">
        <v>1120</v>
      </c>
      <c r="P230" s="174">
        <v>4000</v>
      </c>
      <c r="Q230" s="173">
        <v>2</v>
      </c>
      <c r="R230" s="173">
        <v>9</v>
      </c>
      <c r="S230" s="173" t="s">
        <v>354</v>
      </c>
      <c r="T230" s="175">
        <v>44886</v>
      </c>
      <c r="U230" s="175">
        <v>44918</v>
      </c>
      <c r="V230" s="173" t="s">
        <v>355</v>
      </c>
      <c r="W230" s="173"/>
      <c r="X230" s="173"/>
      <c r="Z230" s="146" t="str">
        <f t="shared" ca="1" si="3"/>
        <v/>
      </c>
      <c r="AA230" s="146" t="str">
        <f ca="1">IFERROR(IF(OR(OFFSET('S4'!#REF!,MATCH($A230,'S4'!$D$5:$D$2535,0)-1,6)="巻返し",OFFSET('S4'!#REF!,MATCH($A230,'S4'!$D$5:$D$2535,0)-1,6)="スリット"),SUMIF('S4'!$D$5:$D$2535,$A230,'S4'!$U$5:$U$2535),""),"")</f>
        <v/>
      </c>
      <c r="AB230" s="146" t="str">
        <f ca="1">IFERROR(IF(OR(OFFSET('S5'!#REF!,MATCH($A230,'S5'!$D$5:$D$2103,0)-1,6)="巻返し",OFFSET('S5'!#REF!,MATCH($A230,'S5'!$D$5:$D$2103,0)-1,6)="スリット"),SUMIF('S5'!$D$5:$D$2103,$A230,'S5'!$T$5:$T$2103),""),"")</f>
        <v/>
      </c>
    </row>
    <row r="231" spans="1:28" s="141" customFormat="1" ht="11.25" x14ac:dyDescent="0.15">
      <c r="A231" s="173">
        <v>3689039</v>
      </c>
      <c r="B231" s="173" t="s">
        <v>351</v>
      </c>
      <c r="C231" s="173" t="s">
        <v>352</v>
      </c>
      <c r="D231" s="173" t="s">
        <v>353</v>
      </c>
      <c r="E231" s="173" t="s">
        <v>116</v>
      </c>
      <c r="F231" s="173">
        <v>3</v>
      </c>
      <c r="G231" s="173" t="s">
        <v>19</v>
      </c>
      <c r="H231" s="173" t="s">
        <v>20</v>
      </c>
      <c r="I231" s="173" t="s">
        <v>205</v>
      </c>
      <c r="J231" s="173"/>
      <c r="K231" s="173" t="s">
        <v>212</v>
      </c>
      <c r="L231" s="173">
        <v>50</v>
      </c>
      <c r="M231" s="173" t="s">
        <v>213</v>
      </c>
      <c r="N231" s="174">
        <v>1120</v>
      </c>
      <c r="O231" s="174">
        <v>1120</v>
      </c>
      <c r="P231" s="174">
        <v>4000</v>
      </c>
      <c r="Q231" s="173">
        <v>2</v>
      </c>
      <c r="R231" s="173">
        <v>9</v>
      </c>
      <c r="S231" s="173" t="s">
        <v>354</v>
      </c>
      <c r="T231" s="175">
        <v>44886</v>
      </c>
      <c r="U231" s="175">
        <v>44939</v>
      </c>
      <c r="V231" s="173" t="s">
        <v>355</v>
      </c>
      <c r="W231" s="173"/>
      <c r="X231" s="173"/>
      <c r="Z231" s="146" t="str">
        <f t="shared" ca="1" si="3"/>
        <v/>
      </c>
      <c r="AA231" s="146" t="str">
        <f ca="1">IFERROR(IF(OR(OFFSET('S4'!#REF!,MATCH($A231,'S4'!$D$5:$D$2535,0)-1,6)="巻返し",OFFSET('S4'!#REF!,MATCH($A231,'S4'!$D$5:$D$2535,0)-1,6)="スリット"),SUMIF('S4'!$D$5:$D$2535,$A231,'S4'!$U$5:$U$2535),""),"")</f>
        <v/>
      </c>
      <c r="AB231" s="146" t="str">
        <f ca="1">IFERROR(IF(OR(OFFSET('S5'!#REF!,MATCH($A231,'S5'!$D$5:$D$2103,0)-1,6)="巻返し",OFFSET('S5'!#REF!,MATCH($A231,'S5'!$D$5:$D$2103,0)-1,6)="スリット"),SUMIF('S5'!$D$5:$D$2103,$A231,'S5'!$T$5:$T$2103),""),"")</f>
        <v/>
      </c>
    </row>
    <row r="232" spans="1:28" s="141" customFormat="1" ht="11.25" x14ac:dyDescent="0.15">
      <c r="A232" s="173">
        <v>3689041</v>
      </c>
      <c r="B232" s="173" t="s">
        <v>351</v>
      </c>
      <c r="C232" s="173" t="s">
        <v>352</v>
      </c>
      <c r="D232" s="173" t="s">
        <v>353</v>
      </c>
      <c r="E232" s="173" t="s">
        <v>116</v>
      </c>
      <c r="F232" s="173">
        <v>3</v>
      </c>
      <c r="G232" s="173" t="s">
        <v>19</v>
      </c>
      <c r="H232" s="173" t="s">
        <v>20</v>
      </c>
      <c r="I232" s="173" t="s">
        <v>205</v>
      </c>
      <c r="J232" s="173"/>
      <c r="K232" s="173" t="s">
        <v>212</v>
      </c>
      <c r="L232" s="173">
        <v>50</v>
      </c>
      <c r="M232" s="173" t="s">
        <v>213</v>
      </c>
      <c r="N232" s="174">
        <v>1120</v>
      </c>
      <c r="O232" s="174">
        <v>1120</v>
      </c>
      <c r="P232" s="174">
        <v>4000</v>
      </c>
      <c r="Q232" s="173">
        <v>2</v>
      </c>
      <c r="R232" s="173">
        <v>6</v>
      </c>
      <c r="S232" s="173" t="s">
        <v>354</v>
      </c>
      <c r="T232" s="175">
        <v>44886</v>
      </c>
      <c r="U232" s="175">
        <v>44946</v>
      </c>
      <c r="V232" s="173" t="s">
        <v>355</v>
      </c>
      <c r="W232" s="173"/>
      <c r="X232" s="173"/>
      <c r="Z232" s="146" t="str">
        <f t="shared" ca="1" si="3"/>
        <v/>
      </c>
      <c r="AA232" s="146" t="str">
        <f ca="1">IFERROR(IF(OR(OFFSET('S4'!#REF!,MATCH($A232,'S4'!$D$5:$D$2535,0)-1,6)="巻返し",OFFSET('S4'!#REF!,MATCH($A232,'S4'!$D$5:$D$2535,0)-1,6)="スリット"),SUMIF('S4'!$D$5:$D$2535,$A232,'S4'!$U$5:$U$2535),""),"")</f>
        <v/>
      </c>
      <c r="AB232" s="146" t="str">
        <f ca="1">IFERROR(IF(OR(OFFSET('S5'!#REF!,MATCH($A232,'S5'!$D$5:$D$2103,0)-1,6)="巻返し",OFFSET('S5'!#REF!,MATCH($A232,'S5'!$D$5:$D$2103,0)-1,6)="スリット"),SUMIF('S5'!$D$5:$D$2103,$A232,'S5'!$T$5:$T$2103),""),"")</f>
        <v/>
      </c>
    </row>
    <row r="233" spans="1:28" s="141" customFormat="1" ht="11.25" x14ac:dyDescent="0.15">
      <c r="A233" s="173">
        <v>3689045</v>
      </c>
      <c r="B233" s="173" t="s">
        <v>351</v>
      </c>
      <c r="C233" s="173" t="s">
        <v>352</v>
      </c>
      <c r="D233" s="173" t="s">
        <v>353</v>
      </c>
      <c r="E233" s="173" t="s">
        <v>116</v>
      </c>
      <c r="F233" s="173">
        <v>3</v>
      </c>
      <c r="G233" s="173" t="s">
        <v>19</v>
      </c>
      <c r="H233" s="173" t="s">
        <v>20</v>
      </c>
      <c r="I233" s="173" t="s">
        <v>205</v>
      </c>
      <c r="J233" s="173"/>
      <c r="K233" s="173" t="s">
        <v>216</v>
      </c>
      <c r="L233" s="173">
        <v>25</v>
      </c>
      <c r="M233" s="173" t="s">
        <v>217</v>
      </c>
      <c r="N233" s="174">
        <v>1005</v>
      </c>
      <c r="O233" s="174">
        <v>1000</v>
      </c>
      <c r="P233" s="174">
        <v>4000</v>
      </c>
      <c r="Q233" s="173">
        <v>2</v>
      </c>
      <c r="R233" s="173">
        <v>15</v>
      </c>
      <c r="S233" s="173" t="s">
        <v>354</v>
      </c>
      <c r="T233" s="175">
        <v>44886</v>
      </c>
      <c r="U233" s="175">
        <v>44918</v>
      </c>
      <c r="V233" s="173" t="s">
        <v>355</v>
      </c>
      <c r="W233" s="173"/>
      <c r="X233" s="173"/>
      <c r="Z233" s="146" t="str">
        <f t="shared" ca="1" si="3"/>
        <v/>
      </c>
      <c r="AA233" s="146" t="str">
        <f ca="1">IFERROR(IF(OR(OFFSET('S4'!#REF!,MATCH($A233,'S4'!$D$5:$D$2535,0)-1,6)="巻返し",OFFSET('S4'!#REF!,MATCH($A233,'S4'!$D$5:$D$2535,0)-1,6)="スリット"),SUMIF('S4'!$D$5:$D$2535,$A233,'S4'!$U$5:$U$2535),""),"")</f>
        <v/>
      </c>
      <c r="AB233" s="146" t="str">
        <f ca="1">IFERROR(IF(OR(OFFSET('S5'!#REF!,MATCH($A233,'S5'!$D$5:$D$2103,0)-1,6)="巻返し",OFFSET('S5'!#REF!,MATCH($A233,'S5'!$D$5:$D$2103,0)-1,6)="スリット"),SUMIF('S5'!$D$5:$D$2103,$A233,'S5'!$T$5:$T$2103),""),"")</f>
        <v/>
      </c>
    </row>
    <row r="234" spans="1:28" s="141" customFormat="1" ht="11.25" x14ac:dyDescent="0.15">
      <c r="A234" s="173">
        <v>3689047</v>
      </c>
      <c r="B234" s="173" t="s">
        <v>351</v>
      </c>
      <c r="C234" s="173" t="s">
        <v>352</v>
      </c>
      <c r="D234" s="173" t="s">
        <v>353</v>
      </c>
      <c r="E234" s="173" t="s">
        <v>116</v>
      </c>
      <c r="F234" s="173">
        <v>3</v>
      </c>
      <c r="G234" s="173" t="s">
        <v>19</v>
      </c>
      <c r="H234" s="173" t="s">
        <v>20</v>
      </c>
      <c r="I234" s="173" t="s">
        <v>205</v>
      </c>
      <c r="J234" s="173"/>
      <c r="K234" s="173" t="s">
        <v>216</v>
      </c>
      <c r="L234" s="173">
        <v>50</v>
      </c>
      <c r="M234" s="173" t="s">
        <v>217</v>
      </c>
      <c r="N234" s="174">
        <v>1120</v>
      </c>
      <c r="O234" s="174">
        <v>1120</v>
      </c>
      <c r="P234" s="174">
        <v>5000</v>
      </c>
      <c r="Q234" s="173">
        <v>2</v>
      </c>
      <c r="R234" s="173">
        <v>14</v>
      </c>
      <c r="S234" s="173" t="s">
        <v>354</v>
      </c>
      <c r="T234" s="175">
        <v>44886</v>
      </c>
      <c r="U234" s="175">
        <v>44921</v>
      </c>
      <c r="V234" s="173" t="s">
        <v>355</v>
      </c>
      <c r="W234" s="173"/>
      <c r="X234" s="173"/>
      <c r="Z234" s="146" t="str">
        <f t="shared" ca="1" si="3"/>
        <v/>
      </c>
      <c r="AA234" s="146" t="str">
        <f ca="1">IFERROR(IF(OR(OFFSET('S4'!#REF!,MATCH($A234,'S4'!$D$5:$D$2535,0)-1,6)="巻返し",OFFSET('S4'!#REF!,MATCH($A234,'S4'!$D$5:$D$2535,0)-1,6)="スリット"),SUMIF('S4'!$D$5:$D$2535,$A234,'S4'!$U$5:$U$2535),""),"")</f>
        <v/>
      </c>
      <c r="AB234" s="146" t="str">
        <f ca="1">IFERROR(IF(OR(OFFSET('S5'!#REF!,MATCH($A234,'S5'!$D$5:$D$2103,0)-1,6)="巻返し",OFFSET('S5'!#REF!,MATCH($A234,'S5'!$D$5:$D$2103,0)-1,6)="スリット"),SUMIF('S5'!$D$5:$D$2103,$A234,'S5'!$T$5:$T$2103),""),"")</f>
        <v/>
      </c>
    </row>
    <row r="235" spans="1:28" s="141" customFormat="1" ht="11.25" x14ac:dyDescent="0.15">
      <c r="A235" s="173">
        <v>3689049</v>
      </c>
      <c r="B235" s="173" t="s">
        <v>351</v>
      </c>
      <c r="C235" s="173" t="s">
        <v>352</v>
      </c>
      <c r="D235" s="173" t="s">
        <v>353</v>
      </c>
      <c r="E235" s="173" t="s">
        <v>116</v>
      </c>
      <c r="F235" s="173">
        <v>3</v>
      </c>
      <c r="G235" s="173" t="s">
        <v>19</v>
      </c>
      <c r="H235" s="173" t="s">
        <v>20</v>
      </c>
      <c r="I235" s="173" t="s">
        <v>205</v>
      </c>
      <c r="J235" s="173"/>
      <c r="K235" s="173" t="s">
        <v>216</v>
      </c>
      <c r="L235" s="173">
        <v>50</v>
      </c>
      <c r="M235" s="173" t="s">
        <v>217</v>
      </c>
      <c r="N235" s="174">
        <v>1120</v>
      </c>
      <c r="O235" s="174">
        <v>1120</v>
      </c>
      <c r="P235" s="174">
        <v>5000</v>
      </c>
      <c r="Q235" s="173">
        <v>2</v>
      </c>
      <c r="R235" s="173">
        <v>14</v>
      </c>
      <c r="S235" s="173" t="s">
        <v>354</v>
      </c>
      <c r="T235" s="175">
        <v>44886</v>
      </c>
      <c r="U235" s="175">
        <v>44946</v>
      </c>
      <c r="V235" s="173" t="s">
        <v>355</v>
      </c>
      <c r="W235" s="173"/>
      <c r="X235" s="173"/>
      <c r="Z235" s="146" t="str">
        <f t="shared" ca="1" si="3"/>
        <v/>
      </c>
      <c r="AA235" s="146" t="str">
        <f ca="1">IFERROR(IF(OR(OFFSET('S4'!#REF!,MATCH($A235,'S4'!$D$5:$D$2535,0)-1,6)="巻返し",OFFSET('S4'!#REF!,MATCH($A235,'S4'!$D$5:$D$2535,0)-1,6)="スリット"),SUMIF('S4'!$D$5:$D$2535,$A235,'S4'!$U$5:$U$2535),""),"")</f>
        <v/>
      </c>
      <c r="AB235" s="146" t="str">
        <f ca="1">IFERROR(IF(OR(OFFSET('S5'!#REF!,MATCH($A235,'S5'!$D$5:$D$2103,0)-1,6)="巻返し",OFFSET('S5'!#REF!,MATCH($A235,'S5'!$D$5:$D$2103,0)-1,6)="スリット"),SUMIF('S5'!$D$5:$D$2103,$A235,'S5'!$T$5:$T$2103),""),"")</f>
        <v/>
      </c>
    </row>
    <row r="236" spans="1:28" s="141" customFormat="1" ht="11.25" x14ac:dyDescent="0.15">
      <c r="A236" s="173">
        <v>3689051</v>
      </c>
      <c r="B236" s="173" t="s">
        <v>351</v>
      </c>
      <c r="C236" s="173" t="s">
        <v>352</v>
      </c>
      <c r="D236" s="173" t="s">
        <v>353</v>
      </c>
      <c r="E236" s="173" t="s">
        <v>116</v>
      </c>
      <c r="F236" s="173">
        <v>3</v>
      </c>
      <c r="G236" s="173" t="s">
        <v>19</v>
      </c>
      <c r="H236" s="173" t="s">
        <v>20</v>
      </c>
      <c r="I236" s="173" t="s">
        <v>205</v>
      </c>
      <c r="J236" s="173"/>
      <c r="K236" s="173" t="s">
        <v>218</v>
      </c>
      <c r="L236" s="173">
        <v>50</v>
      </c>
      <c r="M236" s="173" t="s">
        <v>219</v>
      </c>
      <c r="N236" s="174">
        <v>1000</v>
      </c>
      <c r="O236" s="174">
        <v>1000</v>
      </c>
      <c r="P236" s="174">
        <v>4000</v>
      </c>
      <c r="Q236" s="173">
        <v>2</v>
      </c>
      <c r="R236" s="173">
        <v>21</v>
      </c>
      <c r="S236" s="173" t="s">
        <v>354</v>
      </c>
      <c r="T236" s="175">
        <v>44886</v>
      </c>
      <c r="U236" s="175">
        <v>44918</v>
      </c>
      <c r="V236" s="173" t="s">
        <v>355</v>
      </c>
      <c r="W236" s="173"/>
      <c r="X236" s="173"/>
      <c r="Z236" s="146" t="str">
        <f t="shared" ca="1" si="3"/>
        <v/>
      </c>
      <c r="AA236" s="146" t="str">
        <f ca="1">IFERROR(IF(OR(OFFSET('S4'!#REF!,MATCH($A236,'S4'!$D$5:$D$2535,0)-1,6)="巻返し",OFFSET('S4'!#REF!,MATCH($A236,'S4'!$D$5:$D$2535,0)-1,6)="スリット"),SUMIF('S4'!$D$5:$D$2535,$A236,'S4'!$U$5:$U$2535),""),"")</f>
        <v/>
      </c>
      <c r="AB236" s="146" t="str">
        <f ca="1">IFERROR(IF(OR(OFFSET('S5'!#REF!,MATCH($A236,'S5'!$D$5:$D$2103,0)-1,6)="巻返し",OFFSET('S5'!#REF!,MATCH($A236,'S5'!$D$5:$D$2103,0)-1,6)="スリット"),SUMIF('S5'!$D$5:$D$2103,$A236,'S5'!$T$5:$T$2103),""),"")</f>
        <v/>
      </c>
    </row>
    <row r="237" spans="1:28" s="141" customFormat="1" ht="11.25" x14ac:dyDescent="0.15">
      <c r="A237" s="173">
        <v>3689053</v>
      </c>
      <c r="B237" s="173" t="s">
        <v>351</v>
      </c>
      <c r="C237" s="173" t="s">
        <v>352</v>
      </c>
      <c r="D237" s="173" t="s">
        <v>353</v>
      </c>
      <c r="E237" s="173" t="s">
        <v>116</v>
      </c>
      <c r="F237" s="173" t="s">
        <v>158</v>
      </c>
      <c r="G237" s="173" t="s">
        <v>19</v>
      </c>
      <c r="H237" s="173" t="s">
        <v>20</v>
      </c>
      <c r="I237" s="173" t="s">
        <v>165</v>
      </c>
      <c r="J237" s="173"/>
      <c r="K237" s="173" t="s">
        <v>192</v>
      </c>
      <c r="L237" s="173">
        <v>50</v>
      </c>
      <c r="M237" s="173" t="s">
        <v>193</v>
      </c>
      <c r="N237" s="174">
        <v>1005</v>
      </c>
      <c r="O237" s="174">
        <v>1000</v>
      </c>
      <c r="P237" s="174">
        <v>4000</v>
      </c>
      <c r="Q237" s="173">
        <v>2</v>
      </c>
      <c r="R237" s="173">
        <v>6</v>
      </c>
      <c r="S237" s="173" t="s">
        <v>354</v>
      </c>
      <c r="T237" s="175">
        <v>44886</v>
      </c>
      <c r="U237" s="175">
        <v>44918</v>
      </c>
      <c r="V237" s="173" t="s">
        <v>355</v>
      </c>
      <c r="W237" s="173"/>
      <c r="X237" s="173"/>
      <c r="Z237" s="146" t="str">
        <f t="shared" ca="1" si="3"/>
        <v/>
      </c>
      <c r="AA237" s="146" t="str">
        <f ca="1">IFERROR(IF(OR(OFFSET('S4'!#REF!,MATCH($A237,'S4'!$D$5:$D$2535,0)-1,6)="巻返し",OFFSET('S4'!#REF!,MATCH($A237,'S4'!$D$5:$D$2535,0)-1,6)="スリット"),SUMIF('S4'!$D$5:$D$2535,$A237,'S4'!$U$5:$U$2535),""),"")</f>
        <v/>
      </c>
      <c r="AB237" s="146" t="str">
        <f ca="1">IFERROR(IF(OR(OFFSET('S5'!#REF!,MATCH($A237,'S5'!$D$5:$D$2103,0)-1,6)="巻返し",OFFSET('S5'!#REF!,MATCH($A237,'S5'!$D$5:$D$2103,0)-1,6)="スリット"),SUMIF('S5'!$D$5:$D$2103,$A237,'S5'!$T$5:$T$2103),""),"")</f>
        <v/>
      </c>
    </row>
    <row r="238" spans="1:28" s="141" customFormat="1" ht="11.25" x14ac:dyDescent="0.15">
      <c r="A238" s="173">
        <v>3689055</v>
      </c>
      <c r="B238" s="173" t="s">
        <v>351</v>
      </c>
      <c r="C238" s="173" t="s">
        <v>352</v>
      </c>
      <c r="D238" s="173" t="s">
        <v>353</v>
      </c>
      <c r="E238" s="173" t="s">
        <v>116</v>
      </c>
      <c r="F238" s="173" t="s">
        <v>158</v>
      </c>
      <c r="G238" s="173" t="s">
        <v>19</v>
      </c>
      <c r="H238" s="173" t="s">
        <v>20</v>
      </c>
      <c r="I238" s="173" t="s">
        <v>165</v>
      </c>
      <c r="J238" s="173"/>
      <c r="K238" s="173" t="s">
        <v>197</v>
      </c>
      <c r="L238" s="173">
        <v>50</v>
      </c>
      <c r="M238" s="173" t="s">
        <v>198</v>
      </c>
      <c r="N238" s="174">
        <v>1005</v>
      </c>
      <c r="O238" s="174">
        <v>1000</v>
      </c>
      <c r="P238" s="174">
        <v>4000</v>
      </c>
      <c r="Q238" s="173">
        <v>2</v>
      </c>
      <c r="R238" s="173">
        <v>3</v>
      </c>
      <c r="S238" s="173" t="s">
        <v>354</v>
      </c>
      <c r="T238" s="175">
        <v>44886</v>
      </c>
      <c r="U238" s="175">
        <v>44918</v>
      </c>
      <c r="V238" s="173" t="s">
        <v>355</v>
      </c>
      <c r="W238" s="173"/>
      <c r="X238" s="173"/>
      <c r="Z238" s="146" t="str">
        <f t="shared" ca="1" si="3"/>
        <v/>
      </c>
      <c r="AA238" s="146" t="str">
        <f ca="1">IFERROR(IF(OR(OFFSET('S4'!#REF!,MATCH($A238,'S4'!$D$5:$D$2535,0)-1,6)="巻返し",OFFSET('S4'!#REF!,MATCH($A238,'S4'!$D$5:$D$2535,0)-1,6)="スリット"),SUMIF('S4'!$D$5:$D$2535,$A238,'S4'!$U$5:$U$2535),""),"")</f>
        <v/>
      </c>
      <c r="AB238" s="146" t="str">
        <f ca="1">IFERROR(IF(OR(OFFSET('S5'!#REF!,MATCH($A238,'S5'!$D$5:$D$2103,0)-1,6)="巻返し",OFFSET('S5'!#REF!,MATCH($A238,'S5'!$D$5:$D$2103,0)-1,6)="スリット"),SUMIF('S5'!$D$5:$D$2103,$A238,'S5'!$T$5:$T$2103),""),"")</f>
        <v/>
      </c>
    </row>
    <row r="239" spans="1:28" s="141" customFormat="1" ht="11.25" x14ac:dyDescent="0.15">
      <c r="A239" s="173">
        <v>3689059</v>
      </c>
      <c r="B239" s="173" t="s">
        <v>351</v>
      </c>
      <c r="C239" s="173" t="s">
        <v>352</v>
      </c>
      <c r="D239" s="173" t="s">
        <v>353</v>
      </c>
      <c r="E239" s="173" t="s">
        <v>116</v>
      </c>
      <c r="F239" s="173">
        <v>3</v>
      </c>
      <c r="G239" s="173" t="s">
        <v>19</v>
      </c>
      <c r="H239" s="173" t="s">
        <v>20</v>
      </c>
      <c r="I239" s="173" t="s">
        <v>205</v>
      </c>
      <c r="J239" s="173"/>
      <c r="K239" s="173" t="s">
        <v>221</v>
      </c>
      <c r="L239" s="173">
        <v>25</v>
      </c>
      <c r="M239" s="173" t="s">
        <v>222</v>
      </c>
      <c r="N239" s="174">
        <v>1000</v>
      </c>
      <c r="O239" s="174">
        <v>1000</v>
      </c>
      <c r="P239" s="174">
        <v>6000</v>
      </c>
      <c r="Q239" s="173">
        <v>2</v>
      </c>
      <c r="R239" s="173">
        <v>3</v>
      </c>
      <c r="S239" s="173" t="s">
        <v>354</v>
      </c>
      <c r="T239" s="175">
        <v>44886</v>
      </c>
      <c r="U239" s="175">
        <v>44910</v>
      </c>
      <c r="V239" s="173" t="s">
        <v>355</v>
      </c>
      <c r="W239" s="173"/>
      <c r="X239" s="173"/>
      <c r="Z239" s="146" t="str">
        <f t="shared" ca="1" si="3"/>
        <v/>
      </c>
      <c r="AA239" s="146" t="str">
        <f ca="1">IFERROR(IF(OR(OFFSET('S4'!#REF!,MATCH($A239,'S4'!$D$5:$D$2535,0)-1,6)="巻返し",OFFSET('S4'!#REF!,MATCH($A239,'S4'!$D$5:$D$2535,0)-1,6)="スリット"),SUMIF('S4'!$D$5:$D$2535,$A239,'S4'!$U$5:$U$2535),""),"")</f>
        <v/>
      </c>
      <c r="AB239" s="146" t="str">
        <f ca="1">IFERROR(IF(OR(OFFSET('S5'!#REF!,MATCH($A239,'S5'!$D$5:$D$2103,0)-1,6)="巻返し",OFFSET('S5'!#REF!,MATCH($A239,'S5'!$D$5:$D$2103,0)-1,6)="スリット"),SUMIF('S5'!$D$5:$D$2103,$A239,'S5'!$T$5:$T$2103),""),"")</f>
        <v/>
      </c>
    </row>
    <row r="240" spans="1:28" s="141" customFormat="1" ht="11.25" x14ac:dyDescent="0.15">
      <c r="A240" s="173">
        <v>3689061</v>
      </c>
      <c r="B240" s="173" t="s">
        <v>351</v>
      </c>
      <c r="C240" s="173" t="s">
        <v>352</v>
      </c>
      <c r="D240" s="173" t="s">
        <v>353</v>
      </c>
      <c r="E240" s="173" t="s">
        <v>116</v>
      </c>
      <c r="F240" s="173">
        <v>3</v>
      </c>
      <c r="G240" s="173" t="s">
        <v>19</v>
      </c>
      <c r="H240" s="173" t="s">
        <v>20</v>
      </c>
      <c r="I240" s="173" t="s">
        <v>165</v>
      </c>
      <c r="J240" s="173"/>
      <c r="K240" s="173" t="s">
        <v>176</v>
      </c>
      <c r="L240" s="173">
        <v>50</v>
      </c>
      <c r="M240" s="173" t="s">
        <v>177</v>
      </c>
      <c r="N240" s="174">
        <v>1005</v>
      </c>
      <c r="O240" s="174">
        <v>1000</v>
      </c>
      <c r="P240" s="174">
        <v>4000</v>
      </c>
      <c r="Q240" s="173">
        <v>2</v>
      </c>
      <c r="R240" s="173">
        <v>7</v>
      </c>
      <c r="S240" s="173" t="s">
        <v>354</v>
      </c>
      <c r="T240" s="175">
        <v>44886</v>
      </c>
      <c r="U240" s="175">
        <v>44914</v>
      </c>
      <c r="V240" s="173" t="s">
        <v>355</v>
      </c>
      <c r="W240" s="173"/>
      <c r="X240" s="173"/>
      <c r="Z240" s="146" t="str">
        <f t="shared" ca="1" si="3"/>
        <v/>
      </c>
      <c r="AA240" s="146" t="str">
        <f ca="1">IFERROR(IF(OR(OFFSET('S4'!#REF!,MATCH($A240,'S4'!$D$5:$D$2535,0)-1,6)="巻返し",OFFSET('S4'!#REF!,MATCH($A240,'S4'!$D$5:$D$2535,0)-1,6)="スリット"),SUMIF('S4'!$D$5:$D$2535,$A240,'S4'!$U$5:$U$2535),""),"")</f>
        <v/>
      </c>
      <c r="AB240" s="146" t="str">
        <f ca="1">IFERROR(IF(OR(OFFSET('S5'!#REF!,MATCH($A240,'S5'!$D$5:$D$2103,0)-1,6)="巻返し",OFFSET('S5'!#REF!,MATCH($A240,'S5'!$D$5:$D$2103,0)-1,6)="スリット"),SUMIF('S5'!$D$5:$D$2103,$A240,'S5'!$T$5:$T$2103),""),"")</f>
        <v/>
      </c>
    </row>
    <row r="241" spans="1:28" s="141" customFormat="1" ht="11.25" x14ac:dyDescent="0.15">
      <c r="A241" s="173">
        <v>3689063</v>
      </c>
      <c r="B241" s="173" t="s">
        <v>351</v>
      </c>
      <c r="C241" s="173" t="s">
        <v>352</v>
      </c>
      <c r="D241" s="173" t="s">
        <v>353</v>
      </c>
      <c r="E241" s="173" t="s">
        <v>116</v>
      </c>
      <c r="F241" s="173">
        <v>3</v>
      </c>
      <c r="G241" s="173" t="s">
        <v>19</v>
      </c>
      <c r="H241" s="173" t="s">
        <v>20</v>
      </c>
      <c r="I241" s="173" t="s">
        <v>143</v>
      </c>
      <c r="J241" s="173"/>
      <c r="K241" s="173" t="s">
        <v>152</v>
      </c>
      <c r="L241" s="173">
        <v>38</v>
      </c>
      <c r="M241" s="173" t="s">
        <v>153</v>
      </c>
      <c r="N241" s="174">
        <v>1005</v>
      </c>
      <c r="O241" s="174">
        <v>1000</v>
      </c>
      <c r="P241" s="174">
        <v>4000</v>
      </c>
      <c r="Q241" s="173">
        <v>2</v>
      </c>
      <c r="R241" s="173">
        <v>2</v>
      </c>
      <c r="S241" s="173" t="s">
        <v>354</v>
      </c>
      <c r="T241" s="175">
        <v>44886</v>
      </c>
      <c r="U241" s="175">
        <v>44910</v>
      </c>
      <c r="V241" s="173" t="s">
        <v>355</v>
      </c>
      <c r="W241" s="173"/>
      <c r="X241" s="173"/>
      <c r="Z241" s="146" t="str">
        <f t="shared" ca="1" si="3"/>
        <v/>
      </c>
      <c r="AA241" s="146" t="str">
        <f ca="1">IFERROR(IF(OR(OFFSET('S4'!#REF!,MATCH($A241,'S4'!$D$5:$D$2535,0)-1,6)="巻返し",OFFSET('S4'!#REF!,MATCH($A241,'S4'!$D$5:$D$2535,0)-1,6)="スリット"),SUMIF('S4'!$D$5:$D$2535,$A241,'S4'!$U$5:$U$2535),""),"")</f>
        <v/>
      </c>
      <c r="AB241" s="146" t="str">
        <f ca="1">IFERROR(IF(OR(OFFSET('S5'!#REF!,MATCH($A241,'S5'!$D$5:$D$2103,0)-1,6)="巻返し",OFFSET('S5'!#REF!,MATCH($A241,'S5'!$D$5:$D$2103,0)-1,6)="スリット"),SUMIF('S5'!$D$5:$D$2103,$A241,'S5'!$T$5:$T$2103),""),"")</f>
        <v/>
      </c>
    </row>
    <row r="242" spans="1:28" s="141" customFormat="1" ht="11.25" x14ac:dyDescent="0.15">
      <c r="A242" s="173">
        <v>3689065</v>
      </c>
      <c r="B242" s="173" t="s">
        <v>351</v>
      </c>
      <c r="C242" s="173" t="s">
        <v>352</v>
      </c>
      <c r="D242" s="173" t="s">
        <v>353</v>
      </c>
      <c r="E242" s="173" t="s">
        <v>116</v>
      </c>
      <c r="F242" s="173">
        <v>3</v>
      </c>
      <c r="G242" s="173" t="s">
        <v>19</v>
      </c>
      <c r="H242" s="173" t="s">
        <v>28</v>
      </c>
      <c r="I242" s="173" t="s">
        <v>205</v>
      </c>
      <c r="J242" s="173"/>
      <c r="K242" s="173" t="s">
        <v>240</v>
      </c>
      <c r="L242" s="173">
        <v>50</v>
      </c>
      <c r="M242" s="173" t="s">
        <v>241</v>
      </c>
      <c r="N242" s="174">
        <v>1120</v>
      </c>
      <c r="O242" s="174">
        <v>1120</v>
      </c>
      <c r="P242" s="174">
        <v>4000</v>
      </c>
      <c r="Q242" s="173">
        <v>2</v>
      </c>
      <c r="R242" s="173">
        <v>8</v>
      </c>
      <c r="S242" s="173" t="s">
        <v>354</v>
      </c>
      <c r="T242" s="175">
        <v>44886</v>
      </c>
      <c r="U242" s="175">
        <v>44914</v>
      </c>
      <c r="V242" s="173" t="s">
        <v>355</v>
      </c>
      <c r="W242" s="173"/>
      <c r="X242" s="173"/>
      <c r="Z242" s="146" t="str">
        <f t="shared" ca="1" si="3"/>
        <v/>
      </c>
      <c r="AA242" s="146" t="str">
        <f ca="1">IFERROR(IF(OR(OFFSET('S4'!#REF!,MATCH($A242,'S4'!$D$5:$D$2535,0)-1,6)="巻返し",OFFSET('S4'!#REF!,MATCH($A242,'S4'!$D$5:$D$2535,0)-1,6)="スリット"),SUMIF('S4'!$D$5:$D$2535,$A242,'S4'!$U$5:$U$2535),""),"")</f>
        <v/>
      </c>
      <c r="AB242" s="146" t="str">
        <f ca="1">IFERROR(IF(OR(OFFSET('S5'!#REF!,MATCH($A242,'S5'!$D$5:$D$2103,0)-1,6)="巻返し",OFFSET('S5'!#REF!,MATCH($A242,'S5'!$D$5:$D$2103,0)-1,6)="スリット"),SUMIF('S5'!$D$5:$D$2103,$A242,'S5'!$T$5:$T$2103),""),"")</f>
        <v/>
      </c>
    </row>
    <row r="243" spans="1:28" s="141" customFormat="1" ht="11.25" x14ac:dyDescent="0.15">
      <c r="A243" s="173">
        <v>3689067</v>
      </c>
      <c r="B243" s="173" t="s">
        <v>351</v>
      </c>
      <c r="C243" s="173" t="s">
        <v>352</v>
      </c>
      <c r="D243" s="173" t="s">
        <v>353</v>
      </c>
      <c r="E243" s="173" t="s">
        <v>116</v>
      </c>
      <c r="F243" s="173">
        <v>3</v>
      </c>
      <c r="G243" s="173" t="s">
        <v>19</v>
      </c>
      <c r="H243" s="173" t="s">
        <v>28</v>
      </c>
      <c r="I243" s="173" t="s">
        <v>205</v>
      </c>
      <c r="J243" s="173"/>
      <c r="K243" s="173" t="s">
        <v>226</v>
      </c>
      <c r="L243" s="173">
        <v>50</v>
      </c>
      <c r="M243" s="173" t="s">
        <v>227</v>
      </c>
      <c r="N243" s="174">
        <v>1120</v>
      </c>
      <c r="O243" s="174">
        <v>1120</v>
      </c>
      <c r="P243" s="174">
        <v>5000</v>
      </c>
      <c r="Q243" s="173">
        <v>2</v>
      </c>
      <c r="R243" s="173">
        <v>2</v>
      </c>
      <c r="S243" s="173" t="s">
        <v>354</v>
      </c>
      <c r="T243" s="175">
        <v>44886</v>
      </c>
      <c r="U243" s="175">
        <v>44914</v>
      </c>
      <c r="V243" s="173" t="s">
        <v>355</v>
      </c>
      <c r="W243" s="173"/>
      <c r="X243" s="173"/>
      <c r="Z243" s="146" t="str">
        <f t="shared" ca="1" si="3"/>
        <v/>
      </c>
      <c r="AA243" s="146" t="str">
        <f ca="1">IFERROR(IF(OR(OFFSET('S4'!#REF!,MATCH($A243,'S4'!$D$5:$D$2535,0)-1,6)="巻返し",OFFSET('S4'!#REF!,MATCH($A243,'S4'!$D$5:$D$2535,0)-1,6)="スリット"),SUMIF('S4'!$D$5:$D$2535,$A243,'S4'!$U$5:$U$2535),""),"")</f>
        <v/>
      </c>
      <c r="AB243" s="146" t="str">
        <f ca="1">IFERROR(IF(OR(OFFSET('S5'!#REF!,MATCH($A243,'S5'!$D$5:$D$2103,0)-1,6)="巻返し",OFFSET('S5'!#REF!,MATCH($A243,'S5'!$D$5:$D$2103,0)-1,6)="スリット"),SUMIF('S5'!$D$5:$D$2103,$A243,'S5'!$T$5:$T$2103),""),"")</f>
        <v/>
      </c>
    </row>
    <row r="244" spans="1:28" s="141" customFormat="1" ht="11.25" x14ac:dyDescent="0.15">
      <c r="A244" s="173">
        <v>3689069</v>
      </c>
      <c r="B244" s="173" t="s">
        <v>351</v>
      </c>
      <c r="C244" s="173" t="s">
        <v>352</v>
      </c>
      <c r="D244" s="173" t="s">
        <v>353</v>
      </c>
      <c r="E244" s="173" t="s">
        <v>116</v>
      </c>
      <c r="F244" s="173">
        <v>3</v>
      </c>
      <c r="G244" s="173" t="s">
        <v>19</v>
      </c>
      <c r="H244" s="173" t="s">
        <v>28</v>
      </c>
      <c r="I244" s="173" t="s">
        <v>205</v>
      </c>
      <c r="J244" s="173"/>
      <c r="K244" s="173" t="s">
        <v>224</v>
      </c>
      <c r="L244" s="173">
        <v>50</v>
      </c>
      <c r="M244" s="173" t="s">
        <v>225</v>
      </c>
      <c r="N244" s="174">
        <v>1120</v>
      </c>
      <c r="O244" s="174">
        <v>1120</v>
      </c>
      <c r="P244" s="174">
        <v>5000</v>
      </c>
      <c r="Q244" s="173">
        <v>2</v>
      </c>
      <c r="R244" s="173">
        <v>3</v>
      </c>
      <c r="S244" s="173" t="s">
        <v>354</v>
      </c>
      <c r="T244" s="175">
        <v>44886</v>
      </c>
      <c r="U244" s="175">
        <v>44910</v>
      </c>
      <c r="V244" s="173" t="s">
        <v>355</v>
      </c>
      <c r="W244" s="173"/>
      <c r="X244" s="173"/>
      <c r="Z244" s="146" t="str">
        <f t="shared" ca="1" si="3"/>
        <v/>
      </c>
      <c r="AA244" s="146" t="str">
        <f ca="1">IFERROR(IF(OR(OFFSET('S4'!#REF!,MATCH($A244,'S4'!$D$5:$D$2535,0)-1,6)="巻返し",OFFSET('S4'!#REF!,MATCH($A244,'S4'!$D$5:$D$2535,0)-1,6)="スリット"),SUMIF('S4'!$D$5:$D$2535,$A244,'S4'!$U$5:$U$2535),""),"")</f>
        <v/>
      </c>
      <c r="AB244" s="146" t="str">
        <f ca="1">IFERROR(IF(OR(OFFSET('S5'!#REF!,MATCH($A244,'S5'!$D$5:$D$2103,0)-1,6)="巻返し",OFFSET('S5'!#REF!,MATCH($A244,'S5'!$D$5:$D$2103,0)-1,6)="スリット"),SUMIF('S5'!$D$5:$D$2103,$A244,'S5'!$T$5:$T$2103),""),"")</f>
        <v/>
      </c>
    </row>
    <row r="245" spans="1:28" s="141" customFormat="1" ht="11.25" x14ac:dyDescent="0.15">
      <c r="A245" s="173">
        <v>3689071</v>
      </c>
      <c r="B245" s="173" t="s">
        <v>351</v>
      </c>
      <c r="C245" s="173" t="s">
        <v>352</v>
      </c>
      <c r="D245" s="173" t="s">
        <v>353</v>
      </c>
      <c r="E245" s="173" t="s">
        <v>116</v>
      </c>
      <c r="F245" s="173">
        <v>3</v>
      </c>
      <c r="G245" s="173" t="s">
        <v>19</v>
      </c>
      <c r="H245" s="173" t="s">
        <v>28</v>
      </c>
      <c r="I245" s="173" t="s">
        <v>205</v>
      </c>
      <c r="J245" s="173"/>
      <c r="K245" s="173" t="s">
        <v>233</v>
      </c>
      <c r="L245" s="173">
        <v>50</v>
      </c>
      <c r="M245" s="173" t="s">
        <v>234</v>
      </c>
      <c r="N245" s="174">
        <v>1120</v>
      </c>
      <c r="O245" s="174">
        <v>1120</v>
      </c>
      <c r="P245" s="174">
        <v>4000</v>
      </c>
      <c r="Q245" s="173">
        <v>2</v>
      </c>
      <c r="R245" s="173">
        <v>7</v>
      </c>
      <c r="S245" s="173" t="s">
        <v>354</v>
      </c>
      <c r="T245" s="175">
        <v>44886</v>
      </c>
      <c r="U245" s="175">
        <v>44910</v>
      </c>
      <c r="V245" s="173" t="s">
        <v>355</v>
      </c>
      <c r="W245" s="173"/>
      <c r="X245" s="173"/>
      <c r="Z245" s="146" t="str">
        <f t="shared" ca="1" si="3"/>
        <v/>
      </c>
      <c r="AA245" s="146" t="str">
        <f ca="1">IFERROR(IF(OR(OFFSET('S4'!#REF!,MATCH($A245,'S4'!$D$5:$D$2535,0)-1,6)="巻返し",OFFSET('S4'!#REF!,MATCH($A245,'S4'!$D$5:$D$2535,0)-1,6)="スリット"),SUMIF('S4'!$D$5:$D$2535,$A245,'S4'!$U$5:$U$2535),""),"")</f>
        <v/>
      </c>
      <c r="AB245" s="146" t="str">
        <f ca="1">IFERROR(IF(OR(OFFSET('S5'!#REF!,MATCH($A245,'S5'!$D$5:$D$2103,0)-1,6)="巻返し",OFFSET('S5'!#REF!,MATCH($A245,'S5'!$D$5:$D$2103,0)-1,6)="スリット"),SUMIF('S5'!$D$5:$D$2103,$A245,'S5'!$T$5:$T$2103),""),"")</f>
        <v/>
      </c>
    </row>
    <row r="246" spans="1:28" s="141" customFormat="1" ht="11.25" x14ac:dyDescent="0.15">
      <c r="A246" s="173">
        <v>3689073</v>
      </c>
      <c r="B246" s="173" t="s">
        <v>351</v>
      </c>
      <c r="C246" s="173" t="s">
        <v>352</v>
      </c>
      <c r="D246" s="173" t="s">
        <v>353</v>
      </c>
      <c r="E246" s="173" t="s">
        <v>116</v>
      </c>
      <c r="F246" s="173">
        <v>3</v>
      </c>
      <c r="G246" s="173" t="s">
        <v>19</v>
      </c>
      <c r="H246" s="173" t="s">
        <v>28</v>
      </c>
      <c r="I246" s="173" t="s">
        <v>205</v>
      </c>
      <c r="J246" s="173"/>
      <c r="K246" s="173" t="s">
        <v>224</v>
      </c>
      <c r="L246" s="173">
        <v>25</v>
      </c>
      <c r="M246" s="173" t="s">
        <v>225</v>
      </c>
      <c r="N246" s="174">
        <v>1120</v>
      </c>
      <c r="O246" s="174">
        <v>1120</v>
      </c>
      <c r="P246" s="174">
        <v>7600</v>
      </c>
      <c r="Q246" s="173">
        <v>2</v>
      </c>
      <c r="R246" s="173">
        <v>1</v>
      </c>
      <c r="S246" s="173" t="s">
        <v>354</v>
      </c>
      <c r="T246" s="175">
        <v>44886</v>
      </c>
      <c r="U246" s="175">
        <v>44914</v>
      </c>
      <c r="V246" s="173" t="s">
        <v>355</v>
      </c>
      <c r="W246" s="173"/>
      <c r="X246" s="173"/>
      <c r="Z246" s="146" t="str">
        <f t="shared" ca="1" si="3"/>
        <v/>
      </c>
      <c r="AA246" s="146" t="str">
        <f ca="1">IFERROR(IF(OR(OFFSET('S4'!#REF!,MATCH($A246,'S4'!$D$5:$D$2535,0)-1,6)="巻返し",OFFSET('S4'!#REF!,MATCH($A246,'S4'!$D$5:$D$2535,0)-1,6)="スリット"),SUMIF('S4'!$D$5:$D$2535,$A246,'S4'!$U$5:$U$2535),""),"")</f>
        <v/>
      </c>
      <c r="AB246" s="146" t="str">
        <f ca="1">IFERROR(IF(OR(OFFSET('S5'!#REF!,MATCH($A246,'S5'!$D$5:$D$2103,0)-1,6)="巻返し",OFFSET('S5'!#REF!,MATCH($A246,'S5'!$D$5:$D$2103,0)-1,6)="スリット"),SUMIF('S5'!$D$5:$D$2103,$A246,'S5'!$T$5:$T$2103),""),"")</f>
        <v/>
      </c>
    </row>
    <row r="247" spans="1:28" s="141" customFormat="1" ht="11.25" x14ac:dyDescent="0.15">
      <c r="A247" s="173">
        <v>3689075</v>
      </c>
      <c r="B247" s="173" t="s">
        <v>351</v>
      </c>
      <c r="C247" s="173" t="s">
        <v>352</v>
      </c>
      <c r="D247" s="173" t="s">
        <v>353</v>
      </c>
      <c r="E247" s="173" t="s">
        <v>116</v>
      </c>
      <c r="F247" s="173">
        <v>3</v>
      </c>
      <c r="G247" s="173" t="s">
        <v>19</v>
      </c>
      <c r="H247" s="173" t="s">
        <v>28</v>
      </c>
      <c r="I247" s="173" t="s">
        <v>205</v>
      </c>
      <c r="J247" s="173"/>
      <c r="K247" s="173" t="s">
        <v>224</v>
      </c>
      <c r="L247" s="173">
        <v>50</v>
      </c>
      <c r="M247" s="173" t="s">
        <v>225</v>
      </c>
      <c r="N247" s="174">
        <v>1120</v>
      </c>
      <c r="O247" s="174">
        <v>1120</v>
      </c>
      <c r="P247" s="174">
        <v>5000</v>
      </c>
      <c r="Q247" s="173">
        <v>2</v>
      </c>
      <c r="R247" s="173">
        <v>2</v>
      </c>
      <c r="S247" s="173" t="s">
        <v>354</v>
      </c>
      <c r="T247" s="175">
        <v>44886</v>
      </c>
      <c r="U247" s="175">
        <v>44914</v>
      </c>
      <c r="V247" s="173" t="s">
        <v>355</v>
      </c>
      <c r="W247" s="173"/>
      <c r="X247" s="173"/>
      <c r="Z247" s="146" t="str">
        <f t="shared" ca="1" si="3"/>
        <v/>
      </c>
      <c r="AA247" s="146" t="str">
        <f ca="1">IFERROR(IF(OR(OFFSET('S4'!#REF!,MATCH($A247,'S4'!$D$5:$D$2535,0)-1,6)="巻返し",OFFSET('S4'!#REF!,MATCH($A247,'S4'!$D$5:$D$2535,0)-1,6)="スリット"),SUMIF('S4'!$D$5:$D$2535,$A247,'S4'!$U$5:$U$2535),""),"")</f>
        <v/>
      </c>
      <c r="AB247" s="146" t="str">
        <f ca="1">IFERROR(IF(OR(OFFSET('S5'!#REF!,MATCH($A247,'S5'!$D$5:$D$2103,0)-1,6)="巻返し",OFFSET('S5'!#REF!,MATCH($A247,'S5'!$D$5:$D$2103,0)-1,6)="スリット"),SUMIF('S5'!$D$5:$D$2103,$A247,'S5'!$T$5:$T$2103),""),"")</f>
        <v/>
      </c>
    </row>
    <row r="248" spans="1:28" s="141" customFormat="1" ht="11.25" x14ac:dyDescent="0.15">
      <c r="A248" s="173">
        <v>3689077</v>
      </c>
      <c r="B248" s="173" t="s">
        <v>351</v>
      </c>
      <c r="C248" s="173" t="s">
        <v>352</v>
      </c>
      <c r="D248" s="173" t="s">
        <v>353</v>
      </c>
      <c r="E248" s="173" t="s">
        <v>116</v>
      </c>
      <c r="F248" s="173">
        <v>3</v>
      </c>
      <c r="G248" s="173" t="s">
        <v>19</v>
      </c>
      <c r="H248" s="173" t="s">
        <v>28</v>
      </c>
      <c r="I248" s="173" t="s">
        <v>205</v>
      </c>
      <c r="J248" s="173"/>
      <c r="K248" s="173" t="s">
        <v>233</v>
      </c>
      <c r="L248" s="173">
        <v>50</v>
      </c>
      <c r="M248" s="173" t="s">
        <v>234</v>
      </c>
      <c r="N248" s="174">
        <v>1120</v>
      </c>
      <c r="O248" s="174">
        <v>1120</v>
      </c>
      <c r="P248" s="174">
        <v>4000</v>
      </c>
      <c r="Q248" s="173">
        <v>2</v>
      </c>
      <c r="R248" s="173">
        <v>6</v>
      </c>
      <c r="S248" s="173" t="s">
        <v>354</v>
      </c>
      <c r="T248" s="175">
        <v>44886</v>
      </c>
      <c r="U248" s="175">
        <v>44914</v>
      </c>
      <c r="V248" s="173" t="s">
        <v>355</v>
      </c>
      <c r="W248" s="173"/>
      <c r="X248" s="173"/>
      <c r="Z248" s="146" t="str">
        <f t="shared" ca="1" si="3"/>
        <v/>
      </c>
      <c r="AA248" s="146" t="str">
        <f ca="1">IFERROR(IF(OR(OFFSET('S4'!#REF!,MATCH($A248,'S4'!$D$5:$D$2535,0)-1,6)="巻返し",OFFSET('S4'!#REF!,MATCH($A248,'S4'!$D$5:$D$2535,0)-1,6)="スリット"),SUMIF('S4'!$D$5:$D$2535,$A248,'S4'!$U$5:$U$2535),""),"")</f>
        <v/>
      </c>
      <c r="AB248" s="146" t="str">
        <f ca="1">IFERROR(IF(OR(OFFSET('S5'!#REF!,MATCH($A248,'S5'!$D$5:$D$2103,0)-1,6)="巻返し",OFFSET('S5'!#REF!,MATCH($A248,'S5'!$D$5:$D$2103,0)-1,6)="スリット"),SUMIF('S5'!$D$5:$D$2103,$A248,'S5'!$T$5:$T$2103),""),"")</f>
        <v/>
      </c>
    </row>
    <row r="249" spans="1:28" s="141" customFormat="1" ht="11.25" x14ac:dyDescent="0.15">
      <c r="A249" s="173">
        <v>3691103</v>
      </c>
      <c r="B249" s="173" t="s">
        <v>351</v>
      </c>
      <c r="C249" s="173" t="s">
        <v>364</v>
      </c>
      <c r="D249" s="173" t="s">
        <v>353</v>
      </c>
      <c r="E249" s="173" t="s">
        <v>148</v>
      </c>
      <c r="F249" s="173">
        <v>3</v>
      </c>
      <c r="G249" s="173" t="s">
        <v>19</v>
      </c>
      <c r="H249" s="173" t="s">
        <v>20</v>
      </c>
      <c r="I249" s="173" t="s">
        <v>165</v>
      </c>
      <c r="J249" s="173"/>
      <c r="K249" s="173" t="s">
        <v>180</v>
      </c>
      <c r="L249" s="173">
        <v>25</v>
      </c>
      <c r="M249" s="173" t="s">
        <v>181</v>
      </c>
      <c r="N249" s="174">
        <v>1120</v>
      </c>
      <c r="O249" s="174">
        <v>1120</v>
      </c>
      <c r="P249" s="174">
        <v>4000</v>
      </c>
      <c r="Q249" s="173">
        <v>2</v>
      </c>
      <c r="R249" s="173">
        <v>2</v>
      </c>
      <c r="S249" s="173" t="s">
        <v>354</v>
      </c>
      <c r="T249" s="175">
        <v>44894</v>
      </c>
      <c r="U249" s="175">
        <v>44957</v>
      </c>
      <c r="V249" s="173" t="s">
        <v>355</v>
      </c>
      <c r="W249" s="173"/>
      <c r="X249" s="173"/>
      <c r="Z249" s="146" t="str">
        <f t="shared" ca="1" si="3"/>
        <v/>
      </c>
      <c r="AA249" s="146" t="str">
        <f ca="1">IFERROR(IF(OR(OFFSET('S4'!#REF!,MATCH($A249,'S4'!$D$5:$D$2535,0)-1,6)="巻返し",OFFSET('S4'!#REF!,MATCH($A249,'S4'!$D$5:$D$2535,0)-1,6)="スリット"),SUMIF('S4'!$D$5:$D$2535,$A249,'S4'!$U$5:$U$2535),""),"")</f>
        <v/>
      </c>
      <c r="AB249" s="146" t="str">
        <f ca="1">IFERROR(IF(OR(OFFSET('S5'!#REF!,MATCH($A249,'S5'!$D$5:$D$2103,0)-1,6)="巻返し",OFFSET('S5'!#REF!,MATCH($A249,'S5'!$D$5:$D$2103,0)-1,6)="スリット"),SUMIF('S5'!$D$5:$D$2103,$A249,'S5'!$T$5:$T$2103),""),"")</f>
        <v/>
      </c>
    </row>
    <row r="250" spans="1:28" s="141" customFormat="1" ht="11.25" x14ac:dyDescent="0.15">
      <c r="A250" s="173">
        <v>3691104</v>
      </c>
      <c r="B250" s="173" t="s">
        <v>351</v>
      </c>
      <c r="C250" s="173" t="s">
        <v>364</v>
      </c>
      <c r="D250" s="173" t="s">
        <v>353</v>
      </c>
      <c r="E250" s="173" t="s">
        <v>148</v>
      </c>
      <c r="F250" s="173">
        <v>3</v>
      </c>
      <c r="G250" s="173" t="s">
        <v>19</v>
      </c>
      <c r="H250" s="173" t="s">
        <v>20</v>
      </c>
      <c r="I250" s="173" t="s">
        <v>165</v>
      </c>
      <c r="J250" s="173"/>
      <c r="K250" s="173" t="s">
        <v>180</v>
      </c>
      <c r="L250" s="173">
        <v>50</v>
      </c>
      <c r="M250" s="173" t="s">
        <v>181</v>
      </c>
      <c r="N250" s="174">
        <v>1120</v>
      </c>
      <c r="O250" s="174">
        <v>1120</v>
      </c>
      <c r="P250" s="174">
        <v>4000</v>
      </c>
      <c r="Q250" s="173">
        <v>2</v>
      </c>
      <c r="R250" s="173">
        <v>8</v>
      </c>
      <c r="S250" s="173" t="s">
        <v>354</v>
      </c>
      <c r="T250" s="175">
        <v>44894</v>
      </c>
      <c r="U250" s="175">
        <v>44957</v>
      </c>
      <c r="V250" s="173" t="s">
        <v>355</v>
      </c>
      <c r="W250" s="173"/>
      <c r="X250" s="173"/>
      <c r="Z250" s="146" t="str">
        <f t="shared" ca="1" si="3"/>
        <v/>
      </c>
      <c r="AA250" s="146" t="str">
        <f ca="1">IFERROR(IF(OR(OFFSET('S4'!#REF!,MATCH($A250,'S4'!$D$5:$D$2535,0)-1,6)="巻返し",OFFSET('S4'!#REF!,MATCH($A250,'S4'!$D$5:$D$2535,0)-1,6)="スリット"),SUMIF('S4'!$D$5:$D$2535,$A250,'S4'!$U$5:$U$2535),""),"")</f>
        <v/>
      </c>
      <c r="AB250" s="146" t="str">
        <f ca="1">IFERROR(IF(OR(OFFSET('S5'!#REF!,MATCH($A250,'S5'!$D$5:$D$2103,0)-1,6)="巻返し",OFFSET('S5'!#REF!,MATCH($A250,'S5'!$D$5:$D$2103,0)-1,6)="スリット"),SUMIF('S5'!$D$5:$D$2103,$A250,'S5'!$T$5:$T$2103),""),"")</f>
        <v/>
      </c>
    </row>
    <row r="251" spans="1:28" s="141" customFormat="1" ht="11.25" x14ac:dyDescent="0.15">
      <c r="A251" s="173">
        <v>3691105</v>
      </c>
      <c r="B251" s="173" t="s">
        <v>351</v>
      </c>
      <c r="C251" s="173" t="s">
        <v>364</v>
      </c>
      <c r="D251" s="173" t="s">
        <v>353</v>
      </c>
      <c r="E251" s="173" t="s">
        <v>148</v>
      </c>
      <c r="F251" s="173">
        <v>3</v>
      </c>
      <c r="G251" s="173" t="s">
        <v>19</v>
      </c>
      <c r="H251" s="173" t="s">
        <v>20</v>
      </c>
      <c r="I251" s="173" t="s">
        <v>165</v>
      </c>
      <c r="J251" s="173"/>
      <c r="K251" s="173" t="s">
        <v>180</v>
      </c>
      <c r="L251" s="173">
        <v>25</v>
      </c>
      <c r="M251" s="173" t="s">
        <v>181</v>
      </c>
      <c r="N251" s="174">
        <v>1120</v>
      </c>
      <c r="O251" s="174">
        <v>1120</v>
      </c>
      <c r="P251" s="174">
        <v>4000</v>
      </c>
      <c r="Q251" s="173">
        <v>2</v>
      </c>
      <c r="R251" s="173">
        <v>2</v>
      </c>
      <c r="S251" s="173" t="s">
        <v>354</v>
      </c>
      <c r="T251" s="175">
        <v>44894</v>
      </c>
      <c r="U251" s="175">
        <v>44985</v>
      </c>
      <c r="V251" s="173" t="s">
        <v>355</v>
      </c>
      <c r="W251" s="173"/>
      <c r="X251" s="173"/>
      <c r="Z251" s="146" t="str">
        <f t="shared" ca="1" si="3"/>
        <v/>
      </c>
      <c r="AA251" s="146" t="str">
        <f ca="1">IFERROR(IF(OR(OFFSET('S4'!#REF!,MATCH($A251,'S4'!$D$5:$D$2535,0)-1,6)="巻返し",OFFSET('S4'!#REF!,MATCH($A251,'S4'!$D$5:$D$2535,0)-1,6)="スリット"),SUMIF('S4'!$D$5:$D$2535,$A251,'S4'!$U$5:$U$2535),""),"")</f>
        <v/>
      </c>
      <c r="AB251" s="146" t="str">
        <f ca="1">IFERROR(IF(OR(OFFSET('S5'!#REF!,MATCH($A251,'S5'!$D$5:$D$2103,0)-1,6)="巻返し",OFFSET('S5'!#REF!,MATCH($A251,'S5'!$D$5:$D$2103,0)-1,6)="スリット"),SUMIF('S5'!$D$5:$D$2103,$A251,'S5'!$T$5:$T$2103),""),"")</f>
        <v/>
      </c>
    </row>
    <row r="252" spans="1:28" s="141" customFormat="1" ht="11.25" x14ac:dyDescent="0.15">
      <c r="A252" s="173">
        <v>3691106</v>
      </c>
      <c r="B252" s="173" t="s">
        <v>351</v>
      </c>
      <c r="C252" s="173" t="s">
        <v>364</v>
      </c>
      <c r="D252" s="173" t="s">
        <v>353</v>
      </c>
      <c r="E252" s="173" t="s">
        <v>148</v>
      </c>
      <c r="F252" s="173">
        <v>3</v>
      </c>
      <c r="G252" s="173" t="s">
        <v>19</v>
      </c>
      <c r="H252" s="173" t="s">
        <v>20</v>
      </c>
      <c r="I252" s="173" t="s">
        <v>165</v>
      </c>
      <c r="J252" s="173"/>
      <c r="K252" s="173" t="s">
        <v>180</v>
      </c>
      <c r="L252" s="173">
        <v>50</v>
      </c>
      <c r="M252" s="173" t="s">
        <v>181</v>
      </c>
      <c r="N252" s="174">
        <v>1120</v>
      </c>
      <c r="O252" s="174">
        <v>1120</v>
      </c>
      <c r="P252" s="174">
        <v>4000</v>
      </c>
      <c r="Q252" s="173">
        <v>2</v>
      </c>
      <c r="R252" s="173">
        <v>8</v>
      </c>
      <c r="S252" s="173" t="s">
        <v>354</v>
      </c>
      <c r="T252" s="175">
        <v>44894</v>
      </c>
      <c r="U252" s="175">
        <v>44985</v>
      </c>
      <c r="V252" s="173" t="s">
        <v>355</v>
      </c>
      <c r="W252" s="173"/>
      <c r="X252" s="173"/>
      <c r="Z252" s="146" t="str">
        <f t="shared" ca="1" si="3"/>
        <v/>
      </c>
      <c r="AA252" s="146" t="str">
        <f ca="1">IFERROR(IF(OR(OFFSET('S4'!#REF!,MATCH($A252,'S4'!$D$5:$D$2535,0)-1,6)="巻返し",OFFSET('S4'!#REF!,MATCH($A252,'S4'!$D$5:$D$2535,0)-1,6)="スリット"),SUMIF('S4'!$D$5:$D$2535,$A252,'S4'!$U$5:$U$2535),""),"")</f>
        <v/>
      </c>
      <c r="AB252" s="146" t="str">
        <f ca="1">IFERROR(IF(OR(OFFSET('S5'!#REF!,MATCH($A252,'S5'!$D$5:$D$2103,0)-1,6)="巻返し",OFFSET('S5'!#REF!,MATCH($A252,'S5'!$D$5:$D$2103,0)-1,6)="スリット"),SUMIF('S5'!$D$5:$D$2103,$A252,'S5'!$T$5:$T$2103),""),"")</f>
        <v/>
      </c>
    </row>
    <row r="253" spans="1:28" s="141" customFormat="1" ht="11.25" x14ac:dyDescent="0.15">
      <c r="A253" s="173">
        <v>3691107</v>
      </c>
      <c r="B253" s="173" t="s">
        <v>351</v>
      </c>
      <c r="C253" s="173" t="s">
        <v>364</v>
      </c>
      <c r="D253" s="173" t="s">
        <v>353</v>
      </c>
      <c r="E253" s="173" t="s">
        <v>171</v>
      </c>
      <c r="F253" s="173" t="s">
        <v>96</v>
      </c>
      <c r="G253" s="173" t="s">
        <v>19</v>
      </c>
      <c r="H253" s="173" t="s">
        <v>20</v>
      </c>
      <c r="I253" s="173" t="s">
        <v>165</v>
      </c>
      <c r="J253" s="173"/>
      <c r="K253" s="173" t="s">
        <v>169</v>
      </c>
      <c r="L253" s="173">
        <v>50</v>
      </c>
      <c r="M253" s="173" t="s">
        <v>170</v>
      </c>
      <c r="N253" s="174">
        <v>1190</v>
      </c>
      <c r="O253" s="174">
        <v>1190</v>
      </c>
      <c r="P253" s="174">
        <v>6000</v>
      </c>
      <c r="Q253" s="173">
        <v>2</v>
      </c>
      <c r="R253" s="173">
        <v>10</v>
      </c>
      <c r="S253" s="173" t="s">
        <v>354</v>
      </c>
      <c r="T253" s="175">
        <v>44894</v>
      </c>
      <c r="U253" s="175">
        <v>44923</v>
      </c>
      <c r="V253" s="173" t="s">
        <v>355</v>
      </c>
      <c r="W253" s="173"/>
      <c r="X253" s="173"/>
      <c r="Z253" s="146" t="str">
        <f t="shared" ca="1" si="3"/>
        <v/>
      </c>
      <c r="AA253" s="146" t="str">
        <f ca="1">IFERROR(IF(OR(OFFSET('S4'!#REF!,MATCH($A253,'S4'!$D$5:$D$2535,0)-1,6)="巻返し",OFFSET('S4'!#REF!,MATCH($A253,'S4'!$D$5:$D$2535,0)-1,6)="スリット"),SUMIF('S4'!$D$5:$D$2535,$A253,'S4'!$U$5:$U$2535),""),"")</f>
        <v/>
      </c>
      <c r="AB253" s="146" t="str">
        <f ca="1">IFERROR(IF(OR(OFFSET('S5'!#REF!,MATCH($A253,'S5'!$D$5:$D$2103,0)-1,6)="巻返し",OFFSET('S5'!#REF!,MATCH($A253,'S5'!$D$5:$D$2103,0)-1,6)="スリット"),SUMIF('S5'!$D$5:$D$2103,$A253,'S5'!$T$5:$T$2103),""),"")</f>
        <v/>
      </c>
    </row>
    <row r="254" spans="1:28" s="141" customFormat="1" ht="11.25" x14ac:dyDescent="0.15">
      <c r="A254" s="173">
        <v>3691437</v>
      </c>
      <c r="B254" s="173" t="s">
        <v>423</v>
      </c>
      <c r="C254" s="173" t="s">
        <v>356</v>
      </c>
      <c r="D254" s="173" t="s">
        <v>353</v>
      </c>
      <c r="E254" s="173" t="s">
        <v>61</v>
      </c>
      <c r="F254" s="173">
        <v>3</v>
      </c>
      <c r="G254" s="173" t="s">
        <v>265</v>
      </c>
      <c r="H254" s="173" t="s">
        <v>20</v>
      </c>
      <c r="I254" s="173" t="s">
        <v>205</v>
      </c>
      <c r="J254" s="173"/>
      <c r="K254" s="173" t="s">
        <v>522</v>
      </c>
      <c r="L254" s="173">
        <v>12</v>
      </c>
      <c r="M254" s="173" t="s">
        <v>523</v>
      </c>
      <c r="N254" s="174">
        <v>600</v>
      </c>
      <c r="O254" s="174">
        <v>600</v>
      </c>
      <c r="P254" s="174">
        <v>3000</v>
      </c>
      <c r="Q254" s="173">
        <v>1</v>
      </c>
      <c r="R254" s="173">
        <v>4</v>
      </c>
      <c r="S254" s="173" t="s">
        <v>354</v>
      </c>
      <c r="T254" s="175">
        <v>44900</v>
      </c>
      <c r="U254" s="175">
        <v>44923</v>
      </c>
      <c r="V254" s="173" t="s">
        <v>355</v>
      </c>
      <c r="W254" s="173"/>
      <c r="X254" s="173"/>
      <c r="Z254" s="146" t="str">
        <f t="shared" ca="1" si="3"/>
        <v/>
      </c>
      <c r="AA254" s="146" t="str">
        <f ca="1">IFERROR(IF(OR(OFFSET('S4'!#REF!,MATCH($A254,'S4'!$D$5:$D$2535,0)-1,6)="巻返し",OFFSET('S4'!#REF!,MATCH($A254,'S4'!$D$5:$D$2535,0)-1,6)="スリット"),SUMIF('S4'!$D$5:$D$2535,$A254,'S4'!$U$5:$U$2535),""),"")</f>
        <v/>
      </c>
      <c r="AB254" s="146" t="str">
        <f ca="1">IFERROR(IF(OR(OFFSET('S5'!#REF!,MATCH($A254,'S5'!$D$5:$D$2103,0)-1,6)="巻返し",OFFSET('S5'!#REF!,MATCH($A254,'S5'!$D$5:$D$2103,0)-1,6)="スリット"),SUMIF('S5'!$D$5:$D$2103,$A254,'S5'!$T$5:$T$2103),""),"")</f>
        <v/>
      </c>
    </row>
    <row r="255" spans="1:28" s="141" customFormat="1" ht="11.25" x14ac:dyDescent="0.15">
      <c r="A255" s="173">
        <v>3692500</v>
      </c>
      <c r="B255" s="173" t="s">
        <v>423</v>
      </c>
      <c r="C255" s="173" t="s">
        <v>352</v>
      </c>
      <c r="D255" s="173" t="s">
        <v>353</v>
      </c>
      <c r="E255" s="173" t="s">
        <v>116</v>
      </c>
      <c r="F255" s="173">
        <v>3</v>
      </c>
      <c r="G255" s="173" t="s">
        <v>265</v>
      </c>
      <c r="H255" s="173" t="s">
        <v>20</v>
      </c>
      <c r="I255" s="173" t="s">
        <v>165</v>
      </c>
      <c r="J255" s="173"/>
      <c r="K255" s="173" t="s">
        <v>319</v>
      </c>
      <c r="L255" s="173">
        <v>25</v>
      </c>
      <c r="M255" s="173" t="s">
        <v>320</v>
      </c>
      <c r="N255" s="174">
        <v>1000</v>
      </c>
      <c r="O255" s="174">
        <v>1000</v>
      </c>
      <c r="P255" s="174">
        <v>2000</v>
      </c>
      <c r="Q255" s="173">
        <v>2</v>
      </c>
      <c r="R255" s="173">
        <v>3</v>
      </c>
      <c r="S255" s="173" t="s">
        <v>354</v>
      </c>
      <c r="T255" s="175">
        <v>44909</v>
      </c>
      <c r="U255" s="175">
        <v>44923</v>
      </c>
      <c r="V255" s="173" t="s">
        <v>355</v>
      </c>
      <c r="W255" s="173"/>
      <c r="X255" s="173"/>
      <c r="Z255" s="146" t="str">
        <f t="shared" ca="1" si="3"/>
        <v/>
      </c>
      <c r="AA255" s="146" t="str">
        <f ca="1">IFERROR(IF(OR(OFFSET('S4'!#REF!,MATCH($A255,'S4'!$D$5:$D$2535,0)-1,6)="巻返し",OFFSET('S4'!#REF!,MATCH($A255,'S4'!$D$5:$D$2535,0)-1,6)="スリット"),SUMIF('S4'!$D$5:$D$2535,$A255,'S4'!$U$5:$U$2535),""),"")</f>
        <v/>
      </c>
      <c r="AB255" s="146" t="str">
        <f ca="1">IFERROR(IF(OR(OFFSET('S5'!#REF!,MATCH($A255,'S5'!$D$5:$D$2103,0)-1,6)="巻返し",OFFSET('S5'!#REF!,MATCH($A255,'S5'!$D$5:$D$2103,0)-1,6)="スリット"),SUMIF('S5'!$D$5:$D$2103,$A255,'S5'!$T$5:$T$2103),""),"")</f>
        <v/>
      </c>
    </row>
    <row r="256" spans="1:28" s="141" customFormat="1" ht="11.25" x14ac:dyDescent="0.15">
      <c r="A256" s="173">
        <v>3692501</v>
      </c>
      <c r="B256" s="173" t="s">
        <v>423</v>
      </c>
      <c r="C256" s="173" t="s">
        <v>352</v>
      </c>
      <c r="D256" s="173" t="s">
        <v>353</v>
      </c>
      <c r="E256" s="173" t="s">
        <v>116</v>
      </c>
      <c r="F256" s="173">
        <v>3</v>
      </c>
      <c r="G256" s="173" t="s">
        <v>265</v>
      </c>
      <c r="H256" s="173" t="s">
        <v>20</v>
      </c>
      <c r="I256" s="173" t="s">
        <v>165</v>
      </c>
      <c r="J256" s="173"/>
      <c r="K256" s="173" t="s">
        <v>319</v>
      </c>
      <c r="L256" s="173">
        <v>50</v>
      </c>
      <c r="M256" s="173" t="s">
        <v>483</v>
      </c>
      <c r="N256" s="174">
        <v>1000</v>
      </c>
      <c r="O256" s="174">
        <v>1000</v>
      </c>
      <c r="P256" s="174">
        <v>2000</v>
      </c>
      <c r="Q256" s="173">
        <v>2</v>
      </c>
      <c r="R256" s="173">
        <v>2</v>
      </c>
      <c r="S256" s="173" t="s">
        <v>354</v>
      </c>
      <c r="T256" s="175">
        <v>44909</v>
      </c>
      <c r="U256" s="175">
        <v>44923</v>
      </c>
      <c r="V256" s="173" t="s">
        <v>355</v>
      </c>
      <c r="W256" s="173"/>
      <c r="X256" s="173"/>
      <c r="Z256" s="146" t="str">
        <f t="shared" ca="1" si="3"/>
        <v/>
      </c>
      <c r="AA256" s="146" t="str">
        <f ca="1">IFERROR(IF(OR(OFFSET('S4'!#REF!,MATCH($A256,'S4'!$D$5:$D$2535,0)-1,6)="巻返し",OFFSET('S4'!#REF!,MATCH($A256,'S4'!$D$5:$D$2535,0)-1,6)="スリット"),SUMIF('S4'!$D$5:$D$2535,$A256,'S4'!$U$5:$U$2535),""),"")</f>
        <v/>
      </c>
      <c r="AB256" s="146" t="str">
        <f ca="1">IFERROR(IF(OR(OFFSET('S5'!#REF!,MATCH($A256,'S5'!$D$5:$D$2103,0)-1,6)="巻返し",OFFSET('S5'!#REF!,MATCH($A256,'S5'!$D$5:$D$2103,0)-1,6)="スリット"),SUMIF('S5'!$D$5:$D$2103,$A256,'S5'!$T$5:$T$2103),""),"")</f>
        <v/>
      </c>
    </row>
    <row r="257" spans="1:28" s="141" customFormat="1" ht="11.25" x14ac:dyDescent="0.15">
      <c r="A257" s="173">
        <v>3694097</v>
      </c>
      <c r="B257" s="173" t="s">
        <v>351</v>
      </c>
      <c r="C257" s="173" t="s">
        <v>352</v>
      </c>
      <c r="D257" s="173" t="s">
        <v>353</v>
      </c>
      <c r="E257" s="173" t="s">
        <v>232</v>
      </c>
      <c r="F257" s="173">
        <v>3</v>
      </c>
      <c r="G257" s="173" t="s">
        <v>19</v>
      </c>
      <c r="H257" s="173" t="s">
        <v>20</v>
      </c>
      <c r="I257" s="173" t="s">
        <v>205</v>
      </c>
      <c r="J257" s="173"/>
      <c r="K257" s="173" t="s">
        <v>230</v>
      </c>
      <c r="L257" s="173">
        <v>25</v>
      </c>
      <c r="M257" s="173" t="s">
        <v>231</v>
      </c>
      <c r="N257" s="174">
        <v>1240</v>
      </c>
      <c r="O257" s="174">
        <v>1240</v>
      </c>
      <c r="P257" s="174">
        <v>2000</v>
      </c>
      <c r="Q257" s="173">
        <v>1</v>
      </c>
      <c r="R257" s="173">
        <v>6</v>
      </c>
      <c r="S257" s="173" t="s">
        <v>354</v>
      </c>
      <c r="T257" s="175">
        <v>44916</v>
      </c>
      <c r="U257" s="175">
        <v>44949</v>
      </c>
      <c r="V257" s="173" t="s">
        <v>355</v>
      </c>
      <c r="W257" s="173"/>
      <c r="X257" s="173"/>
      <c r="Z257" s="146" t="str">
        <f t="shared" ca="1" si="3"/>
        <v/>
      </c>
      <c r="AA257" s="146" t="str">
        <f ca="1">IFERROR(IF(OR(OFFSET('S4'!#REF!,MATCH($A257,'S4'!$D$5:$D$2535,0)-1,6)="巻返し",OFFSET('S4'!#REF!,MATCH($A257,'S4'!$D$5:$D$2535,0)-1,6)="スリット"),SUMIF('S4'!$D$5:$D$2535,$A257,'S4'!$U$5:$U$2535),""),"")</f>
        <v/>
      </c>
      <c r="AB257" s="146" t="str">
        <f ca="1">IFERROR(IF(OR(OFFSET('S5'!#REF!,MATCH($A257,'S5'!$D$5:$D$2103,0)-1,6)="巻返し",OFFSET('S5'!#REF!,MATCH($A257,'S5'!$D$5:$D$2103,0)-1,6)="スリット"),SUMIF('S5'!$D$5:$D$2103,$A257,'S5'!$T$5:$T$2103),""),"")</f>
        <v/>
      </c>
    </row>
    <row r="258" spans="1:28" s="141" customFormat="1" ht="11.25" x14ac:dyDescent="0.15">
      <c r="A258" s="173">
        <v>3694098</v>
      </c>
      <c r="B258" s="173" t="s">
        <v>351</v>
      </c>
      <c r="C258" s="173" t="s">
        <v>364</v>
      </c>
      <c r="D258" s="173" t="s">
        <v>353</v>
      </c>
      <c r="E258" s="173" t="s">
        <v>171</v>
      </c>
      <c r="F258" s="173" t="s">
        <v>96</v>
      </c>
      <c r="G258" s="173" t="s">
        <v>19</v>
      </c>
      <c r="H258" s="173" t="s">
        <v>20</v>
      </c>
      <c r="I258" s="173" t="s">
        <v>165</v>
      </c>
      <c r="J258" s="173"/>
      <c r="K258" s="173" t="s">
        <v>169</v>
      </c>
      <c r="L258" s="173">
        <v>50</v>
      </c>
      <c r="M258" s="173" t="s">
        <v>170</v>
      </c>
      <c r="N258" s="174">
        <v>1190</v>
      </c>
      <c r="O258" s="174">
        <v>1190</v>
      </c>
      <c r="P258" s="174">
        <v>6000</v>
      </c>
      <c r="Q258" s="173">
        <v>2</v>
      </c>
      <c r="R258" s="173">
        <v>8</v>
      </c>
      <c r="S258" s="173" t="s">
        <v>354</v>
      </c>
      <c r="T258" s="175">
        <v>44916</v>
      </c>
      <c r="U258" s="175">
        <v>44949</v>
      </c>
      <c r="V258" s="173" t="s">
        <v>355</v>
      </c>
      <c r="W258" s="173"/>
      <c r="X258" s="173"/>
      <c r="Z258" s="146" t="str">
        <f t="shared" ca="1" si="3"/>
        <v/>
      </c>
      <c r="AA258" s="146" t="str">
        <f ca="1">IFERROR(IF(OR(OFFSET('S4'!#REF!,MATCH($A258,'S4'!$D$5:$D$2535,0)-1,6)="巻返し",OFFSET('S4'!#REF!,MATCH($A258,'S4'!$D$5:$D$2535,0)-1,6)="スリット"),SUMIF('S4'!$D$5:$D$2535,$A258,'S4'!$U$5:$U$2535),""),"")</f>
        <v/>
      </c>
      <c r="AB258" s="146" t="str">
        <f ca="1">IFERROR(IF(OR(OFFSET('S5'!#REF!,MATCH($A258,'S5'!$D$5:$D$2103,0)-1,6)="巻返し",OFFSET('S5'!#REF!,MATCH($A258,'S5'!$D$5:$D$2103,0)-1,6)="スリット"),SUMIF('S5'!$D$5:$D$2103,$A258,'S5'!$T$5:$T$2103),""),"")</f>
        <v/>
      </c>
    </row>
    <row r="259" spans="1:28" s="141" customFormat="1" ht="11.25" x14ac:dyDescent="0.15">
      <c r="A259" s="173">
        <v>3694099</v>
      </c>
      <c r="B259" s="173" t="s">
        <v>351</v>
      </c>
      <c r="C259" s="173" t="s">
        <v>364</v>
      </c>
      <c r="D259" s="173" t="s">
        <v>353</v>
      </c>
      <c r="E259" s="173" t="s">
        <v>148</v>
      </c>
      <c r="F259" s="173">
        <v>3</v>
      </c>
      <c r="G259" s="173" t="s">
        <v>19</v>
      </c>
      <c r="H259" s="173" t="s">
        <v>20</v>
      </c>
      <c r="I259" s="173" t="s">
        <v>165</v>
      </c>
      <c r="J259" s="173"/>
      <c r="K259" s="173" t="s">
        <v>169</v>
      </c>
      <c r="L259" s="173">
        <v>50</v>
      </c>
      <c r="M259" s="173" t="s">
        <v>170</v>
      </c>
      <c r="N259" s="174">
        <v>1120</v>
      </c>
      <c r="O259" s="174">
        <v>1120</v>
      </c>
      <c r="P259" s="174">
        <v>6000</v>
      </c>
      <c r="Q259" s="173">
        <v>2</v>
      </c>
      <c r="R259" s="173">
        <v>2</v>
      </c>
      <c r="S259" s="173" t="s">
        <v>354</v>
      </c>
      <c r="T259" s="175">
        <v>44916</v>
      </c>
      <c r="U259" s="175">
        <v>44949</v>
      </c>
      <c r="V259" s="173" t="s">
        <v>355</v>
      </c>
      <c r="W259" s="173"/>
      <c r="X259" s="173"/>
      <c r="Z259" s="146" t="str">
        <f t="shared" ca="1" si="3"/>
        <v/>
      </c>
      <c r="AA259" s="146" t="str">
        <f ca="1">IFERROR(IF(OR(OFFSET('S4'!#REF!,MATCH($A259,'S4'!$D$5:$D$2535,0)-1,6)="巻返し",OFFSET('S4'!#REF!,MATCH($A259,'S4'!$D$5:$D$2535,0)-1,6)="スリット"),SUMIF('S4'!$D$5:$D$2535,$A259,'S4'!$U$5:$U$2535),""),"")</f>
        <v/>
      </c>
      <c r="AB259" s="146" t="str">
        <f ca="1">IFERROR(IF(OR(OFFSET('S5'!#REF!,MATCH($A259,'S5'!$D$5:$D$2103,0)-1,6)="巻返し",OFFSET('S5'!#REF!,MATCH($A259,'S5'!$D$5:$D$2103,0)-1,6)="スリット"),SUMIF('S5'!$D$5:$D$2103,$A259,'S5'!$T$5:$T$2103),""),"")</f>
        <v/>
      </c>
    </row>
    <row r="260" spans="1:28" s="141" customFormat="1" ht="11.25" x14ac:dyDescent="0.15">
      <c r="A260" s="173">
        <v>3694100</v>
      </c>
      <c r="B260" s="173" t="s">
        <v>351</v>
      </c>
      <c r="C260" s="173" t="s">
        <v>364</v>
      </c>
      <c r="D260" s="173" t="s">
        <v>353</v>
      </c>
      <c r="E260" s="173" t="s">
        <v>171</v>
      </c>
      <c r="F260" s="173">
        <v>3</v>
      </c>
      <c r="G260" s="173" t="s">
        <v>19</v>
      </c>
      <c r="H260" s="173" t="s">
        <v>20</v>
      </c>
      <c r="I260" s="173" t="s">
        <v>165</v>
      </c>
      <c r="J260" s="173"/>
      <c r="K260" s="173" t="s">
        <v>180</v>
      </c>
      <c r="L260" s="173">
        <v>50</v>
      </c>
      <c r="M260" s="173" t="s">
        <v>181</v>
      </c>
      <c r="N260" s="174">
        <v>1200</v>
      </c>
      <c r="O260" s="174">
        <v>1190</v>
      </c>
      <c r="P260" s="174">
        <v>6000</v>
      </c>
      <c r="Q260" s="173">
        <v>2</v>
      </c>
      <c r="R260" s="173">
        <v>4</v>
      </c>
      <c r="S260" s="173" t="s">
        <v>354</v>
      </c>
      <c r="T260" s="175">
        <v>44916</v>
      </c>
      <c r="U260" s="175">
        <v>44949</v>
      </c>
      <c r="V260" s="173" t="s">
        <v>355</v>
      </c>
      <c r="W260" s="173"/>
      <c r="X260" s="173"/>
      <c r="Z260" s="146" t="str">
        <f t="shared" ref="Z260:Z323" ca="1" si="4">IF(SUM(AA260:AB260)=0,"",SUM(AA260:AB260))</f>
        <v/>
      </c>
      <c r="AA260" s="146" t="str">
        <f ca="1">IFERROR(IF(OR(OFFSET('S4'!#REF!,MATCH($A260,'S4'!$D$5:$D$2535,0)-1,6)="巻返し",OFFSET('S4'!#REF!,MATCH($A260,'S4'!$D$5:$D$2535,0)-1,6)="スリット"),SUMIF('S4'!$D$5:$D$2535,$A260,'S4'!$U$5:$U$2535),""),"")</f>
        <v/>
      </c>
      <c r="AB260" s="146" t="str">
        <f ca="1">IFERROR(IF(OR(OFFSET('S5'!#REF!,MATCH($A260,'S5'!$D$5:$D$2103,0)-1,6)="巻返し",OFFSET('S5'!#REF!,MATCH($A260,'S5'!$D$5:$D$2103,0)-1,6)="スリット"),SUMIF('S5'!$D$5:$D$2103,$A260,'S5'!$T$5:$T$2103),""),"")</f>
        <v/>
      </c>
    </row>
    <row r="261" spans="1:28" s="141" customFormat="1" ht="11.25" x14ac:dyDescent="0.15">
      <c r="A261" s="173">
        <v>3694102</v>
      </c>
      <c r="B261" s="173" t="s">
        <v>351</v>
      </c>
      <c r="C261" s="173" t="s">
        <v>352</v>
      </c>
      <c r="D261" s="173" t="s">
        <v>353</v>
      </c>
      <c r="E261" s="173" t="s">
        <v>116</v>
      </c>
      <c r="F261" s="173">
        <v>3</v>
      </c>
      <c r="G261" s="173" t="s">
        <v>19</v>
      </c>
      <c r="H261" s="173" t="s">
        <v>20</v>
      </c>
      <c r="I261" s="173" t="s">
        <v>205</v>
      </c>
      <c r="J261" s="173"/>
      <c r="K261" s="173" t="s">
        <v>212</v>
      </c>
      <c r="L261" s="173">
        <v>25</v>
      </c>
      <c r="M261" s="173" t="s">
        <v>213</v>
      </c>
      <c r="N261" s="174">
        <v>1000</v>
      </c>
      <c r="O261" s="174">
        <v>1000</v>
      </c>
      <c r="P261" s="174">
        <v>4000</v>
      </c>
      <c r="Q261" s="173">
        <v>2</v>
      </c>
      <c r="R261" s="173">
        <v>3</v>
      </c>
      <c r="S261" s="173" t="s">
        <v>354</v>
      </c>
      <c r="T261" s="175">
        <v>44916</v>
      </c>
      <c r="U261" s="175">
        <v>44949</v>
      </c>
      <c r="V261" s="173" t="s">
        <v>355</v>
      </c>
      <c r="W261" s="173"/>
      <c r="X261" s="173"/>
      <c r="Z261" s="146" t="str">
        <f t="shared" ca="1" si="4"/>
        <v/>
      </c>
      <c r="AA261" s="146" t="str">
        <f ca="1">IFERROR(IF(OR(OFFSET('S4'!#REF!,MATCH($A261,'S4'!$D$5:$D$2535,0)-1,6)="巻返し",OFFSET('S4'!#REF!,MATCH($A261,'S4'!$D$5:$D$2535,0)-1,6)="スリット"),SUMIF('S4'!$D$5:$D$2535,$A261,'S4'!$U$5:$U$2535),""),"")</f>
        <v/>
      </c>
      <c r="AB261" s="146" t="str">
        <f ca="1">IFERROR(IF(OR(OFFSET('S5'!#REF!,MATCH($A261,'S5'!$D$5:$D$2103,0)-1,6)="巻返し",OFFSET('S5'!#REF!,MATCH($A261,'S5'!$D$5:$D$2103,0)-1,6)="スリット"),SUMIF('S5'!$D$5:$D$2103,$A261,'S5'!$T$5:$T$2103),""),"")</f>
        <v/>
      </c>
    </row>
    <row r="262" spans="1:28" s="141" customFormat="1" ht="11.25" x14ac:dyDescent="0.15">
      <c r="A262" s="173">
        <v>3694103</v>
      </c>
      <c r="B262" s="173" t="s">
        <v>351</v>
      </c>
      <c r="C262" s="173" t="s">
        <v>352</v>
      </c>
      <c r="D262" s="173" t="s">
        <v>353</v>
      </c>
      <c r="E262" s="173" t="s">
        <v>116</v>
      </c>
      <c r="F262" s="173">
        <v>3</v>
      </c>
      <c r="G262" s="173" t="s">
        <v>19</v>
      </c>
      <c r="H262" s="173" t="s">
        <v>20</v>
      </c>
      <c r="I262" s="173" t="s">
        <v>205</v>
      </c>
      <c r="J262" s="173"/>
      <c r="K262" s="173" t="s">
        <v>212</v>
      </c>
      <c r="L262" s="173">
        <v>25</v>
      </c>
      <c r="M262" s="173" t="s">
        <v>213</v>
      </c>
      <c r="N262" s="174">
        <v>1120</v>
      </c>
      <c r="O262" s="174">
        <v>1120</v>
      </c>
      <c r="P262" s="174">
        <v>4000</v>
      </c>
      <c r="Q262" s="173">
        <v>2</v>
      </c>
      <c r="R262" s="173">
        <v>9</v>
      </c>
      <c r="S262" s="173" t="s">
        <v>354</v>
      </c>
      <c r="T262" s="175">
        <v>44916</v>
      </c>
      <c r="U262" s="175">
        <v>44949</v>
      </c>
      <c r="V262" s="173" t="s">
        <v>355</v>
      </c>
      <c r="W262" s="173"/>
      <c r="X262" s="173"/>
      <c r="Z262" s="146" t="str">
        <f t="shared" ca="1" si="4"/>
        <v/>
      </c>
      <c r="AA262" s="146" t="str">
        <f ca="1">IFERROR(IF(OR(OFFSET('S4'!#REF!,MATCH($A262,'S4'!$D$5:$D$2535,0)-1,6)="巻返し",OFFSET('S4'!#REF!,MATCH($A262,'S4'!$D$5:$D$2535,0)-1,6)="スリット"),SUMIF('S4'!$D$5:$D$2535,$A262,'S4'!$U$5:$U$2535),""),"")</f>
        <v/>
      </c>
      <c r="AB262" s="146" t="str">
        <f ca="1">IFERROR(IF(OR(OFFSET('S5'!#REF!,MATCH($A262,'S5'!$D$5:$D$2103,0)-1,6)="巻返し",OFFSET('S5'!#REF!,MATCH($A262,'S5'!$D$5:$D$2103,0)-1,6)="スリット"),SUMIF('S5'!$D$5:$D$2103,$A262,'S5'!$T$5:$T$2103),""),"")</f>
        <v/>
      </c>
    </row>
    <row r="263" spans="1:28" s="141" customFormat="1" ht="11.25" x14ac:dyDescent="0.15">
      <c r="A263" s="173">
        <v>3694104</v>
      </c>
      <c r="B263" s="173" t="s">
        <v>351</v>
      </c>
      <c r="C263" s="173" t="s">
        <v>352</v>
      </c>
      <c r="D263" s="173" t="s">
        <v>353</v>
      </c>
      <c r="E263" s="173" t="s">
        <v>116</v>
      </c>
      <c r="F263" s="173">
        <v>3</v>
      </c>
      <c r="G263" s="173" t="s">
        <v>19</v>
      </c>
      <c r="H263" s="173" t="s">
        <v>20</v>
      </c>
      <c r="I263" s="173" t="s">
        <v>205</v>
      </c>
      <c r="J263" s="173"/>
      <c r="K263" s="173" t="s">
        <v>212</v>
      </c>
      <c r="L263" s="173">
        <v>50</v>
      </c>
      <c r="M263" s="173" t="s">
        <v>213</v>
      </c>
      <c r="N263" s="174">
        <v>1120</v>
      </c>
      <c r="O263" s="174">
        <v>1120</v>
      </c>
      <c r="P263" s="174">
        <v>4000</v>
      </c>
      <c r="Q263" s="173">
        <v>2</v>
      </c>
      <c r="R263" s="173">
        <v>24</v>
      </c>
      <c r="S263" s="173" t="s">
        <v>354</v>
      </c>
      <c r="T263" s="175">
        <v>44916</v>
      </c>
      <c r="U263" s="175">
        <v>44963</v>
      </c>
      <c r="V263" s="173" t="s">
        <v>355</v>
      </c>
      <c r="W263" s="173"/>
      <c r="X263" s="173"/>
      <c r="Z263" s="146" t="str">
        <f t="shared" ca="1" si="4"/>
        <v/>
      </c>
      <c r="AA263" s="146" t="str">
        <f ca="1">IFERROR(IF(OR(OFFSET('S4'!#REF!,MATCH($A263,'S4'!$D$5:$D$2535,0)-1,6)="巻返し",OFFSET('S4'!#REF!,MATCH($A263,'S4'!$D$5:$D$2535,0)-1,6)="スリット"),SUMIF('S4'!$D$5:$D$2535,$A263,'S4'!$U$5:$U$2535),""),"")</f>
        <v/>
      </c>
      <c r="AB263" s="146" t="str">
        <f ca="1">IFERROR(IF(OR(OFFSET('S5'!#REF!,MATCH($A263,'S5'!$D$5:$D$2103,0)-1,6)="巻返し",OFFSET('S5'!#REF!,MATCH($A263,'S5'!$D$5:$D$2103,0)-1,6)="スリット"),SUMIF('S5'!$D$5:$D$2103,$A263,'S5'!$T$5:$T$2103),""),"")</f>
        <v/>
      </c>
    </row>
    <row r="264" spans="1:28" s="141" customFormat="1" ht="11.25" x14ac:dyDescent="0.15">
      <c r="A264" s="173">
        <v>3694105</v>
      </c>
      <c r="B264" s="173" t="s">
        <v>351</v>
      </c>
      <c r="C264" s="173" t="s">
        <v>352</v>
      </c>
      <c r="D264" s="173" t="s">
        <v>353</v>
      </c>
      <c r="E264" s="173" t="s">
        <v>116</v>
      </c>
      <c r="F264" s="173">
        <v>3</v>
      </c>
      <c r="G264" s="173" t="s">
        <v>19</v>
      </c>
      <c r="H264" s="173" t="s">
        <v>20</v>
      </c>
      <c r="I264" s="173" t="s">
        <v>205</v>
      </c>
      <c r="J264" s="173"/>
      <c r="K264" s="173" t="s">
        <v>211</v>
      </c>
      <c r="L264" s="173">
        <v>38</v>
      </c>
      <c r="M264" s="173" t="s">
        <v>370</v>
      </c>
      <c r="N264" s="174">
        <v>1005</v>
      </c>
      <c r="O264" s="174">
        <v>1000</v>
      </c>
      <c r="P264" s="174">
        <v>4000</v>
      </c>
      <c r="Q264" s="173">
        <v>2</v>
      </c>
      <c r="R264" s="173">
        <v>3</v>
      </c>
      <c r="S264" s="173" t="s">
        <v>354</v>
      </c>
      <c r="T264" s="175">
        <v>44916</v>
      </c>
      <c r="U264" s="175">
        <v>44949</v>
      </c>
      <c r="V264" s="173" t="s">
        <v>355</v>
      </c>
      <c r="W264" s="173"/>
      <c r="X264" s="173"/>
      <c r="Z264" s="146" t="str">
        <f t="shared" ca="1" si="4"/>
        <v/>
      </c>
      <c r="AA264" s="146" t="str">
        <f ca="1">IFERROR(IF(OR(OFFSET('S4'!#REF!,MATCH($A264,'S4'!$D$5:$D$2535,0)-1,6)="巻返し",OFFSET('S4'!#REF!,MATCH($A264,'S4'!$D$5:$D$2535,0)-1,6)="スリット"),SUMIF('S4'!$D$5:$D$2535,$A264,'S4'!$U$5:$U$2535),""),"")</f>
        <v/>
      </c>
      <c r="AB264" s="146" t="str">
        <f ca="1">IFERROR(IF(OR(OFFSET('S5'!#REF!,MATCH($A264,'S5'!$D$5:$D$2103,0)-1,6)="巻返し",OFFSET('S5'!#REF!,MATCH($A264,'S5'!$D$5:$D$2103,0)-1,6)="スリット"),SUMIF('S5'!$D$5:$D$2103,$A264,'S5'!$T$5:$T$2103),""),"")</f>
        <v/>
      </c>
    </row>
    <row r="265" spans="1:28" s="141" customFormat="1" ht="11.25" x14ac:dyDescent="0.15">
      <c r="A265" s="173">
        <v>3694106</v>
      </c>
      <c r="B265" s="173" t="s">
        <v>351</v>
      </c>
      <c r="C265" s="173" t="s">
        <v>352</v>
      </c>
      <c r="D265" s="173" t="s">
        <v>353</v>
      </c>
      <c r="E265" s="173" t="s">
        <v>116</v>
      </c>
      <c r="F265" s="173">
        <v>3</v>
      </c>
      <c r="G265" s="173" t="s">
        <v>19</v>
      </c>
      <c r="H265" s="173" t="s">
        <v>20</v>
      </c>
      <c r="I265" s="173" t="s">
        <v>205</v>
      </c>
      <c r="J265" s="173"/>
      <c r="K265" s="173" t="s">
        <v>211</v>
      </c>
      <c r="L265" s="173">
        <v>50</v>
      </c>
      <c r="M265" s="173" t="s">
        <v>370</v>
      </c>
      <c r="N265" s="174">
        <v>1050</v>
      </c>
      <c r="O265" s="174">
        <v>1050</v>
      </c>
      <c r="P265" s="174">
        <v>4100</v>
      </c>
      <c r="Q265" s="173">
        <v>2</v>
      </c>
      <c r="R265" s="173">
        <v>3</v>
      </c>
      <c r="S265" s="173" t="s">
        <v>354</v>
      </c>
      <c r="T265" s="175">
        <v>44916</v>
      </c>
      <c r="U265" s="175">
        <v>44949</v>
      </c>
      <c r="V265" s="173" t="s">
        <v>355</v>
      </c>
      <c r="W265" s="173"/>
      <c r="X265" s="173"/>
      <c r="Z265" s="146" t="str">
        <f t="shared" ca="1" si="4"/>
        <v/>
      </c>
      <c r="AA265" s="146" t="str">
        <f ca="1">IFERROR(IF(OR(OFFSET('S4'!#REF!,MATCH($A265,'S4'!$D$5:$D$2535,0)-1,6)="巻返し",OFFSET('S4'!#REF!,MATCH($A265,'S4'!$D$5:$D$2535,0)-1,6)="スリット"),SUMIF('S4'!$D$5:$D$2535,$A265,'S4'!$U$5:$U$2535),""),"")</f>
        <v/>
      </c>
      <c r="AB265" s="146" t="str">
        <f ca="1">IFERROR(IF(OR(OFFSET('S5'!#REF!,MATCH($A265,'S5'!$D$5:$D$2103,0)-1,6)="巻返し",OFFSET('S5'!#REF!,MATCH($A265,'S5'!$D$5:$D$2103,0)-1,6)="スリット"),SUMIF('S5'!$D$5:$D$2103,$A265,'S5'!$T$5:$T$2103),""),"")</f>
        <v/>
      </c>
    </row>
    <row r="266" spans="1:28" s="141" customFormat="1" ht="11.25" x14ac:dyDescent="0.15">
      <c r="A266" s="173">
        <v>3694107</v>
      </c>
      <c r="B266" s="173" t="s">
        <v>351</v>
      </c>
      <c r="C266" s="173" t="s">
        <v>352</v>
      </c>
      <c r="D266" s="173" t="s">
        <v>353</v>
      </c>
      <c r="E266" s="173" t="s">
        <v>116</v>
      </c>
      <c r="F266" s="173">
        <v>3</v>
      </c>
      <c r="G266" s="173" t="s">
        <v>19</v>
      </c>
      <c r="H266" s="173" t="s">
        <v>20</v>
      </c>
      <c r="I266" s="173" t="s">
        <v>165</v>
      </c>
      <c r="J266" s="173"/>
      <c r="K266" s="173" t="s">
        <v>185</v>
      </c>
      <c r="L266" s="173">
        <v>50</v>
      </c>
      <c r="M266" s="173" t="s">
        <v>186</v>
      </c>
      <c r="N266" s="174">
        <v>1005</v>
      </c>
      <c r="O266" s="174">
        <v>1000</v>
      </c>
      <c r="P266" s="174">
        <v>4000</v>
      </c>
      <c r="Q266" s="173">
        <v>2</v>
      </c>
      <c r="R266" s="173">
        <v>3</v>
      </c>
      <c r="S266" s="173" t="s">
        <v>354</v>
      </c>
      <c r="T266" s="175">
        <v>44916</v>
      </c>
      <c r="U266" s="175">
        <v>44949</v>
      </c>
      <c r="V266" s="173" t="s">
        <v>355</v>
      </c>
      <c r="W266" s="173"/>
      <c r="X266" s="173"/>
      <c r="Z266" s="146" t="str">
        <f t="shared" ca="1" si="4"/>
        <v/>
      </c>
      <c r="AA266" s="146" t="str">
        <f ca="1">IFERROR(IF(OR(OFFSET('S4'!#REF!,MATCH($A266,'S4'!$D$5:$D$2535,0)-1,6)="巻返し",OFFSET('S4'!#REF!,MATCH($A266,'S4'!$D$5:$D$2535,0)-1,6)="スリット"),SUMIF('S4'!$D$5:$D$2535,$A266,'S4'!$U$5:$U$2535),""),"")</f>
        <v/>
      </c>
      <c r="AB266" s="146" t="str">
        <f ca="1">IFERROR(IF(OR(OFFSET('S5'!#REF!,MATCH($A266,'S5'!$D$5:$D$2103,0)-1,6)="巻返し",OFFSET('S5'!#REF!,MATCH($A266,'S5'!$D$5:$D$2103,0)-1,6)="スリット"),SUMIF('S5'!$D$5:$D$2103,$A266,'S5'!$T$5:$T$2103),""),"")</f>
        <v/>
      </c>
    </row>
    <row r="267" spans="1:28" s="141" customFormat="1" ht="11.25" x14ac:dyDescent="0.15">
      <c r="A267" s="173">
        <v>3694109</v>
      </c>
      <c r="B267" s="173" t="s">
        <v>351</v>
      </c>
      <c r="C267" s="173" t="s">
        <v>352</v>
      </c>
      <c r="D267" s="173" t="s">
        <v>353</v>
      </c>
      <c r="E267" s="173" t="s">
        <v>116</v>
      </c>
      <c r="F267" s="173">
        <v>3</v>
      </c>
      <c r="G267" s="173" t="s">
        <v>19</v>
      </c>
      <c r="H267" s="173" t="s">
        <v>20</v>
      </c>
      <c r="I267" s="173" t="s">
        <v>165</v>
      </c>
      <c r="J267" s="173"/>
      <c r="K267" s="173" t="s">
        <v>245</v>
      </c>
      <c r="L267" s="173">
        <v>16</v>
      </c>
      <c r="M267" s="173" t="s">
        <v>366</v>
      </c>
      <c r="N267" s="174">
        <v>1005</v>
      </c>
      <c r="O267" s="174">
        <v>1000</v>
      </c>
      <c r="P267" s="174">
        <v>3200</v>
      </c>
      <c r="Q267" s="173">
        <v>2</v>
      </c>
      <c r="R267" s="173">
        <v>1</v>
      </c>
      <c r="S267" s="173" t="s">
        <v>354</v>
      </c>
      <c r="T267" s="175">
        <v>44916</v>
      </c>
      <c r="U267" s="175">
        <v>44951</v>
      </c>
      <c r="V267" s="173" t="s">
        <v>355</v>
      </c>
      <c r="W267" s="173"/>
      <c r="X267" s="173"/>
      <c r="Z267" s="146" t="str">
        <f t="shared" ca="1" si="4"/>
        <v/>
      </c>
      <c r="AA267" s="146" t="str">
        <f ca="1">IFERROR(IF(OR(OFFSET('S4'!#REF!,MATCH($A267,'S4'!$D$5:$D$2535,0)-1,6)="巻返し",OFFSET('S4'!#REF!,MATCH($A267,'S4'!$D$5:$D$2535,0)-1,6)="スリット"),SUMIF('S4'!$D$5:$D$2535,$A267,'S4'!$U$5:$U$2535),""),"")</f>
        <v/>
      </c>
      <c r="AB267" s="146" t="str">
        <f ca="1">IFERROR(IF(OR(OFFSET('S5'!#REF!,MATCH($A267,'S5'!$D$5:$D$2103,0)-1,6)="巻返し",OFFSET('S5'!#REF!,MATCH($A267,'S5'!$D$5:$D$2103,0)-1,6)="スリット"),SUMIF('S5'!$D$5:$D$2103,$A267,'S5'!$T$5:$T$2103),""),"")</f>
        <v/>
      </c>
    </row>
    <row r="268" spans="1:28" s="141" customFormat="1" ht="11.25" x14ac:dyDescent="0.15">
      <c r="A268" s="173">
        <v>3694110</v>
      </c>
      <c r="B268" s="173" t="s">
        <v>351</v>
      </c>
      <c r="C268" s="173" t="s">
        <v>352</v>
      </c>
      <c r="D268" s="173" t="s">
        <v>353</v>
      </c>
      <c r="E268" s="173" t="s">
        <v>116</v>
      </c>
      <c r="F268" s="173">
        <v>3</v>
      </c>
      <c r="G268" s="173" t="s">
        <v>19</v>
      </c>
      <c r="H268" s="173" t="s">
        <v>20</v>
      </c>
      <c r="I268" s="173" t="s">
        <v>205</v>
      </c>
      <c r="J268" s="173"/>
      <c r="K268" s="173" t="s">
        <v>216</v>
      </c>
      <c r="L268" s="173">
        <v>25</v>
      </c>
      <c r="M268" s="173" t="s">
        <v>217</v>
      </c>
      <c r="N268" s="174">
        <v>1005</v>
      </c>
      <c r="O268" s="174">
        <v>1000</v>
      </c>
      <c r="P268" s="174">
        <v>4000</v>
      </c>
      <c r="Q268" s="173">
        <v>2</v>
      </c>
      <c r="R268" s="173">
        <v>15</v>
      </c>
      <c r="S268" s="173" t="s">
        <v>354</v>
      </c>
      <c r="T268" s="175">
        <v>44916</v>
      </c>
      <c r="U268" s="175">
        <v>44949</v>
      </c>
      <c r="V268" s="173" t="s">
        <v>355</v>
      </c>
      <c r="W268" s="173"/>
      <c r="X268" s="173"/>
      <c r="Z268" s="146" t="str">
        <f t="shared" ca="1" si="4"/>
        <v/>
      </c>
      <c r="AA268" s="146" t="str">
        <f ca="1">IFERROR(IF(OR(OFFSET('S4'!#REF!,MATCH($A268,'S4'!$D$5:$D$2535,0)-1,6)="巻返し",OFFSET('S4'!#REF!,MATCH($A268,'S4'!$D$5:$D$2535,0)-1,6)="スリット"),SUMIF('S4'!$D$5:$D$2535,$A268,'S4'!$U$5:$U$2535),""),"")</f>
        <v/>
      </c>
      <c r="AB268" s="146" t="str">
        <f ca="1">IFERROR(IF(OR(OFFSET('S5'!#REF!,MATCH($A268,'S5'!$D$5:$D$2103,0)-1,6)="巻返し",OFFSET('S5'!#REF!,MATCH($A268,'S5'!$D$5:$D$2103,0)-1,6)="スリット"),SUMIF('S5'!$D$5:$D$2103,$A268,'S5'!$T$5:$T$2103),""),"")</f>
        <v/>
      </c>
    </row>
    <row r="269" spans="1:28" s="141" customFormat="1" ht="11.25" x14ac:dyDescent="0.15">
      <c r="A269" s="173">
        <v>3694111</v>
      </c>
      <c r="B269" s="173" t="s">
        <v>351</v>
      </c>
      <c r="C269" s="173" t="s">
        <v>352</v>
      </c>
      <c r="D269" s="173" t="s">
        <v>353</v>
      </c>
      <c r="E269" s="173" t="s">
        <v>116</v>
      </c>
      <c r="F269" s="173">
        <v>3</v>
      </c>
      <c r="G269" s="173" t="s">
        <v>19</v>
      </c>
      <c r="H269" s="173" t="s">
        <v>20</v>
      </c>
      <c r="I269" s="173" t="s">
        <v>205</v>
      </c>
      <c r="J269" s="173"/>
      <c r="K269" s="173" t="s">
        <v>216</v>
      </c>
      <c r="L269" s="173">
        <v>50</v>
      </c>
      <c r="M269" s="173" t="s">
        <v>217</v>
      </c>
      <c r="N269" s="174">
        <v>1120</v>
      </c>
      <c r="O269" s="174">
        <v>1120</v>
      </c>
      <c r="P269" s="174">
        <v>5000</v>
      </c>
      <c r="Q269" s="173">
        <v>2</v>
      </c>
      <c r="R269" s="173">
        <v>12</v>
      </c>
      <c r="S269" s="173" t="s">
        <v>354</v>
      </c>
      <c r="T269" s="175">
        <v>44916</v>
      </c>
      <c r="U269" s="175">
        <v>44949</v>
      </c>
      <c r="V269" s="173" t="s">
        <v>355</v>
      </c>
      <c r="W269" s="173"/>
      <c r="X269" s="173"/>
      <c r="Z269" s="146" t="str">
        <f t="shared" ca="1" si="4"/>
        <v/>
      </c>
      <c r="AA269" s="146" t="str">
        <f ca="1">IFERROR(IF(OR(OFFSET('S4'!#REF!,MATCH($A269,'S4'!$D$5:$D$2535,0)-1,6)="巻返し",OFFSET('S4'!#REF!,MATCH($A269,'S4'!$D$5:$D$2535,0)-1,6)="スリット"),SUMIF('S4'!$D$5:$D$2535,$A269,'S4'!$U$5:$U$2535),""),"")</f>
        <v/>
      </c>
      <c r="AB269" s="146" t="str">
        <f ca="1">IFERROR(IF(OR(OFFSET('S5'!#REF!,MATCH($A269,'S5'!$D$5:$D$2103,0)-1,6)="巻返し",OFFSET('S5'!#REF!,MATCH($A269,'S5'!$D$5:$D$2103,0)-1,6)="スリット"),SUMIF('S5'!$D$5:$D$2103,$A269,'S5'!$T$5:$T$2103),""),"")</f>
        <v/>
      </c>
    </row>
    <row r="270" spans="1:28" s="141" customFormat="1" ht="11.25" x14ac:dyDescent="0.15">
      <c r="A270" s="173">
        <v>3694112</v>
      </c>
      <c r="B270" s="173" t="s">
        <v>351</v>
      </c>
      <c r="C270" s="173" t="s">
        <v>352</v>
      </c>
      <c r="D270" s="173" t="s">
        <v>353</v>
      </c>
      <c r="E270" s="173" t="s">
        <v>116</v>
      </c>
      <c r="F270" s="173">
        <v>3</v>
      </c>
      <c r="G270" s="173" t="s">
        <v>19</v>
      </c>
      <c r="H270" s="173" t="s">
        <v>20</v>
      </c>
      <c r="I270" s="173" t="s">
        <v>165</v>
      </c>
      <c r="J270" s="173"/>
      <c r="K270" s="173" t="s">
        <v>187</v>
      </c>
      <c r="L270" s="173">
        <v>50</v>
      </c>
      <c r="M270" s="173" t="s">
        <v>188</v>
      </c>
      <c r="N270" s="174">
        <v>1000</v>
      </c>
      <c r="O270" s="174">
        <v>1000</v>
      </c>
      <c r="P270" s="174">
        <v>3000</v>
      </c>
      <c r="Q270" s="173">
        <v>2</v>
      </c>
      <c r="R270" s="173">
        <v>2</v>
      </c>
      <c r="S270" s="173" t="s">
        <v>354</v>
      </c>
      <c r="T270" s="175">
        <v>44916</v>
      </c>
      <c r="U270" s="175">
        <v>44949</v>
      </c>
      <c r="V270" s="173" t="s">
        <v>355</v>
      </c>
      <c r="W270" s="173"/>
      <c r="X270" s="173"/>
      <c r="Z270" s="146" t="str">
        <f t="shared" ca="1" si="4"/>
        <v/>
      </c>
      <c r="AA270" s="146" t="str">
        <f ca="1">IFERROR(IF(OR(OFFSET('S4'!#REF!,MATCH($A270,'S4'!$D$5:$D$2535,0)-1,6)="巻返し",OFFSET('S4'!#REF!,MATCH($A270,'S4'!$D$5:$D$2535,0)-1,6)="スリット"),SUMIF('S4'!$D$5:$D$2535,$A270,'S4'!$U$5:$U$2535),""),"")</f>
        <v/>
      </c>
      <c r="AB270" s="146" t="str">
        <f ca="1">IFERROR(IF(OR(OFFSET('S5'!#REF!,MATCH($A270,'S5'!$D$5:$D$2103,0)-1,6)="巻返し",OFFSET('S5'!#REF!,MATCH($A270,'S5'!$D$5:$D$2103,0)-1,6)="スリット"),SUMIF('S5'!$D$5:$D$2103,$A270,'S5'!$T$5:$T$2103),""),"")</f>
        <v/>
      </c>
    </row>
    <row r="271" spans="1:28" s="141" customFormat="1" ht="11.25" x14ac:dyDescent="0.15">
      <c r="A271" s="173">
        <v>3694113</v>
      </c>
      <c r="B271" s="173" t="s">
        <v>351</v>
      </c>
      <c r="C271" s="173" t="s">
        <v>352</v>
      </c>
      <c r="D271" s="173" t="s">
        <v>353</v>
      </c>
      <c r="E271" s="173" t="s">
        <v>116</v>
      </c>
      <c r="F271" s="173">
        <v>3</v>
      </c>
      <c r="G271" s="173" t="s">
        <v>19</v>
      </c>
      <c r="H271" s="173" t="s">
        <v>20</v>
      </c>
      <c r="I271" s="173" t="s">
        <v>165</v>
      </c>
      <c r="J271" s="173"/>
      <c r="K271" s="173" t="s">
        <v>187</v>
      </c>
      <c r="L271" s="173">
        <v>50</v>
      </c>
      <c r="M271" s="173" t="s">
        <v>188</v>
      </c>
      <c r="N271" s="174">
        <v>1160</v>
      </c>
      <c r="O271" s="174">
        <v>1160</v>
      </c>
      <c r="P271" s="174">
        <v>6000</v>
      </c>
      <c r="Q271" s="173">
        <v>2</v>
      </c>
      <c r="R271" s="173">
        <v>1</v>
      </c>
      <c r="S271" s="173" t="s">
        <v>354</v>
      </c>
      <c r="T271" s="175">
        <v>44916</v>
      </c>
      <c r="U271" s="175">
        <v>44965</v>
      </c>
      <c r="V271" s="173" t="s">
        <v>360</v>
      </c>
      <c r="W271" s="173"/>
      <c r="X271" s="173"/>
      <c r="Z271" s="146" t="str">
        <f t="shared" ca="1" si="4"/>
        <v/>
      </c>
      <c r="AA271" s="146" t="str">
        <f ca="1">IFERROR(IF(OR(OFFSET('S4'!#REF!,MATCH($A271,'S4'!$D$5:$D$2535,0)-1,6)="巻返し",OFFSET('S4'!#REF!,MATCH($A271,'S4'!$D$5:$D$2535,0)-1,6)="スリット"),SUMIF('S4'!$D$5:$D$2535,$A271,'S4'!$U$5:$U$2535),""),"")</f>
        <v/>
      </c>
      <c r="AB271" s="146" t="str">
        <f ca="1">IFERROR(IF(OR(OFFSET('S5'!#REF!,MATCH($A271,'S5'!$D$5:$D$2103,0)-1,6)="巻返し",OFFSET('S5'!#REF!,MATCH($A271,'S5'!$D$5:$D$2103,0)-1,6)="スリット"),SUMIF('S5'!$D$5:$D$2103,$A271,'S5'!$T$5:$T$2103),""),"")</f>
        <v/>
      </c>
    </row>
    <row r="272" spans="1:28" s="141" customFormat="1" ht="11.25" x14ac:dyDescent="0.15">
      <c r="A272" s="173">
        <v>3694114</v>
      </c>
      <c r="B272" s="173" t="s">
        <v>351</v>
      </c>
      <c r="C272" s="173" t="s">
        <v>352</v>
      </c>
      <c r="D272" s="173" t="s">
        <v>353</v>
      </c>
      <c r="E272" s="173" t="s">
        <v>116</v>
      </c>
      <c r="F272" s="173">
        <v>3</v>
      </c>
      <c r="G272" s="173" t="s">
        <v>19</v>
      </c>
      <c r="H272" s="173" t="s">
        <v>20</v>
      </c>
      <c r="I272" s="173" t="s">
        <v>205</v>
      </c>
      <c r="J272" s="173"/>
      <c r="K272" s="173" t="s">
        <v>218</v>
      </c>
      <c r="L272" s="173">
        <v>25</v>
      </c>
      <c r="M272" s="173" t="s">
        <v>219</v>
      </c>
      <c r="N272" s="174">
        <v>1005</v>
      </c>
      <c r="O272" s="174">
        <v>1000</v>
      </c>
      <c r="P272" s="174">
        <v>4000</v>
      </c>
      <c r="Q272" s="173">
        <v>2</v>
      </c>
      <c r="R272" s="173">
        <v>4</v>
      </c>
      <c r="S272" s="173" t="s">
        <v>354</v>
      </c>
      <c r="T272" s="175">
        <v>44916</v>
      </c>
      <c r="U272" s="175">
        <v>44949</v>
      </c>
      <c r="V272" s="173" t="s">
        <v>355</v>
      </c>
      <c r="W272" s="173"/>
      <c r="X272" s="173"/>
      <c r="Z272" s="146" t="str">
        <f t="shared" ca="1" si="4"/>
        <v/>
      </c>
      <c r="AA272" s="146" t="str">
        <f ca="1">IFERROR(IF(OR(OFFSET('S4'!#REF!,MATCH($A272,'S4'!$D$5:$D$2535,0)-1,6)="巻返し",OFFSET('S4'!#REF!,MATCH($A272,'S4'!$D$5:$D$2535,0)-1,6)="スリット"),SUMIF('S4'!$D$5:$D$2535,$A272,'S4'!$U$5:$U$2535),""),"")</f>
        <v/>
      </c>
      <c r="AB272" s="146" t="str">
        <f ca="1">IFERROR(IF(OR(OFFSET('S5'!#REF!,MATCH($A272,'S5'!$D$5:$D$2103,0)-1,6)="巻返し",OFFSET('S5'!#REF!,MATCH($A272,'S5'!$D$5:$D$2103,0)-1,6)="スリット"),SUMIF('S5'!$D$5:$D$2103,$A272,'S5'!$T$5:$T$2103),""),"")</f>
        <v/>
      </c>
    </row>
    <row r="273" spans="1:28" s="141" customFormat="1" ht="11.25" x14ac:dyDescent="0.15">
      <c r="A273" s="173">
        <v>3694115</v>
      </c>
      <c r="B273" s="173" t="s">
        <v>351</v>
      </c>
      <c r="C273" s="173" t="s">
        <v>352</v>
      </c>
      <c r="D273" s="173" t="s">
        <v>353</v>
      </c>
      <c r="E273" s="173" t="s">
        <v>116</v>
      </c>
      <c r="F273" s="173">
        <v>3</v>
      </c>
      <c r="G273" s="173" t="s">
        <v>19</v>
      </c>
      <c r="H273" s="173" t="s">
        <v>20</v>
      </c>
      <c r="I273" s="173" t="s">
        <v>205</v>
      </c>
      <c r="J273" s="173"/>
      <c r="K273" s="173" t="s">
        <v>218</v>
      </c>
      <c r="L273" s="173">
        <v>50</v>
      </c>
      <c r="M273" s="173" t="s">
        <v>219</v>
      </c>
      <c r="N273" s="174">
        <v>1000</v>
      </c>
      <c r="O273" s="174">
        <v>1000</v>
      </c>
      <c r="P273" s="174">
        <v>4000</v>
      </c>
      <c r="Q273" s="173">
        <v>2</v>
      </c>
      <c r="R273" s="173">
        <v>21</v>
      </c>
      <c r="S273" s="173" t="s">
        <v>354</v>
      </c>
      <c r="T273" s="175">
        <v>44916</v>
      </c>
      <c r="U273" s="175">
        <v>44949</v>
      </c>
      <c r="V273" s="173" t="s">
        <v>355</v>
      </c>
      <c r="W273" s="173"/>
      <c r="X273" s="173"/>
      <c r="Z273" s="146" t="str">
        <f t="shared" ca="1" si="4"/>
        <v/>
      </c>
      <c r="AA273" s="146" t="str">
        <f ca="1">IFERROR(IF(OR(OFFSET('S4'!#REF!,MATCH($A273,'S4'!$D$5:$D$2535,0)-1,6)="巻返し",OFFSET('S4'!#REF!,MATCH($A273,'S4'!$D$5:$D$2535,0)-1,6)="スリット"),SUMIF('S4'!$D$5:$D$2535,$A273,'S4'!$U$5:$U$2535),""),"")</f>
        <v/>
      </c>
      <c r="AB273" s="146" t="str">
        <f ca="1">IFERROR(IF(OR(OFFSET('S5'!#REF!,MATCH($A273,'S5'!$D$5:$D$2103,0)-1,6)="巻返し",OFFSET('S5'!#REF!,MATCH($A273,'S5'!$D$5:$D$2103,0)-1,6)="スリット"),SUMIF('S5'!$D$5:$D$2103,$A273,'S5'!$T$5:$T$2103),""),"")</f>
        <v/>
      </c>
    </row>
    <row r="274" spans="1:28" s="141" customFormat="1" ht="11.25" x14ac:dyDescent="0.15">
      <c r="A274" s="173">
        <v>3694116</v>
      </c>
      <c r="B274" s="173" t="s">
        <v>351</v>
      </c>
      <c r="C274" s="173" t="s">
        <v>352</v>
      </c>
      <c r="D274" s="173" t="s">
        <v>353</v>
      </c>
      <c r="E274" s="173" t="s">
        <v>116</v>
      </c>
      <c r="F274" s="173" t="s">
        <v>158</v>
      </c>
      <c r="G274" s="173" t="s">
        <v>19</v>
      </c>
      <c r="H274" s="173" t="s">
        <v>20</v>
      </c>
      <c r="I274" s="173" t="s">
        <v>165</v>
      </c>
      <c r="J274" s="173"/>
      <c r="K274" s="173" t="s">
        <v>192</v>
      </c>
      <c r="L274" s="173">
        <v>50</v>
      </c>
      <c r="M274" s="173" t="s">
        <v>193</v>
      </c>
      <c r="N274" s="174">
        <v>1005</v>
      </c>
      <c r="O274" s="174">
        <v>1000</v>
      </c>
      <c r="P274" s="174">
        <v>4000</v>
      </c>
      <c r="Q274" s="173">
        <v>2</v>
      </c>
      <c r="R274" s="173">
        <v>3</v>
      </c>
      <c r="S274" s="173" t="s">
        <v>354</v>
      </c>
      <c r="T274" s="175">
        <v>44916</v>
      </c>
      <c r="U274" s="175">
        <v>44949</v>
      </c>
      <c r="V274" s="173" t="s">
        <v>355</v>
      </c>
      <c r="W274" s="173"/>
      <c r="X274" s="173"/>
      <c r="Z274" s="146" t="str">
        <f t="shared" ca="1" si="4"/>
        <v/>
      </c>
      <c r="AA274" s="146" t="str">
        <f ca="1">IFERROR(IF(OR(OFFSET('S4'!#REF!,MATCH($A274,'S4'!$D$5:$D$2535,0)-1,6)="巻返し",OFFSET('S4'!#REF!,MATCH($A274,'S4'!$D$5:$D$2535,0)-1,6)="スリット"),SUMIF('S4'!$D$5:$D$2535,$A274,'S4'!$U$5:$U$2535),""),"")</f>
        <v/>
      </c>
      <c r="AB274" s="146" t="str">
        <f ca="1">IFERROR(IF(OR(OFFSET('S5'!#REF!,MATCH($A274,'S5'!$D$5:$D$2103,0)-1,6)="巻返し",OFFSET('S5'!#REF!,MATCH($A274,'S5'!$D$5:$D$2103,0)-1,6)="スリット"),SUMIF('S5'!$D$5:$D$2103,$A274,'S5'!$T$5:$T$2103),""),"")</f>
        <v/>
      </c>
    </row>
    <row r="275" spans="1:28" s="141" customFormat="1" ht="11.25" x14ac:dyDescent="0.15">
      <c r="A275" s="173">
        <v>3694117</v>
      </c>
      <c r="B275" s="173" t="s">
        <v>351</v>
      </c>
      <c r="C275" s="173" t="s">
        <v>352</v>
      </c>
      <c r="D275" s="173" t="s">
        <v>353</v>
      </c>
      <c r="E275" s="173" t="s">
        <v>116</v>
      </c>
      <c r="F275" s="173" t="s">
        <v>158</v>
      </c>
      <c r="G275" s="173" t="s">
        <v>19</v>
      </c>
      <c r="H275" s="173" t="s">
        <v>20</v>
      </c>
      <c r="I275" s="173" t="s">
        <v>165</v>
      </c>
      <c r="J275" s="173"/>
      <c r="K275" s="173" t="s">
        <v>195</v>
      </c>
      <c r="L275" s="173">
        <v>50</v>
      </c>
      <c r="M275" s="173" t="s">
        <v>196</v>
      </c>
      <c r="N275" s="174">
        <v>1005</v>
      </c>
      <c r="O275" s="174">
        <v>1000</v>
      </c>
      <c r="P275" s="174">
        <v>4000</v>
      </c>
      <c r="Q275" s="173">
        <v>2</v>
      </c>
      <c r="R275" s="173">
        <v>3</v>
      </c>
      <c r="S275" s="173" t="s">
        <v>354</v>
      </c>
      <c r="T275" s="175">
        <v>44916</v>
      </c>
      <c r="U275" s="175">
        <v>44949</v>
      </c>
      <c r="V275" s="173" t="s">
        <v>355</v>
      </c>
      <c r="W275" s="173"/>
      <c r="X275" s="173"/>
      <c r="Z275" s="146" t="str">
        <f t="shared" ca="1" si="4"/>
        <v/>
      </c>
      <c r="AA275" s="146" t="str">
        <f ca="1">IFERROR(IF(OR(OFFSET('S4'!#REF!,MATCH($A275,'S4'!$D$5:$D$2535,0)-1,6)="巻返し",OFFSET('S4'!#REF!,MATCH($A275,'S4'!$D$5:$D$2535,0)-1,6)="スリット"),SUMIF('S4'!$D$5:$D$2535,$A275,'S4'!$U$5:$U$2535),""),"")</f>
        <v/>
      </c>
      <c r="AB275" s="146" t="str">
        <f ca="1">IFERROR(IF(OR(OFFSET('S5'!#REF!,MATCH($A275,'S5'!$D$5:$D$2103,0)-1,6)="巻返し",OFFSET('S5'!#REF!,MATCH($A275,'S5'!$D$5:$D$2103,0)-1,6)="スリット"),SUMIF('S5'!$D$5:$D$2103,$A275,'S5'!$T$5:$T$2103),""),"")</f>
        <v/>
      </c>
    </row>
    <row r="276" spans="1:28" s="141" customFormat="1" ht="11.25" x14ac:dyDescent="0.15">
      <c r="A276" s="173">
        <v>3694119</v>
      </c>
      <c r="B276" s="173" t="s">
        <v>351</v>
      </c>
      <c r="C276" s="173" t="s">
        <v>352</v>
      </c>
      <c r="D276" s="173" t="s">
        <v>353</v>
      </c>
      <c r="E276" s="173" t="s">
        <v>116</v>
      </c>
      <c r="F276" s="173">
        <v>3</v>
      </c>
      <c r="G276" s="173" t="s">
        <v>19</v>
      </c>
      <c r="H276" s="173" t="s">
        <v>20</v>
      </c>
      <c r="I276" s="173" t="s">
        <v>205</v>
      </c>
      <c r="J276" s="173"/>
      <c r="K276" s="173" t="s">
        <v>221</v>
      </c>
      <c r="L276" s="173">
        <v>25</v>
      </c>
      <c r="M276" s="173" t="s">
        <v>222</v>
      </c>
      <c r="N276" s="174">
        <v>1000</v>
      </c>
      <c r="O276" s="174">
        <v>1000</v>
      </c>
      <c r="P276" s="174">
        <v>6000</v>
      </c>
      <c r="Q276" s="173">
        <v>2</v>
      </c>
      <c r="R276" s="173">
        <v>8</v>
      </c>
      <c r="S276" s="173" t="s">
        <v>354</v>
      </c>
      <c r="T276" s="175">
        <v>44916</v>
      </c>
      <c r="U276" s="175">
        <v>44936</v>
      </c>
      <c r="V276" s="173" t="s">
        <v>355</v>
      </c>
      <c r="W276" s="173"/>
      <c r="X276" s="173"/>
      <c r="Z276" s="146" t="str">
        <f t="shared" ca="1" si="4"/>
        <v/>
      </c>
      <c r="AA276" s="146" t="str">
        <f ca="1">IFERROR(IF(OR(OFFSET('S4'!#REF!,MATCH($A276,'S4'!$D$5:$D$2535,0)-1,6)="巻返し",OFFSET('S4'!#REF!,MATCH($A276,'S4'!$D$5:$D$2535,0)-1,6)="スリット"),SUMIF('S4'!$D$5:$D$2535,$A276,'S4'!$U$5:$U$2535),""),"")</f>
        <v/>
      </c>
      <c r="AB276" s="146" t="str">
        <f ca="1">IFERROR(IF(OR(OFFSET('S5'!#REF!,MATCH($A276,'S5'!$D$5:$D$2103,0)-1,6)="巻返し",OFFSET('S5'!#REF!,MATCH($A276,'S5'!$D$5:$D$2103,0)-1,6)="スリット"),SUMIF('S5'!$D$5:$D$2103,$A276,'S5'!$T$5:$T$2103),""),"")</f>
        <v/>
      </c>
    </row>
    <row r="277" spans="1:28" s="141" customFormat="1" ht="11.25" x14ac:dyDescent="0.15">
      <c r="A277" s="173">
        <v>3694120</v>
      </c>
      <c r="B277" s="173" t="s">
        <v>351</v>
      </c>
      <c r="C277" s="173" t="s">
        <v>352</v>
      </c>
      <c r="D277" s="173" t="s">
        <v>353</v>
      </c>
      <c r="E277" s="173" t="s">
        <v>116</v>
      </c>
      <c r="F277" s="173">
        <v>3</v>
      </c>
      <c r="G277" s="173" t="s">
        <v>19</v>
      </c>
      <c r="H277" s="173" t="s">
        <v>20</v>
      </c>
      <c r="I277" s="173" t="s">
        <v>205</v>
      </c>
      <c r="J277" s="173"/>
      <c r="K277" s="173" t="s">
        <v>221</v>
      </c>
      <c r="L277" s="173">
        <v>25</v>
      </c>
      <c r="M277" s="173" t="s">
        <v>222</v>
      </c>
      <c r="N277" s="174">
        <v>1100</v>
      </c>
      <c r="O277" s="174">
        <v>1100</v>
      </c>
      <c r="P277" s="174">
        <v>6000</v>
      </c>
      <c r="Q277" s="173">
        <v>2</v>
      </c>
      <c r="R277" s="173">
        <v>20</v>
      </c>
      <c r="S277" s="173" t="s">
        <v>354</v>
      </c>
      <c r="T277" s="175">
        <v>44916</v>
      </c>
      <c r="U277" s="175">
        <v>44936</v>
      </c>
      <c r="V277" s="173" t="s">
        <v>355</v>
      </c>
      <c r="W277" s="173"/>
      <c r="X277" s="173"/>
      <c r="Z277" s="146" t="str">
        <f t="shared" ca="1" si="4"/>
        <v/>
      </c>
      <c r="AA277" s="146" t="str">
        <f ca="1">IFERROR(IF(OR(OFFSET('S4'!#REF!,MATCH($A277,'S4'!$D$5:$D$2535,0)-1,6)="巻返し",OFFSET('S4'!#REF!,MATCH($A277,'S4'!$D$5:$D$2535,0)-1,6)="スリット"),SUMIF('S4'!$D$5:$D$2535,$A277,'S4'!$U$5:$U$2535),""),"")</f>
        <v/>
      </c>
      <c r="AB277" s="146" t="str">
        <f ca="1">IFERROR(IF(OR(OFFSET('S5'!#REF!,MATCH($A277,'S5'!$D$5:$D$2103,0)-1,6)="巻返し",OFFSET('S5'!#REF!,MATCH($A277,'S5'!$D$5:$D$2103,0)-1,6)="スリット"),SUMIF('S5'!$D$5:$D$2103,$A277,'S5'!$T$5:$T$2103),""),"")</f>
        <v/>
      </c>
    </row>
    <row r="278" spans="1:28" s="141" customFormat="1" ht="11.25" x14ac:dyDescent="0.15">
      <c r="A278" s="173">
        <v>3694121</v>
      </c>
      <c r="B278" s="173" t="s">
        <v>351</v>
      </c>
      <c r="C278" s="173" t="s">
        <v>352</v>
      </c>
      <c r="D278" s="173" t="s">
        <v>353</v>
      </c>
      <c r="E278" s="173" t="s">
        <v>116</v>
      </c>
      <c r="F278" s="173">
        <v>3</v>
      </c>
      <c r="G278" s="173" t="s">
        <v>19</v>
      </c>
      <c r="H278" s="173" t="s">
        <v>20</v>
      </c>
      <c r="I278" s="173" t="s">
        <v>165</v>
      </c>
      <c r="J278" s="173"/>
      <c r="K278" s="173" t="s">
        <v>176</v>
      </c>
      <c r="L278" s="173">
        <v>25</v>
      </c>
      <c r="M278" s="173" t="s">
        <v>177</v>
      </c>
      <c r="N278" s="174">
        <v>1005</v>
      </c>
      <c r="O278" s="174">
        <v>1000</v>
      </c>
      <c r="P278" s="174">
        <v>2000</v>
      </c>
      <c r="Q278" s="173">
        <v>2</v>
      </c>
      <c r="R278" s="173">
        <v>1</v>
      </c>
      <c r="S278" s="173" t="s">
        <v>354</v>
      </c>
      <c r="T278" s="175">
        <v>44916</v>
      </c>
      <c r="U278" s="175">
        <v>44946</v>
      </c>
      <c r="V278" s="173" t="s">
        <v>355</v>
      </c>
      <c r="W278" s="173"/>
      <c r="X278" s="173"/>
      <c r="Z278" s="146" t="str">
        <f t="shared" ca="1" si="4"/>
        <v/>
      </c>
      <c r="AA278" s="146" t="str">
        <f ca="1">IFERROR(IF(OR(OFFSET('S4'!#REF!,MATCH($A278,'S4'!$D$5:$D$2535,0)-1,6)="巻返し",OFFSET('S4'!#REF!,MATCH($A278,'S4'!$D$5:$D$2535,0)-1,6)="スリット"),SUMIF('S4'!$D$5:$D$2535,$A278,'S4'!$U$5:$U$2535),""),"")</f>
        <v/>
      </c>
      <c r="AB278" s="146" t="str">
        <f ca="1">IFERROR(IF(OR(OFFSET('S5'!#REF!,MATCH($A278,'S5'!$D$5:$D$2103,0)-1,6)="巻返し",OFFSET('S5'!#REF!,MATCH($A278,'S5'!$D$5:$D$2103,0)-1,6)="スリット"),SUMIF('S5'!$D$5:$D$2103,$A278,'S5'!$T$5:$T$2103),""),"")</f>
        <v/>
      </c>
    </row>
    <row r="279" spans="1:28" s="141" customFormat="1" ht="11.25" x14ac:dyDescent="0.15">
      <c r="A279" s="173">
        <v>3694121</v>
      </c>
      <c r="B279" s="173" t="s">
        <v>351</v>
      </c>
      <c r="C279" s="173" t="s">
        <v>352</v>
      </c>
      <c r="D279" s="173" t="s">
        <v>353</v>
      </c>
      <c r="E279" s="173" t="s">
        <v>116</v>
      </c>
      <c r="F279" s="173">
        <v>3</v>
      </c>
      <c r="G279" s="173" t="s">
        <v>19</v>
      </c>
      <c r="H279" s="173" t="s">
        <v>20</v>
      </c>
      <c r="I279" s="173" t="s">
        <v>165</v>
      </c>
      <c r="J279" s="173"/>
      <c r="K279" s="173" t="s">
        <v>176</v>
      </c>
      <c r="L279" s="173">
        <v>25</v>
      </c>
      <c r="M279" s="173" t="s">
        <v>177</v>
      </c>
      <c r="N279" s="174">
        <v>1005</v>
      </c>
      <c r="O279" s="174">
        <v>1000</v>
      </c>
      <c r="P279" s="174">
        <v>6000</v>
      </c>
      <c r="Q279" s="173">
        <v>2</v>
      </c>
      <c r="R279" s="173">
        <v>1</v>
      </c>
      <c r="S279" s="173" t="s">
        <v>354</v>
      </c>
      <c r="T279" s="175">
        <v>44916</v>
      </c>
      <c r="U279" s="175">
        <v>44946</v>
      </c>
      <c r="V279" s="173" t="s">
        <v>355</v>
      </c>
      <c r="W279" s="173"/>
      <c r="X279" s="173"/>
      <c r="Z279" s="146" t="str">
        <f t="shared" ca="1" si="4"/>
        <v/>
      </c>
      <c r="AA279" s="146" t="str">
        <f ca="1">IFERROR(IF(OR(OFFSET('S4'!#REF!,MATCH($A279,'S4'!$D$5:$D$2535,0)-1,6)="巻返し",OFFSET('S4'!#REF!,MATCH($A279,'S4'!$D$5:$D$2535,0)-1,6)="スリット"),SUMIF('S4'!$D$5:$D$2535,$A279,'S4'!$U$5:$U$2535),""),"")</f>
        <v/>
      </c>
      <c r="AB279" s="146" t="str">
        <f ca="1">IFERROR(IF(OR(OFFSET('S5'!#REF!,MATCH($A279,'S5'!$D$5:$D$2103,0)-1,6)="巻返し",OFFSET('S5'!#REF!,MATCH($A279,'S5'!$D$5:$D$2103,0)-1,6)="スリット"),SUMIF('S5'!$D$5:$D$2103,$A279,'S5'!$T$5:$T$2103),""),"")</f>
        <v/>
      </c>
    </row>
    <row r="280" spans="1:28" s="141" customFormat="1" ht="11.25" x14ac:dyDescent="0.15">
      <c r="A280" s="173">
        <v>3694122</v>
      </c>
      <c r="B280" s="173" t="s">
        <v>351</v>
      </c>
      <c r="C280" s="173" t="s">
        <v>352</v>
      </c>
      <c r="D280" s="173" t="s">
        <v>353</v>
      </c>
      <c r="E280" s="173" t="s">
        <v>116</v>
      </c>
      <c r="F280" s="173">
        <v>3</v>
      </c>
      <c r="G280" s="173" t="s">
        <v>19</v>
      </c>
      <c r="H280" s="173" t="s">
        <v>20</v>
      </c>
      <c r="I280" s="173" t="s">
        <v>165</v>
      </c>
      <c r="J280" s="173"/>
      <c r="K280" s="173" t="s">
        <v>176</v>
      </c>
      <c r="L280" s="173">
        <v>50</v>
      </c>
      <c r="M280" s="173" t="s">
        <v>177</v>
      </c>
      <c r="N280" s="174">
        <v>1005</v>
      </c>
      <c r="O280" s="174">
        <v>1000</v>
      </c>
      <c r="P280" s="174">
        <v>4000</v>
      </c>
      <c r="Q280" s="173">
        <v>2</v>
      </c>
      <c r="R280" s="173">
        <v>9</v>
      </c>
      <c r="S280" s="173" t="s">
        <v>354</v>
      </c>
      <c r="T280" s="175">
        <v>44916</v>
      </c>
      <c r="U280" s="175">
        <v>44944</v>
      </c>
      <c r="V280" s="173" t="s">
        <v>355</v>
      </c>
      <c r="W280" s="173"/>
      <c r="X280" s="173"/>
      <c r="Z280" s="146" t="str">
        <f t="shared" ca="1" si="4"/>
        <v/>
      </c>
      <c r="AA280" s="146" t="str">
        <f ca="1">IFERROR(IF(OR(OFFSET('S4'!#REF!,MATCH($A280,'S4'!$D$5:$D$2535,0)-1,6)="巻返し",OFFSET('S4'!#REF!,MATCH($A280,'S4'!$D$5:$D$2535,0)-1,6)="スリット"),SUMIF('S4'!$D$5:$D$2535,$A280,'S4'!$U$5:$U$2535),""),"")</f>
        <v/>
      </c>
      <c r="AB280" s="146" t="str">
        <f ca="1">IFERROR(IF(OR(OFFSET('S5'!#REF!,MATCH($A280,'S5'!$D$5:$D$2103,0)-1,6)="巻返し",OFFSET('S5'!#REF!,MATCH($A280,'S5'!$D$5:$D$2103,0)-1,6)="スリット"),SUMIF('S5'!$D$5:$D$2103,$A280,'S5'!$T$5:$T$2103),""),"")</f>
        <v/>
      </c>
    </row>
    <row r="281" spans="1:28" s="141" customFormat="1" ht="11.25" x14ac:dyDescent="0.15">
      <c r="A281" s="173">
        <v>3694123</v>
      </c>
      <c r="B281" s="173" t="s">
        <v>351</v>
      </c>
      <c r="C281" s="173" t="s">
        <v>352</v>
      </c>
      <c r="D281" s="173" t="s">
        <v>353</v>
      </c>
      <c r="E281" s="173" t="s">
        <v>116</v>
      </c>
      <c r="F281" s="173">
        <v>3</v>
      </c>
      <c r="G281" s="173" t="s">
        <v>19</v>
      </c>
      <c r="H281" s="173" t="s">
        <v>20</v>
      </c>
      <c r="I281" s="173" t="s">
        <v>143</v>
      </c>
      <c r="J281" s="173"/>
      <c r="K281" s="173" t="s">
        <v>152</v>
      </c>
      <c r="L281" s="173">
        <v>38</v>
      </c>
      <c r="M281" s="173" t="s">
        <v>153</v>
      </c>
      <c r="N281" s="174">
        <v>1005</v>
      </c>
      <c r="O281" s="174">
        <v>1000</v>
      </c>
      <c r="P281" s="174">
        <v>4000</v>
      </c>
      <c r="Q281" s="173">
        <v>2</v>
      </c>
      <c r="R281" s="173">
        <v>2</v>
      </c>
      <c r="S281" s="173" t="s">
        <v>354</v>
      </c>
      <c r="T281" s="175">
        <v>44916</v>
      </c>
      <c r="U281" s="175">
        <v>44942</v>
      </c>
      <c r="V281" s="173" t="s">
        <v>355</v>
      </c>
      <c r="W281" s="173"/>
      <c r="X281" s="173"/>
      <c r="Z281" s="146" t="str">
        <f t="shared" ca="1" si="4"/>
        <v/>
      </c>
      <c r="AA281" s="146" t="str">
        <f ca="1">IFERROR(IF(OR(OFFSET('S4'!#REF!,MATCH($A281,'S4'!$D$5:$D$2535,0)-1,6)="巻返し",OFFSET('S4'!#REF!,MATCH($A281,'S4'!$D$5:$D$2535,0)-1,6)="スリット"),SUMIF('S4'!$D$5:$D$2535,$A281,'S4'!$U$5:$U$2535),""),"")</f>
        <v/>
      </c>
      <c r="AB281" s="146" t="str">
        <f ca="1">IFERROR(IF(OR(OFFSET('S5'!#REF!,MATCH($A281,'S5'!$D$5:$D$2103,0)-1,6)="巻返し",OFFSET('S5'!#REF!,MATCH($A281,'S5'!$D$5:$D$2103,0)-1,6)="スリット"),SUMIF('S5'!$D$5:$D$2103,$A281,'S5'!$T$5:$T$2103),""),"")</f>
        <v/>
      </c>
    </row>
    <row r="282" spans="1:28" s="141" customFormat="1" ht="11.25" x14ac:dyDescent="0.15">
      <c r="A282" s="173">
        <v>3694124</v>
      </c>
      <c r="B282" s="173" t="s">
        <v>351</v>
      </c>
      <c r="C282" s="173" t="s">
        <v>352</v>
      </c>
      <c r="D282" s="173" t="s">
        <v>353</v>
      </c>
      <c r="E282" s="173" t="s">
        <v>116</v>
      </c>
      <c r="F282" s="173">
        <v>3</v>
      </c>
      <c r="G282" s="173" t="s">
        <v>19</v>
      </c>
      <c r="H282" s="173" t="s">
        <v>20</v>
      </c>
      <c r="I282" s="173" t="s">
        <v>143</v>
      </c>
      <c r="J282" s="173"/>
      <c r="K282" s="173" t="s">
        <v>152</v>
      </c>
      <c r="L282" s="173">
        <v>38</v>
      </c>
      <c r="M282" s="173" t="s">
        <v>153</v>
      </c>
      <c r="N282" s="174">
        <v>1005</v>
      </c>
      <c r="O282" s="174">
        <v>1000</v>
      </c>
      <c r="P282" s="174">
        <v>4000</v>
      </c>
      <c r="Q282" s="173">
        <v>2</v>
      </c>
      <c r="R282" s="173">
        <v>2</v>
      </c>
      <c r="S282" s="173" t="s">
        <v>354</v>
      </c>
      <c r="T282" s="175">
        <v>44916</v>
      </c>
      <c r="U282" s="175">
        <v>44942</v>
      </c>
      <c r="V282" s="173" t="s">
        <v>355</v>
      </c>
      <c r="W282" s="173"/>
      <c r="X282" s="173"/>
      <c r="Z282" s="146" t="str">
        <f t="shared" ca="1" si="4"/>
        <v/>
      </c>
      <c r="AA282" s="146" t="str">
        <f ca="1">IFERROR(IF(OR(OFFSET('S4'!#REF!,MATCH($A282,'S4'!$D$5:$D$2535,0)-1,6)="巻返し",OFFSET('S4'!#REF!,MATCH($A282,'S4'!$D$5:$D$2535,0)-1,6)="スリット"),SUMIF('S4'!$D$5:$D$2535,$A282,'S4'!$U$5:$U$2535),""),"")</f>
        <v/>
      </c>
      <c r="AB282" s="146" t="str">
        <f ca="1">IFERROR(IF(OR(OFFSET('S5'!#REF!,MATCH($A282,'S5'!$D$5:$D$2103,0)-1,6)="巻返し",OFFSET('S5'!#REF!,MATCH($A282,'S5'!$D$5:$D$2103,0)-1,6)="スリット"),SUMIF('S5'!$D$5:$D$2103,$A282,'S5'!$T$5:$T$2103),""),"")</f>
        <v/>
      </c>
    </row>
    <row r="283" spans="1:28" s="141" customFormat="1" ht="11.25" x14ac:dyDescent="0.15">
      <c r="A283" s="173">
        <v>3694125</v>
      </c>
      <c r="B283" s="173" t="s">
        <v>351</v>
      </c>
      <c r="C283" s="173" t="s">
        <v>352</v>
      </c>
      <c r="D283" s="173" t="s">
        <v>353</v>
      </c>
      <c r="E283" s="173" t="s">
        <v>116</v>
      </c>
      <c r="F283" s="173">
        <v>3</v>
      </c>
      <c r="G283" s="173" t="s">
        <v>19</v>
      </c>
      <c r="H283" s="173" t="s">
        <v>28</v>
      </c>
      <c r="I283" s="173" t="s">
        <v>205</v>
      </c>
      <c r="J283" s="173"/>
      <c r="K283" s="173" t="s">
        <v>240</v>
      </c>
      <c r="L283" s="173">
        <v>50</v>
      </c>
      <c r="M283" s="173" t="s">
        <v>241</v>
      </c>
      <c r="N283" s="174">
        <v>1120</v>
      </c>
      <c r="O283" s="174">
        <v>1120</v>
      </c>
      <c r="P283" s="174">
        <v>4000</v>
      </c>
      <c r="Q283" s="173">
        <v>2</v>
      </c>
      <c r="R283" s="173">
        <v>2</v>
      </c>
      <c r="S283" s="173" t="s">
        <v>354</v>
      </c>
      <c r="T283" s="175">
        <v>44916</v>
      </c>
      <c r="U283" s="175">
        <v>44949</v>
      </c>
      <c r="V283" s="173" t="s">
        <v>355</v>
      </c>
      <c r="W283" s="173"/>
      <c r="X283" s="173"/>
      <c r="Z283" s="146" t="str">
        <f t="shared" ca="1" si="4"/>
        <v/>
      </c>
      <c r="AA283" s="146" t="str">
        <f ca="1">IFERROR(IF(OR(OFFSET('S4'!#REF!,MATCH($A283,'S4'!$D$5:$D$2535,0)-1,6)="巻返し",OFFSET('S4'!#REF!,MATCH($A283,'S4'!$D$5:$D$2535,0)-1,6)="スリット"),SUMIF('S4'!$D$5:$D$2535,$A283,'S4'!$U$5:$U$2535),""),"")</f>
        <v/>
      </c>
      <c r="AB283" s="146" t="str">
        <f ca="1">IFERROR(IF(OR(OFFSET('S5'!#REF!,MATCH($A283,'S5'!$D$5:$D$2103,0)-1,6)="巻返し",OFFSET('S5'!#REF!,MATCH($A283,'S5'!$D$5:$D$2103,0)-1,6)="スリット"),SUMIF('S5'!$D$5:$D$2103,$A283,'S5'!$T$5:$T$2103),""),"")</f>
        <v/>
      </c>
    </row>
    <row r="284" spans="1:28" s="141" customFormat="1" ht="11.25" x14ac:dyDescent="0.15">
      <c r="A284" s="173">
        <v>3694126</v>
      </c>
      <c r="B284" s="173" t="s">
        <v>351</v>
      </c>
      <c r="C284" s="173" t="s">
        <v>352</v>
      </c>
      <c r="D284" s="173" t="s">
        <v>353</v>
      </c>
      <c r="E284" s="173" t="s">
        <v>116</v>
      </c>
      <c r="F284" s="173">
        <v>3</v>
      </c>
      <c r="G284" s="173" t="s">
        <v>19</v>
      </c>
      <c r="H284" s="173" t="s">
        <v>28</v>
      </c>
      <c r="I284" s="173" t="s">
        <v>205</v>
      </c>
      <c r="J284" s="173"/>
      <c r="K284" s="173" t="s">
        <v>237</v>
      </c>
      <c r="L284" s="173">
        <v>50</v>
      </c>
      <c r="M284" s="173" t="s">
        <v>238</v>
      </c>
      <c r="N284" s="174">
        <v>1120</v>
      </c>
      <c r="O284" s="174">
        <v>1120</v>
      </c>
      <c r="P284" s="174">
        <v>4000</v>
      </c>
      <c r="Q284" s="173">
        <v>2</v>
      </c>
      <c r="R284" s="173">
        <v>4</v>
      </c>
      <c r="S284" s="173" t="s">
        <v>354</v>
      </c>
      <c r="T284" s="175">
        <v>44916</v>
      </c>
      <c r="U284" s="175">
        <v>44949</v>
      </c>
      <c r="V284" s="173" t="s">
        <v>355</v>
      </c>
      <c r="W284" s="173"/>
      <c r="X284" s="173"/>
      <c r="Z284" s="146" t="str">
        <f t="shared" ca="1" si="4"/>
        <v/>
      </c>
      <c r="AA284" s="146" t="str">
        <f ca="1">IFERROR(IF(OR(OFFSET('S4'!#REF!,MATCH($A284,'S4'!$D$5:$D$2535,0)-1,6)="巻返し",OFFSET('S4'!#REF!,MATCH($A284,'S4'!$D$5:$D$2535,0)-1,6)="スリット"),SUMIF('S4'!$D$5:$D$2535,$A284,'S4'!$U$5:$U$2535),""),"")</f>
        <v/>
      </c>
      <c r="AB284" s="146" t="str">
        <f ca="1">IFERROR(IF(OR(OFFSET('S5'!#REF!,MATCH($A284,'S5'!$D$5:$D$2103,0)-1,6)="巻返し",OFFSET('S5'!#REF!,MATCH($A284,'S5'!$D$5:$D$2103,0)-1,6)="スリット"),SUMIF('S5'!$D$5:$D$2103,$A284,'S5'!$T$5:$T$2103),""),"")</f>
        <v/>
      </c>
    </row>
    <row r="285" spans="1:28" s="141" customFormat="1" ht="11.25" x14ac:dyDescent="0.15">
      <c r="A285" s="173">
        <v>3694127</v>
      </c>
      <c r="B285" s="173" t="s">
        <v>351</v>
      </c>
      <c r="C285" s="173" t="s">
        <v>352</v>
      </c>
      <c r="D285" s="173" t="s">
        <v>353</v>
      </c>
      <c r="E285" s="173" t="s">
        <v>116</v>
      </c>
      <c r="F285" s="173">
        <v>3</v>
      </c>
      <c r="G285" s="173" t="s">
        <v>19</v>
      </c>
      <c r="H285" s="173" t="s">
        <v>28</v>
      </c>
      <c r="I285" s="173" t="s">
        <v>205</v>
      </c>
      <c r="J285" s="173"/>
      <c r="K285" s="173" t="s">
        <v>233</v>
      </c>
      <c r="L285" s="173">
        <v>50</v>
      </c>
      <c r="M285" s="173" t="s">
        <v>234</v>
      </c>
      <c r="N285" s="174">
        <v>1120</v>
      </c>
      <c r="O285" s="174">
        <v>1120</v>
      </c>
      <c r="P285" s="174">
        <v>4000</v>
      </c>
      <c r="Q285" s="173">
        <v>2</v>
      </c>
      <c r="R285" s="173">
        <v>4</v>
      </c>
      <c r="S285" s="173" t="s">
        <v>354</v>
      </c>
      <c r="T285" s="175">
        <v>44916</v>
      </c>
      <c r="U285" s="175">
        <v>44949</v>
      </c>
      <c r="V285" s="173" t="s">
        <v>355</v>
      </c>
      <c r="W285" s="173"/>
      <c r="X285" s="173"/>
      <c r="Z285" s="146" t="str">
        <f t="shared" ca="1" si="4"/>
        <v/>
      </c>
      <c r="AA285" s="146" t="str">
        <f ca="1">IFERROR(IF(OR(OFFSET('S4'!#REF!,MATCH($A285,'S4'!$D$5:$D$2535,0)-1,6)="巻返し",OFFSET('S4'!#REF!,MATCH($A285,'S4'!$D$5:$D$2535,0)-1,6)="スリット"),SUMIF('S4'!$D$5:$D$2535,$A285,'S4'!$U$5:$U$2535),""),"")</f>
        <v/>
      </c>
      <c r="AB285" s="146" t="str">
        <f ca="1">IFERROR(IF(OR(OFFSET('S5'!#REF!,MATCH($A285,'S5'!$D$5:$D$2103,0)-1,6)="巻返し",OFFSET('S5'!#REF!,MATCH($A285,'S5'!$D$5:$D$2103,0)-1,6)="スリット"),SUMIF('S5'!$D$5:$D$2103,$A285,'S5'!$T$5:$T$2103),""),"")</f>
        <v/>
      </c>
    </row>
    <row r="286" spans="1:28" s="141" customFormat="1" ht="11.25" x14ac:dyDescent="0.15">
      <c r="A286" s="173">
        <v>3694128</v>
      </c>
      <c r="B286" s="173" t="s">
        <v>351</v>
      </c>
      <c r="C286" s="173" t="s">
        <v>358</v>
      </c>
      <c r="D286" s="173" t="s">
        <v>353</v>
      </c>
      <c r="E286" s="173" t="s">
        <v>753</v>
      </c>
      <c r="F286" s="173">
        <v>3</v>
      </c>
      <c r="G286" s="173" t="s">
        <v>19</v>
      </c>
      <c r="H286" s="173" t="s">
        <v>20</v>
      </c>
      <c r="I286" s="173" t="s">
        <v>205</v>
      </c>
      <c r="J286" s="173"/>
      <c r="K286" s="173" t="s">
        <v>230</v>
      </c>
      <c r="L286" s="173">
        <v>25</v>
      </c>
      <c r="M286" s="173" t="s">
        <v>231</v>
      </c>
      <c r="N286" s="174">
        <v>510</v>
      </c>
      <c r="O286" s="174">
        <v>510</v>
      </c>
      <c r="P286" s="174">
        <v>2000</v>
      </c>
      <c r="Q286" s="173">
        <v>1</v>
      </c>
      <c r="R286" s="173">
        <v>12</v>
      </c>
      <c r="S286" s="173" t="s">
        <v>354</v>
      </c>
      <c r="T286" s="175">
        <v>44916</v>
      </c>
      <c r="U286" s="175">
        <v>44949</v>
      </c>
      <c r="V286" s="173" t="s">
        <v>355</v>
      </c>
      <c r="W286" s="173"/>
      <c r="X286" s="173"/>
      <c r="Z286" s="146" t="str">
        <f t="shared" ca="1" si="4"/>
        <v/>
      </c>
      <c r="AA286" s="146" t="str">
        <f ca="1">IFERROR(IF(OR(OFFSET('S4'!#REF!,MATCH($A286,'S4'!$D$5:$D$2535,0)-1,6)="巻返し",OFFSET('S4'!#REF!,MATCH($A286,'S4'!$D$5:$D$2535,0)-1,6)="スリット"),SUMIF('S4'!$D$5:$D$2535,$A286,'S4'!$U$5:$U$2535),""),"")</f>
        <v/>
      </c>
      <c r="AB286" s="146" t="str">
        <f ca="1">IFERROR(IF(OR(OFFSET('S5'!#REF!,MATCH($A286,'S5'!$D$5:$D$2103,0)-1,6)="巻返し",OFFSET('S5'!#REF!,MATCH($A286,'S5'!$D$5:$D$2103,0)-1,6)="スリット"),SUMIF('S5'!$D$5:$D$2103,$A286,'S5'!$T$5:$T$2103),""),"")</f>
        <v/>
      </c>
    </row>
    <row r="287" spans="1:28" s="141" customFormat="1" ht="11.25" x14ac:dyDescent="0.15">
      <c r="A287" s="173">
        <v>3697647</v>
      </c>
      <c r="B287" s="173" t="s">
        <v>351</v>
      </c>
      <c r="C287" s="173" t="s">
        <v>356</v>
      </c>
      <c r="D287" s="173" t="s">
        <v>353</v>
      </c>
      <c r="E287" s="173" t="s">
        <v>17</v>
      </c>
      <c r="F287" s="173">
        <v>3</v>
      </c>
      <c r="G287" s="173" t="s">
        <v>19</v>
      </c>
      <c r="H287" s="173" t="s">
        <v>20</v>
      </c>
      <c r="I287" s="173" t="s">
        <v>205</v>
      </c>
      <c r="J287" s="173"/>
      <c r="K287" s="173" t="s">
        <v>242</v>
      </c>
      <c r="L287" s="173">
        <v>75</v>
      </c>
      <c r="M287" s="173" t="s">
        <v>243</v>
      </c>
      <c r="N287" s="174">
        <v>1000</v>
      </c>
      <c r="O287" s="174">
        <v>1000</v>
      </c>
      <c r="P287" s="174">
        <v>1000</v>
      </c>
      <c r="Q287" s="173">
        <v>2</v>
      </c>
      <c r="R287" s="173">
        <v>2</v>
      </c>
      <c r="S287" s="173" t="s">
        <v>354</v>
      </c>
      <c r="T287" s="175">
        <v>44949</v>
      </c>
      <c r="U287" s="175">
        <v>44977</v>
      </c>
      <c r="V287" s="173" t="s">
        <v>355</v>
      </c>
      <c r="W287" s="173"/>
      <c r="X287" s="173"/>
      <c r="Z287" s="146" t="str">
        <f t="shared" ca="1" si="4"/>
        <v/>
      </c>
      <c r="AA287" s="146" t="str">
        <f ca="1">IFERROR(IF(OR(OFFSET('S4'!#REF!,MATCH($A287,'S4'!$D$5:$D$2535,0)-1,6)="巻返し",OFFSET('S4'!#REF!,MATCH($A287,'S4'!$D$5:$D$2535,0)-1,6)="スリット"),SUMIF('S4'!$D$5:$D$2535,$A287,'S4'!$U$5:$U$2535),""),"")</f>
        <v/>
      </c>
      <c r="AB287" s="146" t="str">
        <f ca="1">IFERROR(IF(OR(OFFSET('S5'!#REF!,MATCH($A287,'S5'!$D$5:$D$2103,0)-1,6)="巻返し",OFFSET('S5'!#REF!,MATCH($A287,'S5'!$D$5:$D$2103,0)-1,6)="スリット"),SUMIF('S5'!$D$5:$D$2103,$A287,'S5'!$T$5:$T$2103),""),"")</f>
        <v/>
      </c>
    </row>
    <row r="288" spans="1:28" s="141" customFormat="1" ht="11.25" x14ac:dyDescent="0.15">
      <c r="A288" s="173">
        <v>3697651</v>
      </c>
      <c r="B288" s="173" t="s">
        <v>351</v>
      </c>
      <c r="C288" s="173" t="s">
        <v>363</v>
      </c>
      <c r="D288" s="173" t="s">
        <v>353</v>
      </c>
      <c r="E288" s="173" t="s">
        <v>204</v>
      </c>
      <c r="F288" s="173">
        <v>3</v>
      </c>
      <c r="G288" s="173" t="s">
        <v>19</v>
      </c>
      <c r="H288" s="173" t="s">
        <v>20</v>
      </c>
      <c r="I288" s="173" t="s">
        <v>205</v>
      </c>
      <c r="J288" s="173"/>
      <c r="K288" s="173" t="s">
        <v>206</v>
      </c>
      <c r="L288" s="173">
        <v>50</v>
      </c>
      <c r="M288" s="173" t="s">
        <v>207</v>
      </c>
      <c r="N288" s="174">
        <v>1020</v>
      </c>
      <c r="O288" s="174">
        <v>1000</v>
      </c>
      <c r="P288" s="174">
        <v>2000</v>
      </c>
      <c r="Q288" s="173">
        <v>2</v>
      </c>
      <c r="R288" s="173">
        <v>4</v>
      </c>
      <c r="S288" s="173" t="s">
        <v>354</v>
      </c>
      <c r="T288" s="175">
        <v>44949</v>
      </c>
      <c r="U288" s="175">
        <v>44977</v>
      </c>
      <c r="V288" s="173" t="s">
        <v>355</v>
      </c>
      <c r="W288" s="173"/>
      <c r="X288" s="173"/>
      <c r="Z288" s="146" t="str">
        <f t="shared" ca="1" si="4"/>
        <v/>
      </c>
      <c r="AA288" s="146" t="str">
        <f ca="1">IFERROR(IF(OR(OFFSET('S4'!#REF!,MATCH($A288,'S4'!$D$5:$D$2535,0)-1,6)="巻返し",OFFSET('S4'!#REF!,MATCH($A288,'S4'!$D$5:$D$2535,0)-1,6)="スリット"),SUMIF('S4'!$D$5:$D$2535,$A288,'S4'!$U$5:$U$2535),""),"")</f>
        <v/>
      </c>
      <c r="AB288" s="146" t="str">
        <f ca="1">IFERROR(IF(OR(OFFSET('S5'!#REF!,MATCH($A288,'S5'!$D$5:$D$2103,0)-1,6)="巻返し",OFFSET('S5'!#REF!,MATCH($A288,'S5'!$D$5:$D$2103,0)-1,6)="スリット"),SUMIF('S5'!$D$5:$D$2103,$A288,'S5'!$T$5:$T$2103),""),"")</f>
        <v/>
      </c>
    </row>
    <row r="289" spans="1:28" s="141" customFormat="1" ht="11.25" x14ac:dyDescent="0.15">
      <c r="A289" s="173">
        <v>3697653</v>
      </c>
      <c r="B289" s="173" t="s">
        <v>351</v>
      </c>
      <c r="C289" s="173" t="s">
        <v>364</v>
      </c>
      <c r="D289" s="173" t="s">
        <v>353</v>
      </c>
      <c r="E289" s="173" t="s">
        <v>171</v>
      </c>
      <c r="F289" s="173" t="s">
        <v>96</v>
      </c>
      <c r="G289" s="173" t="s">
        <v>19</v>
      </c>
      <c r="H289" s="173" t="s">
        <v>20</v>
      </c>
      <c r="I289" s="173" t="s">
        <v>165</v>
      </c>
      <c r="J289" s="173"/>
      <c r="K289" s="173" t="s">
        <v>169</v>
      </c>
      <c r="L289" s="173">
        <v>50</v>
      </c>
      <c r="M289" s="173" t="s">
        <v>170</v>
      </c>
      <c r="N289" s="174">
        <v>1190</v>
      </c>
      <c r="O289" s="174">
        <v>1190</v>
      </c>
      <c r="P289" s="174">
        <v>6000</v>
      </c>
      <c r="Q289" s="173">
        <v>2</v>
      </c>
      <c r="R289" s="173">
        <v>6</v>
      </c>
      <c r="S289" s="173" t="s">
        <v>354</v>
      </c>
      <c r="T289" s="175">
        <v>44949</v>
      </c>
      <c r="U289" s="175">
        <v>44977</v>
      </c>
      <c r="V289" s="173" t="s">
        <v>355</v>
      </c>
      <c r="W289" s="173"/>
      <c r="X289" s="173"/>
      <c r="Z289" s="146" t="str">
        <f t="shared" ca="1" si="4"/>
        <v/>
      </c>
      <c r="AA289" s="146" t="str">
        <f ca="1">IFERROR(IF(OR(OFFSET('S4'!#REF!,MATCH($A289,'S4'!$D$5:$D$2535,0)-1,6)="巻返し",OFFSET('S4'!#REF!,MATCH($A289,'S4'!$D$5:$D$2535,0)-1,6)="スリット"),SUMIF('S4'!$D$5:$D$2535,$A289,'S4'!$U$5:$U$2535),""),"")</f>
        <v/>
      </c>
      <c r="AB289" s="146" t="str">
        <f ca="1">IFERROR(IF(OR(OFFSET('S5'!#REF!,MATCH($A289,'S5'!$D$5:$D$2103,0)-1,6)="巻返し",OFFSET('S5'!#REF!,MATCH($A289,'S5'!$D$5:$D$2103,0)-1,6)="スリット"),SUMIF('S5'!$D$5:$D$2103,$A289,'S5'!$T$5:$T$2103),""),"")</f>
        <v/>
      </c>
    </row>
    <row r="290" spans="1:28" s="141" customFormat="1" ht="11.25" x14ac:dyDescent="0.15">
      <c r="A290" s="173">
        <v>3697654</v>
      </c>
      <c r="B290" s="173" t="s">
        <v>423</v>
      </c>
      <c r="C290" s="173" t="s">
        <v>364</v>
      </c>
      <c r="D290" s="173" t="s">
        <v>353</v>
      </c>
      <c r="E290" s="173" t="s">
        <v>316</v>
      </c>
      <c r="F290" s="173">
        <v>3</v>
      </c>
      <c r="G290" s="173" t="s">
        <v>265</v>
      </c>
      <c r="H290" s="173" t="s">
        <v>20</v>
      </c>
      <c r="I290" s="173" t="s">
        <v>312</v>
      </c>
      <c r="J290" s="173"/>
      <c r="K290" s="173" t="s">
        <v>317</v>
      </c>
      <c r="L290" s="173">
        <v>50</v>
      </c>
      <c r="M290" s="173" t="s">
        <v>318</v>
      </c>
      <c r="N290" s="174">
        <v>680</v>
      </c>
      <c r="O290" s="174">
        <v>680</v>
      </c>
      <c r="P290" s="174">
        <v>2000</v>
      </c>
      <c r="Q290" s="173">
        <v>2</v>
      </c>
      <c r="R290" s="173">
        <v>4</v>
      </c>
      <c r="S290" s="173" t="s">
        <v>354</v>
      </c>
      <c r="T290" s="175">
        <v>44949</v>
      </c>
      <c r="U290" s="175">
        <v>44977</v>
      </c>
      <c r="V290" s="173" t="s">
        <v>355</v>
      </c>
      <c r="W290" s="173"/>
      <c r="X290" s="173"/>
      <c r="Z290" s="146" t="str">
        <f t="shared" ca="1" si="4"/>
        <v/>
      </c>
      <c r="AA290" s="146" t="str">
        <f ca="1">IFERROR(IF(OR(OFFSET('S4'!#REF!,MATCH($A290,'S4'!$D$5:$D$2535,0)-1,6)="巻返し",OFFSET('S4'!#REF!,MATCH($A290,'S4'!$D$5:$D$2535,0)-1,6)="スリット"),SUMIF('S4'!$D$5:$D$2535,$A290,'S4'!$U$5:$U$2535),""),"")</f>
        <v/>
      </c>
      <c r="AB290" s="146" t="str">
        <f ca="1">IFERROR(IF(OR(OFFSET('S5'!#REF!,MATCH($A290,'S5'!$D$5:$D$2103,0)-1,6)="巻返し",OFFSET('S5'!#REF!,MATCH($A290,'S5'!$D$5:$D$2103,0)-1,6)="スリット"),SUMIF('S5'!$D$5:$D$2103,$A290,'S5'!$T$5:$T$2103),""),"")</f>
        <v/>
      </c>
    </row>
    <row r="291" spans="1:28" s="141" customFormat="1" ht="11.25" x14ac:dyDescent="0.15">
      <c r="A291" s="173">
        <v>3697655</v>
      </c>
      <c r="B291" s="173" t="s">
        <v>351</v>
      </c>
      <c r="C291" s="173" t="s">
        <v>364</v>
      </c>
      <c r="D291" s="173" t="s">
        <v>353</v>
      </c>
      <c r="E291" s="173" t="s">
        <v>148</v>
      </c>
      <c r="F291" s="173">
        <v>3</v>
      </c>
      <c r="G291" s="173" t="s">
        <v>19</v>
      </c>
      <c r="H291" s="173" t="s">
        <v>20</v>
      </c>
      <c r="I291" s="173" t="s">
        <v>143</v>
      </c>
      <c r="J291" s="173"/>
      <c r="K291" s="173" t="s">
        <v>149</v>
      </c>
      <c r="L291" s="173">
        <v>50</v>
      </c>
      <c r="M291" s="173" t="s">
        <v>150</v>
      </c>
      <c r="N291" s="174">
        <v>1120</v>
      </c>
      <c r="O291" s="174">
        <v>1120</v>
      </c>
      <c r="P291" s="174">
        <v>6000</v>
      </c>
      <c r="Q291" s="173">
        <v>2</v>
      </c>
      <c r="R291" s="173">
        <v>6</v>
      </c>
      <c r="S291" s="173" t="s">
        <v>354</v>
      </c>
      <c r="T291" s="175">
        <v>44949</v>
      </c>
      <c r="U291" s="175">
        <v>44977</v>
      </c>
      <c r="V291" s="173" t="s">
        <v>355</v>
      </c>
      <c r="W291" s="173"/>
      <c r="X291" s="173"/>
      <c r="Z291" s="146" t="str">
        <f t="shared" ca="1" si="4"/>
        <v/>
      </c>
      <c r="AA291" s="146" t="str">
        <f ca="1">IFERROR(IF(OR(OFFSET('S4'!#REF!,MATCH($A291,'S4'!$D$5:$D$2535,0)-1,6)="巻返し",OFFSET('S4'!#REF!,MATCH($A291,'S4'!$D$5:$D$2535,0)-1,6)="スリット"),SUMIF('S4'!$D$5:$D$2535,$A291,'S4'!$U$5:$U$2535),""),"")</f>
        <v/>
      </c>
      <c r="AB291" s="146" t="str">
        <f ca="1">IFERROR(IF(OR(OFFSET('S5'!#REF!,MATCH($A291,'S5'!$D$5:$D$2103,0)-1,6)="巻返し",OFFSET('S5'!#REF!,MATCH($A291,'S5'!$D$5:$D$2103,0)-1,6)="スリット"),SUMIF('S5'!$D$5:$D$2103,$A291,'S5'!$T$5:$T$2103),""),"")</f>
        <v/>
      </c>
    </row>
    <row r="292" spans="1:28" s="141" customFormat="1" ht="11.25" x14ac:dyDescent="0.15">
      <c r="A292" s="173">
        <v>3697656</v>
      </c>
      <c r="B292" s="173" t="s">
        <v>351</v>
      </c>
      <c r="C292" s="173" t="s">
        <v>364</v>
      </c>
      <c r="D292" s="173" t="s">
        <v>353</v>
      </c>
      <c r="E292" s="173" t="s">
        <v>148</v>
      </c>
      <c r="F292" s="173">
        <v>3</v>
      </c>
      <c r="G292" s="173" t="s">
        <v>19</v>
      </c>
      <c r="H292" s="173" t="s">
        <v>20</v>
      </c>
      <c r="I292" s="173" t="s">
        <v>165</v>
      </c>
      <c r="J292" s="173"/>
      <c r="K292" s="173" t="s">
        <v>169</v>
      </c>
      <c r="L292" s="173">
        <v>50</v>
      </c>
      <c r="M292" s="173" t="s">
        <v>170</v>
      </c>
      <c r="N292" s="174">
        <v>1120</v>
      </c>
      <c r="O292" s="174">
        <v>1120</v>
      </c>
      <c r="P292" s="174">
        <v>6000</v>
      </c>
      <c r="Q292" s="173">
        <v>2</v>
      </c>
      <c r="R292" s="173">
        <v>4</v>
      </c>
      <c r="S292" s="173" t="s">
        <v>354</v>
      </c>
      <c r="T292" s="175">
        <v>44949</v>
      </c>
      <c r="U292" s="175">
        <v>44977</v>
      </c>
      <c r="V292" s="173" t="s">
        <v>355</v>
      </c>
      <c r="W292" s="173"/>
      <c r="X292" s="173"/>
      <c r="Z292" s="146" t="str">
        <f t="shared" ca="1" si="4"/>
        <v/>
      </c>
      <c r="AA292" s="146" t="str">
        <f ca="1">IFERROR(IF(OR(OFFSET('S4'!#REF!,MATCH($A292,'S4'!$D$5:$D$2535,0)-1,6)="巻返し",OFFSET('S4'!#REF!,MATCH($A292,'S4'!$D$5:$D$2535,0)-1,6)="スリット"),SUMIF('S4'!$D$5:$D$2535,$A292,'S4'!$U$5:$U$2535),""),"")</f>
        <v/>
      </c>
      <c r="AB292" s="146" t="str">
        <f ca="1">IFERROR(IF(OR(OFFSET('S5'!#REF!,MATCH($A292,'S5'!$D$5:$D$2103,0)-1,6)="巻返し",OFFSET('S5'!#REF!,MATCH($A292,'S5'!$D$5:$D$2103,0)-1,6)="スリット"),SUMIF('S5'!$D$5:$D$2103,$A292,'S5'!$T$5:$T$2103),""),"")</f>
        <v/>
      </c>
    </row>
    <row r="293" spans="1:28" s="141" customFormat="1" ht="11.25" x14ac:dyDescent="0.15">
      <c r="A293" s="173">
        <v>3697657</v>
      </c>
      <c r="B293" s="173" t="s">
        <v>351</v>
      </c>
      <c r="C293" s="173" t="s">
        <v>352</v>
      </c>
      <c r="D293" s="173" t="s">
        <v>353</v>
      </c>
      <c r="E293" s="173" t="s">
        <v>116</v>
      </c>
      <c r="F293" s="173">
        <v>3</v>
      </c>
      <c r="G293" s="173" t="s">
        <v>19</v>
      </c>
      <c r="H293" s="173" t="s">
        <v>28</v>
      </c>
      <c r="I293" s="173" t="s">
        <v>205</v>
      </c>
      <c r="J293" s="173"/>
      <c r="K293" s="173" t="s">
        <v>212</v>
      </c>
      <c r="L293" s="173">
        <v>25</v>
      </c>
      <c r="M293" s="173" t="s">
        <v>213</v>
      </c>
      <c r="N293" s="174">
        <v>1120</v>
      </c>
      <c r="O293" s="174">
        <v>1120</v>
      </c>
      <c r="P293" s="174">
        <v>4000</v>
      </c>
      <c r="Q293" s="173">
        <v>2</v>
      </c>
      <c r="R293" s="173">
        <v>4</v>
      </c>
      <c r="S293" s="173" t="s">
        <v>354</v>
      </c>
      <c r="T293" s="175">
        <v>44949</v>
      </c>
      <c r="U293" s="175">
        <v>44985</v>
      </c>
      <c r="V293" s="173" t="s">
        <v>355</v>
      </c>
      <c r="W293" s="173"/>
      <c r="X293" s="173"/>
      <c r="Z293" s="146" t="str">
        <f t="shared" ca="1" si="4"/>
        <v/>
      </c>
      <c r="AA293" s="146" t="str">
        <f ca="1">IFERROR(IF(OR(OFFSET('S4'!#REF!,MATCH($A293,'S4'!$D$5:$D$2535,0)-1,6)="巻返し",OFFSET('S4'!#REF!,MATCH($A293,'S4'!$D$5:$D$2535,0)-1,6)="スリット"),SUMIF('S4'!$D$5:$D$2535,$A293,'S4'!$U$5:$U$2535),""),"")</f>
        <v/>
      </c>
      <c r="AB293" s="146" t="str">
        <f ca="1">IFERROR(IF(OR(OFFSET('S5'!#REF!,MATCH($A293,'S5'!$D$5:$D$2103,0)-1,6)="巻返し",OFFSET('S5'!#REF!,MATCH($A293,'S5'!$D$5:$D$2103,0)-1,6)="スリット"),SUMIF('S5'!$D$5:$D$2103,$A293,'S5'!$T$5:$T$2103),""),"")</f>
        <v/>
      </c>
    </row>
    <row r="294" spans="1:28" s="141" customFormat="1" ht="11.25" x14ac:dyDescent="0.15">
      <c r="A294" s="173">
        <v>3697658</v>
      </c>
      <c r="B294" s="173" t="s">
        <v>351</v>
      </c>
      <c r="C294" s="173" t="s">
        <v>352</v>
      </c>
      <c r="D294" s="173" t="s">
        <v>353</v>
      </c>
      <c r="E294" s="173" t="s">
        <v>116</v>
      </c>
      <c r="F294" s="173">
        <v>3</v>
      </c>
      <c r="G294" s="173" t="s">
        <v>19</v>
      </c>
      <c r="H294" s="173" t="s">
        <v>20</v>
      </c>
      <c r="I294" s="173" t="s">
        <v>205</v>
      </c>
      <c r="J294" s="173"/>
      <c r="K294" s="173" t="s">
        <v>212</v>
      </c>
      <c r="L294" s="173">
        <v>50</v>
      </c>
      <c r="M294" s="173" t="s">
        <v>213</v>
      </c>
      <c r="N294" s="174">
        <v>1120</v>
      </c>
      <c r="O294" s="174">
        <v>1120</v>
      </c>
      <c r="P294" s="174">
        <v>4000</v>
      </c>
      <c r="Q294" s="173">
        <v>2</v>
      </c>
      <c r="R294" s="173">
        <v>15</v>
      </c>
      <c r="S294" s="173" t="s">
        <v>354</v>
      </c>
      <c r="T294" s="175">
        <v>44949</v>
      </c>
      <c r="U294" s="175">
        <v>44981</v>
      </c>
      <c r="V294" s="173" t="s">
        <v>355</v>
      </c>
      <c r="W294" s="173"/>
      <c r="X294" s="173"/>
      <c r="Z294" s="146" t="str">
        <f t="shared" ca="1" si="4"/>
        <v/>
      </c>
      <c r="AA294" s="146" t="str">
        <f ca="1">IFERROR(IF(OR(OFFSET('S4'!#REF!,MATCH($A294,'S4'!$D$5:$D$2535,0)-1,6)="巻返し",OFFSET('S4'!#REF!,MATCH($A294,'S4'!$D$5:$D$2535,0)-1,6)="スリット"),SUMIF('S4'!$D$5:$D$2535,$A294,'S4'!$U$5:$U$2535),""),"")</f>
        <v/>
      </c>
      <c r="AB294" s="146" t="str">
        <f ca="1">IFERROR(IF(OR(OFFSET('S5'!#REF!,MATCH($A294,'S5'!$D$5:$D$2103,0)-1,6)="巻返し",OFFSET('S5'!#REF!,MATCH($A294,'S5'!$D$5:$D$2103,0)-1,6)="スリット"),SUMIF('S5'!$D$5:$D$2103,$A294,'S5'!$T$5:$T$2103),""),"")</f>
        <v/>
      </c>
    </row>
    <row r="295" spans="1:28" s="141" customFormat="1" ht="11.25" x14ac:dyDescent="0.15">
      <c r="A295" s="173">
        <v>3697659</v>
      </c>
      <c r="B295" s="173" t="s">
        <v>351</v>
      </c>
      <c r="C295" s="173" t="s">
        <v>352</v>
      </c>
      <c r="D295" s="173" t="s">
        <v>353</v>
      </c>
      <c r="E295" s="173" t="s">
        <v>116</v>
      </c>
      <c r="F295" s="173">
        <v>3</v>
      </c>
      <c r="G295" s="173" t="s">
        <v>19</v>
      </c>
      <c r="H295" s="173" t="s">
        <v>20</v>
      </c>
      <c r="I295" s="173" t="s">
        <v>205</v>
      </c>
      <c r="J295" s="173"/>
      <c r="K295" s="173" t="s">
        <v>211</v>
      </c>
      <c r="L295" s="173">
        <v>50</v>
      </c>
      <c r="M295" s="173" t="s">
        <v>370</v>
      </c>
      <c r="N295" s="174">
        <v>1170</v>
      </c>
      <c r="O295" s="174">
        <v>1170</v>
      </c>
      <c r="P295" s="174">
        <v>4000</v>
      </c>
      <c r="Q295" s="173">
        <v>2</v>
      </c>
      <c r="R295" s="173">
        <v>1</v>
      </c>
      <c r="S295" s="173" t="s">
        <v>354</v>
      </c>
      <c r="T295" s="175">
        <v>44949</v>
      </c>
      <c r="U295" s="175">
        <v>44972</v>
      </c>
      <c r="V295" s="173" t="s">
        <v>355</v>
      </c>
      <c r="W295" s="173"/>
      <c r="X295" s="173"/>
      <c r="Z295" s="146" t="str">
        <f t="shared" ca="1" si="4"/>
        <v/>
      </c>
      <c r="AA295" s="146" t="str">
        <f ca="1">IFERROR(IF(OR(OFFSET('S4'!#REF!,MATCH($A295,'S4'!$D$5:$D$2535,0)-1,6)="巻返し",OFFSET('S4'!#REF!,MATCH($A295,'S4'!$D$5:$D$2535,0)-1,6)="スリット"),SUMIF('S4'!$D$5:$D$2535,$A295,'S4'!$U$5:$U$2535),""),"")</f>
        <v/>
      </c>
      <c r="AB295" s="146" t="str">
        <f ca="1">IFERROR(IF(OR(OFFSET('S5'!#REF!,MATCH($A295,'S5'!$D$5:$D$2103,0)-1,6)="巻返し",OFFSET('S5'!#REF!,MATCH($A295,'S5'!$D$5:$D$2103,0)-1,6)="スリット"),SUMIF('S5'!$D$5:$D$2103,$A295,'S5'!$T$5:$T$2103),""),"")</f>
        <v/>
      </c>
    </row>
    <row r="296" spans="1:28" s="141" customFormat="1" ht="11.25" x14ac:dyDescent="0.15">
      <c r="A296" s="173">
        <v>3697660</v>
      </c>
      <c r="B296" s="173" t="s">
        <v>351</v>
      </c>
      <c r="C296" s="173" t="s">
        <v>352</v>
      </c>
      <c r="D296" s="173" t="s">
        <v>353</v>
      </c>
      <c r="E296" s="173" t="s">
        <v>116</v>
      </c>
      <c r="F296" s="173">
        <v>3</v>
      </c>
      <c r="G296" s="173" t="s">
        <v>19</v>
      </c>
      <c r="H296" s="173" t="s">
        <v>20</v>
      </c>
      <c r="I296" s="173" t="s">
        <v>165</v>
      </c>
      <c r="J296" s="173"/>
      <c r="K296" s="173" t="s">
        <v>185</v>
      </c>
      <c r="L296" s="173">
        <v>50</v>
      </c>
      <c r="M296" s="173" t="s">
        <v>186</v>
      </c>
      <c r="N296" s="174">
        <v>1005</v>
      </c>
      <c r="O296" s="174">
        <v>1000</v>
      </c>
      <c r="P296" s="174">
        <v>4000</v>
      </c>
      <c r="Q296" s="173">
        <v>2</v>
      </c>
      <c r="R296" s="173">
        <v>3</v>
      </c>
      <c r="S296" s="173" t="s">
        <v>354</v>
      </c>
      <c r="T296" s="175">
        <v>44949</v>
      </c>
      <c r="U296" s="175">
        <v>44977</v>
      </c>
      <c r="V296" s="173" t="s">
        <v>355</v>
      </c>
      <c r="W296" s="173"/>
      <c r="X296" s="173"/>
      <c r="Z296" s="146" t="str">
        <f t="shared" ca="1" si="4"/>
        <v/>
      </c>
      <c r="AA296" s="146" t="str">
        <f ca="1">IFERROR(IF(OR(OFFSET('S4'!#REF!,MATCH($A296,'S4'!$D$5:$D$2535,0)-1,6)="巻返し",OFFSET('S4'!#REF!,MATCH($A296,'S4'!$D$5:$D$2535,0)-1,6)="スリット"),SUMIF('S4'!$D$5:$D$2535,$A296,'S4'!$U$5:$U$2535),""),"")</f>
        <v/>
      </c>
      <c r="AB296" s="146" t="str">
        <f ca="1">IFERROR(IF(OR(OFFSET('S5'!#REF!,MATCH($A296,'S5'!$D$5:$D$2103,0)-1,6)="巻返し",OFFSET('S5'!#REF!,MATCH($A296,'S5'!$D$5:$D$2103,0)-1,6)="スリット"),SUMIF('S5'!$D$5:$D$2103,$A296,'S5'!$T$5:$T$2103),""),"")</f>
        <v/>
      </c>
    </row>
    <row r="297" spans="1:28" s="141" customFormat="1" ht="11.25" x14ac:dyDescent="0.15">
      <c r="A297" s="173">
        <v>3697662</v>
      </c>
      <c r="B297" s="173" t="s">
        <v>351</v>
      </c>
      <c r="C297" s="173" t="s">
        <v>352</v>
      </c>
      <c r="D297" s="173" t="s">
        <v>353</v>
      </c>
      <c r="E297" s="173" t="s">
        <v>116</v>
      </c>
      <c r="F297" s="173">
        <v>3</v>
      </c>
      <c r="G297" s="173" t="s">
        <v>19</v>
      </c>
      <c r="H297" s="173" t="s">
        <v>20</v>
      </c>
      <c r="I297" s="173" t="s">
        <v>205</v>
      </c>
      <c r="J297" s="173"/>
      <c r="K297" s="173" t="s">
        <v>216</v>
      </c>
      <c r="L297" s="173">
        <v>25</v>
      </c>
      <c r="M297" s="173" t="s">
        <v>217</v>
      </c>
      <c r="N297" s="174">
        <v>1005</v>
      </c>
      <c r="O297" s="174">
        <v>1000</v>
      </c>
      <c r="P297" s="174">
        <v>4000</v>
      </c>
      <c r="Q297" s="173">
        <v>2</v>
      </c>
      <c r="R297" s="173">
        <v>3</v>
      </c>
      <c r="S297" s="173" t="s">
        <v>354</v>
      </c>
      <c r="T297" s="175">
        <v>44949</v>
      </c>
      <c r="U297" s="175">
        <v>44977</v>
      </c>
      <c r="V297" s="173" t="s">
        <v>355</v>
      </c>
      <c r="W297" s="173"/>
      <c r="X297" s="173"/>
      <c r="Z297" s="146" t="str">
        <f t="shared" ca="1" si="4"/>
        <v/>
      </c>
      <c r="AA297" s="146" t="str">
        <f ca="1">IFERROR(IF(OR(OFFSET('S4'!#REF!,MATCH($A297,'S4'!$D$5:$D$2535,0)-1,6)="巻返し",OFFSET('S4'!#REF!,MATCH($A297,'S4'!$D$5:$D$2535,0)-1,6)="スリット"),SUMIF('S4'!$D$5:$D$2535,$A297,'S4'!$U$5:$U$2535),""),"")</f>
        <v/>
      </c>
      <c r="AB297" s="146" t="str">
        <f ca="1">IFERROR(IF(OR(OFFSET('S5'!#REF!,MATCH($A297,'S5'!$D$5:$D$2103,0)-1,6)="巻返し",OFFSET('S5'!#REF!,MATCH($A297,'S5'!$D$5:$D$2103,0)-1,6)="スリット"),SUMIF('S5'!$D$5:$D$2103,$A297,'S5'!$T$5:$T$2103),""),"")</f>
        <v/>
      </c>
    </row>
    <row r="298" spans="1:28" s="141" customFormat="1" ht="11.25" x14ac:dyDescent="0.15">
      <c r="A298" s="173">
        <v>3697663</v>
      </c>
      <c r="B298" s="173" t="s">
        <v>351</v>
      </c>
      <c r="C298" s="173" t="s">
        <v>352</v>
      </c>
      <c r="D298" s="173" t="s">
        <v>353</v>
      </c>
      <c r="E298" s="173" t="s">
        <v>116</v>
      </c>
      <c r="F298" s="173">
        <v>3</v>
      </c>
      <c r="G298" s="173" t="s">
        <v>19</v>
      </c>
      <c r="H298" s="173" t="s">
        <v>20</v>
      </c>
      <c r="I298" s="173" t="s">
        <v>205</v>
      </c>
      <c r="J298" s="173"/>
      <c r="K298" s="173" t="s">
        <v>216</v>
      </c>
      <c r="L298" s="173">
        <v>25</v>
      </c>
      <c r="M298" s="173" t="s">
        <v>217</v>
      </c>
      <c r="N298" s="174">
        <v>1125</v>
      </c>
      <c r="O298" s="174">
        <v>1120</v>
      </c>
      <c r="P298" s="174">
        <v>4000</v>
      </c>
      <c r="Q298" s="173">
        <v>2</v>
      </c>
      <c r="R298" s="173">
        <v>3</v>
      </c>
      <c r="S298" s="173" t="s">
        <v>354</v>
      </c>
      <c r="T298" s="175">
        <v>44949</v>
      </c>
      <c r="U298" s="175">
        <v>44972</v>
      </c>
      <c r="V298" s="173" t="s">
        <v>355</v>
      </c>
      <c r="W298" s="173"/>
      <c r="X298" s="173"/>
      <c r="Z298" s="146" t="str">
        <f t="shared" ca="1" si="4"/>
        <v/>
      </c>
      <c r="AA298" s="146" t="str">
        <f ca="1">IFERROR(IF(OR(OFFSET('S4'!#REF!,MATCH($A298,'S4'!$D$5:$D$2535,0)-1,6)="巻返し",OFFSET('S4'!#REF!,MATCH($A298,'S4'!$D$5:$D$2535,0)-1,6)="スリット"),SUMIF('S4'!$D$5:$D$2535,$A298,'S4'!$U$5:$U$2535),""),"")</f>
        <v/>
      </c>
      <c r="AB298" s="146" t="str">
        <f ca="1">IFERROR(IF(OR(OFFSET('S5'!#REF!,MATCH($A298,'S5'!$D$5:$D$2103,0)-1,6)="巻返し",OFFSET('S5'!#REF!,MATCH($A298,'S5'!$D$5:$D$2103,0)-1,6)="スリット"),SUMIF('S5'!$D$5:$D$2103,$A298,'S5'!$T$5:$T$2103),""),"")</f>
        <v/>
      </c>
    </row>
    <row r="299" spans="1:28" s="141" customFormat="1" ht="11.25" x14ac:dyDescent="0.15">
      <c r="A299" s="173">
        <v>3697664</v>
      </c>
      <c r="B299" s="173" t="s">
        <v>351</v>
      </c>
      <c r="C299" s="173" t="s">
        <v>352</v>
      </c>
      <c r="D299" s="173" t="s">
        <v>353</v>
      </c>
      <c r="E299" s="173" t="s">
        <v>116</v>
      </c>
      <c r="F299" s="173">
        <v>3</v>
      </c>
      <c r="G299" s="173" t="s">
        <v>19</v>
      </c>
      <c r="H299" s="173" t="s">
        <v>20</v>
      </c>
      <c r="I299" s="173" t="s">
        <v>205</v>
      </c>
      <c r="J299" s="173"/>
      <c r="K299" s="173" t="s">
        <v>216</v>
      </c>
      <c r="L299" s="173">
        <v>50</v>
      </c>
      <c r="M299" s="173" t="s">
        <v>217</v>
      </c>
      <c r="N299" s="174">
        <v>1120</v>
      </c>
      <c r="O299" s="174">
        <v>1120</v>
      </c>
      <c r="P299" s="174">
        <v>5000</v>
      </c>
      <c r="Q299" s="173">
        <v>2</v>
      </c>
      <c r="R299" s="173">
        <v>12</v>
      </c>
      <c r="S299" s="173" t="s">
        <v>354</v>
      </c>
      <c r="T299" s="175">
        <v>44949</v>
      </c>
      <c r="U299" s="175">
        <v>44973</v>
      </c>
      <c r="V299" s="173" t="s">
        <v>355</v>
      </c>
      <c r="W299" s="173"/>
      <c r="X299" s="173"/>
      <c r="Z299" s="146" t="str">
        <f t="shared" ca="1" si="4"/>
        <v/>
      </c>
      <c r="AA299" s="146" t="str">
        <f ca="1">IFERROR(IF(OR(OFFSET('S4'!#REF!,MATCH($A299,'S4'!$D$5:$D$2535,0)-1,6)="巻返し",OFFSET('S4'!#REF!,MATCH($A299,'S4'!$D$5:$D$2535,0)-1,6)="スリット"),SUMIF('S4'!$D$5:$D$2535,$A299,'S4'!$U$5:$U$2535),""),"")</f>
        <v/>
      </c>
      <c r="AB299" s="146" t="str">
        <f ca="1">IFERROR(IF(OR(OFFSET('S5'!#REF!,MATCH($A299,'S5'!$D$5:$D$2103,0)-1,6)="巻返し",OFFSET('S5'!#REF!,MATCH($A299,'S5'!$D$5:$D$2103,0)-1,6)="スリット"),SUMIF('S5'!$D$5:$D$2103,$A299,'S5'!$T$5:$T$2103),""),"")</f>
        <v/>
      </c>
    </row>
    <row r="300" spans="1:28" s="141" customFormat="1" ht="11.25" x14ac:dyDescent="0.15">
      <c r="A300" s="173">
        <v>3697665</v>
      </c>
      <c r="B300" s="173" t="s">
        <v>351</v>
      </c>
      <c r="C300" s="173" t="s">
        <v>352</v>
      </c>
      <c r="D300" s="173" t="s">
        <v>353</v>
      </c>
      <c r="E300" s="173" t="s">
        <v>116</v>
      </c>
      <c r="F300" s="173">
        <v>3</v>
      </c>
      <c r="G300" s="173" t="s">
        <v>19</v>
      </c>
      <c r="H300" s="173" t="s">
        <v>20</v>
      </c>
      <c r="I300" s="173" t="s">
        <v>205</v>
      </c>
      <c r="J300" s="173"/>
      <c r="K300" s="173" t="s">
        <v>216</v>
      </c>
      <c r="L300" s="173">
        <v>50</v>
      </c>
      <c r="M300" s="173" t="s">
        <v>217</v>
      </c>
      <c r="N300" s="174">
        <v>1120</v>
      </c>
      <c r="O300" s="174">
        <v>1120</v>
      </c>
      <c r="P300" s="174">
        <v>5000</v>
      </c>
      <c r="Q300" s="173">
        <v>2</v>
      </c>
      <c r="R300" s="173">
        <v>12</v>
      </c>
      <c r="S300" s="173" t="s">
        <v>354</v>
      </c>
      <c r="T300" s="175">
        <v>44949</v>
      </c>
      <c r="U300" s="175">
        <v>44978</v>
      </c>
      <c r="V300" s="173" t="s">
        <v>355</v>
      </c>
      <c r="W300" s="173"/>
      <c r="X300" s="173"/>
      <c r="Z300" s="146" t="str">
        <f t="shared" ca="1" si="4"/>
        <v/>
      </c>
      <c r="AA300" s="146" t="str">
        <f ca="1">IFERROR(IF(OR(OFFSET('S4'!#REF!,MATCH($A300,'S4'!$D$5:$D$2535,0)-1,6)="巻返し",OFFSET('S4'!#REF!,MATCH($A300,'S4'!$D$5:$D$2535,0)-1,6)="スリット"),SUMIF('S4'!$D$5:$D$2535,$A300,'S4'!$U$5:$U$2535),""),"")</f>
        <v/>
      </c>
      <c r="AB300" s="146" t="str">
        <f ca="1">IFERROR(IF(OR(OFFSET('S5'!#REF!,MATCH($A300,'S5'!$D$5:$D$2103,0)-1,6)="巻返し",OFFSET('S5'!#REF!,MATCH($A300,'S5'!$D$5:$D$2103,0)-1,6)="スリット"),SUMIF('S5'!$D$5:$D$2103,$A300,'S5'!$T$5:$T$2103),""),"")</f>
        <v/>
      </c>
    </row>
    <row r="301" spans="1:28" s="141" customFormat="1" ht="11.25" x14ac:dyDescent="0.15">
      <c r="A301" s="173">
        <v>3697666</v>
      </c>
      <c r="B301" s="173" t="s">
        <v>351</v>
      </c>
      <c r="C301" s="173" t="s">
        <v>352</v>
      </c>
      <c r="D301" s="173" t="s">
        <v>353</v>
      </c>
      <c r="E301" s="173" t="s">
        <v>116</v>
      </c>
      <c r="F301" s="173">
        <v>3</v>
      </c>
      <c r="G301" s="173" t="s">
        <v>19</v>
      </c>
      <c r="H301" s="173" t="s">
        <v>20</v>
      </c>
      <c r="I301" s="173" t="s">
        <v>205</v>
      </c>
      <c r="J301" s="173"/>
      <c r="K301" s="173" t="s">
        <v>216</v>
      </c>
      <c r="L301" s="173">
        <v>50</v>
      </c>
      <c r="M301" s="173" t="s">
        <v>217</v>
      </c>
      <c r="N301" s="174">
        <v>1120</v>
      </c>
      <c r="O301" s="174">
        <v>1120</v>
      </c>
      <c r="P301" s="174">
        <v>5000</v>
      </c>
      <c r="Q301" s="173">
        <v>2</v>
      </c>
      <c r="R301" s="173">
        <v>14</v>
      </c>
      <c r="S301" s="173" t="s">
        <v>354</v>
      </c>
      <c r="T301" s="175">
        <v>44949</v>
      </c>
      <c r="U301" s="175">
        <v>44981</v>
      </c>
      <c r="V301" s="173" t="s">
        <v>355</v>
      </c>
      <c r="W301" s="173"/>
      <c r="X301" s="173"/>
      <c r="Z301" s="146" t="str">
        <f t="shared" ca="1" si="4"/>
        <v/>
      </c>
      <c r="AA301" s="146" t="str">
        <f ca="1">IFERROR(IF(OR(OFFSET('S4'!#REF!,MATCH($A301,'S4'!$D$5:$D$2535,0)-1,6)="巻返し",OFFSET('S4'!#REF!,MATCH($A301,'S4'!$D$5:$D$2535,0)-1,6)="スリット"),SUMIF('S4'!$D$5:$D$2535,$A301,'S4'!$U$5:$U$2535),""),"")</f>
        <v/>
      </c>
      <c r="AB301" s="146" t="str">
        <f ca="1">IFERROR(IF(OR(OFFSET('S5'!#REF!,MATCH($A301,'S5'!$D$5:$D$2103,0)-1,6)="巻返し",OFFSET('S5'!#REF!,MATCH($A301,'S5'!$D$5:$D$2103,0)-1,6)="スリット"),SUMIF('S5'!$D$5:$D$2103,$A301,'S5'!$T$5:$T$2103),""),"")</f>
        <v/>
      </c>
    </row>
    <row r="302" spans="1:28" s="141" customFormat="1" ht="11.25" x14ac:dyDescent="0.15">
      <c r="A302" s="173">
        <v>3697667</v>
      </c>
      <c r="B302" s="173" t="s">
        <v>351</v>
      </c>
      <c r="C302" s="173" t="s">
        <v>352</v>
      </c>
      <c r="D302" s="173" t="s">
        <v>353</v>
      </c>
      <c r="E302" s="173" t="s">
        <v>116</v>
      </c>
      <c r="F302" s="173">
        <v>3</v>
      </c>
      <c r="G302" s="173" t="s">
        <v>19</v>
      </c>
      <c r="H302" s="173" t="s">
        <v>20</v>
      </c>
      <c r="I302" s="173" t="s">
        <v>205</v>
      </c>
      <c r="J302" s="173"/>
      <c r="K302" s="173" t="s">
        <v>216</v>
      </c>
      <c r="L302" s="173">
        <v>50</v>
      </c>
      <c r="M302" s="173" t="s">
        <v>217</v>
      </c>
      <c r="N302" s="174">
        <v>1120</v>
      </c>
      <c r="O302" s="174">
        <v>1120</v>
      </c>
      <c r="P302" s="174">
        <v>5000</v>
      </c>
      <c r="Q302" s="173">
        <v>2</v>
      </c>
      <c r="R302" s="173">
        <v>14</v>
      </c>
      <c r="S302" s="173" t="s">
        <v>354</v>
      </c>
      <c r="T302" s="175">
        <v>44949</v>
      </c>
      <c r="U302" s="175">
        <v>44995</v>
      </c>
      <c r="V302" s="173" t="s">
        <v>355</v>
      </c>
      <c r="W302" s="173"/>
      <c r="X302" s="173"/>
      <c r="Z302" s="146" t="str">
        <f t="shared" ca="1" si="4"/>
        <v/>
      </c>
      <c r="AA302" s="146" t="str">
        <f ca="1">IFERROR(IF(OR(OFFSET('S4'!#REF!,MATCH($A302,'S4'!$D$5:$D$2535,0)-1,6)="巻返し",OFFSET('S4'!#REF!,MATCH($A302,'S4'!$D$5:$D$2535,0)-1,6)="スリット"),SUMIF('S4'!$D$5:$D$2535,$A302,'S4'!$U$5:$U$2535),""),"")</f>
        <v/>
      </c>
      <c r="AB302" s="146" t="str">
        <f ca="1">IFERROR(IF(OR(OFFSET('S5'!#REF!,MATCH($A302,'S5'!$D$5:$D$2103,0)-1,6)="巻返し",OFFSET('S5'!#REF!,MATCH($A302,'S5'!$D$5:$D$2103,0)-1,6)="スリット"),SUMIF('S5'!$D$5:$D$2103,$A302,'S5'!$T$5:$T$2103),""),"")</f>
        <v/>
      </c>
    </row>
    <row r="303" spans="1:28" s="141" customFormat="1" ht="11.25" x14ac:dyDescent="0.15">
      <c r="A303" s="173">
        <v>3697668</v>
      </c>
      <c r="B303" s="173" t="s">
        <v>351</v>
      </c>
      <c r="C303" s="173" t="s">
        <v>352</v>
      </c>
      <c r="D303" s="173" t="s">
        <v>353</v>
      </c>
      <c r="E303" s="173" t="s">
        <v>116</v>
      </c>
      <c r="F303" s="173">
        <v>3</v>
      </c>
      <c r="G303" s="173" t="s">
        <v>19</v>
      </c>
      <c r="H303" s="173" t="s">
        <v>20</v>
      </c>
      <c r="I303" s="173" t="s">
        <v>205</v>
      </c>
      <c r="J303" s="173"/>
      <c r="K303" s="173" t="s">
        <v>216</v>
      </c>
      <c r="L303" s="173">
        <v>50</v>
      </c>
      <c r="M303" s="173" t="s">
        <v>217</v>
      </c>
      <c r="N303" s="174">
        <v>1120</v>
      </c>
      <c r="O303" s="174">
        <v>1120</v>
      </c>
      <c r="P303" s="174">
        <v>5000</v>
      </c>
      <c r="Q303" s="173">
        <v>2</v>
      </c>
      <c r="R303" s="173">
        <v>12</v>
      </c>
      <c r="S303" s="173" t="s">
        <v>354</v>
      </c>
      <c r="T303" s="175">
        <v>44949</v>
      </c>
      <c r="U303" s="175">
        <v>45000</v>
      </c>
      <c r="V303" s="173" t="s">
        <v>355</v>
      </c>
      <c r="W303" s="173"/>
      <c r="X303" s="173"/>
      <c r="Z303" s="146" t="str">
        <f t="shared" ca="1" si="4"/>
        <v/>
      </c>
      <c r="AA303" s="146" t="str">
        <f ca="1">IFERROR(IF(OR(OFFSET('S4'!#REF!,MATCH($A303,'S4'!$D$5:$D$2535,0)-1,6)="巻返し",OFFSET('S4'!#REF!,MATCH($A303,'S4'!$D$5:$D$2535,0)-1,6)="スリット"),SUMIF('S4'!$D$5:$D$2535,$A303,'S4'!$U$5:$U$2535),""),"")</f>
        <v/>
      </c>
      <c r="AB303" s="146" t="str">
        <f ca="1">IFERROR(IF(OR(OFFSET('S5'!#REF!,MATCH($A303,'S5'!$D$5:$D$2103,0)-1,6)="巻返し",OFFSET('S5'!#REF!,MATCH($A303,'S5'!$D$5:$D$2103,0)-1,6)="スリット"),SUMIF('S5'!$D$5:$D$2103,$A303,'S5'!$T$5:$T$2103),""),"")</f>
        <v/>
      </c>
    </row>
    <row r="304" spans="1:28" s="141" customFormat="1" ht="11.25" x14ac:dyDescent="0.15">
      <c r="A304" s="173">
        <v>3697669</v>
      </c>
      <c r="B304" s="173" t="s">
        <v>351</v>
      </c>
      <c r="C304" s="173" t="s">
        <v>352</v>
      </c>
      <c r="D304" s="173" t="s">
        <v>353</v>
      </c>
      <c r="E304" s="173" t="s">
        <v>116</v>
      </c>
      <c r="F304" s="173">
        <v>3</v>
      </c>
      <c r="G304" s="173" t="s">
        <v>19</v>
      </c>
      <c r="H304" s="173" t="s">
        <v>20</v>
      </c>
      <c r="I304" s="173" t="s">
        <v>205</v>
      </c>
      <c r="J304" s="173"/>
      <c r="K304" s="173" t="s">
        <v>218</v>
      </c>
      <c r="L304" s="173">
        <v>25</v>
      </c>
      <c r="M304" s="173" t="s">
        <v>219</v>
      </c>
      <c r="N304" s="174">
        <v>1005</v>
      </c>
      <c r="O304" s="174">
        <v>1000</v>
      </c>
      <c r="P304" s="174">
        <v>4000</v>
      </c>
      <c r="Q304" s="173">
        <v>2</v>
      </c>
      <c r="R304" s="173">
        <v>4</v>
      </c>
      <c r="S304" s="173" t="s">
        <v>354</v>
      </c>
      <c r="T304" s="175">
        <v>44949</v>
      </c>
      <c r="U304" s="175">
        <v>44977</v>
      </c>
      <c r="V304" s="173" t="s">
        <v>355</v>
      </c>
      <c r="W304" s="173"/>
      <c r="X304" s="173"/>
      <c r="Z304" s="146" t="str">
        <f t="shared" ca="1" si="4"/>
        <v/>
      </c>
      <c r="AA304" s="146" t="str">
        <f ca="1">IFERROR(IF(OR(OFFSET('S4'!#REF!,MATCH($A304,'S4'!$D$5:$D$2535,0)-1,6)="巻返し",OFFSET('S4'!#REF!,MATCH($A304,'S4'!$D$5:$D$2535,0)-1,6)="スリット"),SUMIF('S4'!$D$5:$D$2535,$A304,'S4'!$U$5:$U$2535),""),"")</f>
        <v/>
      </c>
      <c r="AB304" s="146" t="str">
        <f ca="1">IFERROR(IF(OR(OFFSET('S5'!#REF!,MATCH($A304,'S5'!$D$5:$D$2103,0)-1,6)="巻返し",OFFSET('S5'!#REF!,MATCH($A304,'S5'!$D$5:$D$2103,0)-1,6)="スリット"),SUMIF('S5'!$D$5:$D$2103,$A304,'S5'!$T$5:$T$2103),""),"")</f>
        <v/>
      </c>
    </row>
    <row r="305" spans="1:28" s="141" customFormat="1" ht="11.25" x14ac:dyDescent="0.15">
      <c r="A305" s="173">
        <v>3697670</v>
      </c>
      <c r="B305" s="173" t="s">
        <v>351</v>
      </c>
      <c r="C305" s="173" t="s">
        <v>352</v>
      </c>
      <c r="D305" s="173" t="s">
        <v>353</v>
      </c>
      <c r="E305" s="173" t="s">
        <v>116</v>
      </c>
      <c r="F305" s="173">
        <v>3</v>
      </c>
      <c r="G305" s="173" t="s">
        <v>19</v>
      </c>
      <c r="H305" s="173" t="s">
        <v>20</v>
      </c>
      <c r="I305" s="173" t="s">
        <v>205</v>
      </c>
      <c r="J305" s="173"/>
      <c r="K305" s="173" t="s">
        <v>218</v>
      </c>
      <c r="L305" s="173">
        <v>50</v>
      </c>
      <c r="M305" s="173" t="s">
        <v>219</v>
      </c>
      <c r="N305" s="174">
        <v>1000</v>
      </c>
      <c r="O305" s="174">
        <v>1000</v>
      </c>
      <c r="P305" s="174">
        <v>4000</v>
      </c>
      <c r="Q305" s="173">
        <v>2</v>
      </c>
      <c r="R305" s="173">
        <v>15</v>
      </c>
      <c r="S305" s="173" t="s">
        <v>354</v>
      </c>
      <c r="T305" s="175">
        <v>44949</v>
      </c>
      <c r="U305" s="175">
        <v>44977</v>
      </c>
      <c r="V305" s="173" t="s">
        <v>355</v>
      </c>
      <c r="W305" s="173"/>
      <c r="X305" s="173"/>
      <c r="Z305" s="146" t="str">
        <f t="shared" ca="1" si="4"/>
        <v/>
      </c>
      <c r="AA305" s="146" t="str">
        <f ca="1">IFERROR(IF(OR(OFFSET('S4'!#REF!,MATCH($A305,'S4'!$D$5:$D$2535,0)-1,6)="巻返し",OFFSET('S4'!#REF!,MATCH($A305,'S4'!$D$5:$D$2535,0)-1,6)="スリット"),SUMIF('S4'!$D$5:$D$2535,$A305,'S4'!$U$5:$U$2535),""),"")</f>
        <v/>
      </c>
      <c r="AB305" s="146" t="str">
        <f ca="1">IFERROR(IF(OR(OFFSET('S5'!#REF!,MATCH($A305,'S5'!$D$5:$D$2103,0)-1,6)="巻返し",OFFSET('S5'!#REF!,MATCH($A305,'S5'!$D$5:$D$2103,0)-1,6)="スリット"),SUMIF('S5'!$D$5:$D$2103,$A305,'S5'!$T$5:$T$2103),""),"")</f>
        <v/>
      </c>
    </row>
    <row r="306" spans="1:28" s="141" customFormat="1" ht="11.25" x14ac:dyDescent="0.15">
      <c r="A306" s="173">
        <v>3697671</v>
      </c>
      <c r="B306" s="173" t="s">
        <v>351</v>
      </c>
      <c r="C306" s="173" t="s">
        <v>352</v>
      </c>
      <c r="D306" s="173" t="s">
        <v>353</v>
      </c>
      <c r="E306" s="173" t="s">
        <v>116</v>
      </c>
      <c r="F306" s="173" t="s">
        <v>158</v>
      </c>
      <c r="G306" s="173" t="s">
        <v>19</v>
      </c>
      <c r="H306" s="173" t="s">
        <v>20</v>
      </c>
      <c r="I306" s="173" t="s">
        <v>165</v>
      </c>
      <c r="J306" s="173"/>
      <c r="K306" s="173" t="s">
        <v>192</v>
      </c>
      <c r="L306" s="173">
        <v>50</v>
      </c>
      <c r="M306" s="173" t="s">
        <v>193</v>
      </c>
      <c r="N306" s="174">
        <v>1005</v>
      </c>
      <c r="O306" s="174">
        <v>1000</v>
      </c>
      <c r="P306" s="174">
        <v>4000</v>
      </c>
      <c r="Q306" s="173">
        <v>2</v>
      </c>
      <c r="R306" s="173">
        <v>3</v>
      </c>
      <c r="S306" s="173" t="s">
        <v>354</v>
      </c>
      <c r="T306" s="175">
        <v>44949</v>
      </c>
      <c r="U306" s="175">
        <v>44977</v>
      </c>
      <c r="V306" s="173" t="s">
        <v>355</v>
      </c>
      <c r="W306" s="173"/>
      <c r="X306" s="173"/>
      <c r="Z306" s="146" t="str">
        <f t="shared" ca="1" si="4"/>
        <v/>
      </c>
      <c r="AA306" s="146" t="str">
        <f ca="1">IFERROR(IF(OR(OFFSET('S4'!#REF!,MATCH($A306,'S4'!$D$5:$D$2535,0)-1,6)="巻返し",OFFSET('S4'!#REF!,MATCH($A306,'S4'!$D$5:$D$2535,0)-1,6)="スリット"),SUMIF('S4'!$D$5:$D$2535,$A306,'S4'!$U$5:$U$2535),""),"")</f>
        <v/>
      </c>
      <c r="AB306" s="146" t="str">
        <f ca="1">IFERROR(IF(OR(OFFSET('S5'!#REF!,MATCH($A306,'S5'!$D$5:$D$2103,0)-1,6)="巻返し",OFFSET('S5'!#REF!,MATCH($A306,'S5'!$D$5:$D$2103,0)-1,6)="スリット"),SUMIF('S5'!$D$5:$D$2103,$A306,'S5'!$T$5:$T$2103),""),"")</f>
        <v/>
      </c>
    </row>
    <row r="307" spans="1:28" s="141" customFormat="1" ht="11.25" x14ac:dyDescent="0.15">
      <c r="A307" s="173">
        <v>3697672</v>
      </c>
      <c r="B307" s="173" t="s">
        <v>351</v>
      </c>
      <c r="C307" s="173" t="s">
        <v>352</v>
      </c>
      <c r="D307" s="173" t="s">
        <v>353</v>
      </c>
      <c r="E307" s="173" t="s">
        <v>116</v>
      </c>
      <c r="F307" s="173" t="s">
        <v>158</v>
      </c>
      <c r="G307" s="173" t="s">
        <v>19</v>
      </c>
      <c r="H307" s="173" t="s">
        <v>20</v>
      </c>
      <c r="I307" s="173" t="s">
        <v>165</v>
      </c>
      <c r="J307" s="173"/>
      <c r="K307" s="173" t="s">
        <v>195</v>
      </c>
      <c r="L307" s="173">
        <v>50</v>
      </c>
      <c r="M307" s="173" t="s">
        <v>196</v>
      </c>
      <c r="N307" s="174">
        <v>1005</v>
      </c>
      <c r="O307" s="174">
        <v>1000</v>
      </c>
      <c r="P307" s="174">
        <v>4000</v>
      </c>
      <c r="Q307" s="173">
        <v>2</v>
      </c>
      <c r="R307" s="173">
        <v>6</v>
      </c>
      <c r="S307" s="173" t="s">
        <v>354</v>
      </c>
      <c r="T307" s="175">
        <v>44949</v>
      </c>
      <c r="U307" s="175">
        <v>44977</v>
      </c>
      <c r="V307" s="173" t="s">
        <v>355</v>
      </c>
      <c r="W307" s="173"/>
      <c r="X307" s="173"/>
      <c r="Z307" s="146" t="str">
        <f t="shared" ca="1" si="4"/>
        <v/>
      </c>
      <c r="AA307" s="146" t="str">
        <f ca="1">IFERROR(IF(OR(OFFSET('S4'!#REF!,MATCH($A307,'S4'!$D$5:$D$2535,0)-1,6)="巻返し",OFFSET('S4'!#REF!,MATCH($A307,'S4'!$D$5:$D$2535,0)-1,6)="スリット"),SUMIF('S4'!$D$5:$D$2535,$A307,'S4'!$U$5:$U$2535),""),"")</f>
        <v/>
      </c>
      <c r="AB307" s="146" t="str">
        <f ca="1">IFERROR(IF(OR(OFFSET('S5'!#REF!,MATCH($A307,'S5'!$D$5:$D$2103,0)-1,6)="巻返し",OFFSET('S5'!#REF!,MATCH($A307,'S5'!$D$5:$D$2103,0)-1,6)="スリット"),SUMIF('S5'!$D$5:$D$2103,$A307,'S5'!$T$5:$T$2103),""),"")</f>
        <v/>
      </c>
    </row>
    <row r="308" spans="1:28" s="141" customFormat="1" ht="11.25" x14ac:dyDescent="0.15">
      <c r="A308" s="173">
        <v>3697673</v>
      </c>
      <c r="B308" s="173" t="s">
        <v>351</v>
      </c>
      <c r="C308" s="173" t="s">
        <v>352</v>
      </c>
      <c r="D308" s="173" t="s">
        <v>353</v>
      </c>
      <c r="E308" s="173" t="s">
        <v>116</v>
      </c>
      <c r="F308" s="173" t="s">
        <v>158</v>
      </c>
      <c r="G308" s="173" t="s">
        <v>19</v>
      </c>
      <c r="H308" s="173" t="s">
        <v>20</v>
      </c>
      <c r="I308" s="173" t="s">
        <v>165</v>
      </c>
      <c r="J308" s="173"/>
      <c r="K308" s="173" t="s">
        <v>197</v>
      </c>
      <c r="L308" s="173">
        <v>50</v>
      </c>
      <c r="M308" s="173" t="s">
        <v>198</v>
      </c>
      <c r="N308" s="174">
        <v>1005</v>
      </c>
      <c r="O308" s="174">
        <v>1000</v>
      </c>
      <c r="P308" s="174">
        <v>4000</v>
      </c>
      <c r="Q308" s="173">
        <v>2</v>
      </c>
      <c r="R308" s="173">
        <v>3</v>
      </c>
      <c r="S308" s="173" t="s">
        <v>354</v>
      </c>
      <c r="T308" s="175">
        <v>44949</v>
      </c>
      <c r="U308" s="175">
        <v>44977</v>
      </c>
      <c r="V308" s="173" t="s">
        <v>355</v>
      </c>
      <c r="W308" s="173"/>
      <c r="X308" s="173"/>
      <c r="Z308" s="146" t="str">
        <f t="shared" ca="1" si="4"/>
        <v/>
      </c>
      <c r="AA308" s="146" t="str">
        <f ca="1">IFERROR(IF(OR(OFFSET('S4'!#REF!,MATCH($A308,'S4'!$D$5:$D$2535,0)-1,6)="巻返し",OFFSET('S4'!#REF!,MATCH($A308,'S4'!$D$5:$D$2535,0)-1,6)="スリット"),SUMIF('S4'!$D$5:$D$2535,$A308,'S4'!$U$5:$U$2535),""),"")</f>
        <v/>
      </c>
      <c r="AB308" s="146" t="str">
        <f ca="1">IFERROR(IF(OR(OFFSET('S5'!#REF!,MATCH($A308,'S5'!$D$5:$D$2103,0)-1,6)="巻返し",OFFSET('S5'!#REF!,MATCH($A308,'S5'!$D$5:$D$2103,0)-1,6)="スリット"),SUMIF('S5'!$D$5:$D$2103,$A308,'S5'!$T$5:$T$2103),""),"")</f>
        <v/>
      </c>
    </row>
    <row r="309" spans="1:28" s="141" customFormat="1" ht="11.25" x14ac:dyDescent="0.15">
      <c r="A309" s="173">
        <v>3697674</v>
      </c>
      <c r="B309" s="173" t="s">
        <v>351</v>
      </c>
      <c r="C309" s="173" t="s">
        <v>352</v>
      </c>
      <c r="D309" s="173" t="s">
        <v>353</v>
      </c>
      <c r="E309" s="173" t="s">
        <v>116</v>
      </c>
      <c r="F309" s="173">
        <v>3</v>
      </c>
      <c r="G309" s="173" t="s">
        <v>19</v>
      </c>
      <c r="H309" s="173" t="s">
        <v>20</v>
      </c>
      <c r="I309" s="173" t="s">
        <v>165</v>
      </c>
      <c r="J309" s="173"/>
      <c r="K309" s="173" t="s">
        <v>166</v>
      </c>
      <c r="L309" s="173">
        <v>50</v>
      </c>
      <c r="M309" s="173" t="s">
        <v>167</v>
      </c>
      <c r="N309" s="174">
        <v>1005</v>
      </c>
      <c r="O309" s="174">
        <v>1000</v>
      </c>
      <c r="P309" s="174">
        <v>2000</v>
      </c>
      <c r="Q309" s="173">
        <v>2</v>
      </c>
      <c r="R309" s="173">
        <v>2</v>
      </c>
      <c r="S309" s="173" t="s">
        <v>354</v>
      </c>
      <c r="T309" s="175">
        <v>44949</v>
      </c>
      <c r="U309" s="175">
        <v>44981</v>
      </c>
      <c r="V309" s="173" t="s">
        <v>355</v>
      </c>
      <c r="W309" s="173"/>
      <c r="X309" s="173"/>
      <c r="Z309" s="146" t="str">
        <f t="shared" ca="1" si="4"/>
        <v/>
      </c>
      <c r="AA309" s="146" t="str">
        <f ca="1">IFERROR(IF(OR(OFFSET('S4'!#REF!,MATCH($A309,'S4'!$D$5:$D$2535,0)-1,6)="巻返し",OFFSET('S4'!#REF!,MATCH($A309,'S4'!$D$5:$D$2535,0)-1,6)="スリット"),SUMIF('S4'!$D$5:$D$2535,$A309,'S4'!$U$5:$U$2535),""),"")</f>
        <v/>
      </c>
      <c r="AB309" s="146" t="str">
        <f ca="1">IFERROR(IF(OR(OFFSET('S5'!#REF!,MATCH($A309,'S5'!$D$5:$D$2103,0)-1,6)="巻返し",OFFSET('S5'!#REF!,MATCH($A309,'S5'!$D$5:$D$2103,0)-1,6)="スリット"),SUMIF('S5'!$D$5:$D$2103,$A309,'S5'!$T$5:$T$2103),""),"")</f>
        <v/>
      </c>
    </row>
    <row r="310" spans="1:28" s="141" customFormat="1" ht="11.25" x14ac:dyDescent="0.15">
      <c r="A310" s="173">
        <v>3697675</v>
      </c>
      <c r="B310" s="173" t="s">
        <v>351</v>
      </c>
      <c r="C310" s="173" t="s">
        <v>352</v>
      </c>
      <c r="D310" s="173" t="s">
        <v>353</v>
      </c>
      <c r="E310" s="173" t="s">
        <v>116</v>
      </c>
      <c r="F310" s="173">
        <v>3</v>
      </c>
      <c r="G310" s="173" t="s">
        <v>19</v>
      </c>
      <c r="H310" s="173" t="s">
        <v>20</v>
      </c>
      <c r="I310" s="173" t="s">
        <v>165</v>
      </c>
      <c r="J310" s="173"/>
      <c r="K310" s="173" t="s">
        <v>166</v>
      </c>
      <c r="L310" s="173">
        <v>50</v>
      </c>
      <c r="M310" s="173" t="s">
        <v>167</v>
      </c>
      <c r="N310" s="174">
        <v>1005</v>
      </c>
      <c r="O310" s="174">
        <v>1000</v>
      </c>
      <c r="P310" s="174">
        <v>2000</v>
      </c>
      <c r="Q310" s="173">
        <v>2</v>
      </c>
      <c r="R310" s="173">
        <v>2</v>
      </c>
      <c r="S310" s="173" t="s">
        <v>354</v>
      </c>
      <c r="T310" s="175">
        <v>44949</v>
      </c>
      <c r="U310" s="175">
        <v>45015</v>
      </c>
      <c r="V310" s="173" t="s">
        <v>355</v>
      </c>
      <c r="W310" s="173"/>
      <c r="X310" s="173"/>
      <c r="Z310" s="146" t="str">
        <f t="shared" ca="1" si="4"/>
        <v/>
      </c>
      <c r="AA310" s="146" t="str">
        <f ca="1">IFERROR(IF(OR(OFFSET('S4'!#REF!,MATCH($A310,'S4'!$D$5:$D$2535,0)-1,6)="巻返し",OFFSET('S4'!#REF!,MATCH($A310,'S4'!$D$5:$D$2535,0)-1,6)="スリット"),SUMIF('S4'!$D$5:$D$2535,$A310,'S4'!$U$5:$U$2535),""),"")</f>
        <v/>
      </c>
      <c r="AB310" s="146" t="str">
        <f ca="1">IFERROR(IF(OR(OFFSET('S5'!#REF!,MATCH($A310,'S5'!$D$5:$D$2103,0)-1,6)="巻返し",OFFSET('S5'!#REF!,MATCH($A310,'S5'!$D$5:$D$2103,0)-1,6)="スリット"),SUMIF('S5'!$D$5:$D$2103,$A310,'S5'!$T$5:$T$2103),""),"")</f>
        <v/>
      </c>
    </row>
    <row r="311" spans="1:28" s="141" customFormat="1" ht="11.25" x14ac:dyDescent="0.15">
      <c r="A311" s="173">
        <v>3697676</v>
      </c>
      <c r="B311" s="173" t="s">
        <v>351</v>
      </c>
      <c r="C311" s="173" t="s">
        <v>352</v>
      </c>
      <c r="D311" s="173" t="s">
        <v>353</v>
      </c>
      <c r="E311" s="173" t="s">
        <v>116</v>
      </c>
      <c r="F311" s="173">
        <v>3</v>
      </c>
      <c r="G311" s="173" t="s">
        <v>19</v>
      </c>
      <c r="H311" s="173" t="s">
        <v>20</v>
      </c>
      <c r="I311" s="173" t="s">
        <v>205</v>
      </c>
      <c r="J311" s="173"/>
      <c r="K311" s="173" t="s">
        <v>221</v>
      </c>
      <c r="L311" s="173">
        <v>25</v>
      </c>
      <c r="M311" s="173" t="s">
        <v>222</v>
      </c>
      <c r="N311" s="174">
        <v>1100</v>
      </c>
      <c r="O311" s="174">
        <v>1100</v>
      </c>
      <c r="P311" s="174">
        <v>6000</v>
      </c>
      <c r="Q311" s="173">
        <v>2</v>
      </c>
      <c r="R311" s="173">
        <v>20</v>
      </c>
      <c r="S311" s="173" t="s">
        <v>354</v>
      </c>
      <c r="T311" s="175">
        <v>44949</v>
      </c>
      <c r="U311" s="175">
        <v>44972</v>
      </c>
      <c r="V311" s="173" t="s">
        <v>355</v>
      </c>
      <c r="W311" s="173"/>
      <c r="X311" s="173"/>
      <c r="Z311" s="146" t="str">
        <f t="shared" ca="1" si="4"/>
        <v/>
      </c>
      <c r="AA311" s="146" t="str">
        <f ca="1">IFERROR(IF(OR(OFFSET('S4'!#REF!,MATCH($A311,'S4'!$D$5:$D$2535,0)-1,6)="巻返し",OFFSET('S4'!#REF!,MATCH($A311,'S4'!$D$5:$D$2535,0)-1,6)="スリット"),SUMIF('S4'!$D$5:$D$2535,$A311,'S4'!$U$5:$U$2535),""),"")</f>
        <v/>
      </c>
      <c r="AB311" s="146" t="str">
        <f ca="1">IFERROR(IF(OR(OFFSET('S5'!#REF!,MATCH($A311,'S5'!$D$5:$D$2103,0)-1,6)="巻返し",OFFSET('S5'!#REF!,MATCH($A311,'S5'!$D$5:$D$2103,0)-1,6)="スリット"),SUMIF('S5'!$D$5:$D$2103,$A311,'S5'!$T$5:$T$2103),""),"")</f>
        <v/>
      </c>
    </row>
    <row r="312" spans="1:28" s="141" customFormat="1" ht="11.25" x14ac:dyDescent="0.15">
      <c r="A312" s="173">
        <v>3697677</v>
      </c>
      <c r="B312" s="173" t="s">
        <v>351</v>
      </c>
      <c r="C312" s="173" t="s">
        <v>352</v>
      </c>
      <c r="D312" s="173" t="s">
        <v>353</v>
      </c>
      <c r="E312" s="173" t="s">
        <v>116</v>
      </c>
      <c r="F312" s="173">
        <v>3</v>
      </c>
      <c r="G312" s="173" t="s">
        <v>19</v>
      </c>
      <c r="H312" s="173" t="s">
        <v>20</v>
      </c>
      <c r="I312" s="173" t="s">
        <v>165</v>
      </c>
      <c r="J312" s="173"/>
      <c r="K312" s="173" t="s">
        <v>172</v>
      </c>
      <c r="L312" s="173">
        <v>50</v>
      </c>
      <c r="M312" s="173" t="s">
        <v>173</v>
      </c>
      <c r="N312" s="174">
        <v>1005</v>
      </c>
      <c r="O312" s="174">
        <v>1000</v>
      </c>
      <c r="P312" s="174">
        <v>2000</v>
      </c>
      <c r="Q312" s="173">
        <v>2</v>
      </c>
      <c r="R312" s="173">
        <v>2</v>
      </c>
      <c r="S312" s="173" t="s">
        <v>354</v>
      </c>
      <c r="T312" s="175">
        <v>44949</v>
      </c>
      <c r="U312" s="175">
        <v>44977</v>
      </c>
      <c r="V312" s="173" t="s">
        <v>355</v>
      </c>
      <c r="W312" s="173"/>
      <c r="X312" s="173"/>
      <c r="Z312" s="146" t="str">
        <f t="shared" ca="1" si="4"/>
        <v/>
      </c>
      <c r="AA312" s="146" t="str">
        <f ca="1">IFERROR(IF(OR(OFFSET('S4'!#REF!,MATCH($A312,'S4'!$D$5:$D$2535,0)-1,6)="巻返し",OFFSET('S4'!#REF!,MATCH($A312,'S4'!$D$5:$D$2535,0)-1,6)="スリット"),SUMIF('S4'!$D$5:$D$2535,$A312,'S4'!$U$5:$U$2535),""),"")</f>
        <v/>
      </c>
      <c r="AB312" s="146" t="str">
        <f ca="1">IFERROR(IF(OR(OFFSET('S5'!#REF!,MATCH($A312,'S5'!$D$5:$D$2103,0)-1,6)="巻返し",OFFSET('S5'!#REF!,MATCH($A312,'S5'!$D$5:$D$2103,0)-1,6)="スリット"),SUMIF('S5'!$D$5:$D$2103,$A312,'S5'!$T$5:$T$2103),""),"")</f>
        <v/>
      </c>
    </row>
    <row r="313" spans="1:28" s="141" customFormat="1" ht="11.25" x14ac:dyDescent="0.15">
      <c r="A313" s="173">
        <v>3697678</v>
      </c>
      <c r="B313" s="173" t="s">
        <v>423</v>
      </c>
      <c r="C313" s="173" t="s">
        <v>352</v>
      </c>
      <c r="D313" s="173" t="s">
        <v>353</v>
      </c>
      <c r="E313" s="173" t="s">
        <v>116</v>
      </c>
      <c r="F313" s="173">
        <v>3</v>
      </c>
      <c r="G313" s="173" t="s">
        <v>265</v>
      </c>
      <c r="H313" s="173" t="s">
        <v>20</v>
      </c>
      <c r="I313" s="173" t="s">
        <v>165</v>
      </c>
      <c r="J313" s="173"/>
      <c r="K313" s="173" t="s">
        <v>172</v>
      </c>
      <c r="L313" s="173">
        <v>50</v>
      </c>
      <c r="M313" s="173" t="s">
        <v>173</v>
      </c>
      <c r="N313" s="174">
        <v>1005</v>
      </c>
      <c r="O313" s="174">
        <v>1000</v>
      </c>
      <c r="P313" s="174">
        <v>4000</v>
      </c>
      <c r="Q313" s="173">
        <v>2</v>
      </c>
      <c r="R313" s="173">
        <v>1</v>
      </c>
      <c r="S313" s="173" t="s">
        <v>354</v>
      </c>
      <c r="T313" s="175">
        <v>44949</v>
      </c>
      <c r="U313" s="175">
        <v>44977</v>
      </c>
      <c r="V313" s="173" t="s">
        <v>355</v>
      </c>
      <c r="W313" s="173"/>
      <c r="X313" s="173"/>
      <c r="Z313" s="146" t="str">
        <f t="shared" ca="1" si="4"/>
        <v/>
      </c>
      <c r="AA313" s="146" t="str">
        <f ca="1">IFERROR(IF(OR(OFFSET('S4'!#REF!,MATCH($A313,'S4'!$D$5:$D$2535,0)-1,6)="巻返し",OFFSET('S4'!#REF!,MATCH($A313,'S4'!$D$5:$D$2535,0)-1,6)="スリット"),SUMIF('S4'!$D$5:$D$2535,$A313,'S4'!$U$5:$U$2535),""),"")</f>
        <v/>
      </c>
      <c r="AB313" s="146" t="str">
        <f ca="1">IFERROR(IF(OR(OFFSET('S5'!#REF!,MATCH($A313,'S5'!$D$5:$D$2103,0)-1,6)="巻返し",OFFSET('S5'!#REF!,MATCH($A313,'S5'!$D$5:$D$2103,0)-1,6)="スリット"),SUMIF('S5'!$D$5:$D$2103,$A313,'S5'!$T$5:$T$2103),""),"")</f>
        <v/>
      </c>
    </row>
    <row r="314" spans="1:28" s="141" customFormat="1" ht="11.25" x14ac:dyDescent="0.15">
      <c r="A314" s="173">
        <v>3697679</v>
      </c>
      <c r="B314" s="173" t="s">
        <v>351</v>
      </c>
      <c r="C314" s="173" t="s">
        <v>352</v>
      </c>
      <c r="D314" s="173" t="s">
        <v>353</v>
      </c>
      <c r="E314" s="173" t="s">
        <v>116</v>
      </c>
      <c r="F314" s="173">
        <v>3</v>
      </c>
      <c r="G314" s="173" t="s">
        <v>19</v>
      </c>
      <c r="H314" s="173" t="s">
        <v>20</v>
      </c>
      <c r="I314" s="173" t="s">
        <v>165</v>
      </c>
      <c r="J314" s="173"/>
      <c r="K314" s="173" t="s">
        <v>176</v>
      </c>
      <c r="L314" s="173">
        <v>50</v>
      </c>
      <c r="M314" s="173" t="s">
        <v>177</v>
      </c>
      <c r="N314" s="174">
        <v>1005</v>
      </c>
      <c r="O314" s="174">
        <v>1000</v>
      </c>
      <c r="P314" s="174">
        <v>4000</v>
      </c>
      <c r="Q314" s="173">
        <v>2</v>
      </c>
      <c r="R314" s="173">
        <v>9</v>
      </c>
      <c r="S314" s="173" t="s">
        <v>354</v>
      </c>
      <c r="T314" s="175">
        <v>44949</v>
      </c>
      <c r="U314" s="175">
        <v>44977</v>
      </c>
      <c r="V314" s="173" t="s">
        <v>355</v>
      </c>
      <c r="W314" s="173"/>
      <c r="X314" s="173"/>
      <c r="Z314" s="146" t="str">
        <f t="shared" ca="1" si="4"/>
        <v/>
      </c>
      <c r="AA314" s="146" t="str">
        <f ca="1">IFERROR(IF(OR(OFFSET('S4'!#REF!,MATCH($A314,'S4'!$D$5:$D$2535,0)-1,6)="巻返し",OFFSET('S4'!#REF!,MATCH($A314,'S4'!$D$5:$D$2535,0)-1,6)="スリット"),SUMIF('S4'!$D$5:$D$2535,$A314,'S4'!$U$5:$U$2535),""),"")</f>
        <v/>
      </c>
      <c r="AB314" s="146" t="str">
        <f ca="1">IFERROR(IF(OR(OFFSET('S5'!#REF!,MATCH($A314,'S5'!$D$5:$D$2103,0)-1,6)="巻返し",OFFSET('S5'!#REF!,MATCH($A314,'S5'!$D$5:$D$2103,0)-1,6)="スリット"),SUMIF('S5'!$D$5:$D$2103,$A314,'S5'!$T$5:$T$2103),""),"")</f>
        <v/>
      </c>
    </row>
    <row r="315" spans="1:28" s="141" customFormat="1" ht="11.25" x14ac:dyDescent="0.15">
      <c r="A315" s="173">
        <v>3697680</v>
      </c>
      <c r="B315" s="173" t="s">
        <v>351</v>
      </c>
      <c r="C315" s="173" t="s">
        <v>352</v>
      </c>
      <c r="D315" s="173" t="s">
        <v>353</v>
      </c>
      <c r="E315" s="173" t="s">
        <v>116</v>
      </c>
      <c r="F315" s="173">
        <v>3</v>
      </c>
      <c r="G315" s="173" t="s">
        <v>19</v>
      </c>
      <c r="H315" s="173" t="s">
        <v>20</v>
      </c>
      <c r="I315" s="173" t="s">
        <v>165</v>
      </c>
      <c r="J315" s="173"/>
      <c r="K315" s="173" t="s">
        <v>176</v>
      </c>
      <c r="L315" s="173">
        <v>50</v>
      </c>
      <c r="M315" s="173" t="s">
        <v>177</v>
      </c>
      <c r="N315" s="174">
        <v>1125</v>
      </c>
      <c r="O315" s="174">
        <v>1120</v>
      </c>
      <c r="P315" s="174">
        <v>4000</v>
      </c>
      <c r="Q315" s="173">
        <v>2</v>
      </c>
      <c r="R315" s="173">
        <v>10</v>
      </c>
      <c r="S315" s="173" t="s">
        <v>354</v>
      </c>
      <c r="T315" s="175">
        <v>44949</v>
      </c>
      <c r="U315" s="175">
        <v>44977</v>
      </c>
      <c r="V315" s="173" t="s">
        <v>355</v>
      </c>
      <c r="W315" s="173"/>
      <c r="X315" s="173"/>
      <c r="Z315" s="146" t="str">
        <f t="shared" ca="1" si="4"/>
        <v/>
      </c>
      <c r="AA315" s="146" t="str">
        <f ca="1">IFERROR(IF(OR(OFFSET('S4'!#REF!,MATCH($A315,'S4'!$D$5:$D$2535,0)-1,6)="巻返し",OFFSET('S4'!#REF!,MATCH($A315,'S4'!$D$5:$D$2535,0)-1,6)="スリット"),SUMIF('S4'!$D$5:$D$2535,$A315,'S4'!$U$5:$U$2535),""),"")</f>
        <v/>
      </c>
      <c r="AB315" s="146" t="str">
        <f ca="1">IFERROR(IF(OR(OFFSET('S5'!#REF!,MATCH($A315,'S5'!$D$5:$D$2103,0)-1,6)="巻返し",OFFSET('S5'!#REF!,MATCH($A315,'S5'!$D$5:$D$2103,0)-1,6)="スリット"),SUMIF('S5'!$D$5:$D$2103,$A315,'S5'!$T$5:$T$2103),""),"")</f>
        <v/>
      </c>
    </row>
    <row r="316" spans="1:28" s="141" customFormat="1" ht="11.25" x14ac:dyDescent="0.15">
      <c r="A316" s="173">
        <v>3697681</v>
      </c>
      <c r="B316" s="173" t="s">
        <v>351</v>
      </c>
      <c r="C316" s="173" t="s">
        <v>352</v>
      </c>
      <c r="D316" s="173" t="s">
        <v>353</v>
      </c>
      <c r="E316" s="173" t="s">
        <v>116</v>
      </c>
      <c r="F316" s="173">
        <v>3</v>
      </c>
      <c r="G316" s="173" t="s">
        <v>19</v>
      </c>
      <c r="H316" s="173" t="s">
        <v>20</v>
      </c>
      <c r="I316" s="173" t="s">
        <v>143</v>
      </c>
      <c r="J316" s="173"/>
      <c r="K316" s="173" t="s">
        <v>152</v>
      </c>
      <c r="L316" s="173">
        <v>38</v>
      </c>
      <c r="M316" s="173" t="s">
        <v>153</v>
      </c>
      <c r="N316" s="174">
        <v>1005</v>
      </c>
      <c r="O316" s="174">
        <v>1000</v>
      </c>
      <c r="P316" s="174">
        <v>4000</v>
      </c>
      <c r="Q316" s="173">
        <v>2</v>
      </c>
      <c r="R316" s="173">
        <v>8</v>
      </c>
      <c r="S316" s="173" t="s">
        <v>354</v>
      </c>
      <c r="T316" s="175">
        <v>44949</v>
      </c>
      <c r="U316" s="175">
        <v>44979</v>
      </c>
      <c r="V316" s="173" t="s">
        <v>355</v>
      </c>
      <c r="W316" s="173"/>
      <c r="X316" s="173"/>
      <c r="Z316" s="146" t="str">
        <f t="shared" ca="1" si="4"/>
        <v/>
      </c>
      <c r="AA316" s="146" t="str">
        <f ca="1">IFERROR(IF(OR(OFFSET('S4'!#REF!,MATCH($A316,'S4'!$D$5:$D$2535,0)-1,6)="巻返し",OFFSET('S4'!#REF!,MATCH($A316,'S4'!$D$5:$D$2535,0)-1,6)="スリット"),SUMIF('S4'!$D$5:$D$2535,$A316,'S4'!$U$5:$U$2535),""),"")</f>
        <v/>
      </c>
      <c r="AB316" s="146" t="str">
        <f ca="1">IFERROR(IF(OR(OFFSET('S5'!#REF!,MATCH($A316,'S5'!$D$5:$D$2103,0)-1,6)="巻返し",OFFSET('S5'!#REF!,MATCH($A316,'S5'!$D$5:$D$2103,0)-1,6)="スリット"),SUMIF('S5'!$D$5:$D$2103,$A316,'S5'!$T$5:$T$2103),""),"")</f>
        <v/>
      </c>
    </row>
    <row r="317" spans="1:28" s="141" customFormat="1" ht="11.25" x14ac:dyDescent="0.15">
      <c r="A317" s="173">
        <v>3697682</v>
      </c>
      <c r="B317" s="173" t="s">
        <v>351</v>
      </c>
      <c r="C317" s="173" t="s">
        <v>352</v>
      </c>
      <c r="D317" s="173" t="s">
        <v>353</v>
      </c>
      <c r="E317" s="173" t="s">
        <v>116</v>
      </c>
      <c r="F317" s="173">
        <v>3</v>
      </c>
      <c r="G317" s="173" t="s">
        <v>19</v>
      </c>
      <c r="H317" s="173" t="s">
        <v>28</v>
      </c>
      <c r="I317" s="173" t="s">
        <v>205</v>
      </c>
      <c r="J317" s="173"/>
      <c r="K317" s="173" t="s">
        <v>237</v>
      </c>
      <c r="L317" s="173">
        <v>50</v>
      </c>
      <c r="M317" s="173" t="s">
        <v>238</v>
      </c>
      <c r="N317" s="174">
        <v>1120</v>
      </c>
      <c r="O317" s="174">
        <v>1120</v>
      </c>
      <c r="P317" s="174">
        <v>4000</v>
      </c>
      <c r="Q317" s="173">
        <v>2</v>
      </c>
      <c r="R317" s="173">
        <v>4</v>
      </c>
      <c r="S317" s="173" t="s">
        <v>354</v>
      </c>
      <c r="T317" s="175">
        <v>44949</v>
      </c>
      <c r="U317" s="175">
        <v>44995</v>
      </c>
      <c r="V317" s="173" t="s">
        <v>355</v>
      </c>
      <c r="W317" s="173"/>
      <c r="X317" s="173"/>
      <c r="Z317" s="146" t="str">
        <f t="shared" ca="1" si="4"/>
        <v/>
      </c>
      <c r="AA317" s="146" t="str">
        <f ca="1">IFERROR(IF(OR(OFFSET('S4'!#REF!,MATCH($A317,'S4'!$D$5:$D$2535,0)-1,6)="巻返し",OFFSET('S4'!#REF!,MATCH($A317,'S4'!$D$5:$D$2535,0)-1,6)="スリット"),SUMIF('S4'!$D$5:$D$2535,$A317,'S4'!$U$5:$U$2535),""),"")</f>
        <v/>
      </c>
      <c r="AB317" s="146" t="str">
        <f ca="1">IFERROR(IF(OR(OFFSET('S5'!#REF!,MATCH($A317,'S5'!$D$5:$D$2103,0)-1,6)="巻返し",OFFSET('S5'!#REF!,MATCH($A317,'S5'!$D$5:$D$2103,0)-1,6)="スリット"),SUMIF('S5'!$D$5:$D$2103,$A317,'S5'!$T$5:$T$2103),""),"")</f>
        <v/>
      </c>
    </row>
    <row r="318" spans="1:28" s="141" customFormat="1" ht="11.25" x14ac:dyDescent="0.15">
      <c r="A318" s="173">
        <v>3697683</v>
      </c>
      <c r="B318" s="173" t="s">
        <v>351</v>
      </c>
      <c r="C318" s="173" t="s">
        <v>352</v>
      </c>
      <c r="D318" s="173" t="s">
        <v>353</v>
      </c>
      <c r="E318" s="173" t="s">
        <v>116</v>
      </c>
      <c r="F318" s="173">
        <v>3</v>
      </c>
      <c r="G318" s="173" t="s">
        <v>19</v>
      </c>
      <c r="H318" s="173" t="s">
        <v>28</v>
      </c>
      <c r="I318" s="173" t="s">
        <v>205</v>
      </c>
      <c r="J318" s="173"/>
      <c r="K318" s="173" t="s">
        <v>233</v>
      </c>
      <c r="L318" s="173">
        <v>50</v>
      </c>
      <c r="M318" s="173" t="s">
        <v>234</v>
      </c>
      <c r="N318" s="174">
        <v>1120</v>
      </c>
      <c r="O318" s="174">
        <v>1120</v>
      </c>
      <c r="P318" s="174">
        <v>4000</v>
      </c>
      <c r="Q318" s="173">
        <v>2</v>
      </c>
      <c r="R318" s="173">
        <v>4</v>
      </c>
      <c r="S318" s="173" t="s">
        <v>354</v>
      </c>
      <c r="T318" s="175">
        <v>44949</v>
      </c>
      <c r="U318" s="175">
        <v>44995</v>
      </c>
      <c r="V318" s="173" t="s">
        <v>355</v>
      </c>
      <c r="W318" s="173"/>
      <c r="X318" s="173"/>
      <c r="Z318" s="146" t="str">
        <f t="shared" ca="1" si="4"/>
        <v/>
      </c>
      <c r="AA318" s="146" t="str">
        <f ca="1">IFERROR(IF(OR(OFFSET('S4'!#REF!,MATCH($A318,'S4'!$D$5:$D$2535,0)-1,6)="巻返し",OFFSET('S4'!#REF!,MATCH($A318,'S4'!$D$5:$D$2535,0)-1,6)="スリット"),SUMIF('S4'!$D$5:$D$2535,$A318,'S4'!$U$5:$U$2535),""),"")</f>
        <v/>
      </c>
      <c r="AB318" s="146" t="str">
        <f ca="1">IFERROR(IF(OR(OFFSET('S5'!#REF!,MATCH($A318,'S5'!$D$5:$D$2103,0)-1,6)="巻返し",OFFSET('S5'!#REF!,MATCH($A318,'S5'!$D$5:$D$2103,0)-1,6)="スリット"),SUMIF('S5'!$D$5:$D$2103,$A318,'S5'!$T$5:$T$2103),""),"")</f>
        <v/>
      </c>
    </row>
    <row r="319" spans="1:28" s="141" customFormat="1" ht="11.25" x14ac:dyDescent="0.15">
      <c r="A319" s="173">
        <v>3697684</v>
      </c>
      <c r="B319" s="173" t="s">
        <v>351</v>
      </c>
      <c r="C319" s="173" t="s">
        <v>352</v>
      </c>
      <c r="D319" s="173" t="s">
        <v>353</v>
      </c>
      <c r="E319" s="173" t="s">
        <v>116</v>
      </c>
      <c r="F319" s="173">
        <v>3</v>
      </c>
      <c r="G319" s="173" t="s">
        <v>19</v>
      </c>
      <c r="H319" s="173" t="s">
        <v>28</v>
      </c>
      <c r="I319" s="173" t="s">
        <v>205</v>
      </c>
      <c r="J319" s="173"/>
      <c r="K319" s="173" t="s">
        <v>233</v>
      </c>
      <c r="L319" s="173">
        <v>50</v>
      </c>
      <c r="M319" s="173" t="s">
        <v>234</v>
      </c>
      <c r="N319" s="174">
        <v>1120</v>
      </c>
      <c r="O319" s="174">
        <v>1120</v>
      </c>
      <c r="P319" s="174">
        <v>4000</v>
      </c>
      <c r="Q319" s="173">
        <v>2</v>
      </c>
      <c r="R319" s="173">
        <v>4</v>
      </c>
      <c r="S319" s="173" t="s">
        <v>354</v>
      </c>
      <c r="T319" s="175">
        <v>44949</v>
      </c>
      <c r="U319" s="175">
        <v>44995</v>
      </c>
      <c r="V319" s="173" t="s">
        <v>355</v>
      </c>
      <c r="W319" s="173"/>
      <c r="X319" s="173"/>
      <c r="Z319" s="146" t="str">
        <f t="shared" ca="1" si="4"/>
        <v/>
      </c>
      <c r="AA319" s="146" t="str">
        <f ca="1">IFERROR(IF(OR(OFFSET('S4'!#REF!,MATCH($A319,'S4'!$D$5:$D$2535,0)-1,6)="巻返し",OFFSET('S4'!#REF!,MATCH($A319,'S4'!$D$5:$D$2535,0)-1,6)="スリット"),SUMIF('S4'!$D$5:$D$2535,$A319,'S4'!$U$5:$U$2535),""),"")</f>
        <v/>
      </c>
      <c r="AB319" s="146" t="str">
        <f ca="1">IFERROR(IF(OR(OFFSET('S5'!#REF!,MATCH($A319,'S5'!$D$5:$D$2103,0)-1,6)="巻返し",OFFSET('S5'!#REF!,MATCH($A319,'S5'!$D$5:$D$2103,0)-1,6)="スリット"),SUMIF('S5'!$D$5:$D$2103,$A319,'S5'!$T$5:$T$2103),""),"")</f>
        <v/>
      </c>
    </row>
    <row r="320" spans="1:28" s="141" customFormat="1" ht="13.5" x14ac:dyDescent="0.15">
      <c r="A320" s="274">
        <v>3697857</v>
      </c>
      <c r="B320" s="274" t="s">
        <v>351</v>
      </c>
      <c r="C320" s="274" t="s">
        <v>356</v>
      </c>
      <c r="D320" s="274" t="s">
        <v>353</v>
      </c>
      <c r="E320" s="274" t="s">
        <v>17</v>
      </c>
      <c r="F320" s="274">
        <v>3</v>
      </c>
      <c r="G320" s="274" t="s">
        <v>19</v>
      </c>
      <c r="H320" s="274" t="s">
        <v>20</v>
      </c>
      <c r="I320" s="274" t="s">
        <v>205</v>
      </c>
      <c r="J320" s="274"/>
      <c r="K320" s="274" t="s">
        <v>230</v>
      </c>
      <c r="L320" s="274">
        <v>25</v>
      </c>
      <c r="M320" s="274" t="s">
        <v>231</v>
      </c>
      <c r="N320" s="275">
        <v>1020</v>
      </c>
      <c r="O320" s="275">
        <v>1020</v>
      </c>
      <c r="P320" s="275">
        <v>2000</v>
      </c>
      <c r="Q320" s="274">
        <v>2</v>
      </c>
      <c r="R320" s="274">
        <v>6</v>
      </c>
      <c r="S320" s="274" t="s">
        <v>354</v>
      </c>
      <c r="T320" s="276">
        <v>44951</v>
      </c>
      <c r="U320" s="276">
        <v>44985</v>
      </c>
      <c r="V320" s="274" t="s">
        <v>355</v>
      </c>
      <c r="W320" s="274"/>
      <c r="X320" s="274"/>
      <c r="Z320" s="146" t="str">
        <f t="shared" ca="1" si="4"/>
        <v/>
      </c>
      <c r="AA320" s="146" t="str">
        <f ca="1">IFERROR(IF(OR(OFFSET('S4'!#REF!,MATCH($A320,'S4'!$D$5:$D$2535,0)-1,6)="巻返し",OFFSET('S4'!#REF!,MATCH($A320,'S4'!$D$5:$D$2535,0)-1,6)="スリット"),SUMIF('S4'!$D$5:$D$2535,$A320,'S4'!$U$5:$U$2535),""),"")</f>
        <v/>
      </c>
      <c r="AB320" s="146" t="str">
        <f ca="1">IFERROR(IF(OR(OFFSET('S5'!#REF!,MATCH($A320,'S5'!$D$5:$D$2103,0)-1,6)="巻返し",OFFSET('S5'!#REF!,MATCH($A320,'S5'!$D$5:$D$2103,0)-1,6)="スリット"),SUMIF('S5'!$D$5:$D$2103,$A320,'S5'!$T$5:$T$2103),""),"")</f>
        <v/>
      </c>
    </row>
    <row r="321" spans="1:28" s="141" customFormat="1" ht="13.5" x14ac:dyDescent="0.15">
      <c r="A321" s="274">
        <v>3698026</v>
      </c>
      <c r="B321" s="274" t="s">
        <v>351</v>
      </c>
      <c r="C321" s="274" t="s">
        <v>352</v>
      </c>
      <c r="D321" s="274" t="s">
        <v>353</v>
      </c>
      <c r="E321" s="274" t="s">
        <v>116</v>
      </c>
      <c r="F321" s="274">
        <v>3</v>
      </c>
      <c r="G321" s="274" t="s">
        <v>19</v>
      </c>
      <c r="H321" s="274" t="s">
        <v>20</v>
      </c>
      <c r="I321" s="274" t="s">
        <v>205</v>
      </c>
      <c r="J321" s="274"/>
      <c r="K321" s="274" t="s">
        <v>221</v>
      </c>
      <c r="L321" s="274">
        <v>25</v>
      </c>
      <c r="M321" s="274" t="s">
        <v>222</v>
      </c>
      <c r="N321" s="275">
        <v>1100</v>
      </c>
      <c r="O321" s="275">
        <v>1100</v>
      </c>
      <c r="P321" s="275">
        <v>6000</v>
      </c>
      <c r="Q321" s="274">
        <v>2</v>
      </c>
      <c r="R321" s="274">
        <v>7</v>
      </c>
      <c r="S321" s="274" t="s">
        <v>354</v>
      </c>
      <c r="T321" s="276">
        <v>44952</v>
      </c>
      <c r="U321" s="276">
        <v>44985</v>
      </c>
      <c r="V321" s="274" t="s">
        <v>355</v>
      </c>
      <c r="W321" s="274"/>
      <c r="X321" s="274"/>
      <c r="Z321" s="146" t="str">
        <f t="shared" ca="1" si="4"/>
        <v/>
      </c>
      <c r="AA321" s="146" t="str">
        <f ca="1">IFERROR(IF(OR(OFFSET('S4'!#REF!,MATCH($A321,'S4'!$D$5:$D$2535,0)-1,6)="巻返し",OFFSET('S4'!#REF!,MATCH($A321,'S4'!$D$5:$D$2535,0)-1,6)="スリット"),SUMIF('S4'!$D$5:$D$2535,$A321,'S4'!$U$5:$U$2535),""),"")</f>
        <v/>
      </c>
      <c r="AB321" s="146" t="str">
        <f ca="1">IFERROR(IF(OR(OFFSET('S5'!#REF!,MATCH($A321,'S5'!$D$5:$D$2103,0)-1,6)="巻返し",OFFSET('S5'!#REF!,MATCH($A321,'S5'!$D$5:$D$2103,0)-1,6)="スリット"),SUMIF('S5'!$D$5:$D$2103,$A321,'S5'!$T$5:$T$2103),""),"")</f>
        <v/>
      </c>
    </row>
    <row r="322" spans="1:28" s="141" customFormat="1" ht="13.5" x14ac:dyDescent="0.15">
      <c r="A322" s="274">
        <v>3698027</v>
      </c>
      <c r="B322" s="274" t="s">
        <v>351</v>
      </c>
      <c r="C322" s="274" t="s">
        <v>363</v>
      </c>
      <c r="D322" s="274" t="s">
        <v>353</v>
      </c>
      <c r="E322" s="274" t="s">
        <v>204</v>
      </c>
      <c r="F322" s="274">
        <v>3</v>
      </c>
      <c r="G322" s="274" t="s">
        <v>19</v>
      </c>
      <c r="H322" s="274" t="s">
        <v>20</v>
      </c>
      <c r="I322" s="274" t="s">
        <v>205</v>
      </c>
      <c r="J322" s="274"/>
      <c r="K322" s="274" t="s">
        <v>206</v>
      </c>
      <c r="L322" s="274">
        <v>50</v>
      </c>
      <c r="M322" s="274" t="s">
        <v>207</v>
      </c>
      <c r="N322" s="275">
        <v>1100</v>
      </c>
      <c r="O322" s="275">
        <v>1100</v>
      </c>
      <c r="P322" s="275">
        <v>8000</v>
      </c>
      <c r="Q322" s="274">
        <v>2</v>
      </c>
      <c r="R322" s="274">
        <v>1</v>
      </c>
      <c r="S322" s="274" t="s">
        <v>354</v>
      </c>
      <c r="T322" s="276">
        <v>44952</v>
      </c>
      <c r="U322" s="276">
        <v>44977</v>
      </c>
      <c r="V322" s="274" t="s">
        <v>360</v>
      </c>
      <c r="W322" s="274"/>
      <c r="X322" s="274"/>
      <c r="Z322" s="146" t="str">
        <f t="shared" ca="1" si="4"/>
        <v/>
      </c>
      <c r="AA322" s="146" t="str">
        <f ca="1">IFERROR(IF(OR(OFFSET('S4'!#REF!,MATCH($A322,'S4'!$D$5:$D$2535,0)-1,6)="巻返し",OFFSET('S4'!#REF!,MATCH($A322,'S4'!$D$5:$D$2535,0)-1,6)="スリット"),SUMIF('S4'!$D$5:$D$2535,$A322,'S4'!$U$5:$U$2535),""),"")</f>
        <v/>
      </c>
      <c r="AB322" s="146" t="str">
        <f ca="1">IFERROR(IF(OR(OFFSET('S5'!#REF!,MATCH($A322,'S5'!$D$5:$D$2103,0)-1,6)="巻返し",OFFSET('S5'!#REF!,MATCH($A322,'S5'!$D$5:$D$2103,0)-1,6)="スリット"),SUMIF('S5'!$D$5:$D$2103,$A322,'S5'!$T$5:$T$2103),""),"")</f>
        <v/>
      </c>
    </row>
    <row r="323" spans="1:28" s="141" customFormat="1" ht="13.5" x14ac:dyDescent="0.15">
      <c r="A323" s="274">
        <v>3698028</v>
      </c>
      <c r="B323" s="274" t="s">
        <v>351</v>
      </c>
      <c r="C323" s="274" t="s">
        <v>364</v>
      </c>
      <c r="D323" s="274" t="s">
        <v>353</v>
      </c>
      <c r="E323" s="274" t="s">
        <v>148</v>
      </c>
      <c r="F323" s="274">
        <v>3</v>
      </c>
      <c r="G323" s="274" t="s">
        <v>19</v>
      </c>
      <c r="H323" s="274" t="s">
        <v>20</v>
      </c>
      <c r="I323" s="274" t="s">
        <v>165</v>
      </c>
      <c r="J323" s="274"/>
      <c r="K323" s="274" t="s">
        <v>180</v>
      </c>
      <c r="L323" s="274">
        <v>50</v>
      </c>
      <c r="M323" s="274" t="s">
        <v>181</v>
      </c>
      <c r="N323" s="275">
        <v>1120</v>
      </c>
      <c r="O323" s="275">
        <v>1120</v>
      </c>
      <c r="P323" s="275">
        <v>4000</v>
      </c>
      <c r="Q323" s="274">
        <v>2</v>
      </c>
      <c r="R323" s="274">
        <v>8</v>
      </c>
      <c r="S323" s="274" t="s">
        <v>354</v>
      </c>
      <c r="T323" s="276">
        <v>44952</v>
      </c>
      <c r="U323" s="276">
        <v>45016</v>
      </c>
      <c r="V323" s="274" t="s">
        <v>355</v>
      </c>
      <c r="W323" s="274"/>
      <c r="X323" s="274"/>
      <c r="Z323" s="146" t="str">
        <f t="shared" ca="1" si="4"/>
        <v/>
      </c>
      <c r="AA323" s="146" t="str">
        <f ca="1">IFERROR(IF(OR(OFFSET('S4'!#REF!,MATCH($A323,'S4'!$D$5:$D$2535,0)-1,6)="巻返し",OFFSET('S4'!#REF!,MATCH($A323,'S4'!$D$5:$D$2535,0)-1,6)="スリット"),SUMIF('S4'!$D$5:$D$2535,$A323,'S4'!$U$5:$U$2535),""),"")</f>
        <v/>
      </c>
      <c r="AB323" s="146" t="str">
        <f ca="1">IFERROR(IF(OR(OFFSET('S5'!#REF!,MATCH($A323,'S5'!$D$5:$D$2103,0)-1,6)="巻返し",OFFSET('S5'!#REF!,MATCH($A323,'S5'!$D$5:$D$2103,0)-1,6)="スリット"),SUMIF('S5'!$D$5:$D$2103,$A323,'S5'!$T$5:$T$2103),""),"")</f>
        <v/>
      </c>
    </row>
    <row r="324" spans="1:28" s="141" customFormat="1" ht="13.5" x14ac:dyDescent="0.15">
      <c r="A324" s="274">
        <v>3698435</v>
      </c>
      <c r="B324" s="274" t="s">
        <v>351</v>
      </c>
      <c r="C324" s="274" t="s">
        <v>363</v>
      </c>
      <c r="D324" s="274" t="s">
        <v>353</v>
      </c>
      <c r="E324" s="274" t="s">
        <v>204</v>
      </c>
      <c r="F324" s="274">
        <v>3</v>
      </c>
      <c r="G324" s="274" t="s">
        <v>19</v>
      </c>
      <c r="H324" s="274" t="s">
        <v>20</v>
      </c>
      <c r="I324" s="274" t="s">
        <v>205</v>
      </c>
      <c r="J324" s="274"/>
      <c r="K324" s="274" t="s">
        <v>206</v>
      </c>
      <c r="L324" s="274">
        <v>50</v>
      </c>
      <c r="M324" s="274" t="s">
        <v>207</v>
      </c>
      <c r="N324" s="275">
        <v>1100</v>
      </c>
      <c r="O324" s="275">
        <v>1100</v>
      </c>
      <c r="P324" s="275">
        <v>4000</v>
      </c>
      <c r="Q324" s="274">
        <v>2</v>
      </c>
      <c r="R324" s="274">
        <v>2</v>
      </c>
      <c r="S324" s="274" t="s">
        <v>354</v>
      </c>
      <c r="T324" s="276">
        <v>44952</v>
      </c>
      <c r="U324" s="276">
        <v>44977</v>
      </c>
      <c r="V324" s="274" t="s">
        <v>360</v>
      </c>
      <c r="W324" s="274"/>
      <c r="X324" s="274"/>
      <c r="Z324" s="146" t="str">
        <f t="shared" ref="Z324:Z387" ca="1" si="5">IF(SUM(AA324:AB324)=0,"",SUM(AA324:AB324))</f>
        <v/>
      </c>
      <c r="AA324" s="146" t="str">
        <f ca="1">IFERROR(IF(OR(OFFSET('S4'!#REF!,MATCH($A324,'S4'!$D$5:$D$2535,0)-1,6)="巻返し",OFFSET('S4'!#REF!,MATCH($A324,'S4'!$D$5:$D$2535,0)-1,6)="スリット"),SUMIF('S4'!$D$5:$D$2535,$A324,'S4'!$U$5:$U$2535),""),"")</f>
        <v/>
      </c>
      <c r="AB324" s="146" t="str">
        <f ca="1">IFERROR(IF(OR(OFFSET('S5'!#REF!,MATCH($A324,'S5'!$D$5:$D$2103,0)-1,6)="巻返し",OFFSET('S5'!#REF!,MATCH($A324,'S5'!$D$5:$D$2103,0)-1,6)="スリット"),SUMIF('S5'!$D$5:$D$2103,$A324,'S5'!$T$5:$T$2103),""),"")</f>
        <v/>
      </c>
    </row>
    <row r="325" spans="1:28" s="141" customFormat="1" ht="13.5" x14ac:dyDescent="0.15">
      <c r="A325" s="274">
        <v>3699460</v>
      </c>
      <c r="B325" s="274" t="s">
        <v>510</v>
      </c>
      <c r="C325" s="274" t="s">
        <v>364</v>
      </c>
      <c r="D325" s="274" t="s">
        <v>353</v>
      </c>
      <c r="E325" s="274" t="s">
        <v>324</v>
      </c>
      <c r="F325" s="274">
        <v>3</v>
      </c>
      <c r="G325" s="274" t="s">
        <v>269</v>
      </c>
      <c r="H325" s="274" t="s">
        <v>20</v>
      </c>
      <c r="I325" s="274" t="s">
        <v>205</v>
      </c>
      <c r="J325" s="274"/>
      <c r="K325" s="274" t="s">
        <v>325</v>
      </c>
      <c r="L325" s="274">
        <v>9</v>
      </c>
      <c r="M325" s="274" t="s">
        <v>326</v>
      </c>
      <c r="N325" s="275">
        <v>1200</v>
      </c>
      <c r="O325" s="275">
        <v>1200</v>
      </c>
      <c r="P325" s="275">
        <v>2100</v>
      </c>
      <c r="Q325" s="274">
        <v>2</v>
      </c>
      <c r="R325" s="274">
        <v>12</v>
      </c>
      <c r="S325" s="274" t="s">
        <v>354</v>
      </c>
      <c r="T325" s="276">
        <v>44960</v>
      </c>
      <c r="U325" s="276">
        <v>44985</v>
      </c>
      <c r="V325" s="274" t="s">
        <v>428</v>
      </c>
      <c r="W325" s="274"/>
      <c r="X325" s="274"/>
      <c r="Z325" s="146" t="str">
        <f t="shared" ca="1" si="5"/>
        <v/>
      </c>
      <c r="AA325" s="146" t="str">
        <f ca="1">IFERROR(IF(OR(OFFSET('S4'!#REF!,MATCH($A325,'S4'!$D$5:$D$2535,0)-1,6)="巻返し",OFFSET('S4'!#REF!,MATCH($A325,'S4'!$D$5:$D$2535,0)-1,6)="スリット"),SUMIF('S4'!$D$5:$D$2535,$A325,'S4'!$U$5:$U$2535),""),"")</f>
        <v/>
      </c>
      <c r="AB325" s="146" t="str">
        <f ca="1">IFERROR(IF(OR(OFFSET('S5'!#REF!,MATCH($A325,'S5'!$D$5:$D$2103,0)-1,6)="巻返し",OFFSET('S5'!#REF!,MATCH($A325,'S5'!$D$5:$D$2103,0)-1,6)="スリット"),SUMIF('S5'!$D$5:$D$2103,$A325,'S5'!$T$5:$T$2103),""),"")</f>
        <v/>
      </c>
    </row>
    <row r="326" spans="1:28" s="141" customFormat="1" ht="13.5" x14ac:dyDescent="0.15">
      <c r="A326" s="274">
        <v>3699538</v>
      </c>
      <c r="B326" s="274" t="s">
        <v>510</v>
      </c>
      <c r="C326" s="274" t="s">
        <v>364</v>
      </c>
      <c r="D326" s="274" t="s">
        <v>353</v>
      </c>
      <c r="E326" s="274" t="s">
        <v>324</v>
      </c>
      <c r="F326" s="274">
        <v>3</v>
      </c>
      <c r="G326" s="274" t="s">
        <v>269</v>
      </c>
      <c r="H326" s="274" t="s">
        <v>20</v>
      </c>
      <c r="I326" s="274" t="s">
        <v>205</v>
      </c>
      <c r="J326" s="274"/>
      <c r="K326" s="274" t="s">
        <v>325</v>
      </c>
      <c r="L326" s="274">
        <v>9</v>
      </c>
      <c r="M326" s="274" t="s">
        <v>326</v>
      </c>
      <c r="N326" s="275">
        <v>1200</v>
      </c>
      <c r="O326" s="275">
        <v>1200</v>
      </c>
      <c r="P326" s="275">
        <v>2000</v>
      </c>
      <c r="Q326" s="274">
        <v>2</v>
      </c>
      <c r="R326" s="274">
        <v>12</v>
      </c>
      <c r="S326" s="274" t="s">
        <v>354</v>
      </c>
      <c r="T326" s="276">
        <v>44960</v>
      </c>
      <c r="U326" s="276">
        <v>44985</v>
      </c>
      <c r="V326" s="274" t="s">
        <v>428</v>
      </c>
      <c r="W326" s="274"/>
      <c r="X326" s="274"/>
      <c r="Z326" s="146" t="str">
        <f t="shared" ca="1" si="5"/>
        <v/>
      </c>
      <c r="AA326" s="146" t="str">
        <f ca="1">IFERROR(IF(OR(OFFSET('S4'!#REF!,MATCH($A326,'S4'!$D$5:$D$2535,0)-1,6)="巻返し",OFFSET('S4'!#REF!,MATCH($A326,'S4'!$D$5:$D$2535,0)-1,6)="スリット"),SUMIF('S4'!$D$5:$D$2535,$A326,'S4'!$U$5:$U$2535),""),"")</f>
        <v/>
      </c>
      <c r="AB326" s="146" t="str">
        <f ca="1">IFERROR(IF(OR(OFFSET('S5'!#REF!,MATCH($A326,'S5'!$D$5:$D$2103,0)-1,6)="巻返し",OFFSET('S5'!#REF!,MATCH($A326,'S5'!$D$5:$D$2103,0)-1,6)="スリット"),SUMIF('S5'!$D$5:$D$2103,$A326,'S5'!$T$5:$T$2103),""),"")</f>
        <v/>
      </c>
    </row>
    <row r="327" spans="1:28" s="141" customFormat="1" ht="13.5" x14ac:dyDescent="0.15">
      <c r="A327" s="274">
        <v>3700944</v>
      </c>
      <c r="B327" s="274" t="s">
        <v>351</v>
      </c>
      <c r="C327" s="274" t="s">
        <v>364</v>
      </c>
      <c r="D327" s="274" t="s">
        <v>353</v>
      </c>
      <c r="E327" s="274" t="s">
        <v>171</v>
      </c>
      <c r="F327" s="274" t="s">
        <v>96</v>
      </c>
      <c r="G327" s="274" t="s">
        <v>19</v>
      </c>
      <c r="H327" s="274" t="s">
        <v>20</v>
      </c>
      <c r="I327" s="274" t="s">
        <v>165</v>
      </c>
      <c r="J327" s="274"/>
      <c r="K327" s="274" t="s">
        <v>169</v>
      </c>
      <c r="L327" s="274">
        <v>50</v>
      </c>
      <c r="M327" s="274" t="s">
        <v>170</v>
      </c>
      <c r="N327" s="275">
        <v>1190</v>
      </c>
      <c r="O327" s="275">
        <v>1190</v>
      </c>
      <c r="P327" s="275">
        <v>6000</v>
      </c>
      <c r="Q327" s="274">
        <v>2</v>
      </c>
      <c r="R327" s="274">
        <v>10</v>
      </c>
      <c r="S327" s="274" t="s">
        <v>354</v>
      </c>
      <c r="T327" s="276">
        <v>44978</v>
      </c>
      <c r="U327" s="276">
        <v>45012</v>
      </c>
      <c r="V327" s="274" t="s">
        <v>355</v>
      </c>
      <c r="W327" s="274"/>
      <c r="X327" s="274"/>
      <c r="Y327" s="239"/>
      <c r="Z327" s="146" t="str">
        <f t="shared" ca="1" si="5"/>
        <v/>
      </c>
      <c r="AA327" s="146" t="str">
        <f ca="1">IFERROR(IF(OR(OFFSET('S4'!#REF!,MATCH($A327,'S4'!$D$5:$D$2535,0)-1,6)="巻返し",OFFSET('S4'!#REF!,MATCH($A327,'S4'!$D$5:$D$2535,0)-1,6)="スリット"),SUMIF('S4'!$D$5:$D$2535,$A327,'S4'!$U$5:$U$2535),""),"")</f>
        <v/>
      </c>
      <c r="AB327" s="146" t="str">
        <f ca="1">IFERROR(IF(OR(OFFSET('S5'!#REF!,MATCH($A327,'S5'!$D$5:$D$2103,0)-1,6)="巻返し",OFFSET('S5'!#REF!,MATCH($A327,'S5'!$D$5:$D$2103,0)-1,6)="スリット"),SUMIF('S5'!$D$5:$D$2103,$A327,'S5'!$T$5:$T$2103),""),"")</f>
        <v/>
      </c>
    </row>
    <row r="328" spans="1:28" s="141" customFormat="1" ht="13.5" x14ac:dyDescent="0.15">
      <c r="A328" s="274">
        <v>3700946</v>
      </c>
      <c r="B328" s="274" t="s">
        <v>351</v>
      </c>
      <c r="C328" s="274" t="s">
        <v>364</v>
      </c>
      <c r="D328" s="274" t="s">
        <v>353</v>
      </c>
      <c r="E328" s="274" t="s">
        <v>183</v>
      </c>
      <c r="F328" s="274">
        <v>3</v>
      </c>
      <c r="G328" s="274" t="s">
        <v>19</v>
      </c>
      <c r="H328" s="274" t="s">
        <v>20</v>
      </c>
      <c r="I328" s="274" t="s">
        <v>165</v>
      </c>
      <c r="J328" s="274"/>
      <c r="K328" s="274" t="s">
        <v>180</v>
      </c>
      <c r="L328" s="274">
        <v>100</v>
      </c>
      <c r="M328" s="274" t="s">
        <v>181</v>
      </c>
      <c r="N328" s="275">
        <v>1205</v>
      </c>
      <c r="O328" s="275">
        <v>1205</v>
      </c>
      <c r="P328" s="275">
        <v>2500</v>
      </c>
      <c r="Q328" s="274">
        <v>2</v>
      </c>
      <c r="R328" s="274">
        <v>4</v>
      </c>
      <c r="S328" s="274" t="s">
        <v>354</v>
      </c>
      <c r="T328" s="276">
        <v>44978</v>
      </c>
      <c r="U328" s="276">
        <v>45012</v>
      </c>
      <c r="V328" s="274" t="s">
        <v>355</v>
      </c>
      <c r="W328" s="274"/>
      <c r="X328" s="274"/>
      <c r="Y328" s="239"/>
      <c r="Z328" s="146" t="str">
        <f t="shared" ca="1" si="5"/>
        <v/>
      </c>
      <c r="AA328" s="146" t="str">
        <f ca="1">IFERROR(IF(OR(OFFSET('S4'!#REF!,MATCH($A328,'S4'!$D$5:$D$2535,0)-1,6)="巻返し",OFFSET('S4'!#REF!,MATCH($A328,'S4'!$D$5:$D$2535,0)-1,6)="スリット"),SUMIF('S4'!$D$5:$D$2535,$A328,'S4'!$U$5:$U$2535),""),"")</f>
        <v/>
      </c>
      <c r="AB328" s="146" t="str">
        <f ca="1">IFERROR(IF(OR(OFFSET('S5'!#REF!,MATCH($A328,'S5'!$D$5:$D$2103,0)-1,6)="巻返し",OFFSET('S5'!#REF!,MATCH($A328,'S5'!$D$5:$D$2103,0)-1,6)="スリット"),SUMIF('S5'!$D$5:$D$2103,$A328,'S5'!$T$5:$T$2103),""),"")</f>
        <v/>
      </c>
    </row>
    <row r="329" spans="1:28" s="141" customFormat="1" ht="13.5" x14ac:dyDescent="0.15">
      <c r="A329" s="274">
        <v>3700947</v>
      </c>
      <c r="B329" s="274" t="s">
        <v>351</v>
      </c>
      <c r="C329" s="274" t="s">
        <v>364</v>
      </c>
      <c r="D329" s="274" t="s">
        <v>353</v>
      </c>
      <c r="E329" s="274" t="s">
        <v>148</v>
      </c>
      <c r="F329" s="274">
        <v>3</v>
      </c>
      <c r="G329" s="274" t="s">
        <v>19</v>
      </c>
      <c r="H329" s="274" t="s">
        <v>20</v>
      </c>
      <c r="I329" s="274" t="s">
        <v>165</v>
      </c>
      <c r="J329" s="274"/>
      <c r="K329" s="274" t="s">
        <v>169</v>
      </c>
      <c r="L329" s="274">
        <v>50</v>
      </c>
      <c r="M329" s="274" t="s">
        <v>170</v>
      </c>
      <c r="N329" s="275">
        <v>1120</v>
      </c>
      <c r="O329" s="275">
        <v>1120</v>
      </c>
      <c r="P329" s="275">
        <v>6000</v>
      </c>
      <c r="Q329" s="274">
        <v>2</v>
      </c>
      <c r="R329" s="274">
        <v>2</v>
      </c>
      <c r="S329" s="274" t="s">
        <v>354</v>
      </c>
      <c r="T329" s="276">
        <v>44978</v>
      </c>
      <c r="U329" s="276">
        <v>45012</v>
      </c>
      <c r="V329" s="274" t="s">
        <v>355</v>
      </c>
      <c r="W329" s="274"/>
      <c r="X329" s="274"/>
      <c r="Y329" s="239"/>
      <c r="Z329" s="146" t="str">
        <f t="shared" ca="1" si="5"/>
        <v/>
      </c>
      <c r="AA329" s="146" t="str">
        <f ca="1">IFERROR(IF(OR(OFFSET('S4'!#REF!,MATCH($A329,'S4'!$D$5:$D$2535,0)-1,6)="巻返し",OFFSET('S4'!#REF!,MATCH($A329,'S4'!$D$5:$D$2535,0)-1,6)="スリット"),SUMIF('S4'!$D$5:$D$2535,$A329,'S4'!$U$5:$U$2535),""),"")</f>
        <v/>
      </c>
      <c r="AB329" s="146" t="str">
        <f ca="1">IFERROR(IF(OR(OFFSET('S5'!#REF!,MATCH($A329,'S5'!$D$5:$D$2103,0)-1,6)="巻返し",OFFSET('S5'!#REF!,MATCH($A329,'S5'!$D$5:$D$2103,0)-1,6)="スリット"),SUMIF('S5'!$D$5:$D$2103,$A329,'S5'!$T$5:$T$2103),""),"")</f>
        <v/>
      </c>
    </row>
    <row r="330" spans="1:28" s="141" customFormat="1" ht="13.5" x14ac:dyDescent="0.15">
      <c r="A330" s="274">
        <v>3700948</v>
      </c>
      <c r="B330" s="274" t="s">
        <v>351</v>
      </c>
      <c r="C330" s="274" t="s">
        <v>364</v>
      </c>
      <c r="D330" s="274" t="s">
        <v>353</v>
      </c>
      <c r="E330" s="274" t="s">
        <v>148</v>
      </c>
      <c r="F330" s="274">
        <v>3</v>
      </c>
      <c r="G330" s="274" t="s">
        <v>19</v>
      </c>
      <c r="H330" s="274" t="s">
        <v>20</v>
      </c>
      <c r="I330" s="274" t="s">
        <v>165</v>
      </c>
      <c r="J330" s="274"/>
      <c r="K330" s="274" t="s">
        <v>180</v>
      </c>
      <c r="L330" s="274">
        <v>50</v>
      </c>
      <c r="M330" s="274" t="s">
        <v>181</v>
      </c>
      <c r="N330" s="275">
        <v>1120</v>
      </c>
      <c r="O330" s="275">
        <v>1120</v>
      </c>
      <c r="P330" s="275">
        <v>4000</v>
      </c>
      <c r="Q330" s="274">
        <v>2</v>
      </c>
      <c r="R330" s="274">
        <v>6</v>
      </c>
      <c r="S330" s="274" t="s">
        <v>354</v>
      </c>
      <c r="T330" s="276">
        <v>44978</v>
      </c>
      <c r="U330" s="276">
        <v>45012</v>
      </c>
      <c r="V330" s="274" t="s">
        <v>355</v>
      </c>
      <c r="W330" s="274"/>
      <c r="X330" s="274"/>
      <c r="Y330" s="239"/>
      <c r="Z330" s="146" t="str">
        <f t="shared" ca="1" si="5"/>
        <v/>
      </c>
      <c r="AA330" s="146" t="str">
        <f ca="1">IFERROR(IF(OR(OFFSET('S4'!#REF!,MATCH($A330,'S4'!$D$5:$D$2535,0)-1,6)="巻返し",OFFSET('S4'!#REF!,MATCH($A330,'S4'!$D$5:$D$2535,0)-1,6)="スリット"),SUMIF('S4'!$D$5:$D$2535,$A330,'S4'!$U$5:$U$2535),""),"")</f>
        <v/>
      </c>
      <c r="AB330" s="146" t="str">
        <f ca="1">IFERROR(IF(OR(OFFSET('S5'!#REF!,MATCH($A330,'S5'!$D$5:$D$2103,0)-1,6)="巻返し",OFFSET('S5'!#REF!,MATCH($A330,'S5'!$D$5:$D$2103,0)-1,6)="スリット"),SUMIF('S5'!$D$5:$D$2103,$A330,'S5'!$T$5:$T$2103),""),"")</f>
        <v/>
      </c>
    </row>
    <row r="331" spans="1:28" s="141" customFormat="1" ht="13.5" x14ac:dyDescent="0.15">
      <c r="A331" s="274">
        <v>3700950</v>
      </c>
      <c r="B331" s="274" t="s">
        <v>351</v>
      </c>
      <c r="C331" s="274" t="s">
        <v>352</v>
      </c>
      <c r="D331" s="274" t="s">
        <v>353</v>
      </c>
      <c r="E331" s="274" t="s">
        <v>116</v>
      </c>
      <c r="F331" s="274">
        <v>3</v>
      </c>
      <c r="G331" s="274" t="s">
        <v>19</v>
      </c>
      <c r="H331" s="274" t="s">
        <v>20</v>
      </c>
      <c r="I331" s="274" t="s">
        <v>205</v>
      </c>
      <c r="J331" s="274"/>
      <c r="K331" s="274" t="s">
        <v>212</v>
      </c>
      <c r="L331" s="274">
        <v>25</v>
      </c>
      <c r="M331" s="274" t="s">
        <v>213</v>
      </c>
      <c r="N331" s="275">
        <v>1120</v>
      </c>
      <c r="O331" s="275">
        <v>1120</v>
      </c>
      <c r="P331" s="275">
        <v>4000</v>
      </c>
      <c r="Q331" s="274">
        <v>2</v>
      </c>
      <c r="R331" s="274">
        <v>5</v>
      </c>
      <c r="S331" s="274" t="s">
        <v>354</v>
      </c>
      <c r="T331" s="276">
        <v>44978</v>
      </c>
      <c r="U331" s="276">
        <v>45007</v>
      </c>
      <c r="V331" s="274" t="s">
        <v>355</v>
      </c>
      <c r="W331" s="274"/>
      <c r="X331" s="274"/>
      <c r="Y331" s="239"/>
      <c r="Z331" s="146" t="str">
        <f t="shared" ca="1" si="5"/>
        <v/>
      </c>
      <c r="AA331" s="146" t="str">
        <f ca="1">IFERROR(IF(OR(OFFSET('S4'!#REF!,MATCH($A331,'S4'!$D$5:$D$2535,0)-1,6)="巻返し",OFFSET('S4'!#REF!,MATCH($A331,'S4'!$D$5:$D$2535,0)-1,6)="スリット"),SUMIF('S4'!$D$5:$D$2535,$A331,'S4'!$U$5:$U$2535),""),"")</f>
        <v/>
      </c>
      <c r="AB331" s="146" t="str">
        <f ca="1">IFERROR(IF(OR(OFFSET('S5'!#REF!,MATCH($A331,'S5'!$D$5:$D$2103,0)-1,6)="巻返し",OFFSET('S5'!#REF!,MATCH($A331,'S5'!$D$5:$D$2103,0)-1,6)="スリット"),SUMIF('S5'!$D$5:$D$2103,$A331,'S5'!$T$5:$T$2103),""),"")</f>
        <v/>
      </c>
    </row>
    <row r="332" spans="1:28" s="141" customFormat="1" ht="13.5" x14ac:dyDescent="0.15">
      <c r="A332" s="274">
        <v>3700951</v>
      </c>
      <c r="B332" s="274" t="s">
        <v>351</v>
      </c>
      <c r="C332" s="274" t="s">
        <v>352</v>
      </c>
      <c r="D332" s="274" t="s">
        <v>353</v>
      </c>
      <c r="E332" s="274" t="s">
        <v>116</v>
      </c>
      <c r="F332" s="274">
        <v>3</v>
      </c>
      <c r="G332" s="274" t="s">
        <v>19</v>
      </c>
      <c r="H332" s="274" t="s">
        <v>20</v>
      </c>
      <c r="I332" s="274" t="s">
        <v>205</v>
      </c>
      <c r="J332" s="274"/>
      <c r="K332" s="274" t="s">
        <v>212</v>
      </c>
      <c r="L332" s="274">
        <v>50</v>
      </c>
      <c r="M332" s="274" t="s">
        <v>213</v>
      </c>
      <c r="N332" s="275">
        <v>1000</v>
      </c>
      <c r="O332" s="275">
        <v>1000</v>
      </c>
      <c r="P332" s="275">
        <v>4000</v>
      </c>
      <c r="Q332" s="274">
        <v>2</v>
      </c>
      <c r="R332" s="274">
        <v>2</v>
      </c>
      <c r="S332" s="274" t="s">
        <v>354</v>
      </c>
      <c r="T332" s="276">
        <v>44978</v>
      </c>
      <c r="U332" s="276">
        <v>45007</v>
      </c>
      <c r="V332" s="274" t="s">
        <v>355</v>
      </c>
      <c r="W332" s="274"/>
      <c r="X332" s="274"/>
      <c r="Y332" s="239"/>
      <c r="Z332" s="146" t="str">
        <f t="shared" ca="1" si="5"/>
        <v/>
      </c>
      <c r="AA332" s="146" t="str">
        <f ca="1">IFERROR(IF(OR(OFFSET('S4'!#REF!,MATCH($A332,'S4'!$D$5:$D$2535,0)-1,6)="巻返し",OFFSET('S4'!#REF!,MATCH($A332,'S4'!$D$5:$D$2535,0)-1,6)="スリット"),SUMIF('S4'!$D$5:$D$2535,$A332,'S4'!$U$5:$U$2535),""),"")</f>
        <v/>
      </c>
      <c r="AB332" s="146" t="str">
        <f ca="1">IFERROR(IF(OR(OFFSET('S5'!#REF!,MATCH($A332,'S5'!$D$5:$D$2103,0)-1,6)="巻返し",OFFSET('S5'!#REF!,MATCH($A332,'S5'!$D$5:$D$2103,0)-1,6)="スリット"),SUMIF('S5'!$D$5:$D$2103,$A332,'S5'!$T$5:$T$2103),""),"")</f>
        <v/>
      </c>
    </row>
    <row r="333" spans="1:28" s="141" customFormat="1" ht="13.5" x14ac:dyDescent="0.15">
      <c r="A333" s="274">
        <v>3700952</v>
      </c>
      <c r="B333" s="274" t="s">
        <v>351</v>
      </c>
      <c r="C333" s="274" t="s">
        <v>352</v>
      </c>
      <c r="D333" s="274" t="s">
        <v>353</v>
      </c>
      <c r="E333" s="274" t="s">
        <v>116</v>
      </c>
      <c r="F333" s="274">
        <v>3</v>
      </c>
      <c r="G333" s="274" t="s">
        <v>19</v>
      </c>
      <c r="H333" s="274" t="s">
        <v>20</v>
      </c>
      <c r="I333" s="274" t="s">
        <v>205</v>
      </c>
      <c r="J333" s="274"/>
      <c r="K333" s="274" t="s">
        <v>212</v>
      </c>
      <c r="L333" s="274">
        <v>50</v>
      </c>
      <c r="M333" s="274" t="s">
        <v>213</v>
      </c>
      <c r="N333" s="275">
        <v>1120</v>
      </c>
      <c r="O333" s="275">
        <v>1120</v>
      </c>
      <c r="P333" s="275">
        <v>4000</v>
      </c>
      <c r="Q333" s="274">
        <v>2</v>
      </c>
      <c r="R333" s="274">
        <v>24</v>
      </c>
      <c r="S333" s="274" t="s">
        <v>354</v>
      </c>
      <c r="T333" s="276">
        <v>44978</v>
      </c>
      <c r="U333" s="276">
        <v>45021</v>
      </c>
      <c r="V333" s="274" t="s">
        <v>355</v>
      </c>
      <c r="W333" s="274"/>
      <c r="X333" s="274"/>
      <c r="Y333" s="239"/>
      <c r="Z333" s="146" t="str">
        <f t="shared" ca="1" si="5"/>
        <v/>
      </c>
      <c r="AA333" s="146" t="str">
        <f ca="1">IFERROR(IF(OR(OFFSET('S4'!#REF!,MATCH($A333,'S4'!$D$5:$D$2535,0)-1,6)="巻返し",OFFSET('S4'!#REF!,MATCH($A333,'S4'!$D$5:$D$2535,0)-1,6)="スリット"),SUMIF('S4'!$D$5:$D$2535,$A333,'S4'!$U$5:$U$2535),""),"")</f>
        <v/>
      </c>
      <c r="AB333" s="146" t="str">
        <f ca="1">IFERROR(IF(OR(OFFSET('S5'!#REF!,MATCH($A333,'S5'!$D$5:$D$2103,0)-1,6)="巻返し",OFFSET('S5'!#REF!,MATCH($A333,'S5'!$D$5:$D$2103,0)-1,6)="スリット"),SUMIF('S5'!$D$5:$D$2103,$A333,'S5'!$T$5:$T$2103),""),"")</f>
        <v/>
      </c>
    </row>
    <row r="334" spans="1:28" s="141" customFormat="1" ht="13.5" x14ac:dyDescent="0.15">
      <c r="A334" s="274">
        <v>3700953</v>
      </c>
      <c r="B334" s="274" t="s">
        <v>351</v>
      </c>
      <c r="C334" s="274" t="s">
        <v>352</v>
      </c>
      <c r="D334" s="274" t="s">
        <v>353</v>
      </c>
      <c r="E334" s="274" t="s">
        <v>116</v>
      </c>
      <c r="F334" s="274">
        <v>3</v>
      </c>
      <c r="G334" s="274" t="s">
        <v>19</v>
      </c>
      <c r="H334" s="274" t="s">
        <v>20</v>
      </c>
      <c r="I334" s="274" t="s">
        <v>205</v>
      </c>
      <c r="J334" s="274"/>
      <c r="K334" s="274" t="s">
        <v>211</v>
      </c>
      <c r="L334" s="274">
        <v>50</v>
      </c>
      <c r="M334" s="274" t="s">
        <v>370</v>
      </c>
      <c r="N334" s="275">
        <v>1050</v>
      </c>
      <c r="O334" s="275">
        <v>1050</v>
      </c>
      <c r="P334" s="275">
        <v>4100</v>
      </c>
      <c r="Q334" s="274">
        <v>2</v>
      </c>
      <c r="R334" s="274">
        <v>3</v>
      </c>
      <c r="S334" s="274" t="s">
        <v>354</v>
      </c>
      <c r="T334" s="276">
        <v>44978</v>
      </c>
      <c r="U334" s="276">
        <v>45007</v>
      </c>
      <c r="V334" s="274" t="s">
        <v>355</v>
      </c>
      <c r="W334" s="274"/>
      <c r="X334" s="274"/>
      <c r="Y334" s="239"/>
      <c r="Z334" s="146" t="str">
        <f t="shared" ca="1" si="5"/>
        <v/>
      </c>
      <c r="AA334" s="146" t="str">
        <f ca="1">IFERROR(IF(OR(OFFSET('S4'!#REF!,MATCH($A334,'S4'!$D$5:$D$2535,0)-1,6)="巻返し",OFFSET('S4'!#REF!,MATCH($A334,'S4'!$D$5:$D$2535,0)-1,6)="スリット"),SUMIF('S4'!$D$5:$D$2535,$A334,'S4'!$U$5:$U$2535),""),"")</f>
        <v/>
      </c>
      <c r="AB334" s="146" t="str">
        <f ca="1">IFERROR(IF(OR(OFFSET('S5'!#REF!,MATCH($A334,'S5'!$D$5:$D$2103,0)-1,6)="巻返し",OFFSET('S5'!#REF!,MATCH($A334,'S5'!$D$5:$D$2103,0)-1,6)="スリット"),SUMIF('S5'!$D$5:$D$2103,$A334,'S5'!$T$5:$T$2103),""),"")</f>
        <v/>
      </c>
    </row>
    <row r="335" spans="1:28" s="141" customFormat="1" ht="13.5" x14ac:dyDescent="0.15">
      <c r="A335" s="274">
        <v>3700955</v>
      </c>
      <c r="B335" s="274" t="s">
        <v>351</v>
      </c>
      <c r="C335" s="274" t="s">
        <v>352</v>
      </c>
      <c r="D335" s="274" t="s">
        <v>353</v>
      </c>
      <c r="E335" s="274" t="s">
        <v>116</v>
      </c>
      <c r="F335" s="274">
        <v>3</v>
      </c>
      <c r="G335" s="274" t="s">
        <v>19</v>
      </c>
      <c r="H335" s="274" t="s">
        <v>20</v>
      </c>
      <c r="I335" s="274" t="s">
        <v>205</v>
      </c>
      <c r="J335" s="274"/>
      <c r="K335" s="274" t="s">
        <v>216</v>
      </c>
      <c r="L335" s="274">
        <v>25</v>
      </c>
      <c r="M335" s="274" t="s">
        <v>217</v>
      </c>
      <c r="N335" s="275">
        <v>1005</v>
      </c>
      <c r="O335" s="275">
        <v>1000</v>
      </c>
      <c r="P335" s="275">
        <v>4000</v>
      </c>
      <c r="Q335" s="274">
        <v>2</v>
      </c>
      <c r="R335" s="274">
        <v>15</v>
      </c>
      <c r="S335" s="274" t="s">
        <v>354</v>
      </c>
      <c r="T335" s="276">
        <v>44978</v>
      </c>
      <c r="U335" s="276">
        <v>45007</v>
      </c>
      <c r="V335" s="274" t="s">
        <v>355</v>
      </c>
      <c r="W335" s="274"/>
      <c r="X335" s="274"/>
      <c r="Y335" s="239"/>
      <c r="Z335" s="146" t="str">
        <f t="shared" ca="1" si="5"/>
        <v/>
      </c>
      <c r="AA335" s="146" t="str">
        <f ca="1">IFERROR(IF(OR(OFFSET('S4'!#REF!,MATCH($A335,'S4'!$D$5:$D$2535,0)-1,6)="巻返し",OFFSET('S4'!#REF!,MATCH($A335,'S4'!$D$5:$D$2535,0)-1,6)="スリット"),SUMIF('S4'!$D$5:$D$2535,$A335,'S4'!$U$5:$U$2535),""),"")</f>
        <v/>
      </c>
      <c r="AB335" s="146" t="str">
        <f ca="1">IFERROR(IF(OR(OFFSET('S5'!#REF!,MATCH($A335,'S5'!$D$5:$D$2103,0)-1,6)="巻返し",OFFSET('S5'!#REF!,MATCH($A335,'S5'!$D$5:$D$2103,0)-1,6)="スリット"),SUMIF('S5'!$D$5:$D$2103,$A335,'S5'!$T$5:$T$2103),""),"")</f>
        <v/>
      </c>
    </row>
    <row r="336" spans="1:28" s="141" customFormat="1" ht="13.5" x14ac:dyDescent="0.15">
      <c r="A336" s="274">
        <v>3700956</v>
      </c>
      <c r="B336" s="274" t="s">
        <v>351</v>
      </c>
      <c r="C336" s="274" t="s">
        <v>352</v>
      </c>
      <c r="D336" s="274" t="s">
        <v>353</v>
      </c>
      <c r="E336" s="274" t="s">
        <v>116</v>
      </c>
      <c r="F336" s="274">
        <v>3</v>
      </c>
      <c r="G336" s="274" t="s">
        <v>19</v>
      </c>
      <c r="H336" s="274" t="s">
        <v>20</v>
      </c>
      <c r="I336" s="274" t="s">
        <v>205</v>
      </c>
      <c r="J336" s="274"/>
      <c r="K336" s="274" t="s">
        <v>216</v>
      </c>
      <c r="L336" s="274">
        <v>50</v>
      </c>
      <c r="M336" s="274" t="s">
        <v>217</v>
      </c>
      <c r="N336" s="275">
        <v>1120</v>
      </c>
      <c r="O336" s="275">
        <v>1120</v>
      </c>
      <c r="P336" s="275">
        <v>5000</v>
      </c>
      <c r="Q336" s="274">
        <v>2</v>
      </c>
      <c r="R336" s="274">
        <v>12</v>
      </c>
      <c r="S336" s="274" t="s">
        <v>354</v>
      </c>
      <c r="T336" s="276">
        <v>44978</v>
      </c>
      <c r="U336" s="276">
        <v>45007</v>
      </c>
      <c r="V336" s="274" t="s">
        <v>355</v>
      </c>
      <c r="W336" s="274"/>
      <c r="X336" s="274"/>
      <c r="Y336" s="239"/>
      <c r="Z336" s="146" t="str">
        <f t="shared" ca="1" si="5"/>
        <v/>
      </c>
      <c r="AA336" s="146" t="str">
        <f ca="1">IFERROR(IF(OR(OFFSET('S4'!#REF!,MATCH($A336,'S4'!$D$5:$D$2535,0)-1,6)="巻返し",OFFSET('S4'!#REF!,MATCH($A336,'S4'!$D$5:$D$2535,0)-1,6)="スリット"),SUMIF('S4'!$D$5:$D$2535,$A336,'S4'!$U$5:$U$2535),""),"")</f>
        <v/>
      </c>
      <c r="AB336" s="146" t="str">
        <f ca="1">IFERROR(IF(OR(OFFSET('S5'!#REF!,MATCH($A336,'S5'!$D$5:$D$2103,0)-1,6)="巻返し",OFFSET('S5'!#REF!,MATCH($A336,'S5'!$D$5:$D$2103,0)-1,6)="スリット"),SUMIF('S5'!$D$5:$D$2103,$A336,'S5'!$T$5:$T$2103),""),"")</f>
        <v/>
      </c>
    </row>
    <row r="337" spans="1:28" s="141" customFormat="1" ht="13.5" x14ac:dyDescent="0.15">
      <c r="A337" s="274">
        <v>3700957</v>
      </c>
      <c r="B337" s="274" t="s">
        <v>351</v>
      </c>
      <c r="C337" s="274" t="s">
        <v>352</v>
      </c>
      <c r="D337" s="274" t="s">
        <v>353</v>
      </c>
      <c r="E337" s="274" t="s">
        <v>116</v>
      </c>
      <c r="F337" s="274">
        <v>3</v>
      </c>
      <c r="G337" s="274" t="s">
        <v>19</v>
      </c>
      <c r="H337" s="274" t="s">
        <v>20</v>
      </c>
      <c r="I337" s="274" t="s">
        <v>205</v>
      </c>
      <c r="J337" s="274"/>
      <c r="K337" s="274" t="s">
        <v>216</v>
      </c>
      <c r="L337" s="274">
        <v>50</v>
      </c>
      <c r="M337" s="274" t="s">
        <v>217</v>
      </c>
      <c r="N337" s="275">
        <v>1120</v>
      </c>
      <c r="O337" s="275">
        <v>1120</v>
      </c>
      <c r="P337" s="275">
        <v>5000</v>
      </c>
      <c r="Q337" s="274">
        <v>2</v>
      </c>
      <c r="R337" s="274">
        <v>12</v>
      </c>
      <c r="S337" s="274" t="s">
        <v>354</v>
      </c>
      <c r="T337" s="276">
        <v>44978</v>
      </c>
      <c r="U337" s="276">
        <v>45014</v>
      </c>
      <c r="V337" s="274" t="s">
        <v>355</v>
      </c>
      <c r="W337" s="274"/>
      <c r="X337" s="274"/>
      <c r="Y337" s="239"/>
      <c r="Z337" s="146" t="str">
        <f t="shared" ca="1" si="5"/>
        <v/>
      </c>
      <c r="AA337" s="146" t="str">
        <f ca="1">IFERROR(IF(OR(OFFSET('S4'!#REF!,MATCH($A337,'S4'!$D$5:$D$2535,0)-1,6)="巻返し",OFFSET('S4'!#REF!,MATCH($A337,'S4'!$D$5:$D$2535,0)-1,6)="スリット"),SUMIF('S4'!$D$5:$D$2535,$A337,'S4'!$U$5:$U$2535),""),"")</f>
        <v/>
      </c>
      <c r="AB337" s="146" t="str">
        <f ca="1">IFERROR(IF(OR(OFFSET('S5'!#REF!,MATCH($A337,'S5'!$D$5:$D$2103,0)-1,6)="巻返し",OFFSET('S5'!#REF!,MATCH($A337,'S5'!$D$5:$D$2103,0)-1,6)="スリット"),SUMIF('S5'!$D$5:$D$2103,$A337,'S5'!$T$5:$T$2103),""),"")</f>
        <v/>
      </c>
    </row>
    <row r="338" spans="1:28" s="141" customFormat="1" ht="13.5" x14ac:dyDescent="0.15">
      <c r="A338" s="274">
        <v>3700958</v>
      </c>
      <c r="B338" s="274" t="s">
        <v>351</v>
      </c>
      <c r="C338" s="274" t="s">
        <v>352</v>
      </c>
      <c r="D338" s="274" t="s">
        <v>353</v>
      </c>
      <c r="E338" s="274" t="s">
        <v>116</v>
      </c>
      <c r="F338" s="274">
        <v>3</v>
      </c>
      <c r="G338" s="274" t="s">
        <v>19</v>
      </c>
      <c r="H338" s="274" t="s">
        <v>20</v>
      </c>
      <c r="I338" s="274" t="s">
        <v>205</v>
      </c>
      <c r="J338" s="274"/>
      <c r="K338" s="274" t="s">
        <v>216</v>
      </c>
      <c r="L338" s="274">
        <v>50</v>
      </c>
      <c r="M338" s="274" t="s">
        <v>217</v>
      </c>
      <c r="N338" s="275">
        <v>1120</v>
      </c>
      <c r="O338" s="275">
        <v>1120</v>
      </c>
      <c r="P338" s="275">
        <v>5000</v>
      </c>
      <c r="Q338" s="274">
        <v>2</v>
      </c>
      <c r="R338" s="274">
        <v>12</v>
      </c>
      <c r="S338" s="274" t="s">
        <v>354</v>
      </c>
      <c r="T338" s="276">
        <v>44978</v>
      </c>
      <c r="U338" s="276">
        <v>45021</v>
      </c>
      <c r="V338" s="274" t="s">
        <v>355</v>
      </c>
      <c r="W338" s="274"/>
      <c r="X338" s="274"/>
      <c r="Y338" s="239"/>
      <c r="Z338" s="146" t="str">
        <f t="shared" ca="1" si="5"/>
        <v/>
      </c>
      <c r="AA338" s="146" t="str">
        <f ca="1">IFERROR(IF(OR(OFFSET('S4'!#REF!,MATCH($A338,'S4'!$D$5:$D$2535,0)-1,6)="巻返し",OFFSET('S4'!#REF!,MATCH($A338,'S4'!$D$5:$D$2535,0)-1,6)="スリット"),SUMIF('S4'!$D$5:$D$2535,$A338,'S4'!$U$5:$U$2535),""),"")</f>
        <v/>
      </c>
      <c r="AB338" s="146" t="str">
        <f ca="1">IFERROR(IF(OR(OFFSET('S5'!#REF!,MATCH($A338,'S5'!$D$5:$D$2103,0)-1,6)="巻返し",OFFSET('S5'!#REF!,MATCH($A338,'S5'!$D$5:$D$2103,0)-1,6)="スリット"),SUMIF('S5'!$D$5:$D$2103,$A338,'S5'!$T$5:$T$2103),""),"")</f>
        <v/>
      </c>
    </row>
    <row r="339" spans="1:28" s="141" customFormat="1" ht="13.5" x14ac:dyDescent="0.15">
      <c r="A339" s="274">
        <v>3700959</v>
      </c>
      <c r="B339" s="274" t="s">
        <v>351</v>
      </c>
      <c r="C339" s="274" t="s">
        <v>352</v>
      </c>
      <c r="D339" s="274" t="s">
        <v>353</v>
      </c>
      <c r="E339" s="274" t="s">
        <v>116</v>
      </c>
      <c r="F339" s="274">
        <v>3</v>
      </c>
      <c r="G339" s="274" t="s">
        <v>19</v>
      </c>
      <c r="H339" s="274" t="s">
        <v>20</v>
      </c>
      <c r="I339" s="274" t="s">
        <v>205</v>
      </c>
      <c r="J339" s="274"/>
      <c r="K339" s="274" t="s">
        <v>216</v>
      </c>
      <c r="L339" s="274">
        <v>50</v>
      </c>
      <c r="M339" s="274" t="s">
        <v>217</v>
      </c>
      <c r="N339" s="275">
        <v>1120</v>
      </c>
      <c r="O339" s="275">
        <v>1120</v>
      </c>
      <c r="P339" s="275">
        <v>5000</v>
      </c>
      <c r="Q339" s="274">
        <v>2</v>
      </c>
      <c r="R339" s="274">
        <v>12</v>
      </c>
      <c r="S339" s="274" t="s">
        <v>354</v>
      </c>
      <c r="T339" s="276">
        <v>44978</v>
      </c>
      <c r="U339" s="276">
        <v>45028</v>
      </c>
      <c r="V339" s="274" t="s">
        <v>355</v>
      </c>
      <c r="W339" s="274"/>
      <c r="X339" s="274"/>
      <c r="Y339" s="239"/>
      <c r="Z339" s="146" t="str">
        <f t="shared" ca="1" si="5"/>
        <v/>
      </c>
      <c r="AA339" s="146" t="str">
        <f ca="1">IFERROR(IF(OR(OFFSET('S4'!#REF!,MATCH($A339,'S4'!$D$5:$D$2535,0)-1,6)="巻返し",OFFSET('S4'!#REF!,MATCH($A339,'S4'!$D$5:$D$2535,0)-1,6)="スリット"),SUMIF('S4'!$D$5:$D$2535,$A339,'S4'!$U$5:$U$2535),""),"")</f>
        <v/>
      </c>
      <c r="AB339" s="146" t="str">
        <f ca="1">IFERROR(IF(OR(OFFSET('S5'!#REF!,MATCH($A339,'S5'!$D$5:$D$2103,0)-1,6)="巻返し",OFFSET('S5'!#REF!,MATCH($A339,'S5'!$D$5:$D$2103,0)-1,6)="スリット"),SUMIF('S5'!$D$5:$D$2103,$A339,'S5'!$T$5:$T$2103),""),"")</f>
        <v/>
      </c>
    </row>
    <row r="340" spans="1:28" s="141" customFormat="1" ht="13.5" x14ac:dyDescent="0.15">
      <c r="A340" s="274">
        <v>3700960</v>
      </c>
      <c r="B340" s="274" t="s">
        <v>351</v>
      </c>
      <c r="C340" s="274" t="s">
        <v>352</v>
      </c>
      <c r="D340" s="274" t="s">
        <v>353</v>
      </c>
      <c r="E340" s="274" t="s">
        <v>116</v>
      </c>
      <c r="F340" s="274">
        <v>3</v>
      </c>
      <c r="G340" s="274" t="s">
        <v>19</v>
      </c>
      <c r="H340" s="274" t="s">
        <v>20</v>
      </c>
      <c r="I340" s="274" t="s">
        <v>205</v>
      </c>
      <c r="J340" s="274"/>
      <c r="K340" s="274" t="s">
        <v>218</v>
      </c>
      <c r="L340" s="274">
        <v>50</v>
      </c>
      <c r="M340" s="274" t="s">
        <v>219</v>
      </c>
      <c r="N340" s="275">
        <v>1000</v>
      </c>
      <c r="O340" s="275">
        <v>1000</v>
      </c>
      <c r="P340" s="275">
        <v>4000</v>
      </c>
      <c r="Q340" s="274">
        <v>2</v>
      </c>
      <c r="R340" s="274">
        <v>15</v>
      </c>
      <c r="S340" s="274" t="s">
        <v>354</v>
      </c>
      <c r="T340" s="276">
        <v>44978</v>
      </c>
      <c r="U340" s="276">
        <v>45007</v>
      </c>
      <c r="V340" s="274" t="s">
        <v>355</v>
      </c>
      <c r="W340" s="274"/>
      <c r="X340" s="274"/>
      <c r="Y340" s="239"/>
      <c r="Z340" s="146" t="str">
        <f t="shared" ca="1" si="5"/>
        <v/>
      </c>
      <c r="AA340" s="146" t="str">
        <f ca="1">IFERROR(IF(OR(OFFSET('S4'!#REF!,MATCH($A340,'S4'!$D$5:$D$2535,0)-1,6)="巻返し",OFFSET('S4'!#REF!,MATCH($A340,'S4'!$D$5:$D$2535,0)-1,6)="スリット"),SUMIF('S4'!$D$5:$D$2535,$A340,'S4'!$U$5:$U$2535),""),"")</f>
        <v/>
      </c>
      <c r="AB340" s="146" t="str">
        <f ca="1">IFERROR(IF(OR(OFFSET('S5'!#REF!,MATCH($A340,'S5'!$D$5:$D$2103,0)-1,6)="巻返し",OFFSET('S5'!#REF!,MATCH($A340,'S5'!$D$5:$D$2103,0)-1,6)="スリット"),SUMIF('S5'!$D$5:$D$2103,$A340,'S5'!$T$5:$T$2103),""),"")</f>
        <v/>
      </c>
    </row>
    <row r="341" spans="1:28" s="141" customFormat="1" ht="13.5" x14ac:dyDescent="0.15">
      <c r="A341" s="274">
        <v>3700961</v>
      </c>
      <c r="B341" s="274" t="s">
        <v>351</v>
      </c>
      <c r="C341" s="274" t="s">
        <v>352</v>
      </c>
      <c r="D341" s="274" t="s">
        <v>353</v>
      </c>
      <c r="E341" s="274" t="s">
        <v>116</v>
      </c>
      <c r="F341" s="274" t="s">
        <v>158</v>
      </c>
      <c r="G341" s="274" t="s">
        <v>19</v>
      </c>
      <c r="H341" s="274" t="s">
        <v>20</v>
      </c>
      <c r="I341" s="274" t="s">
        <v>165</v>
      </c>
      <c r="J341" s="274"/>
      <c r="K341" s="274" t="s">
        <v>192</v>
      </c>
      <c r="L341" s="274">
        <v>50</v>
      </c>
      <c r="M341" s="274" t="s">
        <v>193</v>
      </c>
      <c r="N341" s="275">
        <v>1005</v>
      </c>
      <c r="O341" s="275">
        <v>1000</v>
      </c>
      <c r="P341" s="275">
        <v>4000</v>
      </c>
      <c r="Q341" s="274">
        <v>2</v>
      </c>
      <c r="R341" s="274">
        <v>3</v>
      </c>
      <c r="S341" s="274" t="s">
        <v>354</v>
      </c>
      <c r="T341" s="276">
        <v>44978</v>
      </c>
      <c r="U341" s="276">
        <v>45007</v>
      </c>
      <c r="V341" s="274" t="s">
        <v>355</v>
      </c>
      <c r="W341" s="274"/>
      <c r="X341" s="274"/>
      <c r="Y341" s="239"/>
      <c r="Z341" s="146" t="str">
        <f t="shared" ca="1" si="5"/>
        <v/>
      </c>
      <c r="AA341" s="146" t="str">
        <f ca="1">IFERROR(IF(OR(OFFSET('S4'!#REF!,MATCH($A341,'S4'!$D$5:$D$2535,0)-1,6)="巻返し",OFFSET('S4'!#REF!,MATCH($A341,'S4'!$D$5:$D$2535,0)-1,6)="スリット"),SUMIF('S4'!$D$5:$D$2535,$A341,'S4'!$U$5:$U$2535),""),"")</f>
        <v/>
      </c>
      <c r="AB341" s="146" t="str">
        <f ca="1">IFERROR(IF(OR(OFFSET('S5'!#REF!,MATCH($A341,'S5'!$D$5:$D$2103,0)-1,6)="巻返し",OFFSET('S5'!#REF!,MATCH($A341,'S5'!$D$5:$D$2103,0)-1,6)="スリット"),SUMIF('S5'!$D$5:$D$2103,$A341,'S5'!$T$5:$T$2103),""),"")</f>
        <v/>
      </c>
    </row>
    <row r="342" spans="1:28" s="141" customFormat="1" ht="13.5" x14ac:dyDescent="0.15">
      <c r="A342" s="274">
        <v>3700962</v>
      </c>
      <c r="B342" s="274" t="s">
        <v>351</v>
      </c>
      <c r="C342" s="274" t="s">
        <v>352</v>
      </c>
      <c r="D342" s="274" t="s">
        <v>353</v>
      </c>
      <c r="E342" s="274" t="s">
        <v>116</v>
      </c>
      <c r="F342" s="274" t="s">
        <v>158</v>
      </c>
      <c r="G342" s="274" t="s">
        <v>19</v>
      </c>
      <c r="H342" s="274" t="s">
        <v>20</v>
      </c>
      <c r="I342" s="274" t="s">
        <v>165</v>
      </c>
      <c r="J342" s="274"/>
      <c r="K342" s="274" t="s">
        <v>195</v>
      </c>
      <c r="L342" s="274">
        <v>50</v>
      </c>
      <c r="M342" s="274" t="s">
        <v>196</v>
      </c>
      <c r="N342" s="275">
        <v>1005</v>
      </c>
      <c r="O342" s="275">
        <v>1000</v>
      </c>
      <c r="P342" s="275">
        <v>4000</v>
      </c>
      <c r="Q342" s="274">
        <v>2</v>
      </c>
      <c r="R342" s="274">
        <v>3</v>
      </c>
      <c r="S342" s="274" t="s">
        <v>354</v>
      </c>
      <c r="T342" s="276">
        <v>44978</v>
      </c>
      <c r="U342" s="276">
        <v>45007</v>
      </c>
      <c r="V342" s="274" t="s">
        <v>355</v>
      </c>
      <c r="W342" s="274"/>
      <c r="X342" s="274"/>
      <c r="Y342" s="239"/>
      <c r="Z342" s="146" t="str">
        <f t="shared" ca="1" si="5"/>
        <v/>
      </c>
      <c r="AA342" s="146" t="str">
        <f ca="1">IFERROR(IF(OR(OFFSET('S4'!#REF!,MATCH($A342,'S4'!$D$5:$D$2535,0)-1,6)="巻返し",OFFSET('S4'!#REF!,MATCH($A342,'S4'!$D$5:$D$2535,0)-1,6)="スリット"),SUMIF('S4'!$D$5:$D$2535,$A342,'S4'!$U$5:$U$2535),""),"")</f>
        <v/>
      </c>
      <c r="AB342" s="146" t="str">
        <f ca="1">IFERROR(IF(OR(OFFSET('S5'!#REF!,MATCH($A342,'S5'!$D$5:$D$2103,0)-1,6)="巻返し",OFFSET('S5'!#REF!,MATCH($A342,'S5'!$D$5:$D$2103,0)-1,6)="スリット"),SUMIF('S5'!$D$5:$D$2103,$A342,'S5'!$T$5:$T$2103),""),"")</f>
        <v/>
      </c>
    </row>
    <row r="343" spans="1:28" s="141" customFormat="1" ht="13.5" x14ac:dyDescent="0.15">
      <c r="A343" s="274">
        <v>3700963</v>
      </c>
      <c r="B343" s="274" t="s">
        <v>351</v>
      </c>
      <c r="C343" s="274" t="s">
        <v>352</v>
      </c>
      <c r="D343" s="274" t="s">
        <v>353</v>
      </c>
      <c r="E343" s="274" t="s">
        <v>116</v>
      </c>
      <c r="F343" s="274">
        <v>3</v>
      </c>
      <c r="G343" s="274" t="s">
        <v>19</v>
      </c>
      <c r="H343" s="274" t="s">
        <v>20</v>
      </c>
      <c r="I343" s="274" t="s">
        <v>205</v>
      </c>
      <c r="J343" s="274"/>
      <c r="K343" s="274" t="s">
        <v>221</v>
      </c>
      <c r="L343" s="274">
        <v>25</v>
      </c>
      <c r="M343" s="274" t="s">
        <v>222</v>
      </c>
      <c r="N343" s="275">
        <v>1100</v>
      </c>
      <c r="O343" s="275">
        <v>1100</v>
      </c>
      <c r="P343" s="275">
        <v>6000</v>
      </c>
      <c r="Q343" s="274">
        <v>2</v>
      </c>
      <c r="R343" s="274">
        <v>18</v>
      </c>
      <c r="S343" s="274" t="s">
        <v>354</v>
      </c>
      <c r="T343" s="276">
        <v>44978</v>
      </c>
      <c r="U343" s="276">
        <v>45021</v>
      </c>
      <c r="V343" s="274" t="s">
        <v>355</v>
      </c>
      <c r="W343" s="274"/>
      <c r="X343" s="274"/>
      <c r="Y343" s="239"/>
      <c r="Z343" s="146" t="str">
        <f t="shared" ca="1" si="5"/>
        <v/>
      </c>
      <c r="AA343" s="146" t="str">
        <f ca="1">IFERROR(IF(OR(OFFSET('S4'!#REF!,MATCH($A343,'S4'!$D$5:$D$2535,0)-1,6)="巻返し",OFFSET('S4'!#REF!,MATCH($A343,'S4'!$D$5:$D$2535,0)-1,6)="スリット"),SUMIF('S4'!$D$5:$D$2535,$A343,'S4'!$U$5:$U$2535),""),"")</f>
        <v/>
      </c>
      <c r="AB343" s="146" t="str">
        <f ca="1">IFERROR(IF(OR(OFFSET('S5'!#REF!,MATCH($A343,'S5'!$D$5:$D$2103,0)-1,6)="巻返し",OFFSET('S5'!#REF!,MATCH($A343,'S5'!$D$5:$D$2103,0)-1,6)="スリット"),SUMIF('S5'!$D$5:$D$2103,$A343,'S5'!$T$5:$T$2103),""),"")</f>
        <v/>
      </c>
    </row>
    <row r="344" spans="1:28" s="141" customFormat="1" ht="13.5" x14ac:dyDescent="0.15">
      <c r="A344" s="274">
        <v>3700964</v>
      </c>
      <c r="B344" s="274" t="s">
        <v>351</v>
      </c>
      <c r="C344" s="274" t="s">
        <v>352</v>
      </c>
      <c r="D344" s="274" t="s">
        <v>353</v>
      </c>
      <c r="E344" s="274" t="s">
        <v>116</v>
      </c>
      <c r="F344" s="274">
        <v>3</v>
      </c>
      <c r="G344" s="274" t="s">
        <v>19</v>
      </c>
      <c r="H344" s="274" t="s">
        <v>20</v>
      </c>
      <c r="I344" s="274" t="s">
        <v>165</v>
      </c>
      <c r="J344" s="274"/>
      <c r="K344" s="274" t="s">
        <v>176</v>
      </c>
      <c r="L344" s="274">
        <v>25</v>
      </c>
      <c r="M344" s="274" t="s">
        <v>177</v>
      </c>
      <c r="N344" s="275">
        <v>1005</v>
      </c>
      <c r="O344" s="275">
        <v>1000</v>
      </c>
      <c r="P344" s="275">
        <v>2000</v>
      </c>
      <c r="Q344" s="274">
        <v>2</v>
      </c>
      <c r="R344" s="274">
        <v>4</v>
      </c>
      <c r="S344" s="274" t="s">
        <v>354</v>
      </c>
      <c r="T344" s="276">
        <v>44978</v>
      </c>
      <c r="U344" s="276">
        <v>45005</v>
      </c>
      <c r="V344" s="274" t="s">
        <v>355</v>
      </c>
      <c r="W344" s="274"/>
      <c r="X344" s="274"/>
      <c r="Y344" s="239"/>
      <c r="Z344" s="146" t="str">
        <f t="shared" ca="1" si="5"/>
        <v/>
      </c>
      <c r="AA344" s="146" t="str">
        <f ca="1">IFERROR(IF(OR(OFFSET('S4'!#REF!,MATCH($A344,'S4'!$D$5:$D$2535,0)-1,6)="巻返し",OFFSET('S4'!#REF!,MATCH($A344,'S4'!$D$5:$D$2535,0)-1,6)="スリット"),SUMIF('S4'!$D$5:$D$2535,$A344,'S4'!$U$5:$U$2535),""),"")</f>
        <v/>
      </c>
      <c r="AB344" s="146" t="str">
        <f ca="1">IFERROR(IF(OR(OFFSET('S5'!#REF!,MATCH($A344,'S5'!$D$5:$D$2103,0)-1,6)="巻返し",OFFSET('S5'!#REF!,MATCH($A344,'S5'!$D$5:$D$2103,0)-1,6)="スリット"),SUMIF('S5'!$D$5:$D$2103,$A344,'S5'!$T$5:$T$2103),""),"")</f>
        <v/>
      </c>
    </row>
    <row r="345" spans="1:28" s="141" customFormat="1" ht="13.5" x14ac:dyDescent="0.15">
      <c r="A345" s="274">
        <v>3700965</v>
      </c>
      <c r="B345" s="274" t="s">
        <v>351</v>
      </c>
      <c r="C345" s="274" t="s">
        <v>352</v>
      </c>
      <c r="D345" s="274" t="s">
        <v>353</v>
      </c>
      <c r="E345" s="274" t="s">
        <v>116</v>
      </c>
      <c r="F345" s="274">
        <v>3</v>
      </c>
      <c r="G345" s="274" t="s">
        <v>19</v>
      </c>
      <c r="H345" s="274" t="s">
        <v>20</v>
      </c>
      <c r="I345" s="274" t="s">
        <v>165</v>
      </c>
      <c r="J345" s="274"/>
      <c r="K345" s="274" t="s">
        <v>176</v>
      </c>
      <c r="L345" s="274">
        <v>50</v>
      </c>
      <c r="M345" s="274" t="s">
        <v>177</v>
      </c>
      <c r="N345" s="275">
        <v>1005</v>
      </c>
      <c r="O345" s="275">
        <v>1000</v>
      </c>
      <c r="P345" s="275">
        <v>4000</v>
      </c>
      <c r="Q345" s="274">
        <v>2</v>
      </c>
      <c r="R345" s="274">
        <v>6</v>
      </c>
      <c r="S345" s="274" t="s">
        <v>354</v>
      </c>
      <c r="T345" s="276">
        <v>44978</v>
      </c>
      <c r="U345" s="276">
        <v>45007</v>
      </c>
      <c r="V345" s="274" t="s">
        <v>355</v>
      </c>
      <c r="W345" s="274"/>
      <c r="X345" s="274"/>
      <c r="Y345" s="239"/>
      <c r="Z345" s="146" t="str">
        <f t="shared" ca="1" si="5"/>
        <v/>
      </c>
      <c r="AA345" s="146" t="str">
        <f ca="1">IFERROR(IF(OR(OFFSET('S4'!#REF!,MATCH($A345,'S4'!$D$5:$D$2535,0)-1,6)="巻返し",OFFSET('S4'!#REF!,MATCH($A345,'S4'!$D$5:$D$2535,0)-1,6)="スリット"),SUMIF('S4'!$D$5:$D$2535,$A345,'S4'!$U$5:$U$2535),""),"")</f>
        <v/>
      </c>
      <c r="AB345" s="146" t="str">
        <f ca="1">IFERROR(IF(OR(OFFSET('S5'!#REF!,MATCH($A345,'S5'!$D$5:$D$2103,0)-1,6)="巻返し",OFFSET('S5'!#REF!,MATCH($A345,'S5'!$D$5:$D$2103,0)-1,6)="スリット"),SUMIF('S5'!$D$5:$D$2103,$A345,'S5'!$T$5:$T$2103),""),"")</f>
        <v/>
      </c>
    </row>
    <row r="346" spans="1:28" s="141" customFormat="1" ht="13.5" x14ac:dyDescent="0.15">
      <c r="A346" s="274">
        <v>3700966</v>
      </c>
      <c r="B346" s="274" t="s">
        <v>351</v>
      </c>
      <c r="C346" s="274" t="s">
        <v>352</v>
      </c>
      <c r="D346" s="274" t="s">
        <v>353</v>
      </c>
      <c r="E346" s="274" t="s">
        <v>116</v>
      </c>
      <c r="F346" s="274">
        <v>3</v>
      </c>
      <c r="G346" s="274" t="s">
        <v>19</v>
      </c>
      <c r="H346" s="274" t="s">
        <v>20</v>
      </c>
      <c r="I346" s="274" t="s">
        <v>143</v>
      </c>
      <c r="J346" s="274"/>
      <c r="K346" s="274" t="s">
        <v>152</v>
      </c>
      <c r="L346" s="274">
        <v>38</v>
      </c>
      <c r="M346" s="274" t="s">
        <v>153</v>
      </c>
      <c r="N346" s="275">
        <v>1005</v>
      </c>
      <c r="O346" s="275">
        <v>1000</v>
      </c>
      <c r="P346" s="275">
        <v>4000</v>
      </c>
      <c r="Q346" s="274">
        <v>2</v>
      </c>
      <c r="R346" s="274">
        <v>10</v>
      </c>
      <c r="S346" s="274" t="s">
        <v>354</v>
      </c>
      <c r="T346" s="276">
        <v>44978</v>
      </c>
      <c r="U346" s="276">
        <v>45005</v>
      </c>
      <c r="V346" s="274" t="s">
        <v>355</v>
      </c>
      <c r="W346" s="274"/>
      <c r="X346" s="274"/>
      <c r="Y346" s="239"/>
      <c r="Z346" s="146" t="str">
        <f t="shared" ca="1" si="5"/>
        <v/>
      </c>
      <c r="AA346" s="146" t="str">
        <f ca="1">IFERROR(IF(OR(OFFSET('S4'!#REF!,MATCH($A346,'S4'!$D$5:$D$2535,0)-1,6)="巻返し",OFFSET('S4'!#REF!,MATCH($A346,'S4'!$D$5:$D$2535,0)-1,6)="スリット"),SUMIF('S4'!$D$5:$D$2535,$A346,'S4'!$U$5:$U$2535),""),"")</f>
        <v/>
      </c>
      <c r="AB346" s="146" t="str">
        <f ca="1">IFERROR(IF(OR(OFFSET('S5'!#REF!,MATCH($A346,'S5'!$D$5:$D$2103,0)-1,6)="巻返し",OFFSET('S5'!#REF!,MATCH($A346,'S5'!$D$5:$D$2103,0)-1,6)="スリット"),SUMIF('S5'!$D$5:$D$2103,$A346,'S5'!$T$5:$T$2103),""),"")</f>
        <v/>
      </c>
    </row>
    <row r="347" spans="1:28" s="141" customFormat="1" ht="13.5" x14ac:dyDescent="0.15">
      <c r="A347" s="274">
        <v>3700967</v>
      </c>
      <c r="B347" s="274" t="s">
        <v>351</v>
      </c>
      <c r="C347" s="274" t="s">
        <v>352</v>
      </c>
      <c r="D347" s="274" t="s">
        <v>353</v>
      </c>
      <c r="E347" s="274" t="s">
        <v>116</v>
      </c>
      <c r="F347" s="274">
        <v>3</v>
      </c>
      <c r="G347" s="274" t="s">
        <v>19</v>
      </c>
      <c r="H347" s="274" t="s">
        <v>28</v>
      </c>
      <c r="I347" s="274" t="s">
        <v>205</v>
      </c>
      <c r="J347" s="274"/>
      <c r="K347" s="274" t="s">
        <v>233</v>
      </c>
      <c r="L347" s="274">
        <v>50</v>
      </c>
      <c r="M347" s="274" t="s">
        <v>234</v>
      </c>
      <c r="N347" s="275">
        <v>1120</v>
      </c>
      <c r="O347" s="275">
        <v>1120</v>
      </c>
      <c r="P347" s="275">
        <v>4000</v>
      </c>
      <c r="Q347" s="274">
        <v>2</v>
      </c>
      <c r="R347" s="274">
        <v>4</v>
      </c>
      <c r="S347" s="274" t="s">
        <v>354</v>
      </c>
      <c r="T347" s="276">
        <v>44978</v>
      </c>
      <c r="U347" s="276">
        <v>45019</v>
      </c>
      <c r="V347" s="274" t="s">
        <v>355</v>
      </c>
      <c r="W347" s="274"/>
      <c r="X347" s="274"/>
      <c r="Y347" s="239"/>
      <c r="Z347" s="146" t="str">
        <f t="shared" ca="1" si="5"/>
        <v/>
      </c>
      <c r="AA347" s="146" t="str">
        <f ca="1">IFERROR(IF(OR(OFFSET('S4'!#REF!,MATCH($A347,'S4'!$D$5:$D$2535,0)-1,6)="巻返し",OFFSET('S4'!#REF!,MATCH($A347,'S4'!$D$5:$D$2535,0)-1,6)="スリット"),SUMIF('S4'!$D$5:$D$2535,$A347,'S4'!$U$5:$U$2535),""),"")</f>
        <v/>
      </c>
      <c r="AB347" s="146" t="str">
        <f ca="1">IFERROR(IF(OR(OFFSET('S5'!#REF!,MATCH($A347,'S5'!$D$5:$D$2103,0)-1,6)="巻返し",OFFSET('S5'!#REF!,MATCH($A347,'S5'!$D$5:$D$2103,0)-1,6)="スリット"),SUMIF('S5'!$D$5:$D$2103,$A347,'S5'!$T$5:$T$2103),""),"")</f>
        <v/>
      </c>
    </row>
    <row r="348" spans="1:28" s="141" customFormat="1" ht="13.5" x14ac:dyDescent="0.15">
      <c r="A348" s="274">
        <v>3700968</v>
      </c>
      <c r="B348" s="274" t="s">
        <v>351</v>
      </c>
      <c r="C348" s="274" t="s">
        <v>352</v>
      </c>
      <c r="D348" s="274" t="s">
        <v>353</v>
      </c>
      <c r="E348" s="274" t="s">
        <v>116</v>
      </c>
      <c r="F348" s="274">
        <v>3</v>
      </c>
      <c r="G348" s="274" t="s">
        <v>19</v>
      </c>
      <c r="H348" s="274" t="s">
        <v>28</v>
      </c>
      <c r="I348" s="274" t="s">
        <v>205</v>
      </c>
      <c r="J348" s="274"/>
      <c r="K348" s="274" t="s">
        <v>240</v>
      </c>
      <c r="L348" s="274">
        <v>50</v>
      </c>
      <c r="M348" s="274" t="s">
        <v>241</v>
      </c>
      <c r="N348" s="275">
        <v>1120</v>
      </c>
      <c r="O348" s="275">
        <v>1120</v>
      </c>
      <c r="P348" s="275">
        <v>4000</v>
      </c>
      <c r="Q348" s="274">
        <v>2</v>
      </c>
      <c r="R348" s="274">
        <v>10</v>
      </c>
      <c r="S348" s="274" t="s">
        <v>354</v>
      </c>
      <c r="T348" s="276">
        <v>44978</v>
      </c>
      <c r="U348" s="276">
        <v>45009</v>
      </c>
      <c r="V348" s="274" t="s">
        <v>355</v>
      </c>
      <c r="W348" s="274"/>
      <c r="X348" s="274"/>
      <c r="Y348" s="239"/>
      <c r="Z348" s="146" t="str">
        <f t="shared" ca="1" si="5"/>
        <v/>
      </c>
      <c r="AA348" s="146" t="str">
        <f ca="1">IFERROR(IF(OR(OFFSET('S4'!#REF!,MATCH($A348,'S4'!$D$5:$D$2535,0)-1,6)="巻返し",OFFSET('S4'!#REF!,MATCH($A348,'S4'!$D$5:$D$2535,0)-1,6)="スリット"),SUMIF('S4'!$D$5:$D$2535,$A348,'S4'!$U$5:$U$2535),""),"")</f>
        <v/>
      </c>
      <c r="AB348" s="146" t="str">
        <f ca="1">IFERROR(IF(OR(OFFSET('S5'!#REF!,MATCH($A348,'S5'!$D$5:$D$2103,0)-1,6)="巻返し",OFFSET('S5'!#REF!,MATCH($A348,'S5'!$D$5:$D$2103,0)-1,6)="スリット"),SUMIF('S5'!$D$5:$D$2103,$A348,'S5'!$T$5:$T$2103),""),"")</f>
        <v/>
      </c>
    </row>
    <row r="349" spans="1:28" s="141" customFormat="1" ht="13.5" x14ac:dyDescent="0.15">
      <c r="A349" s="274">
        <v>3700969</v>
      </c>
      <c r="B349" s="274" t="s">
        <v>351</v>
      </c>
      <c r="C349" s="274" t="s">
        <v>352</v>
      </c>
      <c r="D349" s="274" t="s">
        <v>353</v>
      </c>
      <c r="E349" s="274" t="s">
        <v>116</v>
      </c>
      <c r="F349" s="274">
        <v>3</v>
      </c>
      <c r="G349" s="274" t="s">
        <v>19</v>
      </c>
      <c r="H349" s="274" t="s">
        <v>28</v>
      </c>
      <c r="I349" s="274" t="s">
        <v>205</v>
      </c>
      <c r="J349" s="274"/>
      <c r="K349" s="274" t="s">
        <v>235</v>
      </c>
      <c r="L349" s="274">
        <v>50</v>
      </c>
      <c r="M349" s="274" t="s">
        <v>236</v>
      </c>
      <c r="N349" s="275">
        <v>1120</v>
      </c>
      <c r="O349" s="275">
        <v>1120</v>
      </c>
      <c r="P349" s="275">
        <v>4000</v>
      </c>
      <c r="Q349" s="274">
        <v>2</v>
      </c>
      <c r="R349" s="274">
        <v>16</v>
      </c>
      <c r="S349" s="274" t="s">
        <v>354</v>
      </c>
      <c r="T349" s="276">
        <v>44978</v>
      </c>
      <c r="U349" s="276">
        <v>45002</v>
      </c>
      <c r="V349" s="274" t="s">
        <v>355</v>
      </c>
      <c r="W349" s="274"/>
      <c r="X349" s="274"/>
      <c r="Y349" s="239"/>
      <c r="Z349" s="146" t="str">
        <f t="shared" ca="1" si="5"/>
        <v/>
      </c>
      <c r="AA349" s="146" t="str">
        <f ca="1">IFERROR(IF(OR(OFFSET('S4'!#REF!,MATCH($A349,'S4'!$D$5:$D$2535,0)-1,6)="巻返し",OFFSET('S4'!#REF!,MATCH($A349,'S4'!$D$5:$D$2535,0)-1,6)="スリット"),SUMIF('S4'!$D$5:$D$2535,$A349,'S4'!$U$5:$U$2535),""),"")</f>
        <v/>
      </c>
      <c r="AB349" s="146" t="str">
        <f ca="1">IFERROR(IF(OR(OFFSET('S5'!#REF!,MATCH($A349,'S5'!$D$5:$D$2103,0)-1,6)="巻返し",OFFSET('S5'!#REF!,MATCH($A349,'S5'!$D$5:$D$2103,0)-1,6)="スリット"),SUMIF('S5'!$D$5:$D$2103,$A349,'S5'!$T$5:$T$2103),""),"")</f>
        <v/>
      </c>
    </row>
    <row r="350" spans="1:28" s="141" customFormat="1" ht="13.5" x14ac:dyDescent="0.15">
      <c r="A350" s="274">
        <v>3700970</v>
      </c>
      <c r="B350" s="274" t="s">
        <v>351</v>
      </c>
      <c r="C350" s="274" t="s">
        <v>352</v>
      </c>
      <c r="D350" s="274" t="s">
        <v>353</v>
      </c>
      <c r="E350" s="274" t="s">
        <v>116</v>
      </c>
      <c r="F350" s="274">
        <v>3</v>
      </c>
      <c r="G350" s="274" t="s">
        <v>19</v>
      </c>
      <c r="H350" s="274" t="s">
        <v>28</v>
      </c>
      <c r="I350" s="274" t="s">
        <v>205</v>
      </c>
      <c r="J350" s="274"/>
      <c r="K350" s="274" t="s">
        <v>226</v>
      </c>
      <c r="L350" s="274">
        <v>50</v>
      </c>
      <c r="M350" s="274" t="s">
        <v>227</v>
      </c>
      <c r="N350" s="275">
        <v>1120</v>
      </c>
      <c r="O350" s="275">
        <v>1120</v>
      </c>
      <c r="P350" s="275">
        <v>5000</v>
      </c>
      <c r="Q350" s="274">
        <v>2</v>
      </c>
      <c r="R350" s="274">
        <v>2</v>
      </c>
      <c r="S350" s="274" t="s">
        <v>354</v>
      </c>
      <c r="T350" s="276">
        <v>44978</v>
      </c>
      <c r="U350" s="276">
        <v>45002</v>
      </c>
      <c r="V350" s="274" t="s">
        <v>355</v>
      </c>
      <c r="W350" s="274"/>
      <c r="X350" s="274"/>
      <c r="Y350" s="239"/>
      <c r="Z350" s="146" t="str">
        <f t="shared" ca="1" si="5"/>
        <v/>
      </c>
      <c r="AA350" s="146" t="str">
        <f ca="1">IFERROR(IF(OR(OFFSET('S4'!#REF!,MATCH($A350,'S4'!$D$5:$D$2535,0)-1,6)="巻返し",OFFSET('S4'!#REF!,MATCH($A350,'S4'!$D$5:$D$2535,0)-1,6)="スリット"),SUMIF('S4'!$D$5:$D$2535,$A350,'S4'!$U$5:$U$2535),""),"")</f>
        <v/>
      </c>
      <c r="AB350" s="146" t="str">
        <f ca="1">IFERROR(IF(OR(OFFSET('S5'!#REF!,MATCH($A350,'S5'!$D$5:$D$2103,0)-1,6)="巻返し",OFFSET('S5'!#REF!,MATCH($A350,'S5'!$D$5:$D$2103,0)-1,6)="スリット"),SUMIF('S5'!$D$5:$D$2103,$A350,'S5'!$T$5:$T$2103),""),"")</f>
        <v/>
      </c>
    </row>
    <row r="351" spans="1:28" s="141" customFormat="1" ht="13.5" x14ac:dyDescent="0.15">
      <c r="A351" s="274">
        <v>3700971</v>
      </c>
      <c r="B351" s="274" t="s">
        <v>351</v>
      </c>
      <c r="C351" s="274" t="s">
        <v>352</v>
      </c>
      <c r="D351" s="274" t="s">
        <v>353</v>
      </c>
      <c r="E351" s="274" t="s">
        <v>116</v>
      </c>
      <c r="F351" s="274">
        <v>3</v>
      </c>
      <c r="G351" s="274" t="s">
        <v>19</v>
      </c>
      <c r="H351" s="274" t="s">
        <v>28</v>
      </c>
      <c r="I351" s="274" t="s">
        <v>205</v>
      </c>
      <c r="J351" s="274"/>
      <c r="K351" s="274" t="s">
        <v>235</v>
      </c>
      <c r="L351" s="274">
        <v>25</v>
      </c>
      <c r="M351" s="274" t="s">
        <v>236</v>
      </c>
      <c r="N351" s="275">
        <v>1120</v>
      </c>
      <c r="O351" s="275">
        <v>1120</v>
      </c>
      <c r="P351" s="275">
        <v>8000</v>
      </c>
      <c r="Q351" s="274">
        <v>2</v>
      </c>
      <c r="R351" s="274">
        <v>2</v>
      </c>
      <c r="S351" s="274" t="s">
        <v>354</v>
      </c>
      <c r="T351" s="276">
        <v>44978</v>
      </c>
      <c r="U351" s="276">
        <v>45002</v>
      </c>
      <c r="V351" s="274" t="s">
        <v>355</v>
      </c>
      <c r="W351" s="274"/>
      <c r="X351" s="274"/>
      <c r="Y351" s="239"/>
      <c r="Z351" s="146" t="str">
        <f t="shared" ca="1" si="5"/>
        <v/>
      </c>
      <c r="AA351" s="146" t="str">
        <f ca="1">IFERROR(IF(OR(OFFSET('S4'!#REF!,MATCH($A351,'S4'!$D$5:$D$2535,0)-1,6)="巻返し",OFFSET('S4'!#REF!,MATCH($A351,'S4'!$D$5:$D$2535,0)-1,6)="スリット"),SUMIF('S4'!$D$5:$D$2535,$A351,'S4'!$U$5:$U$2535),""),"")</f>
        <v/>
      </c>
      <c r="AB351" s="146" t="str">
        <f ca="1">IFERROR(IF(OR(OFFSET('S5'!#REF!,MATCH($A351,'S5'!$D$5:$D$2103,0)-1,6)="巻返し",OFFSET('S5'!#REF!,MATCH($A351,'S5'!$D$5:$D$2103,0)-1,6)="スリット"),SUMIF('S5'!$D$5:$D$2103,$A351,'S5'!$T$5:$T$2103),""),"")</f>
        <v/>
      </c>
    </row>
    <row r="352" spans="1:28" s="141" customFormat="1" ht="11.25" x14ac:dyDescent="0.15">
      <c r="A352" s="173">
        <v>3702341</v>
      </c>
      <c r="B352" s="173" t="s">
        <v>351</v>
      </c>
      <c r="C352" s="173" t="s">
        <v>364</v>
      </c>
      <c r="D352" s="173" t="s">
        <v>353</v>
      </c>
      <c r="E352" s="173" t="s">
        <v>171</v>
      </c>
      <c r="F352" s="173">
        <v>3</v>
      </c>
      <c r="G352" s="173" t="s">
        <v>19</v>
      </c>
      <c r="H352" s="173" t="s">
        <v>20</v>
      </c>
      <c r="I352" s="173" t="s">
        <v>165</v>
      </c>
      <c r="J352" s="173"/>
      <c r="K352" s="173" t="s">
        <v>180</v>
      </c>
      <c r="L352" s="173">
        <v>50</v>
      </c>
      <c r="M352" s="173" t="s">
        <v>181</v>
      </c>
      <c r="N352" s="174">
        <v>1200</v>
      </c>
      <c r="O352" s="174">
        <v>1190</v>
      </c>
      <c r="P352" s="174">
        <v>6000</v>
      </c>
      <c r="Q352" s="173">
        <v>2</v>
      </c>
      <c r="R352" s="173">
        <v>6</v>
      </c>
      <c r="S352" s="173" t="s">
        <v>354</v>
      </c>
      <c r="T352" s="175">
        <v>44984</v>
      </c>
      <c r="U352" s="175">
        <v>45016</v>
      </c>
      <c r="V352" s="173" t="s">
        <v>355</v>
      </c>
      <c r="W352" s="173"/>
      <c r="X352" s="173"/>
      <c r="Z352" s="146" t="str">
        <f t="shared" ca="1" si="5"/>
        <v/>
      </c>
      <c r="AA352" s="146" t="str">
        <f ca="1">IFERROR(IF(OR(OFFSET('S4'!#REF!,MATCH($A352,'S4'!$D$5:$D$2535,0)-1,6)="巻返し",OFFSET('S4'!#REF!,MATCH($A352,'S4'!$D$5:$D$2535,0)-1,6)="スリット"),SUMIF('S4'!$D$5:$D$2535,$A352,'S4'!$U$5:$U$2535),""),"")</f>
        <v/>
      </c>
      <c r="AB352" s="146" t="str">
        <f ca="1">IFERROR(IF(OR(OFFSET('S5'!#REF!,MATCH($A352,'S5'!$D$5:$D$2103,0)-1,6)="巻返し",OFFSET('S5'!#REF!,MATCH($A352,'S5'!$D$5:$D$2103,0)-1,6)="スリット"),SUMIF('S5'!$D$5:$D$2103,$A352,'S5'!$T$5:$T$2103),""),"")</f>
        <v/>
      </c>
    </row>
    <row r="353" spans="1:28" s="141" customFormat="1" ht="13.5" x14ac:dyDescent="0.15">
      <c r="A353" s="274">
        <v>3702343</v>
      </c>
      <c r="B353" s="274" t="s">
        <v>510</v>
      </c>
      <c r="C353" s="274" t="s">
        <v>364</v>
      </c>
      <c r="D353" s="274" t="s">
        <v>353</v>
      </c>
      <c r="E353" s="274" t="s">
        <v>324</v>
      </c>
      <c r="F353" s="274">
        <v>3</v>
      </c>
      <c r="G353" s="274" t="s">
        <v>269</v>
      </c>
      <c r="H353" s="274" t="s">
        <v>20</v>
      </c>
      <c r="I353" s="274" t="s">
        <v>205</v>
      </c>
      <c r="J353" s="274"/>
      <c r="K353" s="274" t="s">
        <v>325</v>
      </c>
      <c r="L353" s="274">
        <v>9</v>
      </c>
      <c r="M353" s="274" t="s">
        <v>326</v>
      </c>
      <c r="N353" s="275">
        <v>1200</v>
      </c>
      <c r="O353" s="275">
        <v>1200</v>
      </c>
      <c r="P353" s="275">
        <v>2000</v>
      </c>
      <c r="Q353" s="274">
        <v>2</v>
      </c>
      <c r="R353" s="274">
        <v>6</v>
      </c>
      <c r="S353" s="274" t="s">
        <v>354</v>
      </c>
      <c r="T353" s="276">
        <v>44984</v>
      </c>
      <c r="U353" s="276">
        <v>45016</v>
      </c>
      <c r="V353" s="274" t="s">
        <v>428</v>
      </c>
      <c r="W353" s="274"/>
      <c r="X353" s="274"/>
      <c r="Z353" s="146" t="str">
        <f t="shared" ca="1" si="5"/>
        <v/>
      </c>
      <c r="AA353" s="146" t="str">
        <f ca="1">IFERROR(IF(OR(OFFSET('S4'!#REF!,MATCH($A353,'S4'!$D$5:$D$2535,0)-1,6)="巻返し",OFFSET('S4'!#REF!,MATCH($A353,'S4'!$D$5:$D$2535,0)-1,6)="スリット"),SUMIF('S4'!$D$5:$D$2535,$A353,'S4'!$U$5:$U$2535),""),"")</f>
        <v/>
      </c>
      <c r="AB353" s="146" t="str">
        <f ca="1">IFERROR(IF(OR(OFFSET('S5'!#REF!,MATCH($A353,'S5'!$D$5:$D$2103,0)-1,6)="巻返し",OFFSET('S5'!#REF!,MATCH($A353,'S5'!$D$5:$D$2103,0)-1,6)="スリット"),SUMIF('S5'!$D$5:$D$2103,$A353,'S5'!$T$5:$T$2103),""),"")</f>
        <v/>
      </c>
    </row>
    <row r="354" spans="1:28" s="141" customFormat="1" ht="13.5" x14ac:dyDescent="0.15">
      <c r="A354" s="274">
        <v>3702649</v>
      </c>
      <c r="B354" s="274" t="s">
        <v>423</v>
      </c>
      <c r="C354" s="274" t="s">
        <v>352</v>
      </c>
      <c r="D354" s="274" t="s">
        <v>353</v>
      </c>
      <c r="E354" s="274" t="s">
        <v>247</v>
      </c>
      <c r="F354" s="274">
        <v>3</v>
      </c>
      <c r="G354" s="274" t="s">
        <v>265</v>
      </c>
      <c r="H354" s="274" t="s">
        <v>20</v>
      </c>
      <c r="I354" s="274" t="s">
        <v>205</v>
      </c>
      <c r="J354" s="274"/>
      <c r="K354" s="274" t="s">
        <v>997</v>
      </c>
      <c r="L354" s="274">
        <v>50</v>
      </c>
      <c r="M354" s="274" t="s">
        <v>998</v>
      </c>
      <c r="N354" s="275">
        <v>1005</v>
      </c>
      <c r="O354" s="275">
        <v>1000</v>
      </c>
      <c r="P354" s="275">
        <v>4100</v>
      </c>
      <c r="Q354" s="274">
        <v>2</v>
      </c>
      <c r="R354" s="274">
        <v>2</v>
      </c>
      <c r="S354" s="274" t="s">
        <v>354</v>
      </c>
      <c r="T354" s="276">
        <v>44988</v>
      </c>
      <c r="U354" s="276">
        <v>45016</v>
      </c>
      <c r="V354" s="274" t="s">
        <v>355</v>
      </c>
      <c r="W354" s="274"/>
      <c r="X354" s="274"/>
      <c r="Z354" s="146" t="str">
        <f t="shared" ca="1" si="5"/>
        <v/>
      </c>
      <c r="AA354" s="146" t="str">
        <f ca="1">IFERROR(IF(OR(OFFSET('S4'!#REF!,MATCH($A354,'S4'!$D$5:$D$2535,0)-1,6)="巻返し",OFFSET('S4'!#REF!,MATCH($A354,'S4'!$D$5:$D$2535,0)-1,6)="スリット"),SUMIF('S4'!$D$5:$D$2535,$A354,'S4'!$U$5:$U$2535),""),"")</f>
        <v/>
      </c>
      <c r="AB354" s="146" t="str">
        <f ca="1">IFERROR(IF(OR(OFFSET('S5'!#REF!,MATCH($A354,'S5'!$D$5:$D$2103,0)-1,6)="巻返し",OFFSET('S5'!#REF!,MATCH($A354,'S5'!$D$5:$D$2103,0)-1,6)="スリット"),SUMIF('S5'!$D$5:$D$2103,$A354,'S5'!$T$5:$T$2103),""),"")</f>
        <v/>
      </c>
    </row>
    <row r="355" spans="1:28" s="141" customFormat="1" ht="13.5" x14ac:dyDescent="0.15">
      <c r="A355" s="274">
        <v>3703375</v>
      </c>
      <c r="B355" s="274" t="s">
        <v>351</v>
      </c>
      <c r="C355" s="274" t="s">
        <v>352</v>
      </c>
      <c r="D355" s="274" t="s">
        <v>353</v>
      </c>
      <c r="E355" s="274" t="s">
        <v>116</v>
      </c>
      <c r="F355" s="274">
        <v>3</v>
      </c>
      <c r="G355" s="274" t="s">
        <v>19</v>
      </c>
      <c r="H355" s="274" t="s">
        <v>20</v>
      </c>
      <c r="I355" s="274" t="s">
        <v>143</v>
      </c>
      <c r="J355" s="274"/>
      <c r="K355" s="274" t="s">
        <v>152</v>
      </c>
      <c r="L355" s="274">
        <v>38</v>
      </c>
      <c r="M355" s="274" t="s">
        <v>153</v>
      </c>
      <c r="N355" s="275">
        <v>1005</v>
      </c>
      <c r="O355" s="275">
        <v>1000</v>
      </c>
      <c r="P355" s="275">
        <v>4000</v>
      </c>
      <c r="Q355" s="274">
        <v>2</v>
      </c>
      <c r="R355" s="274">
        <v>2</v>
      </c>
      <c r="S355" s="274" t="s">
        <v>354</v>
      </c>
      <c r="T355" s="276">
        <v>44993</v>
      </c>
      <c r="U355" s="276">
        <v>45005</v>
      </c>
      <c r="V355" s="274" t="s">
        <v>355</v>
      </c>
      <c r="W355" s="274"/>
      <c r="X355" s="274"/>
      <c r="Z355" s="146" t="str">
        <f t="shared" ca="1" si="5"/>
        <v/>
      </c>
      <c r="AA355" s="146" t="str">
        <f ca="1">IFERROR(IF(OR(OFFSET('S4'!#REF!,MATCH($A355,'S4'!$D$5:$D$2535,0)-1,6)="巻返し",OFFSET('S4'!#REF!,MATCH($A355,'S4'!$D$5:$D$2535,0)-1,6)="スリット"),SUMIF('S4'!$D$5:$D$2535,$A355,'S4'!$U$5:$U$2535),""),"")</f>
        <v/>
      </c>
      <c r="AB355" s="146" t="str">
        <f ca="1">IFERROR(IF(OR(OFFSET('S5'!#REF!,MATCH($A355,'S5'!$D$5:$D$2103,0)-1,6)="巻返し",OFFSET('S5'!#REF!,MATCH($A355,'S5'!$D$5:$D$2103,0)-1,6)="スリット"),SUMIF('S5'!$D$5:$D$2103,$A355,'S5'!$T$5:$T$2103),""),"")</f>
        <v/>
      </c>
    </row>
    <row r="356" spans="1:28" s="141" customFormat="1" ht="13.5" x14ac:dyDescent="0.15">
      <c r="A356" s="274">
        <v>3703648</v>
      </c>
      <c r="B356" s="274" t="s">
        <v>423</v>
      </c>
      <c r="C356" s="274" t="s">
        <v>352</v>
      </c>
      <c r="D356" s="274" t="s">
        <v>353</v>
      </c>
      <c r="E356" s="274" t="s">
        <v>116</v>
      </c>
      <c r="F356" s="274">
        <v>3</v>
      </c>
      <c r="G356" s="274" t="s">
        <v>265</v>
      </c>
      <c r="H356" s="274" t="s">
        <v>20</v>
      </c>
      <c r="I356" s="274" t="s">
        <v>165</v>
      </c>
      <c r="J356" s="274"/>
      <c r="K356" s="274" t="s">
        <v>319</v>
      </c>
      <c r="L356" s="274">
        <v>25</v>
      </c>
      <c r="M356" s="274" t="s">
        <v>320</v>
      </c>
      <c r="N356" s="275">
        <v>1000</v>
      </c>
      <c r="O356" s="275">
        <v>1000</v>
      </c>
      <c r="P356" s="275">
        <v>2000</v>
      </c>
      <c r="Q356" s="274">
        <v>2</v>
      </c>
      <c r="R356" s="274">
        <v>2</v>
      </c>
      <c r="S356" s="274" t="s">
        <v>354</v>
      </c>
      <c r="T356" s="276">
        <v>45001</v>
      </c>
      <c r="U356" s="276">
        <v>45015</v>
      </c>
      <c r="V356" s="274" t="s">
        <v>355</v>
      </c>
      <c r="W356" s="274"/>
      <c r="X356" s="274"/>
      <c r="Z356" s="146" t="str">
        <f t="shared" ca="1" si="5"/>
        <v/>
      </c>
      <c r="AA356" s="146" t="str">
        <f ca="1">IFERROR(IF(OR(OFFSET('S4'!#REF!,MATCH($A356,'S4'!$D$5:$D$2535,0)-1,6)="巻返し",OFFSET('S4'!#REF!,MATCH($A356,'S4'!$D$5:$D$2535,0)-1,6)="スリット"),SUMIF('S4'!$D$5:$D$2535,$A356,'S4'!$U$5:$U$2535),""),"")</f>
        <v/>
      </c>
      <c r="AB356" s="146" t="str">
        <f ca="1">IFERROR(IF(OR(OFFSET('S5'!#REF!,MATCH($A356,'S5'!$D$5:$D$2103,0)-1,6)="巻返し",OFFSET('S5'!#REF!,MATCH($A356,'S5'!$D$5:$D$2103,0)-1,6)="スリット"),SUMIF('S5'!$D$5:$D$2103,$A356,'S5'!$T$5:$T$2103),""),"")</f>
        <v/>
      </c>
    </row>
    <row r="357" spans="1:28" s="141" customFormat="1" ht="13.5" x14ac:dyDescent="0.15">
      <c r="A357" s="274">
        <v>3703649</v>
      </c>
      <c r="B357" s="274" t="s">
        <v>423</v>
      </c>
      <c r="C357" s="274" t="s">
        <v>352</v>
      </c>
      <c r="D357" s="274" t="s">
        <v>353</v>
      </c>
      <c r="E357" s="274" t="s">
        <v>116</v>
      </c>
      <c r="F357" s="274">
        <v>3</v>
      </c>
      <c r="G357" s="274" t="s">
        <v>265</v>
      </c>
      <c r="H357" s="274" t="s">
        <v>20</v>
      </c>
      <c r="I357" s="274" t="s">
        <v>165</v>
      </c>
      <c r="J357" s="274"/>
      <c r="K357" s="274" t="s">
        <v>319</v>
      </c>
      <c r="L357" s="274">
        <v>50</v>
      </c>
      <c r="M357" s="274" t="s">
        <v>483</v>
      </c>
      <c r="N357" s="275">
        <v>1000</v>
      </c>
      <c r="O357" s="275">
        <v>1000</v>
      </c>
      <c r="P357" s="275">
        <v>2000</v>
      </c>
      <c r="Q357" s="274">
        <v>2</v>
      </c>
      <c r="R357" s="274">
        <v>2</v>
      </c>
      <c r="S357" s="274" t="s">
        <v>354</v>
      </c>
      <c r="T357" s="276">
        <v>45001</v>
      </c>
      <c r="U357" s="276">
        <v>45015</v>
      </c>
      <c r="V357" s="274" t="s">
        <v>355</v>
      </c>
      <c r="W357" s="274"/>
      <c r="X357" s="274"/>
      <c r="Z357" s="146" t="str">
        <f t="shared" ca="1" si="5"/>
        <v/>
      </c>
      <c r="AA357" s="146" t="str">
        <f ca="1">IFERROR(IF(OR(OFFSET('S4'!#REF!,MATCH($A357,'S4'!$D$5:$D$2535,0)-1,6)="巻返し",OFFSET('S4'!#REF!,MATCH($A357,'S4'!$D$5:$D$2535,0)-1,6)="スリット"),SUMIF('S4'!$D$5:$D$2535,$A357,'S4'!$U$5:$U$2535),""),"")</f>
        <v/>
      </c>
      <c r="AB357" s="146" t="str">
        <f ca="1">IFERROR(IF(OR(OFFSET('S5'!#REF!,MATCH($A357,'S5'!$D$5:$D$2103,0)-1,6)="巻返し",OFFSET('S5'!#REF!,MATCH($A357,'S5'!$D$5:$D$2103,0)-1,6)="スリット"),SUMIF('S5'!$D$5:$D$2103,$A357,'S5'!$T$5:$T$2103),""),"")</f>
        <v/>
      </c>
    </row>
    <row r="358" spans="1:28" s="141" customFormat="1" ht="13.5" x14ac:dyDescent="0.15">
      <c r="A358" s="274">
        <v>3703986</v>
      </c>
      <c r="B358" s="274" t="s">
        <v>351</v>
      </c>
      <c r="C358" s="274" t="s">
        <v>352</v>
      </c>
      <c r="D358" s="274" t="s">
        <v>353</v>
      </c>
      <c r="E358" s="274" t="s">
        <v>116</v>
      </c>
      <c r="F358" s="274">
        <v>3</v>
      </c>
      <c r="G358" s="274" t="s">
        <v>19</v>
      </c>
      <c r="H358" s="274" t="s">
        <v>20</v>
      </c>
      <c r="I358" s="274" t="s">
        <v>143</v>
      </c>
      <c r="J358" s="274"/>
      <c r="K358" s="274" t="s">
        <v>152</v>
      </c>
      <c r="L358" s="274">
        <v>38</v>
      </c>
      <c r="M358" s="274" t="s">
        <v>153</v>
      </c>
      <c r="N358" s="275">
        <v>1005</v>
      </c>
      <c r="O358" s="275">
        <v>1000</v>
      </c>
      <c r="P358" s="275">
        <v>4000</v>
      </c>
      <c r="Q358" s="274">
        <v>2</v>
      </c>
      <c r="R358" s="274">
        <v>8</v>
      </c>
      <c r="S358" s="274" t="s">
        <v>354</v>
      </c>
      <c r="T358" s="276">
        <v>45005</v>
      </c>
      <c r="U358" s="276">
        <v>45037</v>
      </c>
      <c r="V358" s="274" t="s">
        <v>355</v>
      </c>
      <c r="W358" s="274"/>
      <c r="X358" s="274"/>
      <c r="Z358" s="146" t="str">
        <f t="shared" ca="1" si="5"/>
        <v/>
      </c>
      <c r="AA358" s="146" t="str">
        <f ca="1">IFERROR(IF(OR(OFFSET('S4'!#REF!,MATCH($A358,'S4'!$D$5:$D$2535,0)-1,6)="巻返し",OFFSET('S4'!#REF!,MATCH($A358,'S4'!$D$5:$D$2535,0)-1,6)="スリット"),SUMIF('S4'!$D$5:$D$2535,$A358,'S4'!$U$5:$U$2535),""),"")</f>
        <v/>
      </c>
      <c r="AB358" s="146" t="str">
        <f ca="1">IFERROR(IF(OR(OFFSET('S5'!#REF!,MATCH($A358,'S5'!$D$5:$D$2103,0)-1,6)="巻返し",OFFSET('S5'!#REF!,MATCH($A358,'S5'!$D$5:$D$2103,0)-1,6)="スリット"),SUMIF('S5'!$D$5:$D$2103,$A358,'S5'!$T$5:$T$2103),""),"")</f>
        <v/>
      </c>
    </row>
    <row r="359" spans="1:28" s="141" customFormat="1" ht="13.5" x14ac:dyDescent="0.15">
      <c r="A359" s="274">
        <v>3703987</v>
      </c>
      <c r="B359" s="274" t="s">
        <v>351</v>
      </c>
      <c r="C359" s="274" t="s">
        <v>352</v>
      </c>
      <c r="D359" s="274" t="s">
        <v>353</v>
      </c>
      <c r="E359" s="274" t="s">
        <v>116</v>
      </c>
      <c r="F359" s="274">
        <v>3</v>
      </c>
      <c r="G359" s="274" t="s">
        <v>19</v>
      </c>
      <c r="H359" s="274" t="s">
        <v>20</v>
      </c>
      <c r="I359" s="274" t="s">
        <v>165</v>
      </c>
      <c r="J359" s="274"/>
      <c r="K359" s="274" t="s">
        <v>176</v>
      </c>
      <c r="L359" s="274">
        <v>50</v>
      </c>
      <c r="M359" s="274" t="s">
        <v>177</v>
      </c>
      <c r="N359" s="275">
        <v>1005</v>
      </c>
      <c r="O359" s="275">
        <v>1000</v>
      </c>
      <c r="P359" s="275">
        <v>4000</v>
      </c>
      <c r="Q359" s="274">
        <v>2</v>
      </c>
      <c r="R359" s="274">
        <v>3</v>
      </c>
      <c r="S359" s="274" t="s">
        <v>354</v>
      </c>
      <c r="T359" s="276">
        <v>45005</v>
      </c>
      <c r="U359" s="276">
        <v>45037</v>
      </c>
      <c r="V359" s="274" t="s">
        <v>355</v>
      </c>
      <c r="W359" s="274"/>
      <c r="X359" s="274"/>
      <c r="Z359" s="146" t="str">
        <f t="shared" ca="1" si="5"/>
        <v/>
      </c>
      <c r="AA359" s="146" t="str">
        <f ca="1">IFERROR(IF(OR(OFFSET('S4'!#REF!,MATCH($A359,'S4'!$D$5:$D$2535,0)-1,6)="巻返し",OFFSET('S4'!#REF!,MATCH($A359,'S4'!$D$5:$D$2535,0)-1,6)="スリット"),SUMIF('S4'!$D$5:$D$2535,$A359,'S4'!$U$5:$U$2535),""),"")</f>
        <v/>
      </c>
      <c r="AB359" s="146" t="str">
        <f ca="1">IFERROR(IF(OR(OFFSET('S5'!#REF!,MATCH($A359,'S5'!$D$5:$D$2103,0)-1,6)="巻返し",OFFSET('S5'!#REF!,MATCH($A359,'S5'!$D$5:$D$2103,0)-1,6)="スリット"),SUMIF('S5'!$D$5:$D$2103,$A359,'S5'!$T$5:$T$2103),""),"")</f>
        <v/>
      </c>
    </row>
    <row r="360" spans="1:28" s="141" customFormat="1" ht="13.5" x14ac:dyDescent="0.15">
      <c r="A360" s="274">
        <v>3703988</v>
      </c>
      <c r="B360" s="274" t="s">
        <v>351</v>
      </c>
      <c r="C360" s="274" t="s">
        <v>352</v>
      </c>
      <c r="D360" s="274" t="s">
        <v>353</v>
      </c>
      <c r="E360" s="274" t="s">
        <v>116</v>
      </c>
      <c r="F360" s="274">
        <v>3</v>
      </c>
      <c r="G360" s="274" t="s">
        <v>19</v>
      </c>
      <c r="H360" s="274" t="s">
        <v>20</v>
      </c>
      <c r="I360" s="274" t="s">
        <v>165</v>
      </c>
      <c r="J360" s="274"/>
      <c r="K360" s="274" t="s">
        <v>185</v>
      </c>
      <c r="L360" s="274">
        <v>50</v>
      </c>
      <c r="M360" s="274" t="s">
        <v>186</v>
      </c>
      <c r="N360" s="275">
        <v>1005</v>
      </c>
      <c r="O360" s="275">
        <v>1000</v>
      </c>
      <c r="P360" s="275">
        <v>4000</v>
      </c>
      <c r="Q360" s="274">
        <v>2</v>
      </c>
      <c r="R360" s="274">
        <v>3</v>
      </c>
      <c r="S360" s="274" t="s">
        <v>354</v>
      </c>
      <c r="T360" s="276">
        <v>45005</v>
      </c>
      <c r="U360" s="276">
        <v>45037</v>
      </c>
      <c r="V360" s="274" t="s">
        <v>355</v>
      </c>
      <c r="W360" s="274"/>
      <c r="X360" s="274"/>
      <c r="Z360" s="146" t="str">
        <f t="shared" ca="1" si="5"/>
        <v/>
      </c>
      <c r="AA360" s="146" t="str">
        <f ca="1">IFERROR(IF(OR(OFFSET('S4'!#REF!,MATCH($A360,'S4'!$D$5:$D$2535,0)-1,6)="巻返し",OFFSET('S4'!#REF!,MATCH($A360,'S4'!$D$5:$D$2535,0)-1,6)="スリット"),SUMIF('S4'!$D$5:$D$2535,$A360,'S4'!$U$5:$U$2535),""),"")</f>
        <v/>
      </c>
      <c r="AB360" s="146" t="str">
        <f ca="1">IFERROR(IF(OR(OFFSET('S5'!#REF!,MATCH($A360,'S5'!$D$5:$D$2103,0)-1,6)="巻返し",OFFSET('S5'!#REF!,MATCH($A360,'S5'!$D$5:$D$2103,0)-1,6)="スリット"),SUMIF('S5'!$D$5:$D$2103,$A360,'S5'!$T$5:$T$2103),""),"")</f>
        <v/>
      </c>
    </row>
    <row r="361" spans="1:28" s="141" customFormat="1" ht="13.5" x14ac:dyDescent="0.15">
      <c r="A361" s="274">
        <v>3703989</v>
      </c>
      <c r="B361" s="274" t="s">
        <v>351</v>
      </c>
      <c r="C361" s="274" t="s">
        <v>352</v>
      </c>
      <c r="D361" s="274" t="s">
        <v>353</v>
      </c>
      <c r="E361" s="274" t="s">
        <v>116</v>
      </c>
      <c r="F361" s="274" t="s">
        <v>158</v>
      </c>
      <c r="G361" s="274" t="s">
        <v>19</v>
      </c>
      <c r="H361" s="274" t="s">
        <v>20</v>
      </c>
      <c r="I361" s="274" t="s">
        <v>165</v>
      </c>
      <c r="J361" s="274"/>
      <c r="K361" s="274" t="s">
        <v>195</v>
      </c>
      <c r="L361" s="274">
        <v>50</v>
      </c>
      <c r="M361" s="274" t="s">
        <v>196</v>
      </c>
      <c r="N361" s="275">
        <v>1005</v>
      </c>
      <c r="O361" s="275">
        <v>1000</v>
      </c>
      <c r="P361" s="275">
        <v>4000</v>
      </c>
      <c r="Q361" s="274">
        <v>2</v>
      </c>
      <c r="R361" s="274">
        <v>3</v>
      </c>
      <c r="S361" s="274" t="s">
        <v>354</v>
      </c>
      <c r="T361" s="276">
        <v>45005</v>
      </c>
      <c r="U361" s="276">
        <v>45037</v>
      </c>
      <c r="V361" s="274" t="s">
        <v>355</v>
      </c>
      <c r="W361" s="274"/>
      <c r="X361" s="274"/>
      <c r="Z361" s="146" t="str">
        <f t="shared" ca="1" si="5"/>
        <v/>
      </c>
      <c r="AA361" s="146" t="str">
        <f ca="1">IFERROR(IF(OR(OFFSET('S4'!#REF!,MATCH($A361,'S4'!$D$5:$D$2535,0)-1,6)="巻返し",OFFSET('S4'!#REF!,MATCH($A361,'S4'!$D$5:$D$2535,0)-1,6)="スリット"),SUMIF('S4'!$D$5:$D$2535,$A361,'S4'!$U$5:$U$2535),""),"")</f>
        <v/>
      </c>
      <c r="AB361" s="146" t="str">
        <f ca="1">IFERROR(IF(OR(OFFSET('S5'!#REF!,MATCH($A361,'S5'!$D$5:$D$2103,0)-1,6)="巻返し",OFFSET('S5'!#REF!,MATCH($A361,'S5'!$D$5:$D$2103,0)-1,6)="スリット"),SUMIF('S5'!$D$5:$D$2103,$A361,'S5'!$T$5:$T$2103),""),"")</f>
        <v/>
      </c>
    </row>
    <row r="362" spans="1:28" s="141" customFormat="1" ht="13.5" x14ac:dyDescent="0.15">
      <c r="A362" s="274">
        <v>3703990</v>
      </c>
      <c r="B362" s="274" t="s">
        <v>351</v>
      </c>
      <c r="C362" s="274" t="s">
        <v>352</v>
      </c>
      <c r="D362" s="274" t="s">
        <v>353</v>
      </c>
      <c r="E362" s="274" t="s">
        <v>116</v>
      </c>
      <c r="F362" s="274" t="s">
        <v>158</v>
      </c>
      <c r="G362" s="274" t="s">
        <v>19</v>
      </c>
      <c r="H362" s="274" t="s">
        <v>20</v>
      </c>
      <c r="I362" s="274" t="s">
        <v>165</v>
      </c>
      <c r="J362" s="274"/>
      <c r="K362" s="274" t="s">
        <v>197</v>
      </c>
      <c r="L362" s="274">
        <v>50</v>
      </c>
      <c r="M362" s="274" t="s">
        <v>198</v>
      </c>
      <c r="N362" s="275">
        <v>1005</v>
      </c>
      <c r="O362" s="275">
        <v>1000</v>
      </c>
      <c r="P362" s="275">
        <v>4000</v>
      </c>
      <c r="Q362" s="274">
        <v>2</v>
      </c>
      <c r="R362" s="274">
        <v>3</v>
      </c>
      <c r="S362" s="274" t="s">
        <v>354</v>
      </c>
      <c r="T362" s="276">
        <v>45005</v>
      </c>
      <c r="U362" s="276">
        <v>45037</v>
      </c>
      <c r="V362" s="274" t="s">
        <v>355</v>
      </c>
      <c r="W362" s="274"/>
      <c r="X362" s="274"/>
      <c r="Z362" s="146" t="str">
        <f t="shared" ca="1" si="5"/>
        <v/>
      </c>
      <c r="AA362" s="146" t="str">
        <f ca="1">IFERROR(IF(OR(OFFSET('S4'!#REF!,MATCH($A362,'S4'!$D$5:$D$2535,0)-1,6)="巻返し",OFFSET('S4'!#REF!,MATCH($A362,'S4'!$D$5:$D$2535,0)-1,6)="スリット"),SUMIF('S4'!$D$5:$D$2535,$A362,'S4'!$U$5:$U$2535),""),"")</f>
        <v/>
      </c>
      <c r="AB362" s="146" t="str">
        <f ca="1">IFERROR(IF(OR(OFFSET('S5'!#REF!,MATCH($A362,'S5'!$D$5:$D$2103,0)-1,6)="巻返し",OFFSET('S5'!#REF!,MATCH($A362,'S5'!$D$5:$D$2103,0)-1,6)="スリット"),SUMIF('S5'!$D$5:$D$2103,$A362,'S5'!$T$5:$T$2103),""),"")</f>
        <v/>
      </c>
    </row>
    <row r="363" spans="1:28" s="141" customFormat="1" ht="13.5" x14ac:dyDescent="0.15">
      <c r="A363" s="274">
        <v>3703991</v>
      </c>
      <c r="B363" s="274" t="s">
        <v>351</v>
      </c>
      <c r="C363" s="274" t="s">
        <v>352</v>
      </c>
      <c r="D363" s="274" t="s">
        <v>353</v>
      </c>
      <c r="E363" s="274" t="s">
        <v>116</v>
      </c>
      <c r="F363" s="274">
        <v>3</v>
      </c>
      <c r="G363" s="274" t="s">
        <v>19</v>
      </c>
      <c r="H363" s="274" t="s">
        <v>20</v>
      </c>
      <c r="I363" s="274" t="s">
        <v>165</v>
      </c>
      <c r="J363" s="274"/>
      <c r="K363" s="274" t="s">
        <v>200</v>
      </c>
      <c r="L363" s="274">
        <v>50</v>
      </c>
      <c r="M363" s="274" t="s">
        <v>201</v>
      </c>
      <c r="N363" s="275">
        <v>1005</v>
      </c>
      <c r="O363" s="275">
        <v>1000</v>
      </c>
      <c r="P363" s="275">
        <v>4000</v>
      </c>
      <c r="Q363" s="274">
        <v>2</v>
      </c>
      <c r="R363" s="274">
        <v>3</v>
      </c>
      <c r="S363" s="274" t="s">
        <v>354</v>
      </c>
      <c r="T363" s="276">
        <v>45005</v>
      </c>
      <c r="U363" s="276">
        <v>45037</v>
      </c>
      <c r="V363" s="274" t="s">
        <v>355</v>
      </c>
      <c r="W363" s="274"/>
      <c r="X363" s="274"/>
      <c r="Z363" s="146" t="str">
        <f t="shared" ca="1" si="5"/>
        <v/>
      </c>
      <c r="AA363" s="146" t="str">
        <f ca="1">IFERROR(IF(OR(OFFSET('S4'!#REF!,MATCH($A363,'S4'!$D$5:$D$2535,0)-1,6)="巻返し",OFFSET('S4'!#REF!,MATCH($A363,'S4'!$D$5:$D$2535,0)-1,6)="スリット"),SUMIF('S4'!$D$5:$D$2535,$A363,'S4'!$U$5:$U$2535),""),"")</f>
        <v/>
      </c>
      <c r="AB363" s="146" t="str">
        <f ca="1">IFERROR(IF(OR(OFFSET('S5'!#REF!,MATCH($A363,'S5'!$D$5:$D$2103,0)-1,6)="巻返し",OFFSET('S5'!#REF!,MATCH($A363,'S5'!$D$5:$D$2103,0)-1,6)="スリット"),SUMIF('S5'!$D$5:$D$2103,$A363,'S5'!$T$5:$T$2103),""),"")</f>
        <v/>
      </c>
    </row>
    <row r="364" spans="1:28" s="141" customFormat="1" ht="13.5" x14ac:dyDescent="0.15">
      <c r="A364" s="274">
        <v>3703992</v>
      </c>
      <c r="B364" s="274" t="s">
        <v>351</v>
      </c>
      <c r="C364" s="274" t="s">
        <v>352</v>
      </c>
      <c r="D364" s="274" t="s">
        <v>353</v>
      </c>
      <c r="E364" s="274" t="s">
        <v>116</v>
      </c>
      <c r="F364" s="274">
        <v>3</v>
      </c>
      <c r="G364" s="274" t="s">
        <v>19</v>
      </c>
      <c r="H364" s="274" t="s">
        <v>20</v>
      </c>
      <c r="I364" s="274" t="s">
        <v>205</v>
      </c>
      <c r="J364" s="274"/>
      <c r="K364" s="274" t="s">
        <v>211</v>
      </c>
      <c r="L364" s="274">
        <v>38</v>
      </c>
      <c r="M364" s="274" t="s">
        <v>370</v>
      </c>
      <c r="N364" s="275">
        <v>1005</v>
      </c>
      <c r="O364" s="275">
        <v>1000</v>
      </c>
      <c r="P364" s="275">
        <v>4000</v>
      </c>
      <c r="Q364" s="274">
        <v>2</v>
      </c>
      <c r="R364" s="274">
        <v>3</v>
      </c>
      <c r="S364" s="274" t="s">
        <v>354</v>
      </c>
      <c r="T364" s="276">
        <v>45005</v>
      </c>
      <c r="U364" s="276">
        <v>45037</v>
      </c>
      <c r="V364" s="274" t="s">
        <v>355</v>
      </c>
      <c r="W364" s="274"/>
      <c r="X364" s="274"/>
      <c r="Z364" s="146" t="str">
        <f t="shared" ca="1" si="5"/>
        <v/>
      </c>
      <c r="AA364" s="146" t="str">
        <f ca="1">IFERROR(IF(OR(OFFSET('S4'!#REF!,MATCH($A364,'S4'!$D$5:$D$2535,0)-1,6)="巻返し",OFFSET('S4'!#REF!,MATCH($A364,'S4'!$D$5:$D$2535,0)-1,6)="スリット"),SUMIF('S4'!$D$5:$D$2535,$A364,'S4'!$U$5:$U$2535),""),"")</f>
        <v/>
      </c>
      <c r="AB364" s="146" t="str">
        <f ca="1">IFERROR(IF(OR(OFFSET('S5'!#REF!,MATCH($A364,'S5'!$D$5:$D$2103,0)-1,6)="巻返し",OFFSET('S5'!#REF!,MATCH($A364,'S5'!$D$5:$D$2103,0)-1,6)="スリット"),SUMIF('S5'!$D$5:$D$2103,$A364,'S5'!$T$5:$T$2103),""),"")</f>
        <v/>
      </c>
    </row>
    <row r="365" spans="1:28" s="141" customFormat="1" ht="13.5" x14ac:dyDescent="0.15">
      <c r="A365" s="274">
        <v>3703993</v>
      </c>
      <c r="B365" s="274" t="s">
        <v>351</v>
      </c>
      <c r="C365" s="274" t="s">
        <v>352</v>
      </c>
      <c r="D365" s="274" t="s">
        <v>353</v>
      </c>
      <c r="E365" s="274" t="s">
        <v>116</v>
      </c>
      <c r="F365" s="274">
        <v>3</v>
      </c>
      <c r="G365" s="274" t="s">
        <v>19</v>
      </c>
      <c r="H365" s="274" t="s">
        <v>20</v>
      </c>
      <c r="I365" s="274" t="s">
        <v>205</v>
      </c>
      <c r="J365" s="274"/>
      <c r="K365" s="274" t="s">
        <v>211</v>
      </c>
      <c r="L365" s="274">
        <v>50</v>
      </c>
      <c r="M365" s="274" t="s">
        <v>370</v>
      </c>
      <c r="N365" s="275">
        <v>1050</v>
      </c>
      <c r="O365" s="275">
        <v>1050</v>
      </c>
      <c r="P365" s="275">
        <v>4100</v>
      </c>
      <c r="Q365" s="274">
        <v>2</v>
      </c>
      <c r="R365" s="274">
        <v>4</v>
      </c>
      <c r="S365" s="274" t="s">
        <v>354</v>
      </c>
      <c r="T365" s="276">
        <v>45005</v>
      </c>
      <c r="U365" s="276">
        <v>45037</v>
      </c>
      <c r="V365" s="274" t="s">
        <v>355</v>
      </c>
      <c r="W365" s="274"/>
      <c r="X365" s="274"/>
      <c r="Z365" s="146" t="str">
        <f t="shared" ca="1" si="5"/>
        <v/>
      </c>
      <c r="AA365" s="146" t="str">
        <f ca="1">IFERROR(IF(OR(OFFSET('S4'!#REF!,MATCH($A365,'S4'!$D$5:$D$2535,0)-1,6)="巻返し",OFFSET('S4'!#REF!,MATCH($A365,'S4'!$D$5:$D$2535,0)-1,6)="スリット"),SUMIF('S4'!$D$5:$D$2535,$A365,'S4'!$U$5:$U$2535),""),"")</f>
        <v/>
      </c>
      <c r="AB365" s="146" t="str">
        <f ca="1">IFERROR(IF(OR(OFFSET('S5'!#REF!,MATCH($A365,'S5'!$D$5:$D$2103,0)-1,6)="巻返し",OFFSET('S5'!#REF!,MATCH($A365,'S5'!$D$5:$D$2103,0)-1,6)="スリット"),SUMIF('S5'!$D$5:$D$2103,$A365,'S5'!$T$5:$T$2103),""),"")</f>
        <v/>
      </c>
    </row>
    <row r="366" spans="1:28" s="141" customFormat="1" ht="13.5" x14ac:dyDescent="0.15">
      <c r="A366" s="274">
        <v>3703994</v>
      </c>
      <c r="B366" s="274" t="s">
        <v>351</v>
      </c>
      <c r="C366" s="274" t="s">
        <v>352</v>
      </c>
      <c r="D366" s="274" t="s">
        <v>353</v>
      </c>
      <c r="E366" s="274" t="s">
        <v>116</v>
      </c>
      <c r="F366" s="274">
        <v>3</v>
      </c>
      <c r="G366" s="274" t="s">
        <v>19</v>
      </c>
      <c r="H366" s="274" t="s">
        <v>20</v>
      </c>
      <c r="I366" s="274" t="s">
        <v>205</v>
      </c>
      <c r="J366" s="274"/>
      <c r="K366" s="274" t="s">
        <v>212</v>
      </c>
      <c r="L366" s="274">
        <v>25</v>
      </c>
      <c r="M366" s="274" t="s">
        <v>213</v>
      </c>
      <c r="N366" s="275">
        <v>1120</v>
      </c>
      <c r="O366" s="275">
        <v>1120</v>
      </c>
      <c r="P366" s="275">
        <v>4000</v>
      </c>
      <c r="Q366" s="274">
        <v>2</v>
      </c>
      <c r="R366" s="274">
        <v>6</v>
      </c>
      <c r="S366" s="274" t="s">
        <v>354</v>
      </c>
      <c r="T366" s="276">
        <v>45005</v>
      </c>
      <c r="U366" s="276">
        <v>45033</v>
      </c>
      <c r="V366" s="274" t="s">
        <v>355</v>
      </c>
      <c r="W366" s="274"/>
      <c r="X366" s="274"/>
      <c r="Z366" s="146" t="str">
        <f t="shared" ca="1" si="5"/>
        <v/>
      </c>
      <c r="AA366" s="146" t="str">
        <f ca="1">IFERROR(IF(OR(OFFSET('S4'!#REF!,MATCH($A366,'S4'!$D$5:$D$2535,0)-1,6)="巻返し",OFFSET('S4'!#REF!,MATCH($A366,'S4'!$D$5:$D$2535,0)-1,6)="スリット"),SUMIF('S4'!$D$5:$D$2535,$A366,'S4'!$U$5:$U$2535),""),"")</f>
        <v/>
      </c>
      <c r="AB366" s="146" t="str">
        <f ca="1">IFERROR(IF(OR(OFFSET('S5'!#REF!,MATCH($A366,'S5'!$D$5:$D$2103,0)-1,6)="巻返し",OFFSET('S5'!#REF!,MATCH($A366,'S5'!$D$5:$D$2103,0)-1,6)="スリット"),SUMIF('S5'!$D$5:$D$2103,$A366,'S5'!$T$5:$T$2103),""),"")</f>
        <v/>
      </c>
    </row>
    <row r="367" spans="1:28" s="141" customFormat="1" ht="13.5" x14ac:dyDescent="0.15">
      <c r="A367" s="274">
        <v>3703995</v>
      </c>
      <c r="B367" s="274" t="s">
        <v>351</v>
      </c>
      <c r="C367" s="274" t="s">
        <v>352</v>
      </c>
      <c r="D367" s="274" t="s">
        <v>353</v>
      </c>
      <c r="E367" s="274" t="s">
        <v>116</v>
      </c>
      <c r="F367" s="274">
        <v>3</v>
      </c>
      <c r="G367" s="274" t="s">
        <v>19</v>
      </c>
      <c r="H367" s="274" t="s">
        <v>20</v>
      </c>
      <c r="I367" s="274" t="s">
        <v>205</v>
      </c>
      <c r="J367" s="274"/>
      <c r="K367" s="274" t="s">
        <v>216</v>
      </c>
      <c r="L367" s="274">
        <v>25</v>
      </c>
      <c r="M367" s="274" t="s">
        <v>217</v>
      </c>
      <c r="N367" s="275">
        <v>1005</v>
      </c>
      <c r="O367" s="275">
        <v>1000</v>
      </c>
      <c r="P367" s="275">
        <v>4000</v>
      </c>
      <c r="Q367" s="274">
        <v>2</v>
      </c>
      <c r="R367" s="274">
        <v>9</v>
      </c>
      <c r="S367" s="274" t="s">
        <v>354</v>
      </c>
      <c r="T367" s="276">
        <v>45005</v>
      </c>
      <c r="U367" s="276">
        <v>45037</v>
      </c>
      <c r="V367" s="274" t="s">
        <v>355</v>
      </c>
      <c r="W367" s="274"/>
      <c r="X367" s="274"/>
      <c r="Z367" s="146" t="str">
        <f t="shared" ca="1" si="5"/>
        <v/>
      </c>
      <c r="AA367" s="146" t="str">
        <f ca="1">IFERROR(IF(OR(OFFSET('S4'!#REF!,MATCH($A367,'S4'!$D$5:$D$2535,0)-1,6)="巻返し",OFFSET('S4'!#REF!,MATCH($A367,'S4'!$D$5:$D$2535,0)-1,6)="スリット"),SUMIF('S4'!$D$5:$D$2535,$A367,'S4'!$U$5:$U$2535),""),"")</f>
        <v/>
      </c>
      <c r="AB367" s="146" t="str">
        <f ca="1">IFERROR(IF(OR(OFFSET('S5'!#REF!,MATCH($A367,'S5'!$D$5:$D$2103,0)-1,6)="巻返し",OFFSET('S5'!#REF!,MATCH($A367,'S5'!$D$5:$D$2103,0)-1,6)="スリット"),SUMIF('S5'!$D$5:$D$2103,$A367,'S5'!$T$5:$T$2103),""),"")</f>
        <v/>
      </c>
    </row>
    <row r="368" spans="1:28" s="141" customFormat="1" ht="13.5" x14ac:dyDescent="0.15">
      <c r="A368" s="274">
        <v>3703996</v>
      </c>
      <c r="B368" s="274" t="s">
        <v>351</v>
      </c>
      <c r="C368" s="274" t="s">
        <v>352</v>
      </c>
      <c r="D368" s="274" t="s">
        <v>353</v>
      </c>
      <c r="E368" s="274" t="s">
        <v>116</v>
      </c>
      <c r="F368" s="274">
        <v>3</v>
      </c>
      <c r="G368" s="274" t="s">
        <v>19</v>
      </c>
      <c r="H368" s="274" t="s">
        <v>20</v>
      </c>
      <c r="I368" s="274" t="s">
        <v>205</v>
      </c>
      <c r="J368" s="274"/>
      <c r="K368" s="274" t="s">
        <v>216</v>
      </c>
      <c r="L368" s="274">
        <v>50</v>
      </c>
      <c r="M368" s="274" t="s">
        <v>217</v>
      </c>
      <c r="N368" s="275">
        <v>1120</v>
      </c>
      <c r="O368" s="275">
        <v>1120</v>
      </c>
      <c r="P368" s="275">
        <v>5000</v>
      </c>
      <c r="Q368" s="274">
        <v>2</v>
      </c>
      <c r="R368" s="274">
        <v>12</v>
      </c>
      <c r="S368" s="274" t="s">
        <v>354</v>
      </c>
      <c r="T368" s="276">
        <v>45005</v>
      </c>
      <c r="U368" s="276">
        <v>45037</v>
      </c>
      <c r="V368" s="274" t="s">
        <v>355</v>
      </c>
      <c r="W368" s="274"/>
      <c r="X368" s="274"/>
      <c r="Z368" s="146" t="str">
        <f t="shared" ca="1" si="5"/>
        <v/>
      </c>
      <c r="AA368" s="146" t="str">
        <f ca="1">IFERROR(IF(OR(OFFSET('S4'!#REF!,MATCH($A368,'S4'!$D$5:$D$2535,0)-1,6)="巻返し",OFFSET('S4'!#REF!,MATCH($A368,'S4'!$D$5:$D$2535,0)-1,6)="スリット"),SUMIF('S4'!$D$5:$D$2535,$A368,'S4'!$U$5:$U$2535),""),"")</f>
        <v/>
      </c>
      <c r="AB368" s="146" t="str">
        <f ca="1">IFERROR(IF(OR(OFFSET('S5'!#REF!,MATCH($A368,'S5'!$D$5:$D$2103,0)-1,6)="巻返し",OFFSET('S5'!#REF!,MATCH($A368,'S5'!$D$5:$D$2103,0)-1,6)="スリット"),SUMIF('S5'!$D$5:$D$2103,$A368,'S5'!$T$5:$T$2103),""),"")</f>
        <v/>
      </c>
    </row>
    <row r="369" spans="1:28" s="141" customFormat="1" ht="13.5" x14ac:dyDescent="0.15">
      <c r="A369" s="274">
        <v>3703997</v>
      </c>
      <c r="B369" s="274" t="s">
        <v>351</v>
      </c>
      <c r="C369" s="274" t="s">
        <v>352</v>
      </c>
      <c r="D369" s="274" t="s">
        <v>353</v>
      </c>
      <c r="E369" s="274" t="s">
        <v>116</v>
      </c>
      <c r="F369" s="274">
        <v>3</v>
      </c>
      <c r="G369" s="274" t="s">
        <v>19</v>
      </c>
      <c r="H369" s="274" t="s">
        <v>20</v>
      </c>
      <c r="I369" s="274" t="s">
        <v>205</v>
      </c>
      <c r="J369" s="274"/>
      <c r="K369" s="274" t="s">
        <v>216</v>
      </c>
      <c r="L369" s="274">
        <v>50</v>
      </c>
      <c r="M369" s="274" t="s">
        <v>217</v>
      </c>
      <c r="N369" s="275">
        <v>1120</v>
      </c>
      <c r="O369" s="275">
        <v>1120</v>
      </c>
      <c r="P369" s="275">
        <v>5000</v>
      </c>
      <c r="Q369" s="274">
        <v>2</v>
      </c>
      <c r="R369" s="274">
        <v>12</v>
      </c>
      <c r="S369" s="274" t="s">
        <v>354</v>
      </c>
      <c r="T369" s="276">
        <v>45005</v>
      </c>
      <c r="U369" s="276">
        <v>45058</v>
      </c>
      <c r="V369" s="274" t="s">
        <v>355</v>
      </c>
      <c r="W369" s="274"/>
      <c r="X369" s="274"/>
      <c r="Z369" s="146" t="str">
        <f t="shared" ca="1" si="5"/>
        <v/>
      </c>
      <c r="AA369" s="146" t="str">
        <f ca="1">IFERROR(IF(OR(OFFSET('S4'!#REF!,MATCH($A369,'S4'!$D$5:$D$2535,0)-1,6)="巻返し",OFFSET('S4'!#REF!,MATCH($A369,'S4'!$D$5:$D$2535,0)-1,6)="スリット"),SUMIF('S4'!$D$5:$D$2535,$A369,'S4'!$U$5:$U$2535),""),"")</f>
        <v/>
      </c>
      <c r="AB369" s="146" t="str">
        <f ca="1">IFERROR(IF(OR(OFFSET('S5'!#REF!,MATCH($A369,'S5'!$D$5:$D$2103,0)-1,6)="巻返し",OFFSET('S5'!#REF!,MATCH($A369,'S5'!$D$5:$D$2103,0)-1,6)="スリット"),SUMIF('S5'!$D$5:$D$2103,$A369,'S5'!$T$5:$T$2103),""),"")</f>
        <v/>
      </c>
    </row>
    <row r="370" spans="1:28" s="141" customFormat="1" ht="13.5" x14ac:dyDescent="0.15">
      <c r="A370" s="274">
        <v>3703998</v>
      </c>
      <c r="B370" s="274" t="s">
        <v>351</v>
      </c>
      <c r="C370" s="274" t="s">
        <v>352</v>
      </c>
      <c r="D370" s="274" t="s">
        <v>353</v>
      </c>
      <c r="E370" s="274" t="s">
        <v>116</v>
      </c>
      <c r="F370" s="274">
        <v>3</v>
      </c>
      <c r="G370" s="274" t="s">
        <v>19</v>
      </c>
      <c r="H370" s="274" t="s">
        <v>20</v>
      </c>
      <c r="I370" s="274" t="s">
        <v>205</v>
      </c>
      <c r="J370" s="274"/>
      <c r="K370" s="274" t="s">
        <v>216</v>
      </c>
      <c r="L370" s="274">
        <v>50</v>
      </c>
      <c r="M370" s="274" t="s">
        <v>217</v>
      </c>
      <c r="N370" s="275">
        <v>1120</v>
      </c>
      <c r="O370" s="275">
        <v>1120</v>
      </c>
      <c r="P370" s="275">
        <v>5000</v>
      </c>
      <c r="Q370" s="274">
        <v>2</v>
      </c>
      <c r="R370" s="274">
        <v>12</v>
      </c>
      <c r="S370" s="274" t="s">
        <v>354</v>
      </c>
      <c r="T370" s="276">
        <v>45005</v>
      </c>
      <c r="U370" s="276">
        <v>45065</v>
      </c>
      <c r="V370" s="274" t="s">
        <v>355</v>
      </c>
      <c r="W370" s="274"/>
      <c r="X370" s="274"/>
      <c r="Z370" s="146" t="str">
        <f t="shared" ca="1" si="5"/>
        <v/>
      </c>
      <c r="AA370" s="146" t="str">
        <f ca="1">IFERROR(IF(OR(OFFSET('S4'!#REF!,MATCH($A370,'S4'!$D$5:$D$2535,0)-1,6)="巻返し",OFFSET('S4'!#REF!,MATCH($A370,'S4'!$D$5:$D$2535,0)-1,6)="スリット"),SUMIF('S4'!$D$5:$D$2535,$A370,'S4'!$U$5:$U$2535),""),"")</f>
        <v/>
      </c>
      <c r="AB370" s="146" t="str">
        <f ca="1">IFERROR(IF(OR(OFFSET('S5'!#REF!,MATCH($A370,'S5'!$D$5:$D$2103,0)-1,6)="巻返し",OFFSET('S5'!#REF!,MATCH($A370,'S5'!$D$5:$D$2103,0)-1,6)="スリット"),SUMIF('S5'!$D$5:$D$2103,$A370,'S5'!$T$5:$T$2103),""),"")</f>
        <v/>
      </c>
    </row>
    <row r="371" spans="1:28" s="141" customFormat="1" ht="13.5" x14ac:dyDescent="0.15">
      <c r="A371" s="274">
        <v>3703999</v>
      </c>
      <c r="B371" s="274" t="s">
        <v>351</v>
      </c>
      <c r="C371" s="274" t="s">
        <v>352</v>
      </c>
      <c r="D371" s="274" t="s">
        <v>353</v>
      </c>
      <c r="E371" s="274" t="s">
        <v>116</v>
      </c>
      <c r="F371" s="274">
        <v>3</v>
      </c>
      <c r="G371" s="274" t="s">
        <v>19</v>
      </c>
      <c r="H371" s="274" t="s">
        <v>20</v>
      </c>
      <c r="I371" s="274" t="s">
        <v>205</v>
      </c>
      <c r="J371" s="274"/>
      <c r="K371" s="274" t="s">
        <v>218</v>
      </c>
      <c r="L371" s="274">
        <v>25</v>
      </c>
      <c r="M371" s="274" t="s">
        <v>219</v>
      </c>
      <c r="N371" s="275">
        <v>1005</v>
      </c>
      <c r="O371" s="275">
        <v>1000</v>
      </c>
      <c r="P371" s="275">
        <v>4000</v>
      </c>
      <c r="Q371" s="274">
        <v>2</v>
      </c>
      <c r="R371" s="274">
        <v>2</v>
      </c>
      <c r="S371" s="274" t="s">
        <v>354</v>
      </c>
      <c r="T371" s="276">
        <v>45005</v>
      </c>
      <c r="U371" s="276">
        <v>45037</v>
      </c>
      <c r="V371" s="274" t="s">
        <v>355</v>
      </c>
      <c r="W371" s="274"/>
      <c r="X371" s="274"/>
      <c r="Z371" s="146" t="str">
        <f t="shared" ca="1" si="5"/>
        <v/>
      </c>
      <c r="AA371" s="146" t="str">
        <f ca="1">IFERROR(IF(OR(OFFSET('S4'!#REF!,MATCH($A371,'S4'!$D$5:$D$2535,0)-1,6)="巻返し",OFFSET('S4'!#REF!,MATCH($A371,'S4'!$D$5:$D$2535,0)-1,6)="スリット"),SUMIF('S4'!$D$5:$D$2535,$A371,'S4'!$U$5:$U$2535),""),"")</f>
        <v/>
      </c>
      <c r="AB371" s="146" t="str">
        <f ca="1">IFERROR(IF(OR(OFFSET('S5'!#REF!,MATCH($A371,'S5'!$D$5:$D$2103,0)-1,6)="巻返し",OFFSET('S5'!#REF!,MATCH($A371,'S5'!$D$5:$D$2103,0)-1,6)="スリット"),SUMIF('S5'!$D$5:$D$2103,$A371,'S5'!$T$5:$T$2103),""),"")</f>
        <v/>
      </c>
    </row>
    <row r="372" spans="1:28" s="141" customFormat="1" ht="13.5" x14ac:dyDescent="0.15">
      <c r="A372" s="274">
        <v>3704000</v>
      </c>
      <c r="B372" s="274" t="s">
        <v>351</v>
      </c>
      <c r="C372" s="274" t="s">
        <v>352</v>
      </c>
      <c r="D372" s="274" t="s">
        <v>353</v>
      </c>
      <c r="E372" s="274" t="s">
        <v>116</v>
      </c>
      <c r="F372" s="274">
        <v>3</v>
      </c>
      <c r="G372" s="274" t="s">
        <v>19</v>
      </c>
      <c r="H372" s="274" t="s">
        <v>20</v>
      </c>
      <c r="I372" s="274" t="s">
        <v>205</v>
      </c>
      <c r="J372" s="274"/>
      <c r="K372" s="274" t="s">
        <v>218</v>
      </c>
      <c r="L372" s="274">
        <v>50</v>
      </c>
      <c r="M372" s="274" t="s">
        <v>219</v>
      </c>
      <c r="N372" s="275">
        <v>1000</v>
      </c>
      <c r="O372" s="275">
        <v>1000</v>
      </c>
      <c r="P372" s="275">
        <v>4000</v>
      </c>
      <c r="Q372" s="274">
        <v>2</v>
      </c>
      <c r="R372" s="274">
        <v>15</v>
      </c>
      <c r="S372" s="274" t="s">
        <v>354</v>
      </c>
      <c r="T372" s="276">
        <v>45005</v>
      </c>
      <c r="U372" s="276">
        <v>45037</v>
      </c>
      <c r="V372" s="274" t="s">
        <v>355</v>
      </c>
      <c r="W372" s="274"/>
      <c r="X372" s="274"/>
      <c r="Z372" s="146" t="str">
        <f t="shared" ca="1" si="5"/>
        <v/>
      </c>
      <c r="AA372" s="146" t="str">
        <f ca="1">IFERROR(IF(OR(OFFSET('S4'!#REF!,MATCH($A372,'S4'!$D$5:$D$2535,0)-1,6)="巻返し",OFFSET('S4'!#REF!,MATCH($A372,'S4'!$D$5:$D$2535,0)-1,6)="スリット"),SUMIF('S4'!$D$5:$D$2535,$A372,'S4'!$U$5:$U$2535),""),"")</f>
        <v/>
      </c>
      <c r="AB372" s="146" t="str">
        <f ca="1">IFERROR(IF(OR(OFFSET('S5'!#REF!,MATCH($A372,'S5'!$D$5:$D$2103,0)-1,6)="巻返し",OFFSET('S5'!#REF!,MATCH($A372,'S5'!$D$5:$D$2103,0)-1,6)="スリット"),SUMIF('S5'!$D$5:$D$2103,$A372,'S5'!$T$5:$T$2103),""),"")</f>
        <v/>
      </c>
    </row>
    <row r="373" spans="1:28" s="141" customFormat="1" ht="13.5" x14ac:dyDescent="0.15">
      <c r="A373" s="274">
        <v>3704001</v>
      </c>
      <c r="B373" s="274" t="s">
        <v>351</v>
      </c>
      <c r="C373" s="274" t="s">
        <v>352</v>
      </c>
      <c r="D373" s="274" t="s">
        <v>353</v>
      </c>
      <c r="E373" s="274" t="s">
        <v>116</v>
      </c>
      <c r="F373" s="274">
        <v>3</v>
      </c>
      <c r="G373" s="274" t="s">
        <v>19</v>
      </c>
      <c r="H373" s="274" t="s">
        <v>28</v>
      </c>
      <c r="I373" s="274" t="s">
        <v>205</v>
      </c>
      <c r="J373" s="274"/>
      <c r="K373" s="274" t="s">
        <v>224</v>
      </c>
      <c r="L373" s="274">
        <v>50</v>
      </c>
      <c r="M373" s="274" t="s">
        <v>225</v>
      </c>
      <c r="N373" s="275">
        <v>1120</v>
      </c>
      <c r="O373" s="275">
        <v>1120</v>
      </c>
      <c r="P373" s="275">
        <v>5000</v>
      </c>
      <c r="Q373" s="274">
        <v>2</v>
      </c>
      <c r="R373" s="274">
        <v>2</v>
      </c>
      <c r="S373" s="274" t="s">
        <v>354</v>
      </c>
      <c r="T373" s="276">
        <v>45005</v>
      </c>
      <c r="U373" s="276">
        <v>45040</v>
      </c>
      <c r="V373" s="274" t="s">
        <v>355</v>
      </c>
      <c r="W373" s="274"/>
      <c r="X373" s="274"/>
      <c r="Z373" s="146" t="str">
        <f t="shared" ca="1" si="5"/>
        <v/>
      </c>
      <c r="AA373" s="146" t="str">
        <f ca="1">IFERROR(IF(OR(OFFSET('S4'!#REF!,MATCH($A373,'S4'!$D$5:$D$2535,0)-1,6)="巻返し",OFFSET('S4'!#REF!,MATCH($A373,'S4'!$D$5:$D$2535,0)-1,6)="スリット"),SUMIF('S4'!$D$5:$D$2535,$A373,'S4'!$U$5:$U$2535),""),"")</f>
        <v/>
      </c>
      <c r="AB373" s="146" t="str">
        <f ca="1">IFERROR(IF(OR(OFFSET('S5'!#REF!,MATCH($A373,'S5'!$D$5:$D$2103,0)-1,6)="巻返し",OFFSET('S5'!#REF!,MATCH($A373,'S5'!$D$5:$D$2103,0)-1,6)="スリット"),SUMIF('S5'!$D$5:$D$2103,$A373,'S5'!$T$5:$T$2103),""),"")</f>
        <v/>
      </c>
    </row>
    <row r="374" spans="1:28" s="141" customFormat="1" ht="13.5" x14ac:dyDescent="0.15">
      <c r="A374" s="274">
        <v>3704002</v>
      </c>
      <c r="B374" s="274" t="s">
        <v>351</v>
      </c>
      <c r="C374" s="274" t="s">
        <v>364</v>
      </c>
      <c r="D374" s="274" t="s">
        <v>353</v>
      </c>
      <c r="E374" s="274" t="s">
        <v>171</v>
      </c>
      <c r="F374" s="274" t="s">
        <v>1073</v>
      </c>
      <c r="G374" s="274" t="s">
        <v>19</v>
      </c>
      <c r="H374" s="274" t="s">
        <v>20</v>
      </c>
      <c r="I374" s="274" t="s">
        <v>165</v>
      </c>
      <c r="J374" s="274"/>
      <c r="K374" s="274" t="s">
        <v>169</v>
      </c>
      <c r="L374" s="274">
        <v>50</v>
      </c>
      <c r="M374" s="274" t="s">
        <v>170</v>
      </c>
      <c r="N374" s="275">
        <v>1190</v>
      </c>
      <c r="O374" s="275">
        <v>1190</v>
      </c>
      <c r="P374" s="275">
        <v>6000</v>
      </c>
      <c r="Q374" s="274">
        <v>2</v>
      </c>
      <c r="R374" s="274">
        <v>1</v>
      </c>
      <c r="S374" s="274" t="s">
        <v>354</v>
      </c>
      <c r="T374" s="276">
        <v>45005</v>
      </c>
      <c r="U374" s="276">
        <v>45031</v>
      </c>
      <c r="V374" s="274" t="s">
        <v>355</v>
      </c>
      <c r="W374" s="274"/>
      <c r="X374" s="274"/>
      <c r="Z374" s="146" t="str">
        <f t="shared" ca="1" si="5"/>
        <v/>
      </c>
      <c r="AA374" s="146" t="str">
        <f ca="1">IFERROR(IF(OR(OFFSET('S4'!#REF!,MATCH($A374,'S4'!$D$5:$D$2535,0)-1,6)="巻返し",OFFSET('S4'!#REF!,MATCH($A374,'S4'!$D$5:$D$2535,0)-1,6)="スリット"),SUMIF('S4'!$D$5:$D$2535,$A374,'S4'!$U$5:$U$2535),""),"")</f>
        <v/>
      </c>
      <c r="AB374" s="146" t="str">
        <f ca="1">IFERROR(IF(OR(OFFSET('S5'!#REF!,MATCH($A374,'S5'!$D$5:$D$2103,0)-1,6)="巻返し",OFFSET('S5'!#REF!,MATCH($A374,'S5'!$D$5:$D$2103,0)-1,6)="スリット"),SUMIF('S5'!$D$5:$D$2103,$A374,'S5'!$T$5:$T$2103),""),"")</f>
        <v/>
      </c>
    </row>
    <row r="375" spans="1:28" s="141" customFormat="1" ht="13.5" x14ac:dyDescent="0.15">
      <c r="A375" s="274">
        <v>3704003</v>
      </c>
      <c r="B375" s="274" t="s">
        <v>351</v>
      </c>
      <c r="C375" s="274" t="s">
        <v>364</v>
      </c>
      <c r="D375" s="274" t="s">
        <v>353</v>
      </c>
      <c r="E375" s="274" t="s">
        <v>171</v>
      </c>
      <c r="F375" s="274" t="s">
        <v>1073</v>
      </c>
      <c r="G375" s="274" t="s">
        <v>19</v>
      </c>
      <c r="H375" s="274" t="s">
        <v>20</v>
      </c>
      <c r="I375" s="274" t="s">
        <v>165</v>
      </c>
      <c r="J375" s="274"/>
      <c r="K375" s="274" t="s">
        <v>169</v>
      </c>
      <c r="L375" s="274">
        <v>50</v>
      </c>
      <c r="M375" s="274" t="s">
        <v>170</v>
      </c>
      <c r="N375" s="275">
        <v>1190</v>
      </c>
      <c r="O375" s="275">
        <v>1190</v>
      </c>
      <c r="P375" s="275">
        <v>6000</v>
      </c>
      <c r="Q375" s="274">
        <v>2</v>
      </c>
      <c r="R375" s="274">
        <v>10</v>
      </c>
      <c r="S375" s="274" t="s">
        <v>354</v>
      </c>
      <c r="T375" s="276">
        <v>45005</v>
      </c>
      <c r="U375" s="276">
        <v>45031</v>
      </c>
      <c r="V375" s="274" t="s">
        <v>355</v>
      </c>
      <c r="W375" s="274"/>
      <c r="X375" s="274"/>
      <c r="Z375" s="146" t="str">
        <f t="shared" ca="1" si="5"/>
        <v/>
      </c>
      <c r="AA375" s="146" t="str">
        <f ca="1">IFERROR(IF(OR(OFFSET('S4'!#REF!,MATCH($A375,'S4'!$D$5:$D$2535,0)-1,6)="巻返し",OFFSET('S4'!#REF!,MATCH($A375,'S4'!$D$5:$D$2535,0)-1,6)="スリット"),SUMIF('S4'!$D$5:$D$2535,$A375,'S4'!$U$5:$U$2535),""),"")</f>
        <v/>
      </c>
      <c r="AB375" s="146" t="str">
        <f ca="1">IFERROR(IF(OR(OFFSET('S5'!#REF!,MATCH($A375,'S5'!$D$5:$D$2103,0)-1,6)="巻返し",OFFSET('S5'!#REF!,MATCH($A375,'S5'!$D$5:$D$2103,0)-1,6)="スリット"),SUMIF('S5'!$D$5:$D$2103,$A375,'S5'!$T$5:$T$2103),""),"")</f>
        <v/>
      </c>
    </row>
    <row r="376" spans="1:28" s="141" customFormat="1" ht="13.5" x14ac:dyDescent="0.15">
      <c r="A376" s="274">
        <v>3704004</v>
      </c>
      <c r="B376" s="274" t="s">
        <v>351</v>
      </c>
      <c r="C376" s="274" t="s">
        <v>364</v>
      </c>
      <c r="D376" s="274" t="s">
        <v>353</v>
      </c>
      <c r="E376" s="274" t="s">
        <v>171</v>
      </c>
      <c r="F376" s="274">
        <v>3</v>
      </c>
      <c r="G376" s="274" t="s">
        <v>19</v>
      </c>
      <c r="H376" s="274" t="s">
        <v>20</v>
      </c>
      <c r="I376" s="274" t="s">
        <v>165</v>
      </c>
      <c r="J376" s="274"/>
      <c r="K376" s="274" t="s">
        <v>180</v>
      </c>
      <c r="L376" s="274">
        <v>50</v>
      </c>
      <c r="M376" s="274" t="s">
        <v>181</v>
      </c>
      <c r="N376" s="275">
        <v>1200</v>
      </c>
      <c r="O376" s="275">
        <v>1190</v>
      </c>
      <c r="P376" s="275">
        <v>6000</v>
      </c>
      <c r="Q376" s="274">
        <v>2</v>
      </c>
      <c r="R376" s="274">
        <v>8</v>
      </c>
      <c r="S376" s="274" t="s">
        <v>354</v>
      </c>
      <c r="T376" s="276">
        <v>45005</v>
      </c>
      <c r="U376" s="276">
        <v>45031</v>
      </c>
      <c r="V376" s="274" t="s">
        <v>355</v>
      </c>
      <c r="W376" s="274"/>
      <c r="X376" s="274"/>
      <c r="Z376" s="146" t="str">
        <f t="shared" ca="1" si="5"/>
        <v/>
      </c>
      <c r="AA376" s="146" t="str">
        <f ca="1">IFERROR(IF(OR(OFFSET('S4'!#REF!,MATCH($A376,'S4'!$D$5:$D$2535,0)-1,6)="巻返し",OFFSET('S4'!#REF!,MATCH($A376,'S4'!$D$5:$D$2535,0)-1,6)="スリット"),SUMIF('S4'!$D$5:$D$2535,$A376,'S4'!$U$5:$U$2535),""),"")</f>
        <v/>
      </c>
      <c r="AB376" s="146" t="str">
        <f ca="1">IFERROR(IF(OR(OFFSET('S5'!#REF!,MATCH($A376,'S5'!$D$5:$D$2103,0)-1,6)="巻返し",OFFSET('S5'!#REF!,MATCH($A376,'S5'!$D$5:$D$2103,0)-1,6)="スリット"),SUMIF('S5'!$D$5:$D$2103,$A376,'S5'!$T$5:$T$2103),""),"")</f>
        <v/>
      </c>
    </row>
    <row r="377" spans="1:28" s="141" customFormat="1" ht="13.5" x14ac:dyDescent="0.15">
      <c r="A377" s="274">
        <v>3704005</v>
      </c>
      <c r="B377" s="274" t="s">
        <v>423</v>
      </c>
      <c r="C377" s="274" t="s">
        <v>364</v>
      </c>
      <c r="D377" s="274" t="s">
        <v>353</v>
      </c>
      <c r="E377" s="274" t="s">
        <v>316</v>
      </c>
      <c r="F377" s="274">
        <v>3</v>
      </c>
      <c r="G377" s="274" t="s">
        <v>265</v>
      </c>
      <c r="H377" s="274" t="s">
        <v>20</v>
      </c>
      <c r="I377" s="274" t="s">
        <v>312</v>
      </c>
      <c r="J377" s="274"/>
      <c r="K377" s="274" t="s">
        <v>317</v>
      </c>
      <c r="L377" s="274">
        <v>50</v>
      </c>
      <c r="M377" s="274" t="s">
        <v>318</v>
      </c>
      <c r="N377" s="274">
        <v>680</v>
      </c>
      <c r="O377" s="274">
        <v>680</v>
      </c>
      <c r="P377" s="275">
        <v>2000</v>
      </c>
      <c r="Q377" s="274">
        <v>2</v>
      </c>
      <c r="R377" s="274">
        <v>4</v>
      </c>
      <c r="S377" s="274" t="s">
        <v>354</v>
      </c>
      <c r="T377" s="276">
        <v>45005</v>
      </c>
      <c r="U377" s="276">
        <v>45031</v>
      </c>
      <c r="V377" s="274" t="s">
        <v>355</v>
      </c>
      <c r="W377" s="274"/>
      <c r="X377" s="274"/>
      <c r="Z377" s="146" t="str">
        <f t="shared" ca="1" si="5"/>
        <v/>
      </c>
      <c r="AA377" s="146" t="str">
        <f ca="1">IFERROR(IF(OR(OFFSET('S4'!#REF!,MATCH($A377,'S4'!$D$5:$D$2535,0)-1,6)="巻返し",OFFSET('S4'!#REF!,MATCH($A377,'S4'!$D$5:$D$2535,0)-1,6)="スリット"),SUMIF('S4'!$D$5:$D$2535,$A377,'S4'!$U$5:$U$2535),""),"")</f>
        <v/>
      </c>
      <c r="AB377" s="146" t="str">
        <f ca="1">IFERROR(IF(OR(OFFSET('S5'!#REF!,MATCH($A377,'S5'!$D$5:$D$2103,0)-1,6)="巻返し",OFFSET('S5'!#REF!,MATCH($A377,'S5'!$D$5:$D$2103,0)-1,6)="スリット"),SUMIF('S5'!$D$5:$D$2103,$A377,'S5'!$T$5:$T$2103),""),"")</f>
        <v/>
      </c>
    </row>
    <row r="378" spans="1:28" s="141" customFormat="1" ht="13.5" x14ac:dyDescent="0.15">
      <c r="A378" s="274">
        <v>3704008</v>
      </c>
      <c r="B378" s="274" t="s">
        <v>351</v>
      </c>
      <c r="C378" s="274" t="s">
        <v>364</v>
      </c>
      <c r="D378" s="274" t="s">
        <v>353</v>
      </c>
      <c r="E378" s="274" t="s">
        <v>148</v>
      </c>
      <c r="F378" s="274">
        <v>3</v>
      </c>
      <c r="G378" s="274" t="s">
        <v>19</v>
      </c>
      <c r="H378" s="274" t="s">
        <v>20</v>
      </c>
      <c r="I378" s="274" t="s">
        <v>143</v>
      </c>
      <c r="J378" s="274"/>
      <c r="K378" s="274" t="s">
        <v>149</v>
      </c>
      <c r="L378" s="274">
        <v>50</v>
      </c>
      <c r="M378" s="274" t="s">
        <v>150</v>
      </c>
      <c r="N378" s="275">
        <v>1120</v>
      </c>
      <c r="O378" s="275">
        <v>1120</v>
      </c>
      <c r="P378" s="275">
        <v>6000</v>
      </c>
      <c r="Q378" s="274">
        <v>2</v>
      </c>
      <c r="R378" s="274">
        <v>2</v>
      </c>
      <c r="S378" s="274" t="s">
        <v>354</v>
      </c>
      <c r="T378" s="276">
        <v>45005</v>
      </c>
      <c r="U378" s="276">
        <v>45031</v>
      </c>
      <c r="V378" s="274" t="s">
        <v>355</v>
      </c>
      <c r="W378" s="274"/>
      <c r="X378" s="274"/>
      <c r="Z378" s="146" t="str">
        <f t="shared" ca="1" si="5"/>
        <v/>
      </c>
      <c r="AA378" s="146" t="str">
        <f ca="1">IFERROR(IF(OR(OFFSET('S4'!#REF!,MATCH($A378,'S4'!$D$5:$D$2535,0)-1,6)="巻返し",OFFSET('S4'!#REF!,MATCH($A378,'S4'!$D$5:$D$2535,0)-1,6)="スリット"),SUMIF('S4'!$D$5:$D$2535,$A378,'S4'!$U$5:$U$2535),""),"")</f>
        <v/>
      </c>
      <c r="AB378" s="146" t="str">
        <f ca="1">IFERROR(IF(OR(OFFSET('S5'!#REF!,MATCH($A378,'S5'!$D$5:$D$2103,0)-1,6)="巻返し",OFFSET('S5'!#REF!,MATCH($A378,'S5'!$D$5:$D$2103,0)-1,6)="スリット"),SUMIF('S5'!$D$5:$D$2103,$A378,'S5'!$T$5:$T$2103),""),"")</f>
        <v/>
      </c>
    </row>
    <row r="379" spans="1:28" s="141" customFormat="1" ht="13.5" x14ac:dyDescent="0.15">
      <c r="A379" s="274">
        <v>3704463</v>
      </c>
      <c r="B379" s="274" t="s">
        <v>351</v>
      </c>
      <c r="C379" s="274" t="s">
        <v>364</v>
      </c>
      <c r="D379" s="274" t="s">
        <v>353</v>
      </c>
      <c r="E379" s="274" t="s">
        <v>171</v>
      </c>
      <c r="F379" s="274">
        <v>3</v>
      </c>
      <c r="G379" s="274" t="s">
        <v>19</v>
      </c>
      <c r="H379" s="274" t="s">
        <v>20</v>
      </c>
      <c r="I379" s="274" t="s">
        <v>165</v>
      </c>
      <c r="J379" s="274"/>
      <c r="K379" s="274" t="s">
        <v>180</v>
      </c>
      <c r="L379" s="274">
        <v>50</v>
      </c>
      <c r="M379" s="274" t="s">
        <v>181</v>
      </c>
      <c r="N379" s="275">
        <v>1200</v>
      </c>
      <c r="O379" s="275">
        <v>1190</v>
      </c>
      <c r="P379" s="275">
        <v>6000</v>
      </c>
      <c r="Q379" s="274">
        <v>2</v>
      </c>
      <c r="R379" s="274">
        <v>4</v>
      </c>
      <c r="S379" s="274" t="s">
        <v>354</v>
      </c>
      <c r="T379" s="276">
        <v>45005</v>
      </c>
      <c r="U379" s="276">
        <v>45031</v>
      </c>
      <c r="V379" s="274" t="s">
        <v>355</v>
      </c>
      <c r="W379" s="274"/>
      <c r="X379" s="274"/>
      <c r="Z379" s="146" t="str">
        <f t="shared" ca="1" si="5"/>
        <v/>
      </c>
      <c r="AA379" s="146" t="str">
        <f ca="1">IFERROR(IF(OR(OFFSET('S4'!#REF!,MATCH($A379,'S4'!$D$5:$D$2535,0)-1,6)="巻返し",OFFSET('S4'!#REF!,MATCH($A379,'S4'!$D$5:$D$2535,0)-1,6)="スリット"),SUMIF('S4'!$D$5:$D$2535,$A379,'S4'!$U$5:$U$2535),""),"")</f>
        <v/>
      </c>
      <c r="AB379" s="146" t="str">
        <f ca="1">IFERROR(IF(OR(OFFSET('S5'!#REF!,MATCH($A379,'S5'!$D$5:$D$2103,0)-1,6)="巻返し",OFFSET('S5'!#REF!,MATCH($A379,'S5'!$D$5:$D$2103,0)-1,6)="スリット"),SUMIF('S5'!$D$5:$D$2103,$A379,'S5'!$T$5:$T$2103),""),"")</f>
        <v/>
      </c>
    </row>
    <row r="380" spans="1:28" s="141" customFormat="1" ht="13.5" x14ac:dyDescent="0.15">
      <c r="A380" s="274">
        <v>3706174</v>
      </c>
      <c r="B380" s="274" t="s">
        <v>351</v>
      </c>
      <c r="C380" s="274" t="s">
        <v>352</v>
      </c>
      <c r="D380" s="274" t="s">
        <v>353</v>
      </c>
      <c r="E380" s="274" t="s">
        <v>116</v>
      </c>
      <c r="F380" s="274">
        <v>3</v>
      </c>
      <c r="G380" s="274" t="s">
        <v>19</v>
      </c>
      <c r="H380" s="274" t="s">
        <v>20</v>
      </c>
      <c r="I380" s="274" t="s">
        <v>205</v>
      </c>
      <c r="J380" s="274"/>
      <c r="K380" s="274" t="s">
        <v>216</v>
      </c>
      <c r="L380" s="274">
        <v>50</v>
      </c>
      <c r="M380" s="274" t="s">
        <v>217</v>
      </c>
      <c r="N380" s="275">
        <v>1120</v>
      </c>
      <c r="O380" s="275">
        <v>1120</v>
      </c>
      <c r="P380" s="275">
        <v>5000</v>
      </c>
      <c r="Q380" s="274">
        <v>2</v>
      </c>
      <c r="R380" s="274">
        <v>12</v>
      </c>
      <c r="S380" s="274" t="s">
        <v>354</v>
      </c>
      <c r="T380" s="276">
        <v>45015</v>
      </c>
      <c r="U380" s="276">
        <v>45065</v>
      </c>
      <c r="V380" s="274" t="s">
        <v>355</v>
      </c>
      <c r="W380" s="274"/>
      <c r="X380" s="274"/>
      <c r="Z380" s="146" t="str">
        <f t="shared" ca="1" si="5"/>
        <v/>
      </c>
      <c r="AA380" s="146" t="str">
        <f ca="1">IFERROR(IF(OR(OFFSET('S4'!#REF!,MATCH($A380,'S4'!$D$5:$D$2535,0)-1,6)="巻返し",OFFSET('S4'!#REF!,MATCH($A380,'S4'!$D$5:$D$2535,0)-1,6)="スリット"),SUMIF('S4'!$D$5:$D$2535,$A380,'S4'!$U$5:$U$2535),""),"")</f>
        <v/>
      </c>
      <c r="AB380" s="146" t="str">
        <f ca="1">IFERROR(IF(OR(OFFSET('S5'!#REF!,MATCH($A380,'S5'!$D$5:$D$2103,0)-1,6)="巻返し",OFFSET('S5'!#REF!,MATCH($A380,'S5'!$D$5:$D$2103,0)-1,6)="スリット"),SUMIF('S5'!$D$5:$D$2103,$A380,'S5'!$T$5:$T$2103),""),"")</f>
        <v/>
      </c>
    </row>
    <row r="381" spans="1:28" s="141" customFormat="1" ht="13.5" x14ac:dyDescent="0.15">
      <c r="A381" s="274">
        <v>3706175</v>
      </c>
      <c r="B381" s="274" t="s">
        <v>351</v>
      </c>
      <c r="C381" s="274" t="s">
        <v>352</v>
      </c>
      <c r="D381" s="274" t="s">
        <v>353</v>
      </c>
      <c r="E381" s="274" t="s">
        <v>116</v>
      </c>
      <c r="F381" s="274">
        <v>3</v>
      </c>
      <c r="G381" s="274" t="s">
        <v>19</v>
      </c>
      <c r="H381" s="274" t="s">
        <v>20</v>
      </c>
      <c r="I381" s="274" t="s">
        <v>205</v>
      </c>
      <c r="J381" s="274"/>
      <c r="K381" s="274" t="s">
        <v>218</v>
      </c>
      <c r="L381" s="274">
        <v>50</v>
      </c>
      <c r="M381" s="274" t="s">
        <v>219</v>
      </c>
      <c r="N381" s="275">
        <v>1000</v>
      </c>
      <c r="O381" s="275">
        <v>1000</v>
      </c>
      <c r="P381" s="275">
        <v>4000</v>
      </c>
      <c r="Q381" s="274">
        <v>2</v>
      </c>
      <c r="R381" s="274">
        <v>8</v>
      </c>
      <c r="S381" s="274" t="s">
        <v>354</v>
      </c>
      <c r="T381" s="276">
        <v>45015</v>
      </c>
      <c r="U381" s="276">
        <v>45037</v>
      </c>
      <c r="V381" s="274" t="s">
        <v>355</v>
      </c>
      <c r="W381" s="274"/>
      <c r="X381" s="274"/>
      <c r="Z381" s="146" t="str">
        <f t="shared" ca="1" si="5"/>
        <v/>
      </c>
      <c r="AA381" s="146" t="str">
        <f ca="1">IFERROR(IF(OR(OFFSET('S4'!#REF!,MATCH($A381,'S4'!$D$5:$D$2535,0)-1,6)="巻返し",OFFSET('S4'!#REF!,MATCH($A381,'S4'!$D$5:$D$2535,0)-1,6)="スリット"),SUMIF('S4'!$D$5:$D$2535,$A381,'S4'!$U$5:$U$2535),""),"")</f>
        <v/>
      </c>
      <c r="AB381" s="146" t="str">
        <f ca="1">IFERROR(IF(OR(OFFSET('S5'!#REF!,MATCH($A381,'S5'!$D$5:$D$2103,0)-1,6)="巻返し",OFFSET('S5'!#REF!,MATCH($A381,'S5'!$D$5:$D$2103,0)-1,6)="スリット"),SUMIF('S5'!$D$5:$D$2103,$A381,'S5'!$T$5:$T$2103),""),"")</f>
        <v/>
      </c>
    </row>
    <row r="382" spans="1:28" s="141" customFormat="1" ht="13.5" x14ac:dyDescent="0.15">
      <c r="A382" s="274">
        <v>3706358</v>
      </c>
      <c r="B382" s="274" t="s">
        <v>351</v>
      </c>
      <c r="C382" s="274" t="s">
        <v>364</v>
      </c>
      <c r="D382" s="274" t="s">
        <v>353</v>
      </c>
      <c r="E382" s="274" t="s">
        <v>148</v>
      </c>
      <c r="F382" s="274">
        <v>3</v>
      </c>
      <c r="G382" s="274" t="s">
        <v>19</v>
      </c>
      <c r="H382" s="274" t="s">
        <v>20</v>
      </c>
      <c r="I382" s="274" t="s">
        <v>165</v>
      </c>
      <c r="J382" s="274"/>
      <c r="K382" s="274" t="s">
        <v>180</v>
      </c>
      <c r="L382" s="274">
        <v>50</v>
      </c>
      <c r="M382" s="274" t="s">
        <v>181</v>
      </c>
      <c r="N382" s="275">
        <v>1120</v>
      </c>
      <c r="O382" s="275">
        <v>1120</v>
      </c>
      <c r="P382" s="275">
        <v>4000</v>
      </c>
      <c r="Q382" s="274">
        <v>2</v>
      </c>
      <c r="R382" s="274">
        <v>2</v>
      </c>
      <c r="S382" s="274" t="s">
        <v>354</v>
      </c>
      <c r="T382" s="276">
        <v>45021</v>
      </c>
      <c r="U382" s="276">
        <v>45046</v>
      </c>
      <c r="V382" s="274" t="s">
        <v>355</v>
      </c>
      <c r="W382" s="274"/>
      <c r="X382" s="274"/>
      <c r="Z382" s="146" t="str">
        <f t="shared" ca="1" si="5"/>
        <v/>
      </c>
      <c r="AA382" s="146" t="str">
        <f ca="1">IFERROR(IF(OR(OFFSET('S4'!#REF!,MATCH($A382,'S4'!$D$5:$D$2535,0)-1,6)="巻返し",OFFSET('S4'!#REF!,MATCH($A382,'S4'!$D$5:$D$2535,0)-1,6)="スリット"),SUMIF('S4'!$D$5:$D$2535,$A382,'S4'!$U$5:$U$2535),""),"")</f>
        <v/>
      </c>
      <c r="AB382" s="146" t="str">
        <f ca="1">IFERROR(IF(OR(OFFSET('S5'!#REF!,MATCH($A382,'S5'!$D$5:$D$2103,0)-1,6)="巻返し",OFFSET('S5'!#REF!,MATCH($A382,'S5'!$D$5:$D$2103,0)-1,6)="スリット"),SUMIF('S5'!$D$5:$D$2103,$A382,'S5'!$T$5:$T$2103),""),"")</f>
        <v/>
      </c>
    </row>
    <row r="383" spans="1:28" s="141" customFormat="1" ht="13.5" x14ac:dyDescent="0.15">
      <c r="A383" s="274">
        <v>3708694</v>
      </c>
      <c r="B383" s="274" t="s">
        <v>351</v>
      </c>
      <c r="C383" s="274" t="s">
        <v>352</v>
      </c>
      <c r="D383" s="274" t="s">
        <v>353</v>
      </c>
      <c r="E383" s="274" t="s">
        <v>1097</v>
      </c>
      <c r="F383" s="274" t="s">
        <v>96</v>
      </c>
      <c r="G383" s="274" t="s">
        <v>19</v>
      </c>
      <c r="H383" s="274" t="s">
        <v>20</v>
      </c>
      <c r="I383" s="274" t="s">
        <v>205</v>
      </c>
      <c r="J383" s="274"/>
      <c r="K383" s="274" t="s">
        <v>230</v>
      </c>
      <c r="L383" s="274">
        <v>38</v>
      </c>
      <c r="M383" s="274" t="s">
        <v>231</v>
      </c>
      <c r="N383" s="274">
        <v>865</v>
      </c>
      <c r="O383" s="274">
        <v>865</v>
      </c>
      <c r="P383" s="275">
        <v>2800</v>
      </c>
      <c r="Q383" s="274">
        <v>2</v>
      </c>
      <c r="R383" s="274">
        <v>20</v>
      </c>
      <c r="S383" s="274" t="s">
        <v>354</v>
      </c>
      <c r="T383" s="276">
        <v>45037</v>
      </c>
      <c r="U383" s="276">
        <v>45061</v>
      </c>
      <c r="V383" s="274" t="s">
        <v>355</v>
      </c>
      <c r="W383" s="274"/>
      <c r="X383" s="274"/>
      <c r="Y383" s="239"/>
      <c r="Z383" s="146" t="str">
        <f t="shared" ca="1" si="5"/>
        <v/>
      </c>
      <c r="AA383" s="146" t="str">
        <f ca="1">IFERROR(IF(OR(OFFSET('S4'!#REF!,MATCH($A383,'S4'!$D$5:$D$2535,0)-1,6)="巻返し",OFFSET('S4'!#REF!,MATCH($A383,'S4'!$D$5:$D$2535,0)-1,6)="スリット"),SUMIF('S4'!$D$5:$D$2535,$A383,'S4'!$U$5:$U$2535),""),"")</f>
        <v/>
      </c>
      <c r="AB383" s="146" t="str">
        <f ca="1">IFERROR(IF(OR(OFFSET('S5'!#REF!,MATCH($A383,'S5'!$D$5:$D$2103,0)-1,6)="巻返し",OFFSET('S5'!#REF!,MATCH($A383,'S5'!$D$5:$D$2103,0)-1,6)="スリット"),SUMIF('S5'!$D$5:$D$2103,$A383,'S5'!$T$5:$T$2103),""),"")</f>
        <v/>
      </c>
    </row>
    <row r="384" spans="1:28" s="141" customFormat="1" ht="13.5" x14ac:dyDescent="0.15">
      <c r="A384" s="274">
        <v>3708695</v>
      </c>
      <c r="B384" s="274" t="s">
        <v>351</v>
      </c>
      <c r="C384" s="274" t="s">
        <v>364</v>
      </c>
      <c r="D384" s="274" t="s">
        <v>353</v>
      </c>
      <c r="E384" s="274" t="s">
        <v>171</v>
      </c>
      <c r="F384" s="274" t="s">
        <v>96</v>
      </c>
      <c r="G384" s="274" t="s">
        <v>19</v>
      </c>
      <c r="H384" s="274" t="s">
        <v>20</v>
      </c>
      <c r="I384" s="274" t="s">
        <v>165</v>
      </c>
      <c r="J384" s="274"/>
      <c r="K384" s="274" t="s">
        <v>169</v>
      </c>
      <c r="L384" s="274">
        <v>50</v>
      </c>
      <c r="M384" s="274" t="s">
        <v>170</v>
      </c>
      <c r="N384" s="275">
        <v>1190</v>
      </c>
      <c r="O384" s="275">
        <v>1190</v>
      </c>
      <c r="P384" s="275">
        <v>6000</v>
      </c>
      <c r="Q384" s="274">
        <v>2</v>
      </c>
      <c r="R384" s="274">
        <v>30</v>
      </c>
      <c r="S384" s="274" t="s">
        <v>354</v>
      </c>
      <c r="T384" s="276">
        <v>45037</v>
      </c>
      <c r="U384" s="276">
        <v>45061</v>
      </c>
      <c r="V384" s="274" t="s">
        <v>355</v>
      </c>
      <c r="W384" s="274"/>
      <c r="X384" s="274"/>
      <c r="Y384" s="239"/>
      <c r="Z384" s="146" t="str">
        <f t="shared" ca="1" si="5"/>
        <v/>
      </c>
      <c r="AA384" s="146" t="str">
        <f ca="1">IFERROR(IF(OR(OFFSET('S4'!#REF!,MATCH($A384,'S4'!$D$5:$D$2535,0)-1,6)="巻返し",OFFSET('S4'!#REF!,MATCH($A384,'S4'!$D$5:$D$2535,0)-1,6)="スリット"),SUMIF('S4'!$D$5:$D$2535,$A384,'S4'!$U$5:$U$2535),""),"")</f>
        <v/>
      </c>
      <c r="AB384" s="146" t="str">
        <f ca="1">IFERROR(IF(OR(OFFSET('S5'!#REF!,MATCH($A384,'S5'!$D$5:$D$2103,0)-1,6)="巻返し",OFFSET('S5'!#REF!,MATCH($A384,'S5'!$D$5:$D$2103,0)-1,6)="スリット"),SUMIF('S5'!$D$5:$D$2103,$A384,'S5'!$T$5:$T$2103),""),"")</f>
        <v/>
      </c>
    </row>
    <row r="385" spans="1:28" s="141" customFormat="1" ht="13.5" x14ac:dyDescent="0.15">
      <c r="A385" s="274">
        <v>3708696</v>
      </c>
      <c r="B385" s="274" t="s">
        <v>351</v>
      </c>
      <c r="C385" s="274" t="s">
        <v>356</v>
      </c>
      <c r="D385" s="274" t="s">
        <v>353</v>
      </c>
      <c r="E385" s="274" t="s">
        <v>229</v>
      </c>
      <c r="F385" s="274">
        <v>3</v>
      </c>
      <c r="G385" s="274" t="s">
        <v>19</v>
      </c>
      <c r="H385" s="274" t="s">
        <v>20</v>
      </c>
      <c r="I385" s="274" t="s">
        <v>205</v>
      </c>
      <c r="J385" s="274"/>
      <c r="K385" s="274" t="s">
        <v>230</v>
      </c>
      <c r="L385" s="274">
        <v>25</v>
      </c>
      <c r="M385" s="274" t="s">
        <v>231</v>
      </c>
      <c r="N385" s="275">
        <v>1000</v>
      </c>
      <c r="O385" s="275">
        <v>1000</v>
      </c>
      <c r="P385" s="275">
        <v>2000</v>
      </c>
      <c r="Q385" s="274">
        <v>2</v>
      </c>
      <c r="R385" s="274">
        <v>6</v>
      </c>
      <c r="S385" s="274" t="s">
        <v>354</v>
      </c>
      <c r="T385" s="276">
        <v>45037</v>
      </c>
      <c r="U385" s="276">
        <v>45061</v>
      </c>
      <c r="V385" s="274" t="s">
        <v>355</v>
      </c>
      <c r="W385" s="274"/>
      <c r="X385" s="274"/>
      <c r="Y385" s="239"/>
      <c r="Z385" s="146" t="str">
        <f t="shared" ca="1" si="5"/>
        <v/>
      </c>
      <c r="AA385" s="146" t="str">
        <f ca="1">IFERROR(IF(OR(OFFSET('S4'!#REF!,MATCH($A385,'S4'!$D$5:$D$2535,0)-1,6)="巻返し",OFFSET('S4'!#REF!,MATCH($A385,'S4'!$D$5:$D$2535,0)-1,6)="スリット"),SUMIF('S4'!$D$5:$D$2535,$A385,'S4'!$U$5:$U$2535),""),"")</f>
        <v/>
      </c>
      <c r="AB385" s="146" t="str">
        <f ca="1">IFERROR(IF(OR(OFFSET('S5'!#REF!,MATCH($A385,'S5'!$D$5:$D$2103,0)-1,6)="巻返し",OFFSET('S5'!#REF!,MATCH($A385,'S5'!$D$5:$D$2103,0)-1,6)="スリット"),SUMIF('S5'!$D$5:$D$2103,$A385,'S5'!$T$5:$T$2103),""),"")</f>
        <v/>
      </c>
    </row>
    <row r="386" spans="1:28" s="141" customFormat="1" ht="13.5" x14ac:dyDescent="0.15">
      <c r="A386" s="274">
        <v>3708697</v>
      </c>
      <c r="B386" s="274" t="s">
        <v>351</v>
      </c>
      <c r="C386" s="274" t="s">
        <v>356</v>
      </c>
      <c r="D386" s="274" t="s">
        <v>353</v>
      </c>
      <c r="E386" s="274" t="s">
        <v>17</v>
      </c>
      <c r="F386" s="274">
        <v>3</v>
      </c>
      <c r="G386" s="274" t="s">
        <v>19</v>
      </c>
      <c r="H386" s="274" t="s">
        <v>20</v>
      </c>
      <c r="I386" s="274" t="s">
        <v>205</v>
      </c>
      <c r="J386" s="274"/>
      <c r="K386" s="274" t="s">
        <v>242</v>
      </c>
      <c r="L386" s="274">
        <v>75</v>
      </c>
      <c r="M386" s="274" t="s">
        <v>243</v>
      </c>
      <c r="N386" s="275">
        <v>1000</v>
      </c>
      <c r="O386" s="275">
        <v>1000</v>
      </c>
      <c r="P386" s="275">
        <v>1000</v>
      </c>
      <c r="Q386" s="274">
        <v>2</v>
      </c>
      <c r="R386" s="274">
        <v>2</v>
      </c>
      <c r="S386" s="274" t="s">
        <v>354</v>
      </c>
      <c r="T386" s="276">
        <v>45037</v>
      </c>
      <c r="U386" s="276">
        <v>45061</v>
      </c>
      <c r="V386" s="274" t="s">
        <v>355</v>
      </c>
      <c r="W386" s="274"/>
      <c r="X386" s="274"/>
      <c r="Y386" s="239"/>
      <c r="Z386" s="146" t="str">
        <f t="shared" ca="1" si="5"/>
        <v/>
      </c>
      <c r="AA386" s="146" t="str">
        <f ca="1">IFERROR(IF(OR(OFFSET('S4'!#REF!,MATCH($A386,'S4'!$D$5:$D$2535,0)-1,6)="巻返し",OFFSET('S4'!#REF!,MATCH($A386,'S4'!$D$5:$D$2535,0)-1,6)="スリット"),SUMIF('S4'!$D$5:$D$2535,$A386,'S4'!$U$5:$U$2535),""),"")</f>
        <v/>
      </c>
      <c r="AB386" s="146" t="str">
        <f ca="1">IFERROR(IF(OR(OFFSET('S5'!#REF!,MATCH($A386,'S5'!$D$5:$D$2103,0)-1,6)="巻返し",OFFSET('S5'!#REF!,MATCH($A386,'S5'!$D$5:$D$2103,0)-1,6)="スリット"),SUMIF('S5'!$D$5:$D$2103,$A386,'S5'!$T$5:$T$2103),""),"")</f>
        <v/>
      </c>
    </row>
    <row r="387" spans="1:28" s="141" customFormat="1" ht="13.5" x14ac:dyDescent="0.15">
      <c r="A387" s="274">
        <v>3708703</v>
      </c>
      <c r="B387" s="274" t="s">
        <v>351</v>
      </c>
      <c r="C387" s="274" t="s">
        <v>364</v>
      </c>
      <c r="D387" s="274" t="s">
        <v>353</v>
      </c>
      <c r="E387" s="274" t="s">
        <v>148</v>
      </c>
      <c r="F387" s="274">
        <v>3</v>
      </c>
      <c r="G387" s="274" t="s">
        <v>19</v>
      </c>
      <c r="H387" s="274" t="s">
        <v>20</v>
      </c>
      <c r="I387" s="274" t="s">
        <v>143</v>
      </c>
      <c r="J387" s="274"/>
      <c r="K387" s="274" t="s">
        <v>149</v>
      </c>
      <c r="L387" s="274">
        <v>25</v>
      </c>
      <c r="M387" s="274" t="s">
        <v>150</v>
      </c>
      <c r="N387" s="275">
        <v>1120</v>
      </c>
      <c r="O387" s="275">
        <v>1120</v>
      </c>
      <c r="P387" s="275">
        <v>6000</v>
      </c>
      <c r="Q387" s="274">
        <v>2</v>
      </c>
      <c r="R387" s="274">
        <v>4</v>
      </c>
      <c r="S387" s="274" t="s">
        <v>354</v>
      </c>
      <c r="T387" s="276">
        <v>45037</v>
      </c>
      <c r="U387" s="276">
        <v>45061</v>
      </c>
      <c r="V387" s="274" t="s">
        <v>355</v>
      </c>
      <c r="W387" s="274"/>
      <c r="X387" s="274"/>
      <c r="Y387" s="239"/>
      <c r="Z387" s="146" t="str">
        <f t="shared" ca="1" si="5"/>
        <v/>
      </c>
      <c r="AA387" s="146" t="str">
        <f ca="1">IFERROR(IF(OR(OFFSET('S4'!#REF!,MATCH($A387,'S4'!$D$5:$D$2535,0)-1,6)="巻返し",OFFSET('S4'!#REF!,MATCH($A387,'S4'!$D$5:$D$2535,0)-1,6)="スリット"),SUMIF('S4'!$D$5:$D$2535,$A387,'S4'!$U$5:$U$2535),""),"")</f>
        <v/>
      </c>
      <c r="AB387" s="146" t="str">
        <f ca="1">IFERROR(IF(OR(OFFSET('S5'!#REF!,MATCH($A387,'S5'!$D$5:$D$2103,0)-1,6)="巻返し",OFFSET('S5'!#REF!,MATCH($A387,'S5'!$D$5:$D$2103,0)-1,6)="スリット"),SUMIF('S5'!$D$5:$D$2103,$A387,'S5'!$T$5:$T$2103),""),"")</f>
        <v/>
      </c>
    </row>
    <row r="388" spans="1:28" s="141" customFormat="1" ht="13.5" x14ac:dyDescent="0.15">
      <c r="A388" s="274">
        <v>3708704</v>
      </c>
      <c r="B388" s="274" t="s">
        <v>351</v>
      </c>
      <c r="C388" s="274" t="s">
        <v>364</v>
      </c>
      <c r="D388" s="274" t="s">
        <v>353</v>
      </c>
      <c r="E388" s="274" t="s">
        <v>148</v>
      </c>
      <c r="F388" s="274">
        <v>3</v>
      </c>
      <c r="G388" s="274" t="s">
        <v>19</v>
      </c>
      <c r="H388" s="274" t="s">
        <v>20</v>
      </c>
      <c r="I388" s="274" t="s">
        <v>143</v>
      </c>
      <c r="J388" s="274"/>
      <c r="K388" s="274" t="s">
        <v>149</v>
      </c>
      <c r="L388" s="274">
        <v>50</v>
      </c>
      <c r="M388" s="274" t="s">
        <v>150</v>
      </c>
      <c r="N388" s="275">
        <v>1120</v>
      </c>
      <c r="O388" s="275">
        <v>1120</v>
      </c>
      <c r="P388" s="275">
        <v>6000</v>
      </c>
      <c r="Q388" s="274">
        <v>2</v>
      </c>
      <c r="R388" s="274">
        <v>8</v>
      </c>
      <c r="S388" s="274" t="s">
        <v>354</v>
      </c>
      <c r="T388" s="276">
        <v>45037</v>
      </c>
      <c r="U388" s="276">
        <v>45061</v>
      </c>
      <c r="V388" s="274" t="s">
        <v>355</v>
      </c>
      <c r="W388" s="274"/>
      <c r="X388" s="274"/>
      <c r="Y388" s="239"/>
      <c r="Z388" s="146" t="str">
        <f t="shared" ref="Z388:Z451" ca="1" si="6">IF(SUM(AA388:AB388)=0,"",SUM(AA388:AB388))</f>
        <v/>
      </c>
      <c r="AA388" s="146" t="str">
        <f ca="1">IFERROR(IF(OR(OFFSET('S4'!#REF!,MATCH($A388,'S4'!$D$5:$D$2535,0)-1,6)="巻返し",OFFSET('S4'!#REF!,MATCH($A388,'S4'!$D$5:$D$2535,0)-1,6)="スリット"),SUMIF('S4'!$D$5:$D$2535,$A388,'S4'!$U$5:$U$2535),""),"")</f>
        <v/>
      </c>
      <c r="AB388" s="146" t="str">
        <f ca="1">IFERROR(IF(OR(OFFSET('S5'!#REF!,MATCH($A388,'S5'!$D$5:$D$2103,0)-1,6)="巻返し",OFFSET('S5'!#REF!,MATCH($A388,'S5'!$D$5:$D$2103,0)-1,6)="スリット"),SUMIF('S5'!$D$5:$D$2103,$A388,'S5'!$T$5:$T$2103),""),"")</f>
        <v/>
      </c>
    </row>
    <row r="389" spans="1:28" s="141" customFormat="1" ht="13.5" x14ac:dyDescent="0.15">
      <c r="A389" s="274">
        <v>3708705</v>
      </c>
      <c r="B389" s="274" t="s">
        <v>351</v>
      </c>
      <c r="C389" s="274" t="s">
        <v>352</v>
      </c>
      <c r="D389" s="274" t="s">
        <v>353</v>
      </c>
      <c r="E389" s="274" t="s">
        <v>116</v>
      </c>
      <c r="F389" s="274">
        <v>3</v>
      </c>
      <c r="G389" s="274" t="s">
        <v>19</v>
      </c>
      <c r="H389" s="274" t="s">
        <v>20</v>
      </c>
      <c r="I389" s="274" t="s">
        <v>205</v>
      </c>
      <c r="J389" s="274"/>
      <c r="K389" s="274" t="s">
        <v>212</v>
      </c>
      <c r="L389" s="274">
        <v>25</v>
      </c>
      <c r="M389" s="274" t="s">
        <v>213</v>
      </c>
      <c r="N389" s="275">
        <v>1120</v>
      </c>
      <c r="O389" s="275">
        <v>1120</v>
      </c>
      <c r="P389" s="275">
        <v>4000</v>
      </c>
      <c r="Q389" s="274">
        <v>2</v>
      </c>
      <c r="R389" s="274">
        <v>9</v>
      </c>
      <c r="S389" s="274" t="s">
        <v>354</v>
      </c>
      <c r="T389" s="276">
        <v>45037</v>
      </c>
      <c r="U389" s="276">
        <v>45069</v>
      </c>
      <c r="V389" s="274" t="s">
        <v>355</v>
      </c>
      <c r="W389" s="274"/>
      <c r="X389" s="274"/>
      <c r="Y389" s="239"/>
      <c r="Z389" s="146" t="str">
        <f t="shared" ca="1" si="6"/>
        <v/>
      </c>
      <c r="AA389" s="146" t="str">
        <f ca="1">IFERROR(IF(OR(OFFSET('S4'!#REF!,MATCH($A389,'S4'!$D$5:$D$2535,0)-1,6)="巻返し",OFFSET('S4'!#REF!,MATCH($A389,'S4'!$D$5:$D$2535,0)-1,6)="スリット"),SUMIF('S4'!$D$5:$D$2535,$A389,'S4'!$U$5:$U$2535),""),"")</f>
        <v/>
      </c>
      <c r="AB389" s="146" t="str">
        <f ca="1">IFERROR(IF(OR(OFFSET('S5'!#REF!,MATCH($A389,'S5'!$D$5:$D$2103,0)-1,6)="巻返し",OFFSET('S5'!#REF!,MATCH($A389,'S5'!$D$5:$D$2103,0)-1,6)="スリット"),SUMIF('S5'!$D$5:$D$2103,$A389,'S5'!$T$5:$T$2103),""),"")</f>
        <v/>
      </c>
    </row>
    <row r="390" spans="1:28" s="141" customFormat="1" ht="13.5" x14ac:dyDescent="0.15">
      <c r="A390" s="274">
        <v>3708706</v>
      </c>
      <c r="B390" s="274" t="s">
        <v>351</v>
      </c>
      <c r="C390" s="274" t="s">
        <v>352</v>
      </c>
      <c r="D390" s="274" t="s">
        <v>353</v>
      </c>
      <c r="E390" s="274" t="s">
        <v>116</v>
      </c>
      <c r="F390" s="274">
        <v>3</v>
      </c>
      <c r="G390" s="274" t="s">
        <v>19</v>
      </c>
      <c r="H390" s="274" t="s">
        <v>20</v>
      </c>
      <c r="I390" s="274" t="s">
        <v>205</v>
      </c>
      <c r="J390" s="274"/>
      <c r="K390" s="274" t="s">
        <v>212</v>
      </c>
      <c r="L390" s="274">
        <v>50</v>
      </c>
      <c r="M390" s="274" t="s">
        <v>213</v>
      </c>
      <c r="N390" s="275">
        <v>1120</v>
      </c>
      <c r="O390" s="275">
        <v>1120</v>
      </c>
      <c r="P390" s="275">
        <v>4000</v>
      </c>
      <c r="Q390" s="274">
        <v>2</v>
      </c>
      <c r="R390" s="274">
        <v>16</v>
      </c>
      <c r="S390" s="274" t="s">
        <v>354</v>
      </c>
      <c r="T390" s="276">
        <v>45037</v>
      </c>
      <c r="U390" s="276">
        <v>45070</v>
      </c>
      <c r="V390" s="274" t="s">
        <v>355</v>
      </c>
      <c r="W390" s="274"/>
      <c r="X390" s="274"/>
      <c r="Y390" s="239"/>
      <c r="Z390" s="146" t="str">
        <f t="shared" ca="1" si="6"/>
        <v/>
      </c>
      <c r="AA390" s="146" t="str">
        <f ca="1">IFERROR(IF(OR(OFFSET('S4'!#REF!,MATCH($A390,'S4'!$D$5:$D$2535,0)-1,6)="巻返し",OFFSET('S4'!#REF!,MATCH($A390,'S4'!$D$5:$D$2535,0)-1,6)="スリット"),SUMIF('S4'!$D$5:$D$2535,$A390,'S4'!$U$5:$U$2535),""),"")</f>
        <v/>
      </c>
      <c r="AB390" s="146" t="str">
        <f ca="1">IFERROR(IF(OR(OFFSET('S5'!#REF!,MATCH($A390,'S5'!$D$5:$D$2103,0)-1,6)="巻返し",OFFSET('S5'!#REF!,MATCH($A390,'S5'!$D$5:$D$2103,0)-1,6)="スリット"),SUMIF('S5'!$D$5:$D$2103,$A390,'S5'!$T$5:$T$2103),""),"")</f>
        <v/>
      </c>
    </row>
    <row r="391" spans="1:28" s="141" customFormat="1" ht="13.5" x14ac:dyDescent="0.15">
      <c r="A391" s="274">
        <v>3708707</v>
      </c>
      <c r="B391" s="274" t="s">
        <v>351</v>
      </c>
      <c r="C391" s="274" t="s">
        <v>352</v>
      </c>
      <c r="D391" s="274" t="s">
        <v>353</v>
      </c>
      <c r="E391" s="274" t="s">
        <v>116</v>
      </c>
      <c r="F391" s="274">
        <v>3</v>
      </c>
      <c r="G391" s="274" t="s">
        <v>19</v>
      </c>
      <c r="H391" s="274" t="s">
        <v>20</v>
      </c>
      <c r="I391" s="274" t="s">
        <v>205</v>
      </c>
      <c r="J391" s="274"/>
      <c r="K391" s="274" t="s">
        <v>211</v>
      </c>
      <c r="L391" s="274">
        <v>50</v>
      </c>
      <c r="M391" s="274" t="s">
        <v>370</v>
      </c>
      <c r="N391" s="275">
        <v>1050</v>
      </c>
      <c r="O391" s="275">
        <v>1050</v>
      </c>
      <c r="P391" s="275">
        <v>4100</v>
      </c>
      <c r="Q391" s="274">
        <v>2</v>
      </c>
      <c r="R391" s="274">
        <v>4</v>
      </c>
      <c r="S391" s="274" t="s">
        <v>354</v>
      </c>
      <c r="T391" s="276">
        <v>45037</v>
      </c>
      <c r="U391" s="276">
        <v>45068</v>
      </c>
      <c r="V391" s="274" t="s">
        <v>355</v>
      </c>
      <c r="W391" s="274"/>
      <c r="X391" s="274"/>
      <c r="Y391" s="239"/>
      <c r="Z391" s="146" t="str">
        <f t="shared" ca="1" si="6"/>
        <v/>
      </c>
      <c r="AA391" s="146" t="str">
        <f ca="1">IFERROR(IF(OR(OFFSET('S4'!#REF!,MATCH($A391,'S4'!$D$5:$D$2535,0)-1,6)="巻返し",OFFSET('S4'!#REF!,MATCH($A391,'S4'!$D$5:$D$2535,0)-1,6)="スリット"),SUMIF('S4'!$D$5:$D$2535,$A391,'S4'!$U$5:$U$2535),""),"")</f>
        <v/>
      </c>
      <c r="AB391" s="146" t="str">
        <f ca="1">IFERROR(IF(OR(OFFSET('S5'!#REF!,MATCH($A391,'S5'!$D$5:$D$2103,0)-1,6)="巻返し",OFFSET('S5'!#REF!,MATCH($A391,'S5'!$D$5:$D$2103,0)-1,6)="スリット"),SUMIF('S5'!$D$5:$D$2103,$A391,'S5'!$T$5:$T$2103),""),"")</f>
        <v/>
      </c>
    </row>
    <row r="392" spans="1:28" s="141" customFormat="1" ht="13.5" x14ac:dyDescent="0.15">
      <c r="A392" s="274">
        <v>3708708</v>
      </c>
      <c r="B392" s="274" t="s">
        <v>351</v>
      </c>
      <c r="C392" s="274" t="s">
        <v>352</v>
      </c>
      <c r="D392" s="274" t="s">
        <v>353</v>
      </c>
      <c r="E392" s="274" t="s">
        <v>116</v>
      </c>
      <c r="F392" s="274">
        <v>3</v>
      </c>
      <c r="G392" s="274" t="s">
        <v>19</v>
      </c>
      <c r="H392" s="274" t="s">
        <v>20</v>
      </c>
      <c r="I392" s="274" t="s">
        <v>205</v>
      </c>
      <c r="J392" s="274"/>
      <c r="K392" s="274" t="s">
        <v>211</v>
      </c>
      <c r="L392" s="274">
        <v>75</v>
      </c>
      <c r="M392" s="274" t="s">
        <v>370</v>
      </c>
      <c r="N392" s="275">
        <v>1050</v>
      </c>
      <c r="O392" s="275">
        <v>1050</v>
      </c>
      <c r="P392" s="275">
        <v>2000</v>
      </c>
      <c r="Q392" s="274">
        <v>2</v>
      </c>
      <c r="R392" s="274">
        <v>3</v>
      </c>
      <c r="S392" s="274" t="s">
        <v>354</v>
      </c>
      <c r="T392" s="276">
        <v>45037</v>
      </c>
      <c r="U392" s="276">
        <v>45068</v>
      </c>
      <c r="V392" s="274" t="s">
        <v>355</v>
      </c>
      <c r="W392" s="274"/>
      <c r="X392" s="274"/>
      <c r="Y392" s="239"/>
      <c r="Z392" s="146" t="str">
        <f t="shared" ca="1" si="6"/>
        <v/>
      </c>
      <c r="AA392" s="146" t="str">
        <f ca="1">IFERROR(IF(OR(OFFSET('S4'!#REF!,MATCH($A392,'S4'!$D$5:$D$2535,0)-1,6)="巻返し",OFFSET('S4'!#REF!,MATCH($A392,'S4'!$D$5:$D$2535,0)-1,6)="スリット"),SUMIF('S4'!$D$5:$D$2535,$A392,'S4'!$U$5:$U$2535),""),"")</f>
        <v/>
      </c>
      <c r="AB392" s="146" t="str">
        <f ca="1">IFERROR(IF(OR(OFFSET('S5'!#REF!,MATCH($A392,'S5'!$D$5:$D$2103,0)-1,6)="巻返し",OFFSET('S5'!#REF!,MATCH($A392,'S5'!$D$5:$D$2103,0)-1,6)="スリット"),SUMIF('S5'!$D$5:$D$2103,$A392,'S5'!$T$5:$T$2103),""),"")</f>
        <v/>
      </c>
    </row>
    <row r="393" spans="1:28" s="141" customFormat="1" ht="13.5" x14ac:dyDescent="0.15">
      <c r="A393" s="274">
        <v>3708709</v>
      </c>
      <c r="B393" s="274" t="s">
        <v>351</v>
      </c>
      <c r="C393" s="274" t="s">
        <v>352</v>
      </c>
      <c r="D393" s="274" t="s">
        <v>353</v>
      </c>
      <c r="E393" s="274" t="s">
        <v>116</v>
      </c>
      <c r="F393" s="274">
        <v>3</v>
      </c>
      <c r="G393" s="274" t="s">
        <v>19</v>
      </c>
      <c r="H393" s="274" t="s">
        <v>20</v>
      </c>
      <c r="I393" s="274" t="s">
        <v>205</v>
      </c>
      <c r="J393" s="274"/>
      <c r="K393" s="274" t="s">
        <v>216</v>
      </c>
      <c r="L393" s="274">
        <v>25</v>
      </c>
      <c r="M393" s="274" t="s">
        <v>217</v>
      </c>
      <c r="N393" s="275">
        <v>1005</v>
      </c>
      <c r="O393" s="275">
        <v>1000</v>
      </c>
      <c r="P393" s="275">
        <v>4000</v>
      </c>
      <c r="Q393" s="274">
        <v>2</v>
      </c>
      <c r="R393" s="274">
        <v>12</v>
      </c>
      <c r="S393" s="274" t="s">
        <v>354</v>
      </c>
      <c r="T393" s="276">
        <v>45037</v>
      </c>
      <c r="U393" s="276">
        <v>45069</v>
      </c>
      <c r="V393" s="274" t="s">
        <v>355</v>
      </c>
      <c r="W393" s="274"/>
      <c r="X393" s="274"/>
      <c r="Y393" s="239"/>
      <c r="Z393" s="146" t="str">
        <f t="shared" ca="1" si="6"/>
        <v/>
      </c>
      <c r="AA393" s="146" t="str">
        <f ca="1">IFERROR(IF(OR(OFFSET('S4'!#REF!,MATCH($A393,'S4'!$D$5:$D$2535,0)-1,6)="巻返し",OFFSET('S4'!#REF!,MATCH($A393,'S4'!$D$5:$D$2535,0)-1,6)="スリット"),SUMIF('S4'!$D$5:$D$2535,$A393,'S4'!$U$5:$U$2535),""),"")</f>
        <v/>
      </c>
      <c r="AB393" s="146" t="str">
        <f ca="1">IFERROR(IF(OR(OFFSET('S5'!#REF!,MATCH($A393,'S5'!$D$5:$D$2103,0)-1,6)="巻返し",OFFSET('S5'!#REF!,MATCH($A393,'S5'!$D$5:$D$2103,0)-1,6)="スリット"),SUMIF('S5'!$D$5:$D$2103,$A393,'S5'!$T$5:$T$2103),""),"")</f>
        <v/>
      </c>
    </row>
    <row r="394" spans="1:28" s="141" customFormat="1" ht="13.5" x14ac:dyDescent="0.15">
      <c r="A394" s="274">
        <v>3708710</v>
      </c>
      <c r="B394" s="274" t="s">
        <v>351</v>
      </c>
      <c r="C394" s="274" t="s">
        <v>352</v>
      </c>
      <c r="D394" s="274" t="s">
        <v>353</v>
      </c>
      <c r="E394" s="274" t="s">
        <v>116</v>
      </c>
      <c r="F394" s="274">
        <v>3</v>
      </c>
      <c r="G394" s="274" t="s">
        <v>19</v>
      </c>
      <c r="H394" s="274" t="s">
        <v>20</v>
      </c>
      <c r="I394" s="274" t="s">
        <v>205</v>
      </c>
      <c r="J394" s="274"/>
      <c r="K394" s="274" t="s">
        <v>216</v>
      </c>
      <c r="L394" s="274">
        <v>25</v>
      </c>
      <c r="M394" s="274" t="s">
        <v>217</v>
      </c>
      <c r="N394" s="275">
        <v>1125</v>
      </c>
      <c r="O394" s="275">
        <v>1120</v>
      </c>
      <c r="P394" s="275">
        <v>4000</v>
      </c>
      <c r="Q394" s="274">
        <v>2</v>
      </c>
      <c r="R394" s="274">
        <v>3</v>
      </c>
      <c r="S394" s="274" t="s">
        <v>354</v>
      </c>
      <c r="T394" s="276">
        <v>45037</v>
      </c>
      <c r="U394" s="276">
        <v>45069</v>
      </c>
      <c r="V394" s="274" t="s">
        <v>355</v>
      </c>
      <c r="W394" s="274"/>
      <c r="X394" s="274"/>
      <c r="Y394" s="239"/>
      <c r="Z394" s="146" t="str">
        <f t="shared" ca="1" si="6"/>
        <v/>
      </c>
      <c r="AA394" s="146" t="str">
        <f ca="1">IFERROR(IF(OR(OFFSET('S4'!#REF!,MATCH($A394,'S4'!$D$5:$D$2535,0)-1,6)="巻返し",OFFSET('S4'!#REF!,MATCH($A394,'S4'!$D$5:$D$2535,0)-1,6)="スリット"),SUMIF('S4'!$D$5:$D$2535,$A394,'S4'!$U$5:$U$2535),""),"")</f>
        <v/>
      </c>
      <c r="AB394" s="146" t="str">
        <f ca="1">IFERROR(IF(OR(OFFSET('S5'!#REF!,MATCH($A394,'S5'!$D$5:$D$2103,0)-1,6)="巻返し",OFFSET('S5'!#REF!,MATCH($A394,'S5'!$D$5:$D$2103,0)-1,6)="スリット"),SUMIF('S5'!$D$5:$D$2103,$A394,'S5'!$T$5:$T$2103),""),"")</f>
        <v/>
      </c>
    </row>
    <row r="395" spans="1:28" s="141" customFormat="1" ht="13.5" x14ac:dyDescent="0.15">
      <c r="A395" s="274">
        <v>3708711</v>
      </c>
      <c r="B395" s="274" t="s">
        <v>351</v>
      </c>
      <c r="C395" s="274" t="s">
        <v>352</v>
      </c>
      <c r="D395" s="274" t="s">
        <v>353</v>
      </c>
      <c r="E395" s="274" t="s">
        <v>116</v>
      </c>
      <c r="F395" s="274">
        <v>3</v>
      </c>
      <c r="G395" s="274" t="s">
        <v>19</v>
      </c>
      <c r="H395" s="274" t="s">
        <v>20</v>
      </c>
      <c r="I395" s="274" t="s">
        <v>205</v>
      </c>
      <c r="J395" s="274"/>
      <c r="K395" s="274" t="s">
        <v>216</v>
      </c>
      <c r="L395" s="274">
        <v>50</v>
      </c>
      <c r="M395" s="274" t="s">
        <v>217</v>
      </c>
      <c r="N395" s="275">
        <v>1120</v>
      </c>
      <c r="O395" s="275">
        <v>1120</v>
      </c>
      <c r="P395" s="275">
        <v>5000</v>
      </c>
      <c r="Q395" s="274">
        <v>2</v>
      </c>
      <c r="R395" s="274">
        <v>15</v>
      </c>
      <c r="S395" s="274" t="s">
        <v>354</v>
      </c>
      <c r="T395" s="276">
        <v>45037</v>
      </c>
      <c r="U395" s="276">
        <v>45077</v>
      </c>
      <c r="V395" s="274" t="s">
        <v>355</v>
      </c>
      <c r="W395" s="274"/>
      <c r="X395" s="274"/>
      <c r="Y395" s="239"/>
      <c r="Z395" s="146" t="str">
        <f t="shared" ca="1" si="6"/>
        <v/>
      </c>
      <c r="AA395" s="146" t="str">
        <f ca="1">IFERROR(IF(OR(OFFSET('S4'!#REF!,MATCH($A395,'S4'!$D$5:$D$2535,0)-1,6)="巻返し",OFFSET('S4'!#REF!,MATCH($A395,'S4'!$D$5:$D$2535,0)-1,6)="スリット"),SUMIF('S4'!$D$5:$D$2535,$A395,'S4'!$U$5:$U$2535),""),"")</f>
        <v/>
      </c>
      <c r="AB395" s="146" t="str">
        <f ca="1">IFERROR(IF(OR(OFFSET('S5'!#REF!,MATCH($A395,'S5'!$D$5:$D$2103,0)-1,6)="巻返し",OFFSET('S5'!#REF!,MATCH($A395,'S5'!$D$5:$D$2103,0)-1,6)="スリット"),SUMIF('S5'!$D$5:$D$2103,$A395,'S5'!$T$5:$T$2103),""),"")</f>
        <v/>
      </c>
    </row>
    <row r="396" spans="1:28" s="141" customFormat="1" ht="13.5" x14ac:dyDescent="0.15">
      <c r="A396" s="274">
        <v>3708712</v>
      </c>
      <c r="B396" s="274" t="s">
        <v>351</v>
      </c>
      <c r="C396" s="274" t="s">
        <v>352</v>
      </c>
      <c r="D396" s="274" t="s">
        <v>353</v>
      </c>
      <c r="E396" s="274" t="s">
        <v>116</v>
      </c>
      <c r="F396" s="274">
        <v>3</v>
      </c>
      <c r="G396" s="274" t="s">
        <v>19</v>
      </c>
      <c r="H396" s="274" t="s">
        <v>20</v>
      </c>
      <c r="I396" s="274" t="s">
        <v>205</v>
      </c>
      <c r="J396" s="274"/>
      <c r="K396" s="274" t="s">
        <v>216</v>
      </c>
      <c r="L396" s="274">
        <v>50</v>
      </c>
      <c r="M396" s="274" t="s">
        <v>217</v>
      </c>
      <c r="N396" s="275">
        <v>1120</v>
      </c>
      <c r="O396" s="275">
        <v>1120</v>
      </c>
      <c r="P396" s="275">
        <v>5000</v>
      </c>
      <c r="Q396" s="274">
        <v>2</v>
      </c>
      <c r="R396" s="274">
        <v>14</v>
      </c>
      <c r="S396" s="274" t="s">
        <v>354</v>
      </c>
      <c r="T396" s="276">
        <v>45037</v>
      </c>
      <c r="U396" s="276">
        <v>45085</v>
      </c>
      <c r="V396" s="274" t="s">
        <v>355</v>
      </c>
      <c r="W396" s="274"/>
      <c r="X396" s="274"/>
      <c r="Y396" s="239"/>
      <c r="Z396" s="146" t="str">
        <f t="shared" ca="1" si="6"/>
        <v/>
      </c>
      <c r="AA396" s="146" t="str">
        <f ca="1">IFERROR(IF(OR(OFFSET('S4'!#REF!,MATCH($A396,'S4'!$D$5:$D$2535,0)-1,6)="巻返し",OFFSET('S4'!#REF!,MATCH($A396,'S4'!$D$5:$D$2535,0)-1,6)="スリット"),SUMIF('S4'!$D$5:$D$2535,$A396,'S4'!$U$5:$U$2535),""),"")</f>
        <v/>
      </c>
      <c r="AB396" s="146" t="str">
        <f ca="1">IFERROR(IF(OR(OFFSET('S5'!#REF!,MATCH($A396,'S5'!$D$5:$D$2103,0)-1,6)="巻返し",OFFSET('S5'!#REF!,MATCH($A396,'S5'!$D$5:$D$2103,0)-1,6)="スリット"),SUMIF('S5'!$D$5:$D$2103,$A396,'S5'!$T$5:$T$2103),""),"")</f>
        <v/>
      </c>
    </row>
    <row r="397" spans="1:28" s="141" customFormat="1" ht="13.5" x14ac:dyDescent="0.15">
      <c r="A397" s="274">
        <v>3708713</v>
      </c>
      <c r="B397" s="274" t="s">
        <v>351</v>
      </c>
      <c r="C397" s="274" t="s">
        <v>352</v>
      </c>
      <c r="D397" s="274" t="s">
        <v>353</v>
      </c>
      <c r="E397" s="274" t="s">
        <v>116</v>
      </c>
      <c r="F397" s="274">
        <v>3</v>
      </c>
      <c r="G397" s="274" t="s">
        <v>19</v>
      </c>
      <c r="H397" s="274" t="s">
        <v>20</v>
      </c>
      <c r="I397" s="274" t="s">
        <v>205</v>
      </c>
      <c r="J397" s="274"/>
      <c r="K397" s="274" t="s">
        <v>216</v>
      </c>
      <c r="L397" s="274">
        <v>50</v>
      </c>
      <c r="M397" s="274" t="s">
        <v>217</v>
      </c>
      <c r="N397" s="275">
        <v>1120</v>
      </c>
      <c r="O397" s="275">
        <v>1120</v>
      </c>
      <c r="P397" s="275">
        <v>5000</v>
      </c>
      <c r="Q397" s="274">
        <v>2</v>
      </c>
      <c r="R397" s="274">
        <v>1</v>
      </c>
      <c r="S397" s="274" t="s">
        <v>354</v>
      </c>
      <c r="T397" s="276">
        <v>45037</v>
      </c>
      <c r="U397" s="276">
        <v>45085</v>
      </c>
      <c r="V397" s="274" t="s">
        <v>355</v>
      </c>
      <c r="W397" s="274"/>
      <c r="X397" s="274"/>
      <c r="Y397" s="239"/>
      <c r="Z397" s="146" t="str">
        <f t="shared" ca="1" si="6"/>
        <v/>
      </c>
      <c r="AA397" s="146" t="str">
        <f ca="1">IFERROR(IF(OR(OFFSET('S4'!#REF!,MATCH($A397,'S4'!$D$5:$D$2535,0)-1,6)="巻返し",OFFSET('S4'!#REF!,MATCH($A397,'S4'!$D$5:$D$2535,0)-1,6)="スリット"),SUMIF('S4'!$D$5:$D$2535,$A397,'S4'!$U$5:$U$2535),""),"")</f>
        <v/>
      </c>
      <c r="AB397" s="146" t="str">
        <f ca="1">IFERROR(IF(OR(OFFSET('S5'!#REF!,MATCH($A397,'S5'!$D$5:$D$2103,0)-1,6)="巻返し",OFFSET('S5'!#REF!,MATCH($A397,'S5'!$D$5:$D$2103,0)-1,6)="スリット"),SUMIF('S5'!$D$5:$D$2103,$A397,'S5'!$T$5:$T$2103),""),"")</f>
        <v/>
      </c>
    </row>
    <row r="398" spans="1:28" s="141" customFormat="1" ht="13.5" x14ac:dyDescent="0.15">
      <c r="A398" s="274">
        <v>3708714</v>
      </c>
      <c r="B398" s="274" t="s">
        <v>351</v>
      </c>
      <c r="C398" s="274" t="s">
        <v>352</v>
      </c>
      <c r="D398" s="274" t="s">
        <v>353</v>
      </c>
      <c r="E398" s="274" t="s">
        <v>116</v>
      </c>
      <c r="F398" s="274">
        <v>3</v>
      </c>
      <c r="G398" s="274" t="s">
        <v>19</v>
      </c>
      <c r="H398" s="274" t="s">
        <v>20</v>
      </c>
      <c r="I398" s="274" t="s">
        <v>205</v>
      </c>
      <c r="J398" s="274"/>
      <c r="K398" s="274" t="s">
        <v>218</v>
      </c>
      <c r="L398" s="274">
        <v>25</v>
      </c>
      <c r="M398" s="274" t="s">
        <v>219</v>
      </c>
      <c r="N398" s="275">
        <v>1005</v>
      </c>
      <c r="O398" s="275">
        <v>1000</v>
      </c>
      <c r="P398" s="275">
        <v>4000</v>
      </c>
      <c r="Q398" s="274">
        <v>2</v>
      </c>
      <c r="R398" s="274">
        <v>4</v>
      </c>
      <c r="S398" s="274" t="s">
        <v>354</v>
      </c>
      <c r="T398" s="276">
        <v>45037</v>
      </c>
      <c r="U398" s="276">
        <v>45069</v>
      </c>
      <c r="V398" s="274" t="s">
        <v>355</v>
      </c>
      <c r="W398" s="274"/>
      <c r="X398" s="274"/>
      <c r="Y398" s="239"/>
      <c r="Z398" s="146" t="str">
        <f t="shared" ca="1" si="6"/>
        <v/>
      </c>
      <c r="AA398" s="146" t="str">
        <f ca="1">IFERROR(IF(OR(OFFSET('S4'!#REF!,MATCH($A398,'S4'!$D$5:$D$2535,0)-1,6)="巻返し",OFFSET('S4'!#REF!,MATCH($A398,'S4'!$D$5:$D$2535,0)-1,6)="スリット"),SUMIF('S4'!$D$5:$D$2535,$A398,'S4'!$U$5:$U$2535),""),"")</f>
        <v/>
      </c>
      <c r="AB398" s="146" t="str">
        <f ca="1">IFERROR(IF(OR(OFFSET('S5'!#REF!,MATCH($A398,'S5'!$D$5:$D$2103,0)-1,6)="巻返し",OFFSET('S5'!#REF!,MATCH($A398,'S5'!$D$5:$D$2103,0)-1,6)="スリット"),SUMIF('S5'!$D$5:$D$2103,$A398,'S5'!$T$5:$T$2103),""),"")</f>
        <v/>
      </c>
    </row>
    <row r="399" spans="1:28" s="141" customFormat="1" ht="13.5" x14ac:dyDescent="0.15">
      <c r="A399" s="274">
        <v>3708715</v>
      </c>
      <c r="B399" s="274" t="s">
        <v>351</v>
      </c>
      <c r="C399" s="274" t="s">
        <v>352</v>
      </c>
      <c r="D399" s="274" t="s">
        <v>353</v>
      </c>
      <c r="E399" s="274" t="s">
        <v>116</v>
      </c>
      <c r="F399" s="274">
        <v>3</v>
      </c>
      <c r="G399" s="274" t="s">
        <v>19</v>
      </c>
      <c r="H399" s="274" t="s">
        <v>20</v>
      </c>
      <c r="I399" s="274" t="s">
        <v>205</v>
      </c>
      <c r="J399" s="274"/>
      <c r="K399" s="274" t="s">
        <v>218</v>
      </c>
      <c r="L399" s="274">
        <v>50</v>
      </c>
      <c r="M399" s="274" t="s">
        <v>219</v>
      </c>
      <c r="N399" s="275">
        <v>1000</v>
      </c>
      <c r="O399" s="275">
        <v>1000</v>
      </c>
      <c r="P399" s="275">
        <v>4000</v>
      </c>
      <c r="Q399" s="274">
        <v>2</v>
      </c>
      <c r="R399" s="274">
        <v>15</v>
      </c>
      <c r="S399" s="274" t="s">
        <v>354</v>
      </c>
      <c r="T399" s="276">
        <v>45037</v>
      </c>
      <c r="U399" s="276">
        <v>45069</v>
      </c>
      <c r="V399" s="274" t="s">
        <v>355</v>
      </c>
      <c r="W399" s="274"/>
      <c r="X399" s="274"/>
      <c r="Y399" s="239"/>
      <c r="Z399" s="146" t="str">
        <f t="shared" ca="1" si="6"/>
        <v/>
      </c>
      <c r="AA399" s="146" t="str">
        <f ca="1">IFERROR(IF(OR(OFFSET('S4'!#REF!,MATCH($A399,'S4'!$D$5:$D$2535,0)-1,6)="巻返し",OFFSET('S4'!#REF!,MATCH($A399,'S4'!$D$5:$D$2535,0)-1,6)="スリット"),SUMIF('S4'!$D$5:$D$2535,$A399,'S4'!$U$5:$U$2535),""),"")</f>
        <v/>
      </c>
      <c r="AB399" s="146" t="str">
        <f ca="1">IFERROR(IF(OR(OFFSET('S5'!#REF!,MATCH($A399,'S5'!$D$5:$D$2103,0)-1,6)="巻返し",OFFSET('S5'!#REF!,MATCH($A399,'S5'!$D$5:$D$2103,0)-1,6)="スリット"),SUMIF('S5'!$D$5:$D$2103,$A399,'S5'!$T$5:$T$2103),""),"")</f>
        <v/>
      </c>
    </row>
    <row r="400" spans="1:28" s="141" customFormat="1" ht="13.5" x14ac:dyDescent="0.15">
      <c r="A400" s="274">
        <v>3708716</v>
      </c>
      <c r="B400" s="274" t="s">
        <v>351</v>
      </c>
      <c r="C400" s="274" t="s">
        <v>352</v>
      </c>
      <c r="D400" s="274" t="s">
        <v>353</v>
      </c>
      <c r="E400" s="274" t="s">
        <v>116</v>
      </c>
      <c r="F400" s="274" t="s">
        <v>158</v>
      </c>
      <c r="G400" s="274" t="s">
        <v>19</v>
      </c>
      <c r="H400" s="274" t="s">
        <v>20</v>
      </c>
      <c r="I400" s="274" t="s">
        <v>165</v>
      </c>
      <c r="J400" s="274"/>
      <c r="K400" s="274" t="s">
        <v>192</v>
      </c>
      <c r="L400" s="274">
        <v>50</v>
      </c>
      <c r="M400" s="274" t="s">
        <v>193</v>
      </c>
      <c r="N400" s="275">
        <v>1005</v>
      </c>
      <c r="O400" s="275">
        <v>1000</v>
      </c>
      <c r="P400" s="275">
        <v>4000</v>
      </c>
      <c r="Q400" s="274">
        <v>2</v>
      </c>
      <c r="R400" s="274">
        <v>3</v>
      </c>
      <c r="S400" s="274" t="s">
        <v>354</v>
      </c>
      <c r="T400" s="276">
        <v>45037</v>
      </c>
      <c r="U400" s="276">
        <v>45069</v>
      </c>
      <c r="V400" s="274" t="s">
        <v>355</v>
      </c>
      <c r="W400" s="274"/>
      <c r="X400" s="274"/>
      <c r="Y400" s="239"/>
      <c r="Z400" s="146" t="str">
        <f t="shared" ca="1" si="6"/>
        <v/>
      </c>
      <c r="AA400" s="146" t="str">
        <f ca="1">IFERROR(IF(OR(OFFSET('S4'!#REF!,MATCH($A400,'S4'!$D$5:$D$2535,0)-1,6)="巻返し",OFFSET('S4'!#REF!,MATCH($A400,'S4'!$D$5:$D$2535,0)-1,6)="スリット"),SUMIF('S4'!$D$5:$D$2535,$A400,'S4'!$U$5:$U$2535),""),"")</f>
        <v/>
      </c>
      <c r="AB400" s="146" t="str">
        <f ca="1">IFERROR(IF(OR(OFFSET('S5'!#REF!,MATCH($A400,'S5'!$D$5:$D$2103,0)-1,6)="巻返し",OFFSET('S5'!#REF!,MATCH($A400,'S5'!$D$5:$D$2103,0)-1,6)="スリット"),SUMIF('S5'!$D$5:$D$2103,$A400,'S5'!$T$5:$T$2103),""),"")</f>
        <v/>
      </c>
    </row>
    <row r="401" spans="1:28" s="141" customFormat="1" ht="13.5" x14ac:dyDescent="0.15">
      <c r="A401" s="274">
        <v>3708717</v>
      </c>
      <c r="B401" s="274" t="s">
        <v>351</v>
      </c>
      <c r="C401" s="274" t="s">
        <v>352</v>
      </c>
      <c r="D401" s="274" t="s">
        <v>353</v>
      </c>
      <c r="E401" s="274" t="s">
        <v>116</v>
      </c>
      <c r="F401" s="274" t="s">
        <v>158</v>
      </c>
      <c r="G401" s="274" t="s">
        <v>19</v>
      </c>
      <c r="H401" s="274" t="s">
        <v>20</v>
      </c>
      <c r="I401" s="274" t="s">
        <v>165</v>
      </c>
      <c r="J401" s="274"/>
      <c r="K401" s="274" t="s">
        <v>197</v>
      </c>
      <c r="L401" s="274">
        <v>50</v>
      </c>
      <c r="M401" s="274" t="s">
        <v>198</v>
      </c>
      <c r="N401" s="275">
        <v>1005</v>
      </c>
      <c r="O401" s="275">
        <v>1000</v>
      </c>
      <c r="P401" s="275">
        <v>4000</v>
      </c>
      <c r="Q401" s="274">
        <v>2</v>
      </c>
      <c r="R401" s="274">
        <v>6</v>
      </c>
      <c r="S401" s="274" t="s">
        <v>354</v>
      </c>
      <c r="T401" s="276">
        <v>45037</v>
      </c>
      <c r="U401" s="276">
        <v>45069</v>
      </c>
      <c r="V401" s="274" t="s">
        <v>355</v>
      </c>
      <c r="W401" s="274"/>
      <c r="X401" s="274"/>
      <c r="Y401" s="239"/>
      <c r="Z401" s="146" t="str">
        <f t="shared" ca="1" si="6"/>
        <v/>
      </c>
      <c r="AA401" s="146" t="str">
        <f ca="1">IFERROR(IF(OR(OFFSET('S4'!#REF!,MATCH($A401,'S4'!$D$5:$D$2535,0)-1,6)="巻返し",OFFSET('S4'!#REF!,MATCH($A401,'S4'!$D$5:$D$2535,0)-1,6)="スリット"),SUMIF('S4'!$D$5:$D$2535,$A401,'S4'!$U$5:$U$2535),""),"")</f>
        <v/>
      </c>
      <c r="AB401" s="146" t="str">
        <f ca="1">IFERROR(IF(OR(OFFSET('S5'!#REF!,MATCH($A401,'S5'!$D$5:$D$2103,0)-1,6)="巻返し",OFFSET('S5'!#REF!,MATCH($A401,'S5'!$D$5:$D$2103,0)-1,6)="スリット"),SUMIF('S5'!$D$5:$D$2103,$A401,'S5'!$T$5:$T$2103),""),"")</f>
        <v/>
      </c>
    </row>
    <row r="402" spans="1:28" s="141" customFormat="1" ht="13.5" x14ac:dyDescent="0.15">
      <c r="A402" s="274">
        <v>3708719</v>
      </c>
      <c r="B402" s="274" t="s">
        <v>351</v>
      </c>
      <c r="C402" s="274" t="s">
        <v>352</v>
      </c>
      <c r="D402" s="274" t="s">
        <v>353</v>
      </c>
      <c r="E402" s="274" t="s">
        <v>116</v>
      </c>
      <c r="F402" s="274">
        <v>3</v>
      </c>
      <c r="G402" s="274" t="s">
        <v>19</v>
      </c>
      <c r="H402" s="274" t="s">
        <v>20</v>
      </c>
      <c r="I402" s="274" t="s">
        <v>165</v>
      </c>
      <c r="J402" s="274"/>
      <c r="K402" s="274" t="s">
        <v>172</v>
      </c>
      <c r="L402" s="274">
        <v>50</v>
      </c>
      <c r="M402" s="274" t="s">
        <v>173</v>
      </c>
      <c r="N402" s="275">
        <v>1005</v>
      </c>
      <c r="O402" s="275">
        <v>1000</v>
      </c>
      <c r="P402" s="275">
        <v>2000</v>
      </c>
      <c r="Q402" s="274">
        <v>2</v>
      </c>
      <c r="R402" s="274">
        <v>4</v>
      </c>
      <c r="S402" s="274" t="s">
        <v>354</v>
      </c>
      <c r="T402" s="276">
        <v>45037</v>
      </c>
      <c r="U402" s="276">
        <v>45069</v>
      </c>
      <c r="V402" s="274" t="s">
        <v>355</v>
      </c>
      <c r="W402" s="274"/>
      <c r="X402" s="274"/>
      <c r="Y402" s="239"/>
      <c r="Z402" s="146" t="str">
        <f t="shared" ca="1" si="6"/>
        <v/>
      </c>
      <c r="AA402" s="146" t="str">
        <f ca="1">IFERROR(IF(OR(OFFSET('S4'!#REF!,MATCH($A402,'S4'!$D$5:$D$2535,0)-1,6)="巻返し",OFFSET('S4'!#REF!,MATCH($A402,'S4'!$D$5:$D$2535,0)-1,6)="スリット"),SUMIF('S4'!$D$5:$D$2535,$A402,'S4'!$U$5:$U$2535),""),"")</f>
        <v/>
      </c>
      <c r="AB402" s="146" t="str">
        <f ca="1">IFERROR(IF(OR(OFFSET('S5'!#REF!,MATCH($A402,'S5'!$D$5:$D$2103,0)-1,6)="巻返し",OFFSET('S5'!#REF!,MATCH($A402,'S5'!$D$5:$D$2103,0)-1,6)="スリット"),SUMIF('S5'!$D$5:$D$2103,$A402,'S5'!$T$5:$T$2103),""),"")</f>
        <v/>
      </c>
    </row>
    <row r="403" spans="1:28" s="141" customFormat="1" ht="13.5" x14ac:dyDescent="0.15">
      <c r="A403" s="274">
        <v>3708720</v>
      </c>
      <c r="B403" s="274" t="s">
        <v>351</v>
      </c>
      <c r="C403" s="274" t="s">
        <v>352</v>
      </c>
      <c r="D403" s="274" t="s">
        <v>353</v>
      </c>
      <c r="E403" s="274" t="s">
        <v>116</v>
      </c>
      <c r="F403" s="274">
        <v>3</v>
      </c>
      <c r="G403" s="274" t="s">
        <v>19</v>
      </c>
      <c r="H403" s="274" t="s">
        <v>20</v>
      </c>
      <c r="I403" s="274" t="s">
        <v>165</v>
      </c>
      <c r="J403" s="274"/>
      <c r="K403" s="274" t="s">
        <v>176</v>
      </c>
      <c r="L403" s="274">
        <v>25</v>
      </c>
      <c r="M403" s="274" t="s">
        <v>177</v>
      </c>
      <c r="N403" s="275">
        <v>1005</v>
      </c>
      <c r="O403" s="275">
        <v>1000</v>
      </c>
      <c r="P403" s="275">
        <v>2000</v>
      </c>
      <c r="Q403" s="274">
        <v>2</v>
      </c>
      <c r="R403" s="274">
        <v>4</v>
      </c>
      <c r="S403" s="274" t="s">
        <v>354</v>
      </c>
      <c r="T403" s="276">
        <v>45037</v>
      </c>
      <c r="U403" s="276">
        <v>45069</v>
      </c>
      <c r="V403" s="274" t="s">
        <v>355</v>
      </c>
      <c r="W403" s="274"/>
      <c r="X403" s="274"/>
      <c r="Y403" s="239"/>
      <c r="Z403" s="146" t="str">
        <f t="shared" ca="1" si="6"/>
        <v/>
      </c>
      <c r="AA403" s="146" t="str">
        <f ca="1">IFERROR(IF(OR(OFFSET('S4'!#REF!,MATCH($A403,'S4'!$D$5:$D$2535,0)-1,6)="巻返し",OFFSET('S4'!#REF!,MATCH($A403,'S4'!$D$5:$D$2535,0)-1,6)="スリット"),SUMIF('S4'!$D$5:$D$2535,$A403,'S4'!$U$5:$U$2535),""),"")</f>
        <v/>
      </c>
      <c r="AB403" s="146" t="str">
        <f ca="1">IFERROR(IF(OR(OFFSET('S5'!#REF!,MATCH($A403,'S5'!$D$5:$D$2103,0)-1,6)="巻返し",OFFSET('S5'!#REF!,MATCH($A403,'S5'!$D$5:$D$2103,0)-1,6)="スリット"),SUMIF('S5'!$D$5:$D$2103,$A403,'S5'!$T$5:$T$2103),""),"")</f>
        <v/>
      </c>
    </row>
    <row r="404" spans="1:28" s="141" customFormat="1" ht="13.5" x14ac:dyDescent="0.15">
      <c r="A404" s="274">
        <v>3708721</v>
      </c>
      <c r="B404" s="274" t="s">
        <v>351</v>
      </c>
      <c r="C404" s="274" t="s">
        <v>352</v>
      </c>
      <c r="D404" s="274" t="s">
        <v>353</v>
      </c>
      <c r="E404" s="274" t="s">
        <v>116</v>
      </c>
      <c r="F404" s="274">
        <v>3</v>
      </c>
      <c r="G404" s="274" t="s">
        <v>19</v>
      </c>
      <c r="H404" s="274" t="s">
        <v>20</v>
      </c>
      <c r="I404" s="274" t="s">
        <v>165</v>
      </c>
      <c r="J404" s="274"/>
      <c r="K404" s="274" t="s">
        <v>176</v>
      </c>
      <c r="L404" s="274">
        <v>50</v>
      </c>
      <c r="M404" s="274" t="s">
        <v>177</v>
      </c>
      <c r="N404" s="275">
        <v>1005</v>
      </c>
      <c r="O404" s="275">
        <v>1000</v>
      </c>
      <c r="P404" s="275">
        <v>4000</v>
      </c>
      <c r="Q404" s="274">
        <v>2</v>
      </c>
      <c r="R404" s="274">
        <v>5</v>
      </c>
      <c r="S404" s="274" t="s">
        <v>354</v>
      </c>
      <c r="T404" s="276">
        <v>45037</v>
      </c>
      <c r="U404" s="276">
        <v>45069</v>
      </c>
      <c r="V404" s="274" t="s">
        <v>355</v>
      </c>
      <c r="W404" s="274"/>
      <c r="X404" s="274"/>
      <c r="Y404" s="239"/>
      <c r="Z404" s="146" t="str">
        <f t="shared" ca="1" si="6"/>
        <v/>
      </c>
      <c r="AA404" s="146" t="str">
        <f ca="1">IFERROR(IF(OR(OFFSET('S4'!#REF!,MATCH($A404,'S4'!$D$5:$D$2535,0)-1,6)="巻返し",OFFSET('S4'!#REF!,MATCH($A404,'S4'!$D$5:$D$2535,0)-1,6)="スリット"),SUMIF('S4'!$D$5:$D$2535,$A404,'S4'!$U$5:$U$2535),""),"")</f>
        <v/>
      </c>
      <c r="AB404" s="146" t="str">
        <f ca="1">IFERROR(IF(OR(OFFSET('S5'!#REF!,MATCH($A404,'S5'!$D$5:$D$2103,0)-1,6)="巻返し",OFFSET('S5'!#REF!,MATCH($A404,'S5'!$D$5:$D$2103,0)-1,6)="スリット"),SUMIF('S5'!$D$5:$D$2103,$A404,'S5'!$T$5:$T$2103),""),"")</f>
        <v/>
      </c>
    </row>
    <row r="405" spans="1:28" s="141" customFormat="1" ht="13.5" x14ac:dyDescent="0.15">
      <c r="A405" s="274">
        <v>3708722</v>
      </c>
      <c r="B405" s="274" t="s">
        <v>351</v>
      </c>
      <c r="C405" s="274" t="s">
        <v>352</v>
      </c>
      <c r="D405" s="274" t="s">
        <v>353</v>
      </c>
      <c r="E405" s="274" t="s">
        <v>116</v>
      </c>
      <c r="F405" s="274">
        <v>3</v>
      </c>
      <c r="G405" s="274" t="s">
        <v>19</v>
      </c>
      <c r="H405" s="274" t="s">
        <v>20</v>
      </c>
      <c r="I405" s="274" t="s">
        <v>165</v>
      </c>
      <c r="J405" s="274"/>
      <c r="K405" s="274" t="s">
        <v>176</v>
      </c>
      <c r="L405" s="274">
        <v>50</v>
      </c>
      <c r="M405" s="274" t="s">
        <v>177</v>
      </c>
      <c r="N405" s="275">
        <v>1005</v>
      </c>
      <c r="O405" s="275">
        <v>1000</v>
      </c>
      <c r="P405" s="275">
        <v>2000</v>
      </c>
      <c r="Q405" s="274">
        <v>2</v>
      </c>
      <c r="R405" s="274">
        <v>2</v>
      </c>
      <c r="S405" s="274" t="s">
        <v>354</v>
      </c>
      <c r="T405" s="276">
        <v>45037</v>
      </c>
      <c r="U405" s="276">
        <v>45069</v>
      </c>
      <c r="V405" s="274" t="s">
        <v>355</v>
      </c>
      <c r="W405" s="274"/>
      <c r="X405" s="274"/>
      <c r="Y405" s="239"/>
      <c r="Z405" s="146" t="str">
        <f t="shared" ca="1" si="6"/>
        <v/>
      </c>
      <c r="AA405" s="146" t="str">
        <f ca="1">IFERROR(IF(OR(OFFSET('S4'!#REF!,MATCH($A405,'S4'!$D$5:$D$2535,0)-1,6)="巻返し",OFFSET('S4'!#REF!,MATCH($A405,'S4'!$D$5:$D$2535,0)-1,6)="スリット"),SUMIF('S4'!$D$5:$D$2535,$A405,'S4'!$U$5:$U$2535),""),"")</f>
        <v/>
      </c>
      <c r="AB405" s="146" t="str">
        <f ca="1">IFERROR(IF(OR(OFFSET('S5'!#REF!,MATCH($A405,'S5'!$D$5:$D$2103,0)-1,6)="巻返し",OFFSET('S5'!#REF!,MATCH($A405,'S5'!$D$5:$D$2103,0)-1,6)="スリット"),SUMIF('S5'!$D$5:$D$2103,$A405,'S5'!$T$5:$T$2103),""),"")</f>
        <v/>
      </c>
    </row>
    <row r="406" spans="1:28" s="141" customFormat="1" ht="13.5" x14ac:dyDescent="0.15">
      <c r="A406" s="274">
        <v>3708724</v>
      </c>
      <c r="B406" s="274" t="s">
        <v>351</v>
      </c>
      <c r="C406" s="274" t="s">
        <v>352</v>
      </c>
      <c r="D406" s="274" t="s">
        <v>353</v>
      </c>
      <c r="E406" s="274" t="s">
        <v>116</v>
      </c>
      <c r="F406" s="274">
        <v>3</v>
      </c>
      <c r="G406" s="274" t="s">
        <v>19</v>
      </c>
      <c r="H406" s="274" t="s">
        <v>28</v>
      </c>
      <c r="I406" s="274" t="s">
        <v>205</v>
      </c>
      <c r="J406" s="274"/>
      <c r="K406" s="274" t="s">
        <v>235</v>
      </c>
      <c r="L406" s="274">
        <v>50</v>
      </c>
      <c r="M406" s="274" t="s">
        <v>236</v>
      </c>
      <c r="N406" s="275">
        <v>1120</v>
      </c>
      <c r="O406" s="275">
        <v>1120</v>
      </c>
      <c r="P406" s="275">
        <v>4000</v>
      </c>
      <c r="Q406" s="274">
        <v>2</v>
      </c>
      <c r="R406" s="274">
        <v>16</v>
      </c>
      <c r="S406" s="274" t="s">
        <v>354</v>
      </c>
      <c r="T406" s="276">
        <v>45037</v>
      </c>
      <c r="U406" s="276">
        <v>45072</v>
      </c>
      <c r="V406" s="274" t="s">
        <v>355</v>
      </c>
      <c r="W406" s="274"/>
      <c r="X406" s="274"/>
      <c r="Y406" s="239"/>
      <c r="Z406" s="146" t="str">
        <f t="shared" ca="1" si="6"/>
        <v/>
      </c>
      <c r="AA406" s="146" t="str">
        <f ca="1">IFERROR(IF(OR(OFFSET('S4'!#REF!,MATCH($A406,'S4'!$D$5:$D$2535,0)-1,6)="巻返し",OFFSET('S4'!#REF!,MATCH($A406,'S4'!$D$5:$D$2535,0)-1,6)="スリット"),SUMIF('S4'!$D$5:$D$2535,$A406,'S4'!$U$5:$U$2535),""),"")</f>
        <v/>
      </c>
      <c r="AB406" s="146" t="str">
        <f ca="1">IFERROR(IF(OR(OFFSET('S5'!#REF!,MATCH($A406,'S5'!$D$5:$D$2103,0)-1,6)="巻返し",OFFSET('S5'!#REF!,MATCH($A406,'S5'!$D$5:$D$2103,0)-1,6)="スリット"),SUMIF('S5'!$D$5:$D$2103,$A406,'S5'!$T$5:$T$2103),""),"")</f>
        <v/>
      </c>
    </row>
    <row r="407" spans="1:28" s="141" customFormat="1" ht="13.5" x14ac:dyDescent="0.15">
      <c r="A407" s="274">
        <v>3708725</v>
      </c>
      <c r="B407" s="274" t="s">
        <v>351</v>
      </c>
      <c r="C407" s="274" t="s">
        <v>352</v>
      </c>
      <c r="D407" s="274" t="s">
        <v>353</v>
      </c>
      <c r="E407" s="274" t="s">
        <v>116</v>
      </c>
      <c r="F407" s="274">
        <v>3</v>
      </c>
      <c r="G407" s="274" t="s">
        <v>19</v>
      </c>
      <c r="H407" s="274" t="s">
        <v>28</v>
      </c>
      <c r="I407" s="274" t="s">
        <v>205</v>
      </c>
      <c r="J407" s="274"/>
      <c r="K407" s="274" t="s">
        <v>226</v>
      </c>
      <c r="L407" s="274">
        <v>50</v>
      </c>
      <c r="M407" s="274" t="s">
        <v>227</v>
      </c>
      <c r="N407" s="275">
        <v>1120</v>
      </c>
      <c r="O407" s="275">
        <v>1120</v>
      </c>
      <c r="P407" s="275">
        <v>5000</v>
      </c>
      <c r="Q407" s="274">
        <v>2</v>
      </c>
      <c r="R407" s="274">
        <v>2</v>
      </c>
      <c r="S407" s="274" t="s">
        <v>354</v>
      </c>
      <c r="T407" s="276">
        <v>45037</v>
      </c>
      <c r="U407" s="276">
        <v>45072</v>
      </c>
      <c r="V407" s="274" t="s">
        <v>355</v>
      </c>
      <c r="W407" s="274"/>
      <c r="X407" s="274"/>
      <c r="Y407" s="239"/>
      <c r="Z407" s="146" t="str">
        <f t="shared" ca="1" si="6"/>
        <v/>
      </c>
      <c r="AA407" s="146" t="str">
        <f ca="1">IFERROR(IF(OR(OFFSET('S4'!#REF!,MATCH($A407,'S4'!$D$5:$D$2535,0)-1,6)="巻返し",OFFSET('S4'!#REF!,MATCH($A407,'S4'!$D$5:$D$2535,0)-1,6)="スリット"),SUMIF('S4'!$D$5:$D$2535,$A407,'S4'!$U$5:$U$2535),""),"")</f>
        <v/>
      </c>
      <c r="AB407" s="146" t="str">
        <f ca="1">IFERROR(IF(OR(OFFSET('S5'!#REF!,MATCH($A407,'S5'!$D$5:$D$2103,0)-1,6)="巻返し",OFFSET('S5'!#REF!,MATCH($A407,'S5'!$D$5:$D$2103,0)-1,6)="スリット"),SUMIF('S5'!$D$5:$D$2103,$A407,'S5'!$T$5:$T$2103),""),"")</f>
        <v/>
      </c>
    </row>
    <row r="408" spans="1:28" s="141" customFormat="1" ht="13.5" x14ac:dyDescent="0.15">
      <c r="A408" s="274">
        <v>3708726</v>
      </c>
      <c r="B408" s="274" t="s">
        <v>351</v>
      </c>
      <c r="C408" s="274" t="s">
        <v>358</v>
      </c>
      <c r="D408" s="274" t="s">
        <v>353</v>
      </c>
      <c r="E408" s="274" t="s">
        <v>61</v>
      </c>
      <c r="F408" s="274">
        <v>3</v>
      </c>
      <c r="G408" s="274" t="s">
        <v>19</v>
      </c>
      <c r="H408" s="274" t="s">
        <v>20</v>
      </c>
      <c r="I408" s="274" t="s">
        <v>205</v>
      </c>
      <c r="J408" s="274"/>
      <c r="K408" s="274" t="s">
        <v>242</v>
      </c>
      <c r="L408" s="274">
        <v>50</v>
      </c>
      <c r="M408" s="274" t="s">
        <v>243</v>
      </c>
      <c r="N408" s="275">
        <v>1255</v>
      </c>
      <c r="O408" s="275">
        <v>1250</v>
      </c>
      <c r="P408" s="275">
        <v>2000</v>
      </c>
      <c r="Q408" s="274">
        <v>2</v>
      </c>
      <c r="R408" s="274">
        <v>3</v>
      </c>
      <c r="S408" s="274" t="s">
        <v>354</v>
      </c>
      <c r="T408" s="276">
        <v>45037</v>
      </c>
      <c r="U408" s="276">
        <v>45077</v>
      </c>
      <c r="V408" s="274" t="s">
        <v>355</v>
      </c>
      <c r="W408" s="274"/>
      <c r="X408" s="274"/>
      <c r="Y408" s="239"/>
      <c r="Z408" s="146" t="str">
        <f t="shared" ca="1" si="6"/>
        <v/>
      </c>
      <c r="AA408" s="146" t="str">
        <f ca="1">IFERROR(IF(OR(OFFSET('S4'!#REF!,MATCH($A408,'S4'!$D$5:$D$2535,0)-1,6)="巻返し",OFFSET('S4'!#REF!,MATCH($A408,'S4'!$D$5:$D$2535,0)-1,6)="スリット"),SUMIF('S4'!$D$5:$D$2535,$A408,'S4'!$U$5:$U$2535),""),"")</f>
        <v/>
      </c>
      <c r="AB408" s="146" t="str">
        <f ca="1">IFERROR(IF(OR(OFFSET('S5'!#REF!,MATCH($A408,'S5'!$D$5:$D$2103,0)-1,6)="巻返し",OFFSET('S5'!#REF!,MATCH($A408,'S5'!$D$5:$D$2103,0)-1,6)="スリット"),SUMIF('S5'!$D$5:$D$2103,$A408,'S5'!$T$5:$T$2103),""),"")</f>
        <v/>
      </c>
    </row>
    <row r="409" spans="1:28" s="141" customFormat="1" ht="13.5" x14ac:dyDescent="0.15">
      <c r="A409" s="274">
        <v>3709496</v>
      </c>
      <c r="B409" s="274" t="s">
        <v>423</v>
      </c>
      <c r="C409" s="274" t="s">
        <v>358</v>
      </c>
      <c r="D409" s="274" t="s">
        <v>353</v>
      </c>
      <c r="E409" s="274" t="s">
        <v>61</v>
      </c>
      <c r="F409" s="274">
        <v>3</v>
      </c>
      <c r="G409" s="274" t="s">
        <v>265</v>
      </c>
      <c r="H409" s="274" t="s">
        <v>20</v>
      </c>
      <c r="I409" s="274" t="s">
        <v>205</v>
      </c>
      <c r="J409" s="274"/>
      <c r="K409" s="274" t="s">
        <v>242</v>
      </c>
      <c r="L409" s="274">
        <v>50</v>
      </c>
      <c r="M409" s="274" t="s">
        <v>243</v>
      </c>
      <c r="N409" s="275">
        <v>1255</v>
      </c>
      <c r="O409" s="275">
        <v>1250</v>
      </c>
      <c r="P409" s="275">
        <v>3000</v>
      </c>
      <c r="Q409" s="274">
        <v>2</v>
      </c>
      <c r="R409" s="274">
        <v>2</v>
      </c>
      <c r="S409" s="274" t="s">
        <v>354</v>
      </c>
      <c r="T409" s="276">
        <v>45041</v>
      </c>
      <c r="U409" s="276">
        <v>45077</v>
      </c>
      <c r="V409" s="274" t="s">
        <v>355</v>
      </c>
      <c r="W409" s="274"/>
      <c r="X409" s="274"/>
      <c r="Y409" s="143"/>
      <c r="Z409" s="146" t="str">
        <f t="shared" ca="1" si="6"/>
        <v/>
      </c>
      <c r="AA409" s="146" t="str">
        <f ca="1">IFERROR(IF(OR(OFFSET('S4'!#REF!,MATCH($A409,'S4'!$D$5:$D$2535,0)-1,6)="巻返し",OFFSET('S4'!#REF!,MATCH($A409,'S4'!$D$5:$D$2535,0)-1,6)="スリット"),SUMIF('S4'!$D$5:$D$2535,$A409,'S4'!$U$5:$U$2535),""),"")</f>
        <v/>
      </c>
      <c r="AB409" s="146" t="str">
        <f ca="1">IFERROR(IF(OR(OFFSET('S5'!#REF!,MATCH($A409,'S5'!$D$5:$D$2103,0)-1,6)="巻返し",OFFSET('S5'!#REF!,MATCH($A409,'S5'!$D$5:$D$2103,0)-1,6)="スリット"),SUMIF('S5'!$D$5:$D$2103,$A409,'S5'!$T$5:$T$2103),""),"")</f>
        <v/>
      </c>
    </row>
    <row r="410" spans="1:28" s="141" customFormat="1" ht="13.5" x14ac:dyDescent="0.15">
      <c r="A410" s="274">
        <v>3711137</v>
      </c>
      <c r="B410" s="274" t="s">
        <v>351</v>
      </c>
      <c r="C410" s="274" t="s">
        <v>356</v>
      </c>
      <c r="D410" s="274" t="s">
        <v>353</v>
      </c>
      <c r="E410" s="274" t="s">
        <v>17</v>
      </c>
      <c r="F410" s="274">
        <v>3</v>
      </c>
      <c r="G410" s="274" t="s">
        <v>19</v>
      </c>
      <c r="H410" s="274" t="s">
        <v>20</v>
      </c>
      <c r="I410" s="274" t="s">
        <v>205</v>
      </c>
      <c r="J410" s="274"/>
      <c r="K410" s="274" t="s">
        <v>242</v>
      </c>
      <c r="L410" s="274">
        <v>75</v>
      </c>
      <c r="M410" s="274" t="s">
        <v>243</v>
      </c>
      <c r="N410" s="275">
        <v>1000</v>
      </c>
      <c r="O410" s="275">
        <v>1000</v>
      </c>
      <c r="P410" s="275">
        <v>1000</v>
      </c>
      <c r="Q410" s="274">
        <v>2</v>
      </c>
      <c r="R410" s="274">
        <v>2</v>
      </c>
      <c r="S410" s="274" t="s">
        <v>354</v>
      </c>
      <c r="T410" s="276">
        <v>45056</v>
      </c>
      <c r="U410" s="276">
        <v>45061</v>
      </c>
      <c r="V410" s="274" t="s">
        <v>355</v>
      </c>
      <c r="W410" s="274"/>
      <c r="X410" s="274"/>
      <c r="Y410" s="143"/>
      <c r="Z410" s="146" t="str">
        <f t="shared" ca="1" si="6"/>
        <v/>
      </c>
      <c r="AA410" s="146" t="str">
        <f ca="1">IFERROR(IF(OR(OFFSET('S4'!#REF!,MATCH($A410,'S4'!$D$5:$D$2535,0)-1,6)="巻返し",OFFSET('S4'!#REF!,MATCH($A410,'S4'!$D$5:$D$2535,0)-1,6)="スリット"),SUMIF('S4'!$D$5:$D$2535,$A410,'S4'!$U$5:$U$2535),""),"")</f>
        <v/>
      </c>
      <c r="AB410" s="146" t="str">
        <f ca="1">IFERROR(IF(OR(OFFSET('S5'!#REF!,MATCH($A410,'S5'!$D$5:$D$2103,0)-1,6)="巻返し",OFFSET('S5'!#REF!,MATCH($A410,'S5'!$D$5:$D$2103,0)-1,6)="スリット"),SUMIF('S5'!$D$5:$D$2103,$A410,'S5'!$T$5:$T$2103),""),"")</f>
        <v/>
      </c>
    </row>
    <row r="411" spans="1:28" s="141" customFormat="1" ht="13.5" x14ac:dyDescent="0.15">
      <c r="A411" s="274">
        <v>3711151</v>
      </c>
      <c r="B411" s="274" t="s">
        <v>510</v>
      </c>
      <c r="C411" s="274" t="s">
        <v>352</v>
      </c>
      <c r="D411" s="274" t="s">
        <v>353</v>
      </c>
      <c r="E411" s="274" t="s">
        <v>116</v>
      </c>
      <c r="F411" s="274">
        <v>3</v>
      </c>
      <c r="G411" s="274" t="s">
        <v>269</v>
      </c>
      <c r="H411" s="274" t="s">
        <v>20</v>
      </c>
      <c r="I411" s="274" t="s">
        <v>165</v>
      </c>
      <c r="J411" s="274"/>
      <c r="K411" s="274" t="s">
        <v>172</v>
      </c>
      <c r="L411" s="274">
        <v>50</v>
      </c>
      <c r="M411" s="274" t="s">
        <v>576</v>
      </c>
      <c r="N411" s="275">
        <v>1005</v>
      </c>
      <c r="O411" s="275">
        <v>1000</v>
      </c>
      <c r="P411" s="275">
        <v>2000</v>
      </c>
      <c r="Q411" s="274">
        <v>2</v>
      </c>
      <c r="R411" s="274">
        <v>4</v>
      </c>
      <c r="S411" s="274" t="s">
        <v>354</v>
      </c>
      <c r="T411" s="276">
        <v>45056</v>
      </c>
      <c r="U411" s="276">
        <v>45069</v>
      </c>
      <c r="V411" s="274" t="s">
        <v>428</v>
      </c>
      <c r="W411" s="274"/>
      <c r="X411" s="274"/>
      <c r="Y411" s="143"/>
      <c r="Z411" s="146" t="str">
        <f t="shared" ca="1" si="6"/>
        <v/>
      </c>
      <c r="AA411" s="146" t="str">
        <f ca="1">IFERROR(IF(OR(OFFSET('S4'!#REF!,MATCH($A411,'S4'!$D$5:$D$2535,0)-1,6)="巻返し",OFFSET('S4'!#REF!,MATCH($A411,'S4'!$D$5:$D$2535,0)-1,6)="スリット"),SUMIF('S4'!$D$5:$D$2535,$A411,'S4'!$U$5:$U$2535),""),"")</f>
        <v/>
      </c>
      <c r="AB411" s="146" t="str">
        <f ca="1">IFERROR(IF(OR(OFFSET('S5'!#REF!,MATCH($A411,'S5'!$D$5:$D$2103,0)-1,6)="巻返し",OFFSET('S5'!#REF!,MATCH($A411,'S5'!$D$5:$D$2103,0)-1,6)="スリット"),SUMIF('S5'!$D$5:$D$2103,$A411,'S5'!$T$5:$T$2103),""),"")</f>
        <v/>
      </c>
    </row>
    <row r="412" spans="1:28" s="141" customFormat="1" ht="13.5" x14ac:dyDescent="0.15">
      <c r="A412" s="274">
        <v>3711152</v>
      </c>
      <c r="B412" s="274" t="s">
        <v>510</v>
      </c>
      <c r="C412" s="274" t="s">
        <v>352</v>
      </c>
      <c r="D412" s="274" t="s">
        <v>353</v>
      </c>
      <c r="E412" s="274" t="s">
        <v>116</v>
      </c>
      <c r="F412" s="274">
        <v>3</v>
      </c>
      <c r="G412" s="274" t="s">
        <v>269</v>
      </c>
      <c r="H412" s="274" t="s">
        <v>20</v>
      </c>
      <c r="I412" s="274" t="s">
        <v>165</v>
      </c>
      <c r="J412" s="274"/>
      <c r="K412" s="274" t="s">
        <v>176</v>
      </c>
      <c r="L412" s="274">
        <v>50</v>
      </c>
      <c r="M412" s="274" t="s">
        <v>177</v>
      </c>
      <c r="N412" s="275">
        <v>1005</v>
      </c>
      <c r="O412" s="275">
        <v>1000</v>
      </c>
      <c r="P412" s="275">
        <v>4000</v>
      </c>
      <c r="Q412" s="274">
        <v>2</v>
      </c>
      <c r="R412" s="274">
        <v>5</v>
      </c>
      <c r="S412" s="274" t="s">
        <v>354</v>
      </c>
      <c r="T412" s="276">
        <v>45056</v>
      </c>
      <c r="U412" s="276">
        <v>45069</v>
      </c>
      <c r="V412" s="274" t="s">
        <v>428</v>
      </c>
      <c r="W412" s="274"/>
      <c r="X412" s="274"/>
      <c r="Y412" s="143"/>
      <c r="Z412" s="146" t="str">
        <f t="shared" ca="1" si="6"/>
        <v/>
      </c>
      <c r="AA412" s="146" t="str">
        <f ca="1">IFERROR(IF(OR(OFFSET('S4'!#REF!,MATCH($A412,'S4'!$D$5:$D$2535,0)-1,6)="巻返し",OFFSET('S4'!#REF!,MATCH($A412,'S4'!$D$5:$D$2535,0)-1,6)="スリット"),SUMIF('S4'!$D$5:$D$2535,$A412,'S4'!$U$5:$U$2535),""),"")</f>
        <v/>
      </c>
      <c r="AB412" s="146" t="str">
        <f ca="1">IFERROR(IF(OR(OFFSET('S5'!#REF!,MATCH($A412,'S5'!$D$5:$D$2103,0)-1,6)="巻返し",OFFSET('S5'!#REF!,MATCH($A412,'S5'!$D$5:$D$2103,0)-1,6)="スリット"),SUMIF('S5'!$D$5:$D$2103,$A412,'S5'!$T$5:$T$2103),""),"")</f>
        <v/>
      </c>
    </row>
    <row r="413" spans="1:28" s="141" customFormat="1" ht="13.5" x14ac:dyDescent="0.15">
      <c r="A413" s="274">
        <v>3711153</v>
      </c>
      <c r="B413" s="274" t="s">
        <v>510</v>
      </c>
      <c r="C413" s="274" t="s">
        <v>352</v>
      </c>
      <c r="D413" s="274" t="s">
        <v>353</v>
      </c>
      <c r="E413" s="274" t="s">
        <v>116</v>
      </c>
      <c r="F413" s="274">
        <v>3</v>
      </c>
      <c r="G413" s="274" t="s">
        <v>269</v>
      </c>
      <c r="H413" s="274" t="s">
        <v>20</v>
      </c>
      <c r="I413" s="274" t="s">
        <v>165</v>
      </c>
      <c r="J413" s="274"/>
      <c r="K413" s="274" t="s">
        <v>176</v>
      </c>
      <c r="L413" s="274">
        <v>25</v>
      </c>
      <c r="M413" s="274" t="s">
        <v>577</v>
      </c>
      <c r="N413" s="275">
        <v>1005</v>
      </c>
      <c r="O413" s="275">
        <v>1000</v>
      </c>
      <c r="P413" s="275">
        <v>2000</v>
      </c>
      <c r="Q413" s="274">
        <v>2</v>
      </c>
      <c r="R413" s="274">
        <v>4</v>
      </c>
      <c r="S413" s="274" t="s">
        <v>354</v>
      </c>
      <c r="T413" s="276">
        <v>45056</v>
      </c>
      <c r="U413" s="276">
        <v>45069</v>
      </c>
      <c r="V413" s="274" t="s">
        <v>428</v>
      </c>
      <c r="W413" s="274"/>
      <c r="X413" s="274"/>
      <c r="Y413" s="143"/>
      <c r="Z413" s="146" t="str">
        <f t="shared" ca="1" si="6"/>
        <v/>
      </c>
      <c r="AA413" s="146" t="str">
        <f ca="1">IFERROR(IF(OR(OFFSET('S4'!#REF!,MATCH($A413,'S4'!$D$5:$D$2535,0)-1,6)="巻返し",OFFSET('S4'!#REF!,MATCH($A413,'S4'!$D$5:$D$2535,0)-1,6)="スリット"),SUMIF('S4'!$D$5:$D$2535,$A413,'S4'!$U$5:$U$2535),""),"")</f>
        <v/>
      </c>
      <c r="AB413" s="146" t="str">
        <f ca="1">IFERROR(IF(OR(OFFSET('S5'!#REF!,MATCH($A413,'S5'!$D$5:$D$2103,0)-1,6)="巻返し",OFFSET('S5'!#REF!,MATCH($A413,'S5'!$D$5:$D$2103,0)-1,6)="スリット"),SUMIF('S5'!$D$5:$D$2103,$A413,'S5'!$T$5:$T$2103),""),"")</f>
        <v/>
      </c>
    </row>
    <row r="414" spans="1:28" s="141" customFormat="1" ht="13.5" x14ac:dyDescent="0.15">
      <c r="A414" s="274">
        <v>3712089</v>
      </c>
      <c r="B414" s="274" t="s">
        <v>351</v>
      </c>
      <c r="C414" s="274" t="s">
        <v>352</v>
      </c>
      <c r="D414" s="274" t="s">
        <v>353</v>
      </c>
      <c r="E414" s="274" t="s">
        <v>232</v>
      </c>
      <c r="F414" s="274">
        <v>3</v>
      </c>
      <c r="G414" s="274" t="s">
        <v>19</v>
      </c>
      <c r="H414" s="274" t="s">
        <v>20</v>
      </c>
      <c r="I414" s="274" t="s">
        <v>205</v>
      </c>
      <c r="J414" s="274"/>
      <c r="K414" s="274" t="s">
        <v>230</v>
      </c>
      <c r="L414" s="274">
        <v>25</v>
      </c>
      <c r="M414" s="274" t="s">
        <v>231</v>
      </c>
      <c r="N414" s="275">
        <v>1020</v>
      </c>
      <c r="O414" s="275">
        <v>1020</v>
      </c>
      <c r="P414" s="275">
        <v>2000</v>
      </c>
      <c r="Q414" s="274">
        <v>1</v>
      </c>
      <c r="R414" s="274">
        <v>6</v>
      </c>
      <c r="S414" s="274" t="s">
        <v>354</v>
      </c>
      <c r="T414" s="276">
        <v>45068</v>
      </c>
      <c r="U414" s="276">
        <v>45100</v>
      </c>
      <c r="V414" s="274" t="s">
        <v>355</v>
      </c>
      <c r="W414" s="274"/>
      <c r="X414" s="274"/>
      <c r="Y414" s="143"/>
      <c r="Z414" s="146" t="str">
        <f t="shared" ca="1" si="6"/>
        <v/>
      </c>
      <c r="AA414" s="146" t="str">
        <f ca="1">IFERROR(IF(OR(OFFSET('S4'!#REF!,MATCH($A414,'S4'!$D$5:$D$2535,0)-1,6)="巻返し",OFFSET('S4'!#REF!,MATCH($A414,'S4'!$D$5:$D$2535,0)-1,6)="スリット"),SUMIF('S4'!$D$5:$D$2535,$A414,'S4'!$U$5:$U$2535),""),"")</f>
        <v/>
      </c>
      <c r="AB414" s="146" t="str">
        <f ca="1">IFERROR(IF(OR(OFFSET('S5'!#REF!,MATCH($A414,'S5'!$D$5:$D$2103,0)-1,6)="巻返し",OFFSET('S5'!#REF!,MATCH($A414,'S5'!$D$5:$D$2103,0)-1,6)="スリット"),SUMIF('S5'!$D$5:$D$2103,$A414,'S5'!$T$5:$T$2103),""),"")</f>
        <v/>
      </c>
    </row>
    <row r="415" spans="1:28" s="141" customFormat="1" ht="13.5" x14ac:dyDescent="0.15">
      <c r="A415" s="274">
        <v>3712090</v>
      </c>
      <c r="B415" s="274" t="s">
        <v>351</v>
      </c>
      <c r="C415" s="274" t="s">
        <v>364</v>
      </c>
      <c r="D415" s="274" t="s">
        <v>353</v>
      </c>
      <c r="E415" s="274" t="s">
        <v>171</v>
      </c>
      <c r="F415" s="274">
        <v>3</v>
      </c>
      <c r="G415" s="274" t="s">
        <v>19</v>
      </c>
      <c r="H415" s="274" t="s">
        <v>20</v>
      </c>
      <c r="I415" s="274" t="s">
        <v>165</v>
      </c>
      <c r="J415" s="274"/>
      <c r="K415" s="274" t="s">
        <v>180</v>
      </c>
      <c r="L415" s="274">
        <v>50</v>
      </c>
      <c r="M415" s="274" t="s">
        <v>181</v>
      </c>
      <c r="N415" s="275">
        <v>1200</v>
      </c>
      <c r="O415" s="275">
        <v>1190</v>
      </c>
      <c r="P415" s="275">
        <v>6000</v>
      </c>
      <c r="Q415" s="274">
        <v>2</v>
      </c>
      <c r="R415" s="274">
        <v>6</v>
      </c>
      <c r="S415" s="274" t="s">
        <v>354</v>
      </c>
      <c r="T415" s="276">
        <v>45068</v>
      </c>
      <c r="U415" s="276">
        <v>45100</v>
      </c>
      <c r="V415" s="274" t="s">
        <v>355</v>
      </c>
      <c r="W415" s="274"/>
      <c r="X415" s="274"/>
      <c r="Y415" s="143"/>
      <c r="Z415" s="146" t="str">
        <f t="shared" ca="1" si="6"/>
        <v/>
      </c>
      <c r="AA415" s="146" t="str">
        <f ca="1">IFERROR(IF(OR(OFFSET('S4'!#REF!,MATCH($A415,'S4'!$D$5:$D$2535,0)-1,6)="巻返し",OFFSET('S4'!#REF!,MATCH($A415,'S4'!$D$5:$D$2535,0)-1,6)="スリット"),SUMIF('S4'!$D$5:$D$2535,$A415,'S4'!$U$5:$U$2535),""),"")</f>
        <v/>
      </c>
      <c r="AB415" s="146" t="str">
        <f ca="1">IFERROR(IF(OR(OFFSET('S5'!#REF!,MATCH($A415,'S5'!$D$5:$D$2103,0)-1,6)="巻返し",OFFSET('S5'!#REF!,MATCH($A415,'S5'!$D$5:$D$2103,0)-1,6)="スリット"),SUMIF('S5'!$D$5:$D$2103,$A415,'S5'!$T$5:$T$2103),""),"")</f>
        <v/>
      </c>
    </row>
    <row r="416" spans="1:28" s="141" customFormat="1" ht="13.5" x14ac:dyDescent="0.15">
      <c r="A416" s="274">
        <v>3712093</v>
      </c>
      <c r="B416" s="274" t="s">
        <v>351</v>
      </c>
      <c r="C416" s="274" t="s">
        <v>364</v>
      </c>
      <c r="D416" s="274" t="s">
        <v>353</v>
      </c>
      <c r="E416" s="274" t="s">
        <v>148</v>
      </c>
      <c r="F416" s="274">
        <v>3</v>
      </c>
      <c r="G416" s="274" t="s">
        <v>19</v>
      </c>
      <c r="H416" s="274" t="s">
        <v>20</v>
      </c>
      <c r="I416" s="274" t="s">
        <v>143</v>
      </c>
      <c r="J416" s="274"/>
      <c r="K416" s="274" t="s">
        <v>149</v>
      </c>
      <c r="L416" s="274">
        <v>25</v>
      </c>
      <c r="M416" s="274" t="s">
        <v>150</v>
      </c>
      <c r="N416" s="275">
        <v>1120</v>
      </c>
      <c r="O416" s="275">
        <v>1120</v>
      </c>
      <c r="P416" s="275">
        <v>6000</v>
      </c>
      <c r="Q416" s="274">
        <v>2</v>
      </c>
      <c r="R416" s="274">
        <v>2</v>
      </c>
      <c r="S416" s="274" t="s">
        <v>354</v>
      </c>
      <c r="T416" s="276">
        <v>45068</v>
      </c>
      <c r="U416" s="276">
        <v>45100</v>
      </c>
      <c r="V416" s="274" t="s">
        <v>355</v>
      </c>
      <c r="W416" s="274"/>
      <c r="X416" s="274"/>
      <c r="Y416" s="143"/>
      <c r="Z416" s="146" t="str">
        <f t="shared" ca="1" si="6"/>
        <v/>
      </c>
      <c r="AA416" s="146" t="str">
        <f ca="1">IFERROR(IF(OR(OFFSET('S4'!#REF!,MATCH($A416,'S4'!$D$5:$D$2535,0)-1,6)="巻返し",OFFSET('S4'!#REF!,MATCH($A416,'S4'!$D$5:$D$2535,0)-1,6)="スリット"),SUMIF('S4'!$D$5:$D$2535,$A416,'S4'!$U$5:$U$2535),""),"")</f>
        <v/>
      </c>
      <c r="AB416" s="146" t="str">
        <f ca="1">IFERROR(IF(OR(OFFSET('S5'!#REF!,MATCH($A416,'S5'!$D$5:$D$2103,0)-1,6)="巻返し",OFFSET('S5'!#REF!,MATCH($A416,'S5'!$D$5:$D$2103,0)-1,6)="スリット"),SUMIF('S5'!$D$5:$D$2103,$A416,'S5'!$T$5:$T$2103),""),"")</f>
        <v/>
      </c>
    </row>
    <row r="417" spans="1:28" s="141" customFormat="1" ht="13.5" x14ac:dyDescent="0.15">
      <c r="A417" s="274">
        <v>3712094</v>
      </c>
      <c r="B417" s="274" t="s">
        <v>351</v>
      </c>
      <c r="C417" s="274" t="s">
        <v>364</v>
      </c>
      <c r="D417" s="274" t="s">
        <v>353</v>
      </c>
      <c r="E417" s="274" t="s">
        <v>148</v>
      </c>
      <c r="F417" s="274">
        <v>3</v>
      </c>
      <c r="G417" s="274" t="s">
        <v>19</v>
      </c>
      <c r="H417" s="274" t="s">
        <v>20</v>
      </c>
      <c r="I417" s="274" t="s">
        <v>143</v>
      </c>
      <c r="J417" s="274"/>
      <c r="K417" s="274" t="s">
        <v>149</v>
      </c>
      <c r="L417" s="274">
        <v>50</v>
      </c>
      <c r="M417" s="274" t="s">
        <v>150</v>
      </c>
      <c r="N417" s="275">
        <v>1120</v>
      </c>
      <c r="O417" s="275">
        <v>1120</v>
      </c>
      <c r="P417" s="275">
        <v>6000</v>
      </c>
      <c r="Q417" s="274">
        <v>2</v>
      </c>
      <c r="R417" s="274">
        <v>3</v>
      </c>
      <c r="S417" s="274" t="s">
        <v>354</v>
      </c>
      <c r="T417" s="276">
        <v>45068</v>
      </c>
      <c r="U417" s="276">
        <v>45100</v>
      </c>
      <c r="V417" s="274" t="s">
        <v>355</v>
      </c>
      <c r="W417" s="274"/>
      <c r="X417" s="274"/>
      <c r="Y417" s="143"/>
      <c r="Z417" s="146" t="str">
        <f t="shared" ca="1" si="6"/>
        <v/>
      </c>
      <c r="AA417" s="146" t="str">
        <f ca="1">IFERROR(IF(OR(OFFSET('S4'!#REF!,MATCH($A417,'S4'!$D$5:$D$2535,0)-1,6)="巻返し",OFFSET('S4'!#REF!,MATCH($A417,'S4'!$D$5:$D$2535,0)-1,6)="スリット"),SUMIF('S4'!$D$5:$D$2535,$A417,'S4'!$U$5:$U$2535),""),"")</f>
        <v/>
      </c>
      <c r="AB417" s="146" t="str">
        <f ca="1">IFERROR(IF(OR(OFFSET('S5'!#REF!,MATCH($A417,'S5'!$D$5:$D$2103,0)-1,6)="巻返し",OFFSET('S5'!#REF!,MATCH($A417,'S5'!$D$5:$D$2103,0)-1,6)="スリット"),SUMIF('S5'!$D$5:$D$2103,$A417,'S5'!$T$5:$T$2103),""),"")</f>
        <v/>
      </c>
    </row>
    <row r="418" spans="1:28" s="141" customFormat="1" ht="13.5" x14ac:dyDescent="0.15">
      <c r="A418" s="274">
        <v>3712095</v>
      </c>
      <c r="B418" s="274" t="s">
        <v>351</v>
      </c>
      <c r="C418" s="274" t="s">
        <v>364</v>
      </c>
      <c r="D418" s="274" t="s">
        <v>353</v>
      </c>
      <c r="E418" s="274" t="s">
        <v>148</v>
      </c>
      <c r="F418" s="274">
        <v>3</v>
      </c>
      <c r="G418" s="274" t="s">
        <v>19</v>
      </c>
      <c r="H418" s="274" t="s">
        <v>20</v>
      </c>
      <c r="I418" s="274" t="s">
        <v>165</v>
      </c>
      <c r="J418" s="274"/>
      <c r="K418" s="274" t="s">
        <v>169</v>
      </c>
      <c r="L418" s="274">
        <v>50</v>
      </c>
      <c r="M418" s="274" t="s">
        <v>170</v>
      </c>
      <c r="N418" s="275">
        <v>1120</v>
      </c>
      <c r="O418" s="275">
        <v>1120</v>
      </c>
      <c r="P418" s="275">
        <v>6000</v>
      </c>
      <c r="Q418" s="274">
        <v>2</v>
      </c>
      <c r="R418" s="274">
        <v>4</v>
      </c>
      <c r="S418" s="274" t="s">
        <v>354</v>
      </c>
      <c r="T418" s="276">
        <v>45068</v>
      </c>
      <c r="U418" s="276">
        <v>45100</v>
      </c>
      <c r="V418" s="274" t="s">
        <v>355</v>
      </c>
      <c r="W418" s="274"/>
      <c r="X418" s="274"/>
      <c r="Y418" s="143"/>
      <c r="Z418" s="146" t="str">
        <f t="shared" ca="1" si="6"/>
        <v/>
      </c>
      <c r="AA418" s="146" t="str">
        <f ca="1">IFERROR(IF(OR(OFFSET('S4'!#REF!,MATCH($A418,'S4'!$D$5:$D$2535,0)-1,6)="巻返し",OFFSET('S4'!#REF!,MATCH($A418,'S4'!$D$5:$D$2535,0)-1,6)="スリット"),SUMIF('S4'!$D$5:$D$2535,$A418,'S4'!$U$5:$U$2535),""),"")</f>
        <v/>
      </c>
      <c r="AB418" s="146" t="str">
        <f ca="1">IFERROR(IF(OR(OFFSET('S5'!#REF!,MATCH($A418,'S5'!$D$5:$D$2103,0)-1,6)="巻返し",OFFSET('S5'!#REF!,MATCH($A418,'S5'!$D$5:$D$2103,0)-1,6)="スリット"),SUMIF('S5'!$D$5:$D$2103,$A418,'S5'!$T$5:$T$2103),""),"")</f>
        <v/>
      </c>
    </row>
    <row r="419" spans="1:28" s="141" customFormat="1" ht="13.5" x14ac:dyDescent="0.15">
      <c r="A419" s="274">
        <v>3712096</v>
      </c>
      <c r="B419" s="274" t="s">
        <v>351</v>
      </c>
      <c r="C419" s="274" t="s">
        <v>364</v>
      </c>
      <c r="D419" s="274" t="s">
        <v>353</v>
      </c>
      <c r="E419" s="274" t="s">
        <v>148</v>
      </c>
      <c r="F419" s="274">
        <v>3</v>
      </c>
      <c r="G419" s="274" t="s">
        <v>19</v>
      </c>
      <c r="H419" s="274" t="s">
        <v>20</v>
      </c>
      <c r="I419" s="274" t="s">
        <v>165</v>
      </c>
      <c r="J419" s="274"/>
      <c r="K419" s="274" t="s">
        <v>190</v>
      </c>
      <c r="L419" s="274">
        <v>25</v>
      </c>
      <c r="M419" s="274" t="s">
        <v>191</v>
      </c>
      <c r="N419" s="275">
        <v>1020</v>
      </c>
      <c r="O419" s="275">
        <v>1020</v>
      </c>
      <c r="P419" s="275">
        <v>6000</v>
      </c>
      <c r="Q419" s="274">
        <v>2</v>
      </c>
      <c r="R419" s="274">
        <v>6</v>
      </c>
      <c r="S419" s="274" t="s">
        <v>354</v>
      </c>
      <c r="T419" s="276">
        <v>45068</v>
      </c>
      <c r="U419" s="276">
        <v>45100</v>
      </c>
      <c r="V419" s="274" t="s">
        <v>355</v>
      </c>
      <c r="W419" s="274"/>
      <c r="X419" s="274"/>
      <c r="Y419" s="143"/>
      <c r="Z419" s="146" t="str">
        <f t="shared" ca="1" si="6"/>
        <v/>
      </c>
      <c r="AA419" s="146" t="str">
        <f ca="1">IFERROR(IF(OR(OFFSET('S4'!#REF!,MATCH($A419,'S4'!$D$5:$D$2535,0)-1,6)="巻返し",OFFSET('S4'!#REF!,MATCH($A419,'S4'!$D$5:$D$2535,0)-1,6)="スリット"),SUMIF('S4'!$D$5:$D$2535,$A419,'S4'!$U$5:$U$2535),""),"")</f>
        <v/>
      </c>
      <c r="AB419" s="146" t="str">
        <f ca="1">IFERROR(IF(OR(OFFSET('S5'!#REF!,MATCH($A419,'S5'!$D$5:$D$2103,0)-1,6)="巻返し",OFFSET('S5'!#REF!,MATCH($A419,'S5'!$D$5:$D$2103,0)-1,6)="スリット"),SUMIF('S5'!$D$5:$D$2103,$A419,'S5'!$T$5:$T$2103),""),"")</f>
        <v/>
      </c>
    </row>
    <row r="420" spans="1:28" s="141" customFormat="1" ht="13.5" x14ac:dyDescent="0.15">
      <c r="A420" s="274">
        <v>3712097</v>
      </c>
      <c r="B420" s="274" t="s">
        <v>351</v>
      </c>
      <c r="C420" s="274" t="s">
        <v>364</v>
      </c>
      <c r="D420" s="274" t="s">
        <v>353</v>
      </c>
      <c r="E420" s="274" t="s">
        <v>148</v>
      </c>
      <c r="F420" s="274">
        <v>3</v>
      </c>
      <c r="G420" s="274" t="s">
        <v>19</v>
      </c>
      <c r="H420" s="274" t="s">
        <v>20</v>
      </c>
      <c r="I420" s="274" t="s">
        <v>165</v>
      </c>
      <c r="J420" s="274"/>
      <c r="K420" s="274" t="s">
        <v>202</v>
      </c>
      <c r="L420" s="274">
        <v>50</v>
      </c>
      <c r="M420" s="274" t="s">
        <v>424</v>
      </c>
      <c r="N420" s="275">
        <v>1120</v>
      </c>
      <c r="O420" s="275">
        <v>1120</v>
      </c>
      <c r="P420" s="275">
        <v>5000</v>
      </c>
      <c r="Q420" s="274">
        <v>2</v>
      </c>
      <c r="R420" s="274">
        <v>4</v>
      </c>
      <c r="S420" s="274" t="s">
        <v>354</v>
      </c>
      <c r="T420" s="276">
        <v>45068</v>
      </c>
      <c r="U420" s="276">
        <v>45100</v>
      </c>
      <c r="V420" s="274" t="s">
        <v>355</v>
      </c>
      <c r="W420" s="274"/>
      <c r="X420" s="274"/>
      <c r="Y420" s="143"/>
      <c r="Z420" s="146" t="str">
        <f t="shared" ca="1" si="6"/>
        <v/>
      </c>
      <c r="AA420" s="146" t="str">
        <f ca="1">IFERROR(IF(OR(OFFSET('S4'!#REF!,MATCH($A420,'S4'!$D$5:$D$2535,0)-1,6)="巻返し",OFFSET('S4'!#REF!,MATCH($A420,'S4'!$D$5:$D$2535,0)-1,6)="スリット"),SUMIF('S4'!$D$5:$D$2535,$A420,'S4'!$U$5:$U$2535),""),"")</f>
        <v/>
      </c>
      <c r="AB420" s="146" t="str">
        <f ca="1">IFERROR(IF(OR(OFFSET('S5'!#REF!,MATCH($A420,'S5'!$D$5:$D$2103,0)-1,6)="巻返し",OFFSET('S5'!#REF!,MATCH($A420,'S5'!$D$5:$D$2103,0)-1,6)="スリット"),SUMIF('S5'!$D$5:$D$2103,$A420,'S5'!$T$5:$T$2103),""),"")</f>
        <v/>
      </c>
    </row>
    <row r="421" spans="1:28" s="141" customFormat="1" ht="13.5" x14ac:dyDescent="0.15">
      <c r="A421" s="274">
        <v>3712099</v>
      </c>
      <c r="B421" s="274" t="s">
        <v>351</v>
      </c>
      <c r="C421" s="274" t="s">
        <v>352</v>
      </c>
      <c r="D421" s="274" t="s">
        <v>353</v>
      </c>
      <c r="E421" s="274" t="s">
        <v>116</v>
      </c>
      <c r="F421" s="274">
        <v>3</v>
      </c>
      <c r="G421" s="274" t="s">
        <v>19</v>
      </c>
      <c r="H421" s="274" t="s">
        <v>20</v>
      </c>
      <c r="I421" s="274" t="s">
        <v>205</v>
      </c>
      <c r="J421" s="274"/>
      <c r="K421" s="274" t="s">
        <v>212</v>
      </c>
      <c r="L421" s="274">
        <v>25</v>
      </c>
      <c r="M421" s="274" t="s">
        <v>213</v>
      </c>
      <c r="N421" s="275">
        <v>1000</v>
      </c>
      <c r="O421" s="275">
        <v>1000</v>
      </c>
      <c r="P421" s="275">
        <v>4000</v>
      </c>
      <c r="Q421" s="274">
        <v>2</v>
      </c>
      <c r="R421" s="274">
        <v>3</v>
      </c>
      <c r="S421" s="274" t="s">
        <v>354</v>
      </c>
      <c r="T421" s="276">
        <v>45068</v>
      </c>
      <c r="U421" s="276">
        <v>45100</v>
      </c>
      <c r="V421" s="274" t="s">
        <v>355</v>
      </c>
      <c r="W421" s="274"/>
      <c r="X421" s="274"/>
      <c r="Y421" s="143"/>
      <c r="Z421" s="146" t="str">
        <f t="shared" ca="1" si="6"/>
        <v/>
      </c>
      <c r="AA421" s="146" t="str">
        <f ca="1">IFERROR(IF(OR(OFFSET('S4'!#REF!,MATCH($A421,'S4'!$D$5:$D$2535,0)-1,6)="巻返し",OFFSET('S4'!#REF!,MATCH($A421,'S4'!$D$5:$D$2535,0)-1,6)="スリット"),SUMIF('S4'!$D$5:$D$2535,$A421,'S4'!$U$5:$U$2535),""),"")</f>
        <v/>
      </c>
      <c r="AB421" s="146" t="str">
        <f ca="1">IFERROR(IF(OR(OFFSET('S5'!#REF!,MATCH($A421,'S5'!$D$5:$D$2103,0)-1,6)="巻返し",OFFSET('S5'!#REF!,MATCH($A421,'S5'!$D$5:$D$2103,0)-1,6)="スリット"),SUMIF('S5'!$D$5:$D$2103,$A421,'S5'!$T$5:$T$2103),""),"")</f>
        <v/>
      </c>
    </row>
    <row r="422" spans="1:28" s="141" customFormat="1" ht="13.5" x14ac:dyDescent="0.15">
      <c r="A422" s="274">
        <v>3712100</v>
      </c>
      <c r="B422" s="274" t="s">
        <v>351</v>
      </c>
      <c r="C422" s="274" t="s">
        <v>352</v>
      </c>
      <c r="D422" s="274" t="s">
        <v>353</v>
      </c>
      <c r="E422" s="274" t="s">
        <v>116</v>
      </c>
      <c r="F422" s="274">
        <v>3</v>
      </c>
      <c r="G422" s="274" t="s">
        <v>19</v>
      </c>
      <c r="H422" s="274" t="s">
        <v>20</v>
      </c>
      <c r="I422" s="274" t="s">
        <v>205</v>
      </c>
      <c r="J422" s="274"/>
      <c r="K422" s="274" t="s">
        <v>212</v>
      </c>
      <c r="L422" s="274">
        <v>25</v>
      </c>
      <c r="M422" s="274" t="s">
        <v>213</v>
      </c>
      <c r="N422" s="275">
        <v>1120</v>
      </c>
      <c r="O422" s="275">
        <v>1120</v>
      </c>
      <c r="P422" s="275">
        <v>4000</v>
      </c>
      <c r="Q422" s="274">
        <v>2</v>
      </c>
      <c r="R422" s="274">
        <v>3</v>
      </c>
      <c r="S422" s="274" t="s">
        <v>354</v>
      </c>
      <c r="T422" s="276">
        <v>45068</v>
      </c>
      <c r="U422" s="276">
        <v>45096</v>
      </c>
      <c r="V422" s="274" t="s">
        <v>355</v>
      </c>
      <c r="W422" s="274"/>
      <c r="X422" s="274"/>
      <c r="Y422" s="143"/>
      <c r="Z422" s="146" t="str">
        <f t="shared" ca="1" si="6"/>
        <v/>
      </c>
      <c r="AA422" s="146" t="str">
        <f ca="1">IFERROR(IF(OR(OFFSET('S4'!#REF!,MATCH($A422,'S4'!$D$5:$D$2535,0)-1,6)="巻返し",OFFSET('S4'!#REF!,MATCH($A422,'S4'!$D$5:$D$2535,0)-1,6)="スリット"),SUMIF('S4'!$D$5:$D$2535,$A422,'S4'!$U$5:$U$2535),""),"")</f>
        <v/>
      </c>
      <c r="AB422" s="146" t="str">
        <f ca="1">IFERROR(IF(OR(OFFSET('S5'!#REF!,MATCH($A422,'S5'!$D$5:$D$2103,0)-1,6)="巻返し",OFFSET('S5'!#REF!,MATCH($A422,'S5'!$D$5:$D$2103,0)-1,6)="スリット"),SUMIF('S5'!$D$5:$D$2103,$A422,'S5'!$T$5:$T$2103),""),"")</f>
        <v/>
      </c>
    </row>
    <row r="423" spans="1:28" s="141" customFormat="1" ht="13.5" x14ac:dyDescent="0.15">
      <c r="A423" s="274">
        <v>3712101</v>
      </c>
      <c r="B423" s="274" t="s">
        <v>351</v>
      </c>
      <c r="C423" s="274" t="s">
        <v>352</v>
      </c>
      <c r="D423" s="274" t="s">
        <v>353</v>
      </c>
      <c r="E423" s="274" t="s">
        <v>116</v>
      </c>
      <c r="F423" s="274">
        <v>3</v>
      </c>
      <c r="G423" s="274" t="s">
        <v>19</v>
      </c>
      <c r="H423" s="274" t="s">
        <v>20</v>
      </c>
      <c r="I423" s="274" t="s">
        <v>205</v>
      </c>
      <c r="J423" s="274"/>
      <c r="K423" s="274" t="s">
        <v>212</v>
      </c>
      <c r="L423" s="274">
        <v>50</v>
      </c>
      <c r="M423" s="274" t="s">
        <v>213</v>
      </c>
      <c r="N423" s="275">
        <v>1120</v>
      </c>
      <c r="O423" s="275">
        <v>1120</v>
      </c>
      <c r="P423" s="275">
        <v>4000</v>
      </c>
      <c r="Q423" s="274">
        <v>2</v>
      </c>
      <c r="R423" s="274">
        <v>18</v>
      </c>
      <c r="S423" s="274" t="s">
        <v>354</v>
      </c>
      <c r="T423" s="276">
        <v>45068</v>
      </c>
      <c r="U423" s="276">
        <v>45100</v>
      </c>
      <c r="V423" s="274" t="s">
        <v>355</v>
      </c>
      <c r="W423" s="274"/>
      <c r="X423" s="274"/>
      <c r="Y423" s="143"/>
      <c r="Z423" s="146" t="str">
        <f t="shared" ca="1" si="6"/>
        <v/>
      </c>
      <c r="AA423" s="146" t="str">
        <f ca="1">IFERROR(IF(OR(OFFSET('S4'!#REF!,MATCH($A423,'S4'!$D$5:$D$2535,0)-1,6)="巻返し",OFFSET('S4'!#REF!,MATCH($A423,'S4'!$D$5:$D$2535,0)-1,6)="スリット"),SUMIF('S4'!$D$5:$D$2535,$A423,'S4'!$U$5:$U$2535),""),"")</f>
        <v/>
      </c>
      <c r="AB423" s="146" t="str">
        <f ca="1">IFERROR(IF(OR(OFFSET('S5'!#REF!,MATCH($A423,'S5'!$D$5:$D$2103,0)-1,6)="巻返し",OFFSET('S5'!#REF!,MATCH($A423,'S5'!$D$5:$D$2103,0)-1,6)="スリット"),SUMIF('S5'!$D$5:$D$2103,$A423,'S5'!$T$5:$T$2103),""),"")</f>
        <v/>
      </c>
    </row>
    <row r="424" spans="1:28" s="141" customFormat="1" ht="13.5" x14ac:dyDescent="0.15">
      <c r="A424" s="274">
        <v>3712102</v>
      </c>
      <c r="B424" s="274" t="s">
        <v>351</v>
      </c>
      <c r="C424" s="274" t="s">
        <v>352</v>
      </c>
      <c r="D424" s="274" t="s">
        <v>353</v>
      </c>
      <c r="E424" s="274" t="s">
        <v>116</v>
      </c>
      <c r="F424" s="274">
        <v>3</v>
      </c>
      <c r="G424" s="274" t="s">
        <v>19</v>
      </c>
      <c r="H424" s="274" t="s">
        <v>20</v>
      </c>
      <c r="I424" s="274" t="s">
        <v>205</v>
      </c>
      <c r="J424" s="274"/>
      <c r="K424" s="274" t="s">
        <v>212</v>
      </c>
      <c r="L424" s="274">
        <v>50</v>
      </c>
      <c r="M424" s="274" t="s">
        <v>213</v>
      </c>
      <c r="N424" s="275">
        <v>1120</v>
      </c>
      <c r="O424" s="275">
        <v>1120</v>
      </c>
      <c r="P424" s="275">
        <v>4000</v>
      </c>
      <c r="Q424" s="274">
        <v>2</v>
      </c>
      <c r="R424" s="274">
        <v>9</v>
      </c>
      <c r="S424" s="274" t="s">
        <v>354</v>
      </c>
      <c r="T424" s="276">
        <v>45068</v>
      </c>
      <c r="U424" s="276">
        <v>45100</v>
      </c>
      <c r="V424" s="274" t="s">
        <v>355</v>
      </c>
      <c r="W424" s="274"/>
      <c r="X424" s="274"/>
      <c r="Y424" s="143"/>
      <c r="Z424" s="146" t="str">
        <f t="shared" ca="1" si="6"/>
        <v/>
      </c>
      <c r="AA424" s="146" t="str">
        <f ca="1">IFERROR(IF(OR(OFFSET('S4'!#REF!,MATCH($A424,'S4'!$D$5:$D$2535,0)-1,6)="巻返し",OFFSET('S4'!#REF!,MATCH($A424,'S4'!$D$5:$D$2535,0)-1,6)="スリット"),SUMIF('S4'!$D$5:$D$2535,$A424,'S4'!$U$5:$U$2535),""),"")</f>
        <v/>
      </c>
      <c r="AB424" s="146" t="str">
        <f ca="1">IFERROR(IF(OR(OFFSET('S5'!#REF!,MATCH($A424,'S5'!$D$5:$D$2103,0)-1,6)="巻返し",OFFSET('S5'!#REF!,MATCH($A424,'S5'!$D$5:$D$2103,0)-1,6)="スリット"),SUMIF('S5'!$D$5:$D$2103,$A424,'S5'!$T$5:$T$2103),""),"")</f>
        <v/>
      </c>
    </row>
    <row r="425" spans="1:28" s="141" customFormat="1" ht="13.5" x14ac:dyDescent="0.15">
      <c r="A425" s="274">
        <v>3712103</v>
      </c>
      <c r="B425" s="274" t="s">
        <v>351</v>
      </c>
      <c r="C425" s="274" t="s">
        <v>352</v>
      </c>
      <c r="D425" s="274" t="s">
        <v>353</v>
      </c>
      <c r="E425" s="274" t="s">
        <v>116</v>
      </c>
      <c r="F425" s="274">
        <v>3</v>
      </c>
      <c r="G425" s="274" t="s">
        <v>19</v>
      </c>
      <c r="H425" s="274" t="s">
        <v>20</v>
      </c>
      <c r="I425" s="274" t="s">
        <v>205</v>
      </c>
      <c r="J425" s="274"/>
      <c r="K425" s="274" t="s">
        <v>211</v>
      </c>
      <c r="L425" s="274">
        <v>50</v>
      </c>
      <c r="M425" s="274" t="s">
        <v>370</v>
      </c>
      <c r="N425" s="275">
        <v>1050</v>
      </c>
      <c r="O425" s="275">
        <v>1050</v>
      </c>
      <c r="P425" s="275">
        <v>4100</v>
      </c>
      <c r="Q425" s="274">
        <v>2</v>
      </c>
      <c r="R425" s="274">
        <v>4</v>
      </c>
      <c r="S425" s="274" t="s">
        <v>354</v>
      </c>
      <c r="T425" s="276">
        <v>45068</v>
      </c>
      <c r="U425" s="276">
        <v>45100</v>
      </c>
      <c r="V425" s="274" t="s">
        <v>355</v>
      </c>
      <c r="W425" s="274"/>
      <c r="X425" s="274"/>
      <c r="Y425" s="143"/>
      <c r="Z425" s="146" t="str">
        <f t="shared" ca="1" si="6"/>
        <v/>
      </c>
      <c r="AA425" s="146" t="str">
        <f ca="1">IFERROR(IF(OR(OFFSET('S4'!#REF!,MATCH($A425,'S4'!$D$5:$D$2535,0)-1,6)="巻返し",OFFSET('S4'!#REF!,MATCH($A425,'S4'!$D$5:$D$2535,0)-1,6)="スリット"),SUMIF('S4'!$D$5:$D$2535,$A425,'S4'!$U$5:$U$2535),""),"")</f>
        <v/>
      </c>
      <c r="AB425" s="146" t="str">
        <f ca="1">IFERROR(IF(OR(OFFSET('S5'!#REF!,MATCH($A425,'S5'!$D$5:$D$2103,0)-1,6)="巻返し",OFFSET('S5'!#REF!,MATCH($A425,'S5'!$D$5:$D$2103,0)-1,6)="スリット"),SUMIF('S5'!$D$5:$D$2103,$A425,'S5'!$T$5:$T$2103),""),"")</f>
        <v/>
      </c>
    </row>
    <row r="426" spans="1:28" s="141" customFormat="1" ht="13.5" x14ac:dyDescent="0.15">
      <c r="A426" s="274">
        <v>3712104</v>
      </c>
      <c r="B426" s="274" t="s">
        <v>351</v>
      </c>
      <c r="C426" s="274" t="s">
        <v>352</v>
      </c>
      <c r="D426" s="274" t="s">
        <v>353</v>
      </c>
      <c r="E426" s="274" t="s">
        <v>116</v>
      </c>
      <c r="F426" s="274">
        <v>3</v>
      </c>
      <c r="G426" s="274" t="s">
        <v>19</v>
      </c>
      <c r="H426" s="274" t="s">
        <v>20</v>
      </c>
      <c r="I426" s="274" t="s">
        <v>205</v>
      </c>
      <c r="J426" s="274"/>
      <c r="K426" s="274" t="s">
        <v>211</v>
      </c>
      <c r="L426" s="274">
        <v>75</v>
      </c>
      <c r="M426" s="274" t="s">
        <v>370</v>
      </c>
      <c r="N426" s="275">
        <v>1050</v>
      </c>
      <c r="O426" s="275">
        <v>1050</v>
      </c>
      <c r="P426" s="275">
        <v>2000</v>
      </c>
      <c r="Q426" s="274">
        <v>2</v>
      </c>
      <c r="R426" s="274">
        <v>2</v>
      </c>
      <c r="S426" s="274" t="s">
        <v>354</v>
      </c>
      <c r="T426" s="276">
        <v>45068</v>
      </c>
      <c r="U426" s="276">
        <v>45096</v>
      </c>
      <c r="V426" s="274" t="s">
        <v>355</v>
      </c>
      <c r="W426" s="274"/>
      <c r="X426" s="274"/>
      <c r="Y426" s="143"/>
      <c r="Z426" s="146" t="str">
        <f t="shared" ca="1" si="6"/>
        <v/>
      </c>
      <c r="AA426" s="146" t="str">
        <f ca="1">IFERROR(IF(OR(OFFSET('S4'!#REF!,MATCH($A426,'S4'!$D$5:$D$2535,0)-1,6)="巻返し",OFFSET('S4'!#REF!,MATCH($A426,'S4'!$D$5:$D$2535,0)-1,6)="スリット"),SUMIF('S4'!$D$5:$D$2535,$A426,'S4'!$U$5:$U$2535),""),"")</f>
        <v/>
      </c>
      <c r="AB426" s="146" t="str">
        <f ca="1">IFERROR(IF(OR(OFFSET('S5'!#REF!,MATCH($A426,'S5'!$D$5:$D$2103,0)-1,6)="巻返し",OFFSET('S5'!#REF!,MATCH($A426,'S5'!$D$5:$D$2103,0)-1,6)="スリット"),SUMIF('S5'!$D$5:$D$2103,$A426,'S5'!$T$5:$T$2103),""),"")</f>
        <v/>
      </c>
    </row>
    <row r="427" spans="1:28" s="141" customFormat="1" ht="13.5" x14ac:dyDescent="0.15">
      <c r="A427" s="274">
        <v>3712105</v>
      </c>
      <c r="B427" s="274" t="s">
        <v>351</v>
      </c>
      <c r="C427" s="274" t="s">
        <v>352</v>
      </c>
      <c r="D427" s="274" t="s">
        <v>353</v>
      </c>
      <c r="E427" s="274" t="s">
        <v>116</v>
      </c>
      <c r="F427" s="274">
        <v>3</v>
      </c>
      <c r="G427" s="274" t="s">
        <v>19</v>
      </c>
      <c r="H427" s="274" t="s">
        <v>20</v>
      </c>
      <c r="I427" s="274" t="s">
        <v>205</v>
      </c>
      <c r="J427" s="274"/>
      <c r="K427" s="274" t="s">
        <v>216</v>
      </c>
      <c r="L427" s="274">
        <v>50</v>
      </c>
      <c r="M427" s="274" t="s">
        <v>217</v>
      </c>
      <c r="N427" s="275">
        <v>1120</v>
      </c>
      <c r="O427" s="275">
        <v>1120</v>
      </c>
      <c r="P427" s="275">
        <v>5000</v>
      </c>
      <c r="Q427" s="274">
        <v>2</v>
      </c>
      <c r="R427" s="274">
        <v>15</v>
      </c>
      <c r="S427" s="274" t="s">
        <v>354</v>
      </c>
      <c r="T427" s="276">
        <v>45068</v>
      </c>
      <c r="U427" s="276">
        <v>45107</v>
      </c>
      <c r="V427" s="274" t="s">
        <v>355</v>
      </c>
      <c r="W427" s="274"/>
      <c r="X427" s="274"/>
      <c r="Y427" s="143"/>
      <c r="Z427" s="146" t="str">
        <f t="shared" ca="1" si="6"/>
        <v/>
      </c>
      <c r="AA427" s="146" t="str">
        <f ca="1">IFERROR(IF(OR(OFFSET('S4'!#REF!,MATCH($A427,'S4'!$D$5:$D$2535,0)-1,6)="巻返し",OFFSET('S4'!#REF!,MATCH($A427,'S4'!$D$5:$D$2535,0)-1,6)="スリット"),SUMIF('S4'!$D$5:$D$2535,$A427,'S4'!$U$5:$U$2535),""),"")</f>
        <v/>
      </c>
      <c r="AB427" s="146" t="str">
        <f ca="1">IFERROR(IF(OR(OFFSET('S5'!#REF!,MATCH($A427,'S5'!$D$5:$D$2103,0)-1,6)="巻返し",OFFSET('S5'!#REF!,MATCH($A427,'S5'!$D$5:$D$2103,0)-1,6)="スリット"),SUMIF('S5'!$D$5:$D$2103,$A427,'S5'!$T$5:$T$2103),""),"")</f>
        <v/>
      </c>
    </row>
    <row r="428" spans="1:28" s="141" customFormat="1" ht="13.5" x14ac:dyDescent="0.15">
      <c r="A428" s="274">
        <v>3712106</v>
      </c>
      <c r="B428" s="274" t="s">
        <v>351</v>
      </c>
      <c r="C428" s="274" t="s">
        <v>352</v>
      </c>
      <c r="D428" s="274" t="s">
        <v>353</v>
      </c>
      <c r="E428" s="274" t="s">
        <v>116</v>
      </c>
      <c r="F428" s="274">
        <v>3</v>
      </c>
      <c r="G428" s="274" t="s">
        <v>19</v>
      </c>
      <c r="H428" s="274" t="s">
        <v>20</v>
      </c>
      <c r="I428" s="274" t="s">
        <v>205</v>
      </c>
      <c r="J428" s="274"/>
      <c r="K428" s="274" t="s">
        <v>216</v>
      </c>
      <c r="L428" s="274">
        <v>50</v>
      </c>
      <c r="M428" s="274" t="s">
        <v>217</v>
      </c>
      <c r="N428" s="275">
        <v>1120</v>
      </c>
      <c r="O428" s="275">
        <v>1120</v>
      </c>
      <c r="P428" s="275">
        <v>5000</v>
      </c>
      <c r="Q428" s="274">
        <v>2</v>
      </c>
      <c r="R428" s="274">
        <v>15</v>
      </c>
      <c r="S428" s="274" t="s">
        <v>354</v>
      </c>
      <c r="T428" s="276">
        <v>45068</v>
      </c>
      <c r="U428" s="276">
        <v>45107</v>
      </c>
      <c r="V428" s="274" t="s">
        <v>355</v>
      </c>
      <c r="W428" s="274"/>
      <c r="X428" s="274"/>
      <c r="Y428" s="143"/>
      <c r="Z428" s="146" t="str">
        <f t="shared" ca="1" si="6"/>
        <v/>
      </c>
      <c r="AA428" s="146" t="str">
        <f ca="1">IFERROR(IF(OR(OFFSET('S4'!#REF!,MATCH($A428,'S4'!$D$5:$D$2535,0)-1,6)="巻返し",OFFSET('S4'!#REF!,MATCH($A428,'S4'!$D$5:$D$2535,0)-1,6)="スリット"),SUMIF('S4'!$D$5:$D$2535,$A428,'S4'!$U$5:$U$2535),""),"")</f>
        <v/>
      </c>
      <c r="AB428" s="146" t="str">
        <f ca="1">IFERROR(IF(OR(OFFSET('S5'!#REF!,MATCH($A428,'S5'!$D$5:$D$2103,0)-1,6)="巻返し",OFFSET('S5'!#REF!,MATCH($A428,'S5'!$D$5:$D$2103,0)-1,6)="スリット"),SUMIF('S5'!$D$5:$D$2103,$A428,'S5'!$T$5:$T$2103),""),"")</f>
        <v/>
      </c>
    </row>
    <row r="429" spans="1:28" s="141" customFormat="1" ht="13.5" x14ac:dyDescent="0.15">
      <c r="A429" s="274">
        <v>3712107</v>
      </c>
      <c r="B429" s="274" t="s">
        <v>351</v>
      </c>
      <c r="C429" s="274" t="s">
        <v>352</v>
      </c>
      <c r="D429" s="274" t="s">
        <v>353</v>
      </c>
      <c r="E429" s="274" t="s">
        <v>116</v>
      </c>
      <c r="F429" s="274">
        <v>3</v>
      </c>
      <c r="G429" s="274" t="s">
        <v>19</v>
      </c>
      <c r="H429" s="274" t="s">
        <v>20</v>
      </c>
      <c r="I429" s="274" t="s">
        <v>205</v>
      </c>
      <c r="J429" s="274"/>
      <c r="K429" s="274" t="s">
        <v>218</v>
      </c>
      <c r="L429" s="274">
        <v>25</v>
      </c>
      <c r="M429" s="274" t="s">
        <v>219</v>
      </c>
      <c r="N429" s="275">
        <v>1005</v>
      </c>
      <c r="O429" s="275">
        <v>1000</v>
      </c>
      <c r="P429" s="275">
        <v>4000</v>
      </c>
      <c r="Q429" s="274">
        <v>2</v>
      </c>
      <c r="R429" s="274">
        <v>4</v>
      </c>
      <c r="S429" s="274" t="s">
        <v>354</v>
      </c>
      <c r="T429" s="276">
        <v>45068</v>
      </c>
      <c r="U429" s="276">
        <v>45100</v>
      </c>
      <c r="V429" s="274" t="s">
        <v>355</v>
      </c>
      <c r="W429" s="274"/>
      <c r="X429" s="274"/>
      <c r="Y429" s="143"/>
      <c r="Z429" s="146" t="str">
        <f t="shared" ca="1" si="6"/>
        <v/>
      </c>
      <c r="AA429" s="146" t="str">
        <f ca="1">IFERROR(IF(OR(OFFSET('S4'!#REF!,MATCH($A429,'S4'!$D$5:$D$2535,0)-1,6)="巻返し",OFFSET('S4'!#REF!,MATCH($A429,'S4'!$D$5:$D$2535,0)-1,6)="スリット"),SUMIF('S4'!$D$5:$D$2535,$A429,'S4'!$U$5:$U$2535),""),"")</f>
        <v/>
      </c>
      <c r="AB429" s="146" t="str">
        <f ca="1">IFERROR(IF(OR(OFFSET('S5'!#REF!,MATCH($A429,'S5'!$D$5:$D$2103,0)-1,6)="巻返し",OFFSET('S5'!#REF!,MATCH($A429,'S5'!$D$5:$D$2103,0)-1,6)="スリット"),SUMIF('S5'!$D$5:$D$2103,$A429,'S5'!$T$5:$T$2103),""),"")</f>
        <v/>
      </c>
    </row>
    <row r="430" spans="1:28" s="141" customFormat="1" ht="13.5" x14ac:dyDescent="0.15">
      <c r="A430" s="274">
        <v>3712108</v>
      </c>
      <c r="B430" s="274" t="s">
        <v>351</v>
      </c>
      <c r="C430" s="274" t="s">
        <v>352</v>
      </c>
      <c r="D430" s="274" t="s">
        <v>353</v>
      </c>
      <c r="E430" s="274" t="s">
        <v>116</v>
      </c>
      <c r="F430" s="274">
        <v>3</v>
      </c>
      <c r="G430" s="274" t="s">
        <v>19</v>
      </c>
      <c r="H430" s="274" t="s">
        <v>20</v>
      </c>
      <c r="I430" s="274" t="s">
        <v>205</v>
      </c>
      <c r="J430" s="274"/>
      <c r="K430" s="274" t="s">
        <v>218</v>
      </c>
      <c r="L430" s="274">
        <v>50</v>
      </c>
      <c r="M430" s="274" t="s">
        <v>219</v>
      </c>
      <c r="N430" s="275">
        <v>1000</v>
      </c>
      <c r="O430" s="275">
        <v>1000</v>
      </c>
      <c r="P430" s="275">
        <v>4000</v>
      </c>
      <c r="Q430" s="274">
        <v>2</v>
      </c>
      <c r="R430" s="274">
        <v>15</v>
      </c>
      <c r="S430" s="274" t="s">
        <v>354</v>
      </c>
      <c r="T430" s="276">
        <v>45068</v>
      </c>
      <c r="U430" s="276">
        <v>45100</v>
      </c>
      <c r="V430" s="274" t="s">
        <v>355</v>
      </c>
      <c r="W430" s="274"/>
      <c r="X430" s="274"/>
      <c r="Y430" s="143"/>
      <c r="Z430" s="146" t="str">
        <f t="shared" ca="1" si="6"/>
        <v/>
      </c>
      <c r="AA430" s="146" t="str">
        <f ca="1">IFERROR(IF(OR(OFFSET('S4'!#REF!,MATCH($A430,'S4'!$D$5:$D$2535,0)-1,6)="巻返し",OFFSET('S4'!#REF!,MATCH($A430,'S4'!$D$5:$D$2535,0)-1,6)="スリット"),SUMIF('S4'!$D$5:$D$2535,$A430,'S4'!$U$5:$U$2535),""),"")</f>
        <v/>
      </c>
      <c r="AB430" s="146" t="str">
        <f ca="1">IFERROR(IF(OR(OFFSET('S5'!#REF!,MATCH($A430,'S5'!$D$5:$D$2103,0)-1,6)="巻返し",OFFSET('S5'!#REF!,MATCH($A430,'S5'!$D$5:$D$2103,0)-1,6)="スリット"),SUMIF('S5'!$D$5:$D$2103,$A430,'S5'!$T$5:$T$2103),""),"")</f>
        <v/>
      </c>
    </row>
    <row r="431" spans="1:28" s="141" customFormat="1" ht="13.5" x14ac:dyDescent="0.15">
      <c r="A431" s="274">
        <v>3712109</v>
      </c>
      <c r="B431" s="274" t="s">
        <v>351</v>
      </c>
      <c r="C431" s="274" t="s">
        <v>352</v>
      </c>
      <c r="D431" s="274" t="s">
        <v>353</v>
      </c>
      <c r="E431" s="274" t="s">
        <v>116</v>
      </c>
      <c r="F431" s="274" t="s">
        <v>158</v>
      </c>
      <c r="G431" s="274" t="s">
        <v>19</v>
      </c>
      <c r="H431" s="274" t="s">
        <v>20</v>
      </c>
      <c r="I431" s="274" t="s">
        <v>165</v>
      </c>
      <c r="J431" s="274"/>
      <c r="K431" s="274" t="s">
        <v>192</v>
      </c>
      <c r="L431" s="274">
        <v>50</v>
      </c>
      <c r="M431" s="274" t="s">
        <v>193</v>
      </c>
      <c r="N431" s="275">
        <v>1005</v>
      </c>
      <c r="O431" s="275">
        <v>1000</v>
      </c>
      <c r="P431" s="275">
        <v>4000</v>
      </c>
      <c r="Q431" s="274">
        <v>2</v>
      </c>
      <c r="R431" s="274">
        <v>3</v>
      </c>
      <c r="S431" s="274" t="s">
        <v>354</v>
      </c>
      <c r="T431" s="276">
        <v>45068</v>
      </c>
      <c r="U431" s="276">
        <v>45100</v>
      </c>
      <c r="V431" s="274" t="s">
        <v>355</v>
      </c>
      <c r="W431" s="274"/>
      <c r="X431" s="274"/>
      <c r="Y431" s="143"/>
      <c r="Z431" s="146" t="str">
        <f t="shared" ca="1" si="6"/>
        <v/>
      </c>
      <c r="AA431" s="146" t="str">
        <f ca="1">IFERROR(IF(OR(OFFSET('S4'!#REF!,MATCH($A431,'S4'!$D$5:$D$2535,0)-1,6)="巻返し",OFFSET('S4'!#REF!,MATCH($A431,'S4'!$D$5:$D$2535,0)-1,6)="スリット"),SUMIF('S4'!$D$5:$D$2535,$A431,'S4'!$U$5:$U$2535),""),"")</f>
        <v/>
      </c>
      <c r="AB431" s="146" t="str">
        <f ca="1">IFERROR(IF(OR(OFFSET('S5'!#REF!,MATCH($A431,'S5'!$D$5:$D$2103,0)-1,6)="巻返し",OFFSET('S5'!#REF!,MATCH($A431,'S5'!$D$5:$D$2103,0)-1,6)="スリット"),SUMIF('S5'!$D$5:$D$2103,$A431,'S5'!$T$5:$T$2103),""),"")</f>
        <v/>
      </c>
    </row>
    <row r="432" spans="1:28" s="141" customFormat="1" ht="13.5" x14ac:dyDescent="0.15">
      <c r="A432" s="274">
        <v>3712110</v>
      </c>
      <c r="B432" s="274" t="s">
        <v>351</v>
      </c>
      <c r="C432" s="274" t="s">
        <v>352</v>
      </c>
      <c r="D432" s="274" t="s">
        <v>353</v>
      </c>
      <c r="E432" s="274" t="s">
        <v>116</v>
      </c>
      <c r="F432" s="274" t="s">
        <v>158</v>
      </c>
      <c r="G432" s="274" t="s">
        <v>19</v>
      </c>
      <c r="H432" s="274" t="s">
        <v>20</v>
      </c>
      <c r="I432" s="274" t="s">
        <v>165</v>
      </c>
      <c r="J432" s="274"/>
      <c r="K432" s="274" t="s">
        <v>195</v>
      </c>
      <c r="L432" s="274">
        <v>50</v>
      </c>
      <c r="M432" s="274" t="s">
        <v>196</v>
      </c>
      <c r="N432" s="275">
        <v>1005</v>
      </c>
      <c r="O432" s="275">
        <v>1000</v>
      </c>
      <c r="P432" s="275">
        <v>4000</v>
      </c>
      <c r="Q432" s="274">
        <v>2</v>
      </c>
      <c r="R432" s="274">
        <v>3</v>
      </c>
      <c r="S432" s="274" t="s">
        <v>354</v>
      </c>
      <c r="T432" s="276">
        <v>45068</v>
      </c>
      <c r="U432" s="276">
        <v>45100</v>
      </c>
      <c r="V432" s="274" t="s">
        <v>355</v>
      </c>
      <c r="W432" s="274"/>
      <c r="X432" s="274"/>
      <c r="Y432" s="143"/>
      <c r="Z432" s="146" t="str">
        <f t="shared" ca="1" si="6"/>
        <v/>
      </c>
      <c r="AA432" s="146" t="str">
        <f ca="1">IFERROR(IF(OR(OFFSET('S4'!#REF!,MATCH($A432,'S4'!$D$5:$D$2535,0)-1,6)="巻返し",OFFSET('S4'!#REF!,MATCH($A432,'S4'!$D$5:$D$2535,0)-1,6)="スリット"),SUMIF('S4'!$D$5:$D$2535,$A432,'S4'!$U$5:$U$2535),""),"")</f>
        <v/>
      </c>
      <c r="AB432" s="146" t="str">
        <f ca="1">IFERROR(IF(OR(OFFSET('S5'!#REF!,MATCH($A432,'S5'!$D$5:$D$2103,0)-1,6)="巻返し",OFFSET('S5'!#REF!,MATCH($A432,'S5'!$D$5:$D$2103,0)-1,6)="スリット"),SUMIF('S5'!$D$5:$D$2103,$A432,'S5'!$T$5:$T$2103),""),"")</f>
        <v/>
      </c>
    </row>
    <row r="433" spans="1:28" s="141" customFormat="1" ht="13.5" x14ac:dyDescent="0.15">
      <c r="A433" s="274">
        <v>3712111</v>
      </c>
      <c r="B433" s="274" t="s">
        <v>351</v>
      </c>
      <c r="C433" s="274" t="s">
        <v>352</v>
      </c>
      <c r="D433" s="274" t="s">
        <v>353</v>
      </c>
      <c r="E433" s="274" t="s">
        <v>116</v>
      </c>
      <c r="F433" s="274" t="s">
        <v>158</v>
      </c>
      <c r="G433" s="274" t="s">
        <v>19</v>
      </c>
      <c r="H433" s="274" t="s">
        <v>20</v>
      </c>
      <c r="I433" s="274" t="s">
        <v>165</v>
      </c>
      <c r="J433" s="274"/>
      <c r="K433" s="274" t="s">
        <v>197</v>
      </c>
      <c r="L433" s="274">
        <v>50</v>
      </c>
      <c r="M433" s="274" t="s">
        <v>198</v>
      </c>
      <c r="N433" s="275">
        <v>1005</v>
      </c>
      <c r="O433" s="275">
        <v>1000</v>
      </c>
      <c r="P433" s="275">
        <v>4000</v>
      </c>
      <c r="Q433" s="274">
        <v>2</v>
      </c>
      <c r="R433" s="274">
        <v>6</v>
      </c>
      <c r="S433" s="274" t="s">
        <v>354</v>
      </c>
      <c r="T433" s="276">
        <v>45068</v>
      </c>
      <c r="U433" s="276">
        <v>45100</v>
      </c>
      <c r="V433" s="274" t="s">
        <v>355</v>
      </c>
      <c r="W433" s="274"/>
      <c r="X433" s="274"/>
      <c r="Y433" s="143"/>
      <c r="Z433" s="146" t="str">
        <f t="shared" ca="1" si="6"/>
        <v/>
      </c>
      <c r="AA433" s="146" t="str">
        <f ca="1">IFERROR(IF(OR(OFFSET('S4'!#REF!,MATCH($A433,'S4'!$D$5:$D$2535,0)-1,6)="巻返し",OFFSET('S4'!#REF!,MATCH($A433,'S4'!$D$5:$D$2535,0)-1,6)="スリット"),SUMIF('S4'!$D$5:$D$2535,$A433,'S4'!$U$5:$U$2535),""),"")</f>
        <v/>
      </c>
      <c r="AB433" s="146" t="str">
        <f ca="1">IFERROR(IF(OR(OFFSET('S5'!#REF!,MATCH($A433,'S5'!$D$5:$D$2103,0)-1,6)="巻返し",OFFSET('S5'!#REF!,MATCH($A433,'S5'!$D$5:$D$2103,0)-1,6)="スリット"),SUMIF('S5'!$D$5:$D$2103,$A433,'S5'!$T$5:$T$2103),""),"")</f>
        <v/>
      </c>
    </row>
    <row r="434" spans="1:28" s="141" customFormat="1" ht="13.5" x14ac:dyDescent="0.15">
      <c r="A434" s="274">
        <v>3712113</v>
      </c>
      <c r="B434" s="274" t="s">
        <v>351</v>
      </c>
      <c r="C434" s="274" t="s">
        <v>352</v>
      </c>
      <c r="D434" s="274" t="s">
        <v>353</v>
      </c>
      <c r="E434" s="274" t="s">
        <v>116</v>
      </c>
      <c r="F434" s="274">
        <v>3</v>
      </c>
      <c r="G434" s="274" t="s">
        <v>19</v>
      </c>
      <c r="H434" s="274" t="s">
        <v>20</v>
      </c>
      <c r="I434" s="274" t="s">
        <v>165</v>
      </c>
      <c r="J434" s="274"/>
      <c r="K434" s="274" t="s">
        <v>176</v>
      </c>
      <c r="L434" s="274">
        <v>50</v>
      </c>
      <c r="M434" s="274" t="s">
        <v>177</v>
      </c>
      <c r="N434" s="275">
        <v>1005</v>
      </c>
      <c r="O434" s="275">
        <v>1000</v>
      </c>
      <c r="P434" s="275">
        <v>4000</v>
      </c>
      <c r="Q434" s="274">
        <v>2</v>
      </c>
      <c r="R434" s="274">
        <v>3</v>
      </c>
      <c r="S434" s="274" t="s">
        <v>354</v>
      </c>
      <c r="T434" s="276">
        <v>45068</v>
      </c>
      <c r="U434" s="276">
        <v>45096</v>
      </c>
      <c r="V434" s="274" t="s">
        <v>355</v>
      </c>
      <c r="W434" s="274"/>
      <c r="X434" s="274"/>
      <c r="Y434" s="143"/>
      <c r="Z434" s="146" t="str">
        <f t="shared" ca="1" si="6"/>
        <v/>
      </c>
      <c r="AA434" s="146" t="str">
        <f ca="1">IFERROR(IF(OR(OFFSET('S4'!#REF!,MATCH($A434,'S4'!$D$5:$D$2535,0)-1,6)="巻返し",OFFSET('S4'!#REF!,MATCH($A434,'S4'!$D$5:$D$2535,0)-1,6)="スリット"),SUMIF('S4'!$D$5:$D$2535,$A434,'S4'!$U$5:$U$2535),""),"")</f>
        <v/>
      </c>
      <c r="AB434" s="146" t="str">
        <f ca="1">IFERROR(IF(OR(OFFSET('S5'!#REF!,MATCH($A434,'S5'!$D$5:$D$2103,0)-1,6)="巻返し",OFFSET('S5'!#REF!,MATCH($A434,'S5'!$D$5:$D$2103,0)-1,6)="スリット"),SUMIF('S5'!$D$5:$D$2103,$A434,'S5'!$T$5:$T$2103),""),"")</f>
        <v/>
      </c>
    </row>
    <row r="435" spans="1:28" s="141" customFormat="1" ht="13.5" x14ac:dyDescent="0.15">
      <c r="A435" s="274">
        <v>3712114</v>
      </c>
      <c r="B435" s="274" t="s">
        <v>351</v>
      </c>
      <c r="C435" s="274" t="s">
        <v>352</v>
      </c>
      <c r="D435" s="274" t="s">
        <v>353</v>
      </c>
      <c r="E435" s="274" t="s">
        <v>116</v>
      </c>
      <c r="F435" s="274">
        <v>3</v>
      </c>
      <c r="G435" s="274" t="s">
        <v>19</v>
      </c>
      <c r="H435" s="274" t="s">
        <v>20</v>
      </c>
      <c r="I435" s="274" t="s">
        <v>143</v>
      </c>
      <c r="J435" s="274"/>
      <c r="K435" s="274" t="s">
        <v>152</v>
      </c>
      <c r="L435" s="274">
        <v>38</v>
      </c>
      <c r="M435" s="274" t="s">
        <v>153</v>
      </c>
      <c r="N435" s="275">
        <v>1005</v>
      </c>
      <c r="O435" s="275">
        <v>1000</v>
      </c>
      <c r="P435" s="275">
        <v>4000</v>
      </c>
      <c r="Q435" s="274">
        <v>2</v>
      </c>
      <c r="R435" s="274">
        <v>2</v>
      </c>
      <c r="S435" s="274" t="s">
        <v>354</v>
      </c>
      <c r="T435" s="276">
        <v>45068</v>
      </c>
      <c r="U435" s="276">
        <v>45100</v>
      </c>
      <c r="V435" s="274" t="s">
        <v>355</v>
      </c>
      <c r="W435" s="274"/>
      <c r="X435" s="274"/>
      <c r="Y435" s="143"/>
      <c r="Z435" s="146" t="str">
        <f t="shared" ca="1" si="6"/>
        <v/>
      </c>
      <c r="AA435" s="146" t="str">
        <f ca="1">IFERROR(IF(OR(OFFSET('S4'!#REF!,MATCH($A435,'S4'!$D$5:$D$2535,0)-1,6)="巻返し",OFFSET('S4'!#REF!,MATCH($A435,'S4'!$D$5:$D$2535,0)-1,6)="スリット"),SUMIF('S4'!$D$5:$D$2535,$A435,'S4'!$U$5:$U$2535),""),"")</f>
        <v/>
      </c>
      <c r="AB435" s="146" t="str">
        <f ca="1">IFERROR(IF(OR(OFFSET('S5'!#REF!,MATCH($A435,'S5'!$D$5:$D$2103,0)-1,6)="巻返し",OFFSET('S5'!#REF!,MATCH($A435,'S5'!$D$5:$D$2103,0)-1,6)="スリット"),SUMIF('S5'!$D$5:$D$2103,$A435,'S5'!$T$5:$T$2103),""),"")</f>
        <v/>
      </c>
    </row>
    <row r="436" spans="1:28" s="141" customFormat="1" ht="13.5" x14ac:dyDescent="0.15">
      <c r="A436" s="274">
        <v>3712115</v>
      </c>
      <c r="B436" s="274" t="s">
        <v>351</v>
      </c>
      <c r="C436" s="274" t="s">
        <v>352</v>
      </c>
      <c r="D436" s="274" t="s">
        <v>353</v>
      </c>
      <c r="E436" s="274" t="s">
        <v>116</v>
      </c>
      <c r="F436" s="274">
        <v>3</v>
      </c>
      <c r="G436" s="274" t="s">
        <v>19</v>
      </c>
      <c r="H436" s="274" t="s">
        <v>20</v>
      </c>
      <c r="I436" s="274" t="s">
        <v>143</v>
      </c>
      <c r="J436" s="274"/>
      <c r="K436" s="274" t="s">
        <v>152</v>
      </c>
      <c r="L436" s="274">
        <v>38</v>
      </c>
      <c r="M436" s="274" t="s">
        <v>153</v>
      </c>
      <c r="N436" s="275">
        <v>1005</v>
      </c>
      <c r="O436" s="275">
        <v>1000</v>
      </c>
      <c r="P436" s="275">
        <v>4000</v>
      </c>
      <c r="Q436" s="274">
        <v>2</v>
      </c>
      <c r="R436" s="274">
        <v>2</v>
      </c>
      <c r="S436" s="274" t="s">
        <v>354</v>
      </c>
      <c r="T436" s="276">
        <v>45068</v>
      </c>
      <c r="U436" s="276">
        <v>45100</v>
      </c>
      <c r="V436" s="274" t="s">
        <v>355</v>
      </c>
      <c r="W436" s="274"/>
      <c r="X436" s="274"/>
      <c r="Y436" s="143"/>
      <c r="Z436" s="146" t="str">
        <f t="shared" ca="1" si="6"/>
        <v/>
      </c>
      <c r="AA436" s="146" t="str">
        <f ca="1">IFERROR(IF(OR(OFFSET('S4'!#REF!,MATCH($A436,'S4'!$D$5:$D$2535,0)-1,6)="巻返し",OFFSET('S4'!#REF!,MATCH($A436,'S4'!$D$5:$D$2535,0)-1,6)="スリット"),SUMIF('S4'!$D$5:$D$2535,$A436,'S4'!$U$5:$U$2535),""),"")</f>
        <v/>
      </c>
      <c r="AB436" s="146" t="str">
        <f ca="1">IFERROR(IF(OR(OFFSET('S5'!#REF!,MATCH($A436,'S5'!$D$5:$D$2103,0)-1,6)="巻返し",OFFSET('S5'!#REF!,MATCH($A436,'S5'!$D$5:$D$2103,0)-1,6)="スリット"),SUMIF('S5'!$D$5:$D$2103,$A436,'S5'!$T$5:$T$2103),""),"")</f>
        <v/>
      </c>
    </row>
    <row r="437" spans="1:28" s="141" customFormat="1" ht="13.5" x14ac:dyDescent="0.15">
      <c r="A437" s="274">
        <v>3714660</v>
      </c>
      <c r="B437" s="274" t="s">
        <v>510</v>
      </c>
      <c r="C437" s="274" t="s">
        <v>352</v>
      </c>
      <c r="D437" s="274" t="s">
        <v>353</v>
      </c>
      <c r="E437" s="274" t="s">
        <v>116</v>
      </c>
      <c r="F437" s="274">
        <v>3</v>
      </c>
      <c r="G437" s="274" t="s">
        <v>269</v>
      </c>
      <c r="H437" s="274" t="s">
        <v>20</v>
      </c>
      <c r="I437" s="274" t="s">
        <v>165</v>
      </c>
      <c r="J437" s="274"/>
      <c r="K437" s="274" t="s">
        <v>176</v>
      </c>
      <c r="L437" s="274">
        <v>25</v>
      </c>
      <c r="M437" s="274" t="s">
        <v>577</v>
      </c>
      <c r="N437" s="275">
        <v>1005</v>
      </c>
      <c r="O437" s="275">
        <v>1000</v>
      </c>
      <c r="P437" s="275">
        <v>2000</v>
      </c>
      <c r="Q437" s="274">
        <v>2</v>
      </c>
      <c r="R437" s="274">
        <v>1</v>
      </c>
      <c r="S437" s="274" t="s">
        <v>354</v>
      </c>
      <c r="T437" s="276">
        <v>45077</v>
      </c>
      <c r="U437" s="276">
        <v>45107</v>
      </c>
      <c r="V437" s="274" t="s">
        <v>428</v>
      </c>
      <c r="W437" s="274"/>
      <c r="X437" s="274"/>
      <c r="Y437" s="143"/>
      <c r="Z437" s="146" t="str">
        <f t="shared" ca="1" si="6"/>
        <v/>
      </c>
      <c r="AA437" s="146" t="str">
        <f ca="1">IFERROR(IF(OR(OFFSET('S4'!#REF!,MATCH($A437,'S4'!$D$5:$D$2535,0)-1,6)="巻返し",OFFSET('S4'!#REF!,MATCH($A437,'S4'!$D$5:$D$2535,0)-1,6)="スリット"),SUMIF('S4'!$D$5:$D$2535,$A437,'S4'!$U$5:$U$2535),""),"")</f>
        <v/>
      </c>
      <c r="AB437" s="146" t="str">
        <f ca="1">IFERROR(IF(OR(OFFSET('S5'!#REF!,MATCH($A437,'S5'!$D$5:$D$2103,0)-1,6)="巻返し",OFFSET('S5'!#REF!,MATCH($A437,'S5'!$D$5:$D$2103,0)-1,6)="スリット"),SUMIF('S5'!$D$5:$D$2103,$A437,'S5'!$T$5:$T$2103),""),"")</f>
        <v/>
      </c>
    </row>
    <row r="438" spans="1:28" s="141" customFormat="1" ht="13.5" x14ac:dyDescent="0.15">
      <c r="A438" s="274">
        <v>3714660</v>
      </c>
      <c r="B438" s="274" t="s">
        <v>510</v>
      </c>
      <c r="C438" s="274" t="s">
        <v>352</v>
      </c>
      <c r="D438" s="274" t="s">
        <v>353</v>
      </c>
      <c r="E438" s="274" t="s">
        <v>116</v>
      </c>
      <c r="F438" s="274">
        <v>3</v>
      </c>
      <c r="G438" s="274" t="s">
        <v>269</v>
      </c>
      <c r="H438" s="274" t="s">
        <v>20</v>
      </c>
      <c r="I438" s="274" t="s">
        <v>165</v>
      </c>
      <c r="J438" s="274"/>
      <c r="K438" s="274" t="s">
        <v>176</v>
      </c>
      <c r="L438" s="274">
        <v>25</v>
      </c>
      <c r="M438" s="274" t="s">
        <v>577</v>
      </c>
      <c r="N438" s="275">
        <v>1005</v>
      </c>
      <c r="O438" s="275">
        <v>1000</v>
      </c>
      <c r="P438" s="275">
        <v>6000</v>
      </c>
      <c r="Q438" s="274">
        <v>2</v>
      </c>
      <c r="R438" s="274">
        <v>1</v>
      </c>
      <c r="S438" s="274" t="s">
        <v>354</v>
      </c>
      <c r="T438" s="276">
        <v>45077</v>
      </c>
      <c r="U438" s="276">
        <v>45107</v>
      </c>
      <c r="V438" s="274" t="s">
        <v>428</v>
      </c>
      <c r="W438" s="274"/>
      <c r="X438" s="274"/>
      <c r="Y438" s="143"/>
      <c r="Z438" s="146" t="str">
        <f t="shared" ca="1" si="6"/>
        <v/>
      </c>
      <c r="AA438" s="146" t="str">
        <f ca="1">IFERROR(IF(OR(OFFSET('S4'!#REF!,MATCH($A438,'S4'!$D$5:$D$2535,0)-1,6)="巻返し",OFFSET('S4'!#REF!,MATCH($A438,'S4'!$D$5:$D$2535,0)-1,6)="スリット"),SUMIF('S4'!$D$5:$D$2535,$A438,'S4'!$U$5:$U$2535),""),"")</f>
        <v/>
      </c>
      <c r="AB438" s="146" t="str">
        <f ca="1">IFERROR(IF(OR(OFFSET('S5'!#REF!,MATCH($A438,'S5'!$D$5:$D$2103,0)-1,6)="巻返し",OFFSET('S5'!#REF!,MATCH($A438,'S5'!$D$5:$D$2103,0)-1,6)="スリット"),SUMIF('S5'!$D$5:$D$2103,$A438,'S5'!$T$5:$T$2103),""),"")</f>
        <v/>
      </c>
    </row>
    <row r="439" spans="1:28" s="141" customFormat="1" ht="13.5" x14ac:dyDescent="0.15">
      <c r="A439" s="274">
        <v>3715368</v>
      </c>
      <c r="B439" s="274" t="s">
        <v>423</v>
      </c>
      <c r="C439" s="274" t="s">
        <v>352</v>
      </c>
      <c r="D439" s="274" t="s">
        <v>353</v>
      </c>
      <c r="E439" s="274" t="s">
        <v>116</v>
      </c>
      <c r="F439" s="274">
        <v>3</v>
      </c>
      <c r="G439" s="274" t="s">
        <v>265</v>
      </c>
      <c r="H439" s="274" t="s">
        <v>20</v>
      </c>
      <c r="I439" s="274" t="s">
        <v>165</v>
      </c>
      <c r="J439" s="274"/>
      <c r="K439" s="274" t="s">
        <v>319</v>
      </c>
      <c r="L439" s="274">
        <v>50</v>
      </c>
      <c r="M439" s="274" t="s">
        <v>483</v>
      </c>
      <c r="N439" s="275">
        <v>1000</v>
      </c>
      <c r="O439" s="275">
        <v>1000</v>
      </c>
      <c r="P439" s="275">
        <v>2000</v>
      </c>
      <c r="Q439" s="274">
        <v>2</v>
      </c>
      <c r="R439" s="274">
        <v>2</v>
      </c>
      <c r="S439" s="274" t="s">
        <v>354</v>
      </c>
      <c r="T439" s="276">
        <v>45083</v>
      </c>
      <c r="U439" s="276">
        <v>45105</v>
      </c>
      <c r="V439" s="274" t="s">
        <v>355</v>
      </c>
      <c r="W439" s="274"/>
      <c r="X439" s="274"/>
      <c r="Y439" s="143"/>
      <c r="Z439" s="146" t="str">
        <f t="shared" ca="1" si="6"/>
        <v/>
      </c>
      <c r="AA439" s="146" t="str">
        <f ca="1">IFERROR(IF(OR(OFFSET('S4'!#REF!,MATCH($A439,'S4'!$D$5:$D$2535,0)-1,6)="巻返し",OFFSET('S4'!#REF!,MATCH($A439,'S4'!$D$5:$D$2535,0)-1,6)="スリット"),SUMIF('S4'!$D$5:$D$2535,$A439,'S4'!$U$5:$U$2535),""),"")</f>
        <v/>
      </c>
      <c r="AB439" s="146" t="str">
        <f ca="1">IFERROR(IF(OR(OFFSET('S5'!#REF!,MATCH($A439,'S5'!$D$5:$D$2103,0)-1,6)="巻返し",OFFSET('S5'!#REF!,MATCH($A439,'S5'!$D$5:$D$2103,0)-1,6)="スリット"),SUMIF('S5'!$D$5:$D$2103,$A439,'S5'!$T$5:$T$2103),""),"")</f>
        <v/>
      </c>
    </row>
    <row r="440" spans="1:28" s="141" customFormat="1" ht="13.5" x14ac:dyDescent="0.15">
      <c r="A440" s="274">
        <v>3716240</v>
      </c>
      <c r="B440" s="274" t="s">
        <v>351</v>
      </c>
      <c r="C440" s="274" t="s">
        <v>363</v>
      </c>
      <c r="D440" s="274" t="s">
        <v>353</v>
      </c>
      <c r="E440" s="274" t="s">
        <v>204</v>
      </c>
      <c r="F440" s="274">
        <v>3</v>
      </c>
      <c r="G440" s="274" t="s">
        <v>19</v>
      </c>
      <c r="H440" s="274" t="s">
        <v>20</v>
      </c>
      <c r="I440" s="274" t="s">
        <v>205</v>
      </c>
      <c r="J440" s="274"/>
      <c r="K440" s="274" t="s">
        <v>206</v>
      </c>
      <c r="L440" s="274">
        <v>50</v>
      </c>
      <c r="M440" s="274" t="s">
        <v>207</v>
      </c>
      <c r="N440" s="275">
        <v>1020</v>
      </c>
      <c r="O440" s="275">
        <v>1000</v>
      </c>
      <c r="P440" s="275">
        <v>2000</v>
      </c>
      <c r="Q440" s="274">
        <v>2</v>
      </c>
      <c r="R440" s="274">
        <v>4</v>
      </c>
      <c r="S440" s="274" t="s">
        <v>354</v>
      </c>
      <c r="T440" s="276">
        <v>45097</v>
      </c>
      <c r="U440" s="276">
        <v>45122</v>
      </c>
      <c r="V440" s="274" t="s">
        <v>355</v>
      </c>
      <c r="W440" s="274"/>
      <c r="X440" s="274"/>
      <c r="Y440" s="239"/>
      <c r="Z440" s="146" t="str">
        <f t="shared" ca="1" si="6"/>
        <v/>
      </c>
      <c r="AA440" s="146" t="str">
        <f ca="1">IFERROR(IF(OR(OFFSET('S4'!#REF!,MATCH($A440,'S4'!$D$5:$D$2535,0)-1,6)="巻返し",OFFSET('S4'!#REF!,MATCH($A440,'S4'!$D$5:$D$2535,0)-1,6)="スリット"),SUMIF('S4'!$D$5:$D$2535,$A440,'S4'!$U$5:$U$2535),""),"")</f>
        <v/>
      </c>
      <c r="AB440" s="146" t="str">
        <f ca="1">IFERROR(IF(OR(OFFSET('S5'!#REF!,MATCH($A440,'S5'!$D$5:$D$2103,0)-1,6)="巻返し",OFFSET('S5'!#REF!,MATCH($A440,'S5'!$D$5:$D$2103,0)-1,6)="スリット"),SUMIF('S5'!$D$5:$D$2103,$A440,'S5'!$T$5:$T$2103),""),"")</f>
        <v/>
      </c>
    </row>
    <row r="441" spans="1:28" s="141" customFormat="1" ht="13.5" x14ac:dyDescent="0.15">
      <c r="A441" s="274">
        <v>3716243</v>
      </c>
      <c r="B441" s="274" t="s">
        <v>351</v>
      </c>
      <c r="C441" s="274" t="s">
        <v>364</v>
      </c>
      <c r="D441" s="274" t="s">
        <v>353</v>
      </c>
      <c r="E441" s="274" t="s">
        <v>148</v>
      </c>
      <c r="F441" s="274">
        <v>3</v>
      </c>
      <c r="G441" s="274" t="s">
        <v>19</v>
      </c>
      <c r="H441" s="274" t="s">
        <v>20</v>
      </c>
      <c r="I441" s="274" t="s">
        <v>143</v>
      </c>
      <c r="J441" s="274"/>
      <c r="K441" s="274" t="s">
        <v>149</v>
      </c>
      <c r="L441" s="274">
        <v>25</v>
      </c>
      <c r="M441" s="274" t="s">
        <v>150</v>
      </c>
      <c r="N441" s="275">
        <v>1120</v>
      </c>
      <c r="O441" s="275">
        <v>1120</v>
      </c>
      <c r="P441" s="275">
        <v>6000</v>
      </c>
      <c r="Q441" s="274">
        <v>2</v>
      </c>
      <c r="R441" s="274">
        <v>4</v>
      </c>
      <c r="S441" s="274" t="s">
        <v>354</v>
      </c>
      <c r="T441" s="276">
        <v>45097</v>
      </c>
      <c r="U441" s="276">
        <v>45122</v>
      </c>
      <c r="V441" s="274" t="s">
        <v>355</v>
      </c>
      <c r="W441" s="274"/>
      <c r="X441" s="274"/>
      <c r="Y441" s="239"/>
      <c r="Z441" s="146" t="str">
        <f t="shared" ca="1" si="6"/>
        <v/>
      </c>
      <c r="AA441" s="146" t="str">
        <f ca="1">IFERROR(IF(OR(OFFSET('S4'!#REF!,MATCH($A441,'S4'!$D$5:$D$2535,0)-1,6)="巻返し",OFFSET('S4'!#REF!,MATCH($A441,'S4'!$D$5:$D$2535,0)-1,6)="スリット"),SUMIF('S4'!$D$5:$D$2535,$A441,'S4'!$U$5:$U$2535),""),"")</f>
        <v/>
      </c>
      <c r="AB441" s="146" t="str">
        <f ca="1">IFERROR(IF(OR(OFFSET('S5'!#REF!,MATCH($A441,'S5'!$D$5:$D$2103,0)-1,6)="巻返し",OFFSET('S5'!#REF!,MATCH($A441,'S5'!$D$5:$D$2103,0)-1,6)="スリット"),SUMIF('S5'!$D$5:$D$2103,$A441,'S5'!$T$5:$T$2103),""),"")</f>
        <v/>
      </c>
    </row>
    <row r="442" spans="1:28" s="141" customFormat="1" ht="13.5" x14ac:dyDescent="0.15">
      <c r="A442" s="274">
        <v>3716244</v>
      </c>
      <c r="B442" s="274" t="s">
        <v>351</v>
      </c>
      <c r="C442" s="274" t="s">
        <v>364</v>
      </c>
      <c r="D442" s="274" t="s">
        <v>353</v>
      </c>
      <c r="E442" s="274" t="s">
        <v>148</v>
      </c>
      <c r="F442" s="274">
        <v>3</v>
      </c>
      <c r="G442" s="274" t="s">
        <v>19</v>
      </c>
      <c r="H442" s="274" t="s">
        <v>20</v>
      </c>
      <c r="I442" s="274" t="s">
        <v>143</v>
      </c>
      <c r="J442" s="274"/>
      <c r="K442" s="274" t="s">
        <v>149</v>
      </c>
      <c r="L442" s="274">
        <v>50</v>
      </c>
      <c r="M442" s="274" t="s">
        <v>150</v>
      </c>
      <c r="N442" s="275">
        <v>1120</v>
      </c>
      <c r="O442" s="275">
        <v>1120</v>
      </c>
      <c r="P442" s="275">
        <v>6000</v>
      </c>
      <c r="Q442" s="274">
        <v>2</v>
      </c>
      <c r="R442" s="274">
        <v>2</v>
      </c>
      <c r="S442" s="274" t="s">
        <v>354</v>
      </c>
      <c r="T442" s="276">
        <v>45097</v>
      </c>
      <c r="U442" s="276">
        <v>45122</v>
      </c>
      <c r="V442" s="274" t="s">
        <v>355</v>
      </c>
      <c r="W442" s="274"/>
      <c r="X442" s="274"/>
      <c r="Y442" s="239"/>
      <c r="Z442" s="146" t="str">
        <f t="shared" ca="1" si="6"/>
        <v/>
      </c>
      <c r="AA442" s="146" t="str">
        <f ca="1">IFERROR(IF(OR(OFFSET('S4'!#REF!,MATCH($A442,'S4'!$D$5:$D$2535,0)-1,6)="巻返し",OFFSET('S4'!#REF!,MATCH($A442,'S4'!$D$5:$D$2535,0)-1,6)="スリット"),SUMIF('S4'!$D$5:$D$2535,$A442,'S4'!$U$5:$U$2535),""),"")</f>
        <v/>
      </c>
      <c r="AB442" s="146" t="str">
        <f ca="1">IFERROR(IF(OR(OFFSET('S5'!#REF!,MATCH($A442,'S5'!$D$5:$D$2103,0)-1,6)="巻返し",OFFSET('S5'!#REF!,MATCH($A442,'S5'!$D$5:$D$2103,0)-1,6)="スリット"),SUMIF('S5'!$D$5:$D$2103,$A442,'S5'!$T$5:$T$2103),""),"")</f>
        <v/>
      </c>
    </row>
    <row r="443" spans="1:28" s="141" customFormat="1" ht="13.5" x14ac:dyDescent="0.15">
      <c r="A443" s="274">
        <v>3716245</v>
      </c>
      <c r="B443" s="274" t="s">
        <v>351</v>
      </c>
      <c r="C443" s="274" t="s">
        <v>352</v>
      </c>
      <c r="D443" s="274" t="s">
        <v>353</v>
      </c>
      <c r="E443" s="274" t="s">
        <v>116</v>
      </c>
      <c r="F443" s="274">
        <v>3</v>
      </c>
      <c r="G443" s="274" t="s">
        <v>19</v>
      </c>
      <c r="H443" s="274" t="s">
        <v>20</v>
      </c>
      <c r="I443" s="274" t="s">
        <v>205</v>
      </c>
      <c r="J443" s="274"/>
      <c r="K443" s="274" t="s">
        <v>212</v>
      </c>
      <c r="L443" s="274">
        <v>25</v>
      </c>
      <c r="M443" s="274" t="s">
        <v>213</v>
      </c>
      <c r="N443" s="275">
        <v>1120</v>
      </c>
      <c r="O443" s="275">
        <v>1120</v>
      </c>
      <c r="P443" s="275">
        <v>4000</v>
      </c>
      <c r="Q443" s="274">
        <v>2</v>
      </c>
      <c r="R443" s="274">
        <v>8</v>
      </c>
      <c r="S443" s="274" t="s">
        <v>354</v>
      </c>
      <c r="T443" s="276">
        <v>45097</v>
      </c>
      <c r="U443" s="276">
        <v>45128</v>
      </c>
      <c r="V443" s="274" t="s">
        <v>355</v>
      </c>
      <c r="W443" s="274"/>
      <c r="X443" s="274"/>
      <c r="Y443" s="239"/>
      <c r="Z443" s="146" t="str">
        <f t="shared" ca="1" si="6"/>
        <v/>
      </c>
      <c r="AA443" s="146" t="str">
        <f ca="1">IFERROR(IF(OR(OFFSET('S4'!#REF!,MATCH($A443,'S4'!$D$5:$D$2535,0)-1,6)="巻返し",OFFSET('S4'!#REF!,MATCH($A443,'S4'!$D$5:$D$2535,0)-1,6)="スリット"),SUMIF('S4'!$D$5:$D$2535,$A443,'S4'!$U$5:$U$2535),""),"")</f>
        <v/>
      </c>
      <c r="AB443" s="146" t="str">
        <f ca="1">IFERROR(IF(OR(OFFSET('S5'!#REF!,MATCH($A443,'S5'!$D$5:$D$2103,0)-1,6)="巻返し",OFFSET('S5'!#REF!,MATCH($A443,'S5'!$D$5:$D$2103,0)-1,6)="スリット"),SUMIF('S5'!$D$5:$D$2103,$A443,'S5'!$T$5:$T$2103),""),"")</f>
        <v/>
      </c>
    </row>
    <row r="444" spans="1:28" s="141" customFormat="1" ht="13.5" x14ac:dyDescent="0.15">
      <c r="A444" s="274">
        <v>3716246</v>
      </c>
      <c r="B444" s="274" t="s">
        <v>351</v>
      </c>
      <c r="C444" s="274" t="s">
        <v>352</v>
      </c>
      <c r="D444" s="274" t="s">
        <v>353</v>
      </c>
      <c r="E444" s="274" t="s">
        <v>116</v>
      </c>
      <c r="F444" s="274">
        <v>3</v>
      </c>
      <c r="G444" s="274" t="s">
        <v>19</v>
      </c>
      <c r="H444" s="274" t="s">
        <v>20</v>
      </c>
      <c r="I444" s="274" t="s">
        <v>205</v>
      </c>
      <c r="J444" s="274"/>
      <c r="K444" s="274" t="s">
        <v>212</v>
      </c>
      <c r="L444" s="274">
        <v>50</v>
      </c>
      <c r="M444" s="274" t="s">
        <v>213</v>
      </c>
      <c r="N444" s="275">
        <v>1000</v>
      </c>
      <c r="O444" s="275">
        <v>1000</v>
      </c>
      <c r="P444" s="275">
        <v>4000</v>
      </c>
      <c r="Q444" s="274">
        <v>2</v>
      </c>
      <c r="R444" s="274">
        <v>3</v>
      </c>
      <c r="S444" s="274" t="s">
        <v>354</v>
      </c>
      <c r="T444" s="276">
        <v>45097</v>
      </c>
      <c r="U444" s="276">
        <v>45128</v>
      </c>
      <c r="V444" s="274" t="s">
        <v>355</v>
      </c>
      <c r="W444" s="274"/>
      <c r="X444" s="274"/>
      <c r="Y444" s="239"/>
      <c r="Z444" s="146" t="str">
        <f t="shared" ca="1" si="6"/>
        <v/>
      </c>
      <c r="AA444" s="146" t="str">
        <f ca="1">IFERROR(IF(OR(OFFSET('S4'!#REF!,MATCH($A444,'S4'!$D$5:$D$2535,0)-1,6)="巻返し",OFFSET('S4'!#REF!,MATCH($A444,'S4'!$D$5:$D$2535,0)-1,6)="スリット"),SUMIF('S4'!$D$5:$D$2535,$A444,'S4'!$U$5:$U$2535),""),"")</f>
        <v/>
      </c>
      <c r="AB444" s="146" t="str">
        <f ca="1">IFERROR(IF(OR(OFFSET('S5'!#REF!,MATCH($A444,'S5'!$D$5:$D$2103,0)-1,6)="巻返し",OFFSET('S5'!#REF!,MATCH($A444,'S5'!$D$5:$D$2103,0)-1,6)="スリット"),SUMIF('S5'!$D$5:$D$2103,$A444,'S5'!$T$5:$T$2103),""),"")</f>
        <v/>
      </c>
    </row>
    <row r="445" spans="1:28" s="141" customFormat="1" ht="13.5" x14ac:dyDescent="0.15">
      <c r="A445" s="274">
        <v>3716247</v>
      </c>
      <c r="B445" s="274" t="s">
        <v>351</v>
      </c>
      <c r="C445" s="274" t="s">
        <v>352</v>
      </c>
      <c r="D445" s="274" t="s">
        <v>353</v>
      </c>
      <c r="E445" s="274" t="s">
        <v>116</v>
      </c>
      <c r="F445" s="274">
        <v>3</v>
      </c>
      <c r="G445" s="274" t="s">
        <v>19</v>
      </c>
      <c r="H445" s="274" t="s">
        <v>20</v>
      </c>
      <c r="I445" s="274" t="s">
        <v>205</v>
      </c>
      <c r="J445" s="274"/>
      <c r="K445" s="274" t="s">
        <v>212</v>
      </c>
      <c r="L445" s="274">
        <v>50</v>
      </c>
      <c r="M445" s="274" t="s">
        <v>213</v>
      </c>
      <c r="N445" s="275">
        <v>1120</v>
      </c>
      <c r="O445" s="275">
        <v>1120</v>
      </c>
      <c r="P445" s="275">
        <v>4000</v>
      </c>
      <c r="Q445" s="274">
        <v>2</v>
      </c>
      <c r="R445" s="274">
        <v>20</v>
      </c>
      <c r="S445" s="274" t="s">
        <v>354</v>
      </c>
      <c r="T445" s="276">
        <v>45097</v>
      </c>
      <c r="U445" s="276">
        <v>45125</v>
      </c>
      <c r="V445" s="274" t="s">
        <v>355</v>
      </c>
      <c r="W445" s="274"/>
      <c r="X445" s="274"/>
      <c r="Y445" s="239"/>
      <c r="Z445" s="146" t="str">
        <f t="shared" ca="1" si="6"/>
        <v/>
      </c>
      <c r="AA445" s="146" t="str">
        <f ca="1">IFERROR(IF(OR(OFFSET('S4'!#REF!,MATCH($A445,'S4'!$D$5:$D$2535,0)-1,6)="巻返し",OFFSET('S4'!#REF!,MATCH($A445,'S4'!$D$5:$D$2535,0)-1,6)="スリット"),SUMIF('S4'!$D$5:$D$2535,$A445,'S4'!$U$5:$U$2535),""),"")</f>
        <v/>
      </c>
      <c r="AB445" s="146" t="str">
        <f ca="1">IFERROR(IF(OR(OFFSET('S5'!#REF!,MATCH($A445,'S5'!$D$5:$D$2103,0)-1,6)="巻返し",OFFSET('S5'!#REF!,MATCH($A445,'S5'!$D$5:$D$2103,0)-1,6)="スリット"),SUMIF('S5'!$D$5:$D$2103,$A445,'S5'!$T$5:$T$2103),""),"")</f>
        <v/>
      </c>
    </row>
    <row r="446" spans="1:28" s="141" customFormat="1" ht="13.5" x14ac:dyDescent="0.15">
      <c r="A446" s="274">
        <v>3716248</v>
      </c>
      <c r="B446" s="274" t="s">
        <v>351</v>
      </c>
      <c r="C446" s="274" t="s">
        <v>352</v>
      </c>
      <c r="D446" s="274" t="s">
        <v>353</v>
      </c>
      <c r="E446" s="274" t="s">
        <v>116</v>
      </c>
      <c r="F446" s="274">
        <v>3</v>
      </c>
      <c r="G446" s="274" t="s">
        <v>19</v>
      </c>
      <c r="H446" s="274" t="s">
        <v>20</v>
      </c>
      <c r="I446" s="274" t="s">
        <v>205</v>
      </c>
      <c r="J446" s="274"/>
      <c r="K446" s="274" t="s">
        <v>212</v>
      </c>
      <c r="L446" s="274">
        <v>50</v>
      </c>
      <c r="M446" s="274" t="s">
        <v>213</v>
      </c>
      <c r="N446" s="275">
        <v>1120</v>
      </c>
      <c r="O446" s="275">
        <v>1120</v>
      </c>
      <c r="P446" s="275">
        <v>4000</v>
      </c>
      <c r="Q446" s="274">
        <v>2</v>
      </c>
      <c r="R446" s="274">
        <v>18</v>
      </c>
      <c r="S446" s="274" t="s">
        <v>354</v>
      </c>
      <c r="T446" s="276">
        <v>45097</v>
      </c>
      <c r="U446" s="276">
        <v>45125</v>
      </c>
      <c r="V446" s="274" t="s">
        <v>355</v>
      </c>
      <c r="W446" s="274"/>
      <c r="X446" s="274"/>
      <c r="Y446" s="239"/>
      <c r="Z446" s="146" t="str">
        <f t="shared" ca="1" si="6"/>
        <v/>
      </c>
      <c r="AA446" s="146" t="str">
        <f ca="1">IFERROR(IF(OR(OFFSET('S4'!#REF!,MATCH($A446,'S4'!$D$5:$D$2535,0)-1,6)="巻返し",OFFSET('S4'!#REF!,MATCH($A446,'S4'!$D$5:$D$2535,0)-1,6)="スリット"),SUMIF('S4'!$D$5:$D$2535,$A446,'S4'!$U$5:$U$2535),""),"")</f>
        <v/>
      </c>
      <c r="AB446" s="146" t="str">
        <f ca="1">IFERROR(IF(OR(OFFSET('S5'!#REF!,MATCH($A446,'S5'!$D$5:$D$2103,0)-1,6)="巻返し",OFFSET('S5'!#REF!,MATCH($A446,'S5'!$D$5:$D$2103,0)-1,6)="スリット"),SUMIF('S5'!$D$5:$D$2103,$A446,'S5'!$T$5:$T$2103),""),"")</f>
        <v/>
      </c>
    </row>
    <row r="447" spans="1:28" s="141" customFormat="1" ht="13.5" x14ac:dyDescent="0.15">
      <c r="A447" s="274">
        <v>3716249</v>
      </c>
      <c r="B447" s="274" t="s">
        <v>351</v>
      </c>
      <c r="C447" s="274" t="s">
        <v>352</v>
      </c>
      <c r="D447" s="274" t="s">
        <v>353</v>
      </c>
      <c r="E447" s="274" t="s">
        <v>116</v>
      </c>
      <c r="F447" s="274">
        <v>3</v>
      </c>
      <c r="G447" s="274" t="s">
        <v>19</v>
      </c>
      <c r="H447" s="274" t="s">
        <v>20</v>
      </c>
      <c r="I447" s="274" t="s">
        <v>205</v>
      </c>
      <c r="J447" s="274"/>
      <c r="K447" s="274" t="s">
        <v>211</v>
      </c>
      <c r="L447" s="274">
        <v>38</v>
      </c>
      <c r="M447" s="274" t="s">
        <v>370</v>
      </c>
      <c r="N447" s="275">
        <v>1005</v>
      </c>
      <c r="O447" s="275">
        <v>1000</v>
      </c>
      <c r="P447" s="275">
        <v>4000</v>
      </c>
      <c r="Q447" s="274">
        <v>2</v>
      </c>
      <c r="R447" s="274">
        <v>3</v>
      </c>
      <c r="S447" s="274" t="s">
        <v>354</v>
      </c>
      <c r="T447" s="276">
        <v>45097</v>
      </c>
      <c r="U447" s="276">
        <v>45128</v>
      </c>
      <c r="V447" s="274" t="s">
        <v>355</v>
      </c>
      <c r="W447" s="274"/>
      <c r="X447" s="274"/>
      <c r="Y447" s="239"/>
      <c r="Z447" s="146" t="str">
        <f t="shared" ca="1" si="6"/>
        <v/>
      </c>
      <c r="AA447" s="146" t="str">
        <f ca="1">IFERROR(IF(OR(OFFSET('S4'!#REF!,MATCH($A447,'S4'!$D$5:$D$2535,0)-1,6)="巻返し",OFFSET('S4'!#REF!,MATCH($A447,'S4'!$D$5:$D$2535,0)-1,6)="スリット"),SUMIF('S4'!$D$5:$D$2535,$A447,'S4'!$U$5:$U$2535),""),"")</f>
        <v/>
      </c>
      <c r="AB447" s="146" t="str">
        <f ca="1">IFERROR(IF(OR(OFFSET('S5'!#REF!,MATCH($A447,'S5'!$D$5:$D$2103,0)-1,6)="巻返し",OFFSET('S5'!#REF!,MATCH($A447,'S5'!$D$5:$D$2103,0)-1,6)="スリット"),SUMIF('S5'!$D$5:$D$2103,$A447,'S5'!$T$5:$T$2103),""),"")</f>
        <v/>
      </c>
    </row>
    <row r="448" spans="1:28" s="141" customFormat="1" ht="13.5" x14ac:dyDescent="0.15">
      <c r="A448" s="274">
        <v>3716250</v>
      </c>
      <c r="B448" s="274" t="s">
        <v>351</v>
      </c>
      <c r="C448" s="274" t="s">
        <v>352</v>
      </c>
      <c r="D448" s="274" t="s">
        <v>353</v>
      </c>
      <c r="E448" s="274" t="s">
        <v>116</v>
      </c>
      <c r="F448" s="274">
        <v>3</v>
      </c>
      <c r="G448" s="274" t="s">
        <v>19</v>
      </c>
      <c r="H448" s="274" t="s">
        <v>20</v>
      </c>
      <c r="I448" s="274" t="s">
        <v>205</v>
      </c>
      <c r="J448" s="274"/>
      <c r="K448" s="274" t="s">
        <v>211</v>
      </c>
      <c r="L448" s="274">
        <v>25</v>
      </c>
      <c r="M448" s="274" t="s">
        <v>491</v>
      </c>
      <c r="N448" s="275">
        <v>1050</v>
      </c>
      <c r="O448" s="275">
        <v>1050</v>
      </c>
      <c r="P448" s="275">
        <v>4000</v>
      </c>
      <c r="Q448" s="274">
        <v>2</v>
      </c>
      <c r="R448" s="274">
        <v>2</v>
      </c>
      <c r="S448" s="274" t="s">
        <v>354</v>
      </c>
      <c r="T448" s="276">
        <v>45097</v>
      </c>
      <c r="U448" s="276">
        <v>45126</v>
      </c>
      <c r="V448" s="274" t="s">
        <v>355</v>
      </c>
      <c r="W448" s="274"/>
      <c r="X448" s="274"/>
      <c r="Y448" s="239"/>
      <c r="Z448" s="146" t="str">
        <f t="shared" ca="1" si="6"/>
        <v/>
      </c>
      <c r="AA448" s="146" t="str">
        <f ca="1">IFERROR(IF(OR(OFFSET('S4'!#REF!,MATCH($A448,'S4'!$D$5:$D$2535,0)-1,6)="巻返し",OFFSET('S4'!#REF!,MATCH($A448,'S4'!$D$5:$D$2535,0)-1,6)="スリット"),SUMIF('S4'!$D$5:$D$2535,$A448,'S4'!$U$5:$U$2535),""),"")</f>
        <v/>
      </c>
      <c r="AB448" s="146" t="str">
        <f ca="1">IFERROR(IF(OR(OFFSET('S5'!#REF!,MATCH($A448,'S5'!$D$5:$D$2103,0)-1,6)="巻返し",OFFSET('S5'!#REF!,MATCH($A448,'S5'!$D$5:$D$2103,0)-1,6)="スリット"),SUMIF('S5'!$D$5:$D$2103,$A448,'S5'!$T$5:$T$2103),""),"")</f>
        <v/>
      </c>
    </row>
    <row r="449" spans="1:28" s="141" customFormat="1" ht="13.5" x14ac:dyDescent="0.15">
      <c r="A449" s="274">
        <v>3716251</v>
      </c>
      <c r="B449" s="274" t="s">
        <v>351</v>
      </c>
      <c r="C449" s="274" t="s">
        <v>352</v>
      </c>
      <c r="D449" s="274" t="s">
        <v>353</v>
      </c>
      <c r="E449" s="274" t="s">
        <v>116</v>
      </c>
      <c r="F449" s="274">
        <v>3</v>
      </c>
      <c r="G449" s="274" t="s">
        <v>19</v>
      </c>
      <c r="H449" s="274" t="s">
        <v>20</v>
      </c>
      <c r="I449" s="274" t="s">
        <v>205</v>
      </c>
      <c r="J449" s="274"/>
      <c r="K449" s="274" t="s">
        <v>211</v>
      </c>
      <c r="L449" s="274">
        <v>50</v>
      </c>
      <c r="M449" s="274" t="s">
        <v>370</v>
      </c>
      <c r="N449" s="275">
        <v>1050</v>
      </c>
      <c r="O449" s="275">
        <v>1050</v>
      </c>
      <c r="P449" s="275">
        <v>4100</v>
      </c>
      <c r="Q449" s="274">
        <v>2</v>
      </c>
      <c r="R449" s="274">
        <v>3</v>
      </c>
      <c r="S449" s="274" t="s">
        <v>354</v>
      </c>
      <c r="T449" s="276">
        <v>45097</v>
      </c>
      <c r="U449" s="276">
        <v>45126</v>
      </c>
      <c r="V449" s="274" t="s">
        <v>355</v>
      </c>
      <c r="W449" s="274"/>
      <c r="X449" s="274"/>
      <c r="Y449" s="239"/>
      <c r="Z449" s="146" t="str">
        <f t="shared" ca="1" si="6"/>
        <v/>
      </c>
      <c r="AA449" s="146" t="str">
        <f ca="1">IFERROR(IF(OR(OFFSET('S4'!#REF!,MATCH($A449,'S4'!$D$5:$D$2535,0)-1,6)="巻返し",OFFSET('S4'!#REF!,MATCH($A449,'S4'!$D$5:$D$2535,0)-1,6)="スリット"),SUMIF('S4'!$D$5:$D$2535,$A449,'S4'!$U$5:$U$2535),""),"")</f>
        <v/>
      </c>
      <c r="AB449" s="146" t="str">
        <f ca="1">IFERROR(IF(OR(OFFSET('S5'!#REF!,MATCH($A449,'S5'!$D$5:$D$2103,0)-1,6)="巻返し",OFFSET('S5'!#REF!,MATCH($A449,'S5'!$D$5:$D$2103,0)-1,6)="スリット"),SUMIF('S5'!$D$5:$D$2103,$A449,'S5'!$T$5:$T$2103),""),"")</f>
        <v/>
      </c>
    </row>
    <row r="450" spans="1:28" s="141" customFormat="1" ht="13.5" x14ac:dyDescent="0.15">
      <c r="A450" s="274">
        <v>3716252</v>
      </c>
      <c r="B450" s="274" t="s">
        <v>351</v>
      </c>
      <c r="C450" s="274" t="s">
        <v>352</v>
      </c>
      <c r="D450" s="274" t="s">
        <v>353</v>
      </c>
      <c r="E450" s="274" t="s">
        <v>116</v>
      </c>
      <c r="F450" s="274">
        <v>3</v>
      </c>
      <c r="G450" s="274" t="s">
        <v>19</v>
      </c>
      <c r="H450" s="274" t="s">
        <v>20</v>
      </c>
      <c r="I450" s="274" t="s">
        <v>205</v>
      </c>
      <c r="J450" s="274"/>
      <c r="K450" s="274" t="s">
        <v>211</v>
      </c>
      <c r="L450" s="274">
        <v>50</v>
      </c>
      <c r="M450" s="274" t="s">
        <v>370</v>
      </c>
      <c r="N450" s="275">
        <v>1170</v>
      </c>
      <c r="O450" s="275">
        <v>1170</v>
      </c>
      <c r="P450" s="275">
        <v>4000</v>
      </c>
      <c r="Q450" s="274">
        <v>2</v>
      </c>
      <c r="R450" s="274">
        <v>2</v>
      </c>
      <c r="S450" s="274" t="s">
        <v>354</v>
      </c>
      <c r="T450" s="276">
        <v>45097</v>
      </c>
      <c r="U450" s="276">
        <v>45126</v>
      </c>
      <c r="V450" s="274" t="s">
        <v>355</v>
      </c>
      <c r="W450" s="274"/>
      <c r="X450" s="274"/>
      <c r="Y450" s="239"/>
      <c r="Z450" s="146" t="str">
        <f t="shared" ca="1" si="6"/>
        <v/>
      </c>
      <c r="AA450" s="146" t="str">
        <f ca="1">IFERROR(IF(OR(OFFSET('S4'!#REF!,MATCH($A450,'S4'!$D$5:$D$2535,0)-1,6)="巻返し",OFFSET('S4'!#REF!,MATCH($A450,'S4'!$D$5:$D$2535,0)-1,6)="スリット"),SUMIF('S4'!$D$5:$D$2535,$A450,'S4'!$U$5:$U$2535),""),"")</f>
        <v/>
      </c>
      <c r="AB450" s="146" t="str">
        <f ca="1">IFERROR(IF(OR(OFFSET('S5'!#REF!,MATCH($A450,'S5'!$D$5:$D$2103,0)-1,6)="巻返し",OFFSET('S5'!#REF!,MATCH($A450,'S5'!$D$5:$D$2103,0)-1,6)="スリット"),SUMIF('S5'!$D$5:$D$2103,$A450,'S5'!$T$5:$T$2103),""),"")</f>
        <v/>
      </c>
    </row>
    <row r="451" spans="1:28" s="141" customFormat="1" ht="13.5" x14ac:dyDescent="0.15">
      <c r="A451" s="274">
        <v>3716253</v>
      </c>
      <c r="B451" s="274" t="s">
        <v>351</v>
      </c>
      <c r="C451" s="274" t="s">
        <v>352</v>
      </c>
      <c r="D451" s="274" t="s">
        <v>353</v>
      </c>
      <c r="E451" s="274" t="s">
        <v>116</v>
      </c>
      <c r="F451" s="274">
        <v>3</v>
      </c>
      <c r="G451" s="274" t="s">
        <v>19</v>
      </c>
      <c r="H451" s="274" t="s">
        <v>20</v>
      </c>
      <c r="I451" s="274" t="s">
        <v>205</v>
      </c>
      <c r="J451" s="274"/>
      <c r="K451" s="274" t="s">
        <v>211</v>
      </c>
      <c r="L451" s="274">
        <v>75</v>
      </c>
      <c r="M451" s="274" t="s">
        <v>370</v>
      </c>
      <c r="N451" s="275">
        <v>1050</v>
      </c>
      <c r="O451" s="275">
        <v>1050</v>
      </c>
      <c r="P451" s="275">
        <v>2000</v>
      </c>
      <c r="Q451" s="274">
        <v>2</v>
      </c>
      <c r="R451" s="274">
        <v>2</v>
      </c>
      <c r="S451" s="274" t="s">
        <v>354</v>
      </c>
      <c r="T451" s="276">
        <v>45097</v>
      </c>
      <c r="U451" s="276">
        <v>45126</v>
      </c>
      <c r="V451" s="274" t="s">
        <v>355</v>
      </c>
      <c r="W451" s="274"/>
      <c r="X451" s="274"/>
      <c r="Y451" s="239"/>
      <c r="Z451" s="146" t="str">
        <f t="shared" ca="1" si="6"/>
        <v/>
      </c>
      <c r="AA451" s="146" t="str">
        <f ca="1">IFERROR(IF(OR(OFFSET('S4'!#REF!,MATCH($A451,'S4'!$D$5:$D$2535,0)-1,6)="巻返し",OFFSET('S4'!#REF!,MATCH($A451,'S4'!$D$5:$D$2535,0)-1,6)="スリット"),SUMIF('S4'!$D$5:$D$2535,$A451,'S4'!$U$5:$U$2535),""),"")</f>
        <v/>
      </c>
      <c r="AB451" s="146" t="str">
        <f ca="1">IFERROR(IF(OR(OFFSET('S5'!#REF!,MATCH($A451,'S5'!$D$5:$D$2103,0)-1,6)="巻返し",OFFSET('S5'!#REF!,MATCH($A451,'S5'!$D$5:$D$2103,0)-1,6)="スリット"),SUMIF('S5'!$D$5:$D$2103,$A451,'S5'!$T$5:$T$2103),""),"")</f>
        <v/>
      </c>
    </row>
    <row r="452" spans="1:28" s="141" customFormat="1" ht="13.5" x14ac:dyDescent="0.15">
      <c r="A452" s="274">
        <v>3716254</v>
      </c>
      <c r="B452" s="274" t="s">
        <v>351</v>
      </c>
      <c r="C452" s="274" t="s">
        <v>352</v>
      </c>
      <c r="D452" s="274" t="s">
        <v>353</v>
      </c>
      <c r="E452" s="274" t="s">
        <v>116</v>
      </c>
      <c r="F452" s="274">
        <v>3</v>
      </c>
      <c r="G452" s="274" t="s">
        <v>19</v>
      </c>
      <c r="H452" s="274" t="s">
        <v>20</v>
      </c>
      <c r="I452" s="274" t="s">
        <v>165</v>
      </c>
      <c r="J452" s="274"/>
      <c r="K452" s="274" t="s">
        <v>185</v>
      </c>
      <c r="L452" s="274">
        <v>50</v>
      </c>
      <c r="M452" s="274" t="s">
        <v>186</v>
      </c>
      <c r="N452" s="275">
        <v>1005</v>
      </c>
      <c r="O452" s="275">
        <v>1000</v>
      </c>
      <c r="P452" s="275">
        <v>4000</v>
      </c>
      <c r="Q452" s="274">
        <v>2</v>
      </c>
      <c r="R452" s="274">
        <v>3</v>
      </c>
      <c r="S452" s="274" t="s">
        <v>354</v>
      </c>
      <c r="T452" s="276">
        <v>45097</v>
      </c>
      <c r="U452" s="276">
        <v>45128</v>
      </c>
      <c r="V452" s="274" t="s">
        <v>355</v>
      </c>
      <c r="W452" s="274"/>
      <c r="X452" s="274"/>
      <c r="Y452" s="239"/>
      <c r="Z452" s="146" t="str">
        <f t="shared" ref="Z452:Z514" ca="1" si="7">IF(SUM(AA452:AB452)=0,"",SUM(AA452:AB452))</f>
        <v/>
      </c>
      <c r="AA452" s="146" t="str">
        <f ca="1">IFERROR(IF(OR(OFFSET('S4'!#REF!,MATCH($A452,'S4'!$D$5:$D$2535,0)-1,6)="巻返し",OFFSET('S4'!#REF!,MATCH($A452,'S4'!$D$5:$D$2535,0)-1,6)="スリット"),SUMIF('S4'!$D$5:$D$2535,$A452,'S4'!$U$5:$U$2535),""),"")</f>
        <v/>
      </c>
      <c r="AB452" s="146" t="str">
        <f ca="1">IFERROR(IF(OR(OFFSET('S5'!#REF!,MATCH($A452,'S5'!$D$5:$D$2103,0)-1,6)="巻返し",OFFSET('S5'!#REF!,MATCH($A452,'S5'!$D$5:$D$2103,0)-1,6)="スリット"),SUMIF('S5'!$D$5:$D$2103,$A452,'S5'!$T$5:$T$2103),""),"")</f>
        <v/>
      </c>
    </row>
    <row r="453" spans="1:28" s="141" customFormat="1" ht="13.5" x14ac:dyDescent="0.15">
      <c r="A453" s="274">
        <v>3716255</v>
      </c>
      <c r="B453" s="274" t="s">
        <v>351</v>
      </c>
      <c r="C453" s="274" t="s">
        <v>352</v>
      </c>
      <c r="D453" s="274" t="s">
        <v>353</v>
      </c>
      <c r="E453" s="274" t="s">
        <v>116</v>
      </c>
      <c r="F453" s="274">
        <v>3</v>
      </c>
      <c r="G453" s="274" t="s">
        <v>19</v>
      </c>
      <c r="H453" s="274" t="s">
        <v>20</v>
      </c>
      <c r="I453" s="274" t="s">
        <v>205</v>
      </c>
      <c r="J453" s="274"/>
      <c r="K453" s="274" t="s">
        <v>216</v>
      </c>
      <c r="L453" s="274">
        <v>25</v>
      </c>
      <c r="M453" s="274" t="s">
        <v>217</v>
      </c>
      <c r="N453" s="275">
        <v>1005</v>
      </c>
      <c r="O453" s="275">
        <v>1000</v>
      </c>
      <c r="P453" s="275">
        <v>4000</v>
      </c>
      <c r="Q453" s="274">
        <v>2</v>
      </c>
      <c r="R453" s="274">
        <v>15</v>
      </c>
      <c r="S453" s="274" t="s">
        <v>354</v>
      </c>
      <c r="T453" s="276">
        <v>45097</v>
      </c>
      <c r="U453" s="276">
        <v>45128</v>
      </c>
      <c r="V453" s="274" t="s">
        <v>355</v>
      </c>
      <c r="W453" s="274"/>
      <c r="X453" s="274"/>
      <c r="Y453" s="239"/>
      <c r="Z453" s="146" t="str">
        <f t="shared" ca="1" si="7"/>
        <v/>
      </c>
      <c r="AA453" s="146" t="str">
        <f ca="1">IFERROR(IF(OR(OFFSET('S4'!#REF!,MATCH($A453,'S4'!$D$5:$D$2535,0)-1,6)="巻返し",OFFSET('S4'!#REF!,MATCH($A453,'S4'!$D$5:$D$2535,0)-1,6)="スリット"),SUMIF('S4'!$D$5:$D$2535,$A453,'S4'!$U$5:$U$2535),""),"")</f>
        <v/>
      </c>
      <c r="AB453" s="146" t="str">
        <f ca="1">IFERROR(IF(OR(OFFSET('S5'!#REF!,MATCH($A453,'S5'!$D$5:$D$2103,0)-1,6)="巻返し",OFFSET('S5'!#REF!,MATCH($A453,'S5'!$D$5:$D$2103,0)-1,6)="スリット"),SUMIF('S5'!$D$5:$D$2103,$A453,'S5'!$T$5:$T$2103),""),"")</f>
        <v/>
      </c>
    </row>
    <row r="454" spans="1:28" s="141" customFormat="1" ht="13.5" x14ac:dyDescent="0.15">
      <c r="A454" s="274">
        <v>3716256</v>
      </c>
      <c r="B454" s="274" t="s">
        <v>351</v>
      </c>
      <c r="C454" s="274" t="s">
        <v>352</v>
      </c>
      <c r="D454" s="274" t="s">
        <v>353</v>
      </c>
      <c r="E454" s="274" t="s">
        <v>116</v>
      </c>
      <c r="F454" s="274">
        <v>3</v>
      </c>
      <c r="G454" s="274" t="s">
        <v>19</v>
      </c>
      <c r="H454" s="274" t="s">
        <v>20</v>
      </c>
      <c r="I454" s="274" t="s">
        <v>205</v>
      </c>
      <c r="J454" s="274"/>
      <c r="K454" s="274" t="s">
        <v>216</v>
      </c>
      <c r="L454" s="274">
        <v>25</v>
      </c>
      <c r="M454" s="274" t="s">
        <v>217</v>
      </c>
      <c r="N454" s="275">
        <v>1125</v>
      </c>
      <c r="O454" s="275">
        <v>1120</v>
      </c>
      <c r="P454" s="275">
        <v>4000</v>
      </c>
      <c r="Q454" s="274">
        <v>2</v>
      </c>
      <c r="R454" s="274">
        <v>3</v>
      </c>
      <c r="S454" s="274" t="s">
        <v>354</v>
      </c>
      <c r="T454" s="276">
        <v>45097</v>
      </c>
      <c r="U454" s="276">
        <v>45128</v>
      </c>
      <c r="V454" s="274" t="s">
        <v>355</v>
      </c>
      <c r="W454" s="274"/>
      <c r="X454" s="274"/>
      <c r="Y454" s="239"/>
      <c r="Z454" s="146" t="str">
        <f t="shared" ca="1" si="7"/>
        <v/>
      </c>
      <c r="AA454" s="146" t="str">
        <f ca="1">IFERROR(IF(OR(OFFSET('S4'!#REF!,MATCH($A454,'S4'!$D$5:$D$2535,0)-1,6)="巻返し",OFFSET('S4'!#REF!,MATCH($A454,'S4'!$D$5:$D$2535,0)-1,6)="スリット"),SUMIF('S4'!$D$5:$D$2535,$A454,'S4'!$U$5:$U$2535),""),"")</f>
        <v/>
      </c>
      <c r="AB454" s="146" t="str">
        <f ca="1">IFERROR(IF(OR(OFFSET('S5'!#REF!,MATCH($A454,'S5'!$D$5:$D$2103,0)-1,6)="巻返し",OFFSET('S5'!#REF!,MATCH($A454,'S5'!$D$5:$D$2103,0)-1,6)="スリット"),SUMIF('S5'!$D$5:$D$2103,$A454,'S5'!$T$5:$T$2103),""),"")</f>
        <v/>
      </c>
    </row>
    <row r="455" spans="1:28" s="141" customFormat="1" ht="13.5" x14ac:dyDescent="0.15">
      <c r="A455" s="274">
        <v>3716257</v>
      </c>
      <c r="B455" s="274" t="s">
        <v>351</v>
      </c>
      <c r="C455" s="274" t="s">
        <v>352</v>
      </c>
      <c r="D455" s="274" t="s">
        <v>353</v>
      </c>
      <c r="E455" s="274" t="s">
        <v>116</v>
      </c>
      <c r="F455" s="274">
        <v>3</v>
      </c>
      <c r="G455" s="274" t="s">
        <v>19</v>
      </c>
      <c r="H455" s="274" t="s">
        <v>20</v>
      </c>
      <c r="I455" s="274" t="s">
        <v>205</v>
      </c>
      <c r="J455" s="274"/>
      <c r="K455" s="274" t="s">
        <v>216</v>
      </c>
      <c r="L455" s="274">
        <v>50</v>
      </c>
      <c r="M455" s="274" t="s">
        <v>217</v>
      </c>
      <c r="N455" s="275">
        <v>1120</v>
      </c>
      <c r="O455" s="275">
        <v>1120</v>
      </c>
      <c r="P455" s="275">
        <v>5000</v>
      </c>
      <c r="Q455" s="274">
        <v>2</v>
      </c>
      <c r="R455" s="274">
        <v>13</v>
      </c>
      <c r="S455" s="274" t="s">
        <v>354</v>
      </c>
      <c r="T455" s="276">
        <v>45097</v>
      </c>
      <c r="U455" s="276">
        <v>45127</v>
      </c>
      <c r="V455" s="274" t="s">
        <v>355</v>
      </c>
      <c r="W455" s="274"/>
      <c r="X455" s="274"/>
      <c r="Y455" s="239"/>
      <c r="Z455" s="146" t="str">
        <f t="shared" ca="1" si="7"/>
        <v/>
      </c>
      <c r="AA455" s="146" t="str">
        <f ca="1">IFERROR(IF(OR(OFFSET('S4'!#REF!,MATCH($A455,'S4'!$D$5:$D$2535,0)-1,6)="巻返し",OFFSET('S4'!#REF!,MATCH($A455,'S4'!$D$5:$D$2535,0)-1,6)="スリット"),SUMIF('S4'!$D$5:$D$2535,$A455,'S4'!$U$5:$U$2535),""),"")</f>
        <v/>
      </c>
      <c r="AB455" s="146" t="str">
        <f ca="1">IFERROR(IF(OR(OFFSET('S5'!#REF!,MATCH($A455,'S5'!$D$5:$D$2103,0)-1,6)="巻返し",OFFSET('S5'!#REF!,MATCH($A455,'S5'!$D$5:$D$2103,0)-1,6)="スリット"),SUMIF('S5'!$D$5:$D$2103,$A455,'S5'!$T$5:$T$2103),""),"")</f>
        <v/>
      </c>
    </row>
    <row r="456" spans="1:28" s="141" customFormat="1" ht="13.5" x14ac:dyDescent="0.15">
      <c r="A456" s="274">
        <v>3716258</v>
      </c>
      <c r="B456" s="274" t="s">
        <v>351</v>
      </c>
      <c r="C456" s="274" t="s">
        <v>352</v>
      </c>
      <c r="D456" s="274" t="s">
        <v>353</v>
      </c>
      <c r="E456" s="274" t="s">
        <v>116</v>
      </c>
      <c r="F456" s="274">
        <v>3</v>
      </c>
      <c r="G456" s="274" t="s">
        <v>19</v>
      </c>
      <c r="H456" s="274" t="s">
        <v>20</v>
      </c>
      <c r="I456" s="274" t="s">
        <v>205</v>
      </c>
      <c r="J456" s="274"/>
      <c r="K456" s="274" t="s">
        <v>216</v>
      </c>
      <c r="L456" s="274">
        <v>50</v>
      </c>
      <c r="M456" s="274" t="s">
        <v>217</v>
      </c>
      <c r="N456" s="275">
        <v>1120</v>
      </c>
      <c r="O456" s="275">
        <v>1120</v>
      </c>
      <c r="P456" s="275">
        <v>5000</v>
      </c>
      <c r="Q456" s="274">
        <v>2</v>
      </c>
      <c r="R456" s="274">
        <v>13</v>
      </c>
      <c r="S456" s="274" t="s">
        <v>354</v>
      </c>
      <c r="T456" s="276">
        <v>45097</v>
      </c>
      <c r="U456" s="276">
        <v>45132</v>
      </c>
      <c r="V456" s="274" t="s">
        <v>355</v>
      </c>
      <c r="W456" s="274"/>
      <c r="X456" s="274"/>
      <c r="Y456" s="239"/>
      <c r="Z456" s="146" t="str">
        <f t="shared" ca="1" si="7"/>
        <v/>
      </c>
      <c r="AA456" s="146" t="str">
        <f ca="1">IFERROR(IF(OR(OFFSET('S4'!#REF!,MATCH($A456,'S4'!$D$5:$D$2535,0)-1,6)="巻返し",OFFSET('S4'!#REF!,MATCH($A456,'S4'!$D$5:$D$2535,0)-1,6)="スリット"),SUMIF('S4'!$D$5:$D$2535,$A456,'S4'!$U$5:$U$2535),""),"")</f>
        <v/>
      </c>
      <c r="AB456" s="146" t="str">
        <f ca="1">IFERROR(IF(OR(OFFSET('S5'!#REF!,MATCH($A456,'S5'!$D$5:$D$2103,0)-1,6)="巻返し",OFFSET('S5'!#REF!,MATCH($A456,'S5'!$D$5:$D$2103,0)-1,6)="スリット"),SUMIF('S5'!$D$5:$D$2103,$A456,'S5'!$T$5:$T$2103),""),"")</f>
        <v/>
      </c>
    </row>
    <row r="457" spans="1:28" s="141" customFormat="1" ht="13.5" x14ac:dyDescent="0.15">
      <c r="A457" s="274">
        <v>3716259</v>
      </c>
      <c r="B457" s="274" t="s">
        <v>351</v>
      </c>
      <c r="C457" s="274" t="s">
        <v>352</v>
      </c>
      <c r="D457" s="274" t="s">
        <v>353</v>
      </c>
      <c r="E457" s="274" t="s">
        <v>116</v>
      </c>
      <c r="F457" s="274">
        <v>3</v>
      </c>
      <c r="G457" s="274" t="s">
        <v>19</v>
      </c>
      <c r="H457" s="274" t="s">
        <v>20</v>
      </c>
      <c r="I457" s="274" t="s">
        <v>205</v>
      </c>
      <c r="J457" s="274"/>
      <c r="K457" s="274" t="s">
        <v>216</v>
      </c>
      <c r="L457" s="274">
        <v>50</v>
      </c>
      <c r="M457" s="274" t="s">
        <v>217</v>
      </c>
      <c r="N457" s="275">
        <v>1120</v>
      </c>
      <c r="O457" s="275">
        <v>1120</v>
      </c>
      <c r="P457" s="275">
        <v>5000</v>
      </c>
      <c r="Q457" s="274">
        <v>2</v>
      </c>
      <c r="R457" s="274">
        <v>13</v>
      </c>
      <c r="S457" s="274" t="s">
        <v>354</v>
      </c>
      <c r="T457" s="276">
        <v>45097</v>
      </c>
      <c r="U457" s="276">
        <v>45135</v>
      </c>
      <c r="V457" s="274" t="s">
        <v>355</v>
      </c>
      <c r="W457" s="274"/>
      <c r="X457" s="274"/>
      <c r="Y457" s="239"/>
      <c r="Z457" s="146" t="str">
        <f t="shared" ca="1" si="7"/>
        <v/>
      </c>
      <c r="AA457" s="146" t="str">
        <f ca="1">IFERROR(IF(OR(OFFSET('S4'!#REF!,MATCH($A457,'S4'!$D$5:$D$2535,0)-1,6)="巻返し",OFFSET('S4'!#REF!,MATCH($A457,'S4'!$D$5:$D$2535,0)-1,6)="スリット"),SUMIF('S4'!$D$5:$D$2535,$A457,'S4'!$U$5:$U$2535),""),"")</f>
        <v/>
      </c>
      <c r="AB457" s="146" t="str">
        <f ca="1">IFERROR(IF(OR(OFFSET('S5'!#REF!,MATCH($A457,'S5'!$D$5:$D$2103,0)-1,6)="巻返し",OFFSET('S5'!#REF!,MATCH($A457,'S5'!$D$5:$D$2103,0)-1,6)="スリット"),SUMIF('S5'!$D$5:$D$2103,$A457,'S5'!$T$5:$T$2103),""),"")</f>
        <v/>
      </c>
    </row>
    <row r="458" spans="1:28" s="141" customFormat="1" ht="13.5" x14ac:dyDescent="0.15">
      <c r="A458" s="274">
        <v>3716260</v>
      </c>
      <c r="B458" s="274" t="s">
        <v>351</v>
      </c>
      <c r="C458" s="274" t="s">
        <v>352</v>
      </c>
      <c r="D458" s="274" t="s">
        <v>353</v>
      </c>
      <c r="E458" s="274" t="s">
        <v>116</v>
      </c>
      <c r="F458" s="274">
        <v>3</v>
      </c>
      <c r="G458" s="274" t="s">
        <v>19</v>
      </c>
      <c r="H458" s="274" t="s">
        <v>20</v>
      </c>
      <c r="I458" s="274" t="s">
        <v>205</v>
      </c>
      <c r="J458" s="274"/>
      <c r="K458" s="274" t="s">
        <v>216</v>
      </c>
      <c r="L458" s="274">
        <v>50</v>
      </c>
      <c r="M458" s="274" t="s">
        <v>217</v>
      </c>
      <c r="N458" s="275">
        <v>1120</v>
      </c>
      <c r="O458" s="275">
        <v>1120</v>
      </c>
      <c r="P458" s="275">
        <v>5000</v>
      </c>
      <c r="Q458" s="274">
        <v>2</v>
      </c>
      <c r="R458" s="274">
        <v>13</v>
      </c>
      <c r="S458" s="274" t="s">
        <v>354</v>
      </c>
      <c r="T458" s="276">
        <v>45097</v>
      </c>
      <c r="U458" s="276">
        <v>45138</v>
      </c>
      <c r="V458" s="274" t="s">
        <v>355</v>
      </c>
      <c r="W458" s="274"/>
      <c r="X458" s="274"/>
      <c r="Y458" s="239"/>
      <c r="Z458" s="146" t="str">
        <f t="shared" ca="1" si="7"/>
        <v/>
      </c>
      <c r="AA458" s="146" t="str">
        <f ca="1">IFERROR(IF(OR(OFFSET('S4'!#REF!,MATCH($A458,'S4'!$D$5:$D$2535,0)-1,6)="巻返し",OFFSET('S4'!#REF!,MATCH($A458,'S4'!$D$5:$D$2535,0)-1,6)="スリット"),SUMIF('S4'!$D$5:$D$2535,$A458,'S4'!$U$5:$U$2535),""),"")</f>
        <v/>
      </c>
      <c r="AB458" s="146" t="str">
        <f ca="1">IFERROR(IF(OR(OFFSET('S5'!#REF!,MATCH($A458,'S5'!$D$5:$D$2103,0)-1,6)="巻返し",OFFSET('S5'!#REF!,MATCH($A458,'S5'!$D$5:$D$2103,0)-1,6)="スリット"),SUMIF('S5'!$D$5:$D$2103,$A458,'S5'!$T$5:$T$2103),""),"")</f>
        <v/>
      </c>
    </row>
    <row r="459" spans="1:28" s="141" customFormat="1" ht="13.5" x14ac:dyDescent="0.15">
      <c r="A459" s="274">
        <v>3716262</v>
      </c>
      <c r="B459" s="274" t="s">
        <v>351</v>
      </c>
      <c r="C459" s="274" t="s">
        <v>352</v>
      </c>
      <c r="D459" s="274" t="s">
        <v>353</v>
      </c>
      <c r="E459" s="274" t="s">
        <v>116</v>
      </c>
      <c r="F459" s="274">
        <v>3</v>
      </c>
      <c r="G459" s="274" t="s">
        <v>19</v>
      </c>
      <c r="H459" s="274" t="s">
        <v>20</v>
      </c>
      <c r="I459" s="274" t="s">
        <v>205</v>
      </c>
      <c r="J459" s="274"/>
      <c r="K459" s="274" t="s">
        <v>218</v>
      </c>
      <c r="L459" s="274">
        <v>25</v>
      </c>
      <c r="M459" s="274" t="s">
        <v>219</v>
      </c>
      <c r="N459" s="275">
        <v>1005</v>
      </c>
      <c r="O459" s="275">
        <v>1000</v>
      </c>
      <c r="P459" s="275">
        <v>4000</v>
      </c>
      <c r="Q459" s="274">
        <v>2</v>
      </c>
      <c r="R459" s="274">
        <v>4</v>
      </c>
      <c r="S459" s="274" t="s">
        <v>354</v>
      </c>
      <c r="T459" s="276">
        <v>45097</v>
      </c>
      <c r="U459" s="276">
        <v>45128</v>
      </c>
      <c r="V459" s="274" t="s">
        <v>355</v>
      </c>
      <c r="W459" s="274"/>
      <c r="X459" s="274"/>
      <c r="Y459" s="239"/>
      <c r="Z459" s="146" t="str">
        <f t="shared" ca="1" si="7"/>
        <v/>
      </c>
      <c r="AA459" s="146" t="str">
        <f ca="1">IFERROR(IF(OR(OFFSET('S4'!#REF!,MATCH($A459,'S4'!$D$5:$D$2535,0)-1,6)="巻返し",OFFSET('S4'!#REF!,MATCH($A459,'S4'!$D$5:$D$2535,0)-1,6)="スリット"),SUMIF('S4'!$D$5:$D$2535,$A459,'S4'!$U$5:$U$2535),""),"")</f>
        <v/>
      </c>
      <c r="AB459" s="146" t="str">
        <f ca="1">IFERROR(IF(OR(OFFSET('S5'!#REF!,MATCH($A459,'S5'!$D$5:$D$2103,0)-1,6)="巻返し",OFFSET('S5'!#REF!,MATCH($A459,'S5'!$D$5:$D$2103,0)-1,6)="スリット"),SUMIF('S5'!$D$5:$D$2103,$A459,'S5'!$T$5:$T$2103),""),"")</f>
        <v/>
      </c>
    </row>
    <row r="460" spans="1:28" s="141" customFormat="1" ht="13.5" x14ac:dyDescent="0.15">
      <c r="A460" s="274">
        <v>3716263</v>
      </c>
      <c r="B460" s="274" t="s">
        <v>351</v>
      </c>
      <c r="C460" s="274" t="s">
        <v>352</v>
      </c>
      <c r="D460" s="274" t="s">
        <v>353</v>
      </c>
      <c r="E460" s="274" t="s">
        <v>116</v>
      </c>
      <c r="F460" s="274">
        <v>3</v>
      </c>
      <c r="G460" s="274" t="s">
        <v>19</v>
      </c>
      <c r="H460" s="274" t="s">
        <v>20</v>
      </c>
      <c r="I460" s="274" t="s">
        <v>205</v>
      </c>
      <c r="J460" s="274"/>
      <c r="K460" s="274" t="s">
        <v>218</v>
      </c>
      <c r="L460" s="274">
        <v>50</v>
      </c>
      <c r="M460" s="274" t="s">
        <v>219</v>
      </c>
      <c r="N460" s="275">
        <v>1000</v>
      </c>
      <c r="O460" s="275">
        <v>1000</v>
      </c>
      <c r="P460" s="275">
        <v>4000</v>
      </c>
      <c r="Q460" s="274">
        <v>2</v>
      </c>
      <c r="R460" s="274">
        <v>4</v>
      </c>
      <c r="S460" s="274" t="s">
        <v>354</v>
      </c>
      <c r="T460" s="276">
        <v>45097</v>
      </c>
      <c r="U460" s="276">
        <v>45128</v>
      </c>
      <c r="V460" s="274" t="s">
        <v>355</v>
      </c>
      <c r="W460" s="274"/>
      <c r="X460" s="274"/>
      <c r="Y460" s="239"/>
      <c r="Z460" s="146" t="str">
        <f t="shared" ca="1" si="7"/>
        <v/>
      </c>
      <c r="AA460" s="146" t="str">
        <f ca="1">IFERROR(IF(OR(OFFSET('S4'!#REF!,MATCH($A460,'S4'!$D$5:$D$2535,0)-1,6)="巻返し",OFFSET('S4'!#REF!,MATCH($A460,'S4'!$D$5:$D$2535,0)-1,6)="スリット"),SUMIF('S4'!$D$5:$D$2535,$A460,'S4'!$U$5:$U$2535),""),"")</f>
        <v/>
      </c>
      <c r="AB460" s="146" t="str">
        <f ca="1">IFERROR(IF(OR(OFFSET('S5'!#REF!,MATCH($A460,'S5'!$D$5:$D$2103,0)-1,6)="巻返し",OFFSET('S5'!#REF!,MATCH($A460,'S5'!$D$5:$D$2103,0)-1,6)="スリット"),SUMIF('S5'!$D$5:$D$2103,$A460,'S5'!$T$5:$T$2103),""),"")</f>
        <v/>
      </c>
    </row>
    <row r="461" spans="1:28" s="141" customFormat="1" ht="13.5" x14ac:dyDescent="0.15">
      <c r="A461" s="274">
        <v>3716264</v>
      </c>
      <c r="B461" s="274" t="s">
        <v>351</v>
      </c>
      <c r="C461" s="274" t="s">
        <v>352</v>
      </c>
      <c r="D461" s="274" t="s">
        <v>353</v>
      </c>
      <c r="E461" s="274" t="s">
        <v>116</v>
      </c>
      <c r="F461" s="274">
        <v>3</v>
      </c>
      <c r="G461" s="274" t="s">
        <v>19</v>
      </c>
      <c r="H461" s="274" t="s">
        <v>20</v>
      </c>
      <c r="I461" s="274" t="s">
        <v>205</v>
      </c>
      <c r="J461" s="274"/>
      <c r="K461" s="274" t="s">
        <v>218</v>
      </c>
      <c r="L461" s="274">
        <v>50</v>
      </c>
      <c r="M461" s="274" t="s">
        <v>219</v>
      </c>
      <c r="N461" s="275">
        <v>1000</v>
      </c>
      <c r="O461" s="275">
        <v>1000</v>
      </c>
      <c r="P461" s="275">
        <v>4000</v>
      </c>
      <c r="Q461" s="274">
        <v>2</v>
      </c>
      <c r="R461" s="274">
        <v>14</v>
      </c>
      <c r="S461" s="274" t="s">
        <v>354</v>
      </c>
      <c r="T461" s="276">
        <v>45097</v>
      </c>
      <c r="U461" s="276">
        <v>45128</v>
      </c>
      <c r="V461" s="274" t="s">
        <v>355</v>
      </c>
      <c r="W461" s="274"/>
      <c r="X461" s="274"/>
      <c r="Y461" s="239"/>
      <c r="Z461" s="146" t="str">
        <f t="shared" ca="1" si="7"/>
        <v/>
      </c>
      <c r="AA461" s="146" t="str">
        <f ca="1">IFERROR(IF(OR(OFFSET('S4'!#REF!,MATCH($A461,'S4'!$D$5:$D$2535,0)-1,6)="巻返し",OFFSET('S4'!#REF!,MATCH($A461,'S4'!$D$5:$D$2535,0)-1,6)="スリット"),SUMIF('S4'!$D$5:$D$2535,$A461,'S4'!$U$5:$U$2535),""),"")</f>
        <v/>
      </c>
      <c r="AB461" s="146" t="str">
        <f ca="1">IFERROR(IF(OR(OFFSET('S5'!#REF!,MATCH($A461,'S5'!$D$5:$D$2103,0)-1,6)="巻返し",OFFSET('S5'!#REF!,MATCH($A461,'S5'!$D$5:$D$2103,0)-1,6)="スリット"),SUMIF('S5'!$D$5:$D$2103,$A461,'S5'!$T$5:$T$2103),""),"")</f>
        <v/>
      </c>
    </row>
    <row r="462" spans="1:28" s="141" customFormat="1" ht="13.5" x14ac:dyDescent="0.15">
      <c r="A462" s="274">
        <v>3716265</v>
      </c>
      <c r="B462" s="274" t="s">
        <v>351</v>
      </c>
      <c r="C462" s="274" t="s">
        <v>352</v>
      </c>
      <c r="D462" s="274" t="s">
        <v>353</v>
      </c>
      <c r="E462" s="274" t="s">
        <v>116</v>
      </c>
      <c r="F462" s="274" t="s">
        <v>158</v>
      </c>
      <c r="G462" s="274" t="s">
        <v>19</v>
      </c>
      <c r="H462" s="274" t="s">
        <v>20</v>
      </c>
      <c r="I462" s="274" t="s">
        <v>165</v>
      </c>
      <c r="J462" s="274"/>
      <c r="K462" s="274" t="s">
        <v>192</v>
      </c>
      <c r="L462" s="274">
        <v>50</v>
      </c>
      <c r="M462" s="274" t="s">
        <v>193</v>
      </c>
      <c r="N462" s="275">
        <v>1005</v>
      </c>
      <c r="O462" s="275">
        <v>1000</v>
      </c>
      <c r="P462" s="275">
        <v>4000</v>
      </c>
      <c r="Q462" s="274">
        <v>2</v>
      </c>
      <c r="R462" s="274">
        <v>6</v>
      </c>
      <c r="S462" s="274" t="s">
        <v>354</v>
      </c>
      <c r="T462" s="276">
        <v>45097</v>
      </c>
      <c r="U462" s="276">
        <v>45128</v>
      </c>
      <c r="V462" s="274" t="s">
        <v>355</v>
      </c>
      <c r="W462" s="274"/>
      <c r="X462" s="274"/>
      <c r="Y462" s="239"/>
      <c r="Z462" s="146" t="str">
        <f t="shared" ca="1" si="7"/>
        <v/>
      </c>
      <c r="AA462" s="146" t="str">
        <f ca="1">IFERROR(IF(OR(OFFSET('S4'!#REF!,MATCH($A462,'S4'!$D$5:$D$2535,0)-1,6)="巻返し",OFFSET('S4'!#REF!,MATCH($A462,'S4'!$D$5:$D$2535,0)-1,6)="スリット"),SUMIF('S4'!$D$5:$D$2535,$A462,'S4'!$U$5:$U$2535),""),"")</f>
        <v/>
      </c>
      <c r="AB462" s="146" t="str">
        <f ca="1">IFERROR(IF(OR(OFFSET('S5'!#REF!,MATCH($A462,'S5'!$D$5:$D$2103,0)-1,6)="巻返し",OFFSET('S5'!#REF!,MATCH($A462,'S5'!$D$5:$D$2103,0)-1,6)="スリット"),SUMIF('S5'!$D$5:$D$2103,$A462,'S5'!$T$5:$T$2103),""),"")</f>
        <v/>
      </c>
    </row>
    <row r="463" spans="1:28" s="141" customFormat="1" ht="13.5" x14ac:dyDescent="0.15">
      <c r="A463" s="274">
        <v>3716267</v>
      </c>
      <c r="B463" s="274" t="s">
        <v>351</v>
      </c>
      <c r="C463" s="274" t="s">
        <v>352</v>
      </c>
      <c r="D463" s="274" t="s">
        <v>353</v>
      </c>
      <c r="E463" s="274" t="s">
        <v>116</v>
      </c>
      <c r="F463" s="274">
        <v>3</v>
      </c>
      <c r="G463" s="274" t="s">
        <v>19</v>
      </c>
      <c r="H463" s="274" t="s">
        <v>20</v>
      </c>
      <c r="I463" s="274" t="s">
        <v>205</v>
      </c>
      <c r="J463" s="274"/>
      <c r="K463" s="274" t="s">
        <v>221</v>
      </c>
      <c r="L463" s="274">
        <v>25</v>
      </c>
      <c r="M463" s="274" t="s">
        <v>222</v>
      </c>
      <c r="N463" s="275">
        <v>1000</v>
      </c>
      <c r="O463" s="275">
        <v>1000</v>
      </c>
      <c r="P463" s="275">
        <v>6000</v>
      </c>
      <c r="Q463" s="274">
        <v>2</v>
      </c>
      <c r="R463" s="274">
        <v>8</v>
      </c>
      <c r="S463" s="274" t="s">
        <v>354</v>
      </c>
      <c r="T463" s="276">
        <v>45097</v>
      </c>
      <c r="U463" s="276">
        <v>45125</v>
      </c>
      <c r="V463" s="274" t="s">
        <v>355</v>
      </c>
      <c r="W463" s="274"/>
      <c r="X463" s="274"/>
      <c r="Y463" s="239"/>
      <c r="Z463" s="146" t="str">
        <f t="shared" ca="1" si="7"/>
        <v/>
      </c>
      <c r="AA463" s="146" t="str">
        <f ca="1">IFERROR(IF(OR(OFFSET('S4'!#REF!,MATCH($A463,'S4'!$D$5:$D$2535,0)-1,6)="巻返し",OFFSET('S4'!#REF!,MATCH($A463,'S4'!$D$5:$D$2535,0)-1,6)="スリット"),SUMIF('S4'!$D$5:$D$2535,$A463,'S4'!$U$5:$U$2535),""),"")</f>
        <v/>
      </c>
      <c r="AB463" s="146" t="str">
        <f ca="1">IFERROR(IF(OR(OFFSET('S5'!#REF!,MATCH($A463,'S5'!$D$5:$D$2103,0)-1,6)="巻返し",OFFSET('S5'!#REF!,MATCH($A463,'S5'!$D$5:$D$2103,0)-1,6)="スリット"),SUMIF('S5'!$D$5:$D$2103,$A463,'S5'!$T$5:$T$2103),""),"")</f>
        <v/>
      </c>
    </row>
    <row r="464" spans="1:28" s="141" customFormat="1" ht="13.5" x14ac:dyDescent="0.15">
      <c r="A464" s="274">
        <v>3716268</v>
      </c>
      <c r="B464" s="274" t="s">
        <v>351</v>
      </c>
      <c r="C464" s="274" t="s">
        <v>352</v>
      </c>
      <c r="D464" s="274" t="s">
        <v>353</v>
      </c>
      <c r="E464" s="274" t="s">
        <v>116</v>
      </c>
      <c r="F464" s="274">
        <v>3</v>
      </c>
      <c r="G464" s="274" t="s">
        <v>19</v>
      </c>
      <c r="H464" s="274" t="s">
        <v>20</v>
      </c>
      <c r="I464" s="274" t="s">
        <v>205</v>
      </c>
      <c r="J464" s="274"/>
      <c r="K464" s="274" t="s">
        <v>221</v>
      </c>
      <c r="L464" s="274">
        <v>25</v>
      </c>
      <c r="M464" s="274" t="s">
        <v>222</v>
      </c>
      <c r="N464" s="275">
        <v>1100</v>
      </c>
      <c r="O464" s="275">
        <v>1100</v>
      </c>
      <c r="P464" s="275">
        <v>6000</v>
      </c>
      <c r="Q464" s="274">
        <v>2</v>
      </c>
      <c r="R464" s="274">
        <v>8</v>
      </c>
      <c r="S464" s="274" t="s">
        <v>354</v>
      </c>
      <c r="T464" s="276">
        <v>45097</v>
      </c>
      <c r="U464" s="276">
        <v>45125</v>
      </c>
      <c r="V464" s="274" t="s">
        <v>355</v>
      </c>
      <c r="W464" s="274"/>
      <c r="X464" s="274"/>
      <c r="Y464" s="239"/>
      <c r="Z464" s="146" t="str">
        <f t="shared" ca="1" si="7"/>
        <v/>
      </c>
      <c r="AA464" s="146" t="str">
        <f ca="1">IFERROR(IF(OR(OFFSET('S4'!#REF!,MATCH($A464,'S4'!$D$5:$D$2535,0)-1,6)="巻返し",OFFSET('S4'!#REF!,MATCH($A464,'S4'!$D$5:$D$2535,0)-1,6)="スリット"),SUMIF('S4'!$D$5:$D$2535,$A464,'S4'!$U$5:$U$2535),""),"")</f>
        <v/>
      </c>
      <c r="AB464" s="146" t="str">
        <f ca="1">IFERROR(IF(OR(OFFSET('S5'!#REF!,MATCH($A464,'S5'!$D$5:$D$2103,0)-1,6)="巻返し",OFFSET('S5'!#REF!,MATCH($A464,'S5'!$D$5:$D$2103,0)-1,6)="スリット"),SUMIF('S5'!$D$5:$D$2103,$A464,'S5'!$T$5:$T$2103),""),"")</f>
        <v/>
      </c>
    </row>
    <row r="465" spans="1:28" s="141" customFormat="1" ht="13.5" x14ac:dyDescent="0.15">
      <c r="A465" s="274">
        <v>3716269</v>
      </c>
      <c r="B465" s="274" t="s">
        <v>351</v>
      </c>
      <c r="C465" s="274" t="s">
        <v>352</v>
      </c>
      <c r="D465" s="274" t="s">
        <v>353</v>
      </c>
      <c r="E465" s="274" t="s">
        <v>116</v>
      </c>
      <c r="F465" s="274">
        <v>3</v>
      </c>
      <c r="G465" s="274" t="s">
        <v>19</v>
      </c>
      <c r="H465" s="274" t="s">
        <v>20</v>
      </c>
      <c r="I465" s="274" t="s">
        <v>143</v>
      </c>
      <c r="J465" s="274"/>
      <c r="K465" s="274" t="s">
        <v>152</v>
      </c>
      <c r="L465" s="274">
        <v>38</v>
      </c>
      <c r="M465" s="274" t="s">
        <v>153</v>
      </c>
      <c r="N465" s="275">
        <v>1005</v>
      </c>
      <c r="O465" s="275">
        <v>1000</v>
      </c>
      <c r="P465" s="275">
        <v>4000</v>
      </c>
      <c r="Q465" s="274">
        <v>2</v>
      </c>
      <c r="R465" s="274">
        <v>4</v>
      </c>
      <c r="S465" s="274" t="s">
        <v>354</v>
      </c>
      <c r="T465" s="276">
        <v>45097</v>
      </c>
      <c r="U465" s="276">
        <v>45128</v>
      </c>
      <c r="V465" s="274" t="s">
        <v>355</v>
      </c>
      <c r="W465" s="274"/>
      <c r="X465" s="274"/>
      <c r="Y465" s="239"/>
      <c r="Z465" s="146" t="str">
        <f t="shared" ca="1" si="7"/>
        <v/>
      </c>
      <c r="AA465" s="146" t="str">
        <f ca="1">IFERROR(IF(OR(OFFSET('S4'!#REF!,MATCH($A465,'S4'!$D$5:$D$2535,0)-1,6)="巻返し",OFFSET('S4'!#REF!,MATCH($A465,'S4'!$D$5:$D$2535,0)-1,6)="スリット"),SUMIF('S4'!$D$5:$D$2535,$A465,'S4'!$U$5:$U$2535),""),"")</f>
        <v/>
      </c>
      <c r="AB465" s="146" t="str">
        <f ca="1">IFERROR(IF(OR(OFFSET('S5'!#REF!,MATCH($A465,'S5'!$D$5:$D$2103,0)-1,6)="巻返し",OFFSET('S5'!#REF!,MATCH($A465,'S5'!$D$5:$D$2103,0)-1,6)="スリット"),SUMIF('S5'!$D$5:$D$2103,$A465,'S5'!$T$5:$T$2103),""),"")</f>
        <v/>
      </c>
    </row>
    <row r="466" spans="1:28" s="141" customFormat="1" ht="13.5" x14ac:dyDescent="0.15">
      <c r="A466" s="274">
        <v>3716270</v>
      </c>
      <c r="B466" s="274" t="s">
        <v>351</v>
      </c>
      <c r="C466" s="274" t="s">
        <v>352</v>
      </c>
      <c r="D466" s="274" t="s">
        <v>353</v>
      </c>
      <c r="E466" s="274" t="s">
        <v>116</v>
      </c>
      <c r="F466" s="274">
        <v>3</v>
      </c>
      <c r="G466" s="274" t="s">
        <v>19</v>
      </c>
      <c r="H466" s="274" t="s">
        <v>28</v>
      </c>
      <c r="I466" s="274" t="s">
        <v>205</v>
      </c>
      <c r="J466" s="274"/>
      <c r="K466" s="274" t="s">
        <v>237</v>
      </c>
      <c r="L466" s="274">
        <v>25</v>
      </c>
      <c r="M466" s="274" t="s">
        <v>238</v>
      </c>
      <c r="N466" s="275">
        <v>1120</v>
      </c>
      <c r="O466" s="275">
        <v>1120</v>
      </c>
      <c r="P466" s="275">
        <v>8000</v>
      </c>
      <c r="Q466" s="274">
        <v>2</v>
      </c>
      <c r="R466" s="274">
        <v>1</v>
      </c>
      <c r="S466" s="274" t="s">
        <v>354</v>
      </c>
      <c r="T466" s="276">
        <v>45097</v>
      </c>
      <c r="U466" s="276">
        <v>45128</v>
      </c>
      <c r="V466" s="274" t="s">
        <v>355</v>
      </c>
      <c r="W466" s="274"/>
      <c r="X466" s="274"/>
      <c r="Y466" s="239"/>
      <c r="Z466" s="146" t="str">
        <f t="shared" ca="1" si="7"/>
        <v/>
      </c>
      <c r="AA466" s="146" t="str">
        <f ca="1">IFERROR(IF(OR(OFFSET('S4'!#REF!,MATCH($A466,'S4'!$D$5:$D$2535,0)-1,6)="巻返し",OFFSET('S4'!#REF!,MATCH($A466,'S4'!$D$5:$D$2535,0)-1,6)="スリット"),SUMIF('S4'!$D$5:$D$2535,$A466,'S4'!$U$5:$U$2535),""),"")</f>
        <v/>
      </c>
      <c r="AB466" s="146" t="str">
        <f ca="1">IFERROR(IF(OR(OFFSET('S5'!#REF!,MATCH($A466,'S5'!$D$5:$D$2103,0)-1,6)="巻返し",OFFSET('S5'!#REF!,MATCH($A466,'S5'!$D$5:$D$2103,0)-1,6)="スリット"),SUMIF('S5'!$D$5:$D$2103,$A466,'S5'!$T$5:$T$2103),""),"")</f>
        <v/>
      </c>
    </row>
    <row r="467" spans="1:28" s="141" customFormat="1" ht="13.5" x14ac:dyDescent="0.15">
      <c r="A467" s="274">
        <v>3716271</v>
      </c>
      <c r="B467" s="274" t="s">
        <v>351</v>
      </c>
      <c r="C467" s="274" t="s">
        <v>352</v>
      </c>
      <c r="D467" s="274" t="s">
        <v>353</v>
      </c>
      <c r="E467" s="274" t="s">
        <v>116</v>
      </c>
      <c r="F467" s="274">
        <v>3</v>
      </c>
      <c r="G467" s="274" t="s">
        <v>19</v>
      </c>
      <c r="H467" s="274" t="s">
        <v>28</v>
      </c>
      <c r="I467" s="274" t="s">
        <v>205</v>
      </c>
      <c r="J467" s="274"/>
      <c r="K467" s="274" t="s">
        <v>237</v>
      </c>
      <c r="L467" s="274">
        <v>50</v>
      </c>
      <c r="M467" s="274" t="s">
        <v>238</v>
      </c>
      <c r="N467" s="275">
        <v>1120</v>
      </c>
      <c r="O467" s="275">
        <v>1120</v>
      </c>
      <c r="P467" s="275">
        <v>4000</v>
      </c>
      <c r="Q467" s="274">
        <v>2</v>
      </c>
      <c r="R467" s="274">
        <v>4</v>
      </c>
      <c r="S467" s="274" t="s">
        <v>354</v>
      </c>
      <c r="T467" s="276">
        <v>45097</v>
      </c>
      <c r="U467" s="276">
        <v>45134</v>
      </c>
      <c r="V467" s="274" t="s">
        <v>355</v>
      </c>
      <c r="W467" s="274"/>
      <c r="X467" s="274"/>
      <c r="Y467" s="239"/>
      <c r="Z467" s="146" t="str">
        <f t="shared" ca="1" si="7"/>
        <v/>
      </c>
      <c r="AA467" s="146" t="str">
        <f ca="1">IFERROR(IF(OR(OFFSET('S4'!#REF!,MATCH($A467,'S4'!$D$5:$D$2535,0)-1,6)="巻返し",OFFSET('S4'!#REF!,MATCH($A467,'S4'!$D$5:$D$2535,0)-1,6)="スリット"),SUMIF('S4'!$D$5:$D$2535,$A467,'S4'!$U$5:$U$2535),""),"")</f>
        <v/>
      </c>
      <c r="AB467" s="146" t="str">
        <f ca="1">IFERROR(IF(OR(OFFSET('S5'!#REF!,MATCH($A467,'S5'!$D$5:$D$2103,0)-1,6)="巻返し",OFFSET('S5'!#REF!,MATCH($A467,'S5'!$D$5:$D$2103,0)-1,6)="スリット"),SUMIF('S5'!$D$5:$D$2103,$A467,'S5'!$T$5:$T$2103),""),"")</f>
        <v/>
      </c>
    </row>
    <row r="468" spans="1:28" s="141" customFormat="1" ht="13.5" x14ac:dyDescent="0.15">
      <c r="A468" s="274">
        <v>3716272</v>
      </c>
      <c r="B468" s="274" t="s">
        <v>351</v>
      </c>
      <c r="C468" s="274" t="s">
        <v>352</v>
      </c>
      <c r="D468" s="274" t="s">
        <v>353</v>
      </c>
      <c r="E468" s="274" t="s">
        <v>116</v>
      </c>
      <c r="F468" s="274">
        <v>3</v>
      </c>
      <c r="G468" s="274" t="s">
        <v>19</v>
      </c>
      <c r="H468" s="274" t="s">
        <v>28</v>
      </c>
      <c r="I468" s="274" t="s">
        <v>205</v>
      </c>
      <c r="J468" s="274"/>
      <c r="K468" s="274" t="s">
        <v>233</v>
      </c>
      <c r="L468" s="274">
        <v>50</v>
      </c>
      <c r="M468" s="274" t="s">
        <v>234</v>
      </c>
      <c r="N468" s="275">
        <v>1120</v>
      </c>
      <c r="O468" s="275">
        <v>1120</v>
      </c>
      <c r="P468" s="275">
        <v>4000</v>
      </c>
      <c r="Q468" s="274">
        <v>2</v>
      </c>
      <c r="R468" s="274">
        <v>4</v>
      </c>
      <c r="S468" s="274" t="s">
        <v>354</v>
      </c>
      <c r="T468" s="276">
        <v>45097</v>
      </c>
      <c r="U468" s="276">
        <v>45128</v>
      </c>
      <c r="V468" s="274" t="s">
        <v>355</v>
      </c>
      <c r="W468" s="274"/>
      <c r="X468" s="274"/>
      <c r="Y468" s="239"/>
      <c r="Z468" s="146" t="str">
        <f t="shared" ca="1" si="7"/>
        <v/>
      </c>
      <c r="AA468" s="146" t="str">
        <f ca="1">IFERROR(IF(OR(OFFSET('S4'!#REF!,MATCH($A468,'S4'!$D$5:$D$2535,0)-1,6)="巻返し",OFFSET('S4'!#REF!,MATCH($A468,'S4'!$D$5:$D$2535,0)-1,6)="スリット"),SUMIF('S4'!$D$5:$D$2535,$A468,'S4'!$U$5:$U$2535),""),"")</f>
        <v/>
      </c>
      <c r="AB468" s="146" t="str">
        <f ca="1">IFERROR(IF(OR(OFFSET('S5'!#REF!,MATCH($A468,'S5'!$D$5:$D$2103,0)-1,6)="巻返し",OFFSET('S5'!#REF!,MATCH($A468,'S5'!$D$5:$D$2103,0)-1,6)="スリット"),SUMIF('S5'!$D$5:$D$2103,$A468,'S5'!$T$5:$T$2103),""),"")</f>
        <v/>
      </c>
    </row>
    <row r="469" spans="1:28" s="141" customFormat="1" ht="13.5" x14ac:dyDescent="0.15">
      <c r="A469" s="274">
        <v>3716273</v>
      </c>
      <c r="B469" s="274" t="s">
        <v>351</v>
      </c>
      <c r="C469" s="274" t="s">
        <v>352</v>
      </c>
      <c r="D469" s="274" t="s">
        <v>353</v>
      </c>
      <c r="E469" s="274" t="s">
        <v>116</v>
      </c>
      <c r="F469" s="274">
        <v>3</v>
      </c>
      <c r="G469" s="274" t="s">
        <v>19</v>
      </c>
      <c r="H469" s="274" t="s">
        <v>28</v>
      </c>
      <c r="I469" s="274" t="s">
        <v>205</v>
      </c>
      <c r="J469" s="274"/>
      <c r="K469" s="274" t="s">
        <v>233</v>
      </c>
      <c r="L469" s="274">
        <v>50</v>
      </c>
      <c r="M469" s="274" t="s">
        <v>234</v>
      </c>
      <c r="N469" s="275">
        <v>1120</v>
      </c>
      <c r="O469" s="275">
        <v>1120</v>
      </c>
      <c r="P469" s="275">
        <v>4000</v>
      </c>
      <c r="Q469" s="274">
        <v>2</v>
      </c>
      <c r="R469" s="274">
        <v>5</v>
      </c>
      <c r="S469" s="274" t="s">
        <v>354</v>
      </c>
      <c r="T469" s="276">
        <v>45097</v>
      </c>
      <c r="U469" s="276">
        <v>45132</v>
      </c>
      <c r="V469" s="274" t="s">
        <v>355</v>
      </c>
      <c r="W469" s="274"/>
      <c r="X469" s="274"/>
      <c r="Y469" s="239"/>
      <c r="Z469" s="146" t="str">
        <f t="shared" ca="1" si="7"/>
        <v/>
      </c>
      <c r="AA469" s="146" t="str">
        <f ca="1">IFERROR(IF(OR(OFFSET('S4'!#REF!,MATCH($A469,'S4'!$D$5:$D$2535,0)-1,6)="巻返し",OFFSET('S4'!#REF!,MATCH($A469,'S4'!$D$5:$D$2535,0)-1,6)="スリット"),SUMIF('S4'!$D$5:$D$2535,$A469,'S4'!$U$5:$U$2535),""),"")</f>
        <v/>
      </c>
      <c r="AB469" s="146" t="str">
        <f ca="1">IFERROR(IF(OR(OFFSET('S5'!#REF!,MATCH($A469,'S5'!$D$5:$D$2103,0)-1,6)="巻返し",OFFSET('S5'!#REF!,MATCH($A469,'S5'!$D$5:$D$2103,0)-1,6)="スリット"),SUMIF('S5'!$D$5:$D$2103,$A469,'S5'!$T$5:$T$2103),""),"")</f>
        <v/>
      </c>
    </row>
    <row r="470" spans="1:28" s="141" customFormat="1" ht="13.5" x14ac:dyDescent="0.15">
      <c r="A470" s="274">
        <v>3717577</v>
      </c>
      <c r="B470" s="274" t="s">
        <v>351</v>
      </c>
      <c r="C470" s="274" t="s">
        <v>364</v>
      </c>
      <c r="D470" s="274" t="s">
        <v>353</v>
      </c>
      <c r="E470" s="274" t="s">
        <v>148</v>
      </c>
      <c r="F470" s="274">
        <v>3</v>
      </c>
      <c r="G470" s="274" t="s">
        <v>19</v>
      </c>
      <c r="H470" s="274" t="s">
        <v>20</v>
      </c>
      <c r="I470" s="274" t="s">
        <v>165</v>
      </c>
      <c r="J470" s="274"/>
      <c r="K470" s="274" t="s">
        <v>180</v>
      </c>
      <c r="L470" s="274">
        <v>50</v>
      </c>
      <c r="M470" s="274" t="s">
        <v>181</v>
      </c>
      <c r="N470" s="275">
        <v>1120</v>
      </c>
      <c r="O470" s="275">
        <v>1120</v>
      </c>
      <c r="P470" s="275">
        <v>4000</v>
      </c>
      <c r="Q470" s="274">
        <v>2</v>
      </c>
      <c r="R470" s="274">
        <v>2</v>
      </c>
      <c r="S470" s="274" t="s">
        <v>354</v>
      </c>
      <c r="T470" s="276">
        <v>45099</v>
      </c>
      <c r="U470" s="276">
        <v>45169</v>
      </c>
      <c r="V470" s="274" t="s">
        <v>355</v>
      </c>
      <c r="W470" s="274"/>
      <c r="X470" s="274"/>
      <c r="Y470" s="143"/>
      <c r="Z470" s="146" t="str">
        <f t="shared" ca="1" si="7"/>
        <v/>
      </c>
      <c r="AA470" s="146" t="str">
        <f ca="1">IFERROR(IF(OR(OFFSET('S4'!#REF!,MATCH($A470,'S4'!$D$5:$D$2535,0)-1,6)="巻返し",OFFSET('S4'!#REF!,MATCH($A470,'S4'!$D$5:$D$2535,0)-1,6)="スリット"),SUMIF('S4'!$D$5:$D$2535,$A470,'S4'!$U$5:$U$2535),""),"")</f>
        <v/>
      </c>
      <c r="AB470" s="146" t="str">
        <f ca="1">IFERROR(IF(OR(OFFSET('S5'!#REF!,MATCH($A470,'S5'!$D$5:$D$2103,0)-1,6)="巻返し",OFFSET('S5'!#REF!,MATCH($A470,'S5'!$D$5:$D$2103,0)-1,6)="スリット"),SUMIF('S5'!$D$5:$D$2103,$A470,'S5'!$T$5:$T$2103),""),"")</f>
        <v/>
      </c>
    </row>
    <row r="471" spans="1:28" s="141" customFormat="1" ht="13.5" x14ac:dyDescent="0.15">
      <c r="A471" s="274">
        <v>3717593</v>
      </c>
      <c r="B471" s="274" t="s">
        <v>351</v>
      </c>
      <c r="C471" s="274" t="s">
        <v>352</v>
      </c>
      <c r="D471" s="274" t="s">
        <v>353</v>
      </c>
      <c r="E471" s="274" t="s">
        <v>116</v>
      </c>
      <c r="F471" s="274">
        <v>3</v>
      </c>
      <c r="G471" s="274" t="s">
        <v>19</v>
      </c>
      <c r="H471" s="274" t="s">
        <v>20</v>
      </c>
      <c r="I471" s="274" t="s">
        <v>165</v>
      </c>
      <c r="J471" s="274"/>
      <c r="K471" s="274" t="s">
        <v>185</v>
      </c>
      <c r="L471" s="274">
        <v>50</v>
      </c>
      <c r="M471" s="274" t="s">
        <v>186</v>
      </c>
      <c r="N471" s="275">
        <v>1005</v>
      </c>
      <c r="O471" s="275">
        <v>1000</v>
      </c>
      <c r="P471" s="275">
        <v>4100</v>
      </c>
      <c r="Q471" s="274">
        <v>2</v>
      </c>
      <c r="R471" s="274">
        <v>3</v>
      </c>
      <c r="S471" s="274" t="s">
        <v>354</v>
      </c>
      <c r="T471" s="276">
        <v>45100</v>
      </c>
      <c r="U471" s="276">
        <v>45128</v>
      </c>
      <c r="V471" s="274" t="s">
        <v>355</v>
      </c>
      <c r="W471" s="274"/>
      <c r="X471" s="274"/>
      <c r="Y471" s="143"/>
      <c r="Z471" s="146" t="str">
        <f t="shared" ca="1" si="7"/>
        <v/>
      </c>
      <c r="AA471" s="146" t="str">
        <f ca="1">IFERROR(IF(OR(OFFSET('S4'!#REF!,MATCH($A471,'S4'!$D$5:$D$2535,0)-1,6)="巻返し",OFFSET('S4'!#REF!,MATCH($A471,'S4'!$D$5:$D$2535,0)-1,6)="スリット"),SUMIF('S4'!$D$5:$D$2535,$A471,'S4'!$U$5:$U$2535),""),"")</f>
        <v/>
      </c>
      <c r="AB471" s="146" t="str">
        <f ca="1">IFERROR(IF(OR(OFFSET('S5'!#REF!,MATCH($A471,'S5'!$D$5:$D$2103,0)-1,6)="巻返し",OFFSET('S5'!#REF!,MATCH($A471,'S5'!$D$5:$D$2103,0)-1,6)="スリット"),SUMIF('S5'!$D$5:$D$2103,$A471,'S5'!$T$5:$T$2103),""),"")</f>
        <v/>
      </c>
    </row>
    <row r="472" spans="1:28" s="141" customFormat="1" ht="13.5" x14ac:dyDescent="0.15">
      <c r="A472" s="274">
        <v>3717594</v>
      </c>
      <c r="B472" s="274" t="s">
        <v>351</v>
      </c>
      <c r="C472" s="274" t="s">
        <v>352</v>
      </c>
      <c r="D472" s="274" t="s">
        <v>353</v>
      </c>
      <c r="E472" s="274" t="s">
        <v>116</v>
      </c>
      <c r="F472" s="274">
        <v>3</v>
      </c>
      <c r="G472" s="274" t="s">
        <v>19</v>
      </c>
      <c r="H472" s="274" t="s">
        <v>20</v>
      </c>
      <c r="I472" s="274" t="s">
        <v>205</v>
      </c>
      <c r="J472" s="274"/>
      <c r="K472" s="274" t="s">
        <v>211</v>
      </c>
      <c r="L472" s="274">
        <v>38</v>
      </c>
      <c r="M472" s="274" t="s">
        <v>370</v>
      </c>
      <c r="N472" s="275">
        <v>1005</v>
      </c>
      <c r="O472" s="275">
        <v>1000</v>
      </c>
      <c r="P472" s="275">
        <v>4100</v>
      </c>
      <c r="Q472" s="274">
        <v>2</v>
      </c>
      <c r="R472" s="274">
        <v>3</v>
      </c>
      <c r="S472" s="274" t="s">
        <v>354</v>
      </c>
      <c r="T472" s="276">
        <v>45100</v>
      </c>
      <c r="U472" s="276">
        <v>45128</v>
      </c>
      <c r="V472" s="274" t="s">
        <v>355</v>
      </c>
      <c r="W472" s="274"/>
      <c r="X472" s="274"/>
      <c r="Y472" s="143"/>
      <c r="Z472" s="146" t="str">
        <f t="shared" ca="1" si="7"/>
        <v/>
      </c>
      <c r="AA472" s="146" t="str">
        <f ca="1">IFERROR(IF(OR(OFFSET('S4'!#REF!,MATCH($A472,'S4'!$D$5:$D$2535,0)-1,6)="巻返し",OFFSET('S4'!#REF!,MATCH($A472,'S4'!$D$5:$D$2535,0)-1,6)="スリット"),SUMIF('S4'!$D$5:$D$2535,$A472,'S4'!$U$5:$U$2535),""),"")</f>
        <v/>
      </c>
      <c r="AB472" s="146" t="str">
        <f ca="1">IFERROR(IF(OR(OFFSET('S5'!#REF!,MATCH($A472,'S5'!$D$5:$D$2103,0)-1,6)="巻返し",OFFSET('S5'!#REF!,MATCH($A472,'S5'!$D$5:$D$2103,0)-1,6)="スリット"),SUMIF('S5'!$D$5:$D$2103,$A472,'S5'!$T$5:$T$2103),""),"")</f>
        <v/>
      </c>
    </row>
    <row r="473" spans="1:28" s="141" customFormat="1" ht="13.5" x14ac:dyDescent="0.15">
      <c r="A473" s="274">
        <v>3717595</v>
      </c>
      <c r="B473" s="274" t="s">
        <v>510</v>
      </c>
      <c r="C473" s="274" t="s">
        <v>352</v>
      </c>
      <c r="D473" s="274" t="s">
        <v>353</v>
      </c>
      <c r="E473" s="274" t="s">
        <v>116</v>
      </c>
      <c r="F473" s="274">
        <v>3</v>
      </c>
      <c r="G473" s="274" t="s">
        <v>269</v>
      </c>
      <c r="H473" s="274" t="s">
        <v>20</v>
      </c>
      <c r="I473" s="274" t="s">
        <v>165</v>
      </c>
      <c r="J473" s="274"/>
      <c r="K473" s="274" t="s">
        <v>172</v>
      </c>
      <c r="L473" s="274">
        <v>50</v>
      </c>
      <c r="M473" s="274" t="s">
        <v>576</v>
      </c>
      <c r="N473" s="275">
        <v>1005</v>
      </c>
      <c r="O473" s="275">
        <v>1000</v>
      </c>
      <c r="P473" s="275">
        <v>2000</v>
      </c>
      <c r="Q473" s="274">
        <v>2</v>
      </c>
      <c r="R473" s="274">
        <v>2</v>
      </c>
      <c r="S473" s="274" t="s">
        <v>354</v>
      </c>
      <c r="T473" s="276">
        <v>45100</v>
      </c>
      <c r="U473" s="276">
        <v>45138</v>
      </c>
      <c r="V473" s="274" t="s">
        <v>428</v>
      </c>
      <c r="W473" s="274"/>
      <c r="X473" s="274"/>
      <c r="Y473" s="143"/>
      <c r="Z473" s="146" t="str">
        <f t="shared" ca="1" si="7"/>
        <v/>
      </c>
      <c r="AA473" s="146" t="str">
        <f ca="1">IFERROR(IF(OR(OFFSET('S4'!#REF!,MATCH($A473,'S4'!$D$5:$D$2535,0)-1,6)="巻返し",OFFSET('S4'!#REF!,MATCH($A473,'S4'!$D$5:$D$2535,0)-1,6)="スリット"),SUMIF('S4'!$D$5:$D$2535,$A473,'S4'!$U$5:$U$2535),""),"")</f>
        <v/>
      </c>
      <c r="AB473" s="146" t="str">
        <f ca="1">IFERROR(IF(OR(OFFSET('S5'!#REF!,MATCH($A473,'S5'!$D$5:$D$2103,0)-1,6)="巻返し",OFFSET('S5'!#REF!,MATCH($A473,'S5'!$D$5:$D$2103,0)-1,6)="スリット"),SUMIF('S5'!$D$5:$D$2103,$A473,'S5'!$T$5:$T$2103),""),"")</f>
        <v/>
      </c>
    </row>
    <row r="474" spans="1:28" s="141" customFormat="1" ht="13.5" x14ac:dyDescent="0.15">
      <c r="A474" s="274">
        <v>3717596</v>
      </c>
      <c r="B474" s="274" t="s">
        <v>510</v>
      </c>
      <c r="C474" s="274" t="s">
        <v>352</v>
      </c>
      <c r="D474" s="274" t="s">
        <v>353</v>
      </c>
      <c r="E474" s="274" t="s">
        <v>116</v>
      </c>
      <c r="F474" s="274">
        <v>3</v>
      </c>
      <c r="G474" s="274" t="s">
        <v>269</v>
      </c>
      <c r="H474" s="274" t="s">
        <v>20</v>
      </c>
      <c r="I474" s="274" t="s">
        <v>165</v>
      </c>
      <c r="J474" s="274"/>
      <c r="K474" s="274" t="s">
        <v>172</v>
      </c>
      <c r="L474" s="274">
        <v>50</v>
      </c>
      <c r="M474" s="274" t="s">
        <v>576</v>
      </c>
      <c r="N474" s="275">
        <v>1005</v>
      </c>
      <c r="O474" s="275">
        <v>1000</v>
      </c>
      <c r="P474" s="275">
        <v>2000</v>
      </c>
      <c r="Q474" s="274">
        <v>2</v>
      </c>
      <c r="R474" s="274">
        <v>4</v>
      </c>
      <c r="S474" s="274" t="s">
        <v>354</v>
      </c>
      <c r="T474" s="276">
        <v>45100</v>
      </c>
      <c r="U474" s="276">
        <v>45138</v>
      </c>
      <c r="V474" s="274" t="s">
        <v>428</v>
      </c>
      <c r="W474" s="274"/>
      <c r="X474" s="274"/>
      <c r="Y474" s="143"/>
      <c r="Z474" s="146" t="str">
        <f t="shared" ca="1" si="7"/>
        <v/>
      </c>
      <c r="AA474" s="146" t="str">
        <f ca="1">IFERROR(IF(OR(OFFSET('S4'!#REF!,MATCH($A474,'S4'!$D$5:$D$2535,0)-1,6)="巻返し",OFFSET('S4'!#REF!,MATCH($A474,'S4'!$D$5:$D$2535,0)-1,6)="スリット"),SUMIF('S4'!$D$5:$D$2535,$A474,'S4'!$U$5:$U$2535),""),"")</f>
        <v/>
      </c>
      <c r="AB474" s="146" t="str">
        <f ca="1">IFERROR(IF(OR(OFFSET('S5'!#REF!,MATCH($A474,'S5'!$D$5:$D$2103,0)-1,6)="巻返し",OFFSET('S5'!#REF!,MATCH($A474,'S5'!$D$5:$D$2103,0)-1,6)="スリット"),SUMIF('S5'!$D$5:$D$2103,$A474,'S5'!$T$5:$T$2103),""),"")</f>
        <v/>
      </c>
    </row>
    <row r="475" spans="1:28" s="141" customFormat="1" ht="13.5" x14ac:dyDescent="0.15">
      <c r="A475" s="274">
        <v>3717597</v>
      </c>
      <c r="B475" s="274" t="s">
        <v>510</v>
      </c>
      <c r="C475" s="274" t="s">
        <v>352</v>
      </c>
      <c r="D475" s="274" t="s">
        <v>353</v>
      </c>
      <c r="E475" s="274" t="s">
        <v>116</v>
      </c>
      <c r="F475" s="274">
        <v>3</v>
      </c>
      <c r="G475" s="274" t="s">
        <v>269</v>
      </c>
      <c r="H475" s="274" t="s">
        <v>20</v>
      </c>
      <c r="I475" s="274" t="s">
        <v>165</v>
      </c>
      <c r="J475" s="274"/>
      <c r="K475" s="274" t="s">
        <v>176</v>
      </c>
      <c r="L475" s="274">
        <v>25</v>
      </c>
      <c r="M475" s="274" t="s">
        <v>577</v>
      </c>
      <c r="N475" s="275">
        <v>1005</v>
      </c>
      <c r="O475" s="275">
        <v>1000</v>
      </c>
      <c r="P475" s="275">
        <v>2000</v>
      </c>
      <c r="Q475" s="274">
        <v>2</v>
      </c>
      <c r="R475" s="274">
        <v>4</v>
      </c>
      <c r="S475" s="274" t="s">
        <v>354</v>
      </c>
      <c r="T475" s="276">
        <v>45100</v>
      </c>
      <c r="U475" s="276">
        <v>45138</v>
      </c>
      <c r="V475" s="274" t="s">
        <v>428</v>
      </c>
      <c r="W475" s="274"/>
      <c r="X475" s="274"/>
      <c r="Y475" s="143"/>
      <c r="Z475" s="146" t="str">
        <f t="shared" ca="1" si="7"/>
        <v/>
      </c>
      <c r="AA475" s="146" t="str">
        <f ca="1">IFERROR(IF(OR(OFFSET('S4'!#REF!,MATCH($A475,'S4'!$D$5:$D$2535,0)-1,6)="巻返し",OFFSET('S4'!#REF!,MATCH($A475,'S4'!$D$5:$D$2535,0)-1,6)="スリット"),SUMIF('S4'!$D$5:$D$2535,$A475,'S4'!$U$5:$U$2535),""),"")</f>
        <v/>
      </c>
      <c r="AB475" s="146" t="str">
        <f ca="1">IFERROR(IF(OR(OFFSET('S5'!#REF!,MATCH($A475,'S5'!$D$5:$D$2103,0)-1,6)="巻返し",OFFSET('S5'!#REF!,MATCH($A475,'S5'!$D$5:$D$2103,0)-1,6)="スリット"),SUMIF('S5'!$D$5:$D$2103,$A475,'S5'!$T$5:$T$2103),""),"")</f>
        <v/>
      </c>
    </row>
    <row r="476" spans="1:28" s="141" customFormat="1" ht="13.5" x14ac:dyDescent="0.15">
      <c r="A476" s="274">
        <v>3717598</v>
      </c>
      <c r="B476" s="274" t="s">
        <v>510</v>
      </c>
      <c r="C476" s="274" t="s">
        <v>352</v>
      </c>
      <c r="D476" s="274" t="s">
        <v>353</v>
      </c>
      <c r="E476" s="274" t="s">
        <v>116</v>
      </c>
      <c r="F476" s="274">
        <v>3</v>
      </c>
      <c r="G476" s="274" t="s">
        <v>269</v>
      </c>
      <c r="H476" s="274" t="s">
        <v>20</v>
      </c>
      <c r="I476" s="274" t="s">
        <v>165</v>
      </c>
      <c r="J476" s="274"/>
      <c r="K476" s="274" t="s">
        <v>176</v>
      </c>
      <c r="L476" s="274">
        <v>25</v>
      </c>
      <c r="M476" s="274" t="s">
        <v>577</v>
      </c>
      <c r="N476" s="275">
        <v>1005</v>
      </c>
      <c r="O476" s="275">
        <v>1000</v>
      </c>
      <c r="P476" s="275">
        <v>6000</v>
      </c>
      <c r="Q476" s="274">
        <v>2</v>
      </c>
      <c r="R476" s="274">
        <v>4</v>
      </c>
      <c r="S476" s="274" t="s">
        <v>354</v>
      </c>
      <c r="T476" s="276">
        <v>45100</v>
      </c>
      <c r="U476" s="276">
        <v>45138</v>
      </c>
      <c r="V476" s="274" t="s">
        <v>428</v>
      </c>
      <c r="W476" s="274"/>
      <c r="X476" s="274"/>
      <c r="Y476" s="143"/>
      <c r="Z476" s="146" t="str">
        <f t="shared" ca="1" si="7"/>
        <v/>
      </c>
      <c r="AA476" s="146" t="str">
        <f ca="1">IFERROR(IF(OR(OFFSET('S4'!#REF!,MATCH($A476,'S4'!$D$5:$D$2535,0)-1,6)="巻返し",OFFSET('S4'!#REF!,MATCH($A476,'S4'!$D$5:$D$2535,0)-1,6)="スリット"),SUMIF('S4'!$D$5:$D$2535,$A476,'S4'!$U$5:$U$2535),""),"")</f>
        <v/>
      </c>
      <c r="AB476" s="146" t="str">
        <f ca="1">IFERROR(IF(OR(OFFSET('S5'!#REF!,MATCH($A476,'S5'!$D$5:$D$2103,0)-1,6)="巻返し",OFFSET('S5'!#REF!,MATCH($A476,'S5'!$D$5:$D$2103,0)-1,6)="スリット"),SUMIF('S5'!$D$5:$D$2103,$A476,'S5'!$T$5:$T$2103),""),"")</f>
        <v/>
      </c>
    </row>
    <row r="477" spans="1:28" s="141" customFormat="1" ht="13.5" x14ac:dyDescent="0.15">
      <c r="A477" s="274">
        <v>3717599</v>
      </c>
      <c r="B477" s="274" t="s">
        <v>510</v>
      </c>
      <c r="C477" s="274" t="s">
        <v>352</v>
      </c>
      <c r="D477" s="274" t="s">
        <v>353</v>
      </c>
      <c r="E477" s="274" t="s">
        <v>116</v>
      </c>
      <c r="F477" s="274">
        <v>3</v>
      </c>
      <c r="G477" s="274" t="s">
        <v>269</v>
      </c>
      <c r="H477" s="274" t="s">
        <v>20</v>
      </c>
      <c r="I477" s="274" t="s">
        <v>165</v>
      </c>
      <c r="J477" s="274"/>
      <c r="K477" s="274" t="s">
        <v>176</v>
      </c>
      <c r="L477" s="274">
        <v>50</v>
      </c>
      <c r="M477" s="274" t="s">
        <v>177</v>
      </c>
      <c r="N477" s="275">
        <v>1005</v>
      </c>
      <c r="O477" s="275">
        <v>1000</v>
      </c>
      <c r="P477" s="275">
        <v>4100</v>
      </c>
      <c r="Q477" s="274">
        <v>2</v>
      </c>
      <c r="R477" s="274">
        <v>3</v>
      </c>
      <c r="S477" s="274" t="s">
        <v>354</v>
      </c>
      <c r="T477" s="276">
        <v>45100</v>
      </c>
      <c r="U477" s="276">
        <v>45138</v>
      </c>
      <c r="V477" s="274" t="s">
        <v>428</v>
      </c>
      <c r="W477" s="274"/>
      <c r="X477" s="274"/>
      <c r="Y477" s="143"/>
      <c r="Z477" s="146" t="str">
        <f t="shared" ca="1" si="7"/>
        <v/>
      </c>
      <c r="AA477" s="146" t="str">
        <f ca="1">IFERROR(IF(OR(OFFSET('S4'!#REF!,MATCH($A477,'S4'!$D$5:$D$2535,0)-1,6)="巻返し",OFFSET('S4'!#REF!,MATCH($A477,'S4'!$D$5:$D$2535,0)-1,6)="スリット"),SUMIF('S4'!$D$5:$D$2535,$A477,'S4'!$U$5:$U$2535),""),"")</f>
        <v/>
      </c>
      <c r="AB477" s="146" t="str">
        <f ca="1">IFERROR(IF(OR(OFFSET('S5'!#REF!,MATCH($A477,'S5'!$D$5:$D$2103,0)-1,6)="巻返し",OFFSET('S5'!#REF!,MATCH($A477,'S5'!$D$5:$D$2103,0)-1,6)="スリット"),SUMIF('S5'!$D$5:$D$2103,$A477,'S5'!$T$5:$T$2103),""),"")</f>
        <v/>
      </c>
    </row>
    <row r="478" spans="1:28" s="141" customFormat="1" ht="13.5" x14ac:dyDescent="0.15">
      <c r="A478" s="274">
        <v>3717604</v>
      </c>
      <c r="B478" s="274" t="s">
        <v>510</v>
      </c>
      <c r="C478" s="274" t="s">
        <v>352</v>
      </c>
      <c r="D478" s="274" t="s">
        <v>353</v>
      </c>
      <c r="E478" s="274" t="s">
        <v>116</v>
      </c>
      <c r="F478" s="274">
        <v>3</v>
      </c>
      <c r="G478" s="274" t="s">
        <v>269</v>
      </c>
      <c r="H478" s="274" t="s">
        <v>20</v>
      </c>
      <c r="I478" s="274" t="s">
        <v>165</v>
      </c>
      <c r="J478" s="274"/>
      <c r="K478" s="274" t="s">
        <v>176</v>
      </c>
      <c r="L478" s="274">
        <v>25</v>
      </c>
      <c r="M478" s="274" t="s">
        <v>577</v>
      </c>
      <c r="N478" s="275">
        <v>1005</v>
      </c>
      <c r="O478" s="275">
        <v>1000</v>
      </c>
      <c r="P478" s="275">
        <v>2000</v>
      </c>
      <c r="Q478" s="274">
        <v>2</v>
      </c>
      <c r="R478" s="274">
        <v>4</v>
      </c>
      <c r="S478" s="274" t="s">
        <v>354</v>
      </c>
      <c r="T478" s="276">
        <v>45100</v>
      </c>
      <c r="U478" s="276">
        <v>45138</v>
      </c>
      <c r="V478" s="274" t="s">
        <v>428</v>
      </c>
      <c r="W478" s="274"/>
      <c r="X478" s="274"/>
      <c r="Y478" s="143"/>
      <c r="Z478" s="146" t="str">
        <f t="shared" ca="1" si="7"/>
        <v/>
      </c>
      <c r="AA478" s="146" t="str">
        <f ca="1">IFERROR(IF(OR(OFFSET('S4'!#REF!,MATCH($A478,'S4'!$D$5:$D$2535,0)-1,6)="巻返し",OFFSET('S4'!#REF!,MATCH($A478,'S4'!$D$5:$D$2535,0)-1,6)="スリット"),SUMIF('S4'!$D$5:$D$2535,$A478,'S4'!$U$5:$U$2535),""),"")</f>
        <v/>
      </c>
      <c r="AB478" s="146" t="str">
        <f ca="1">IFERROR(IF(OR(OFFSET('S5'!#REF!,MATCH($A478,'S5'!$D$5:$D$2103,0)-1,6)="巻返し",OFFSET('S5'!#REF!,MATCH($A478,'S5'!$D$5:$D$2103,0)-1,6)="スリット"),SUMIF('S5'!$D$5:$D$2103,$A478,'S5'!$T$5:$T$2103),""),"")</f>
        <v/>
      </c>
    </row>
    <row r="479" spans="1:28" s="141" customFormat="1" ht="13.5" x14ac:dyDescent="0.15">
      <c r="A479" s="274">
        <v>3717604</v>
      </c>
      <c r="B479" s="274" t="s">
        <v>510</v>
      </c>
      <c r="C479" s="274" t="s">
        <v>352</v>
      </c>
      <c r="D479" s="274" t="s">
        <v>353</v>
      </c>
      <c r="E479" s="274" t="s">
        <v>116</v>
      </c>
      <c r="F479" s="274">
        <v>3</v>
      </c>
      <c r="G479" s="274" t="s">
        <v>269</v>
      </c>
      <c r="H479" s="274" t="s">
        <v>20</v>
      </c>
      <c r="I479" s="274" t="s">
        <v>165</v>
      </c>
      <c r="J479" s="274"/>
      <c r="K479" s="274" t="s">
        <v>176</v>
      </c>
      <c r="L479" s="274">
        <v>25</v>
      </c>
      <c r="M479" s="274" t="s">
        <v>577</v>
      </c>
      <c r="N479" s="275">
        <v>1005</v>
      </c>
      <c r="O479" s="275">
        <v>1005</v>
      </c>
      <c r="P479" s="275">
        <v>6000</v>
      </c>
      <c r="Q479" s="274">
        <v>2</v>
      </c>
      <c r="R479" s="274">
        <v>4</v>
      </c>
      <c r="S479" s="274" t="s">
        <v>354</v>
      </c>
      <c r="T479" s="276">
        <v>45100</v>
      </c>
      <c r="U479" s="276">
        <v>45138</v>
      </c>
      <c r="V479" s="274" t="s">
        <v>428</v>
      </c>
      <c r="W479" s="274"/>
      <c r="X479" s="274"/>
      <c r="Y479" s="143"/>
      <c r="Z479" s="146" t="str">
        <f t="shared" ca="1" si="7"/>
        <v/>
      </c>
      <c r="AA479" s="146" t="str">
        <f ca="1">IFERROR(IF(OR(OFFSET('S4'!#REF!,MATCH($A479,'S4'!$D$5:$D$2535,0)-1,6)="巻返し",OFFSET('S4'!#REF!,MATCH($A479,'S4'!$D$5:$D$2535,0)-1,6)="スリット"),SUMIF('S4'!$D$5:$D$2535,$A479,'S4'!$U$5:$U$2535),""),"")</f>
        <v/>
      </c>
      <c r="AB479" s="146" t="str">
        <f ca="1">IFERROR(IF(OR(OFFSET('S5'!#REF!,MATCH($A479,'S5'!$D$5:$D$2103,0)-1,6)="巻返し",OFFSET('S5'!#REF!,MATCH($A479,'S5'!$D$5:$D$2103,0)-1,6)="スリット"),SUMIF('S5'!$D$5:$D$2103,$A479,'S5'!$T$5:$T$2103),""),"")</f>
        <v/>
      </c>
    </row>
    <row r="480" spans="1:28" s="141" customFormat="1" ht="13.5" x14ac:dyDescent="0.15">
      <c r="A480" s="274">
        <v>3721199</v>
      </c>
      <c r="B480" s="274" t="s">
        <v>351</v>
      </c>
      <c r="C480" s="274" t="s">
        <v>358</v>
      </c>
      <c r="D480" s="274" t="s">
        <v>353</v>
      </c>
      <c r="E480" s="274" t="s">
        <v>753</v>
      </c>
      <c r="F480" s="274">
        <v>3</v>
      </c>
      <c r="G480" s="274" t="s">
        <v>19</v>
      </c>
      <c r="H480" s="274" t="s">
        <v>20</v>
      </c>
      <c r="I480" s="274" t="s">
        <v>205</v>
      </c>
      <c r="J480" s="274"/>
      <c r="K480" s="274" t="s">
        <v>230</v>
      </c>
      <c r="L480" s="274">
        <v>25</v>
      </c>
      <c r="M480" s="274" t="s">
        <v>231</v>
      </c>
      <c r="N480" s="274">
        <v>510</v>
      </c>
      <c r="O480" s="274">
        <v>510</v>
      </c>
      <c r="P480" s="275">
        <v>2000</v>
      </c>
      <c r="Q480" s="274">
        <v>1</v>
      </c>
      <c r="R480" s="274">
        <v>12</v>
      </c>
      <c r="S480" s="274" t="s">
        <v>354</v>
      </c>
      <c r="T480" s="276">
        <v>45128</v>
      </c>
      <c r="U480" s="276">
        <v>45148</v>
      </c>
      <c r="V480" s="274" t="s">
        <v>355</v>
      </c>
      <c r="W480" s="274"/>
      <c r="X480" s="274"/>
      <c r="Y480" s="143"/>
      <c r="Z480" s="146" t="str">
        <f t="shared" ca="1" si="7"/>
        <v/>
      </c>
      <c r="AA480" s="146" t="str">
        <f ca="1">IFERROR(IF(OR(OFFSET('S4'!#REF!,MATCH($A480,'S4'!$D$5:$D$2535,0)-1,6)="巻返し",OFFSET('S4'!#REF!,MATCH($A480,'S4'!$D$5:$D$2535,0)-1,6)="スリット"),SUMIF('S4'!$D$5:$D$2535,$A480,'S4'!$U$5:$U$2535),""),"")</f>
        <v/>
      </c>
      <c r="AB480" s="146" t="str">
        <f ca="1">IFERROR(IF(OR(OFFSET('S5'!#REF!,MATCH($A480,'S5'!$D$5:$D$2103,0)-1,6)="巻返し",OFFSET('S5'!#REF!,MATCH($A480,'S5'!$D$5:$D$2103,0)-1,6)="スリット"),SUMIF('S5'!$D$5:$D$2103,$A480,'S5'!$T$5:$T$2103),""),"")</f>
        <v/>
      </c>
    </row>
    <row r="481" spans="1:28" s="141" customFormat="1" ht="13.5" x14ac:dyDescent="0.15">
      <c r="A481" s="274">
        <v>3721200</v>
      </c>
      <c r="B481" s="274" t="s">
        <v>351</v>
      </c>
      <c r="C481" s="274" t="s">
        <v>364</v>
      </c>
      <c r="D481" s="274" t="s">
        <v>353</v>
      </c>
      <c r="E481" s="274" t="s">
        <v>171</v>
      </c>
      <c r="F481" s="274" t="s">
        <v>96</v>
      </c>
      <c r="G481" s="274" t="s">
        <v>19</v>
      </c>
      <c r="H481" s="274" t="s">
        <v>20</v>
      </c>
      <c r="I481" s="274" t="s">
        <v>165</v>
      </c>
      <c r="J481" s="274"/>
      <c r="K481" s="274" t="s">
        <v>169</v>
      </c>
      <c r="L481" s="274">
        <v>50</v>
      </c>
      <c r="M481" s="274" t="s">
        <v>170</v>
      </c>
      <c r="N481" s="275">
        <v>1190</v>
      </c>
      <c r="O481" s="275">
        <v>1190</v>
      </c>
      <c r="P481" s="275">
        <v>6000</v>
      </c>
      <c r="Q481" s="274">
        <v>2</v>
      </c>
      <c r="R481" s="274">
        <v>6</v>
      </c>
      <c r="S481" s="274" t="s">
        <v>354</v>
      </c>
      <c r="T481" s="276">
        <v>45128</v>
      </c>
      <c r="U481" s="276">
        <v>45158</v>
      </c>
      <c r="V481" s="274" t="s">
        <v>355</v>
      </c>
      <c r="W481" s="274"/>
      <c r="X481" s="274"/>
      <c r="Y481" s="143"/>
      <c r="Z481" s="146" t="str">
        <f t="shared" ca="1" si="7"/>
        <v/>
      </c>
      <c r="AA481" s="146" t="str">
        <f ca="1">IFERROR(IF(OR(OFFSET('S4'!#REF!,MATCH($A481,'S4'!$D$5:$D$2535,0)-1,6)="巻返し",OFFSET('S4'!#REF!,MATCH($A481,'S4'!$D$5:$D$2535,0)-1,6)="スリット"),SUMIF('S4'!$D$5:$D$2535,$A481,'S4'!$U$5:$U$2535),""),"")</f>
        <v/>
      </c>
      <c r="AB481" s="146" t="str">
        <f ca="1">IFERROR(IF(OR(OFFSET('S5'!#REF!,MATCH($A481,'S5'!$D$5:$D$2103,0)-1,6)="巻返し",OFFSET('S5'!#REF!,MATCH($A481,'S5'!$D$5:$D$2103,0)-1,6)="スリット"),SUMIF('S5'!$D$5:$D$2103,$A481,'S5'!$T$5:$T$2103),""),"")</f>
        <v/>
      </c>
    </row>
    <row r="482" spans="1:28" s="141" customFormat="1" ht="13.5" x14ac:dyDescent="0.15">
      <c r="A482" s="274">
        <v>3721201</v>
      </c>
      <c r="B482" s="274" t="s">
        <v>351</v>
      </c>
      <c r="C482" s="274" t="s">
        <v>364</v>
      </c>
      <c r="D482" s="274" t="s">
        <v>353</v>
      </c>
      <c r="E482" s="274" t="s">
        <v>171</v>
      </c>
      <c r="F482" s="274">
        <v>3</v>
      </c>
      <c r="G482" s="274" t="s">
        <v>19</v>
      </c>
      <c r="H482" s="274" t="s">
        <v>20</v>
      </c>
      <c r="I482" s="274" t="s">
        <v>165</v>
      </c>
      <c r="J482" s="274"/>
      <c r="K482" s="274" t="s">
        <v>180</v>
      </c>
      <c r="L482" s="274">
        <v>50</v>
      </c>
      <c r="M482" s="274" t="s">
        <v>181</v>
      </c>
      <c r="N482" s="275">
        <v>1200</v>
      </c>
      <c r="O482" s="275">
        <v>1190</v>
      </c>
      <c r="P482" s="275">
        <v>6000</v>
      </c>
      <c r="Q482" s="274">
        <v>2</v>
      </c>
      <c r="R482" s="274">
        <v>4</v>
      </c>
      <c r="S482" s="274" t="s">
        <v>354</v>
      </c>
      <c r="T482" s="276">
        <v>45128</v>
      </c>
      <c r="U482" s="276">
        <v>45158</v>
      </c>
      <c r="V482" s="274" t="s">
        <v>355</v>
      </c>
      <c r="W482" s="274"/>
      <c r="X482" s="274"/>
      <c r="Y482" s="143"/>
      <c r="Z482" s="146" t="str">
        <f t="shared" ca="1" si="7"/>
        <v/>
      </c>
      <c r="AA482" s="146" t="str">
        <f ca="1">IFERROR(IF(OR(OFFSET('S4'!#REF!,MATCH($A482,'S4'!$D$5:$D$2535,0)-1,6)="巻返し",OFFSET('S4'!#REF!,MATCH($A482,'S4'!$D$5:$D$2535,0)-1,6)="スリット"),SUMIF('S4'!$D$5:$D$2535,$A482,'S4'!$U$5:$U$2535),""),"")</f>
        <v/>
      </c>
      <c r="AB482" s="146" t="str">
        <f ca="1">IFERROR(IF(OR(OFFSET('S5'!#REF!,MATCH($A482,'S5'!$D$5:$D$2103,0)-1,6)="巻返し",OFFSET('S5'!#REF!,MATCH($A482,'S5'!$D$5:$D$2103,0)-1,6)="スリット"),SUMIF('S5'!$D$5:$D$2103,$A482,'S5'!$T$5:$T$2103),""),"")</f>
        <v/>
      </c>
    </row>
    <row r="483" spans="1:28" s="141" customFormat="1" ht="13.5" x14ac:dyDescent="0.15">
      <c r="A483" s="274">
        <v>3721203</v>
      </c>
      <c r="B483" s="274" t="s">
        <v>351</v>
      </c>
      <c r="C483" s="274" t="s">
        <v>364</v>
      </c>
      <c r="D483" s="274" t="s">
        <v>353</v>
      </c>
      <c r="E483" s="274" t="s">
        <v>148</v>
      </c>
      <c r="F483" s="274">
        <v>3</v>
      </c>
      <c r="G483" s="274" t="s">
        <v>19</v>
      </c>
      <c r="H483" s="274" t="s">
        <v>20</v>
      </c>
      <c r="I483" s="274" t="s">
        <v>143</v>
      </c>
      <c r="J483" s="274"/>
      <c r="K483" s="274" t="s">
        <v>149</v>
      </c>
      <c r="L483" s="274">
        <v>25</v>
      </c>
      <c r="M483" s="274" t="s">
        <v>150</v>
      </c>
      <c r="N483" s="275">
        <v>1120</v>
      </c>
      <c r="O483" s="275">
        <v>1120</v>
      </c>
      <c r="P483" s="275">
        <v>6000</v>
      </c>
      <c r="Q483" s="274">
        <v>2</v>
      </c>
      <c r="R483" s="274">
        <v>8</v>
      </c>
      <c r="S483" s="274" t="s">
        <v>354</v>
      </c>
      <c r="T483" s="276">
        <v>45128</v>
      </c>
      <c r="U483" s="276">
        <v>45158</v>
      </c>
      <c r="V483" s="274" t="s">
        <v>355</v>
      </c>
      <c r="W483" s="274"/>
      <c r="X483" s="274"/>
      <c r="Y483" s="143"/>
      <c r="Z483" s="146" t="str">
        <f t="shared" ca="1" si="7"/>
        <v/>
      </c>
      <c r="AA483" s="146" t="str">
        <f ca="1">IFERROR(IF(OR(OFFSET('S4'!#REF!,MATCH($A483,'S4'!$D$5:$D$2535,0)-1,6)="巻返し",OFFSET('S4'!#REF!,MATCH($A483,'S4'!$D$5:$D$2535,0)-1,6)="スリット"),SUMIF('S4'!$D$5:$D$2535,$A483,'S4'!$U$5:$U$2535),""),"")</f>
        <v/>
      </c>
      <c r="AB483" s="146" t="str">
        <f ca="1">IFERROR(IF(OR(OFFSET('S5'!#REF!,MATCH($A483,'S5'!$D$5:$D$2103,0)-1,6)="巻返し",OFFSET('S5'!#REF!,MATCH($A483,'S5'!$D$5:$D$2103,0)-1,6)="スリット"),SUMIF('S5'!$D$5:$D$2103,$A483,'S5'!$T$5:$T$2103),""),"")</f>
        <v/>
      </c>
    </row>
    <row r="484" spans="1:28" s="141" customFormat="1" ht="13.5" x14ac:dyDescent="0.15">
      <c r="A484" s="274">
        <v>3721204</v>
      </c>
      <c r="B484" s="274" t="s">
        <v>351</v>
      </c>
      <c r="C484" s="274" t="s">
        <v>364</v>
      </c>
      <c r="D484" s="274" t="s">
        <v>353</v>
      </c>
      <c r="E484" s="274" t="s">
        <v>148</v>
      </c>
      <c r="F484" s="274">
        <v>3</v>
      </c>
      <c r="G484" s="274" t="s">
        <v>19</v>
      </c>
      <c r="H484" s="274" t="s">
        <v>20</v>
      </c>
      <c r="I484" s="274" t="s">
        <v>143</v>
      </c>
      <c r="J484" s="274"/>
      <c r="K484" s="274" t="s">
        <v>149</v>
      </c>
      <c r="L484" s="274">
        <v>50</v>
      </c>
      <c r="M484" s="274" t="s">
        <v>150</v>
      </c>
      <c r="N484" s="275">
        <v>1120</v>
      </c>
      <c r="O484" s="275">
        <v>1120</v>
      </c>
      <c r="P484" s="275">
        <v>6000</v>
      </c>
      <c r="Q484" s="274">
        <v>2</v>
      </c>
      <c r="R484" s="274">
        <v>6</v>
      </c>
      <c r="S484" s="274" t="s">
        <v>354</v>
      </c>
      <c r="T484" s="276">
        <v>45128</v>
      </c>
      <c r="U484" s="276">
        <v>45158</v>
      </c>
      <c r="V484" s="274" t="s">
        <v>355</v>
      </c>
      <c r="W484" s="274"/>
      <c r="X484" s="274"/>
      <c r="Y484" s="143"/>
      <c r="Z484" s="146" t="str">
        <f t="shared" ca="1" si="7"/>
        <v/>
      </c>
      <c r="AA484" s="146" t="str">
        <f ca="1">IFERROR(IF(OR(OFFSET('S4'!#REF!,MATCH($A484,'S4'!$D$5:$D$2535,0)-1,6)="巻返し",OFFSET('S4'!#REF!,MATCH($A484,'S4'!$D$5:$D$2535,0)-1,6)="スリット"),SUMIF('S4'!$D$5:$D$2535,$A484,'S4'!$U$5:$U$2535),""),"")</f>
        <v/>
      </c>
      <c r="AB484" s="146" t="str">
        <f ca="1">IFERROR(IF(OR(OFFSET('S5'!#REF!,MATCH($A484,'S5'!$D$5:$D$2103,0)-1,6)="巻返し",OFFSET('S5'!#REF!,MATCH($A484,'S5'!$D$5:$D$2103,0)-1,6)="スリット"),SUMIF('S5'!$D$5:$D$2103,$A484,'S5'!$T$5:$T$2103),""),"")</f>
        <v/>
      </c>
    </row>
    <row r="485" spans="1:28" s="141" customFormat="1" ht="13.5" x14ac:dyDescent="0.15">
      <c r="A485" s="274">
        <v>3721205</v>
      </c>
      <c r="B485" s="274" t="s">
        <v>351</v>
      </c>
      <c r="C485" s="274" t="s">
        <v>352</v>
      </c>
      <c r="D485" s="274" t="s">
        <v>353</v>
      </c>
      <c r="E485" s="274" t="s">
        <v>116</v>
      </c>
      <c r="F485" s="274">
        <v>3</v>
      </c>
      <c r="G485" s="274" t="s">
        <v>19</v>
      </c>
      <c r="H485" s="274" t="s">
        <v>20</v>
      </c>
      <c r="I485" s="274" t="s">
        <v>205</v>
      </c>
      <c r="J485" s="274"/>
      <c r="K485" s="274" t="s">
        <v>212</v>
      </c>
      <c r="L485" s="274">
        <v>25</v>
      </c>
      <c r="M485" s="274" t="s">
        <v>213</v>
      </c>
      <c r="N485" s="275">
        <v>1000</v>
      </c>
      <c r="O485" s="275">
        <v>1000</v>
      </c>
      <c r="P485" s="275">
        <v>4000</v>
      </c>
      <c r="Q485" s="274">
        <v>2</v>
      </c>
      <c r="R485" s="274">
        <v>3</v>
      </c>
      <c r="S485" s="274" t="s">
        <v>354</v>
      </c>
      <c r="T485" s="276">
        <v>45128</v>
      </c>
      <c r="U485" s="276">
        <v>45161</v>
      </c>
      <c r="V485" s="274" t="s">
        <v>355</v>
      </c>
      <c r="W485" s="274"/>
      <c r="X485" s="274"/>
      <c r="Y485" s="143"/>
      <c r="Z485" s="146" t="str">
        <f t="shared" ca="1" si="7"/>
        <v/>
      </c>
      <c r="AA485" s="146" t="str">
        <f ca="1">IFERROR(IF(OR(OFFSET('S4'!#REF!,MATCH($A485,'S4'!$D$5:$D$2535,0)-1,6)="巻返し",OFFSET('S4'!#REF!,MATCH($A485,'S4'!$D$5:$D$2535,0)-1,6)="スリット"),SUMIF('S4'!$D$5:$D$2535,$A485,'S4'!$U$5:$U$2535),""),"")</f>
        <v/>
      </c>
      <c r="AB485" s="146" t="str">
        <f ca="1">IFERROR(IF(OR(OFFSET('S5'!#REF!,MATCH($A485,'S5'!$D$5:$D$2103,0)-1,6)="巻返し",OFFSET('S5'!#REF!,MATCH($A485,'S5'!$D$5:$D$2103,0)-1,6)="スリット"),SUMIF('S5'!$D$5:$D$2103,$A485,'S5'!$T$5:$T$2103),""),"")</f>
        <v/>
      </c>
    </row>
    <row r="486" spans="1:28" s="141" customFormat="1" ht="13.5" x14ac:dyDescent="0.15">
      <c r="A486" s="274">
        <v>3721206</v>
      </c>
      <c r="B486" s="274" t="s">
        <v>351</v>
      </c>
      <c r="C486" s="274" t="s">
        <v>352</v>
      </c>
      <c r="D486" s="274" t="s">
        <v>353</v>
      </c>
      <c r="E486" s="274" t="s">
        <v>116</v>
      </c>
      <c r="F486" s="274">
        <v>3</v>
      </c>
      <c r="G486" s="274" t="s">
        <v>19</v>
      </c>
      <c r="H486" s="274" t="s">
        <v>20</v>
      </c>
      <c r="I486" s="274" t="s">
        <v>205</v>
      </c>
      <c r="J486" s="274"/>
      <c r="K486" s="274" t="s">
        <v>212</v>
      </c>
      <c r="L486" s="274">
        <v>25</v>
      </c>
      <c r="M486" s="274" t="s">
        <v>213</v>
      </c>
      <c r="N486" s="275">
        <v>1120</v>
      </c>
      <c r="O486" s="275">
        <v>1120</v>
      </c>
      <c r="P486" s="275">
        <v>4000</v>
      </c>
      <c r="Q486" s="274">
        <v>2</v>
      </c>
      <c r="R486" s="274">
        <v>5</v>
      </c>
      <c r="S486" s="274" t="s">
        <v>354</v>
      </c>
      <c r="T486" s="276">
        <v>45128</v>
      </c>
      <c r="U486" s="276">
        <v>45161</v>
      </c>
      <c r="V486" s="274" t="s">
        <v>355</v>
      </c>
      <c r="W486" s="274"/>
      <c r="X486" s="274"/>
      <c r="Y486" s="143"/>
      <c r="Z486" s="146" t="str">
        <f t="shared" ca="1" si="7"/>
        <v/>
      </c>
      <c r="AA486" s="146" t="str">
        <f ca="1">IFERROR(IF(OR(OFFSET('S4'!#REF!,MATCH($A486,'S4'!$D$5:$D$2535,0)-1,6)="巻返し",OFFSET('S4'!#REF!,MATCH($A486,'S4'!$D$5:$D$2535,0)-1,6)="スリット"),SUMIF('S4'!$D$5:$D$2535,$A486,'S4'!$U$5:$U$2535),""),"")</f>
        <v/>
      </c>
      <c r="AB486" s="146" t="str">
        <f ca="1">IFERROR(IF(OR(OFFSET('S5'!#REF!,MATCH($A486,'S5'!$D$5:$D$2103,0)-1,6)="巻返し",OFFSET('S5'!#REF!,MATCH($A486,'S5'!$D$5:$D$2103,0)-1,6)="スリット"),SUMIF('S5'!$D$5:$D$2103,$A486,'S5'!$T$5:$T$2103),""),"")</f>
        <v/>
      </c>
    </row>
    <row r="487" spans="1:28" s="141" customFormat="1" ht="13.5" x14ac:dyDescent="0.15">
      <c r="A487" s="274">
        <v>3721207</v>
      </c>
      <c r="B487" s="274" t="s">
        <v>351</v>
      </c>
      <c r="C487" s="274" t="s">
        <v>352</v>
      </c>
      <c r="D487" s="274" t="s">
        <v>353</v>
      </c>
      <c r="E487" s="274" t="s">
        <v>116</v>
      </c>
      <c r="F487" s="274">
        <v>3</v>
      </c>
      <c r="G487" s="274" t="s">
        <v>19</v>
      </c>
      <c r="H487" s="274" t="s">
        <v>20</v>
      </c>
      <c r="I487" s="274" t="s">
        <v>205</v>
      </c>
      <c r="J487" s="274"/>
      <c r="K487" s="274" t="s">
        <v>212</v>
      </c>
      <c r="L487" s="274">
        <v>50</v>
      </c>
      <c r="M487" s="274" t="s">
        <v>213</v>
      </c>
      <c r="N487" s="275">
        <v>1120</v>
      </c>
      <c r="O487" s="275">
        <v>1120</v>
      </c>
      <c r="P487" s="275">
        <v>4000</v>
      </c>
      <c r="Q487" s="274">
        <v>2</v>
      </c>
      <c r="R487" s="274">
        <v>20</v>
      </c>
      <c r="S487" s="274" t="s">
        <v>354</v>
      </c>
      <c r="T487" s="276">
        <v>45128</v>
      </c>
      <c r="U487" s="276">
        <v>45163</v>
      </c>
      <c r="V487" s="274" t="s">
        <v>355</v>
      </c>
      <c r="W487" s="274"/>
      <c r="X487" s="274"/>
      <c r="Y487" s="143"/>
      <c r="Z487" s="146" t="str">
        <f t="shared" ca="1" si="7"/>
        <v/>
      </c>
      <c r="AA487" s="146" t="str">
        <f ca="1">IFERROR(IF(OR(OFFSET('S4'!#REF!,MATCH($A487,'S4'!$D$5:$D$2535,0)-1,6)="巻返し",OFFSET('S4'!#REF!,MATCH($A487,'S4'!$D$5:$D$2535,0)-1,6)="スリット"),SUMIF('S4'!$D$5:$D$2535,$A487,'S4'!$U$5:$U$2535),""),"")</f>
        <v/>
      </c>
      <c r="AB487" s="146" t="str">
        <f ca="1">IFERROR(IF(OR(OFFSET('S5'!#REF!,MATCH($A487,'S5'!$D$5:$D$2103,0)-1,6)="巻返し",OFFSET('S5'!#REF!,MATCH($A487,'S5'!$D$5:$D$2103,0)-1,6)="スリット"),SUMIF('S5'!$D$5:$D$2103,$A487,'S5'!$T$5:$T$2103),""),"")</f>
        <v/>
      </c>
    </row>
    <row r="488" spans="1:28" s="141" customFormat="1" ht="13.5" x14ac:dyDescent="0.15">
      <c r="A488" s="274">
        <v>3721208</v>
      </c>
      <c r="B488" s="274" t="s">
        <v>351</v>
      </c>
      <c r="C488" s="274" t="s">
        <v>352</v>
      </c>
      <c r="D488" s="274" t="s">
        <v>353</v>
      </c>
      <c r="E488" s="274" t="s">
        <v>116</v>
      </c>
      <c r="F488" s="274">
        <v>3</v>
      </c>
      <c r="G488" s="274" t="s">
        <v>19</v>
      </c>
      <c r="H488" s="274" t="s">
        <v>20</v>
      </c>
      <c r="I488" s="274" t="s">
        <v>205</v>
      </c>
      <c r="J488" s="274"/>
      <c r="K488" s="274" t="s">
        <v>212</v>
      </c>
      <c r="L488" s="274">
        <v>50</v>
      </c>
      <c r="M488" s="274" t="s">
        <v>213</v>
      </c>
      <c r="N488" s="275">
        <v>1120</v>
      </c>
      <c r="O488" s="275">
        <v>1120</v>
      </c>
      <c r="P488" s="275">
        <v>4000</v>
      </c>
      <c r="Q488" s="274">
        <v>2</v>
      </c>
      <c r="R488" s="274">
        <v>20</v>
      </c>
      <c r="S488" s="274" t="s">
        <v>354</v>
      </c>
      <c r="T488" s="276">
        <v>45128</v>
      </c>
      <c r="U488" s="276">
        <v>45163</v>
      </c>
      <c r="V488" s="274" t="s">
        <v>355</v>
      </c>
      <c r="W488" s="274"/>
      <c r="X488" s="274"/>
      <c r="Y488" s="143"/>
      <c r="Z488" s="146" t="str">
        <f t="shared" ca="1" si="7"/>
        <v/>
      </c>
      <c r="AA488" s="146" t="str">
        <f ca="1">IFERROR(IF(OR(OFFSET('S4'!#REF!,MATCH($A488,'S4'!$D$5:$D$2535,0)-1,6)="巻返し",OFFSET('S4'!#REF!,MATCH($A488,'S4'!$D$5:$D$2535,0)-1,6)="スリット"),SUMIF('S4'!$D$5:$D$2535,$A488,'S4'!$U$5:$U$2535),""),"")</f>
        <v/>
      </c>
      <c r="AB488" s="146" t="str">
        <f ca="1">IFERROR(IF(OR(OFFSET('S5'!#REF!,MATCH($A488,'S5'!$D$5:$D$2103,0)-1,6)="巻返し",OFFSET('S5'!#REF!,MATCH($A488,'S5'!$D$5:$D$2103,0)-1,6)="スリット"),SUMIF('S5'!$D$5:$D$2103,$A488,'S5'!$T$5:$T$2103),""),"")</f>
        <v/>
      </c>
    </row>
    <row r="489" spans="1:28" s="141" customFormat="1" ht="13.5" x14ac:dyDescent="0.15">
      <c r="A489" s="274">
        <v>3721209</v>
      </c>
      <c r="B489" s="274" t="s">
        <v>351</v>
      </c>
      <c r="C489" s="274" t="s">
        <v>352</v>
      </c>
      <c r="D489" s="274" t="s">
        <v>353</v>
      </c>
      <c r="E489" s="274" t="s">
        <v>116</v>
      </c>
      <c r="F489" s="274">
        <v>3</v>
      </c>
      <c r="G489" s="274" t="s">
        <v>19</v>
      </c>
      <c r="H489" s="274" t="s">
        <v>20</v>
      </c>
      <c r="I489" s="274" t="s">
        <v>205</v>
      </c>
      <c r="J489" s="274"/>
      <c r="K489" s="274" t="s">
        <v>211</v>
      </c>
      <c r="L489" s="274">
        <v>50</v>
      </c>
      <c r="M489" s="274" t="s">
        <v>370</v>
      </c>
      <c r="N489" s="275">
        <v>1050</v>
      </c>
      <c r="O489" s="275">
        <v>1050</v>
      </c>
      <c r="P489" s="275">
        <v>4100</v>
      </c>
      <c r="Q489" s="274">
        <v>2</v>
      </c>
      <c r="R489" s="274">
        <v>3</v>
      </c>
      <c r="S489" s="274" t="s">
        <v>354</v>
      </c>
      <c r="T489" s="276">
        <v>45128</v>
      </c>
      <c r="U489" s="276">
        <v>45163</v>
      </c>
      <c r="V489" s="274" t="s">
        <v>355</v>
      </c>
      <c r="W489" s="274"/>
      <c r="X489" s="274"/>
      <c r="Y489" s="143"/>
      <c r="Z489" s="146" t="str">
        <f t="shared" ca="1" si="7"/>
        <v/>
      </c>
      <c r="AA489" s="146" t="str">
        <f ca="1">IFERROR(IF(OR(OFFSET('S4'!#REF!,MATCH($A489,'S4'!$D$5:$D$2535,0)-1,6)="巻返し",OFFSET('S4'!#REF!,MATCH($A489,'S4'!$D$5:$D$2535,0)-1,6)="スリット"),SUMIF('S4'!$D$5:$D$2535,$A489,'S4'!$U$5:$U$2535),""),"")</f>
        <v/>
      </c>
      <c r="AB489" s="146" t="str">
        <f ca="1">IFERROR(IF(OR(OFFSET('S5'!#REF!,MATCH($A489,'S5'!$D$5:$D$2103,0)-1,6)="巻返し",OFFSET('S5'!#REF!,MATCH($A489,'S5'!$D$5:$D$2103,0)-1,6)="スリット"),SUMIF('S5'!$D$5:$D$2103,$A489,'S5'!$T$5:$T$2103),""),"")</f>
        <v/>
      </c>
    </row>
    <row r="490" spans="1:28" s="141" customFormat="1" ht="13.5" x14ac:dyDescent="0.15">
      <c r="A490" s="274">
        <v>3721210</v>
      </c>
      <c r="B490" s="274" t="s">
        <v>351</v>
      </c>
      <c r="C490" s="274" t="s">
        <v>352</v>
      </c>
      <c r="D490" s="274" t="s">
        <v>353</v>
      </c>
      <c r="E490" s="274" t="s">
        <v>116</v>
      </c>
      <c r="F490" s="274">
        <v>3</v>
      </c>
      <c r="G490" s="274" t="s">
        <v>19</v>
      </c>
      <c r="H490" s="274" t="s">
        <v>20</v>
      </c>
      <c r="I490" s="274" t="s">
        <v>205</v>
      </c>
      <c r="J490" s="274"/>
      <c r="K490" s="274" t="s">
        <v>211</v>
      </c>
      <c r="L490" s="274">
        <v>75</v>
      </c>
      <c r="M490" s="274" t="s">
        <v>370</v>
      </c>
      <c r="N490" s="275">
        <v>1050</v>
      </c>
      <c r="O490" s="275">
        <v>1050</v>
      </c>
      <c r="P490" s="275">
        <v>2000</v>
      </c>
      <c r="Q490" s="274">
        <v>2</v>
      </c>
      <c r="R490" s="274">
        <v>2</v>
      </c>
      <c r="S490" s="274" t="s">
        <v>354</v>
      </c>
      <c r="T490" s="276">
        <v>45128</v>
      </c>
      <c r="U490" s="276">
        <v>45163</v>
      </c>
      <c r="V490" s="274" t="s">
        <v>355</v>
      </c>
      <c r="W490" s="274"/>
      <c r="X490" s="274"/>
      <c r="Y490" s="143"/>
      <c r="Z490" s="146" t="str">
        <f t="shared" ca="1" si="7"/>
        <v/>
      </c>
      <c r="AA490" s="146" t="str">
        <f ca="1">IFERROR(IF(OR(OFFSET('S4'!#REF!,MATCH($A490,'S4'!$D$5:$D$2535,0)-1,6)="巻返し",OFFSET('S4'!#REF!,MATCH($A490,'S4'!$D$5:$D$2535,0)-1,6)="スリット"),SUMIF('S4'!$D$5:$D$2535,$A490,'S4'!$U$5:$U$2535),""),"")</f>
        <v/>
      </c>
      <c r="AB490" s="146" t="str">
        <f ca="1">IFERROR(IF(OR(OFFSET('S5'!#REF!,MATCH($A490,'S5'!$D$5:$D$2103,0)-1,6)="巻返し",OFFSET('S5'!#REF!,MATCH($A490,'S5'!$D$5:$D$2103,0)-1,6)="スリット"),SUMIF('S5'!$D$5:$D$2103,$A490,'S5'!$T$5:$T$2103),""),"")</f>
        <v/>
      </c>
    </row>
    <row r="491" spans="1:28" s="141" customFormat="1" ht="13.5" x14ac:dyDescent="0.15">
      <c r="A491" s="274">
        <v>3721211</v>
      </c>
      <c r="B491" s="274" t="s">
        <v>351</v>
      </c>
      <c r="C491" s="274" t="s">
        <v>352</v>
      </c>
      <c r="D491" s="274" t="s">
        <v>353</v>
      </c>
      <c r="E491" s="274" t="s">
        <v>116</v>
      </c>
      <c r="F491" s="274">
        <v>3</v>
      </c>
      <c r="G491" s="274" t="s">
        <v>19</v>
      </c>
      <c r="H491" s="274" t="s">
        <v>20</v>
      </c>
      <c r="I491" s="274" t="s">
        <v>165</v>
      </c>
      <c r="J491" s="274"/>
      <c r="K491" s="274" t="s">
        <v>185</v>
      </c>
      <c r="L491" s="274">
        <v>50</v>
      </c>
      <c r="M491" s="274" t="s">
        <v>186</v>
      </c>
      <c r="N491" s="275">
        <v>1005</v>
      </c>
      <c r="O491" s="275">
        <v>1000</v>
      </c>
      <c r="P491" s="275">
        <v>4100</v>
      </c>
      <c r="Q491" s="274">
        <v>2</v>
      </c>
      <c r="R491" s="274">
        <v>3</v>
      </c>
      <c r="S491" s="274" t="s">
        <v>354</v>
      </c>
      <c r="T491" s="276">
        <v>45128</v>
      </c>
      <c r="U491" s="276">
        <v>45163</v>
      </c>
      <c r="V491" s="274" t="s">
        <v>355</v>
      </c>
      <c r="W491" s="274"/>
      <c r="X491" s="274"/>
      <c r="Y491" s="143"/>
      <c r="Z491" s="146" t="str">
        <f t="shared" ca="1" si="7"/>
        <v/>
      </c>
      <c r="AA491" s="146" t="str">
        <f ca="1">IFERROR(IF(OR(OFFSET('S4'!#REF!,MATCH($A491,'S4'!$D$5:$D$2535,0)-1,6)="巻返し",OFFSET('S4'!#REF!,MATCH($A491,'S4'!$D$5:$D$2535,0)-1,6)="スリット"),SUMIF('S4'!$D$5:$D$2535,$A491,'S4'!$U$5:$U$2535),""),"")</f>
        <v/>
      </c>
      <c r="AB491" s="146" t="str">
        <f ca="1">IFERROR(IF(OR(OFFSET('S5'!#REF!,MATCH($A491,'S5'!$D$5:$D$2103,0)-1,6)="巻返し",OFFSET('S5'!#REF!,MATCH($A491,'S5'!$D$5:$D$2103,0)-1,6)="スリット"),SUMIF('S5'!$D$5:$D$2103,$A491,'S5'!$T$5:$T$2103),""),"")</f>
        <v/>
      </c>
    </row>
    <row r="492" spans="1:28" s="141" customFormat="1" ht="13.5" x14ac:dyDescent="0.15">
      <c r="A492" s="274">
        <v>3721213</v>
      </c>
      <c r="B492" s="274" t="s">
        <v>351</v>
      </c>
      <c r="C492" s="274" t="s">
        <v>352</v>
      </c>
      <c r="D492" s="274" t="s">
        <v>353</v>
      </c>
      <c r="E492" s="274" t="s">
        <v>116</v>
      </c>
      <c r="F492" s="274">
        <v>3</v>
      </c>
      <c r="G492" s="274" t="s">
        <v>19</v>
      </c>
      <c r="H492" s="274" t="s">
        <v>20</v>
      </c>
      <c r="I492" s="274" t="s">
        <v>205</v>
      </c>
      <c r="J492" s="274"/>
      <c r="K492" s="274" t="s">
        <v>216</v>
      </c>
      <c r="L492" s="274">
        <v>25</v>
      </c>
      <c r="M492" s="274" t="s">
        <v>217</v>
      </c>
      <c r="N492" s="275">
        <v>1005</v>
      </c>
      <c r="O492" s="275">
        <v>1000</v>
      </c>
      <c r="P492" s="275">
        <v>4000</v>
      </c>
      <c r="Q492" s="274">
        <v>2</v>
      </c>
      <c r="R492" s="274">
        <v>15</v>
      </c>
      <c r="S492" s="274" t="s">
        <v>354</v>
      </c>
      <c r="T492" s="276">
        <v>45128</v>
      </c>
      <c r="U492" s="276">
        <v>45163</v>
      </c>
      <c r="V492" s="274" t="s">
        <v>355</v>
      </c>
      <c r="W492" s="274"/>
      <c r="X492" s="274"/>
      <c r="Y492" s="143"/>
      <c r="Z492" s="146" t="str">
        <f t="shared" ca="1" si="7"/>
        <v/>
      </c>
      <c r="AA492" s="146" t="str">
        <f ca="1">IFERROR(IF(OR(OFFSET('S4'!#REF!,MATCH($A492,'S4'!$D$5:$D$2535,0)-1,6)="巻返し",OFFSET('S4'!#REF!,MATCH($A492,'S4'!$D$5:$D$2535,0)-1,6)="スリット"),SUMIF('S4'!$D$5:$D$2535,$A492,'S4'!$U$5:$U$2535),""),"")</f>
        <v/>
      </c>
      <c r="AB492" s="146" t="str">
        <f ca="1">IFERROR(IF(OR(OFFSET('S5'!#REF!,MATCH($A492,'S5'!$D$5:$D$2103,0)-1,6)="巻返し",OFFSET('S5'!#REF!,MATCH($A492,'S5'!$D$5:$D$2103,0)-1,6)="スリット"),SUMIF('S5'!$D$5:$D$2103,$A492,'S5'!$T$5:$T$2103),""),"")</f>
        <v/>
      </c>
    </row>
    <row r="493" spans="1:28" s="141" customFormat="1" ht="13.5" x14ac:dyDescent="0.15">
      <c r="A493" s="274">
        <v>3721214</v>
      </c>
      <c r="B493" s="274" t="s">
        <v>351</v>
      </c>
      <c r="C493" s="274" t="s">
        <v>352</v>
      </c>
      <c r="D493" s="274" t="s">
        <v>353</v>
      </c>
      <c r="E493" s="274" t="s">
        <v>116</v>
      </c>
      <c r="F493" s="274">
        <v>3</v>
      </c>
      <c r="G493" s="274" t="s">
        <v>19</v>
      </c>
      <c r="H493" s="274" t="s">
        <v>20</v>
      </c>
      <c r="I493" s="274" t="s">
        <v>205</v>
      </c>
      <c r="J493" s="274"/>
      <c r="K493" s="274" t="s">
        <v>216</v>
      </c>
      <c r="L493" s="274">
        <v>50</v>
      </c>
      <c r="M493" s="274" t="s">
        <v>217</v>
      </c>
      <c r="N493" s="275">
        <v>1120</v>
      </c>
      <c r="O493" s="275">
        <v>1120</v>
      </c>
      <c r="P493" s="275">
        <v>5000</v>
      </c>
      <c r="Q493" s="274">
        <v>2</v>
      </c>
      <c r="R493" s="274">
        <v>13</v>
      </c>
      <c r="S493" s="274" t="s">
        <v>354</v>
      </c>
      <c r="T493" s="276">
        <v>45128</v>
      </c>
      <c r="U493" s="276">
        <v>45167</v>
      </c>
      <c r="V493" s="274" t="s">
        <v>355</v>
      </c>
      <c r="W493" s="274"/>
      <c r="X493" s="274"/>
      <c r="Y493" s="143"/>
      <c r="Z493" s="146" t="str">
        <f t="shared" ca="1" si="7"/>
        <v/>
      </c>
      <c r="AA493" s="146" t="str">
        <f ca="1">IFERROR(IF(OR(OFFSET('S4'!#REF!,MATCH($A493,'S4'!$D$5:$D$2535,0)-1,6)="巻返し",OFFSET('S4'!#REF!,MATCH($A493,'S4'!$D$5:$D$2535,0)-1,6)="スリット"),SUMIF('S4'!$D$5:$D$2535,$A493,'S4'!$U$5:$U$2535),""),"")</f>
        <v/>
      </c>
      <c r="AB493" s="146" t="str">
        <f ca="1">IFERROR(IF(OR(OFFSET('S5'!#REF!,MATCH($A493,'S5'!$D$5:$D$2103,0)-1,6)="巻返し",OFFSET('S5'!#REF!,MATCH($A493,'S5'!$D$5:$D$2103,0)-1,6)="スリット"),SUMIF('S5'!$D$5:$D$2103,$A493,'S5'!$T$5:$T$2103),""),"")</f>
        <v/>
      </c>
    </row>
    <row r="494" spans="1:28" s="141" customFormat="1" ht="13.5" x14ac:dyDescent="0.15">
      <c r="A494" s="274">
        <v>3721215</v>
      </c>
      <c r="B494" s="274" t="s">
        <v>351</v>
      </c>
      <c r="C494" s="274" t="s">
        <v>352</v>
      </c>
      <c r="D494" s="274" t="s">
        <v>353</v>
      </c>
      <c r="E494" s="274" t="s">
        <v>116</v>
      </c>
      <c r="F494" s="274">
        <v>3</v>
      </c>
      <c r="G494" s="274" t="s">
        <v>19</v>
      </c>
      <c r="H494" s="274" t="s">
        <v>20</v>
      </c>
      <c r="I494" s="274" t="s">
        <v>205</v>
      </c>
      <c r="J494" s="274"/>
      <c r="K494" s="274" t="s">
        <v>216</v>
      </c>
      <c r="L494" s="274">
        <v>50</v>
      </c>
      <c r="M494" s="274" t="s">
        <v>217</v>
      </c>
      <c r="N494" s="275">
        <v>1120</v>
      </c>
      <c r="O494" s="275">
        <v>1120</v>
      </c>
      <c r="P494" s="275">
        <v>5000</v>
      </c>
      <c r="Q494" s="274">
        <v>2</v>
      </c>
      <c r="R494" s="274">
        <v>13</v>
      </c>
      <c r="S494" s="274" t="s">
        <v>354</v>
      </c>
      <c r="T494" s="276">
        <v>45128</v>
      </c>
      <c r="U494" s="276">
        <v>45177</v>
      </c>
      <c r="V494" s="274" t="s">
        <v>355</v>
      </c>
      <c r="W494" s="274"/>
      <c r="X494" s="274"/>
      <c r="Y494" s="143"/>
      <c r="Z494" s="146" t="str">
        <f t="shared" ca="1" si="7"/>
        <v/>
      </c>
      <c r="AA494" s="146" t="str">
        <f ca="1">IFERROR(IF(OR(OFFSET('S4'!#REF!,MATCH($A494,'S4'!$D$5:$D$2535,0)-1,6)="巻返し",OFFSET('S4'!#REF!,MATCH($A494,'S4'!$D$5:$D$2535,0)-1,6)="スリット"),SUMIF('S4'!$D$5:$D$2535,$A494,'S4'!$U$5:$U$2535),""),"")</f>
        <v/>
      </c>
      <c r="AB494" s="146" t="str">
        <f ca="1">IFERROR(IF(OR(OFFSET('S5'!#REF!,MATCH($A494,'S5'!$D$5:$D$2103,0)-1,6)="巻返し",OFFSET('S5'!#REF!,MATCH($A494,'S5'!$D$5:$D$2103,0)-1,6)="スリット"),SUMIF('S5'!$D$5:$D$2103,$A494,'S5'!$T$5:$T$2103),""),"")</f>
        <v/>
      </c>
    </row>
    <row r="495" spans="1:28" s="141" customFormat="1" ht="13.5" x14ac:dyDescent="0.15">
      <c r="A495" s="274">
        <v>3721216</v>
      </c>
      <c r="B495" s="274" t="s">
        <v>351</v>
      </c>
      <c r="C495" s="274" t="s">
        <v>352</v>
      </c>
      <c r="D495" s="274" t="s">
        <v>353</v>
      </c>
      <c r="E495" s="274" t="s">
        <v>116</v>
      </c>
      <c r="F495" s="274">
        <v>3</v>
      </c>
      <c r="G495" s="274" t="s">
        <v>19</v>
      </c>
      <c r="H495" s="274" t="s">
        <v>20</v>
      </c>
      <c r="I495" s="274" t="s">
        <v>205</v>
      </c>
      <c r="J495" s="274"/>
      <c r="K495" s="274" t="s">
        <v>216</v>
      </c>
      <c r="L495" s="274">
        <v>50</v>
      </c>
      <c r="M495" s="274" t="s">
        <v>217</v>
      </c>
      <c r="N495" s="275">
        <v>1120</v>
      </c>
      <c r="O495" s="275">
        <v>1120</v>
      </c>
      <c r="P495" s="275">
        <v>5000</v>
      </c>
      <c r="Q495" s="274">
        <v>2</v>
      </c>
      <c r="R495" s="274">
        <v>25</v>
      </c>
      <c r="S495" s="274" t="s">
        <v>354</v>
      </c>
      <c r="T495" s="276">
        <v>45128</v>
      </c>
      <c r="U495" s="276">
        <v>45184</v>
      </c>
      <c r="V495" s="274" t="s">
        <v>355</v>
      </c>
      <c r="W495" s="274"/>
      <c r="X495" s="274"/>
      <c r="Y495" s="143"/>
      <c r="Z495" s="146" t="str">
        <f t="shared" ca="1" si="7"/>
        <v/>
      </c>
      <c r="AA495" s="146" t="str">
        <f ca="1">IFERROR(IF(OR(OFFSET('S4'!#REF!,MATCH($A495,'S4'!$D$5:$D$2535,0)-1,6)="巻返し",OFFSET('S4'!#REF!,MATCH($A495,'S4'!$D$5:$D$2535,0)-1,6)="スリット"),SUMIF('S4'!$D$5:$D$2535,$A495,'S4'!$U$5:$U$2535),""),"")</f>
        <v/>
      </c>
      <c r="AB495" s="146" t="str">
        <f ca="1">IFERROR(IF(OR(OFFSET('S5'!#REF!,MATCH($A495,'S5'!$D$5:$D$2103,0)-1,6)="巻返し",OFFSET('S5'!#REF!,MATCH($A495,'S5'!$D$5:$D$2103,0)-1,6)="スリット"),SUMIF('S5'!$D$5:$D$2103,$A495,'S5'!$T$5:$T$2103),""),"")</f>
        <v/>
      </c>
    </row>
    <row r="496" spans="1:28" s="141" customFormat="1" ht="13.5" x14ac:dyDescent="0.15">
      <c r="A496" s="274">
        <v>3721217</v>
      </c>
      <c r="B496" s="274" t="s">
        <v>351</v>
      </c>
      <c r="C496" s="274" t="s">
        <v>352</v>
      </c>
      <c r="D496" s="274" t="s">
        <v>353</v>
      </c>
      <c r="E496" s="274" t="s">
        <v>116</v>
      </c>
      <c r="F496" s="274">
        <v>3</v>
      </c>
      <c r="G496" s="274" t="s">
        <v>19</v>
      </c>
      <c r="H496" s="274" t="s">
        <v>20</v>
      </c>
      <c r="I496" s="274" t="s">
        <v>205</v>
      </c>
      <c r="J496" s="274"/>
      <c r="K496" s="274" t="s">
        <v>216</v>
      </c>
      <c r="L496" s="274">
        <v>50</v>
      </c>
      <c r="M496" s="274" t="s">
        <v>217</v>
      </c>
      <c r="N496" s="275">
        <v>1120</v>
      </c>
      <c r="O496" s="275">
        <v>1120</v>
      </c>
      <c r="P496" s="275">
        <v>5000</v>
      </c>
      <c r="Q496" s="274">
        <v>2</v>
      </c>
      <c r="R496" s="274">
        <v>1</v>
      </c>
      <c r="S496" s="274" t="s">
        <v>354</v>
      </c>
      <c r="T496" s="276">
        <v>45128</v>
      </c>
      <c r="U496" s="276">
        <v>45184</v>
      </c>
      <c r="V496" s="274" t="s">
        <v>355</v>
      </c>
      <c r="W496" s="274"/>
      <c r="X496" s="274"/>
      <c r="Y496" s="143"/>
      <c r="Z496" s="146" t="str">
        <f t="shared" ca="1" si="7"/>
        <v/>
      </c>
      <c r="AA496" s="146" t="str">
        <f ca="1">IFERROR(IF(OR(OFFSET('S4'!#REF!,MATCH($A496,'S4'!$D$5:$D$2535,0)-1,6)="巻返し",OFFSET('S4'!#REF!,MATCH($A496,'S4'!$D$5:$D$2535,0)-1,6)="スリット"),SUMIF('S4'!$D$5:$D$2535,$A496,'S4'!$U$5:$U$2535),""),"")</f>
        <v/>
      </c>
      <c r="AB496" s="146" t="str">
        <f ca="1">IFERROR(IF(OR(OFFSET('S5'!#REF!,MATCH($A496,'S5'!$D$5:$D$2103,0)-1,6)="巻返し",OFFSET('S5'!#REF!,MATCH($A496,'S5'!$D$5:$D$2103,0)-1,6)="スリット"),SUMIF('S5'!$D$5:$D$2103,$A496,'S5'!$T$5:$T$2103),""),"")</f>
        <v/>
      </c>
    </row>
    <row r="497" spans="1:28" s="141" customFormat="1" ht="13.5" x14ac:dyDescent="0.15">
      <c r="A497" s="274">
        <v>3721218</v>
      </c>
      <c r="B497" s="274" t="s">
        <v>351</v>
      </c>
      <c r="C497" s="274" t="s">
        <v>352</v>
      </c>
      <c r="D497" s="274" t="s">
        <v>353</v>
      </c>
      <c r="E497" s="274" t="s">
        <v>116</v>
      </c>
      <c r="F497" s="274">
        <v>3</v>
      </c>
      <c r="G497" s="274" t="s">
        <v>19</v>
      </c>
      <c r="H497" s="274" t="s">
        <v>20</v>
      </c>
      <c r="I497" s="274" t="s">
        <v>165</v>
      </c>
      <c r="J497" s="274"/>
      <c r="K497" s="274" t="s">
        <v>187</v>
      </c>
      <c r="L497" s="274">
        <v>50</v>
      </c>
      <c r="M497" s="274" t="s">
        <v>188</v>
      </c>
      <c r="N497" s="275">
        <v>1000</v>
      </c>
      <c r="O497" s="275">
        <v>1000</v>
      </c>
      <c r="P497" s="275">
        <v>3000</v>
      </c>
      <c r="Q497" s="274">
        <v>2</v>
      </c>
      <c r="R497" s="274">
        <v>2</v>
      </c>
      <c r="S497" s="274" t="s">
        <v>354</v>
      </c>
      <c r="T497" s="276">
        <v>45128</v>
      </c>
      <c r="U497" s="276">
        <v>45163</v>
      </c>
      <c r="V497" s="274" t="s">
        <v>355</v>
      </c>
      <c r="W497" s="274"/>
      <c r="X497" s="274"/>
      <c r="Y497" s="143"/>
      <c r="Z497" s="146" t="str">
        <f t="shared" ca="1" si="7"/>
        <v/>
      </c>
      <c r="AA497" s="146" t="str">
        <f ca="1">IFERROR(IF(OR(OFFSET('S4'!#REF!,MATCH($A497,'S4'!$D$5:$D$2535,0)-1,6)="巻返し",OFFSET('S4'!#REF!,MATCH($A497,'S4'!$D$5:$D$2535,0)-1,6)="スリット"),SUMIF('S4'!$D$5:$D$2535,$A497,'S4'!$U$5:$U$2535),""),"")</f>
        <v/>
      </c>
      <c r="AB497" s="146" t="str">
        <f ca="1">IFERROR(IF(OR(OFFSET('S5'!#REF!,MATCH($A497,'S5'!$D$5:$D$2103,0)-1,6)="巻返し",OFFSET('S5'!#REF!,MATCH($A497,'S5'!$D$5:$D$2103,0)-1,6)="スリット"),SUMIF('S5'!$D$5:$D$2103,$A497,'S5'!$T$5:$T$2103),""),"")</f>
        <v/>
      </c>
    </row>
    <row r="498" spans="1:28" s="141" customFormat="1" ht="13.5" x14ac:dyDescent="0.15">
      <c r="A498" s="274">
        <v>3721219</v>
      </c>
      <c r="B498" s="274" t="s">
        <v>351</v>
      </c>
      <c r="C498" s="274" t="s">
        <v>352</v>
      </c>
      <c r="D498" s="274" t="s">
        <v>353</v>
      </c>
      <c r="E498" s="274" t="s">
        <v>116</v>
      </c>
      <c r="F498" s="274">
        <v>3</v>
      </c>
      <c r="G498" s="274" t="s">
        <v>19</v>
      </c>
      <c r="H498" s="274" t="s">
        <v>20</v>
      </c>
      <c r="I498" s="274" t="s">
        <v>205</v>
      </c>
      <c r="J498" s="274"/>
      <c r="K498" s="274" t="s">
        <v>218</v>
      </c>
      <c r="L498" s="274">
        <v>50</v>
      </c>
      <c r="M498" s="274" t="s">
        <v>219</v>
      </c>
      <c r="N498" s="275">
        <v>1000</v>
      </c>
      <c r="O498" s="275">
        <v>1000</v>
      </c>
      <c r="P498" s="275">
        <v>4000</v>
      </c>
      <c r="Q498" s="274">
        <v>2</v>
      </c>
      <c r="R498" s="274">
        <v>15</v>
      </c>
      <c r="S498" s="274" t="s">
        <v>354</v>
      </c>
      <c r="T498" s="276">
        <v>45128</v>
      </c>
      <c r="U498" s="276">
        <v>45163</v>
      </c>
      <c r="V498" s="274" t="s">
        <v>355</v>
      </c>
      <c r="W498" s="274"/>
      <c r="X498" s="274"/>
      <c r="Y498" s="143"/>
      <c r="Z498" s="146" t="str">
        <f t="shared" ca="1" si="7"/>
        <v/>
      </c>
      <c r="AA498" s="146" t="str">
        <f ca="1">IFERROR(IF(OR(OFFSET('S4'!#REF!,MATCH($A498,'S4'!$D$5:$D$2535,0)-1,6)="巻返し",OFFSET('S4'!#REF!,MATCH($A498,'S4'!$D$5:$D$2535,0)-1,6)="スリット"),SUMIF('S4'!$D$5:$D$2535,$A498,'S4'!$U$5:$U$2535),""),"")</f>
        <v/>
      </c>
      <c r="AB498" s="146" t="str">
        <f ca="1">IFERROR(IF(OR(OFFSET('S5'!#REF!,MATCH($A498,'S5'!$D$5:$D$2103,0)-1,6)="巻返し",OFFSET('S5'!#REF!,MATCH($A498,'S5'!$D$5:$D$2103,0)-1,6)="スリット"),SUMIF('S5'!$D$5:$D$2103,$A498,'S5'!$T$5:$T$2103),""),"")</f>
        <v/>
      </c>
    </row>
    <row r="499" spans="1:28" s="141" customFormat="1" ht="13.5" x14ac:dyDescent="0.15">
      <c r="A499" s="274">
        <v>3721220</v>
      </c>
      <c r="B499" s="274" t="s">
        <v>351</v>
      </c>
      <c r="C499" s="274" t="s">
        <v>352</v>
      </c>
      <c r="D499" s="274" t="s">
        <v>353</v>
      </c>
      <c r="E499" s="274" t="s">
        <v>116</v>
      </c>
      <c r="F499" s="274" t="s">
        <v>158</v>
      </c>
      <c r="G499" s="274" t="s">
        <v>19</v>
      </c>
      <c r="H499" s="274" t="s">
        <v>20</v>
      </c>
      <c r="I499" s="274" t="s">
        <v>165</v>
      </c>
      <c r="J499" s="274"/>
      <c r="K499" s="274" t="s">
        <v>192</v>
      </c>
      <c r="L499" s="274">
        <v>50</v>
      </c>
      <c r="M499" s="274" t="s">
        <v>193</v>
      </c>
      <c r="N499" s="275">
        <v>1005</v>
      </c>
      <c r="O499" s="275">
        <v>1000</v>
      </c>
      <c r="P499" s="275">
        <v>4000</v>
      </c>
      <c r="Q499" s="274">
        <v>2</v>
      </c>
      <c r="R499" s="274">
        <v>3</v>
      </c>
      <c r="S499" s="274" t="s">
        <v>354</v>
      </c>
      <c r="T499" s="276">
        <v>45128</v>
      </c>
      <c r="U499" s="276">
        <v>45163</v>
      </c>
      <c r="V499" s="274" t="s">
        <v>355</v>
      </c>
      <c r="W499" s="274"/>
      <c r="X499" s="274"/>
      <c r="Y499" s="143"/>
      <c r="Z499" s="146" t="str">
        <f t="shared" ca="1" si="7"/>
        <v/>
      </c>
      <c r="AA499" s="146" t="str">
        <f ca="1">IFERROR(IF(OR(OFFSET('S4'!#REF!,MATCH($A499,'S4'!$D$5:$D$2535,0)-1,6)="巻返し",OFFSET('S4'!#REF!,MATCH($A499,'S4'!$D$5:$D$2535,0)-1,6)="スリット"),SUMIF('S4'!$D$5:$D$2535,$A499,'S4'!$U$5:$U$2535),""),"")</f>
        <v/>
      </c>
      <c r="AB499" s="146" t="str">
        <f ca="1">IFERROR(IF(OR(OFFSET('S5'!#REF!,MATCH($A499,'S5'!$D$5:$D$2103,0)-1,6)="巻返し",OFFSET('S5'!#REF!,MATCH($A499,'S5'!$D$5:$D$2103,0)-1,6)="スリット"),SUMIF('S5'!$D$5:$D$2103,$A499,'S5'!$T$5:$T$2103),""),"")</f>
        <v/>
      </c>
    </row>
    <row r="500" spans="1:28" s="141" customFormat="1" ht="13.5" x14ac:dyDescent="0.15">
      <c r="A500" s="274">
        <v>3721221</v>
      </c>
      <c r="B500" s="274" t="s">
        <v>351</v>
      </c>
      <c r="C500" s="274" t="s">
        <v>352</v>
      </c>
      <c r="D500" s="274" t="s">
        <v>353</v>
      </c>
      <c r="E500" s="274" t="s">
        <v>116</v>
      </c>
      <c r="F500" s="274" t="s">
        <v>158</v>
      </c>
      <c r="G500" s="274" t="s">
        <v>19</v>
      </c>
      <c r="H500" s="274" t="s">
        <v>20</v>
      </c>
      <c r="I500" s="274" t="s">
        <v>165</v>
      </c>
      <c r="J500" s="274"/>
      <c r="K500" s="274" t="s">
        <v>195</v>
      </c>
      <c r="L500" s="274">
        <v>50</v>
      </c>
      <c r="M500" s="274" t="s">
        <v>196</v>
      </c>
      <c r="N500" s="275">
        <v>1005</v>
      </c>
      <c r="O500" s="275">
        <v>1000</v>
      </c>
      <c r="P500" s="275">
        <v>4000</v>
      </c>
      <c r="Q500" s="274">
        <v>2</v>
      </c>
      <c r="R500" s="274">
        <v>12</v>
      </c>
      <c r="S500" s="274" t="s">
        <v>354</v>
      </c>
      <c r="T500" s="276">
        <v>45128</v>
      </c>
      <c r="U500" s="276">
        <v>45163</v>
      </c>
      <c r="V500" s="274" t="s">
        <v>355</v>
      </c>
      <c r="W500" s="274"/>
      <c r="X500" s="274"/>
      <c r="Y500" s="143"/>
      <c r="Z500" s="146" t="str">
        <f t="shared" ca="1" si="7"/>
        <v/>
      </c>
      <c r="AA500" s="146" t="str">
        <f ca="1">IFERROR(IF(OR(OFFSET('S4'!#REF!,MATCH($A500,'S4'!$D$5:$D$2535,0)-1,6)="巻返し",OFFSET('S4'!#REF!,MATCH($A500,'S4'!$D$5:$D$2535,0)-1,6)="スリット"),SUMIF('S4'!$D$5:$D$2535,$A500,'S4'!$U$5:$U$2535),""),"")</f>
        <v/>
      </c>
      <c r="AB500" s="146" t="str">
        <f ca="1">IFERROR(IF(OR(OFFSET('S5'!#REF!,MATCH($A500,'S5'!$D$5:$D$2103,0)-1,6)="巻返し",OFFSET('S5'!#REF!,MATCH($A500,'S5'!$D$5:$D$2103,0)-1,6)="スリット"),SUMIF('S5'!$D$5:$D$2103,$A500,'S5'!$T$5:$T$2103),""),"")</f>
        <v/>
      </c>
    </row>
    <row r="501" spans="1:28" s="141" customFormat="1" ht="13.5" x14ac:dyDescent="0.15">
      <c r="A501" s="274">
        <v>3721222</v>
      </c>
      <c r="B501" s="274" t="s">
        <v>351</v>
      </c>
      <c r="C501" s="274" t="s">
        <v>352</v>
      </c>
      <c r="D501" s="274" t="s">
        <v>353</v>
      </c>
      <c r="E501" s="274" t="s">
        <v>116</v>
      </c>
      <c r="F501" s="274" t="s">
        <v>158</v>
      </c>
      <c r="G501" s="274" t="s">
        <v>19</v>
      </c>
      <c r="H501" s="274" t="s">
        <v>20</v>
      </c>
      <c r="I501" s="274" t="s">
        <v>165</v>
      </c>
      <c r="J501" s="274"/>
      <c r="K501" s="274" t="s">
        <v>197</v>
      </c>
      <c r="L501" s="274">
        <v>50</v>
      </c>
      <c r="M501" s="274" t="s">
        <v>198</v>
      </c>
      <c r="N501" s="275">
        <v>1005</v>
      </c>
      <c r="O501" s="275">
        <v>1000</v>
      </c>
      <c r="P501" s="275">
        <v>4100</v>
      </c>
      <c r="Q501" s="274">
        <v>2</v>
      </c>
      <c r="R501" s="274">
        <v>6</v>
      </c>
      <c r="S501" s="274" t="s">
        <v>354</v>
      </c>
      <c r="T501" s="276">
        <v>45128</v>
      </c>
      <c r="U501" s="276">
        <v>45163</v>
      </c>
      <c r="V501" s="274" t="s">
        <v>355</v>
      </c>
      <c r="W501" s="274"/>
      <c r="X501" s="274"/>
      <c r="Y501" s="143"/>
      <c r="Z501" s="146" t="str">
        <f t="shared" ca="1" si="7"/>
        <v/>
      </c>
      <c r="AA501" s="146" t="str">
        <f ca="1">IFERROR(IF(OR(OFFSET('S4'!#REF!,MATCH($A501,'S4'!$D$5:$D$2535,0)-1,6)="巻返し",OFFSET('S4'!#REF!,MATCH($A501,'S4'!$D$5:$D$2535,0)-1,6)="スリット"),SUMIF('S4'!$D$5:$D$2535,$A501,'S4'!$U$5:$U$2535),""),"")</f>
        <v/>
      </c>
      <c r="AB501" s="146" t="str">
        <f ca="1">IFERROR(IF(OR(OFFSET('S5'!#REF!,MATCH($A501,'S5'!$D$5:$D$2103,0)-1,6)="巻返し",OFFSET('S5'!#REF!,MATCH($A501,'S5'!$D$5:$D$2103,0)-1,6)="スリット"),SUMIF('S5'!$D$5:$D$2103,$A501,'S5'!$T$5:$T$2103),""),"")</f>
        <v/>
      </c>
    </row>
    <row r="502" spans="1:28" s="141" customFormat="1" ht="13.5" x14ac:dyDescent="0.15">
      <c r="A502" s="274">
        <v>3721224</v>
      </c>
      <c r="B502" s="274" t="s">
        <v>351</v>
      </c>
      <c r="C502" s="274" t="s">
        <v>352</v>
      </c>
      <c r="D502" s="274" t="s">
        <v>353</v>
      </c>
      <c r="E502" s="274" t="s">
        <v>116</v>
      </c>
      <c r="F502" s="274">
        <v>3</v>
      </c>
      <c r="G502" s="274" t="s">
        <v>19</v>
      </c>
      <c r="H502" s="274" t="s">
        <v>20</v>
      </c>
      <c r="I502" s="274" t="s">
        <v>205</v>
      </c>
      <c r="J502" s="274"/>
      <c r="K502" s="274" t="s">
        <v>221</v>
      </c>
      <c r="L502" s="274">
        <v>25</v>
      </c>
      <c r="M502" s="274" t="s">
        <v>222</v>
      </c>
      <c r="N502" s="275">
        <v>1000</v>
      </c>
      <c r="O502" s="275">
        <v>1000</v>
      </c>
      <c r="P502" s="275">
        <v>6000</v>
      </c>
      <c r="Q502" s="274">
        <v>2</v>
      </c>
      <c r="R502" s="274">
        <v>4</v>
      </c>
      <c r="S502" s="274" t="s">
        <v>354</v>
      </c>
      <c r="T502" s="276">
        <v>45128</v>
      </c>
      <c r="U502" s="276">
        <v>45163</v>
      </c>
      <c r="V502" s="274" t="s">
        <v>355</v>
      </c>
      <c r="W502" s="274"/>
      <c r="X502" s="274"/>
      <c r="Y502" s="143"/>
      <c r="Z502" s="146" t="str">
        <f t="shared" ca="1" si="7"/>
        <v/>
      </c>
      <c r="AA502" s="146" t="str">
        <f ca="1">IFERROR(IF(OR(OFFSET('S4'!#REF!,MATCH($A502,'S4'!$D$5:$D$2535,0)-1,6)="巻返し",OFFSET('S4'!#REF!,MATCH($A502,'S4'!$D$5:$D$2535,0)-1,6)="スリット"),SUMIF('S4'!$D$5:$D$2535,$A502,'S4'!$U$5:$U$2535),""),"")</f>
        <v/>
      </c>
      <c r="AB502" s="146" t="str">
        <f ca="1">IFERROR(IF(OR(OFFSET('S5'!#REF!,MATCH($A502,'S5'!$D$5:$D$2103,0)-1,6)="巻返し",OFFSET('S5'!#REF!,MATCH($A502,'S5'!$D$5:$D$2103,0)-1,6)="スリット"),SUMIF('S5'!$D$5:$D$2103,$A502,'S5'!$T$5:$T$2103),""),"")</f>
        <v/>
      </c>
    </row>
    <row r="503" spans="1:28" s="141" customFormat="1" ht="13.5" x14ac:dyDescent="0.15">
      <c r="A503" s="274">
        <v>3721225</v>
      </c>
      <c r="B503" s="274" t="s">
        <v>351</v>
      </c>
      <c r="C503" s="274" t="s">
        <v>352</v>
      </c>
      <c r="D503" s="274" t="s">
        <v>353</v>
      </c>
      <c r="E503" s="274" t="s">
        <v>116</v>
      </c>
      <c r="F503" s="274">
        <v>3</v>
      </c>
      <c r="G503" s="274" t="s">
        <v>19</v>
      </c>
      <c r="H503" s="274" t="s">
        <v>20</v>
      </c>
      <c r="I503" s="274" t="s">
        <v>205</v>
      </c>
      <c r="J503" s="274"/>
      <c r="K503" s="274" t="s">
        <v>221</v>
      </c>
      <c r="L503" s="274">
        <v>25</v>
      </c>
      <c r="M503" s="274" t="s">
        <v>222</v>
      </c>
      <c r="N503" s="275">
        <v>1100</v>
      </c>
      <c r="O503" s="275">
        <v>1100</v>
      </c>
      <c r="P503" s="275">
        <v>6000</v>
      </c>
      <c r="Q503" s="274">
        <v>2</v>
      </c>
      <c r="R503" s="274">
        <v>8</v>
      </c>
      <c r="S503" s="274" t="s">
        <v>354</v>
      </c>
      <c r="T503" s="276">
        <v>45128</v>
      </c>
      <c r="U503" s="276">
        <v>45163</v>
      </c>
      <c r="V503" s="274" t="s">
        <v>355</v>
      </c>
      <c r="W503" s="274"/>
      <c r="X503" s="274"/>
      <c r="Y503" s="143"/>
      <c r="Z503" s="146" t="str">
        <f t="shared" ca="1" si="7"/>
        <v/>
      </c>
      <c r="AA503" s="146" t="str">
        <f ca="1">IFERROR(IF(OR(OFFSET('S4'!#REF!,MATCH($A503,'S4'!$D$5:$D$2535,0)-1,6)="巻返し",OFFSET('S4'!#REF!,MATCH($A503,'S4'!$D$5:$D$2535,0)-1,6)="スリット"),SUMIF('S4'!$D$5:$D$2535,$A503,'S4'!$U$5:$U$2535),""),"")</f>
        <v/>
      </c>
      <c r="AB503" s="146" t="str">
        <f ca="1">IFERROR(IF(OR(OFFSET('S5'!#REF!,MATCH($A503,'S5'!$D$5:$D$2103,0)-1,6)="巻返し",OFFSET('S5'!#REF!,MATCH($A503,'S5'!$D$5:$D$2103,0)-1,6)="スリット"),SUMIF('S5'!$D$5:$D$2103,$A503,'S5'!$T$5:$T$2103),""),"")</f>
        <v/>
      </c>
    </row>
    <row r="504" spans="1:28" s="141" customFormat="1" ht="13.5" x14ac:dyDescent="0.15">
      <c r="A504" s="274">
        <v>3721226</v>
      </c>
      <c r="B504" s="274" t="s">
        <v>351</v>
      </c>
      <c r="C504" s="274" t="s">
        <v>352</v>
      </c>
      <c r="D504" s="274" t="s">
        <v>353</v>
      </c>
      <c r="E504" s="274" t="s">
        <v>116</v>
      </c>
      <c r="F504" s="274">
        <v>3</v>
      </c>
      <c r="G504" s="274" t="s">
        <v>19</v>
      </c>
      <c r="H504" s="274" t="s">
        <v>28</v>
      </c>
      <c r="I504" s="274" t="s">
        <v>205</v>
      </c>
      <c r="J504" s="274"/>
      <c r="K504" s="274" t="s">
        <v>233</v>
      </c>
      <c r="L504" s="274">
        <v>50</v>
      </c>
      <c r="M504" s="274" t="s">
        <v>234</v>
      </c>
      <c r="N504" s="275">
        <v>1120</v>
      </c>
      <c r="O504" s="275">
        <v>1120</v>
      </c>
      <c r="P504" s="275">
        <v>4000</v>
      </c>
      <c r="Q504" s="274">
        <v>2</v>
      </c>
      <c r="R504" s="274">
        <v>8</v>
      </c>
      <c r="S504" s="274" t="s">
        <v>354</v>
      </c>
      <c r="T504" s="276">
        <v>45128</v>
      </c>
      <c r="U504" s="276">
        <v>45148</v>
      </c>
      <c r="V504" s="274" t="s">
        <v>355</v>
      </c>
      <c r="W504" s="274"/>
      <c r="X504" s="274"/>
      <c r="Y504" s="143"/>
      <c r="Z504" s="146" t="str">
        <f t="shared" ca="1" si="7"/>
        <v/>
      </c>
      <c r="AA504" s="146" t="str">
        <f ca="1">IFERROR(IF(OR(OFFSET('S4'!#REF!,MATCH($A504,'S4'!$D$5:$D$2535,0)-1,6)="巻返し",OFFSET('S4'!#REF!,MATCH($A504,'S4'!$D$5:$D$2535,0)-1,6)="スリット"),SUMIF('S4'!$D$5:$D$2535,$A504,'S4'!$U$5:$U$2535),""),"")</f>
        <v/>
      </c>
      <c r="AB504" s="146" t="str">
        <f ca="1">IFERROR(IF(OR(OFFSET('S5'!#REF!,MATCH($A504,'S5'!$D$5:$D$2103,0)-1,6)="巻返し",OFFSET('S5'!#REF!,MATCH($A504,'S5'!$D$5:$D$2103,0)-1,6)="スリット"),SUMIF('S5'!$D$5:$D$2103,$A504,'S5'!$T$5:$T$2103),""),"")</f>
        <v/>
      </c>
    </row>
    <row r="505" spans="1:28" s="141" customFormat="1" ht="13.5" x14ac:dyDescent="0.15">
      <c r="A505" s="274">
        <v>3721227</v>
      </c>
      <c r="B505" s="274" t="s">
        <v>351</v>
      </c>
      <c r="C505" s="274" t="s">
        <v>352</v>
      </c>
      <c r="D505" s="274" t="s">
        <v>353</v>
      </c>
      <c r="E505" s="274" t="s">
        <v>116</v>
      </c>
      <c r="F505" s="274">
        <v>3</v>
      </c>
      <c r="G505" s="274" t="s">
        <v>19</v>
      </c>
      <c r="H505" s="274" t="s">
        <v>28</v>
      </c>
      <c r="I505" s="274" t="s">
        <v>205</v>
      </c>
      <c r="J505" s="274"/>
      <c r="K505" s="274" t="s">
        <v>233</v>
      </c>
      <c r="L505" s="274">
        <v>50</v>
      </c>
      <c r="M505" s="274" t="s">
        <v>234</v>
      </c>
      <c r="N505" s="275">
        <v>1120</v>
      </c>
      <c r="O505" s="275">
        <v>1120</v>
      </c>
      <c r="P505" s="275">
        <v>4000</v>
      </c>
      <c r="Q505" s="274">
        <v>2</v>
      </c>
      <c r="R505" s="274">
        <v>4</v>
      </c>
      <c r="S505" s="274" t="s">
        <v>354</v>
      </c>
      <c r="T505" s="276">
        <v>45128</v>
      </c>
      <c r="U505" s="276">
        <v>45169</v>
      </c>
      <c r="V505" s="274" t="s">
        <v>355</v>
      </c>
      <c r="W505" s="274"/>
      <c r="X505" s="274"/>
      <c r="Y505" s="143"/>
      <c r="Z505" s="146" t="str">
        <f t="shared" ca="1" si="7"/>
        <v/>
      </c>
      <c r="AA505" s="146" t="str">
        <f ca="1">IFERROR(IF(OR(OFFSET('S4'!#REF!,MATCH($A505,'S4'!$D$5:$D$2535,0)-1,6)="巻返し",OFFSET('S4'!#REF!,MATCH($A505,'S4'!$D$5:$D$2535,0)-1,6)="スリット"),SUMIF('S4'!$D$5:$D$2535,$A505,'S4'!$U$5:$U$2535),""),"")</f>
        <v/>
      </c>
      <c r="AB505" s="146" t="str">
        <f ca="1">IFERROR(IF(OR(OFFSET('S5'!#REF!,MATCH($A505,'S5'!$D$5:$D$2103,0)-1,6)="巻返し",OFFSET('S5'!#REF!,MATCH($A505,'S5'!$D$5:$D$2103,0)-1,6)="スリット"),SUMIF('S5'!$D$5:$D$2103,$A505,'S5'!$T$5:$T$2103),""),"")</f>
        <v/>
      </c>
    </row>
    <row r="506" spans="1:28" s="141" customFormat="1" ht="13.5" x14ac:dyDescent="0.15">
      <c r="A506" s="274">
        <v>3722522</v>
      </c>
      <c r="B506" s="274" t="s">
        <v>1364</v>
      </c>
      <c r="C506" s="274" t="s">
        <v>358</v>
      </c>
      <c r="D506" s="274" t="s">
        <v>353</v>
      </c>
      <c r="E506" s="274" t="s">
        <v>1365</v>
      </c>
      <c r="F506" s="274">
        <v>3</v>
      </c>
      <c r="G506" s="274" t="s">
        <v>269</v>
      </c>
      <c r="H506" s="274" t="s">
        <v>28</v>
      </c>
      <c r="I506" s="274" t="s">
        <v>1078</v>
      </c>
      <c r="J506" s="274"/>
      <c r="K506" s="274" t="s">
        <v>1079</v>
      </c>
      <c r="L506" s="274">
        <v>25</v>
      </c>
      <c r="M506" s="274" t="s">
        <v>1366</v>
      </c>
      <c r="N506" s="275">
        <v>1050</v>
      </c>
      <c r="O506" s="275">
        <v>1050</v>
      </c>
      <c r="P506" s="275">
        <v>4000</v>
      </c>
      <c r="Q506" s="274">
        <v>1</v>
      </c>
      <c r="R506" s="274">
        <v>1</v>
      </c>
      <c r="S506" s="274" t="s">
        <v>354</v>
      </c>
      <c r="T506" s="276">
        <v>45138</v>
      </c>
      <c r="U506" s="276">
        <v>45148</v>
      </c>
      <c r="V506" s="274" t="s">
        <v>428</v>
      </c>
      <c r="W506" s="274"/>
      <c r="X506" s="274"/>
      <c r="Y506" s="143"/>
      <c r="Z506" s="146" t="str">
        <f t="shared" ca="1" si="7"/>
        <v/>
      </c>
      <c r="AA506" s="146" t="str">
        <f ca="1">IFERROR(IF(OR(OFFSET('S4'!#REF!,MATCH($A506,'S4'!$D$5:$D$2535,0)-1,6)="巻返し",OFFSET('S4'!#REF!,MATCH($A506,'S4'!$D$5:$D$2535,0)-1,6)="スリット"),SUMIF('S4'!$D$5:$D$2535,$A506,'S4'!$U$5:$U$2535),""),"")</f>
        <v/>
      </c>
      <c r="AB506" s="146" t="str">
        <f ca="1">IFERROR(IF(OR(OFFSET('S5'!#REF!,MATCH($A506,'S5'!$D$5:$D$2103,0)-1,6)="巻返し",OFFSET('S5'!#REF!,MATCH($A506,'S5'!$D$5:$D$2103,0)-1,6)="スリット"),SUMIF('S5'!$D$5:$D$2103,$A506,'S5'!$T$5:$T$2103),""),"")</f>
        <v/>
      </c>
    </row>
    <row r="507" spans="1:28" s="141" customFormat="1" ht="13.5" x14ac:dyDescent="0.15">
      <c r="A507" s="274">
        <v>3723621</v>
      </c>
      <c r="B507" s="274" t="s">
        <v>351</v>
      </c>
      <c r="C507" s="274" t="s">
        <v>364</v>
      </c>
      <c r="D507" s="274" t="s">
        <v>353</v>
      </c>
      <c r="E507" s="274" t="s">
        <v>171</v>
      </c>
      <c r="F507" s="274">
        <v>3</v>
      </c>
      <c r="G507" s="274" t="s">
        <v>19</v>
      </c>
      <c r="H507" s="274" t="s">
        <v>20</v>
      </c>
      <c r="I507" s="274" t="s">
        <v>165</v>
      </c>
      <c r="J507" s="274"/>
      <c r="K507" s="274" t="s">
        <v>180</v>
      </c>
      <c r="L507" s="274">
        <v>50</v>
      </c>
      <c r="M507" s="274" t="s">
        <v>181</v>
      </c>
      <c r="N507" s="275">
        <v>1200</v>
      </c>
      <c r="O507" s="275">
        <v>1190</v>
      </c>
      <c r="P507" s="275">
        <v>6000</v>
      </c>
      <c r="Q507" s="274">
        <v>2</v>
      </c>
      <c r="R507" s="274">
        <v>12</v>
      </c>
      <c r="S507" s="274" t="s">
        <v>354</v>
      </c>
      <c r="T507" s="276">
        <v>45159</v>
      </c>
      <c r="U507" s="276">
        <v>45184</v>
      </c>
      <c r="V507" s="274" t="s">
        <v>355</v>
      </c>
      <c r="W507" s="274"/>
      <c r="X507" s="274"/>
      <c r="Y507" s="143"/>
      <c r="Z507" s="146" t="str">
        <f t="shared" ca="1" si="7"/>
        <v/>
      </c>
      <c r="AA507" s="146" t="str">
        <f ca="1">IFERROR(IF(OR(OFFSET('S4'!#REF!,MATCH($A507,'S4'!$D$5:$D$2535,0)-1,6)="巻返し",OFFSET('S4'!#REF!,MATCH($A507,'S4'!$D$5:$D$2535,0)-1,6)="スリット"),SUMIF('S4'!$D$5:$D$2535,$A507,'S4'!$U$5:$U$2535),""),"")</f>
        <v/>
      </c>
      <c r="AB507" s="146" t="str">
        <f ca="1">IFERROR(IF(OR(OFFSET('S5'!#REF!,MATCH($A507,'S5'!$D$5:$D$2103,0)-1,6)="巻返し",OFFSET('S5'!#REF!,MATCH($A507,'S5'!$D$5:$D$2103,0)-1,6)="スリット"),SUMIF('S5'!$D$5:$D$2103,$A507,'S5'!$T$5:$T$2103),""),"")</f>
        <v/>
      </c>
    </row>
    <row r="508" spans="1:28" s="141" customFormat="1" ht="13.5" x14ac:dyDescent="0.15">
      <c r="A508" s="274">
        <v>3723623</v>
      </c>
      <c r="B508" s="274" t="s">
        <v>351</v>
      </c>
      <c r="C508" s="274" t="s">
        <v>364</v>
      </c>
      <c r="D508" s="274" t="s">
        <v>353</v>
      </c>
      <c r="E508" s="274" t="s">
        <v>148</v>
      </c>
      <c r="F508" s="274">
        <v>3</v>
      </c>
      <c r="G508" s="274" t="s">
        <v>19</v>
      </c>
      <c r="H508" s="274" t="s">
        <v>20</v>
      </c>
      <c r="I508" s="274" t="s">
        <v>143</v>
      </c>
      <c r="J508" s="274"/>
      <c r="K508" s="274" t="s">
        <v>149</v>
      </c>
      <c r="L508" s="274">
        <v>50</v>
      </c>
      <c r="M508" s="274" t="s">
        <v>150</v>
      </c>
      <c r="N508" s="275">
        <v>1120</v>
      </c>
      <c r="O508" s="275">
        <v>1120</v>
      </c>
      <c r="P508" s="275">
        <v>6000</v>
      </c>
      <c r="Q508" s="274">
        <v>2</v>
      </c>
      <c r="R508" s="274">
        <v>4</v>
      </c>
      <c r="S508" s="274" t="s">
        <v>354</v>
      </c>
      <c r="T508" s="276">
        <v>45159</v>
      </c>
      <c r="U508" s="276">
        <v>45184</v>
      </c>
      <c r="V508" s="274" t="s">
        <v>355</v>
      </c>
      <c r="W508" s="274"/>
      <c r="X508" s="274"/>
      <c r="Y508" s="143"/>
      <c r="Z508" s="146" t="str">
        <f t="shared" ca="1" si="7"/>
        <v/>
      </c>
      <c r="AA508" s="146" t="str">
        <f ca="1">IFERROR(IF(OR(OFFSET('S4'!#REF!,MATCH($A508,'S4'!$D$5:$D$2535,0)-1,6)="巻返し",OFFSET('S4'!#REF!,MATCH($A508,'S4'!$D$5:$D$2535,0)-1,6)="スリット"),SUMIF('S4'!$D$5:$D$2535,$A508,'S4'!$U$5:$U$2535),""),"")</f>
        <v/>
      </c>
      <c r="AB508" s="146" t="str">
        <f ca="1">IFERROR(IF(OR(OFFSET('S5'!#REF!,MATCH($A508,'S5'!$D$5:$D$2103,0)-1,6)="巻返し",OFFSET('S5'!#REF!,MATCH($A508,'S5'!$D$5:$D$2103,0)-1,6)="スリット"),SUMIF('S5'!$D$5:$D$2103,$A508,'S5'!$T$5:$T$2103),""),"")</f>
        <v/>
      </c>
    </row>
    <row r="509" spans="1:28" s="141" customFormat="1" ht="13.5" x14ac:dyDescent="0.15">
      <c r="A509" s="274">
        <v>3723624</v>
      </c>
      <c r="B509" s="274" t="s">
        <v>351</v>
      </c>
      <c r="C509" s="274" t="s">
        <v>364</v>
      </c>
      <c r="D509" s="274" t="s">
        <v>353</v>
      </c>
      <c r="E509" s="274" t="s">
        <v>148</v>
      </c>
      <c r="F509" s="274">
        <v>3</v>
      </c>
      <c r="G509" s="274" t="s">
        <v>19</v>
      </c>
      <c r="H509" s="274" t="s">
        <v>20</v>
      </c>
      <c r="I509" s="274" t="s">
        <v>165</v>
      </c>
      <c r="J509" s="274"/>
      <c r="K509" s="274" t="s">
        <v>169</v>
      </c>
      <c r="L509" s="274">
        <v>50</v>
      </c>
      <c r="M509" s="274" t="s">
        <v>170</v>
      </c>
      <c r="N509" s="275">
        <v>1120</v>
      </c>
      <c r="O509" s="275">
        <v>1120</v>
      </c>
      <c r="P509" s="275">
        <v>6000</v>
      </c>
      <c r="Q509" s="274">
        <v>2</v>
      </c>
      <c r="R509" s="274">
        <v>4</v>
      </c>
      <c r="S509" s="274" t="s">
        <v>354</v>
      </c>
      <c r="T509" s="276">
        <v>45159</v>
      </c>
      <c r="U509" s="276">
        <v>45184</v>
      </c>
      <c r="V509" s="274" t="s">
        <v>355</v>
      </c>
      <c r="W509" s="274"/>
      <c r="X509" s="274"/>
      <c r="Y509" s="143"/>
      <c r="Z509" s="146" t="str">
        <f t="shared" ca="1" si="7"/>
        <v/>
      </c>
      <c r="AA509" s="146" t="str">
        <f ca="1">IFERROR(IF(OR(OFFSET('S4'!#REF!,MATCH($A509,'S4'!$D$5:$D$2535,0)-1,6)="巻返し",OFFSET('S4'!#REF!,MATCH($A509,'S4'!$D$5:$D$2535,0)-1,6)="スリット"),SUMIF('S4'!$D$5:$D$2535,$A509,'S4'!$U$5:$U$2535),""),"")</f>
        <v/>
      </c>
      <c r="AB509" s="146" t="str">
        <f ca="1">IFERROR(IF(OR(OFFSET('S5'!#REF!,MATCH($A509,'S5'!$D$5:$D$2103,0)-1,6)="巻返し",OFFSET('S5'!#REF!,MATCH($A509,'S5'!$D$5:$D$2103,0)-1,6)="スリット"),SUMIF('S5'!$D$5:$D$2103,$A509,'S5'!$T$5:$T$2103),""),"")</f>
        <v/>
      </c>
    </row>
    <row r="510" spans="1:28" s="141" customFormat="1" ht="13.5" x14ac:dyDescent="0.15">
      <c r="A510" s="274">
        <v>3723625</v>
      </c>
      <c r="B510" s="274" t="s">
        <v>351</v>
      </c>
      <c r="C510" s="274" t="s">
        <v>364</v>
      </c>
      <c r="D510" s="274" t="s">
        <v>353</v>
      </c>
      <c r="E510" s="274" t="s">
        <v>148</v>
      </c>
      <c r="F510" s="274">
        <v>3</v>
      </c>
      <c r="G510" s="274" t="s">
        <v>19</v>
      </c>
      <c r="H510" s="274" t="s">
        <v>20</v>
      </c>
      <c r="I510" s="274" t="s">
        <v>165</v>
      </c>
      <c r="J510" s="274"/>
      <c r="K510" s="274" t="s">
        <v>180</v>
      </c>
      <c r="L510" s="274">
        <v>50</v>
      </c>
      <c r="M510" s="274" t="s">
        <v>181</v>
      </c>
      <c r="N510" s="275">
        <v>1120</v>
      </c>
      <c r="O510" s="275">
        <v>1120</v>
      </c>
      <c r="P510" s="275">
        <v>4000</v>
      </c>
      <c r="Q510" s="274">
        <v>2</v>
      </c>
      <c r="R510" s="274">
        <v>4</v>
      </c>
      <c r="S510" s="274" t="s">
        <v>354</v>
      </c>
      <c r="T510" s="276">
        <v>45159</v>
      </c>
      <c r="U510" s="276">
        <v>45184</v>
      </c>
      <c r="V510" s="274" t="s">
        <v>355</v>
      </c>
      <c r="W510" s="274"/>
      <c r="X510" s="274"/>
      <c r="Y510" s="143"/>
      <c r="Z510" s="146" t="str">
        <f t="shared" ca="1" si="7"/>
        <v/>
      </c>
      <c r="AA510" s="146" t="str">
        <f ca="1">IFERROR(IF(OR(OFFSET('S4'!#REF!,MATCH($A510,'S4'!$D$5:$D$2535,0)-1,6)="巻返し",OFFSET('S4'!#REF!,MATCH($A510,'S4'!$D$5:$D$2535,0)-1,6)="スリット"),SUMIF('S4'!$D$5:$D$2535,$A510,'S4'!$U$5:$U$2535),""),"")</f>
        <v/>
      </c>
      <c r="AB510" s="146" t="str">
        <f ca="1">IFERROR(IF(OR(OFFSET('S5'!#REF!,MATCH($A510,'S5'!$D$5:$D$2103,0)-1,6)="巻返し",OFFSET('S5'!#REF!,MATCH($A510,'S5'!$D$5:$D$2103,0)-1,6)="スリット"),SUMIF('S5'!$D$5:$D$2103,$A510,'S5'!$T$5:$T$2103),""),"")</f>
        <v/>
      </c>
    </row>
    <row r="511" spans="1:28" s="141" customFormat="1" ht="13.5" x14ac:dyDescent="0.15">
      <c r="A511" s="274">
        <v>3723627</v>
      </c>
      <c r="B511" s="274" t="s">
        <v>351</v>
      </c>
      <c r="C511" s="274" t="s">
        <v>352</v>
      </c>
      <c r="D511" s="274" t="s">
        <v>353</v>
      </c>
      <c r="E511" s="274" t="s">
        <v>116</v>
      </c>
      <c r="F511" s="274">
        <v>3</v>
      </c>
      <c r="G511" s="274" t="s">
        <v>19</v>
      </c>
      <c r="H511" s="274" t="s">
        <v>20</v>
      </c>
      <c r="I511" s="274" t="s">
        <v>205</v>
      </c>
      <c r="J511" s="274"/>
      <c r="K511" s="274" t="s">
        <v>212</v>
      </c>
      <c r="L511" s="274">
        <v>25</v>
      </c>
      <c r="M511" s="274" t="s">
        <v>213</v>
      </c>
      <c r="N511" s="275">
        <v>1120</v>
      </c>
      <c r="O511" s="275">
        <v>1120</v>
      </c>
      <c r="P511" s="275">
        <v>4000</v>
      </c>
      <c r="Q511" s="274">
        <v>2</v>
      </c>
      <c r="R511" s="274">
        <v>4</v>
      </c>
      <c r="S511" s="274" t="s">
        <v>354</v>
      </c>
      <c r="T511" s="276">
        <v>45159</v>
      </c>
      <c r="U511" s="276">
        <v>45191</v>
      </c>
      <c r="V511" s="274" t="s">
        <v>355</v>
      </c>
      <c r="W511" s="274"/>
      <c r="X511" s="274"/>
      <c r="Y511" s="143"/>
      <c r="Z511" s="146" t="str">
        <f t="shared" ca="1" si="7"/>
        <v/>
      </c>
      <c r="AA511" s="146" t="str">
        <f ca="1">IFERROR(IF(OR(OFFSET('S4'!#REF!,MATCH($A511,'S4'!$D$5:$D$2535,0)-1,6)="巻返し",OFFSET('S4'!#REF!,MATCH($A511,'S4'!$D$5:$D$2535,0)-1,6)="スリット"),SUMIF('S4'!$D$5:$D$2535,$A511,'S4'!$U$5:$U$2535),""),"")</f>
        <v/>
      </c>
      <c r="AB511" s="146" t="str">
        <f ca="1">IFERROR(IF(OR(OFFSET('S5'!#REF!,MATCH($A511,'S5'!$D$5:$D$2103,0)-1,6)="巻返し",OFFSET('S5'!#REF!,MATCH($A511,'S5'!$D$5:$D$2103,0)-1,6)="スリット"),SUMIF('S5'!$D$5:$D$2103,$A511,'S5'!$T$5:$T$2103),""),"")</f>
        <v/>
      </c>
    </row>
    <row r="512" spans="1:28" s="141" customFormat="1" ht="13.5" x14ac:dyDescent="0.15">
      <c r="A512" s="274">
        <v>3723628</v>
      </c>
      <c r="B512" s="274" t="s">
        <v>351</v>
      </c>
      <c r="C512" s="274" t="s">
        <v>352</v>
      </c>
      <c r="D512" s="274" t="s">
        <v>353</v>
      </c>
      <c r="E512" s="274" t="s">
        <v>116</v>
      </c>
      <c r="F512" s="274">
        <v>3</v>
      </c>
      <c r="G512" s="274" t="s">
        <v>19</v>
      </c>
      <c r="H512" s="274" t="s">
        <v>20</v>
      </c>
      <c r="I512" s="274" t="s">
        <v>205</v>
      </c>
      <c r="J512" s="274"/>
      <c r="K512" s="274" t="s">
        <v>212</v>
      </c>
      <c r="L512" s="274">
        <v>50</v>
      </c>
      <c r="M512" s="274" t="s">
        <v>213</v>
      </c>
      <c r="N512" s="275">
        <v>1000</v>
      </c>
      <c r="O512" s="275">
        <v>1000</v>
      </c>
      <c r="P512" s="275">
        <v>4000</v>
      </c>
      <c r="Q512" s="274">
        <v>2</v>
      </c>
      <c r="R512" s="274">
        <v>2</v>
      </c>
      <c r="S512" s="274" t="s">
        <v>354</v>
      </c>
      <c r="T512" s="276">
        <v>45159</v>
      </c>
      <c r="U512" s="276">
        <v>45191</v>
      </c>
      <c r="V512" s="274" t="s">
        <v>355</v>
      </c>
      <c r="W512" s="274"/>
      <c r="X512" s="274"/>
      <c r="Y512" s="143"/>
      <c r="Z512" s="146" t="str">
        <f t="shared" ca="1" si="7"/>
        <v/>
      </c>
      <c r="AA512" s="146" t="str">
        <f ca="1">IFERROR(IF(OR(OFFSET('S4'!#REF!,MATCH($A512,'S4'!$D$5:$D$2535,0)-1,6)="巻返し",OFFSET('S4'!#REF!,MATCH($A512,'S4'!$D$5:$D$2535,0)-1,6)="スリット"),SUMIF('S4'!$D$5:$D$2535,$A512,'S4'!$U$5:$U$2535),""),"")</f>
        <v/>
      </c>
      <c r="AB512" s="146" t="str">
        <f ca="1">IFERROR(IF(OR(OFFSET('S5'!#REF!,MATCH($A512,'S5'!$D$5:$D$2103,0)-1,6)="巻返し",OFFSET('S5'!#REF!,MATCH($A512,'S5'!$D$5:$D$2103,0)-1,6)="スリット"),SUMIF('S5'!$D$5:$D$2103,$A512,'S5'!$T$5:$T$2103),""),"")</f>
        <v/>
      </c>
    </row>
    <row r="513" spans="1:28" s="141" customFormat="1" ht="13.5" x14ac:dyDescent="0.15">
      <c r="A513" s="274">
        <v>3723629</v>
      </c>
      <c r="B513" s="274" t="s">
        <v>351</v>
      </c>
      <c r="C513" s="274" t="s">
        <v>352</v>
      </c>
      <c r="D513" s="274" t="s">
        <v>353</v>
      </c>
      <c r="E513" s="274" t="s">
        <v>116</v>
      </c>
      <c r="F513" s="274">
        <v>3</v>
      </c>
      <c r="G513" s="274" t="s">
        <v>19</v>
      </c>
      <c r="H513" s="274" t="s">
        <v>20</v>
      </c>
      <c r="I513" s="274" t="s">
        <v>205</v>
      </c>
      <c r="J513" s="274"/>
      <c r="K513" s="274" t="s">
        <v>212</v>
      </c>
      <c r="L513" s="274">
        <v>50</v>
      </c>
      <c r="M513" s="274" t="s">
        <v>213</v>
      </c>
      <c r="N513" s="275">
        <v>1120</v>
      </c>
      <c r="O513" s="275">
        <v>1120</v>
      </c>
      <c r="P513" s="275">
        <v>4000</v>
      </c>
      <c r="Q513" s="274">
        <v>2</v>
      </c>
      <c r="R513" s="274">
        <v>18</v>
      </c>
      <c r="S513" s="274" t="s">
        <v>354</v>
      </c>
      <c r="T513" s="276">
        <v>45159</v>
      </c>
      <c r="U513" s="276">
        <v>45194</v>
      </c>
      <c r="V513" s="274" t="s">
        <v>355</v>
      </c>
      <c r="W513" s="274"/>
      <c r="X513" s="274"/>
      <c r="Y513" s="143"/>
      <c r="Z513" s="146" t="str">
        <f t="shared" ca="1" si="7"/>
        <v/>
      </c>
      <c r="AA513" s="146" t="str">
        <f ca="1">IFERROR(IF(OR(OFFSET('S4'!#REF!,MATCH($A513,'S4'!$D$5:$D$2535,0)-1,6)="巻返し",OFFSET('S4'!#REF!,MATCH($A513,'S4'!$D$5:$D$2535,0)-1,6)="スリット"),SUMIF('S4'!$D$5:$D$2535,$A513,'S4'!$U$5:$U$2535),""),"")</f>
        <v/>
      </c>
      <c r="AB513" s="146" t="str">
        <f ca="1">IFERROR(IF(OR(OFFSET('S5'!#REF!,MATCH($A513,'S5'!$D$5:$D$2103,0)-1,6)="巻返し",OFFSET('S5'!#REF!,MATCH($A513,'S5'!$D$5:$D$2103,0)-1,6)="スリット"),SUMIF('S5'!$D$5:$D$2103,$A513,'S5'!$T$5:$T$2103),""),"")</f>
        <v/>
      </c>
    </row>
    <row r="514" spans="1:28" s="141" customFormat="1" ht="13.5" x14ac:dyDescent="0.15">
      <c r="A514" s="274">
        <v>3723630</v>
      </c>
      <c r="B514" s="274" t="s">
        <v>351</v>
      </c>
      <c r="C514" s="274" t="s">
        <v>352</v>
      </c>
      <c r="D514" s="274" t="s">
        <v>353</v>
      </c>
      <c r="E514" s="274" t="s">
        <v>116</v>
      </c>
      <c r="F514" s="274">
        <v>3</v>
      </c>
      <c r="G514" s="274" t="s">
        <v>19</v>
      </c>
      <c r="H514" s="274" t="s">
        <v>20</v>
      </c>
      <c r="I514" s="274" t="s">
        <v>205</v>
      </c>
      <c r="J514" s="274"/>
      <c r="K514" s="274" t="s">
        <v>212</v>
      </c>
      <c r="L514" s="274">
        <v>50</v>
      </c>
      <c r="M514" s="274" t="s">
        <v>213</v>
      </c>
      <c r="N514" s="275">
        <v>1120</v>
      </c>
      <c r="O514" s="275">
        <v>1120</v>
      </c>
      <c r="P514" s="275">
        <v>4000</v>
      </c>
      <c r="Q514" s="274">
        <v>2</v>
      </c>
      <c r="R514" s="274">
        <v>9</v>
      </c>
      <c r="S514" s="274" t="s">
        <v>354</v>
      </c>
      <c r="T514" s="276">
        <v>45159</v>
      </c>
      <c r="U514" s="276">
        <v>45194</v>
      </c>
      <c r="V514" s="274" t="s">
        <v>355</v>
      </c>
      <c r="W514" s="274"/>
      <c r="X514" s="274"/>
      <c r="Y514" s="143"/>
      <c r="Z514" s="146" t="str">
        <f t="shared" ca="1" si="7"/>
        <v/>
      </c>
      <c r="AA514" s="146" t="str">
        <f ca="1">IFERROR(IF(OR(OFFSET('S4'!#REF!,MATCH($A514,'S4'!$D$5:$D$2535,0)-1,6)="巻返し",OFFSET('S4'!#REF!,MATCH($A514,'S4'!$D$5:$D$2535,0)-1,6)="スリット"),SUMIF('S4'!$D$5:$D$2535,$A514,'S4'!$U$5:$U$2535),""),"")</f>
        <v/>
      </c>
      <c r="AB514" s="146" t="str">
        <f ca="1">IFERROR(IF(OR(OFFSET('S5'!#REF!,MATCH($A514,'S5'!$D$5:$D$2103,0)-1,6)="巻返し",OFFSET('S5'!#REF!,MATCH($A514,'S5'!$D$5:$D$2103,0)-1,6)="スリット"),SUMIF('S5'!$D$5:$D$2103,$A514,'S5'!$T$5:$T$2103),""),"")</f>
        <v/>
      </c>
    </row>
    <row r="515" spans="1:28" s="141" customFormat="1" ht="13.5" x14ac:dyDescent="0.15">
      <c r="A515" s="274">
        <v>3723631</v>
      </c>
      <c r="B515" s="274" t="s">
        <v>351</v>
      </c>
      <c r="C515" s="274" t="s">
        <v>352</v>
      </c>
      <c r="D515" s="274" t="s">
        <v>353</v>
      </c>
      <c r="E515" s="274" t="s">
        <v>116</v>
      </c>
      <c r="F515" s="274">
        <v>3</v>
      </c>
      <c r="G515" s="274" t="s">
        <v>19</v>
      </c>
      <c r="H515" s="274" t="s">
        <v>20</v>
      </c>
      <c r="I515" s="274" t="s">
        <v>205</v>
      </c>
      <c r="J515" s="274"/>
      <c r="K515" s="274" t="s">
        <v>211</v>
      </c>
      <c r="L515" s="274">
        <v>38</v>
      </c>
      <c r="M515" s="274" t="s">
        <v>370</v>
      </c>
      <c r="N515" s="275">
        <v>1005</v>
      </c>
      <c r="O515" s="275">
        <v>1000</v>
      </c>
      <c r="P515" s="275">
        <v>4100</v>
      </c>
      <c r="Q515" s="274">
        <v>2</v>
      </c>
      <c r="R515" s="274">
        <v>2</v>
      </c>
      <c r="S515" s="274" t="s">
        <v>354</v>
      </c>
      <c r="T515" s="276">
        <v>45159</v>
      </c>
      <c r="U515" s="276">
        <v>45191</v>
      </c>
      <c r="V515" s="274" t="s">
        <v>355</v>
      </c>
      <c r="W515" s="274"/>
      <c r="X515" s="274"/>
      <c r="Y515" s="143"/>
      <c r="Z515" s="146" t="str">
        <f t="shared" ref="Z515:Z578" ca="1" si="8">IF(SUM(AA515:AB515)=0,"",SUM(AA515:AB515))</f>
        <v/>
      </c>
      <c r="AA515" s="146" t="str">
        <f ca="1">IFERROR(IF(OR(OFFSET('S4'!#REF!,MATCH($A515,'S4'!$D$5:$D$2535,0)-1,6)="巻返し",OFFSET('S4'!#REF!,MATCH($A515,'S4'!$D$5:$D$2535,0)-1,6)="スリット"),SUMIF('S4'!$D$5:$D$2535,$A515,'S4'!$U$5:$U$2535),""),"")</f>
        <v/>
      </c>
      <c r="AB515" s="146" t="str">
        <f ca="1">IFERROR(IF(OR(OFFSET('S5'!#REF!,MATCH($A515,'S5'!$D$5:$D$2103,0)-1,6)="巻返し",OFFSET('S5'!#REF!,MATCH($A515,'S5'!$D$5:$D$2103,0)-1,6)="スリット"),SUMIF('S5'!$D$5:$D$2103,$A515,'S5'!$T$5:$T$2103),""),"")</f>
        <v/>
      </c>
    </row>
    <row r="516" spans="1:28" s="141" customFormat="1" ht="13.5" x14ac:dyDescent="0.15">
      <c r="A516" s="274">
        <v>3723632</v>
      </c>
      <c r="B516" s="274" t="s">
        <v>351</v>
      </c>
      <c r="C516" s="274" t="s">
        <v>352</v>
      </c>
      <c r="D516" s="274" t="s">
        <v>353</v>
      </c>
      <c r="E516" s="274" t="s">
        <v>116</v>
      </c>
      <c r="F516" s="274">
        <v>3</v>
      </c>
      <c r="G516" s="274" t="s">
        <v>19</v>
      </c>
      <c r="H516" s="274" t="s">
        <v>20</v>
      </c>
      <c r="I516" s="274" t="s">
        <v>205</v>
      </c>
      <c r="J516" s="274"/>
      <c r="K516" s="274" t="s">
        <v>211</v>
      </c>
      <c r="L516" s="274">
        <v>50</v>
      </c>
      <c r="M516" s="274" t="s">
        <v>370</v>
      </c>
      <c r="N516" s="275">
        <v>1050</v>
      </c>
      <c r="O516" s="275">
        <v>1050</v>
      </c>
      <c r="P516" s="275">
        <v>4100</v>
      </c>
      <c r="Q516" s="274">
        <v>2</v>
      </c>
      <c r="R516" s="274">
        <v>3</v>
      </c>
      <c r="S516" s="274" t="s">
        <v>354</v>
      </c>
      <c r="T516" s="276">
        <v>45159</v>
      </c>
      <c r="U516" s="276">
        <v>45191</v>
      </c>
      <c r="V516" s="274" t="s">
        <v>355</v>
      </c>
      <c r="W516" s="274"/>
      <c r="X516" s="274"/>
      <c r="Y516" s="143"/>
      <c r="Z516" s="146" t="str">
        <f t="shared" ca="1" si="8"/>
        <v/>
      </c>
      <c r="AA516" s="146" t="str">
        <f ca="1">IFERROR(IF(OR(OFFSET('S4'!#REF!,MATCH($A516,'S4'!$D$5:$D$2535,0)-1,6)="巻返し",OFFSET('S4'!#REF!,MATCH($A516,'S4'!$D$5:$D$2535,0)-1,6)="スリット"),SUMIF('S4'!$D$5:$D$2535,$A516,'S4'!$U$5:$U$2535),""),"")</f>
        <v/>
      </c>
      <c r="AB516" s="146" t="str">
        <f ca="1">IFERROR(IF(OR(OFFSET('S5'!#REF!,MATCH($A516,'S5'!$D$5:$D$2103,0)-1,6)="巻返し",OFFSET('S5'!#REF!,MATCH($A516,'S5'!$D$5:$D$2103,0)-1,6)="スリット"),SUMIF('S5'!$D$5:$D$2103,$A516,'S5'!$T$5:$T$2103),""),"")</f>
        <v/>
      </c>
    </row>
    <row r="517" spans="1:28" s="141" customFormat="1" ht="13.5" x14ac:dyDescent="0.15">
      <c r="A517" s="274">
        <v>3723633</v>
      </c>
      <c r="B517" s="274" t="s">
        <v>351</v>
      </c>
      <c r="C517" s="274" t="s">
        <v>352</v>
      </c>
      <c r="D517" s="274" t="s">
        <v>353</v>
      </c>
      <c r="E517" s="274" t="s">
        <v>116</v>
      </c>
      <c r="F517" s="274">
        <v>3</v>
      </c>
      <c r="G517" s="274" t="s">
        <v>19</v>
      </c>
      <c r="H517" s="274" t="s">
        <v>20</v>
      </c>
      <c r="I517" s="274" t="s">
        <v>165</v>
      </c>
      <c r="J517" s="274"/>
      <c r="K517" s="274" t="s">
        <v>245</v>
      </c>
      <c r="L517" s="274">
        <v>16</v>
      </c>
      <c r="M517" s="274" t="s">
        <v>366</v>
      </c>
      <c r="N517" s="275">
        <v>1000</v>
      </c>
      <c r="O517" s="275">
        <v>1000</v>
      </c>
      <c r="P517" s="275">
        <v>3200</v>
      </c>
      <c r="Q517" s="274">
        <v>2</v>
      </c>
      <c r="R517" s="274">
        <v>1</v>
      </c>
      <c r="S517" s="274" t="s">
        <v>354</v>
      </c>
      <c r="T517" s="276">
        <v>45159</v>
      </c>
      <c r="U517" s="276">
        <v>45191</v>
      </c>
      <c r="V517" s="274" t="s">
        <v>355</v>
      </c>
      <c r="W517" s="274"/>
      <c r="X517" s="274"/>
      <c r="Y517" s="143"/>
      <c r="Z517" s="146" t="str">
        <f t="shared" ca="1" si="8"/>
        <v/>
      </c>
      <c r="AA517" s="146" t="str">
        <f ca="1">IFERROR(IF(OR(OFFSET('S4'!#REF!,MATCH($A517,'S4'!$D$5:$D$2535,0)-1,6)="巻返し",OFFSET('S4'!#REF!,MATCH($A517,'S4'!$D$5:$D$2535,0)-1,6)="スリット"),SUMIF('S4'!$D$5:$D$2535,$A517,'S4'!$U$5:$U$2535),""),"")</f>
        <v/>
      </c>
      <c r="AB517" s="146" t="str">
        <f ca="1">IFERROR(IF(OR(OFFSET('S5'!#REF!,MATCH($A517,'S5'!$D$5:$D$2103,0)-1,6)="巻返し",OFFSET('S5'!#REF!,MATCH($A517,'S5'!$D$5:$D$2103,0)-1,6)="スリット"),SUMIF('S5'!$D$5:$D$2103,$A517,'S5'!$T$5:$T$2103),""),"")</f>
        <v/>
      </c>
    </row>
    <row r="518" spans="1:28" s="141" customFormat="1" ht="13.5" x14ac:dyDescent="0.15">
      <c r="A518" s="274">
        <v>3723634</v>
      </c>
      <c r="B518" s="274" t="s">
        <v>351</v>
      </c>
      <c r="C518" s="274" t="s">
        <v>352</v>
      </c>
      <c r="D518" s="274" t="s">
        <v>353</v>
      </c>
      <c r="E518" s="274" t="s">
        <v>116</v>
      </c>
      <c r="F518" s="274">
        <v>3</v>
      </c>
      <c r="G518" s="274" t="s">
        <v>19</v>
      </c>
      <c r="H518" s="274" t="s">
        <v>20</v>
      </c>
      <c r="I518" s="274" t="s">
        <v>165</v>
      </c>
      <c r="J518" s="274"/>
      <c r="K518" s="274" t="s">
        <v>185</v>
      </c>
      <c r="L518" s="274">
        <v>50</v>
      </c>
      <c r="M518" s="274" t="s">
        <v>186</v>
      </c>
      <c r="N518" s="275">
        <v>1005</v>
      </c>
      <c r="O518" s="275">
        <v>1000</v>
      </c>
      <c r="P518" s="275">
        <v>4100</v>
      </c>
      <c r="Q518" s="274">
        <v>2</v>
      </c>
      <c r="R518" s="274">
        <v>3</v>
      </c>
      <c r="S518" s="274" t="s">
        <v>354</v>
      </c>
      <c r="T518" s="276">
        <v>45159</v>
      </c>
      <c r="U518" s="276">
        <v>45191</v>
      </c>
      <c r="V518" s="274" t="s">
        <v>355</v>
      </c>
      <c r="W518" s="274"/>
      <c r="X518" s="274"/>
      <c r="Y518" s="143"/>
      <c r="Z518" s="146" t="str">
        <f t="shared" ca="1" si="8"/>
        <v/>
      </c>
      <c r="AA518" s="146" t="str">
        <f ca="1">IFERROR(IF(OR(OFFSET('S4'!#REF!,MATCH($A518,'S4'!$D$5:$D$2535,0)-1,6)="巻返し",OFFSET('S4'!#REF!,MATCH($A518,'S4'!$D$5:$D$2535,0)-1,6)="スリット"),SUMIF('S4'!$D$5:$D$2535,$A518,'S4'!$U$5:$U$2535),""),"")</f>
        <v/>
      </c>
      <c r="AB518" s="146" t="str">
        <f ca="1">IFERROR(IF(OR(OFFSET('S5'!#REF!,MATCH($A518,'S5'!$D$5:$D$2103,0)-1,6)="巻返し",OFFSET('S5'!#REF!,MATCH($A518,'S5'!$D$5:$D$2103,0)-1,6)="スリット"),SUMIF('S5'!$D$5:$D$2103,$A518,'S5'!$T$5:$T$2103),""),"")</f>
        <v/>
      </c>
    </row>
    <row r="519" spans="1:28" s="141" customFormat="1" ht="13.5" x14ac:dyDescent="0.15">
      <c r="A519" s="274">
        <v>3723635</v>
      </c>
      <c r="B519" s="274" t="s">
        <v>351</v>
      </c>
      <c r="C519" s="274" t="s">
        <v>352</v>
      </c>
      <c r="D519" s="274" t="s">
        <v>353</v>
      </c>
      <c r="E519" s="274" t="s">
        <v>116</v>
      </c>
      <c r="F519" s="274">
        <v>3</v>
      </c>
      <c r="G519" s="274" t="s">
        <v>19</v>
      </c>
      <c r="H519" s="274" t="s">
        <v>20</v>
      </c>
      <c r="I519" s="274" t="s">
        <v>205</v>
      </c>
      <c r="J519" s="274"/>
      <c r="K519" s="274" t="s">
        <v>216</v>
      </c>
      <c r="L519" s="274">
        <v>25</v>
      </c>
      <c r="M519" s="274" t="s">
        <v>217</v>
      </c>
      <c r="N519" s="275">
        <v>1005</v>
      </c>
      <c r="O519" s="275">
        <v>1000</v>
      </c>
      <c r="P519" s="275">
        <v>4000</v>
      </c>
      <c r="Q519" s="274">
        <v>2</v>
      </c>
      <c r="R519" s="274">
        <v>15</v>
      </c>
      <c r="S519" s="274" t="s">
        <v>354</v>
      </c>
      <c r="T519" s="276">
        <v>45159</v>
      </c>
      <c r="U519" s="276">
        <v>45191</v>
      </c>
      <c r="V519" s="274" t="s">
        <v>355</v>
      </c>
      <c r="W519" s="274"/>
      <c r="X519" s="274"/>
      <c r="Y519" s="143"/>
      <c r="Z519" s="146" t="str">
        <f t="shared" ca="1" si="8"/>
        <v/>
      </c>
      <c r="AA519" s="146" t="str">
        <f ca="1">IFERROR(IF(OR(OFFSET('S4'!#REF!,MATCH($A519,'S4'!$D$5:$D$2535,0)-1,6)="巻返し",OFFSET('S4'!#REF!,MATCH($A519,'S4'!$D$5:$D$2535,0)-1,6)="スリット"),SUMIF('S4'!$D$5:$D$2535,$A519,'S4'!$U$5:$U$2535),""),"")</f>
        <v/>
      </c>
      <c r="AB519" s="146" t="str">
        <f ca="1">IFERROR(IF(OR(OFFSET('S5'!#REF!,MATCH($A519,'S5'!$D$5:$D$2103,0)-1,6)="巻返し",OFFSET('S5'!#REF!,MATCH($A519,'S5'!$D$5:$D$2103,0)-1,6)="スリット"),SUMIF('S5'!$D$5:$D$2103,$A519,'S5'!$T$5:$T$2103),""),"")</f>
        <v/>
      </c>
    </row>
    <row r="520" spans="1:28" s="141" customFormat="1" ht="13.5" x14ac:dyDescent="0.15">
      <c r="A520" s="274">
        <v>3723636</v>
      </c>
      <c r="B520" s="274" t="s">
        <v>351</v>
      </c>
      <c r="C520" s="274" t="s">
        <v>352</v>
      </c>
      <c r="D520" s="274" t="s">
        <v>353</v>
      </c>
      <c r="E520" s="274" t="s">
        <v>116</v>
      </c>
      <c r="F520" s="274">
        <v>3</v>
      </c>
      <c r="G520" s="274" t="s">
        <v>19</v>
      </c>
      <c r="H520" s="274" t="s">
        <v>20</v>
      </c>
      <c r="I520" s="274" t="s">
        <v>205</v>
      </c>
      <c r="J520" s="274"/>
      <c r="K520" s="274" t="s">
        <v>216</v>
      </c>
      <c r="L520" s="274">
        <v>25</v>
      </c>
      <c r="M520" s="274" t="s">
        <v>217</v>
      </c>
      <c r="N520" s="275">
        <v>1125</v>
      </c>
      <c r="O520" s="275">
        <v>1120</v>
      </c>
      <c r="P520" s="275">
        <v>4000</v>
      </c>
      <c r="Q520" s="274">
        <v>2</v>
      </c>
      <c r="R520" s="274">
        <v>3</v>
      </c>
      <c r="S520" s="274" t="s">
        <v>354</v>
      </c>
      <c r="T520" s="276">
        <v>45159</v>
      </c>
      <c r="U520" s="276">
        <v>45191</v>
      </c>
      <c r="V520" s="274" t="s">
        <v>355</v>
      </c>
      <c r="W520" s="274"/>
      <c r="X520" s="274"/>
      <c r="Y520" s="143"/>
      <c r="Z520" s="146" t="str">
        <f t="shared" ca="1" si="8"/>
        <v/>
      </c>
      <c r="AA520" s="146" t="str">
        <f ca="1">IFERROR(IF(OR(OFFSET('S4'!#REF!,MATCH($A520,'S4'!$D$5:$D$2535,0)-1,6)="巻返し",OFFSET('S4'!#REF!,MATCH($A520,'S4'!$D$5:$D$2535,0)-1,6)="スリット"),SUMIF('S4'!$D$5:$D$2535,$A520,'S4'!$U$5:$U$2535),""),"")</f>
        <v/>
      </c>
      <c r="AB520" s="146" t="str">
        <f ca="1">IFERROR(IF(OR(OFFSET('S5'!#REF!,MATCH($A520,'S5'!$D$5:$D$2103,0)-1,6)="巻返し",OFFSET('S5'!#REF!,MATCH($A520,'S5'!$D$5:$D$2103,0)-1,6)="スリット"),SUMIF('S5'!$D$5:$D$2103,$A520,'S5'!$T$5:$T$2103),""),"")</f>
        <v/>
      </c>
    </row>
    <row r="521" spans="1:28" s="141" customFormat="1" ht="13.5" x14ac:dyDescent="0.15">
      <c r="A521" s="274">
        <v>3723637</v>
      </c>
      <c r="B521" s="274" t="s">
        <v>351</v>
      </c>
      <c r="C521" s="274" t="s">
        <v>352</v>
      </c>
      <c r="D521" s="274" t="s">
        <v>353</v>
      </c>
      <c r="E521" s="274" t="s">
        <v>116</v>
      </c>
      <c r="F521" s="274">
        <v>3</v>
      </c>
      <c r="G521" s="274" t="s">
        <v>19</v>
      </c>
      <c r="H521" s="274" t="s">
        <v>20</v>
      </c>
      <c r="I521" s="274" t="s">
        <v>205</v>
      </c>
      <c r="J521" s="274"/>
      <c r="K521" s="274" t="s">
        <v>216</v>
      </c>
      <c r="L521" s="274">
        <v>50</v>
      </c>
      <c r="M521" s="274" t="s">
        <v>217</v>
      </c>
      <c r="N521" s="275">
        <v>1120</v>
      </c>
      <c r="O521" s="275">
        <v>1120</v>
      </c>
      <c r="P521" s="275">
        <v>5000</v>
      </c>
      <c r="Q521" s="274">
        <v>2</v>
      </c>
      <c r="R521" s="274">
        <v>34</v>
      </c>
      <c r="S521" s="274" t="s">
        <v>354</v>
      </c>
      <c r="T521" s="276">
        <v>45159</v>
      </c>
      <c r="U521" s="276">
        <v>45194</v>
      </c>
      <c r="V521" s="274" t="s">
        <v>355</v>
      </c>
      <c r="W521" s="274"/>
      <c r="X521" s="274"/>
      <c r="Y521" s="143"/>
      <c r="Z521" s="146" t="str">
        <f t="shared" ca="1" si="8"/>
        <v/>
      </c>
      <c r="AA521" s="146" t="str">
        <f ca="1">IFERROR(IF(OR(OFFSET('S4'!#REF!,MATCH($A521,'S4'!$D$5:$D$2535,0)-1,6)="巻返し",OFFSET('S4'!#REF!,MATCH($A521,'S4'!$D$5:$D$2535,0)-1,6)="スリット"),SUMIF('S4'!$D$5:$D$2535,$A521,'S4'!$U$5:$U$2535),""),"")</f>
        <v/>
      </c>
      <c r="AB521" s="146" t="str">
        <f ca="1">IFERROR(IF(OR(OFFSET('S5'!#REF!,MATCH($A521,'S5'!$D$5:$D$2103,0)-1,6)="巻返し",OFFSET('S5'!#REF!,MATCH($A521,'S5'!$D$5:$D$2103,0)-1,6)="スリット"),SUMIF('S5'!$D$5:$D$2103,$A521,'S5'!$T$5:$T$2103),""),"")</f>
        <v/>
      </c>
    </row>
    <row r="522" spans="1:28" s="141" customFormat="1" ht="13.5" x14ac:dyDescent="0.15">
      <c r="A522" s="274">
        <v>3723638</v>
      </c>
      <c r="B522" s="274" t="s">
        <v>351</v>
      </c>
      <c r="C522" s="274" t="s">
        <v>352</v>
      </c>
      <c r="D522" s="274" t="s">
        <v>353</v>
      </c>
      <c r="E522" s="274" t="s">
        <v>116</v>
      </c>
      <c r="F522" s="274">
        <v>3</v>
      </c>
      <c r="G522" s="274" t="s">
        <v>19</v>
      </c>
      <c r="H522" s="274" t="s">
        <v>20</v>
      </c>
      <c r="I522" s="274" t="s">
        <v>205</v>
      </c>
      <c r="J522" s="274"/>
      <c r="K522" s="274" t="s">
        <v>218</v>
      </c>
      <c r="L522" s="274">
        <v>25</v>
      </c>
      <c r="M522" s="274" t="s">
        <v>219</v>
      </c>
      <c r="N522" s="275">
        <v>1005</v>
      </c>
      <c r="O522" s="275">
        <v>1000</v>
      </c>
      <c r="P522" s="275">
        <v>4000</v>
      </c>
      <c r="Q522" s="274">
        <v>2</v>
      </c>
      <c r="R522" s="274">
        <v>8</v>
      </c>
      <c r="S522" s="274" t="s">
        <v>354</v>
      </c>
      <c r="T522" s="276">
        <v>45159</v>
      </c>
      <c r="U522" s="276">
        <v>45191</v>
      </c>
      <c r="V522" s="274" t="s">
        <v>355</v>
      </c>
      <c r="W522" s="274"/>
      <c r="X522" s="274"/>
      <c r="Y522" s="143"/>
      <c r="Z522" s="146" t="str">
        <f t="shared" ca="1" si="8"/>
        <v/>
      </c>
      <c r="AA522" s="146" t="str">
        <f ca="1">IFERROR(IF(OR(OFFSET('S4'!#REF!,MATCH($A522,'S4'!$D$5:$D$2535,0)-1,6)="巻返し",OFFSET('S4'!#REF!,MATCH($A522,'S4'!$D$5:$D$2535,0)-1,6)="スリット"),SUMIF('S4'!$D$5:$D$2535,$A522,'S4'!$U$5:$U$2535),""),"")</f>
        <v/>
      </c>
      <c r="AB522" s="146" t="str">
        <f ca="1">IFERROR(IF(OR(OFFSET('S5'!#REF!,MATCH($A522,'S5'!$D$5:$D$2103,0)-1,6)="巻返し",OFFSET('S5'!#REF!,MATCH($A522,'S5'!$D$5:$D$2103,0)-1,6)="スリット"),SUMIF('S5'!$D$5:$D$2103,$A522,'S5'!$T$5:$T$2103),""),"")</f>
        <v/>
      </c>
    </row>
    <row r="523" spans="1:28" s="141" customFormat="1" ht="13.5" x14ac:dyDescent="0.15">
      <c r="A523" s="274">
        <v>3723639</v>
      </c>
      <c r="B523" s="274" t="s">
        <v>351</v>
      </c>
      <c r="C523" s="274" t="s">
        <v>352</v>
      </c>
      <c r="D523" s="274" t="s">
        <v>353</v>
      </c>
      <c r="E523" s="274" t="s">
        <v>116</v>
      </c>
      <c r="F523" s="274">
        <v>3</v>
      </c>
      <c r="G523" s="274" t="s">
        <v>19</v>
      </c>
      <c r="H523" s="274" t="s">
        <v>20</v>
      </c>
      <c r="I523" s="274" t="s">
        <v>205</v>
      </c>
      <c r="J523" s="274"/>
      <c r="K523" s="274" t="s">
        <v>218</v>
      </c>
      <c r="L523" s="274">
        <v>50</v>
      </c>
      <c r="M523" s="274" t="s">
        <v>219</v>
      </c>
      <c r="N523" s="275">
        <v>1000</v>
      </c>
      <c r="O523" s="275">
        <v>1000</v>
      </c>
      <c r="P523" s="275">
        <v>4000</v>
      </c>
      <c r="Q523" s="274">
        <v>2</v>
      </c>
      <c r="R523" s="274">
        <v>12</v>
      </c>
      <c r="S523" s="274" t="s">
        <v>354</v>
      </c>
      <c r="T523" s="276">
        <v>45159</v>
      </c>
      <c r="U523" s="276">
        <v>45191</v>
      </c>
      <c r="V523" s="274" t="s">
        <v>355</v>
      </c>
      <c r="W523" s="274"/>
      <c r="X523" s="274"/>
      <c r="Y523" s="143"/>
      <c r="Z523" s="146" t="str">
        <f t="shared" ca="1" si="8"/>
        <v/>
      </c>
      <c r="AA523" s="146" t="str">
        <f ca="1">IFERROR(IF(OR(OFFSET('S4'!#REF!,MATCH($A523,'S4'!$D$5:$D$2535,0)-1,6)="巻返し",OFFSET('S4'!#REF!,MATCH($A523,'S4'!$D$5:$D$2535,0)-1,6)="スリット"),SUMIF('S4'!$D$5:$D$2535,$A523,'S4'!$U$5:$U$2535),""),"")</f>
        <v/>
      </c>
      <c r="AB523" s="146" t="str">
        <f ca="1">IFERROR(IF(OR(OFFSET('S5'!#REF!,MATCH($A523,'S5'!$D$5:$D$2103,0)-1,6)="巻返し",OFFSET('S5'!#REF!,MATCH($A523,'S5'!$D$5:$D$2103,0)-1,6)="スリット"),SUMIF('S5'!$D$5:$D$2103,$A523,'S5'!$T$5:$T$2103),""),"")</f>
        <v/>
      </c>
    </row>
    <row r="524" spans="1:28" s="141" customFormat="1" ht="13.5" x14ac:dyDescent="0.15">
      <c r="A524" s="274">
        <v>3723640</v>
      </c>
      <c r="B524" s="274" t="s">
        <v>351</v>
      </c>
      <c r="C524" s="274" t="s">
        <v>352</v>
      </c>
      <c r="D524" s="274" t="s">
        <v>353</v>
      </c>
      <c r="E524" s="274" t="s">
        <v>116</v>
      </c>
      <c r="F524" s="274" t="s">
        <v>158</v>
      </c>
      <c r="G524" s="274" t="s">
        <v>19</v>
      </c>
      <c r="H524" s="274" t="s">
        <v>20</v>
      </c>
      <c r="I524" s="274" t="s">
        <v>165</v>
      </c>
      <c r="J524" s="274"/>
      <c r="K524" s="274" t="s">
        <v>192</v>
      </c>
      <c r="L524" s="274">
        <v>50</v>
      </c>
      <c r="M524" s="274" t="s">
        <v>193</v>
      </c>
      <c r="N524" s="275">
        <v>1005</v>
      </c>
      <c r="O524" s="275">
        <v>1000</v>
      </c>
      <c r="P524" s="275">
        <v>4000</v>
      </c>
      <c r="Q524" s="274">
        <v>2</v>
      </c>
      <c r="R524" s="274">
        <v>3</v>
      </c>
      <c r="S524" s="274" t="s">
        <v>354</v>
      </c>
      <c r="T524" s="276">
        <v>45159</v>
      </c>
      <c r="U524" s="276">
        <v>45191</v>
      </c>
      <c r="V524" s="274" t="s">
        <v>355</v>
      </c>
      <c r="W524" s="274"/>
      <c r="X524" s="274"/>
      <c r="Y524" s="143"/>
      <c r="Z524" s="146" t="str">
        <f t="shared" ca="1" si="8"/>
        <v/>
      </c>
      <c r="AA524" s="146" t="str">
        <f ca="1">IFERROR(IF(OR(OFFSET('S4'!#REF!,MATCH($A524,'S4'!$D$5:$D$2535,0)-1,6)="巻返し",OFFSET('S4'!#REF!,MATCH($A524,'S4'!$D$5:$D$2535,0)-1,6)="スリット"),SUMIF('S4'!$D$5:$D$2535,$A524,'S4'!$U$5:$U$2535),""),"")</f>
        <v/>
      </c>
      <c r="AB524" s="146" t="str">
        <f ca="1">IFERROR(IF(OR(OFFSET('S5'!#REF!,MATCH($A524,'S5'!$D$5:$D$2103,0)-1,6)="巻返し",OFFSET('S5'!#REF!,MATCH($A524,'S5'!$D$5:$D$2103,0)-1,6)="スリット"),SUMIF('S5'!$D$5:$D$2103,$A524,'S5'!$T$5:$T$2103),""),"")</f>
        <v/>
      </c>
    </row>
    <row r="525" spans="1:28" s="141" customFormat="1" ht="13.5" x14ac:dyDescent="0.15">
      <c r="A525" s="274">
        <v>3723641</v>
      </c>
      <c r="B525" s="274" t="s">
        <v>351</v>
      </c>
      <c r="C525" s="274" t="s">
        <v>352</v>
      </c>
      <c r="D525" s="274" t="s">
        <v>353</v>
      </c>
      <c r="E525" s="274" t="s">
        <v>116</v>
      </c>
      <c r="F525" s="274" t="s">
        <v>158</v>
      </c>
      <c r="G525" s="274" t="s">
        <v>19</v>
      </c>
      <c r="H525" s="274" t="s">
        <v>20</v>
      </c>
      <c r="I525" s="274" t="s">
        <v>165</v>
      </c>
      <c r="J525" s="274"/>
      <c r="K525" s="274" t="s">
        <v>195</v>
      </c>
      <c r="L525" s="274">
        <v>50</v>
      </c>
      <c r="M525" s="274" t="s">
        <v>196</v>
      </c>
      <c r="N525" s="275">
        <v>1005</v>
      </c>
      <c r="O525" s="275">
        <v>1000</v>
      </c>
      <c r="P525" s="275">
        <v>4000</v>
      </c>
      <c r="Q525" s="274">
        <v>2</v>
      </c>
      <c r="R525" s="274">
        <v>3</v>
      </c>
      <c r="S525" s="274" t="s">
        <v>354</v>
      </c>
      <c r="T525" s="276">
        <v>45159</v>
      </c>
      <c r="U525" s="276">
        <v>45191</v>
      </c>
      <c r="V525" s="274" t="s">
        <v>355</v>
      </c>
      <c r="W525" s="274"/>
      <c r="X525" s="274"/>
      <c r="Y525" s="143"/>
      <c r="Z525" s="146" t="str">
        <f t="shared" ca="1" si="8"/>
        <v/>
      </c>
      <c r="AA525" s="146" t="str">
        <f ca="1">IFERROR(IF(OR(OFFSET('S4'!#REF!,MATCH($A525,'S4'!$D$5:$D$2535,0)-1,6)="巻返し",OFFSET('S4'!#REF!,MATCH($A525,'S4'!$D$5:$D$2535,0)-1,6)="スリット"),SUMIF('S4'!$D$5:$D$2535,$A525,'S4'!$U$5:$U$2535),""),"")</f>
        <v/>
      </c>
      <c r="AB525" s="146" t="str">
        <f ca="1">IFERROR(IF(OR(OFFSET('S5'!#REF!,MATCH($A525,'S5'!$D$5:$D$2103,0)-1,6)="巻返し",OFFSET('S5'!#REF!,MATCH($A525,'S5'!$D$5:$D$2103,0)-1,6)="スリット"),SUMIF('S5'!$D$5:$D$2103,$A525,'S5'!$T$5:$T$2103),""),"")</f>
        <v/>
      </c>
    </row>
    <row r="526" spans="1:28" s="141" customFormat="1" ht="13.5" x14ac:dyDescent="0.15">
      <c r="A526" s="274">
        <v>3723642</v>
      </c>
      <c r="B526" s="274" t="s">
        <v>351</v>
      </c>
      <c r="C526" s="274" t="s">
        <v>352</v>
      </c>
      <c r="D526" s="274" t="s">
        <v>353</v>
      </c>
      <c r="E526" s="274" t="s">
        <v>116</v>
      </c>
      <c r="F526" s="274" t="s">
        <v>158</v>
      </c>
      <c r="G526" s="274" t="s">
        <v>19</v>
      </c>
      <c r="H526" s="274" t="s">
        <v>20</v>
      </c>
      <c r="I526" s="274" t="s">
        <v>165</v>
      </c>
      <c r="J526" s="274"/>
      <c r="K526" s="274" t="s">
        <v>195</v>
      </c>
      <c r="L526" s="274">
        <v>50</v>
      </c>
      <c r="M526" s="274" t="s">
        <v>196</v>
      </c>
      <c r="N526" s="275">
        <v>1005</v>
      </c>
      <c r="O526" s="275">
        <v>1000</v>
      </c>
      <c r="P526" s="275">
        <v>4100</v>
      </c>
      <c r="Q526" s="274">
        <v>2</v>
      </c>
      <c r="R526" s="274">
        <v>3</v>
      </c>
      <c r="S526" s="274" t="s">
        <v>354</v>
      </c>
      <c r="T526" s="276">
        <v>45159</v>
      </c>
      <c r="U526" s="276">
        <v>45191</v>
      </c>
      <c r="V526" s="274" t="s">
        <v>355</v>
      </c>
      <c r="W526" s="274"/>
      <c r="X526" s="274"/>
      <c r="Y526" s="143"/>
      <c r="Z526" s="146" t="str">
        <f t="shared" ca="1" si="8"/>
        <v/>
      </c>
      <c r="AA526" s="146" t="str">
        <f ca="1">IFERROR(IF(OR(OFFSET('S4'!#REF!,MATCH($A526,'S4'!$D$5:$D$2535,0)-1,6)="巻返し",OFFSET('S4'!#REF!,MATCH($A526,'S4'!$D$5:$D$2535,0)-1,6)="スリット"),SUMIF('S4'!$D$5:$D$2535,$A526,'S4'!$U$5:$U$2535),""),"")</f>
        <v/>
      </c>
      <c r="AB526" s="146" t="str">
        <f ca="1">IFERROR(IF(OR(OFFSET('S5'!#REF!,MATCH($A526,'S5'!$D$5:$D$2103,0)-1,6)="巻返し",OFFSET('S5'!#REF!,MATCH($A526,'S5'!$D$5:$D$2103,0)-1,6)="スリット"),SUMIF('S5'!$D$5:$D$2103,$A526,'S5'!$T$5:$T$2103),""),"")</f>
        <v/>
      </c>
    </row>
    <row r="527" spans="1:28" s="141" customFormat="1" ht="13.5" x14ac:dyDescent="0.15">
      <c r="A527" s="274">
        <v>3723643</v>
      </c>
      <c r="B527" s="274" t="s">
        <v>351</v>
      </c>
      <c r="C527" s="274" t="s">
        <v>352</v>
      </c>
      <c r="D527" s="274" t="s">
        <v>353</v>
      </c>
      <c r="E527" s="274" t="s">
        <v>116</v>
      </c>
      <c r="F527" s="274">
        <v>3</v>
      </c>
      <c r="G527" s="274" t="s">
        <v>19</v>
      </c>
      <c r="H527" s="274" t="s">
        <v>20</v>
      </c>
      <c r="I527" s="274" t="s">
        <v>205</v>
      </c>
      <c r="J527" s="274"/>
      <c r="K527" s="274" t="s">
        <v>221</v>
      </c>
      <c r="L527" s="274">
        <v>25</v>
      </c>
      <c r="M527" s="274" t="s">
        <v>222</v>
      </c>
      <c r="N527" s="275">
        <v>1000</v>
      </c>
      <c r="O527" s="275">
        <v>1000</v>
      </c>
      <c r="P527" s="275">
        <v>6000</v>
      </c>
      <c r="Q527" s="274">
        <v>2</v>
      </c>
      <c r="R527" s="274">
        <v>6</v>
      </c>
      <c r="S527" s="274" t="s">
        <v>354</v>
      </c>
      <c r="T527" s="276">
        <v>45159</v>
      </c>
      <c r="U527" s="276">
        <v>45191</v>
      </c>
      <c r="V527" s="274" t="s">
        <v>355</v>
      </c>
      <c r="W527" s="274"/>
      <c r="X527" s="274"/>
      <c r="Y527" s="143"/>
      <c r="Z527" s="146" t="str">
        <f t="shared" ca="1" si="8"/>
        <v/>
      </c>
      <c r="AA527" s="146" t="str">
        <f ca="1">IFERROR(IF(OR(OFFSET('S4'!#REF!,MATCH($A527,'S4'!$D$5:$D$2535,0)-1,6)="巻返し",OFFSET('S4'!#REF!,MATCH($A527,'S4'!$D$5:$D$2535,0)-1,6)="スリット"),SUMIF('S4'!$D$5:$D$2535,$A527,'S4'!$U$5:$U$2535),""),"")</f>
        <v/>
      </c>
      <c r="AB527" s="146" t="str">
        <f ca="1">IFERROR(IF(OR(OFFSET('S5'!#REF!,MATCH($A527,'S5'!$D$5:$D$2103,0)-1,6)="巻返し",OFFSET('S5'!#REF!,MATCH($A527,'S5'!$D$5:$D$2103,0)-1,6)="スリット"),SUMIF('S5'!$D$5:$D$2103,$A527,'S5'!$T$5:$T$2103),""),"")</f>
        <v/>
      </c>
    </row>
    <row r="528" spans="1:28" s="141" customFormat="1" ht="13.5" x14ac:dyDescent="0.15">
      <c r="A528" s="274">
        <v>3723644</v>
      </c>
      <c r="B528" s="274" t="s">
        <v>351</v>
      </c>
      <c r="C528" s="274" t="s">
        <v>352</v>
      </c>
      <c r="D528" s="274" t="s">
        <v>353</v>
      </c>
      <c r="E528" s="274" t="s">
        <v>116</v>
      </c>
      <c r="F528" s="274">
        <v>3</v>
      </c>
      <c r="G528" s="274" t="s">
        <v>19</v>
      </c>
      <c r="H528" s="274" t="s">
        <v>20</v>
      </c>
      <c r="I528" s="274" t="s">
        <v>205</v>
      </c>
      <c r="J528" s="274"/>
      <c r="K528" s="274" t="s">
        <v>221</v>
      </c>
      <c r="L528" s="274">
        <v>25</v>
      </c>
      <c r="M528" s="274" t="s">
        <v>222</v>
      </c>
      <c r="N528" s="275">
        <v>1100</v>
      </c>
      <c r="O528" s="275">
        <v>1100</v>
      </c>
      <c r="P528" s="275">
        <v>6000</v>
      </c>
      <c r="Q528" s="274">
        <v>2</v>
      </c>
      <c r="R528" s="274">
        <v>6</v>
      </c>
      <c r="S528" s="274" t="s">
        <v>354</v>
      </c>
      <c r="T528" s="276">
        <v>45159</v>
      </c>
      <c r="U528" s="276">
        <v>45191</v>
      </c>
      <c r="V528" s="274" t="s">
        <v>355</v>
      </c>
      <c r="W528" s="274"/>
      <c r="X528" s="274"/>
      <c r="Y528" s="143"/>
      <c r="Z528" s="146" t="str">
        <f t="shared" ca="1" si="8"/>
        <v/>
      </c>
      <c r="AA528" s="146" t="str">
        <f ca="1">IFERROR(IF(OR(OFFSET('S4'!#REF!,MATCH($A528,'S4'!$D$5:$D$2535,0)-1,6)="巻返し",OFFSET('S4'!#REF!,MATCH($A528,'S4'!$D$5:$D$2535,0)-1,6)="スリット"),SUMIF('S4'!$D$5:$D$2535,$A528,'S4'!$U$5:$U$2535),""),"")</f>
        <v/>
      </c>
      <c r="AB528" s="146" t="str">
        <f ca="1">IFERROR(IF(OR(OFFSET('S5'!#REF!,MATCH($A528,'S5'!$D$5:$D$2103,0)-1,6)="巻返し",OFFSET('S5'!#REF!,MATCH($A528,'S5'!$D$5:$D$2103,0)-1,6)="スリット"),SUMIF('S5'!$D$5:$D$2103,$A528,'S5'!$T$5:$T$2103),""),"")</f>
        <v/>
      </c>
    </row>
    <row r="529" spans="1:28" s="141" customFormat="1" ht="13.5" x14ac:dyDescent="0.15">
      <c r="A529" s="274">
        <v>3723645</v>
      </c>
      <c r="B529" s="274" t="s">
        <v>351</v>
      </c>
      <c r="C529" s="274" t="s">
        <v>352</v>
      </c>
      <c r="D529" s="274" t="s">
        <v>353</v>
      </c>
      <c r="E529" s="274" t="s">
        <v>116</v>
      </c>
      <c r="F529" s="274">
        <v>3</v>
      </c>
      <c r="G529" s="274" t="s">
        <v>19</v>
      </c>
      <c r="H529" s="274" t="s">
        <v>20</v>
      </c>
      <c r="I529" s="274" t="s">
        <v>165</v>
      </c>
      <c r="J529" s="274"/>
      <c r="K529" s="274" t="s">
        <v>176</v>
      </c>
      <c r="L529" s="274">
        <v>50</v>
      </c>
      <c r="M529" s="274" t="s">
        <v>177</v>
      </c>
      <c r="N529" s="275">
        <v>1005</v>
      </c>
      <c r="O529" s="275">
        <v>1000</v>
      </c>
      <c r="P529" s="275">
        <v>4100</v>
      </c>
      <c r="Q529" s="274">
        <v>2</v>
      </c>
      <c r="R529" s="274">
        <v>1</v>
      </c>
      <c r="S529" s="274" t="s">
        <v>354</v>
      </c>
      <c r="T529" s="276">
        <v>45159</v>
      </c>
      <c r="U529" s="276">
        <v>45191</v>
      </c>
      <c r="V529" s="274" t="s">
        <v>355</v>
      </c>
      <c r="W529" s="274"/>
      <c r="X529" s="274"/>
      <c r="Y529" s="143"/>
      <c r="Z529" s="146" t="str">
        <f t="shared" ca="1" si="8"/>
        <v/>
      </c>
      <c r="AA529" s="146" t="str">
        <f ca="1">IFERROR(IF(OR(OFFSET('S4'!#REF!,MATCH($A529,'S4'!$D$5:$D$2535,0)-1,6)="巻返し",OFFSET('S4'!#REF!,MATCH($A529,'S4'!$D$5:$D$2535,0)-1,6)="スリット"),SUMIF('S4'!$D$5:$D$2535,$A529,'S4'!$U$5:$U$2535),""),"")</f>
        <v/>
      </c>
      <c r="AB529" s="146" t="str">
        <f ca="1">IFERROR(IF(OR(OFFSET('S5'!#REF!,MATCH($A529,'S5'!$D$5:$D$2103,0)-1,6)="巻返し",OFFSET('S5'!#REF!,MATCH($A529,'S5'!$D$5:$D$2103,0)-1,6)="スリット"),SUMIF('S5'!$D$5:$D$2103,$A529,'S5'!$T$5:$T$2103),""),"")</f>
        <v/>
      </c>
    </row>
    <row r="530" spans="1:28" s="141" customFormat="1" ht="13.5" x14ac:dyDescent="0.15">
      <c r="A530" s="274">
        <v>3723646</v>
      </c>
      <c r="B530" s="274" t="s">
        <v>351</v>
      </c>
      <c r="C530" s="274" t="s">
        <v>352</v>
      </c>
      <c r="D530" s="274" t="s">
        <v>353</v>
      </c>
      <c r="E530" s="274" t="s">
        <v>116</v>
      </c>
      <c r="F530" s="274">
        <v>3</v>
      </c>
      <c r="G530" s="274" t="s">
        <v>19</v>
      </c>
      <c r="H530" s="274" t="s">
        <v>28</v>
      </c>
      <c r="I530" s="274" t="s">
        <v>205</v>
      </c>
      <c r="J530" s="274"/>
      <c r="K530" s="274" t="s">
        <v>235</v>
      </c>
      <c r="L530" s="274">
        <v>25</v>
      </c>
      <c r="M530" s="274" t="s">
        <v>236</v>
      </c>
      <c r="N530" s="275">
        <v>1120</v>
      </c>
      <c r="O530" s="275">
        <v>1120</v>
      </c>
      <c r="P530" s="275">
        <v>8000</v>
      </c>
      <c r="Q530" s="274">
        <v>2</v>
      </c>
      <c r="R530" s="274">
        <v>1</v>
      </c>
      <c r="S530" s="274" t="s">
        <v>354</v>
      </c>
      <c r="T530" s="276">
        <v>45159</v>
      </c>
      <c r="U530" s="276">
        <v>45194</v>
      </c>
      <c r="V530" s="274" t="s">
        <v>355</v>
      </c>
      <c r="W530" s="274"/>
      <c r="X530" s="274"/>
      <c r="Y530" s="143"/>
      <c r="Z530" s="146" t="str">
        <f t="shared" ca="1" si="8"/>
        <v/>
      </c>
      <c r="AA530" s="146" t="str">
        <f ca="1">IFERROR(IF(OR(OFFSET('S4'!#REF!,MATCH($A530,'S4'!$D$5:$D$2535,0)-1,6)="巻返し",OFFSET('S4'!#REF!,MATCH($A530,'S4'!$D$5:$D$2535,0)-1,6)="スリット"),SUMIF('S4'!$D$5:$D$2535,$A530,'S4'!$U$5:$U$2535),""),"")</f>
        <v/>
      </c>
      <c r="AB530" s="146" t="str">
        <f ca="1">IFERROR(IF(OR(OFFSET('S5'!#REF!,MATCH($A530,'S5'!$D$5:$D$2103,0)-1,6)="巻返し",OFFSET('S5'!#REF!,MATCH($A530,'S5'!$D$5:$D$2103,0)-1,6)="スリット"),SUMIF('S5'!$D$5:$D$2103,$A530,'S5'!$T$5:$T$2103),""),"")</f>
        <v/>
      </c>
    </row>
    <row r="531" spans="1:28" s="141" customFormat="1" ht="13.5" x14ac:dyDescent="0.15">
      <c r="A531" s="274">
        <v>3723647</v>
      </c>
      <c r="B531" s="274" t="s">
        <v>351</v>
      </c>
      <c r="C531" s="274" t="s">
        <v>352</v>
      </c>
      <c r="D531" s="274" t="s">
        <v>353</v>
      </c>
      <c r="E531" s="274" t="s">
        <v>116</v>
      </c>
      <c r="F531" s="274">
        <v>3</v>
      </c>
      <c r="G531" s="274" t="s">
        <v>19</v>
      </c>
      <c r="H531" s="274" t="s">
        <v>28</v>
      </c>
      <c r="I531" s="274" t="s">
        <v>205</v>
      </c>
      <c r="J531" s="274"/>
      <c r="K531" s="274" t="s">
        <v>224</v>
      </c>
      <c r="L531" s="274">
        <v>50</v>
      </c>
      <c r="M531" s="274" t="s">
        <v>225</v>
      </c>
      <c r="N531" s="275">
        <v>1120</v>
      </c>
      <c r="O531" s="275">
        <v>1120</v>
      </c>
      <c r="P531" s="275">
        <v>5000</v>
      </c>
      <c r="Q531" s="274">
        <v>2</v>
      </c>
      <c r="R531" s="274">
        <v>2</v>
      </c>
      <c r="S531" s="274" t="s">
        <v>354</v>
      </c>
      <c r="T531" s="276">
        <v>45159</v>
      </c>
      <c r="U531" s="276">
        <v>45191</v>
      </c>
      <c r="V531" s="274" t="s">
        <v>355</v>
      </c>
      <c r="W531" s="274"/>
      <c r="X531" s="274"/>
      <c r="Y531" s="143"/>
      <c r="Z531" s="146" t="str">
        <f t="shared" ca="1" si="8"/>
        <v/>
      </c>
      <c r="AA531" s="146" t="str">
        <f ca="1">IFERROR(IF(OR(OFFSET('S4'!#REF!,MATCH($A531,'S4'!$D$5:$D$2535,0)-1,6)="巻返し",OFFSET('S4'!#REF!,MATCH($A531,'S4'!$D$5:$D$2535,0)-1,6)="スリット"),SUMIF('S4'!$D$5:$D$2535,$A531,'S4'!$U$5:$U$2535),""),"")</f>
        <v/>
      </c>
      <c r="AB531" s="146" t="str">
        <f ca="1">IFERROR(IF(OR(OFFSET('S5'!#REF!,MATCH($A531,'S5'!$D$5:$D$2103,0)-1,6)="巻返し",OFFSET('S5'!#REF!,MATCH($A531,'S5'!$D$5:$D$2103,0)-1,6)="スリット"),SUMIF('S5'!$D$5:$D$2103,$A531,'S5'!$T$5:$T$2103),""),"")</f>
        <v/>
      </c>
    </row>
    <row r="532" spans="1:28" s="141" customFormat="1" ht="13.5" x14ac:dyDescent="0.15">
      <c r="A532" s="274">
        <v>3723648</v>
      </c>
      <c r="B532" s="274" t="s">
        <v>351</v>
      </c>
      <c r="C532" s="274" t="s">
        <v>352</v>
      </c>
      <c r="D532" s="274" t="s">
        <v>353</v>
      </c>
      <c r="E532" s="274" t="s">
        <v>116</v>
      </c>
      <c r="F532" s="274">
        <v>3</v>
      </c>
      <c r="G532" s="274" t="s">
        <v>19</v>
      </c>
      <c r="H532" s="274" t="s">
        <v>28</v>
      </c>
      <c r="I532" s="274" t="s">
        <v>205</v>
      </c>
      <c r="J532" s="274"/>
      <c r="K532" s="274" t="s">
        <v>233</v>
      </c>
      <c r="L532" s="274">
        <v>50</v>
      </c>
      <c r="M532" s="274" t="s">
        <v>234</v>
      </c>
      <c r="N532" s="275">
        <v>1120</v>
      </c>
      <c r="O532" s="275">
        <v>1120</v>
      </c>
      <c r="P532" s="275">
        <v>4000</v>
      </c>
      <c r="Q532" s="274">
        <v>2</v>
      </c>
      <c r="R532" s="274">
        <v>4</v>
      </c>
      <c r="S532" s="274" t="s">
        <v>354</v>
      </c>
      <c r="T532" s="276">
        <v>45159</v>
      </c>
      <c r="U532" s="276">
        <v>45191</v>
      </c>
      <c r="V532" s="274" t="s">
        <v>355</v>
      </c>
      <c r="W532" s="274"/>
      <c r="X532" s="274"/>
      <c r="Y532" s="143"/>
      <c r="Z532" s="146" t="str">
        <f t="shared" ca="1" si="8"/>
        <v/>
      </c>
      <c r="AA532" s="146" t="str">
        <f ca="1">IFERROR(IF(OR(OFFSET('S4'!#REF!,MATCH($A532,'S4'!$D$5:$D$2535,0)-1,6)="巻返し",OFFSET('S4'!#REF!,MATCH($A532,'S4'!$D$5:$D$2535,0)-1,6)="スリット"),SUMIF('S4'!$D$5:$D$2535,$A532,'S4'!$U$5:$U$2535),""),"")</f>
        <v/>
      </c>
      <c r="AB532" s="146" t="str">
        <f ca="1">IFERROR(IF(OR(OFFSET('S5'!#REF!,MATCH($A532,'S5'!$D$5:$D$2103,0)-1,6)="巻返し",OFFSET('S5'!#REF!,MATCH($A532,'S5'!$D$5:$D$2103,0)-1,6)="スリット"),SUMIF('S5'!$D$5:$D$2103,$A532,'S5'!$T$5:$T$2103),""),"")</f>
        <v/>
      </c>
    </row>
    <row r="533" spans="1:28" s="141" customFormat="1" ht="13.5" x14ac:dyDescent="0.15">
      <c r="A533" s="274">
        <v>3723649</v>
      </c>
      <c r="B533" s="274" t="s">
        <v>351</v>
      </c>
      <c r="C533" s="274" t="s">
        <v>352</v>
      </c>
      <c r="D533" s="274" t="s">
        <v>353</v>
      </c>
      <c r="E533" s="274" t="s">
        <v>116</v>
      </c>
      <c r="F533" s="274">
        <v>3</v>
      </c>
      <c r="G533" s="274" t="s">
        <v>19</v>
      </c>
      <c r="H533" s="274" t="s">
        <v>28</v>
      </c>
      <c r="I533" s="274" t="s">
        <v>205</v>
      </c>
      <c r="J533" s="274"/>
      <c r="K533" s="274" t="s">
        <v>233</v>
      </c>
      <c r="L533" s="274">
        <v>50</v>
      </c>
      <c r="M533" s="274" t="s">
        <v>234</v>
      </c>
      <c r="N533" s="275">
        <v>1120</v>
      </c>
      <c r="O533" s="275">
        <v>1120</v>
      </c>
      <c r="P533" s="275">
        <v>4000</v>
      </c>
      <c r="Q533" s="274">
        <v>2</v>
      </c>
      <c r="R533" s="274">
        <v>4</v>
      </c>
      <c r="S533" s="274" t="s">
        <v>354</v>
      </c>
      <c r="T533" s="276">
        <v>45159</v>
      </c>
      <c r="U533" s="276">
        <v>45205</v>
      </c>
      <c r="V533" s="274" t="s">
        <v>355</v>
      </c>
      <c r="W533" s="274"/>
      <c r="X533" s="274"/>
      <c r="Y533" s="143"/>
      <c r="Z533" s="146" t="str">
        <f t="shared" ca="1" si="8"/>
        <v/>
      </c>
      <c r="AA533" s="146" t="str">
        <f ca="1">IFERROR(IF(OR(OFFSET('S4'!#REF!,MATCH($A533,'S4'!$D$5:$D$2535,0)-1,6)="巻返し",OFFSET('S4'!#REF!,MATCH($A533,'S4'!$D$5:$D$2535,0)-1,6)="スリット"),SUMIF('S4'!$D$5:$D$2535,$A533,'S4'!$U$5:$U$2535),""),"")</f>
        <v/>
      </c>
      <c r="AB533" s="146" t="str">
        <f ca="1">IFERROR(IF(OR(OFFSET('S5'!#REF!,MATCH($A533,'S5'!$D$5:$D$2103,0)-1,6)="巻返し",OFFSET('S5'!#REF!,MATCH($A533,'S5'!$D$5:$D$2103,0)-1,6)="スリット"),SUMIF('S5'!$D$5:$D$2103,$A533,'S5'!$T$5:$T$2103),""),"")</f>
        <v/>
      </c>
    </row>
    <row r="534" spans="1:28" s="141" customFormat="1" ht="13.5" x14ac:dyDescent="0.15">
      <c r="A534" s="274">
        <v>3723650</v>
      </c>
      <c r="B534" s="274" t="s">
        <v>351</v>
      </c>
      <c r="C534" s="274" t="s">
        <v>352</v>
      </c>
      <c r="D534" s="274" t="s">
        <v>353</v>
      </c>
      <c r="E534" s="274" t="s">
        <v>116</v>
      </c>
      <c r="F534" s="274">
        <v>3</v>
      </c>
      <c r="G534" s="274" t="s">
        <v>19</v>
      </c>
      <c r="H534" s="274" t="s">
        <v>28</v>
      </c>
      <c r="I534" s="274" t="s">
        <v>205</v>
      </c>
      <c r="J534" s="274"/>
      <c r="K534" s="274" t="s">
        <v>224</v>
      </c>
      <c r="L534" s="274">
        <v>50</v>
      </c>
      <c r="M534" s="274" t="s">
        <v>225</v>
      </c>
      <c r="N534" s="275">
        <v>1120</v>
      </c>
      <c r="O534" s="275">
        <v>1120</v>
      </c>
      <c r="P534" s="275">
        <v>5000</v>
      </c>
      <c r="Q534" s="274">
        <v>2</v>
      </c>
      <c r="R534" s="274">
        <v>2</v>
      </c>
      <c r="S534" s="274" t="s">
        <v>354</v>
      </c>
      <c r="T534" s="276">
        <v>45159</v>
      </c>
      <c r="U534" s="276">
        <v>45191</v>
      </c>
      <c r="V534" s="274" t="s">
        <v>355</v>
      </c>
      <c r="W534" s="274"/>
      <c r="X534" s="274"/>
      <c r="Y534" s="143"/>
      <c r="Z534" s="146" t="str">
        <f t="shared" ca="1" si="8"/>
        <v/>
      </c>
      <c r="AA534" s="146" t="str">
        <f ca="1">IFERROR(IF(OR(OFFSET('S4'!#REF!,MATCH($A534,'S4'!$D$5:$D$2535,0)-1,6)="巻返し",OFFSET('S4'!#REF!,MATCH($A534,'S4'!$D$5:$D$2535,0)-1,6)="スリット"),SUMIF('S4'!$D$5:$D$2535,$A534,'S4'!$U$5:$U$2535),""),"")</f>
        <v/>
      </c>
      <c r="AB534" s="146" t="str">
        <f ca="1">IFERROR(IF(OR(OFFSET('S5'!#REF!,MATCH($A534,'S5'!$D$5:$D$2103,0)-1,6)="巻返し",OFFSET('S5'!#REF!,MATCH($A534,'S5'!$D$5:$D$2103,0)-1,6)="スリット"),SUMIF('S5'!$D$5:$D$2103,$A534,'S5'!$T$5:$T$2103),""),"")</f>
        <v/>
      </c>
    </row>
    <row r="535" spans="1:28" s="141" customFormat="1" ht="13.5" x14ac:dyDescent="0.15">
      <c r="A535" s="274">
        <v>3724503</v>
      </c>
      <c r="B535" s="274" t="s">
        <v>351</v>
      </c>
      <c r="C535" s="274" t="s">
        <v>352</v>
      </c>
      <c r="D535" s="274" t="s">
        <v>353</v>
      </c>
      <c r="E535" s="274" t="s">
        <v>116</v>
      </c>
      <c r="F535" s="274">
        <v>3</v>
      </c>
      <c r="G535" s="274" t="s">
        <v>19</v>
      </c>
      <c r="H535" s="274" t="s">
        <v>20</v>
      </c>
      <c r="I535" s="274" t="s">
        <v>165</v>
      </c>
      <c r="J535" s="274"/>
      <c r="K535" s="274" t="s">
        <v>245</v>
      </c>
      <c r="L535" s="274">
        <v>16</v>
      </c>
      <c r="M535" s="274" t="s">
        <v>366</v>
      </c>
      <c r="N535" s="275">
        <v>1000</v>
      </c>
      <c r="O535" s="275">
        <v>1000</v>
      </c>
      <c r="P535" s="275">
        <v>3200</v>
      </c>
      <c r="Q535" s="274">
        <v>2</v>
      </c>
      <c r="R535" s="274">
        <v>1</v>
      </c>
      <c r="S535" s="274" t="s">
        <v>354</v>
      </c>
      <c r="T535" s="276">
        <v>45161</v>
      </c>
      <c r="U535" s="276">
        <v>45191</v>
      </c>
      <c r="V535" s="274" t="s">
        <v>355</v>
      </c>
      <c r="W535" s="274"/>
      <c r="X535" s="274"/>
      <c r="Y535" s="143"/>
      <c r="Z535" s="146" t="str">
        <f t="shared" ca="1" si="8"/>
        <v/>
      </c>
      <c r="AA535" s="146" t="str">
        <f ca="1">IFERROR(IF(OR(OFFSET('S4'!#REF!,MATCH($A535,'S4'!$D$5:$D$2535,0)-1,6)="巻返し",OFFSET('S4'!#REF!,MATCH($A535,'S4'!$D$5:$D$2535,0)-1,6)="スリット"),SUMIF('S4'!$D$5:$D$2535,$A535,'S4'!$U$5:$U$2535),""),"")</f>
        <v/>
      </c>
      <c r="AB535" s="146" t="str">
        <f ca="1">IFERROR(IF(OR(OFFSET('S5'!#REF!,MATCH($A535,'S5'!$D$5:$D$2103,0)-1,6)="巻返し",OFFSET('S5'!#REF!,MATCH($A535,'S5'!$D$5:$D$2103,0)-1,6)="スリット"),SUMIF('S5'!$D$5:$D$2103,$A535,'S5'!$T$5:$T$2103),""),"")</f>
        <v/>
      </c>
    </row>
    <row r="536" spans="1:28" s="141" customFormat="1" ht="13.5" x14ac:dyDescent="0.15">
      <c r="A536" s="274">
        <v>3724504</v>
      </c>
      <c r="B536" s="274" t="s">
        <v>423</v>
      </c>
      <c r="C536" s="274" t="s">
        <v>352</v>
      </c>
      <c r="D536" s="274" t="s">
        <v>353</v>
      </c>
      <c r="E536" s="274" t="s">
        <v>116</v>
      </c>
      <c r="F536" s="274">
        <v>3</v>
      </c>
      <c r="G536" s="274" t="s">
        <v>265</v>
      </c>
      <c r="H536" s="274" t="s">
        <v>20</v>
      </c>
      <c r="I536" s="274" t="s">
        <v>165</v>
      </c>
      <c r="J536" s="274"/>
      <c r="K536" s="274" t="s">
        <v>172</v>
      </c>
      <c r="L536" s="274">
        <v>50</v>
      </c>
      <c r="M536" s="274" t="s">
        <v>173</v>
      </c>
      <c r="N536" s="275">
        <v>1005</v>
      </c>
      <c r="O536" s="275">
        <v>1000</v>
      </c>
      <c r="P536" s="275">
        <v>2000</v>
      </c>
      <c r="Q536" s="274">
        <v>2</v>
      </c>
      <c r="R536" s="274">
        <v>4</v>
      </c>
      <c r="S536" s="274" t="s">
        <v>354</v>
      </c>
      <c r="T536" s="276">
        <v>45161</v>
      </c>
      <c r="U536" s="276">
        <v>45191</v>
      </c>
      <c r="V536" s="274" t="s">
        <v>355</v>
      </c>
      <c r="W536" s="274"/>
      <c r="X536" s="274"/>
      <c r="Y536" s="143"/>
      <c r="Z536" s="146" t="str">
        <f t="shared" ca="1" si="8"/>
        <v/>
      </c>
      <c r="AA536" s="146" t="str">
        <f ca="1">IFERROR(IF(OR(OFFSET('S4'!#REF!,MATCH($A536,'S4'!$D$5:$D$2535,0)-1,6)="巻返し",OFFSET('S4'!#REF!,MATCH($A536,'S4'!$D$5:$D$2535,0)-1,6)="スリット"),SUMIF('S4'!$D$5:$D$2535,$A536,'S4'!$U$5:$U$2535),""),"")</f>
        <v/>
      </c>
      <c r="AB536" s="146" t="str">
        <f ca="1">IFERROR(IF(OR(OFFSET('S5'!#REF!,MATCH($A536,'S5'!$D$5:$D$2103,0)-1,6)="巻返し",OFFSET('S5'!#REF!,MATCH($A536,'S5'!$D$5:$D$2103,0)-1,6)="スリット"),SUMIF('S5'!$D$5:$D$2103,$A536,'S5'!$T$5:$T$2103),""),"")</f>
        <v/>
      </c>
    </row>
    <row r="537" spans="1:28" s="141" customFormat="1" ht="13.5" x14ac:dyDescent="0.15">
      <c r="A537" s="274">
        <v>3724505</v>
      </c>
      <c r="B537" s="274" t="s">
        <v>423</v>
      </c>
      <c r="C537" s="274" t="s">
        <v>352</v>
      </c>
      <c r="D537" s="274" t="s">
        <v>353</v>
      </c>
      <c r="E537" s="274" t="s">
        <v>116</v>
      </c>
      <c r="F537" s="274">
        <v>3</v>
      </c>
      <c r="G537" s="274" t="s">
        <v>265</v>
      </c>
      <c r="H537" s="274" t="s">
        <v>20</v>
      </c>
      <c r="I537" s="274" t="s">
        <v>165</v>
      </c>
      <c r="J537" s="274"/>
      <c r="K537" s="274" t="s">
        <v>176</v>
      </c>
      <c r="L537" s="274">
        <v>50</v>
      </c>
      <c r="M537" s="274" t="s">
        <v>177</v>
      </c>
      <c r="N537" s="275">
        <v>1005</v>
      </c>
      <c r="O537" s="275">
        <v>1000</v>
      </c>
      <c r="P537" s="275">
        <v>4000</v>
      </c>
      <c r="Q537" s="274">
        <v>2</v>
      </c>
      <c r="R537" s="274">
        <v>5</v>
      </c>
      <c r="S537" s="274" t="s">
        <v>354</v>
      </c>
      <c r="T537" s="276">
        <v>45161</v>
      </c>
      <c r="U537" s="276">
        <v>45191</v>
      </c>
      <c r="V537" s="274" t="s">
        <v>355</v>
      </c>
      <c r="W537" s="274"/>
      <c r="X537" s="274"/>
      <c r="Y537" s="143"/>
      <c r="Z537" s="146" t="str">
        <f t="shared" ca="1" si="8"/>
        <v/>
      </c>
      <c r="AA537" s="146" t="str">
        <f ca="1">IFERROR(IF(OR(OFFSET('S4'!#REF!,MATCH($A537,'S4'!$D$5:$D$2535,0)-1,6)="巻返し",OFFSET('S4'!#REF!,MATCH($A537,'S4'!$D$5:$D$2535,0)-1,6)="スリット"),SUMIF('S4'!$D$5:$D$2535,$A537,'S4'!$U$5:$U$2535),""),"")</f>
        <v/>
      </c>
      <c r="AB537" s="146" t="str">
        <f ca="1">IFERROR(IF(OR(OFFSET('S5'!#REF!,MATCH($A537,'S5'!$D$5:$D$2103,0)-1,6)="巻返し",OFFSET('S5'!#REF!,MATCH($A537,'S5'!$D$5:$D$2103,0)-1,6)="スリット"),SUMIF('S5'!$D$5:$D$2103,$A537,'S5'!$T$5:$T$2103),""),"")</f>
        <v/>
      </c>
    </row>
    <row r="538" spans="1:28" s="141" customFormat="1" ht="13.5" x14ac:dyDescent="0.15">
      <c r="A538" s="274">
        <v>3725012</v>
      </c>
      <c r="B538" s="274" t="s">
        <v>351</v>
      </c>
      <c r="C538" s="274" t="s">
        <v>352</v>
      </c>
      <c r="D538" s="274" t="s">
        <v>353</v>
      </c>
      <c r="E538" s="274" t="s">
        <v>116</v>
      </c>
      <c r="F538" s="274">
        <v>3</v>
      </c>
      <c r="G538" s="274" t="s">
        <v>19</v>
      </c>
      <c r="H538" s="274" t="s">
        <v>20</v>
      </c>
      <c r="I538" s="274" t="s">
        <v>205</v>
      </c>
      <c r="J538" s="274"/>
      <c r="K538" s="274" t="s">
        <v>212</v>
      </c>
      <c r="L538" s="274">
        <v>25</v>
      </c>
      <c r="M538" s="274" t="s">
        <v>213</v>
      </c>
      <c r="N538" s="275">
        <v>1120</v>
      </c>
      <c r="O538" s="275">
        <v>1120</v>
      </c>
      <c r="P538" s="275">
        <v>4000</v>
      </c>
      <c r="Q538" s="274">
        <v>2</v>
      </c>
      <c r="R538" s="274">
        <v>7</v>
      </c>
      <c r="S538" s="274" t="s">
        <v>354</v>
      </c>
      <c r="T538" s="276">
        <v>45167</v>
      </c>
      <c r="U538" s="276">
        <v>45224</v>
      </c>
      <c r="V538" s="274" t="s">
        <v>355</v>
      </c>
      <c r="W538" s="274"/>
      <c r="X538" s="274"/>
      <c r="Y538" s="143"/>
      <c r="Z538" s="146" t="str">
        <f t="shared" ca="1" si="8"/>
        <v/>
      </c>
      <c r="AA538" s="146" t="str">
        <f ca="1">IFERROR(IF(OR(OFFSET('S4'!#REF!,MATCH($A538,'S4'!$D$5:$D$2535,0)-1,6)="巻返し",OFFSET('S4'!#REF!,MATCH($A538,'S4'!$D$5:$D$2535,0)-1,6)="スリット"),SUMIF('S4'!$D$5:$D$2535,$A538,'S4'!$U$5:$U$2535),""),"")</f>
        <v/>
      </c>
      <c r="AB538" s="146" t="str">
        <f ca="1">IFERROR(IF(OR(OFFSET('S5'!#REF!,MATCH($A538,'S5'!$D$5:$D$2103,0)-1,6)="巻返し",OFFSET('S5'!#REF!,MATCH($A538,'S5'!$D$5:$D$2103,0)-1,6)="スリット"),SUMIF('S5'!$D$5:$D$2103,$A538,'S5'!$T$5:$T$2103),""),"")</f>
        <v/>
      </c>
    </row>
    <row r="539" spans="1:28" s="141" customFormat="1" ht="13.5" x14ac:dyDescent="0.15">
      <c r="A539" s="274">
        <v>3725013</v>
      </c>
      <c r="B539" s="274" t="s">
        <v>351</v>
      </c>
      <c r="C539" s="274" t="s">
        <v>352</v>
      </c>
      <c r="D539" s="274" t="s">
        <v>353</v>
      </c>
      <c r="E539" s="274" t="s">
        <v>116</v>
      </c>
      <c r="F539" s="274">
        <v>3</v>
      </c>
      <c r="G539" s="274" t="s">
        <v>19</v>
      </c>
      <c r="H539" s="274" t="s">
        <v>20</v>
      </c>
      <c r="I539" s="274" t="s">
        <v>205</v>
      </c>
      <c r="J539" s="274"/>
      <c r="K539" s="274" t="s">
        <v>216</v>
      </c>
      <c r="L539" s="274">
        <v>50</v>
      </c>
      <c r="M539" s="274" t="s">
        <v>217</v>
      </c>
      <c r="N539" s="275">
        <v>1120</v>
      </c>
      <c r="O539" s="275">
        <v>1120</v>
      </c>
      <c r="P539" s="275">
        <v>5000</v>
      </c>
      <c r="Q539" s="274">
        <v>2</v>
      </c>
      <c r="R539" s="274">
        <v>28</v>
      </c>
      <c r="S539" s="274" t="s">
        <v>354</v>
      </c>
      <c r="T539" s="276">
        <v>45167</v>
      </c>
      <c r="U539" s="276">
        <v>45224</v>
      </c>
      <c r="V539" s="274" t="s">
        <v>355</v>
      </c>
      <c r="W539" s="274"/>
      <c r="X539" s="274"/>
      <c r="Y539" s="143"/>
      <c r="Z539" s="146" t="str">
        <f t="shared" ca="1" si="8"/>
        <v/>
      </c>
      <c r="AA539" s="146" t="str">
        <f ca="1">IFERROR(IF(OR(OFFSET('S4'!#REF!,MATCH($A539,'S4'!$D$5:$D$2535,0)-1,6)="巻返し",OFFSET('S4'!#REF!,MATCH($A539,'S4'!$D$5:$D$2535,0)-1,6)="スリット"),SUMIF('S4'!$D$5:$D$2535,$A539,'S4'!$U$5:$U$2535),""),"")</f>
        <v/>
      </c>
      <c r="AB539" s="146" t="str">
        <f ca="1">IFERROR(IF(OR(OFFSET('S5'!#REF!,MATCH($A539,'S5'!$D$5:$D$2103,0)-1,6)="巻返し",OFFSET('S5'!#REF!,MATCH($A539,'S5'!$D$5:$D$2103,0)-1,6)="スリット"),SUMIF('S5'!$D$5:$D$2103,$A539,'S5'!$T$5:$T$2103),""),"")</f>
        <v/>
      </c>
    </row>
    <row r="540" spans="1:28" s="141" customFormat="1" ht="13.5" x14ac:dyDescent="0.15">
      <c r="A540" s="274">
        <v>3725014</v>
      </c>
      <c r="B540" s="274" t="s">
        <v>351</v>
      </c>
      <c r="C540" s="274" t="s">
        <v>352</v>
      </c>
      <c r="D540" s="274" t="s">
        <v>353</v>
      </c>
      <c r="E540" s="274" t="s">
        <v>116</v>
      </c>
      <c r="F540" s="274">
        <v>3</v>
      </c>
      <c r="G540" s="274" t="s">
        <v>19</v>
      </c>
      <c r="H540" s="274" t="s">
        <v>20</v>
      </c>
      <c r="I540" s="274" t="s">
        <v>205</v>
      </c>
      <c r="J540" s="274"/>
      <c r="K540" s="274" t="s">
        <v>218</v>
      </c>
      <c r="L540" s="274">
        <v>50</v>
      </c>
      <c r="M540" s="274" t="s">
        <v>219</v>
      </c>
      <c r="N540" s="275">
        <v>1000</v>
      </c>
      <c r="O540" s="275">
        <v>1000</v>
      </c>
      <c r="P540" s="275">
        <v>4000</v>
      </c>
      <c r="Q540" s="274">
        <v>2</v>
      </c>
      <c r="R540" s="274">
        <v>6</v>
      </c>
      <c r="S540" s="274" t="s">
        <v>354</v>
      </c>
      <c r="T540" s="276">
        <v>45167</v>
      </c>
      <c r="U540" s="276">
        <v>45224</v>
      </c>
      <c r="V540" s="274" t="s">
        <v>355</v>
      </c>
      <c r="W540" s="274"/>
      <c r="X540" s="274"/>
      <c r="Y540" s="143"/>
      <c r="Z540" s="146" t="str">
        <f t="shared" ca="1" si="8"/>
        <v/>
      </c>
      <c r="AA540" s="146" t="str">
        <f ca="1">IFERROR(IF(OR(OFFSET('S4'!#REF!,MATCH($A540,'S4'!$D$5:$D$2535,0)-1,6)="巻返し",OFFSET('S4'!#REF!,MATCH($A540,'S4'!$D$5:$D$2535,0)-1,6)="スリット"),SUMIF('S4'!$D$5:$D$2535,$A540,'S4'!$U$5:$U$2535),""),"")</f>
        <v/>
      </c>
      <c r="AB540" s="146" t="str">
        <f ca="1">IFERROR(IF(OR(OFFSET('S5'!#REF!,MATCH($A540,'S5'!$D$5:$D$2103,0)-1,6)="巻返し",OFFSET('S5'!#REF!,MATCH($A540,'S5'!$D$5:$D$2103,0)-1,6)="スリット"),SUMIF('S5'!$D$5:$D$2103,$A540,'S5'!$T$5:$T$2103),""),"")</f>
        <v/>
      </c>
    </row>
    <row r="541" spans="1:28" s="141" customFormat="1" ht="13.5" x14ac:dyDescent="0.15">
      <c r="A541" s="274">
        <v>3725626</v>
      </c>
      <c r="B541" s="274" t="s">
        <v>510</v>
      </c>
      <c r="C541" s="274" t="s">
        <v>364</v>
      </c>
      <c r="D541" s="274" t="s">
        <v>353</v>
      </c>
      <c r="E541" s="274" t="s">
        <v>324</v>
      </c>
      <c r="F541" s="274">
        <v>3</v>
      </c>
      <c r="G541" s="274" t="s">
        <v>269</v>
      </c>
      <c r="H541" s="274" t="s">
        <v>20</v>
      </c>
      <c r="I541" s="274" t="s">
        <v>205</v>
      </c>
      <c r="J541" s="274"/>
      <c r="K541" s="274" t="s">
        <v>325</v>
      </c>
      <c r="L541" s="274">
        <v>9</v>
      </c>
      <c r="M541" s="274" t="s">
        <v>326</v>
      </c>
      <c r="N541" s="275">
        <v>1000</v>
      </c>
      <c r="O541" s="275">
        <v>1000</v>
      </c>
      <c r="P541" s="274">
        <v>500</v>
      </c>
      <c r="Q541" s="274">
        <v>2</v>
      </c>
      <c r="R541" s="274">
        <v>22</v>
      </c>
      <c r="S541" s="274" t="s">
        <v>354</v>
      </c>
      <c r="T541" s="276">
        <v>45169</v>
      </c>
      <c r="U541" s="276">
        <v>45198</v>
      </c>
      <c r="V541" s="274" t="s">
        <v>428</v>
      </c>
      <c r="W541" s="274"/>
      <c r="X541" s="274"/>
      <c r="Y541" s="143"/>
      <c r="Z541" s="146" t="str">
        <f t="shared" ca="1" si="8"/>
        <v/>
      </c>
      <c r="AA541" s="146" t="str">
        <f ca="1">IFERROR(IF(OR(OFFSET('S4'!#REF!,MATCH($A541,'S4'!$D$5:$D$2535,0)-1,6)="巻返し",OFFSET('S4'!#REF!,MATCH($A541,'S4'!$D$5:$D$2535,0)-1,6)="スリット"),SUMIF('S4'!$D$5:$D$2535,$A541,'S4'!$U$5:$U$2535),""),"")</f>
        <v/>
      </c>
      <c r="AB541" s="146" t="str">
        <f ca="1">IFERROR(IF(OR(OFFSET('S5'!#REF!,MATCH($A541,'S5'!$D$5:$D$2103,0)-1,6)="巻返し",OFFSET('S5'!#REF!,MATCH($A541,'S5'!$D$5:$D$2103,0)-1,6)="スリット"),SUMIF('S5'!$D$5:$D$2103,$A541,'S5'!$T$5:$T$2103),""),"")</f>
        <v/>
      </c>
    </row>
    <row r="542" spans="1:28" s="141" customFormat="1" ht="13.5" x14ac:dyDescent="0.15">
      <c r="A542" s="274">
        <v>3725627</v>
      </c>
      <c r="B542" s="274" t="s">
        <v>510</v>
      </c>
      <c r="C542" s="274" t="s">
        <v>364</v>
      </c>
      <c r="D542" s="274" t="s">
        <v>353</v>
      </c>
      <c r="E542" s="274" t="s">
        <v>324</v>
      </c>
      <c r="F542" s="274">
        <v>3</v>
      </c>
      <c r="G542" s="274" t="s">
        <v>269</v>
      </c>
      <c r="H542" s="274" t="s">
        <v>20</v>
      </c>
      <c r="I542" s="274" t="s">
        <v>205</v>
      </c>
      <c r="J542" s="274"/>
      <c r="K542" s="274" t="s">
        <v>325</v>
      </c>
      <c r="L542" s="274">
        <v>9</v>
      </c>
      <c r="M542" s="274" t="s">
        <v>326</v>
      </c>
      <c r="N542" s="275">
        <v>1200</v>
      </c>
      <c r="O542" s="275">
        <v>1200</v>
      </c>
      <c r="P542" s="275">
        <v>2000</v>
      </c>
      <c r="Q542" s="274">
        <v>2</v>
      </c>
      <c r="R542" s="274">
        <v>12</v>
      </c>
      <c r="S542" s="274" t="s">
        <v>354</v>
      </c>
      <c r="T542" s="276">
        <v>45169</v>
      </c>
      <c r="U542" s="276">
        <v>45212</v>
      </c>
      <c r="V542" s="274" t="s">
        <v>428</v>
      </c>
      <c r="W542" s="274"/>
      <c r="X542" s="274"/>
      <c r="Y542" s="143"/>
      <c r="Z542" s="146" t="str">
        <f t="shared" ca="1" si="8"/>
        <v/>
      </c>
      <c r="AA542" s="146" t="str">
        <f ca="1">IFERROR(IF(OR(OFFSET('S4'!#REF!,MATCH($A542,'S4'!$D$5:$D$2535,0)-1,6)="巻返し",OFFSET('S4'!#REF!,MATCH($A542,'S4'!$D$5:$D$2535,0)-1,6)="スリット"),SUMIF('S4'!$D$5:$D$2535,$A542,'S4'!$U$5:$U$2535),""),"")</f>
        <v/>
      </c>
      <c r="AB542" s="146" t="str">
        <f ca="1">IFERROR(IF(OR(OFFSET('S5'!#REF!,MATCH($A542,'S5'!$D$5:$D$2103,0)-1,6)="巻返し",OFFSET('S5'!#REF!,MATCH($A542,'S5'!$D$5:$D$2103,0)-1,6)="スリット"),SUMIF('S5'!$D$5:$D$2103,$A542,'S5'!$T$5:$T$2103),""),"")</f>
        <v/>
      </c>
    </row>
    <row r="543" spans="1:28" s="141" customFormat="1" ht="13.5" x14ac:dyDescent="0.15">
      <c r="A543" s="274">
        <v>3725628</v>
      </c>
      <c r="B543" s="274" t="s">
        <v>1364</v>
      </c>
      <c r="C543" s="274" t="s">
        <v>358</v>
      </c>
      <c r="D543" s="274" t="s">
        <v>353</v>
      </c>
      <c r="E543" s="274" t="s">
        <v>1365</v>
      </c>
      <c r="F543" s="274">
        <v>3</v>
      </c>
      <c r="G543" s="274" t="s">
        <v>269</v>
      </c>
      <c r="H543" s="274" t="s">
        <v>28</v>
      </c>
      <c r="I543" s="274" t="s">
        <v>1078</v>
      </c>
      <c r="J543" s="274"/>
      <c r="K543" s="274" t="s">
        <v>1079</v>
      </c>
      <c r="L543" s="274">
        <v>25</v>
      </c>
      <c r="M543" s="274" t="s">
        <v>1366</v>
      </c>
      <c r="N543" s="275">
        <v>1050</v>
      </c>
      <c r="O543" s="275">
        <v>1050</v>
      </c>
      <c r="P543" s="275">
        <v>6000</v>
      </c>
      <c r="Q543" s="274">
        <v>1</v>
      </c>
      <c r="R543" s="274">
        <v>2</v>
      </c>
      <c r="S543" s="274" t="s">
        <v>354</v>
      </c>
      <c r="T543" s="276">
        <v>45169</v>
      </c>
      <c r="U543" s="276">
        <v>45188</v>
      </c>
      <c r="V543" s="274" t="s">
        <v>428</v>
      </c>
      <c r="W543" s="274"/>
      <c r="X543" s="274"/>
      <c r="Y543" s="143"/>
      <c r="Z543" s="146" t="str">
        <f t="shared" ca="1" si="8"/>
        <v/>
      </c>
      <c r="AA543" s="146" t="str">
        <f ca="1">IFERROR(IF(OR(OFFSET('S4'!#REF!,MATCH($A543,'S4'!$D$5:$D$2535,0)-1,6)="巻返し",OFFSET('S4'!#REF!,MATCH($A543,'S4'!$D$5:$D$2535,0)-1,6)="スリット"),SUMIF('S4'!$D$5:$D$2535,$A543,'S4'!$U$5:$U$2535),""),"")</f>
        <v/>
      </c>
      <c r="AB543" s="146" t="str">
        <f ca="1">IFERROR(IF(OR(OFFSET('S5'!#REF!,MATCH($A543,'S5'!$D$5:$D$2103,0)-1,6)="巻返し",OFFSET('S5'!#REF!,MATCH($A543,'S5'!$D$5:$D$2103,0)-1,6)="スリット"),SUMIF('S5'!$D$5:$D$2103,$A543,'S5'!$T$5:$T$2103),""),"")</f>
        <v/>
      </c>
    </row>
    <row r="544" spans="1:28" s="141" customFormat="1" ht="13.5" x14ac:dyDescent="0.15">
      <c r="A544" s="274">
        <v>3725778</v>
      </c>
      <c r="B544" s="274" t="s">
        <v>423</v>
      </c>
      <c r="C544" s="274" t="s">
        <v>352</v>
      </c>
      <c r="D544" s="274" t="s">
        <v>353</v>
      </c>
      <c r="E544" s="274" t="s">
        <v>116</v>
      </c>
      <c r="F544" s="274">
        <v>3</v>
      </c>
      <c r="G544" s="274" t="s">
        <v>265</v>
      </c>
      <c r="H544" s="274" t="s">
        <v>20</v>
      </c>
      <c r="I544" s="274" t="s">
        <v>165</v>
      </c>
      <c r="J544" s="274"/>
      <c r="K544" s="274" t="s">
        <v>176</v>
      </c>
      <c r="L544" s="274">
        <v>50</v>
      </c>
      <c r="M544" s="274" t="s">
        <v>177</v>
      </c>
      <c r="N544" s="275">
        <v>1005</v>
      </c>
      <c r="O544" s="275">
        <v>1000</v>
      </c>
      <c r="P544" s="275">
        <v>4100</v>
      </c>
      <c r="Q544" s="274">
        <v>2</v>
      </c>
      <c r="R544" s="274">
        <v>5</v>
      </c>
      <c r="S544" s="274" t="s">
        <v>354</v>
      </c>
      <c r="T544" s="276">
        <v>45173</v>
      </c>
      <c r="U544" s="276">
        <v>45191</v>
      </c>
      <c r="V544" s="274" t="s">
        <v>355</v>
      </c>
      <c r="W544" s="274"/>
      <c r="X544" s="274"/>
      <c r="Y544" s="143"/>
      <c r="Z544" s="146" t="str">
        <f t="shared" ca="1" si="8"/>
        <v/>
      </c>
      <c r="AA544" s="146" t="str">
        <f ca="1">IFERROR(IF(OR(OFFSET('S4'!#REF!,MATCH($A544,'S4'!$D$5:$D$2535,0)-1,6)="巻返し",OFFSET('S4'!#REF!,MATCH($A544,'S4'!$D$5:$D$2535,0)-1,6)="スリット"),SUMIF('S4'!$D$5:$D$2535,$A544,'S4'!$U$5:$U$2535),""),"")</f>
        <v/>
      </c>
      <c r="AB544" s="146" t="str">
        <f ca="1">IFERROR(IF(OR(OFFSET('S5'!#REF!,MATCH($A544,'S5'!$D$5:$D$2103,0)-1,6)="巻返し",OFFSET('S5'!#REF!,MATCH($A544,'S5'!$D$5:$D$2103,0)-1,6)="スリット"),SUMIF('S5'!$D$5:$D$2103,$A544,'S5'!$T$5:$T$2103),""),"")</f>
        <v/>
      </c>
    </row>
    <row r="545" spans="1:28" s="141" customFormat="1" ht="13.5" x14ac:dyDescent="0.15">
      <c r="A545" s="330">
        <v>3727586</v>
      </c>
      <c r="B545" s="330" t="s">
        <v>1471</v>
      </c>
      <c r="C545" s="330" t="s">
        <v>1472</v>
      </c>
      <c r="D545" s="330" t="s">
        <v>1473</v>
      </c>
      <c r="E545" s="330" t="s">
        <v>1524</v>
      </c>
      <c r="F545" s="332">
        <v>3</v>
      </c>
      <c r="G545" s="330" t="s">
        <v>19</v>
      </c>
      <c r="H545" s="330" t="s">
        <v>20</v>
      </c>
      <c r="I545" s="330" t="s">
        <v>1553</v>
      </c>
      <c r="J545" s="330" t="s">
        <v>1475</v>
      </c>
      <c r="K545" s="330" t="s">
        <v>1572</v>
      </c>
      <c r="L545" s="330">
        <v>25</v>
      </c>
      <c r="M545" s="330" t="s">
        <v>1525</v>
      </c>
      <c r="N545" s="330">
        <v>510</v>
      </c>
      <c r="O545" s="330">
        <v>510</v>
      </c>
      <c r="P545" s="330">
        <v>2000</v>
      </c>
      <c r="Q545" s="330">
        <v>1</v>
      </c>
      <c r="R545" s="330">
        <v>12</v>
      </c>
      <c r="S545" s="330" t="s">
        <v>1477</v>
      </c>
      <c r="T545" s="330" t="s">
        <v>1478</v>
      </c>
      <c r="U545" s="330" t="s">
        <v>1526</v>
      </c>
      <c r="V545" s="330" t="s">
        <v>1480</v>
      </c>
      <c r="W545" s="330" t="s">
        <v>1481</v>
      </c>
      <c r="X545" s="330" t="s">
        <v>1482</v>
      </c>
      <c r="Y545" s="143"/>
      <c r="Z545" s="146" t="str">
        <f t="shared" ca="1" si="8"/>
        <v/>
      </c>
      <c r="AA545" s="146" t="str">
        <f ca="1">IFERROR(IF(OR(OFFSET('S4'!#REF!,MATCH($A545,'S4'!$D$5:$D$2535,0)-1,6)="巻返し",OFFSET('S4'!#REF!,MATCH($A545,'S4'!$D$5:$D$2535,0)-1,6)="スリット"),SUMIF('S4'!$D$5:$D$2535,$A545,'S4'!$U$5:$U$2535),""),"")</f>
        <v/>
      </c>
      <c r="AB545" s="146" t="str">
        <f ca="1">IFERROR(IF(OR(OFFSET('S5'!#REF!,MATCH($A545,'S5'!$D$5:$D$2103,0)-1,6)="巻返し",OFFSET('S5'!#REF!,MATCH($A545,'S5'!$D$5:$D$2103,0)-1,6)="スリット"),SUMIF('S5'!$D$5:$D$2103,$A545,'S5'!$T$5:$T$2103),""),"")</f>
        <v/>
      </c>
    </row>
    <row r="546" spans="1:28" s="141" customFormat="1" ht="13.5" x14ac:dyDescent="0.15">
      <c r="A546" s="274">
        <v>3727587</v>
      </c>
      <c r="B546" s="274" t="s">
        <v>1471</v>
      </c>
      <c r="C546" s="274" t="s">
        <v>1472</v>
      </c>
      <c r="D546" s="274" t="s">
        <v>1473</v>
      </c>
      <c r="E546" s="274" t="s">
        <v>1474</v>
      </c>
      <c r="F546" s="274">
        <v>3</v>
      </c>
      <c r="G546" s="274" t="s">
        <v>19</v>
      </c>
      <c r="H546" s="274" t="s">
        <v>20</v>
      </c>
      <c r="I546" s="330" t="s">
        <v>1553</v>
      </c>
      <c r="J546" s="274" t="s">
        <v>1475</v>
      </c>
      <c r="K546" s="274" t="s">
        <v>1573</v>
      </c>
      <c r="L546" s="274">
        <v>50</v>
      </c>
      <c r="M546" s="274" t="s">
        <v>1527</v>
      </c>
      <c r="N546" s="275">
        <v>1255</v>
      </c>
      <c r="O546" s="275">
        <v>1250</v>
      </c>
      <c r="P546" s="275">
        <v>2000</v>
      </c>
      <c r="Q546" s="274">
        <v>2</v>
      </c>
      <c r="R546" s="274">
        <v>9</v>
      </c>
      <c r="S546" s="274" t="s">
        <v>1477</v>
      </c>
      <c r="T546" s="276">
        <v>45190</v>
      </c>
      <c r="U546" s="276">
        <v>45214</v>
      </c>
      <c r="V546" s="274" t="s">
        <v>1480</v>
      </c>
      <c r="W546" s="274" t="s">
        <v>1481</v>
      </c>
      <c r="X546" s="274" t="s">
        <v>1482</v>
      </c>
      <c r="Y546" s="143"/>
      <c r="Z546" s="146" t="str">
        <f t="shared" ca="1" si="8"/>
        <v/>
      </c>
      <c r="AA546" s="146" t="str">
        <f ca="1">IFERROR(IF(OR(OFFSET('S4'!#REF!,MATCH($A546,'S4'!$D$5:$D$2535,0)-1,6)="巻返し",OFFSET('S4'!#REF!,MATCH($A546,'S4'!$D$5:$D$2535,0)-1,6)="スリット"),SUMIF('S4'!$D$5:$D$2535,$A546,'S4'!$U$5:$U$2535),""),"")</f>
        <v/>
      </c>
      <c r="AB546" s="146" t="str">
        <f ca="1">IFERROR(IF(OR(OFFSET('S5'!#REF!,MATCH($A546,'S5'!$D$5:$D$2103,0)-1,6)="巻返し",OFFSET('S5'!#REF!,MATCH($A546,'S5'!$D$5:$D$2103,0)-1,6)="スリット"),SUMIF('S5'!$D$5:$D$2103,$A546,'S5'!$T$5:$T$2103),""),"")</f>
        <v/>
      </c>
    </row>
    <row r="547" spans="1:28" s="141" customFormat="1" ht="13.5" x14ac:dyDescent="0.15">
      <c r="A547" s="330">
        <v>3727589</v>
      </c>
      <c r="B547" s="330" t="s">
        <v>1471</v>
      </c>
      <c r="C547" s="330" t="s">
        <v>1551</v>
      </c>
      <c r="D547" s="330" t="s">
        <v>1473</v>
      </c>
      <c r="E547" s="330" t="s">
        <v>1530</v>
      </c>
      <c r="F547" s="332">
        <v>3</v>
      </c>
      <c r="G547" s="330" t="s">
        <v>19</v>
      </c>
      <c r="H547" s="330" t="s">
        <v>20</v>
      </c>
      <c r="I547" s="330" t="s">
        <v>1553</v>
      </c>
      <c r="J547" s="330" t="s">
        <v>1475</v>
      </c>
      <c r="K547" s="330" t="s">
        <v>1572</v>
      </c>
      <c r="L547" s="330">
        <v>25</v>
      </c>
      <c r="M547" s="330" t="s">
        <v>1525</v>
      </c>
      <c r="N547" s="330">
        <v>1240</v>
      </c>
      <c r="O547" s="330">
        <v>1240</v>
      </c>
      <c r="P547" s="330">
        <v>2000</v>
      </c>
      <c r="Q547" s="330">
        <v>1</v>
      </c>
      <c r="R547" s="330">
        <v>6</v>
      </c>
      <c r="S547" s="330" t="s">
        <v>1477</v>
      </c>
      <c r="T547" s="330" t="s">
        <v>1478</v>
      </c>
      <c r="U547" s="330" t="s">
        <v>1526</v>
      </c>
      <c r="V547" s="330" t="s">
        <v>1480</v>
      </c>
      <c r="W547" s="330" t="s">
        <v>1481</v>
      </c>
      <c r="X547" s="330" t="s">
        <v>1482</v>
      </c>
      <c r="Y547" s="143"/>
      <c r="Z547" s="146" t="str">
        <f t="shared" ca="1" si="8"/>
        <v/>
      </c>
      <c r="AA547" s="146" t="str">
        <f ca="1">IFERROR(IF(OR(OFFSET('S4'!#REF!,MATCH($A547,'S4'!$D$5:$D$2535,0)-1,6)="巻返し",OFFSET('S4'!#REF!,MATCH($A547,'S4'!$D$5:$D$2535,0)-1,6)="スリット"),SUMIF('S4'!$D$5:$D$2535,$A547,'S4'!$U$5:$U$2535),""),"")</f>
        <v/>
      </c>
      <c r="AB547" s="146" t="str">
        <f ca="1">IFERROR(IF(OR(OFFSET('S5'!#REF!,MATCH($A547,'S5'!$D$5:$D$2103,0)-1,6)="巻返し",OFFSET('S5'!#REF!,MATCH($A547,'S5'!$D$5:$D$2103,0)-1,6)="スリット"),SUMIF('S5'!$D$5:$D$2103,$A547,'S5'!$T$5:$T$2103),""),"")</f>
        <v/>
      </c>
    </row>
    <row r="548" spans="1:28" s="141" customFormat="1" ht="13.5" x14ac:dyDescent="0.15">
      <c r="A548" s="330">
        <v>3727591</v>
      </c>
      <c r="B548" s="330" t="s">
        <v>1471</v>
      </c>
      <c r="C548" s="330" t="s">
        <v>1495</v>
      </c>
      <c r="D548" s="330" t="s">
        <v>1473</v>
      </c>
      <c r="E548" s="330" t="s">
        <v>1532</v>
      </c>
      <c r="F548" s="332">
        <v>3</v>
      </c>
      <c r="G548" s="330" t="s">
        <v>19</v>
      </c>
      <c r="H548" s="330" t="s">
        <v>20</v>
      </c>
      <c r="I548" s="330" t="s">
        <v>1555</v>
      </c>
      <c r="J548" s="330" t="s">
        <v>1475</v>
      </c>
      <c r="K548" s="330" t="s">
        <v>1576</v>
      </c>
      <c r="L548" s="330">
        <v>50</v>
      </c>
      <c r="M548" s="330" t="s">
        <v>1533</v>
      </c>
      <c r="N548" s="330">
        <v>1120</v>
      </c>
      <c r="O548" s="330">
        <v>1120</v>
      </c>
      <c r="P548" s="330">
        <v>5000</v>
      </c>
      <c r="Q548" s="330">
        <v>2</v>
      </c>
      <c r="R548" s="330">
        <v>3</v>
      </c>
      <c r="S548" s="330" t="s">
        <v>1477</v>
      </c>
      <c r="T548" s="330" t="s">
        <v>1478</v>
      </c>
      <c r="U548" s="330" t="s">
        <v>1526</v>
      </c>
      <c r="V548" s="330" t="s">
        <v>1480</v>
      </c>
      <c r="W548" s="330" t="s">
        <v>1481</v>
      </c>
      <c r="X548" s="330" t="s">
        <v>1482</v>
      </c>
      <c r="Y548" s="143"/>
      <c r="Z548" s="146" t="str">
        <f t="shared" ca="1" si="8"/>
        <v/>
      </c>
      <c r="AA548" s="146" t="str">
        <f ca="1">IFERROR(IF(OR(OFFSET('S4'!#REF!,MATCH($A548,'S4'!$D$5:$D$2535,0)-1,6)="巻返し",OFFSET('S4'!#REF!,MATCH($A548,'S4'!$D$5:$D$2535,0)-1,6)="スリット"),SUMIF('S4'!$D$5:$D$2535,$A548,'S4'!$U$5:$U$2535),""),"")</f>
        <v/>
      </c>
      <c r="AB548" s="146" t="str">
        <f ca="1">IFERROR(IF(OR(OFFSET('S5'!#REF!,MATCH($A548,'S5'!$D$5:$D$2103,0)-1,6)="巻返し",OFFSET('S5'!#REF!,MATCH($A548,'S5'!$D$5:$D$2103,0)-1,6)="スリット"),SUMIF('S5'!$D$5:$D$2103,$A548,'S5'!$T$5:$T$2103),""),"")</f>
        <v/>
      </c>
    </row>
    <row r="549" spans="1:28" s="141" customFormat="1" ht="13.5" x14ac:dyDescent="0.15">
      <c r="A549" s="330">
        <v>3727592</v>
      </c>
      <c r="B549" s="330" t="s">
        <v>1471</v>
      </c>
      <c r="C549" s="330" t="s">
        <v>1495</v>
      </c>
      <c r="D549" s="330" t="s">
        <v>1473</v>
      </c>
      <c r="E549" s="330" t="s">
        <v>1532</v>
      </c>
      <c r="F549" s="332">
        <v>3</v>
      </c>
      <c r="G549" s="330" t="s">
        <v>19</v>
      </c>
      <c r="H549" s="330" t="s">
        <v>20</v>
      </c>
      <c r="I549" s="330" t="s">
        <v>1555</v>
      </c>
      <c r="J549" s="330" t="s">
        <v>1475</v>
      </c>
      <c r="K549" s="330" t="s">
        <v>1577</v>
      </c>
      <c r="L549" s="330">
        <v>50</v>
      </c>
      <c r="M549" s="330" t="s">
        <v>1534</v>
      </c>
      <c r="N549" s="330">
        <v>1120</v>
      </c>
      <c r="O549" s="330">
        <v>1120</v>
      </c>
      <c r="P549" s="330">
        <v>4000</v>
      </c>
      <c r="Q549" s="330">
        <v>2</v>
      </c>
      <c r="R549" s="330">
        <v>6</v>
      </c>
      <c r="S549" s="330" t="s">
        <v>1477</v>
      </c>
      <c r="T549" s="330" t="s">
        <v>1478</v>
      </c>
      <c r="U549" s="330" t="s">
        <v>1526</v>
      </c>
      <c r="V549" s="330" t="s">
        <v>1480</v>
      </c>
      <c r="W549" s="330" t="s">
        <v>1481</v>
      </c>
      <c r="X549" s="330" t="s">
        <v>1482</v>
      </c>
      <c r="Y549" s="143"/>
      <c r="Z549" s="146" t="str">
        <f t="shared" ca="1" si="8"/>
        <v/>
      </c>
      <c r="AA549" s="146" t="str">
        <f ca="1">IFERROR(IF(OR(OFFSET('S4'!#REF!,MATCH($A549,'S4'!$D$5:$D$2535,0)-1,6)="巻返し",OFFSET('S4'!#REF!,MATCH($A549,'S4'!$D$5:$D$2535,0)-1,6)="スリット"),SUMIF('S4'!$D$5:$D$2535,$A549,'S4'!$U$5:$U$2535),""),"")</f>
        <v/>
      </c>
      <c r="AB549" s="146" t="str">
        <f ca="1">IFERROR(IF(OR(OFFSET('S5'!#REF!,MATCH($A549,'S5'!$D$5:$D$2103,0)-1,6)="巻返し",OFFSET('S5'!#REF!,MATCH($A549,'S5'!$D$5:$D$2103,0)-1,6)="スリット"),SUMIF('S5'!$D$5:$D$2103,$A549,'S5'!$T$5:$T$2103),""),"")</f>
        <v/>
      </c>
    </row>
    <row r="550" spans="1:28" s="141" customFormat="1" ht="13.5" x14ac:dyDescent="0.15">
      <c r="A550" s="330">
        <v>3727593</v>
      </c>
      <c r="B550" s="330" t="s">
        <v>1471</v>
      </c>
      <c r="C550" s="330" t="s">
        <v>1510</v>
      </c>
      <c r="D550" s="330" t="s">
        <v>1473</v>
      </c>
      <c r="E550" s="330" t="s">
        <v>1511</v>
      </c>
      <c r="F550" s="332">
        <v>3</v>
      </c>
      <c r="G550" s="330" t="s">
        <v>19</v>
      </c>
      <c r="H550" s="330" t="s">
        <v>20</v>
      </c>
      <c r="I550" s="330" t="s">
        <v>1553</v>
      </c>
      <c r="J550" s="330" t="s">
        <v>1475</v>
      </c>
      <c r="K550" s="330" t="s">
        <v>1578</v>
      </c>
      <c r="L550" s="330">
        <v>25</v>
      </c>
      <c r="M550" s="330" t="s">
        <v>1535</v>
      </c>
      <c r="N550" s="330">
        <v>1120</v>
      </c>
      <c r="O550" s="330">
        <v>1120</v>
      </c>
      <c r="P550" s="330">
        <v>4000</v>
      </c>
      <c r="Q550" s="330">
        <v>2</v>
      </c>
      <c r="R550" s="330">
        <v>3</v>
      </c>
      <c r="S550" s="330" t="s">
        <v>1477</v>
      </c>
      <c r="T550" s="330" t="s">
        <v>1478</v>
      </c>
      <c r="U550" s="330" t="s">
        <v>1536</v>
      </c>
      <c r="V550" s="330" t="s">
        <v>1480</v>
      </c>
      <c r="W550" s="330" t="s">
        <v>1481</v>
      </c>
      <c r="X550" s="330" t="s">
        <v>1482</v>
      </c>
      <c r="Y550" s="143"/>
      <c r="Z550" s="146" t="str">
        <f t="shared" ca="1" si="8"/>
        <v/>
      </c>
      <c r="AA550" s="146" t="str">
        <f ca="1">IFERROR(IF(OR(OFFSET('S4'!#REF!,MATCH($A550,'S4'!$D$5:$D$2535,0)-1,6)="巻返し",OFFSET('S4'!#REF!,MATCH($A550,'S4'!$D$5:$D$2535,0)-1,6)="スリット"),SUMIF('S4'!$D$5:$D$2535,$A550,'S4'!$U$5:$U$2535),""),"")</f>
        <v/>
      </c>
      <c r="AB550" s="146" t="str">
        <f ca="1">IFERROR(IF(OR(OFFSET('S5'!#REF!,MATCH($A550,'S5'!$D$5:$D$2103,0)-1,6)="巻返し",OFFSET('S5'!#REF!,MATCH($A550,'S5'!$D$5:$D$2103,0)-1,6)="スリット"),SUMIF('S5'!$D$5:$D$2103,$A550,'S5'!$T$5:$T$2103),""),"")</f>
        <v/>
      </c>
    </row>
    <row r="551" spans="1:28" s="141" customFormat="1" ht="13.5" x14ac:dyDescent="0.15">
      <c r="A551" s="330">
        <v>3727594</v>
      </c>
      <c r="B551" s="330" t="s">
        <v>1471</v>
      </c>
      <c r="C551" s="330" t="s">
        <v>1510</v>
      </c>
      <c r="D551" s="330" t="s">
        <v>1473</v>
      </c>
      <c r="E551" s="330" t="s">
        <v>1511</v>
      </c>
      <c r="F551" s="332">
        <v>3</v>
      </c>
      <c r="G551" s="330" t="s">
        <v>1645</v>
      </c>
      <c r="H551" s="330" t="s">
        <v>1646</v>
      </c>
      <c r="I551" s="330" t="s">
        <v>531</v>
      </c>
      <c r="J551" s="330" t="s">
        <v>1475</v>
      </c>
      <c r="K551" s="330" t="s">
        <v>1578</v>
      </c>
      <c r="L551" s="330">
        <v>50</v>
      </c>
      <c r="M551" s="330" t="s">
        <v>1535</v>
      </c>
      <c r="N551" s="330">
        <v>1120</v>
      </c>
      <c r="O551" s="330">
        <v>1120</v>
      </c>
      <c r="P551" s="330">
        <v>4000</v>
      </c>
      <c r="Q551" s="330">
        <v>2</v>
      </c>
      <c r="R551" s="330">
        <v>18</v>
      </c>
      <c r="S551" s="330" t="s">
        <v>1477</v>
      </c>
      <c r="T551" s="330" t="s">
        <v>1478</v>
      </c>
      <c r="U551" s="330" t="s">
        <v>1536</v>
      </c>
      <c r="V551" s="330" t="s">
        <v>1480</v>
      </c>
      <c r="W551" s="330" t="s">
        <v>1481</v>
      </c>
      <c r="X551" s="330" t="s">
        <v>1482</v>
      </c>
      <c r="Y551" s="143"/>
      <c r="Z551" s="146" t="str">
        <f t="shared" ca="1" si="8"/>
        <v/>
      </c>
      <c r="AA551" s="146" t="str">
        <f ca="1">IFERROR(IF(OR(OFFSET('S4'!#REF!,MATCH($A551,'S4'!$D$5:$D$2535,0)-1,6)="巻返し",OFFSET('S4'!#REF!,MATCH($A551,'S4'!$D$5:$D$2535,0)-1,6)="スリット"),SUMIF('S4'!$D$5:$D$2535,$A551,'S4'!$U$5:$U$2535),""),"")</f>
        <v/>
      </c>
      <c r="AB551" s="146" t="str">
        <f ca="1">IFERROR(IF(OR(OFFSET('S5'!#REF!,MATCH($A551,'S5'!$D$5:$D$2103,0)-1,6)="巻返し",OFFSET('S5'!#REF!,MATCH($A551,'S5'!$D$5:$D$2103,0)-1,6)="スリット"),SUMIF('S5'!$D$5:$D$2103,$A551,'S5'!$T$5:$T$2103),""),"")</f>
        <v/>
      </c>
    </row>
    <row r="552" spans="1:28" s="141" customFormat="1" ht="13.5" x14ac:dyDescent="0.15">
      <c r="A552" s="330">
        <v>3727595</v>
      </c>
      <c r="B552" s="330" t="s">
        <v>1471</v>
      </c>
      <c r="C552" s="330" t="s">
        <v>1510</v>
      </c>
      <c r="D552" s="330" t="s">
        <v>1473</v>
      </c>
      <c r="E552" s="330" t="s">
        <v>1511</v>
      </c>
      <c r="F552" s="332">
        <v>3</v>
      </c>
      <c r="G552" s="330" t="s">
        <v>19</v>
      </c>
      <c r="H552" s="330" t="s">
        <v>20</v>
      </c>
      <c r="I552" s="330" t="s">
        <v>1553</v>
      </c>
      <c r="J552" s="330" t="s">
        <v>1475</v>
      </c>
      <c r="K552" s="330" t="s">
        <v>1578</v>
      </c>
      <c r="L552" s="330">
        <v>50</v>
      </c>
      <c r="M552" s="330" t="s">
        <v>1535</v>
      </c>
      <c r="N552" s="330">
        <v>1120</v>
      </c>
      <c r="O552" s="330">
        <v>1120</v>
      </c>
      <c r="P552" s="330">
        <v>4000</v>
      </c>
      <c r="Q552" s="330">
        <v>2</v>
      </c>
      <c r="R552" s="330">
        <v>9</v>
      </c>
      <c r="S552" s="330" t="s">
        <v>1477</v>
      </c>
      <c r="T552" s="330" t="s">
        <v>1478</v>
      </c>
      <c r="U552" s="330" t="s">
        <v>1536</v>
      </c>
      <c r="V552" s="330" t="s">
        <v>1480</v>
      </c>
      <c r="W552" s="330" t="s">
        <v>1481</v>
      </c>
      <c r="X552" s="330" t="s">
        <v>1482</v>
      </c>
      <c r="Y552" s="143"/>
      <c r="Z552" s="146" t="str">
        <f t="shared" ca="1" si="8"/>
        <v/>
      </c>
      <c r="AA552" s="146" t="str">
        <f ca="1">IFERROR(IF(OR(OFFSET('S4'!#REF!,MATCH($A552,'S4'!$D$5:$D$2535,0)-1,6)="巻返し",OFFSET('S4'!#REF!,MATCH($A552,'S4'!$D$5:$D$2535,0)-1,6)="スリット"),SUMIF('S4'!$D$5:$D$2535,$A552,'S4'!$U$5:$U$2535),""),"")</f>
        <v/>
      </c>
      <c r="AB552" s="146" t="str">
        <f ca="1">IFERROR(IF(OR(OFFSET('S5'!#REF!,MATCH($A552,'S5'!$D$5:$D$2103,0)-1,6)="巻返し",OFFSET('S5'!#REF!,MATCH($A552,'S5'!$D$5:$D$2103,0)-1,6)="スリット"),SUMIF('S5'!$D$5:$D$2103,$A552,'S5'!$T$5:$T$2103),""),"")</f>
        <v/>
      </c>
    </row>
    <row r="553" spans="1:28" s="141" customFormat="1" ht="13.5" x14ac:dyDescent="0.15">
      <c r="A553" s="330">
        <v>3727596</v>
      </c>
      <c r="B553" s="330" t="s">
        <v>1471</v>
      </c>
      <c r="C553" s="330" t="s">
        <v>1510</v>
      </c>
      <c r="D553" s="330" t="s">
        <v>1473</v>
      </c>
      <c r="E553" s="330" t="s">
        <v>1511</v>
      </c>
      <c r="F553" s="332">
        <v>3</v>
      </c>
      <c r="G553" s="330" t="s">
        <v>19</v>
      </c>
      <c r="H553" s="330" t="s">
        <v>20</v>
      </c>
      <c r="I553" s="330" t="s">
        <v>1553</v>
      </c>
      <c r="J553" s="330" t="s">
        <v>1475</v>
      </c>
      <c r="K553" s="330" t="s">
        <v>1579</v>
      </c>
      <c r="L553" s="330">
        <v>38</v>
      </c>
      <c r="M553" s="330" t="s">
        <v>1537</v>
      </c>
      <c r="N553" s="330">
        <v>1005</v>
      </c>
      <c r="O553" s="330">
        <v>1000</v>
      </c>
      <c r="P553" s="330">
        <v>4100</v>
      </c>
      <c r="Q553" s="330">
        <v>2</v>
      </c>
      <c r="R553" s="330">
        <v>2</v>
      </c>
      <c r="S553" s="330" t="s">
        <v>1477</v>
      </c>
      <c r="T553" s="330" t="s">
        <v>1478</v>
      </c>
      <c r="U553" s="330" t="s">
        <v>1536</v>
      </c>
      <c r="V553" s="330" t="s">
        <v>1480</v>
      </c>
      <c r="W553" s="330" t="s">
        <v>1481</v>
      </c>
      <c r="X553" s="330" t="s">
        <v>1482</v>
      </c>
      <c r="Y553" s="143"/>
      <c r="Z553" s="146" t="str">
        <f t="shared" ca="1" si="8"/>
        <v/>
      </c>
      <c r="AA553" s="146" t="str">
        <f ca="1">IFERROR(IF(OR(OFFSET('S4'!#REF!,MATCH($A553,'S4'!$D$5:$D$2535,0)-1,6)="巻返し",OFFSET('S4'!#REF!,MATCH($A553,'S4'!$D$5:$D$2535,0)-1,6)="スリット"),SUMIF('S4'!$D$5:$D$2535,$A553,'S4'!$U$5:$U$2535),""),"")</f>
        <v/>
      </c>
      <c r="AB553" s="146" t="str">
        <f ca="1">IFERROR(IF(OR(OFFSET('S5'!#REF!,MATCH($A553,'S5'!$D$5:$D$2103,0)-1,6)="巻返し",OFFSET('S5'!#REF!,MATCH($A553,'S5'!$D$5:$D$2103,0)-1,6)="スリット"),SUMIF('S5'!$D$5:$D$2103,$A553,'S5'!$T$5:$T$2103),""),"")</f>
        <v/>
      </c>
    </row>
    <row r="554" spans="1:28" s="141" customFormat="1" ht="13.5" x14ac:dyDescent="0.15">
      <c r="A554" s="330">
        <v>3727597</v>
      </c>
      <c r="B554" s="330" t="s">
        <v>1471</v>
      </c>
      <c r="C554" s="330" t="s">
        <v>1510</v>
      </c>
      <c r="D554" s="330" t="s">
        <v>1473</v>
      </c>
      <c r="E554" s="330" t="s">
        <v>1511</v>
      </c>
      <c r="F554" s="332">
        <v>3</v>
      </c>
      <c r="G554" s="330" t="s">
        <v>19</v>
      </c>
      <c r="H554" s="330" t="s">
        <v>20</v>
      </c>
      <c r="I554" s="330" t="s">
        <v>1553</v>
      </c>
      <c r="J554" s="330" t="s">
        <v>1475</v>
      </c>
      <c r="K554" s="330" t="s">
        <v>1579</v>
      </c>
      <c r="L554" s="330">
        <v>50</v>
      </c>
      <c r="M554" s="330" t="s">
        <v>1537</v>
      </c>
      <c r="N554" s="330">
        <v>1050</v>
      </c>
      <c r="O554" s="330">
        <v>1050</v>
      </c>
      <c r="P554" s="330">
        <v>4100</v>
      </c>
      <c r="Q554" s="330">
        <v>2</v>
      </c>
      <c r="R554" s="330">
        <v>5</v>
      </c>
      <c r="S554" s="330" t="s">
        <v>1477</v>
      </c>
      <c r="T554" s="330" t="s">
        <v>1478</v>
      </c>
      <c r="U554" s="330" t="s">
        <v>1536</v>
      </c>
      <c r="V554" s="330" t="s">
        <v>1480</v>
      </c>
      <c r="W554" s="330" t="s">
        <v>1481</v>
      </c>
      <c r="X554" s="330" t="s">
        <v>1482</v>
      </c>
      <c r="Y554" s="143"/>
      <c r="Z554" s="146" t="str">
        <f t="shared" ca="1" si="8"/>
        <v/>
      </c>
      <c r="AA554" s="146" t="str">
        <f ca="1">IFERROR(IF(OR(OFFSET('S4'!#REF!,MATCH($A554,'S4'!$D$5:$D$2535,0)-1,6)="巻返し",OFFSET('S4'!#REF!,MATCH($A554,'S4'!$D$5:$D$2535,0)-1,6)="スリット"),SUMIF('S4'!$D$5:$D$2535,$A554,'S4'!$U$5:$U$2535),""),"")</f>
        <v/>
      </c>
      <c r="AB554" s="146" t="str">
        <f ca="1">IFERROR(IF(OR(OFFSET('S5'!#REF!,MATCH($A554,'S5'!$D$5:$D$2103,0)-1,6)="巻返し",OFFSET('S5'!#REF!,MATCH($A554,'S5'!$D$5:$D$2103,0)-1,6)="スリット"),SUMIF('S5'!$D$5:$D$2103,$A554,'S5'!$T$5:$T$2103),""),"")</f>
        <v/>
      </c>
    </row>
    <row r="555" spans="1:28" s="141" customFormat="1" ht="13.5" x14ac:dyDescent="0.15">
      <c r="A555" s="330">
        <v>3727598</v>
      </c>
      <c r="B555" s="330" t="s">
        <v>1471</v>
      </c>
      <c r="C555" s="330" t="s">
        <v>1510</v>
      </c>
      <c r="D555" s="330" t="s">
        <v>1473</v>
      </c>
      <c r="E555" s="330" t="s">
        <v>1511</v>
      </c>
      <c r="F555" s="332">
        <v>3</v>
      </c>
      <c r="G555" s="330" t="s">
        <v>19</v>
      </c>
      <c r="H555" s="330" t="s">
        <v>20</v>
      </c>
      <c r="I555" s="330" t="s">
        <v>1553</v>
      </c>
      <c r="J555" s="330" t="s">
        <v>1475</v>
      </c>
      <c r="K555" s="330" t="s">
        <v>1580</v>
      </c>
      <c r="L555" s="330">
        <v>25</v>
      </c>
      <c r="M555" s="330" t="s">
        <v>1538</v>
      </c>
      <c r="N555" s="330">
        <v>1005</v>
      </c>
      <c r="O555" s="330">
        <v>1000</v>
      </c>
      <c r="P555" s="330">
        <v>4000</v>
      </c>
      <c r="Q555" s="330">
        <v>2</v>
      </c>
      <c r="R555" s="330">
        <v>15</v>
      </c>
      <c r="S555" s="330" t="s">
        <v>1477</v>
      </c>
      <c r="T555" s="330" t="s">
        <v>1478</v>
      </c>
      <c r="U555" s="330" t="s">
        <v>1536</v>
      </c>
      <c r="V555" s="330" t="s">
        <v>1480</v>
      </c>
      <c r="W555" s="330" t="s">
        <v>1481</v>
      </c>
      <c r="X555" s="330" t="s">
        <v>1482</v>
      </c>
      <c r="Y555" s="143"/>
      <c r="Z555" s="146" t="str">
        <f t="shared" ca="1" si="8"/>
        <v/>
      </c>
      <c r="AA555" s="146" t="str">
        <f ca="1">IFERROR(IF(OR(OFFSET('S4'!#REF!,MATCH($A555,'S4'!$D$5:$D$2535,0)-1,6)="巻返し",OFFSET('S4'!#REF!,MATCH($A555,'S4'!$D$5:$D$2535,0)-1,6)="スリット"),SUMIF('S4'!$D$5:$D$2535,$A555,'S4'!$U$5:$U$2535),""),"")</f>
        <v/>
      </c>
      <c r="AB555" s="146" t="str">
        <f ca="1">IFERROR(IF(OR(OFFSET('S5'!#REF!,MATCH($A555,'S5'!$D$5:$D$2103,0)-1,6)="巻返し",OFFSET('S5'!#REF!,MATCH($A555,'S5'!$D$5:$D$2103,0)-1,6)="スリット"),SUMIF('S5'!$D$5:$D$2103,$A555,'S5'!$T$5:$T$2103),""),"")</f>
        <v/>
      </c>
    </row>
    <row r="556" spans="1:28" s="141" customFormat="1" ht="13.5" x14ac:dyDescent="0.15">
      <c r="A556" s="330">
        <v>3727599</v>
      </c>
      <c r="B556" s="330" t="s">
        <v>1471</v>
      </c>
      <c r="C556" s="330" t="s">
        <v>1510</v>
      </c>
      <c r="D556" s="330" t="s">
        <v>1473</v>
      </c>
      <c r="E556" s="330" t="s">
        <v>1511</v>
      </c>
      <c r="F556" s="332">
        <v>3</v>
      </c>
      <c r="G556" s="330" t="s">
        <v>19</v>
      </c>
      <c r="H556" s="330" t="s">
        <v>20</v>
      </c>
      <c r="I556" s="330" t="s">
        <v>1553</v>
      </c>
      <c r="J556" s="330" t="s">
        <v>1475</v>
      </c>
      <c r="K556" s="330" t="s">
        <v>1580</v>
      </c>
      <c r="L556" s="330">
        <v>25</v>
      </c>
      <c r="M556" s="330" t="s">
        <v>1538</v>
      </c>
      <c r="N556" s="330">
        <v>1125</v>
      </c>
      <c r="O556" s="330">
        <v>1120</v>
      </c>
      <c r="P556" s="330">
        <v>4000</v>
      </c>
      <c r="Q556" s="330">
        <v>2</v>
      </c>
      <c r="R556" s="330">
        <v>3</v>
      </c>
      <c r="S556" s="330" t="s">
        <v>1477</v>
      </c>
      <c r="T556" s="330" t="s">
        <v>1478</v>
      </c>
      <c r="U556" s="330" t="s">
        <v>1536</v>
      </c>
      <c r="V556" s="330" t="s">
        <v>1480</v>
      </c>
      <c r="W556" s="330" t="s">
        <v>1481</v>
      </c>
      <c r="X556" s="330" t="s">
        <v>1482</v>
      </c>
      <c r="Y556" s="143"/>
      <c r="Z556" s="146" t="str">
        <f t="shared" ca="1" si="8"/>
        <v/>
      </c>
      <c r="AA556" s="146" t="str">
        <f ca="1">IFERROR(IF(OR(OFFSET('S4'!#REF!,MATCH($A556,'S4'!$D$5:$D$2535,0)-1,6)="巻返し",OFFSET('S4'!#REF!,MATCH($A556,'S4'!$D$5:$D$2535,0)-1,6)="スリット"),SUMIF('S4'!$D$5:$D$2535,$A556,'S4'!$U$5:$U$2535),""),"")</f>
        <v/>
      </c>
      <c r="AB556" s="146" t="str">
        <f ca="1">IFERROR(IF(OR(OFFSET('S5'!#REF!,MATCH($A556,'S5'!$D$5:$D$2103,0)-1,6)="巻返し",OFFSET('S5'!#REF!,MATCH($A556,'S5'!$D$5:$D$2103,0)-1,6)="スリット"),SUMIF('S5'!$D$5:$D$2103,$A556,'S5'!$T$5:$T$2103),""),"")</f>
        <v/>
      </c>
    </row>
    <row r="557" spans="1:28" s="141" customFormat="1" ht="13.5" x14ac:dyDescent="0.15">
      <c r="A557" s="330">
        <v>3727600</v>
      </c>
      <c r="B557" s="330" t="s">
        <v>1471</v>
      </c>
      <c r="C557" s="330" t="s">
        <v>1510</v>
      </c>
      <c r="D557" s="330" t="s">
        <v>1473</v>
      </c>
      <c r="E557" s="330" t="s">
        <v>1511</v>
      </c>
      <c r="F557" s="332">
        <v>3</v>
      </c>
      <c r="G557" s="330" t="s">
        <v>19</v>
      </c>
      <c r="H557" s="330" t="s">
        <v>20</v>
      </c>
      <c r="I557" s="330" t="s">
        <v>1553</v>
      </c>
      <c r="J557" s="330" t="s">
        <v>1475</v>
      </c>
      <c r="K557" s="330" t="s">
        <v>1580</v>
      </c>
      <c r="L557" s="330">
        <v>50</v>
      </c>
      <c r="M557" s="330" t="s">
        <v>1538</v>
      </c>
      <c r="N557" s="330">
        <v>1120</v>
      </c>
      <c r="O557" s="330">
        <v>1120</v>
      </c>
      <c r="P557" s="330">
        <v>5000</v>
      </c>
      <c r="Q557" s="330">
        <v>2</v>
      </c>
      <c r="R557" s="330">
        <v>36</v>
      </c>
      <c r="S557" s="330" t="s">
        <v>1477</v>
      </c>
      <c r="T557" s="330" t="s">
        <v>1478</v>
      </c>
      <c r="U557" s="330" t="s">
        <v>1539</v>
      </c>
      <c r="V557" s="330" t="s">
        <v>1480</v>
      </c>
      <c r="W557" s="330" t="s">
        <v>1481</v>
      </c>
      <c r="X557" s="330" t="s">
        <v>1482</v>
      </c>
      <c r="Y557" s="143"/>
      <c r="Z557" s="146" t="str">
        <f t="shared" ca="1" si="8"/>
        <v/>
      </c>
      <c r="AA557" s="146" t="str">
        <f ca="1">IFERROR(IF(OR(OFFSET('S4'!#REF!,MATCH($A557,'S4'!$D$5:$D$2535,0)-1,6)="巻返し",OFFSET('S4'!#REF!,MATCH($A557,'S4'!$D$5:$D$2535,0)-1,6)="スリット"),SUMIF('S4'!$D$5:$D$2535,$A557,'S4'!$U$5:$U$2535),""),"")</f>
        <v/>
      </c>
      <c r="AB557" s="146" t="str">
        <f ca="1">IFERROR(IF(OR(OFFSET('S5'!#REF!,MATCH($A557,'S5'!$D$5:$D$2103,0)-1,6)="巻返し",OFFSET('S5'!#REF!,MATCH($A557,'S5'!$D$5:$D$2103,0)-1,6)="スリット"),SUMIF('S5'!$D$5:$D$2103,$A557,'S5'!$T$5:$T$2103),""),"")</f>
        <v/>
      </c>
    </row>
    <row r="558" spans="1:28" s="141" customFormat="1" ht="13.5" x14ac:dyDescent="0.15">
      <c r="A558" s="330">
        <v>3727601</v>
      </c>
      <c r="B558" s="330" t="s">
        <v>1471</v>
      </c>
      <c r="C558" s="330" t="s">
        <v>1510</v>
      </c>
      <c r="D558" s="330" t="s">
        <v>1473</v>
      </c>
      <c r="E558" s="330" t="s">
        <v>1511</v>
      </c>
      <c r="F558" s="332">
        <v>3</v>
      </c>
      <c r="G558" s="330" t="s">
        <v>19</v>
      </c>
      <c r="H558" s="330" t="s">
        <v>20</v>
      </c>
      <c r="I558" s="330" t="s">
        <v>1553</v>
      </c>
      <c r="J558" s="330" t="s">
        <v>1475</v>
      </c>
      <c r="K558" s="330" t="s">
        <v>1581</v>
      </c>
      <c r="L558" s="330">
        <v>50</v>
      </c>
      <c r="M558" s="330" t="s">
        <v>1540</v>
      </c>
      <c r="N558" s="330">
        <v>1000</v>
      </c>
      <c r="O558" s="330">
        <v>1000</v>
      </c>
      <c r="P558" s="330">
        <v>4000</v>
      </c>
      <c r="Q558" s="330">
        <v>2</v>
      </c>
      <c r="R558" s="330">
        <v>15</v>
      </c>
      <c r="S558" s="330" t="s">
        <v>1477</v>
      </c>
      <c r="T558" s="330" t="s">
        <v>1478</v>
      </c>
      <c r="U558" s="330" t="s">
        <v>1536</v>
      </c>
      <c r="V558" s="330" t="s">
        <v>1480</v>
      </c>
      <c r="W558" s="330" t="s">
        <v>1481</v>
      </c>
      <c r="X558" s="330" t="s">
        <v>1482</v>
      </c>
      <c r="Y558" s="143"/>
      <c r="Z558" s="146" t="str">
        <f t="shared" ca="1" si="8"/>
        <v/>
      </c>
      <c r="AA558" s="146" t="str">
        <f ca="1">IFERROR(IF(OR(OFFSET('S4'!#REF!,MATCH($A558,'S4'!$D$5:$D$2535,0)-1,6)="巻返し",OFFSET('S4'!#REF!,MATCH($A558,'S4'!$D$5:$D$2535,0)-1,6)="スリット"),SUMIF('S4'!$D$5:$D$2535,$A558,'S4'!$U$5:$U$2535),""),"")</f>
        <v/>
      </c>
      <c r="AB558" s="146" t="str">
        <f ca="1">IFERROR(IF(OR(OFFSET('S5'!#REF!,MATCH($A558,'S5'!$D$5:$D$2103,0)-1,6)="巻返し",OFFSET('S5'!#REF!,MATCH($A558,'S5'!$D$5:$D$2103,0)-1,6)="スリット"),SUMIF('S5'!$D$5:$D$2103,$A558,'S5'!$T$5:$T$2103),""),"")</f>
        <v/>
      </c>
    </row>
    <row r="559" spans="1:28" s="141" customFormat="1" ht="13.5" x14ac:dyDescent="0.15">
      <c r="A559" s="330">
        <v>3727602</v>
      </c>
      <c r="B559" s="330" t="s">
        <v>1471</v>
      </c>
      <c r="C559" s="330" t="s">
        <v>1510</v>
      </c>
      <c r="D559" s="330" t="s">
        <v>1473</v>
      </c>
      <c r="E559" s="330" t="s">
        <v>1511</v>
      </c>
      <c r="F559" s="332" t="s">
        <v>1602</v>
      </c>
      <c r="G559" s="330" t="s">
        <v>1589</v>
      </c>
      <c r="H559" s="330" t="s">
        <v>20</v>
      </c>
      <c r="I559" s="330" t="s">
        <v>1555</v>
      </c>
      <c r="J559" s="330" t="s">
        <v>1475</v>
      </c>
      <c r="K559" s="330" t="s">
        <v>1582</v>
      </c>
      <c r="L559" s="330">
        <v>50</v>
      </c>
      <c r="M559" s="330" t="s">
        <v>1541</v>
      </c>
      <c r="N559" s="330">
        <v>1005</v>
      </c>
      <c r="O559" s="330">
        <v>1000</v>
      </c>
      <c r="P559" s="330">
        <v>4000</v>
      </c>
      <c r="Q559" s="330">
        <v>2</v>
      </c>
      <c r="R559" s="330">
        <v>2</v>
      </c>
      <c r="S559" s="330" t="s">
        <v>1477</v>
      </c>
      <c r="T559" s="330" t="s">
        <v>1478</v>
      </c>
      <c r="U559" s="330" t="s">
        <v>1536</v>
      </c>
      <c r="V559" s="330" t="s">
        <v>1480</v>
      </c>
      <c r="W559" s="330" t="s">
        <v>1481</v>
      </c>
      <c r="X559" s="330" t="s">
        <v>1482</v>
      </c>
      <c r="Y559" s="143"/>
      <c r="Z559" s="146" t="str">
        <f t="shared" ca="1" si="8"/>
        <v/>
      </c>
      <c r="AA559" s="146" t="str">
        <f ca="1">IFERROR(IF(OR(OFFSET('S4'!#REF!,MATCH($A559,'S4'!$D$5:$D$2535,0)-1,6)="巻返し",OFFSET('S4'!#REF!,MATCH($A559,'S4'!$D$5:$D$2535,0)-1,6)="スリット"),SUMIF('S4'!$D$5:$D$2535,$A559,'S4'!$U$5:$U$2535),""),"")</f>
        <v/>
      </c>
      <c r="AB559" s="146" t="str">
        <f ca="1">IFERROR(IF(OR(OFFSET('S5'!#REF!,MATCH($A559,'S5'!$D$5:$D$2103,0)-1,6)="巻返し",OFFSET('S5'!#REF!,MATCH($A559,'S5'!$D$5:$D$2103,0)-1,6)="スリット"),SUMIF('S5'!$D$5:$D$2103,$A559,'S5'!$T$5:$T$2103),""),"")</f>
        <v/>
      </c>
    </row>
    <row r="560" spans="1:28" s="141" customFormat="1" ht="13.5" x14ac:dyDescent="0.15">
      <c r="A560" s="330">
        <v>3727603</v>
      </c>
      <c r="B560" s="330" t="s">
        <v>1471</v>
      </c>
      <c r="C560" s="330" t="s">
        <v>1510</v>
      </c>
      <c r="D560" s="330" t="s">
        <v>1473</v>
      </c>
      <c r="E560" s="330" t="s">
        <v>1511</v>
      </c>
      <c r="F560" s="332" t="s">
        <v>1602</v>
      </c>
      <c r="G560" s="330" t="s">
        <v>19</v>
      </c>
      <c r="H560" s="330" t="s">
        <v>20</v>
      </c>
      <c r="I560" s="330" t="s">
        <v>1555</v>
      </c>
      <c r="J560" s="330" t="s">
        <v>1475</v>
      </c>
      <c r="K560" s="330" t="s">
        <v>1583</v>
      </c>
      <c r="L560" s="330">
        <v>50</v>
      </c>
      <c r="M560" s="330" t="s">
        <v>1542</v>
      </c>
      <c r="N560" s="330">
        <v>1005</v>
      </c>
      <c r="O560" s="330">
        <v>1000</v>
      </c>
      <c r="P560" s="330">
        <v>4100</v>
      </c>
      <c r="Q560" s="330">
        <v>2</v>
      </c>
      <c r="R560" s="330">
        <v>2</v>
      </c>
      <c r="S560" s="330" t="s">
        <v>1477</v>
      </c>
      <c r="T560" s="330" t="s">
        <v>1478</v>
      </c>
      <c r="U560" s="330" t="s">
        <v>1536</v>
      </c>
      <c r="V560" s="330" t="s">
        <v>1480</v>
      </c>
      <c r="W560" s="330" t="s">
        <v>1481</v>
      </c>
      <c r="X560" s="330" t="s">
        <v>1482</v>
      </c>
      <c r="Y560" s="143"/>
      <c r="Z560" s="146" t="str">
        <f t="shared" ca="1" si="8"/>
        <v/>
      </c>
      <c r="AA560" s="146" t="str">
        <f ca="1">IFERROR(IF(OR(OFFSET('S4'!#REF!,MATCH($A560,'S4'!$D$5:$D$2535,0)-1,6)="巻返し",OFFSET('S4'!#REF!,MATCH($A560,'S4'!$D$5:$D$2535,0)-1,6)="スリット"),SUMIF('S4'!$D$5:$D$2535,$A560,'S4'!$U$5:$U$2535),""),"")</f>
        <v/>
      </c>
      <c r="AB560" s="146" t="str">
        <f ca="1">IFERROR(IF(OR(OFFSET('S5'!#REF!,MATCH($A560,'S5'!$D$5:$D$2103,0)-1,6)="巻返し",OFFSET('S5'!#REF!,MATCH($A560,'S5'!$D$5:$D$2103,0)-1,6)="スリット"),SUMIF('S5'!$D$5:$D$2103,$A560,'S5'!$T$5:$T$2103),""),"")</f>
        <v/>
      </c>
    </row>
    <row r="561" spans="1:28" s="141" customFormat="1" ht="13.5" x14ac:dyDescent="0.15">
      <c r="A561" s="330">
        <v>3727604</v>
      </c>
      <c r="B561" s="330" t="s">
        <v>423</v>
      </c>
      <c r="C561" s="330" t="s">
        <v>1510</v>
      </c>
      <c r="D561" s="330" t="s">
        <v>1473</v>
      </c>
      <c r="E561" s="330" t="s">
        <v>1511</v>
      </c>
      <c r="F561" s="332">
        <v>3</v>
      </c>
      <c r="G561" s="330" t="s">
        <v>265</v>
      </c>
      <c r="H561" s="330" t="s">
        <v>20</v>
      </c>
      <c r="I561" s="330" t="s">
        <v>1555</v>
      </c>
      <c r="J561" s="330" t="s">
        <v>1475</v>
      </c>
      <c r="K561" s="330" t="s">
        <v>1584</v>
      </c>
      <c r="L561" s="330">
        <v>50</v>
      </c>
      <c r="M561" s="330" t="s">
        <v>1543</v>
      </c>
      <c r="N561" s="330">
        <v>1005</v>
      </c>
      <c r="O561" s="330">
        <v>1000</v>
      </c>
      <c r="P561" s="330">
        <v>4000</v>
      </c>
      <c r="Q561" s="330">
        <v>2</v>
      </c>
      <c r="R561" s="330">
        <v>2</v>
      </c>
      <c r="S561" s="330" t="s">
        <v>1477</v>
      </c>
      <c r="T561" s="330" t="s">
        <v>1478</v>
      </c>
      <c r="U561" s="330" t="s">
        <v>1536</v>
      </c>
      <c r="V561" s="330" t="s">
        <v>1480</v>
      </c>
      <c r="W561" s="330" t="s">
        <v>1481</v>
      </c>
      <c r="X561" s="330" t="s">
        <v>1482</v>
      </c>
      <c r="Y561" s="143"/>
      <c r="Z561" s="146" t="str">
        <f t="shared" ca="1" si="8"/>
        <v/>
      </c>
      <c r="AA561" s="146" t="str">
        <f ca="1">IFERROR(IF(OR(OFFSET('S4'!#REF!,MATCH($A561,'S4'!$D$5:$D$2535,0)-1,6)="巻返し",OFFSET('S4'!#REF!,MATCH($A561,'S4'!$D$5:$D$2535,0)-1,6)="スリット"),SUMIF('S4'!$D$5:$D$2535,$A561,'S4'!$U$5:$U$2535),""),"")</f>
        <v/>
      </c>
      <c r="AB561" s="146" t="str">
        <f ca="1">IFERROR(IF(OR(OFFSET('S5'!#REF!,MATCH($A561,'S5'!$D$5:$D$2103,0)-1,6)="巻返し",OFFSET('S5'!#REF!,MATCH($A561,'S5'!$D$5:$D$2103,0)-1,6)="スリット"),SUMIF('S5'!$D$5:$D$2103,$A561,'S5'!$T$5:$T$2103),""),"")</f>
        <v/>
      </c>
    </row>
    <row r="562" spans="1:28" s="141" customFormat="1" ht="13.5" x14ac:dyDescent="0.15">
      <c r="A562" s="330">
        <v>3727605</v>
      </c>
      <c r="B562" s="330" t="s">
        <v>423</v>
      </c>
      <c r="C562" s="330" t="s">
        <v>1510</v>
      </c>
      <c r="D562" s="330" t="s">
        <v>1473</v>
      </c>
      <c r="E562" s="330" t="s">
        <v>1511</v>
      </c>
      <c r="F562" s="332">
        <v>3</v>
      </c>
      <c r="G562" s="330" t="s">
        <v>265</v>
      </c>
      <c r="H562" s="330" t="s">
        <v>20</v>
      </c>
      <c r="I562" s="330" t="s">
        <v>1555</v>
      </c>
      <c r="J562" s="330" t="s">
        <v>1475</v>
      </c>
      <c r="K562" s="330" t="s">
        <v>1585</v>
      </c>
      <c r="L562" s="330">
        <v>50</v>
      </c>
      <c r="M562" s="330" t="s">
        <v>1544</v>
      </c>
      <c r="N562" s="330">
        <v>1005</v>
      </c>
      <c r="O562" s="330">
        <v>1000</v>
      </c>
      <c r="P562" s="330">
        <v>2000</v>
      </c>
      <c r="Q562" s="330">
        <v>2</v>
      </c>
      <c r="R562" s="330">
        <v>2</v>
      </c>
      <c r="S562" s="330" t="s">
        <v>1477</v>
      </c>
      <c r="T562" s="330" t="s">
        <v>1478</v>
      </c>
      <c r="U562" s="330" t="s">
        <v>1536</v>
      </c>
      <c r="V562" s="330" t="s">
        <v>1480</v>
      </c>
      <c r="W562" s="330" t="s">
        <v>1481</v>
      </c>
      <c r="X562" s="330" t="s">
        <v>1482</v>
      </c>
      <c r="Y562" s="143"/>
      <c r="Z562" s="146" t="str">
        <f t="shared" ca="1" si="8"/>
        <v/>
      </c>
      <c r="AA562" s="146" t="str">
        <f ca="1">IFERROR(IF(OR(OFFSET('S4'!#REF!,MATCH($A562,'S4'!$D$5:$D$2535,0)-1,6)="巻返し",OFFSET('S4'!#REF!,MATCH($A562,'S4'!$D$5:$D$2535,0)-1,6)="スリット"),SUMIF('S4'!$D$5:$D$2535,$A562,'S4'!$U$5:$U$2535),""),"")</f>
        <v/>
      </c>
      <c r="AB562" s="146" t="str">
        <f ca="1">IFERROR(IF(OR(OFFSET('S5'!#REF!,MATCH($A562,'S5'!$D$5:$D$2103,0)-1,6)="巻返し",OFFSET('S5'!#REF!,MATCH($A562,'S5'!$D$5:$D$2103,0)-1,6)="スリット"),SUMIF('S5'!$D$5:$D$2103,$A562,'S5'!$T$5:$T$2103),""),"")</f>
        <v/>
      </c>
    </row>
    <row r="563" spans="1:28" s="141" customFormat="1" ht="13.5" x14ac:dyDescent="0.15">
      <c r="A563" s="330">
        <v>3727606</v>
      </c>
      <c r="B563" s="330" t="s">
        <v>423</v>
      </c>
      <c r="C563" s="330" t="s">
        <v>1510</v>
      </c>
      <c r="D563" s="330" t="s">
        <v>1473</v>
      </c>
      <c r="E563" s="330" t="s">
        <v>1511</v>
      </c>
      <c r="F563" s="332">
        <v>3</v>
      </c>
      <c r="G563" s="330" t="s">
        <v>265</v>
      </c>
      <c r="H563" s="330" t="s">
        <v>20</v>
      </c>
      <c r="I563" s="330" t="s">
        <v>1555</v>
      </c>
      <c r="J563" s="330" t="s">
        <v>1475</v>
      </c>
      <c r="K563" s="330" t="s">
        <v>1585</v>
      </c>
      <c r="L563" s="330">
        <v>50</v>
      </c>
      <c r="M563" s="330" t="s">
        <v>1544</v>
      </c>
      <c r="N563" s="330">
        <v>1005</v>
      </c>
      <c r="O563" s="330">
        <v>1000</v>
      </c>
      <c r="P563" s="330">
        <v>4100</v>
      </c>
      <c r="Q563" s="330">
        <v>2</v>
      </c>
      <c r="R563" s="330">
        <v>5</v>
      </c>
      <c r="S563" s="330" t="s">
        <v>1477</v>
      </c>
      <c r="T563" s="330" t="s">
        <v>1478</v>
      </c>
      <c r="U563" s="330" t="s">
        <v>1536</v>
      </c>
      <c r="V563" s="330" t="s">
        <v>1480</v>
      </c>
      <c r="W563" s="330" t="s">
        <v>1481</v>
      </c>
      <c r="X563" s="330" t="s">
        <v>1482</v>
      </c>
      <c r="Y563" s="143"/>
      <c r="Z563" s="146" t="str">
        <f t="shared" ca="1" si="8"/>
        <v/>
      </c>
      <c r="AA563" s="146" t="str">
        <f ca="1">IFERROR(IF(OR(OFFSET('S4'!#REF!,MATCH($A563,'S4'!$D$5:$D$2535,0)-1,6)="巻返し",OFFSET('S4'!#REF!,MATCH($A563,'S4'!$D$5:$D$2535,0)-1,6)="スリット"),SUMIF('S4'!$D$5:$D$2535,$A563,'S4'!$U$5:$U$2535),""),"")</f>
        <v/>
      </c>
      <c r="AB563" s="146" t="str">
        <f ca="1">IFERROR(IF(OR(OFFSET('S5'!#REF!,MATCH($A563,'S5'!$D$5:$D$2103,0)-1,6)="巻返し",OFFSET('S5'!#REF!,MATCH($A563,'S5'!$D$5:$D$2103,0)-1,6)="スリット"),SUMIF('S5'!$D$5:$D$2103,$A563,'S5'!$T$5:$T$2103),""),"")</f>
        <v/>
      </c>
    </row>
    <row r="564" spans="1:28" s="141" customFormat="1" ht="13.5" x14ac:dyDescent="0.15">
      <c r="A564" s="330">
        <v>3727607</v>
      </c>
      <c r="B564" s="330" t="s">
        <v>1471</v>
      </c>
      <c r="C564" s="330" t="s">
        <v>1510</v>
      </c>
      <c r="D564" s="330" t="s">
        <v>1473</v>
      </c>
      <c r="E564" s="330" t="s">
        <v>1511</v>
      </c>
      <c r="F564" s="332">
        <v>3</v>
      </c>
      <c r="G564" s="330" t="s">
        <v>19</v>
      </c>
      <c r="H564" s="330" t="s">
        <v>20</v>
      </c>
      <c r="I564" s="330" t="s">
        <v>1555</v>
      </c>
      <c r="J564" s="330" t="s">
        <v>1475</v>
      </c>
      <c r="K564" s="330" t="s">
        <v>1586</v>
      </c>
      <c r="L564" s="330">
        <v>50</v>
      </c>
      <c r="M564" s="330" t="s">
        <v>1545</v>
      </c>
      <c r="N564" s="330">
        <v>1005</v>
      </c>
      <c r="O564" s="330">
        <v>1000</v>
      </c>
      <c r="P564" s="330">
        <v>2000</v>
      </c>
      <c r="Q564" s="330">
        <v>2</v>
      </c>
      <c r="R564" s="330">
        <v>4</v>
      </c>
      <c r="S564" s="330" t="s">
        <v>1477</v>
      </c>
      <c r="T564" s="330" t="s">
        <v>1478</v>
      </c>
      <c r="U564" s="330" t="s">
        <v>1546</v>
      </c>
      <c r="V564" s="330" t="s">
        <v>1480</v>
      </c>
      <c r="W564" s="330" t="s">
        <v>1481</v>
      </c>
      <c r="X564" s="330" t="s">
        <v>1482</v>
      </c>
      <c r="Y564" s="143"/>
      <c r="Z564" s="146" t="str">
        <f t="shared" ca="1" si="8"/>
        <v/>
      </c>
      <c r="AA564" s="146" t="str">
        <f ca="1">IFERROR(IF(OR(OFFSET('S4'!#REF!,MATCH($A564,'S4'!$D$5:$D$2535,0)-1,6)="巻返し",OFFSET('S4'!#REF!,MATCH($A564,'S4'!$D$5:$D$2535,0)-1,6)="スリット"),SUMIF('S4'!$D$5:$D$2535,$A564,'S4'!$U$5:$U$2535),""),"")</f>
        <v/>
      </c>
      <c r="AB564" s="146" t="str">
        <f ca="1">IFERROR(IF(OR(OFFSET('S5'!#REF!,MATCH($A564,'S5'!$D$5:$D$2103,0)-1,6)="巻返し",OFFSET('S5'!#REF!,MATCH($A564,'S5'!$D$5:$D$2103,0)-1,6)="スリット"),SUMIF('S5'!$D$5:$D$2103,$A564,'S5'!$T$5:$T$2103),""),"")</f>
        <v/>
      </c>
    </row>
    <row r="565" spans="1:28" s="141" customFormat="1" ht="13.5" x14ac:dyDescent="0.15">
      <c r="A565" s="330">
        <v>3727608</v>
      </c>
      <c r="B565" s="330" t="s">
        <v>1471</v>
      </c>
      <c r="C565" s="330" t="s">
        <v>1510</v>
      </c>
      <c r="D565" s="330" t="s">
        <v>1473</v>
      </c>
      <c r="E565" s="330" t="s">
        <v>1511</v>
      </c>
      <c r="F565" s="332">
        <v>3</v>
      </c>
      <c r="G565" s="330" t="s">
        <v>19</v>
      </c>
      <c r="H565" s="330" t="s">
        <v>20</v>
      </c>
      <c r="I565" s="330" t="s">
        <v>1553</v>
      </c>
      <c r="J565" s="330" t="s">
        <v>1475</v>
      </c>
      <c r="K565" s="330" t="s">
        <v>1580</v>
      </c>
      <c r="L565" s="330">
        <v>50</v>
      </c>
      <c r="M565" s="330" t="s">
        <v>1538</v>
      </c>
      <c r="N565" s="330">
        <v>1120</v>
      </c>
      <c r="O565" s="330">
        <v>1120</v>
      </c>
      <c r="P565" s="330">
        <v>5000</v>
      </c>
      <c r="Q565" s="330">
        <v>2</v>
      </c>
      <c r="R565" s="330">
        <v>46</v>
      </c>
      <c r="S565" s="330" t="s">
        <v>1477</v>
      </c>
      <c r="T565" s="330" t="s">
        <v>1478</v>
      </c>
      <c r="U565" s="330" t="s">
        <v>1536</v>
      </c>
      <c r="V565" s="330" t="s">
        <v>1480</v>
      </c>
      <c r="W565" s="330" t="s">
        <v>1481</v>
      </c>
      <c r="X565" s="330" t="s">
        <v>1482</v>
      </c>
      <c r="Y565" s="143"/>
      <c r="Z565" s="146" t="str">
        <f t="shared" ca="1" si="8"/>
        <v/>
      </c>
      <c r="AA565" s="146" t="str">
        <f ca="1">IFERROR(IF(OR(OFFSET('S4'!#REF!,MATCH($A565,'S4'!$D$5:$D$2535,0)-1,6)="巻返し",OFFSET('S4'!#REF!,MATCH($A565,'S4'!$D$5:$D$2535,0)-1,6)="スリット"),SUMIF('S4'!$D$5:$D$2535,$A565,'S4'!$U$5:$U$2535),""),"")</f>
        <v/>
      </c>
      <c r="AB565" s="146" t="str">
        <f ca="1">IFERROR(IF(OR(OFFSET('S5'!#REF!,MATCH($A565,'S5'!$D$5:$D$2103,0)-1,6)="巻返し",OFFSET('S5'!#REF!,MATCH($A565,'S5'!$D$5:$D$2103,0)-1,6)="スリット"),SUMIF('S5'!$D$5:$D$2103,$A565,'S5'!$T$5:$T$2103),""),"")</f>
        <v/>
      </c>
    </row>
    <row r="566" spans="1:28" s="141" customFormat="1" ht="13.5" x14ac:dyDescent="0.15">
      <c r="A566" s="330">
        <v>3727609</v>
      </c>
      <c r="B566" s="330" t="s">
        <v>1471</v>
      </c>
      <c r="C566" s="330" t="s">
        <v>1510</v>
      </c>
      <c r="D566" s="330" t="s">
        <v>1473</v>
      </c>
      <c r="E566" s="330" t="s">
        <v>1511</v>
      </c>
      <c r="F566" s="332">
        <v>3</v>
      </c>
      <c r="G566" s="330" t="s">
        <v>19</v>
      </c>
      <c r="H566" s="330" t="s">
        <v>20</v>
      </c>
      <c r="I566" s="330" t="s">
        <v>1553</v>
      </c>
      <c r="J566" s="330" t="s">
        <v>1475</v>
      </c>
      <c r="K566" s="330" t="s">
        <v>1581</v>
      </c>
      <c r="L566" s="330">
        <v>50</v>
      </c>
      <c r="M566" s="330" t="s">
        <v>1540</v>
      </c>
      <c r="N566" s="330">
        <v>1000</v>
      </c>
      <c r="O566" s="330">
        <v>1000</v>
      </c>
      <c r="P566" s="330">
        <v>4000</v>
      </c>
      <c r="Q566" s="330">
        <v>2</v>
      </c>
      <c r="R566" s="330">
        <v>4</v>
      </c>
      <c r="S566" s="330" t="s">
        <v>1477</v>
      </c>
      <c r="T566" s="330" t="s">
        <v>1478</v>
      </c>
      <c r="U566" s="330" t="s">
        <v>1536</v>
      </c>
      <c r="V566" s="330" t="s">
        <v>1480</v>
      </c>
      <c r="W566" s="330" t="s">
        <v>1481</v>
      </c>
      <c r="X566" s="330" t="s">
        <v>1482</v>
      </c>
      <c r="Y566" s="143"/>
      <c r="Z566" s="146" t="str">
        <f t="shared" ca="1" si="8"/>
        <v/>
      </c>
      <c r="AA566" s="146" t="str">
        <f ca="1">IFERROR(IF(OR(OFFSET('S4'!#REF!,MATCH($A566,'S4'!$D$5:$D$2535,0)-1,6)="巻返し",OFFSET('S4'!#REF!,MATCH($A566,'S4'!$D$5:$D$2535,0)-1,6)="スリット"),SUMIF('S4'!$D$5:$D$2535,$A566,'S4'!$U$5:$U$2535),""),"")</f>
        <v/>
      </c>
      <c r="AB566" s="146" t="str">
        <f ca="1">IFERROR(IF(OR(OFFSET('S5'!#REF!,MATCH($A566,'S5'!$D$5:$D$2103,0)-1,6)="巻返し",OFFSET('S5'!#REF!,MATCH($A566,'S5'!$D$5:$D$2103,0)-1,6)="スリット"),SUMIF('S5'!$D$5:$D$2103,$A566,'S5'!$T$5:$T$2103),""),"")</f>
        <v/>
      </c>
    </row>
    <row r="567" spans="1:28" s="141" customFormat="1" ht="13.5" x14ac:dyDescent="0.15">
      <c r="A567" s="330">
        <v>3727610</v>
      </c>
      <c r="B567" s="330" t="s">
        <v>1471</v>
      </c>
      <c r="C567" s="330" t="s">
        <v>1510</v>
      </c>
      <c r="D567" s="330" t="s">
        <v>1473</v>
      </c>
      <c r="E567" s="330" t="s">
        <v>1511</v>
      </c>
      <c r="F567" s="332">
        <v>3</v>
      </c>
      <c r="G567" s="330" t="s">
        <v>19</v>
      </c>
      <c r="H567" s="330" t="s">
        <v>20</v>
      </c>
      <c r="I567" s="330" t="s">
        <v>1553</v>
      </c>
      <c r="J567" s="330" t="s">
        <v>1475</v>
      </c>
      <c r="K567" s="330" t="s">
        <v>1581</v>
      </c>
      <c r="L567" s="330">
        <v>50</v>
      </c>
      <c r="M567" s="330" t="s">
        <v>1540</v>
      </c>
      <c r="N567" s="330">
        <v>1000</v>
      </c>
      <c r="O567" s="330">
        <v>1000</v>
      </c>
      <c r="P567" s="330">
        <v>4000</v>
      </c>
      <c r="Q567" s="330">
        <v>2</v>
      </c>
      <c r="R567" s="330">
        <v>11</v>
      </c>
      <c r="S567" s="330" t="s">
        <v>1477</v>
      </c>
      <c r="T567" s="330" t="s">
        <v>1478</v>
      </c>
      <c r="U567" s="330" t="s">
        <v>1536</v>
      </c>
      <c r="V567" s="330" t="s">
        <v>1480</v>
      </c>
      <c r="W567" s="330" t="s">
        <v>1481</v>
      </c>
      <c r="X567" s="330" t="s">
        <v>1482</v>
      </c>
      <c r="Y567" s="143"/>
      <c r="Z567" s="146" t="str">
        <f t="shared" ca="1" si="8"/>
        <v/>
      </c>
      <c r="AA567" s="146" t="str">
        <f ca="1">IFERROR(IF(OR(OFFSET('S4'!#REF!,MATCH($A567,'S4'!$D$5:$D$2535,0)-1,6)="巻返し",OFFSET('S4'!#REF!,MATCH($A567,'S4'!$D$5:$D$2535,0)-1,6)="スリット"),SUMIF('S4'!$D$5:$D$2535,$A567,'S4'!$U$5:$U$2535),""),"")</f>
        <v/>
      </c>
      <c r="AB567" s="146" t="str">
        <f ca="1">IFERROR(IF(OR(OFFSET('S5'!#REF!,MATCH($A567,'S5'!$D$5:$D$2103,0)-1,6)="巻返し",OFFSET('S5'!#REF!,MATCH($A567,'S5'!$D$5:$D$2103,0)-1,6)="スリット"),SUMIF('S5'!$D$5:$D$2103,$A567,'S5'!$T$5:$T$2103),""),"")</f>
        <v/>
      </c>
    </row>
    <row r="568" spans="1:28" s="141" customFormat="1" ht="13.5" x14ac:dyDescent="0.15">
      <c r="A568" s="330">
        <v>3727611</v>
      </c>
      <c r="B568" s="330" t="s">
        <v>1471</v>
      </c>
      <c r="C568" s="330" t="s">
        <v>1510</v>
      </c>
      <c r="D568" s="330" t="s">
        <v>1473</v>
      </c>
      <c r="E568" s="330" t="s">
        <v>1511</v>
      </c>
      <c r="F568" s="332">
        <v>3</v>
      </c>
      <c r="G568" s="330" t="s">
        <v>19</v>
      </c>
      <c r="H568" s="330" t="s">
        <v>20</v>
      </c>
      <c r="I568" s="330" t="s">
        <v>1553</v>
      </c>
      <c r="J568" s="330" t="s">
        <v>1475</v>
      </c>
      <c r="K568" s="330" t="s">
        <v>1587</v>
      </c>
      <c r="L568" s="330">
        <v>25</v>
      </c>
      <c r="M568" s="330" t="s">
        <v>1547</v>
      </c>
      <c r="N568" s="330">
        <v>1100</v>
      </c>
      <c r="O568" s="330">
        <v>1100</v>
      </c>
      <c r="P568" s="330">
        <v>6000</v>
      </c>
      <c r="Q568" s="330">
        <v>2</v>
      </c>
      <c r="R568" s="330">
        <v>8</v>
      </c>
      <c r="S568" s="330" t="s">
        <v>1477</v>
      </c>
      <c r="T568" s="330" t="s">
        <v>1478</v>
      </c>
      <c r="U568" s="330" t="s">
        <v>1536</v>
      </c>
      <c r="V568" s="330" t="s">
        <v>1480</v>
      </c>
      <c r="W568" s="330" t="s">
        <v>1481</v>
      </c>
      <c r="X568" s="330" t="s">
        <v>1482</v>
      </c>
      <c r="Y568" s="143"/>
      <c r="Z568" s="146" t="str">
        <f t="shared" ca="1" si="8"/>
        <v/>
      </c>
      <c r="AA568" s="146" t="str">
        <f ca="1">IFERROR(IF(OR(OFFSET('S4'!#REF!,MATCH($A568,'S4'!$D$5:$D$2535,0)-1,6)="巻返し",OFFSET('S4'!#REF!,MATCH($A568,'S4'!$D$5:$D$2535,0)-1,6)="スリット"),SUMIF('S4'!$D$5:$D$2535,$A568,'S4'!$U$5:$U$2535),""),"")</f>
        <v/>
      </c>
      <c r="AB568" s="146" t="str">
        <f ca="1">IFERROR(IF(OR(OFFSET('S5'!#REF!,MATCH($A568,'S5'!$D$5:$D$2103,0)-1,6)="巻返し",OFFSET('S5'!#REF!,MATCH($A568,'S5'!$D$5:$D$2103,0)-1,6)="スリット"),SUMIF('S5'!$D$5:$D$2103,$A568,'S5'!$T$5:$T$2103),""),"")</f>
        <v/>
      </c>
    </row>
    <row r="569" spans="1:28" s="141" customFormat="1" ht="13.5" x14ac:dyDescent="0.15">
      <c r="A569" s="330">
        <v>3727612</v>
      </c>
      <c r="B569" s="330" t="s">
        <v>1471</v>
      </c>
      <c r="C569" s="330" t="s">
        <v>1510</v>
      </c>
      <c r="D569" s="330" t="s">
        <v>1473</v>
      </c>
      <c r="E569" s="330" t="s">
        <v>1511</v>
      </c>
      <c r="F569" s="332">
        <v>3</v>
      </c>
      <c r="G569" s="330" t="s">
        <v>19</v>
      </c>
      <c r="H569" s="330" t="s">
        <v>28</v>
      </c>
      <c r="I569" s="330" t="s">
        <v>1553</v>
      </c>
      <c r="J569" s="330" t="s">
        <v>1475</v>
      </c>
      <c r="K569" s="330" t="s">
        <v>1588</v>
      </c>
      <c r="L569" s="330">
        <v>50</v>
      </c>
      <c r="M569" s="330" t="s">
        <v>1548</v>
      </c>
      <c r="N569" s="330">
        <v>1120</v>
      </c>
      <c r="O569" s="330">
        <v>1120</v>
      </c>
      <c r="P569" s="330">
        <v>5000</v>
      </c>
      <c r="Q569" s="330">
        <v>2</v>
      </c>
      <c r="R569" s="330">
        <v>2</v>
      </c>
      <c r="S569" s="330" t="s">
        <v>1477</v>
      </c>
      <c r="T569" s="330" t="s">
        <v>1478</v>
      </c>
      <c r="U569" s="330" t="s">
        <v>1536</v>
      </c>
      <c r="V569" s="330" t="s">
        <v>1480</v>
      </c>
      <c r="W569" s="330" t="s">
        <v>1481</v>
      </c>
      <c r="X569" s="330" t="s">
        <v>1482</v>
      </c>
      <c r="Y569" s="143"/>
      <c r="Z569" s="146" t="str">
        <f t="shared" ca="1" si="8"/>
        <v/>
      </c>
      <c r="AA569" s="146" t="str">
        <f ca="1">IFERROR(IF(OR(OFFSET('S4'!#REF!,MATCH($A569,'S4'!$D$5:$D$2535,0)-1,6)="巻返し",OFFSET('S4'!#REF!,MATCH($A569,'S4'!$D$5:$D$2535,0)-1,6)="スリット"),SUMIF('S4'!$D$5:$D$2535,$A569,'S4'!$U$5:$U$2535),""),"")</f>
        <v/>
      </c>
      <c r="AB569" s="146" t="str">
        <f ca="1">IFERROR(IF(OR(OFFSET('S5'!#REF!,MATCH($A569,'S5'!$D$5:$D$2103,0)-1,6)="巻返し",OFFSET('S5'!#REF!,MATCH($A569,'S5'!$D$5:$D$2103,0)-1,6)="スリット"),SUMIF('S5'!$D$5:$D$2103,$A569,'S5'!$T$5:$T$2103),""),"")</f>
        <v/>
      </c>
    </row>
    <row r="570" spans="1:28" s="141" customFormat="1" ht="13.5" x14ac:dyDescent="0.15">
      <c r="A570" s="274">
        <v>3727984</v>
      </c>
      <c r="B570" s="274" t="str">
        <f>"機能Ｆ　ラベル福島原"</f>
        <v>機能Ｆ　ラベル福島原</v>
      </c>
      <c r="C570" s="274" t="str">
        <f>"プロセス材１課      "</f>
        <v xml:space="preserve">プロセス材１課      </v>
      </c>
      <c r="D570" s="274" t="str">
        <f>"ダミー担当者        "</f>
        <v xml:space="preserve">ダミー担当者        </v>
      </c>
      <c r="E570" s="274" t="str">
        <f>"リンテック㈱        "</f>
        <v xml:space="preserve">リンテック㈱        </v>
      </c>
      <c r="F570" s="274">
        <v>3</v>
      </c>
      <c r="G570" s="274" t="s">
        <v>1653</v>
      </c>
      <c r="H570" s="274" t="s">
        <v>1646</v>
      </c>
      <c r="I570" s="274" t="s">
        <v>1654</v>
      </c>
      <c r="J570" s="274" t="str">
        <f>"   "</f>
        <v xml:space="preserve">   </v>
      </c>
      <c r="K570" s="274" t="s">
        <v>1655</v>
      </c>
      <c r="L570" s="274">
        <v>50</v>
      </c>
      <c r="M570" s="274" t="str">
        <f>"メタルミー　ヘヤライン金艶Ｖ                                            "</f>
        <v xml:space="preserve">メタルミー　ヘヤライン金艶Ｖ                                            </v>
      </c>
      <c r="N570" s="274">
        <v>1000</v>
      </c>
      <c r="O570" s="274">
        <v>1000</v>
      </c>
      <c r="P570" s="274">
        <v>2000</v>
      </c>
      <c r="Q570" s="274">
        <v>2</v>
      </c>
      <c r="R570" s="274">
        <v>4</v>
      </c>
      <c r="S570" s="274" t="str">
        <f>"本        "</f>
        <v xml:space="preserve">本        </v>
      </c>
      <c r="T570" s="276">
        <v>45194</v>
      </c>
      <c r="U570" s="276">
        <v>45219</v>
      </c>
      <c r="V570" s="274" t="str">
        <f>"㈱須賀川東部鏡石    "</f>
        <v xml:space="preserve">㈱須賀川東部鏡石    </v>
      </c>
      <c r="W570" s="274" t="str">
        <f>"                                                                                "</f>
        <v xml:space="preserve">                                                                                </v>
      </c>
      <c r="X570" s="274" t="str">
        <f>"     "</f>
        <v xml:space="preserve">     </v>
      </c>
      <c r="Y570" s="143"/>
      <c r="Z570" s="146" t="str">
        <f t="shared" ca="1" si="8"/>
        <v/>
      </c>
      <c r="AA570" s="146" t="str">
        <f ca="1">IFERROR(IF(OR(OFFSET('S4'!#REF!,MATCH($A570,'S4'!$D$5:$D$2535,0)-1,6)="巻返し",OFFSET('S4'!#REF!,MATCH($A570,'S4'!$D$5:$D$2535,0)-1,6)="スリット"),SUMIF('S4'!$D$5:$D$2535,$A570,'S4'!$U$5:$U$2535),""),"")</f>
        <v/>
      </c>
      <c r="AB570" s="146" t="str">
        <f ca="1">IFERROR(IF(OR(OFFSET('S5'!#REF!,MATCH($A570,'S5'!$D$5:$D$2103,0)-1,6)="巻返し",OFFSET('S5'!#REF!,MATCH($A570,'S5'!$D$5:$D$2103,0)-1,6)="スリット"),SUMIF('S5'!$D$5:$D$2103,$A570,'S5'!$T$5:$T$2103),""),"")</f>
        <v/>
      </c>
    </row>
    <row r="571" spans="1:28" s="141" customFormat="1" ht="13.5" x14ac:dyDescent="0.15">
      <c r="A571" s="274">
        <v>3728260</v>
      </c>
      <c r="B571" s="274" t="str">
        <f>"機能Ｆ　ラベル福島開"</f>
        <v>機能Ｆ　ラベル福島開</v>
      </c>
      <c r="C571" s="274" t="str">
        <f>"プロセス材２課      "</f>
        <v xml:space="preserve">プロセス材２課      </v>
      </c>
      <c r="D571" s="274" t="str">
        <f>"ダミー担当者        "</f>
        <v xml:space="preserve">ダミー担当者        </v>
      </c>
      <c r="E571" s="274" t="str">
        <f>"栃木カネカ㈱電材検査"</f>
        <v>栃木カネカ㈱電材検査</v>
      </c>
      <c r="F571" s="274">
        <v>3</v>
      </c>
      <c r="G571" s="274" t="s">
        <v>1662</v>
      </c>
      <c r="H571" s="274" t="s">
        <v>1663</v>
      </c>
      <c r="I571" s="274" t="s">
        <v>1664</v>
      </c>
      <c r="J571" s="274" t="str">
        <f>"   "</f>
        <v xml:space="preserve">   </v>
      </c>
      <c r="K571" s="274" t="s">
        <v>1665</v>
      </c>
      <c r="L571" s="274">
        <v>9</v>
      </c>
      <c r="M571" s="274" t="str">
        <f>"ＫＦ－９Ｂ                                                              "</f>
        <v xml:space="preserve">ＫＦ－９Ｂ                                                              </v>
      </c>
      <c r="N571" s="274">
        <v>1360</v>
      </c>
      <c r="O571" s="274">
        <v>1360</v>
      </c>
      <c r="P571" s="274">
        <v>2100</v>
      </c>
      <c r="Q571" s="274">
        <v>2</v>
      </c>
      <c r="R571" s="274">
        <v>10</v>
      </c>
      <c r="S571" s="274" t="str">
        <f>"本        "</f>
        <v xml:space="preserve">本        </v>
      </c>
      <c r="T571" s="276">
        <v>45196</v>
      </c>
      <c r="U571" s="276">
        <v>45230</v>
      </c>
      <c r="V571" s="274" t="str">
        <f>"福島工場ＣＯ        "</f>
        <v xml:space="preserve">福島工場ＣＯ        </v>
      </c>
      <c r="W571" s="274" t="str">
        <f>"                                                                                "</f>
        <v xml:space="preserve">                                                                                </v>
      </c>
      <c r="X571" s="274" t="str">
        <f>"     "</f>
        <v xml:space="preserve">     </v>
      </c>
      <c r="Y571" s="143"/>
      <c r="Z571" s="146" t="str">
        <f t="shared" ca="1" si="8"/>
        <v/>
      </c>
      <c r="AA571" s="146" t="str">
        <f ca="1">IFERROR(IF(OR(OFFSET('S4'!#REF!,MATCH($A571,'S4'!$D$5:$D$2535,0)-1,6)="巻返し",OFFSET('S4'!#REF!,MATCH($A571,'S4'!$D$5:$D$2535,0)-1,6)="スリット"),SUMIF('S4'!$D$5:$D$2535,$A571,'S4'!$U$5:$U$2535),""),"")</f>
        <v/>
      </c>
      <c r="AB571" s="146" t="str">
        <f ca="1">IFERROR(IF(OR(OFFSET('S5'!#REF!,MATCH($A571,'S5'!$D$5:$D$2103,0)-1,6)="巻返し",OFFSET('S5'!#REF!,MATCH($A571,'S5'!$D$5:$D$2103,0)-1,6)="スリット"),SUMIF('S5'!$D$5:$D$2103,$A571,'S5'!$T$5:$T$2103),""),"")</f>
        <v/>
      </c>
    </row>
    <row r="572" spans="1:28" s="141" customFormat="1" ht="13.5" x14ac:dyDescent="0.15">
      <c r="A572" s="274">
        <v>3728261</v>
      </c>
      <c r="B572" s="274" t="str">
        <f>"機能Ｆ　ラベル福島開"</f>
        <v>機能Ｆ　ラベル福島開</v>
      </c>
      <c r="C572" s="274" t="str">
        <f>"プロセス材２課      "</f>
        <v xml:space="preserve">プロセス材２課      </v>
      </c>
      <c r="D572" s="274" t="str">
        <f>"ダミー担当者        "</f>
        <v xml:space="preserve">ダミー担当者        </v>
      </c>
      <c r="E572" s="274" t="str">
        <f>"栃木カネカ㈱電材検査"</f>
        <v>栃木カネカ㈱電材検査</v>
      </c>
      <c r="F572" s="274">
        <v>3</v>
      </c>
      <c r="G572" s="274" t="s">
        <v>1662</v>
      </c>
      <c r="H572" s="274" t="s">
        <v>1663</v>
      </c>
      <c r="I572" s="274" t="s">
        <v>1664</v>
      </c>
      <c r="J572" s="274" t="str">
        <f>"   "</f>
        <v xml:space="preserve">   </v>
      </c>
      <c r="K572" s="274" t="s">
        <v>1665</v>
      </c>
      <c r="L572" s="274">
        <v>9</v>
      </c>
      <c r="M572" s="274" t="str">
        <f>"ＫＦ－９Ｂ                                                              "</f>
        <v xml:space="preserve">ＫＦ－９Ｂ                                                              </v>
      </c>
      <c r="N572" s="274">
        <v>1200</v>
      </c>
      <c r="O572" s="274">
        <v>1200</v>
      </c>
      <c r="P572" s="274">
        <v>2000</v>
      </c>
      <c r="Q572" s="274">
        <v>2</v>
      </c>
      <c r="R572" s="274">
        <v>6</v>
      </c>
      <c r="S572" s="274" t="str">
        <f>"本        "</f>
        <v xml:space="preserve">本        </v>
      </c>
      <c r="T572" s="276">
        <v>45196</v>
      </c>
      <c r="U572" s="276">
        <v>45230</v>
      </c>
      <c r="V572" s="274" t="str">
        <f>"福島工場ＣＯ        "</f>
        <v xml:space="preserve">福島工場ＣＯ        </v>
      </c>
      <c r="W572" s="274" t="str">
        <f>"                                                                                "</f>
        <v xml:space="preserve">                                                                                </v>
      </c>
      <c r="X572" s="274" t="str">
        <f>"     "</f>
        <v xml:space="preserve">     </v>
      </c>
      <c r="Y572" s="143"/>
      <c r="Z572" s="146" t="str">
        <f t="shared" ca="1" si="8"/>
        <v/>
      </c>
      <c r="AA572" s="146" t="str">
        <f ca="1">IFERROR(IF(OR(OFFSET('S4'!#REF!,MATCH($A572,'S4'!$D$5:$D$2535,0)-1,6)="巻返し",OFFSET('S4'!#REF!,MATCH($A572,'S4'!$D$5:$D$2535,0)-1,6)="スリット"),SUMIF('S4'!$D$5:$D$2535,$A572,'S4'!$U$5:$U$2535),""),"")</f>
        <v/>
      </c>
      <c r="AB572" s="146" t="str">
        <f ca="1">IFERROR(IF(OR(OFFSET('S5'!#REF!,MATCH($A572,'S5'!$D$5:$D$2103,0)-1,6)="巻返し",OFFSET('S5'!#REF!,MATCH($A572,'S5'!$D$5:$D$2103,0)-1,6)="スリット"),SUMIF('S5'!$D$5:$D$2103,$A572,'S5'!$T$5:$T$2103),""),"")</f>
        <v/>
      </c>
    </row>
    <row r="573" spans="1:28" s="141" customFormat="1" ht="13.5" x14ac:dyDescent="0.15">
      <c r="A573" s="274">
        <v>3731340</v>
      </c>
      <c r="B573" s="274" t="s">
        <v>351</v>
      </c>
      <c r="C573" s="274" t="s">
        <v>356</v>
      </c>
      <c r="D573" s="274" t="s">
        <v>353</v>
      </c>
      <c r="E573" s="274" t="s">
        <v>17</v>
      </c>
      <c r="F573" s="274">
        <v>3</v>
      </c>
      <c r="G573" s="274" t="s">
        <v>19</v>
      </c>
      <c r="H573" s="274" t="s">
        <v>20</v>
      </c>
      <c r="I573" s="274" t="s">
        <v>205</v>
      </c>
      <c r="J573" s="274" t="s">
        <v>928</v>
      </c>
      <c r="K573" s="274" t="s">
        <v>230</v>
      </c>
      <c r="L573" s="274">
        <v>25</v>
      </c>
      <c r="M573" s="274" t="s">
        <v>231</v>
      </c>
      <c r="N573" s="274">
        <v>1000</v>
      </c>
      <c r="O573" s="274">
        <v>1000</v>
      </c>
      <c r="P573" s="274">
        <v>2000</v>
      </c>
      <c r="Q573" s="274">
        <v>2</v>
      </c>
      <c r="R573" s="274">
        <v>4</v>
      </c>
      <c r="S573" s="274" t="s">
        <v>354</v>
      </c>
      <c r="T573" s="274" t="s">
        <v>1680</v>
      </c>
      <c r="U573" s="274" t="s">
        <v>1733</v>
      </c>
      <c r="V573" s="274" t="s">
        <v>355</v>
      </c>
      <c r="W573" s="274" t="s">
        <v>928</v>
      </c>
      <c r="X573" s="274" t="s">
        <v>928</v>
      </c>
      <c r="Y573" s="143"/>
      <c r="Z573" s="146" t="str">
        <f t="shared" ca="1" si="8"/>
        <v/>
      </c>
      <c r="AA573" s="146" t="str">
        <f ca="1">IFERROR(IF(OR(OFFSET('S4'!#REF!,MATCH($A573,'S4'!$D$5:$D$2535,0)-1,6)="巻返し",OFFSET('S4'!#REF!,MATCH($A573,'S4'!$D$5:$D$2535,0)-1,6)="スリット"),SUMIF('S4'!$D$5:$D$2535,$A573,'S4'!$U$5:$U$2535),""),"")</f>
        <v/>
      </c>
      <c r="AB573" s="146" t="str">
        <f ca="1">IFERROR(IF(OR(OFFSET('S5'!#REF!,MATCH($A573,'S5'!$D$5:$D$2103,0)-1,6)="巻返し",OFFSET('S5'!#REF!,MATCH($A573,'S5'!$D$5:$D$2103,0)-1,6)="スリット"),SUMIF('S5'!$D$5:$D$2103,$A573,'S5'!$T$5:$T$2103),""),"")</f>
        <v/>
      </c>
    </row>
    <row r="574" spans="1:28" s="141" customFormat="1" ht="13.5" x14ac:dyDescent="0.15">
      <c r="A574" s="274">
        <v>3731340</v>
      </c>
      <c r="B574" s="274" t="s">
        <v>351</v>
      </c>
      <c r="C574" s="274" t="s">
        <v>356</v>
      </c>
      <c r="D574" s="274" t="s">
        <v>353</v>
      </c>
      <c r="E574" s="274" t="s">
        <v>17</v>
      </c>
      <c r="F574" s="274">
        <v>3</v>
      </c>
      <c r="G574" s="274" t="s">
        <v>19</v>
      </c>
      <c r="H574" s="274" t="s">
        <v>20</v>
      </c>
      <c r="I574" s="274" t="s">
        <v>205</v>
      </c>
      <c r="J574" s="274" t="s">
        <v>928</v>
      </c>
      <c r="K574" s="274" t="s">
        <v>230</v>
      </c>
      <c r="L574" s="274">
        <v>25</v>
      </c>
      <c r="M574" s="274" t="s">
        <v>231</v>
      </c>
      <c r="N574" s="274">
        <v>1020</v>
      </c>
      <c r="O574" s="274">
        <v>1020</v>
      </c>
      <c r="P574" s="274">
        <v>2000</v>
      </c>
      <c r="Q574" s="274">
        <v>2</v>
      </c>
      <c r="R574" s="274">
        <v>2</v>
      </c>
      <c r="S574" s="274" t="s">
        <v>354</v>
      </c>
      <c r="T574" s="274" t="s">
        <v>1680</v>
      </c>
      <c r="U574" s="274" t="s">
        <v>1733</v>
      </c>
      <c r="V574" s="274" t="s">
        <v>355</v>
      </c>
      <c r="W574" s="274" t="s">
        <v>928</v>
      </c>
      <c r="X574" s="274" t="s">
        <v>928</v>
      </c>
      <c r="Y574" s="143"/>
      <c r="Z574" s="146" t="str">
        <f t="shared" ca="1" si="8"/>
        <v/>
      </c>
      <c r="AA574" s="146" t="str">
        <f ca="1">IFERROR(IF(OR(OFFSET('S4'!#REF!,MATCH($A574,'S4'!$D$5:$D$2535,0)-1,6)="巻返し",OFFSET('S4'!#REF!,MATCH($A574,'S4'!$D$5:$D$2535,0)-1,6)="スリット"),SUMIF('S4'!$D$5:$D$2535,$A574,'S4'!$U$5:$U$2535),""),"")</f>
        <v/>
      </c>
      <c r="AB574" s="146" t="str">
        <f ca="1">IFERROR(IF(OR(OFFSET('S5'!#REF!,MATCH($A574,'S5'!$D$5:$D$2103,0)-1,6)="巻返し",OFFSET('S5'!#REF!,MATCH($A574,'S5'!$D$5:$D$2103,0)-1,6)="スリット"),SUMIF('S5'!$D$5:$D$2103,$A574,'S5'!$T$5:$T$2103),""),"")</f>
        <v/>
      </c>
    </row>
    <row r="575" spans="1:28" s="141" customFormat="1" ht="13.5" x14ac:dyDescent="0.15">
      <c r="A575" s="274">
        <v>3731341</v>
      </c>
      <c r="B575" s="274" t="s">
        <v>351</v>
      </c>
      <c r="C575" s="274" t="s">
        <v>356</v>
      </c>
      <c r="D575" s="274" t="s">
        <v>353</v>
      </c>
      <c r="E575" s="274" t="s">
        <v>17</v>
      </c>
      <c r="F575" s="274">
        <v>3</v>
      </c>
      <c r="G575" s="274" t="s">
        <v>19</v>
      </c>
      <c r="H575" s="274" t="s">
        <v>20</v>
      </c>
      <c r="I575" s="274" t="s">
        <v>205</v>
      </c>
      <c r="J575" s="274" t="s">
        <v>928</v>
      </c>
      <c r="K575" s="274" t="s">
        <v>242</v>
      </c>
      <c r="L575" s="274">
        <v>75</v>
      </c>
      <c r="M575" s="274" t="s">
        <v>243</v>
      </c>
      <c r="N575" s="274">
        <v>1000</v>
      </c>
      <c r="O575" s="274">
        <v>1000</v>
      </c>
      <c r="P575" s="274">
        <v>1000</v>
      </c>
      <c r="Q575" s="274">
        <v>2</v>
      </c>
      <c r="R575" s="274">
        <v>2</v>
      </c>
      <c r="S575" s="274" t="s">
        <v>354</v>
      </c>
      <c r="T575" s="274" t="s">
        <v>1680</v>
      </c>
      <c r="U575" s="274" t="s">
        <v>1733</v>
      </c>
      <c r="V575" s="274" t="s">
        <v>355</v>
      </c>
      <c r="W575" s="274" t="s">
        <v>928</v>
      </c>
      <c r="X575" s="274" t="s">
        <v>928</v>
      </c>
      <c r="Y575" s="143"/>
      <c r="Z575" s="146" t="str">
        <f t="shared" ca="1" si="8"/>
        <v/>
      </c>
      <c r="AA575" s="146" t="str">
        <f ca="1">IFERROR(IF(OR(OFFSET('S4'!#REF!,MATCH($A575,'S4'!$D$5:$D$2535,0)-1,6)="巻返し",OFFSET('S4'!#REF!,MATCH($A575,'S4'!$D$5:$D$2535,0)-1,6)="スリット"),SUMIF('S4'!$D$5:$D$2535,$A575,'S4'!$U$5:$U$2535),""),"")</f>
        <v/>
      </c>
      <c r="AB575" s="146" t="str">
        <f ca="1">IFERROR(IF(OR(OFFSET('S5'!#REF!,MATCH($A575,'S5'!$D$5:$D$2103,0)-1,6)="巻返し",OFFSET('S5'!#REF!,MATCH($A575,'S5'!$D$5:$D$2103,0)-1,6)="スリット"),SUMIF('S5'!$D$5:$D$2103,$A575,'S5'!$T$5:$T$2103),""),"")</f>
        <v/>
      </c>
    </row>
    <row r="576" spans="1:28" s="141" customFormat="1" ht="13.5" x14ac:dyDescent="0.15">
      <c r="A576" s="274">
        <v>3731342</v>
      </c>
      <c r="B576" s="274" t="s">
        <v>351</v>
      </c>
      <c r="C576" s="274" t="s">
        <v>358</v>
      </c>
      <c r="D576" s="274" t="s">
        <v>353</v>
      </c>
      <c r="E576" s="274" t="s">
        <v>61</v>
      </c>
      <c r="F576" s="274">
        <v>3</v>
      </c>
      <c r="G576" s="274" t="s">
        <v>19</v>
      </c>
      <c r="H576" s="274" t="s">
        <v>20</v>
      </c>
      <c r="I576" s="274" t="s">
        <v>205</v>
      </c>
      <c r="J576" s="274" t="s">
        <v>928</v>
      </c>
      <c r="K576" s="274" t="s">
        <v>242</v>
      </c>
      <c r="L576" s="274">
        <v>50</v>
      </c>
      <c r="M576" s="274" t="s">
        <v>243</v>
      </c>
      <c r="N576" s="274">
        <v>1255</v>
      </c>
      <c r="O576" s="274">
        <v>1250</v>
      </c>
      <c r="P576" s="274">
        <v>2000</v>
      </c>
      <c r="Q576" s="274">
        <v>2</v>
      </c>
      <c r="R576" s="274">
        <v>18</v>
      </c>
      <c r="S576" s="274" t="s">
        <v>354</v>
      </c>
      <c r="T576" s="274" t="s">
        <v>1680</v>
      </c>
      <c r="U576" s="274" t="s">
        <v>1734</v>
      </c>
      <c r="V576" s="274" t="s">
        <v>355</v>
      </c>
      <c r="W576" s="274" t="s">
        <v>928</v>
      </c>
      <c r="X576" s="274" t="s">
        <v>928</v>
      </c>
      <c r="Y576" s="143"/>
      <c r="Z576" s="146" t="str">
        <f t="shared" ca="1" si="8"/>
        <v/>
      </c>
      <c r="AA576" s="146" t="str">
        <f ca="1">IFERROR(IF(OR(OFFSET('S4'!#REF!,MATCH($A576,'S4'!$D$5:$D$2535,0)-1,6)="巻返し",OFFSET('S4'!#REF!,MATCH($A576,'S4'!$D$5:$D$2535,0)-1,6)="スリット"),SUMIF('S4'!$D$5:$D$2535,$A576,'S4'!$U$5:$U$2535),""),"")</f>
        <v/>
      </c>
      <c r="AB576" s="146" t="str">
        <f ca="1">IFERROR(IF(OR(OFFSET('S5'!#REF!,MATCH($A576,'S5'!$D$5:$D$2103,0)-1,6)="巻返し",OFFSET('S5'!#REF!,MATCH($A576,'S5'!$D$5:$D$2103,0)-1,6)="スリット"),SUMIF('S5'!$D$5:$D$2103,$A576,'S5'!$T$5:$T$2103),""),"")</f>
        <v/>
      </c>
    </row>
    <row r="577" spans="1:28" s="141" customFormat="1" ht="13.5" x14ac:dyDescent="0.15">
      <c r="A577" s="274">
        <v>3731344</v>
      </c>
      <c r="B577" s="274" t="s">
        <v>351</v>
      </c>
      <c r="C577" s="274" t="s">
        <v>364</v>
      </c>
      <c r="D577" s="274" t="s">
        <v>353</v>
      </c>
      <c r="E577" s="274" t="s">
        <v>148</v>
      </c>
      <c r="F577" s="274">
        <v>3</v>
      </c>
      <c r="G577" s="274" t="s">
        <v>19</v>
      </c>
      <c r="H577" s="274" t="s">
        <v>20</v>
      </c>
      <c r="I577" s="274" t="s">
        <v>143</v>
      </c>
      <c r="J577" s="274" t="s">
        <v>928</v>
      </c>
      <c r="K577" s="274" t="s">
        <v>149</v>
      </c>
      <c r="L577" s="274">
        <v>50</v>
      </c>
      <c r="M577" s="274" t="s">
        <v>150</v>
      </c>
      <c r="N577" s="274">
        <v>1120</v>
      </c>
      <c r="O577" s="274">
        <v>1120</v>
      </c>
      <c r="P577" s="274">
        <v>6000</v>
      </c>
      <c r="Q577" s="274">
        <v>2</v>
      </c>
      <c r="R577" s="274">
        <v>8</v>
      </c>
      <c r="S577" s="274" t="s">
        <v>354</v>
      </c>
      <c r="T577" s="274" t="s">
        <v>1680</v>
      </c>
      <c r="U577" s="274" t="s">
        <v>1733</v>
      </c>
      <c r="V577" s="274" t="s">
        <v>355</v>
      </c>
      <c r="W577" s="274" t="s">
        <v>928</v>
      </c>
      <c r="X577" s="274" t="s">
        <v>928</v>
      </c>
      <c r="Y577" s="143"/>
      <c r="Z577" s="146" t="str">
        <f t="shared" ca="1" si="8"/>
        <v/>
      </c>
      <c r="AA577" s="146" t="str">
        <f ca="1">IFERROR(IF(OR(OFFSET('S4'!#REF!,MATCH($A577,'S4'!$D$5:$D$2535,0)-1,6)="巻返し",OFFSET('S4'!#REF!,MATCH($A577,'S4'!$D$5:$D$2535,0)-1,6)="スリット"),SUMIF('S4'!$D$5:$D$2535,$A577,'S4'!$U$5:$U$2535),""),"")</f>
        <v/>
      </c>
      <c r="AB577" s="146" t="str">
        <f ca="1">IFERROR(IF(OR(OFFSET('S5'!#REF!,MATCH($A577,'S5'!$D$5:$D$2103,0)-1,6)="巻返し",OFFSET('S5'!#REF!,MATCH($A577,'S5'!$D$5:$D$2103,0)-1,6)="スリット"),SUMIF('S5'!$D$5:$D$2103,$A577,'S5'!$T$5:$T$2103),""),"")</f>
        <v/>
      </c>
    </row>
    <row r="578" spans="1:28" s="141" customFormat="1" ht="13.5" x14ac:dyDescent="0.15">
      <c r="A578" s="274">
        <v>3731345</v>
      </c>
      <c r="B578" s="274" t="s">
        <v>351</v>
      </c>
      <c r="C578" s="274" t="s">
        <v>364</v>
      </c>
      <c r="D578" s="274" t="s">
        <v>353</v>
      </c>
      <c r="E578" s="274" t="s">
        <v>148</v>
      </c>
      <c r="F578" s="274">
        <v>3</v>
      </c>
      <c r="G578" s="274" t="s">
        <v>19</v>
      </c>
      <c r="H578" s="274" t="s">
        <v>20</v>
      </c>
      <c r="I578" s="274" t="s">
        <v>165</v>
      </c>
      <c r="J578" s="274" t="s">
        <v>928</v>
      </c>
      <c r="K578" s="274" t="s">
        <v>169</v>
      </c>
      <c r="L578" s="274">
        <v>50</v>
      </c>
      <c r="M578" s="274" t="s">
        <v>170</v>
      </c>
      <c r="N578" s="274">
        <v>1120</v>
      </c>
      <c r="O578" s="274">
        <v>1120</v>
      </c>
      <c r="P578" s="274">
        <v>6000</v>
      </c>
      <c r="Q578" s="274">
        <v>2</v>
      </c>
      <c r="R578" s="274">
        <v>4</v>
      </c>
      <c r="S578" s="274" t="s">
        <v>354</v>
      </c>
      <c r="T578" s="274" t="s">
        <v>1680</v>
      </c>
      <c r="U578" s="274" t="s">
        <v>1733</v>
      </c>
      <c r="V578" s="274" t="s">
        <v>355</v>
      </c>
      <c r="W578" s="274" t="s">
        <v>928</v>
      </c>
      <c r="X578" s="274" t="s">
        <v>928</v>
      </c>
      <c r="Y578" s="143"/>
      <c r="Z578" s="146" t="str">
        <f t="shared" ca="1" si="8"/>
        <v/>
      </c>
      <c r="AA578" s="146" t="str">
        <f ca="1">IFERROR(IF(OR(OFFSET('S4'!#REF!,MATCH($A578,'S4'!$D$5:$D$2535,0)-1,6)="巻返し",OFFSET('S4'!#REF!,MATCH($A578,'S4'!$D$5:$D$2535,0)-1,6)="スリット"),SUMIF('S4'!$D$5:$D$2535,$A578,'S4'!$U$5:$U$2535),""),"")</f>
        <v/>
      </c>
      <c r="AB578" s="146" t="str">
        <f ca="1">IFERROR(IF(OR(OFFSET('S5'!#REF!,MATCH($A578,'S5'!$D$5:$D$2103,0)-1,6)="巻返し",OFFSET('S5'!#REF!,MATCH($A578,'S5'!$D$5:$D$2103,0)-1,6)="スリット"),SUMIF('S5'!$D$5:$D$2103,$A578,'S5'!$T$5:$T$2103),""),"")</f>
        <v/>
      </c>
    </row>
    <row r="579" spans="1:28" s="141" customFormat="1" ht="13.5" x14ac:dyDescent="0.15">
      <c r="A579" s="274">
        <v>3731346</v>
      </c>
      <c r="B579" s="274" t="s">
        <v>351</v>
      </c>
      <c r="C579" s="274" t="s">
        <v>364</v>
      </c>
      <c r="D579" s="274" t="s">
        <v>353</v>
      </c>
      <c r="E579" s="274" t="s">
        <v>148</v>
      </c>
      <c r="F579" s="274">
        <v>3</v>
      </c>
      <c r="G579" s="274" t="s">
        <v>19</v>
      </c>
      <c r="H579" s="274" t="s">
        <v>20</v>
      </c>
      <c r="I579" s="274" t="s">
        <v>165</v>
      </c>
      <c r="J579" s="274" t="s">
        <v>928</v>
      </c>
      <c r="K579" s="274" t="s">
        <v>180</v>
      </c>
      <c r="L579" s="274">
        <v>50</v>
      </c>
      <c r="M579" s="274" t="s">
        <v>181</v>
      </c>
      <c r="N579" s="274">
        <v>1120</v>
      </c>
      <c r="O579" s="274">
        <v>1120</v>
      </c>
      <c r="P579" s="274">
        <v>4000</v>
      </c>
      <c r="Q579" s="274">
        <v>2</v>
      </c>
      <c r="R579" s="274">
        <v>6</v>
      </c>
      <c r="S579" s="274" t="s">
        <v>354</v>
      </c>
      <c r="T579" s="274" t="s">
        <v>1680</v>
      </c>
      <c r="U579" s="274" t="s">
        <v>1733</v>
      </c>
      <c r="V579" s="274" t="s">
        <v>355</v>
      </c>
      <c r="W579" s="274" t="s">
        <v>928</v>
      </c>
      <c r="X579" s="274" t="s">
        <v>928</v>
      </c>
      <c r="Y579" s="143"/>
      <c r="Z579" s="146" t="str">
        <f t="shared" ref="Z579:Z618" ca="1" si="9">IF(SUM(AA579:AB579)=0,"",SUM(AA579:AB579))</f>
        <v/>
      </c>
      <c r="AA579" s="146" t="str">
        <f ca="1">IFERROR(IF(OR(OFFSET('S4'!#REF!,MATCH($A579,'S4'!$D$5:$D$2535,0)-1,6)="巻返し",OFFSET('S4'!#REF!,MATCH($A579,'S4'!$D$5:$D$2535,0)-1,6)="スリット"),SUMIF('S4'!$D$5:$D$2535,$A579,'S4'!$U$5:$U$2535),""),"")</f>
        <v/>
      </c>
      <c r="AB579" s="146" t="str">
        <f ca="1">IFERROR(IF(OR(OFFSET('S5'!#REF!,MATCH($A579,'S5'!$D$5:$D$2103,0)-1,6)="巻返し",OFFSET('S5'!#REF!,MATCH($A579,'S5'!$D$5:$D$2103,0)-1,6)="スリット"),SUMIF('S5'!$D$5:$D$2103,$A579,'S5'!$T$5:$T$2103),""),"")</f>
        <v/>
      </c>
    </row>
    <row r="580" spans="1:28" s="141" customFormat="1" ht="13.5" x14ac:dyDescent="0.15">
      <c r="A580" s="274">
        <v>3731347</v>
      </c>
      <c r="B580" s="274" t="s">
        <v>351</v>
      </c>
      <c r="C580" s="274" t="s">
        <v>352</v>
      </c>
      <c r="D580" s="274" t="s">
        <v>353</v>
      </c>
      <c r="E580" s="274" t="s">
        <v>116</v>
      </c>
      <c r="F580" s="274">
        <v>3</v>
      </c>
      <c r="G580" s="274" t="s">
        <v>19</v>
      </c>
      <c r="H580" s="274" t="s">
        <v>20</v>
      </c>
      <c r="I580" s="274" t="s">
        <v>205</v>
      </c>
      <c r="J580" s="274" t="s">
        <v>928</v>
      </c>
      <c r="K580" s="274" t="s">
        <v>212</v>
      </c>
      <c r="L580" s="274">
        <v>25</v>
      </c>
      <c r="M580" s="274" t="s">
        <v>213</v>
      </c>
      <c r="N580" s="274">
        <v>1000</v>
      </c>
      <c r="O580" s="274">
        <v>1000</v>
      </c>
      <c r="P580" s="274">
        <v>4000</v>
      </c>
      <c r="Q580" s="274">
        <v>2</v>
      </c>
      <c r="R580" s="274">
        <v>2</v>
      </c>
      <c r="S580" s="274" t="s">
        <v>354</v>
      </c>
      <c r="T580" s="274" t="s">
        <v>1680</v>
      </c>
      <c r="U580" s="274" t="s">
        <v>1722</v>
      </c>
      <c r="V580" s="274" t="s">
        <v>355</v>
      </c>
      <c r="W580" s="274" t="s">
        <v>928</v>
      </c>
      <c r="X580" s="274" t="s">
        <v>928</v>
      </c>
      <c r="Y580" s="143"/>
      <c r="Z580" s="146" t="str">
        <f t="shared" ca="1" si="9"/>
        <v/>
      </c>
      <c r="AA580" s="146" t="str">
        <f ca="1">IFERROR(IF(OR(OFFSET('S4'!#REF!,MATCH($A580,'S4'!$D$5:$D$2535,0)-1,6)="巻返し",OFFSET('S4'!#REF!,MATCH($A580,'S4'!$D$5:$D$2535,0)-1,6)="スリット"),SUMIF('S4'!$D$5:$D$2535,$A580,'S4'!$U$5:$U$2535),""),"")</f>
        <v/>
      </c>
      <c r="AB580" s="146" t="str">
        <f ca="1">IFERROR(IF(OR(OFFSET('S5'!#REF!,MATCH($A580,'S5'!$D$5:$D$2103,0)-1,6)="巻返し",OFFSET('S5'!#REF!,MATCH($A580,'S5'!$D$5:$D$2103,0)-1,6)="スリット"),SUMIF('S5'!$D$5:$D$2103,$A580,'S5'!$T$5:$T$2103),""),"")</f>
        <v/>
      </c>
    </row>
    <row r="581" spans="1:28" s="141" customFormat="1" ht="13.5" x14ac:dyDescent="0.15">
      <c r="A581" s="274">
        <v>3731348</v>
      </c>
      <c r="B581" s="274" t="s">
        <v>351</v>
      </c>
      <c r="C581" s="274" t="s">
        <v>352</v>
      </c>
      <c r="D581" s="274" t="s">
        <v>353</v>
      </c>
      <c r="E581" s="274" t="s">
        <v>116</v>
      </c>
      <c r="F581" s="274">
        <v>3</v>
      </c>
      <c r="G581" s="274" t="s">
        <v>19</v>
      </c>
      <c r="H581" s="274" t="s">
        <v>20</v>
      </c>
      <c r="I581" s="274" t="s">
        <v>205</v>
      </c>
      <c r="J581" s="274" t="s">
        <v>928</v>
      </c>
      <c r="K581" s="274" t="s">
        <v>212</v>
      </c>
      <c r="L581" s="274">
        <v>25</v>
      </c>
      <c r="M581" s="274" t="s">
        <v>213</v>
      </c>
      <c r="N581" s="274">
        <v>1120</v>
      </c>
      <c r="O581" s="274">
        <v>1120</v>
      </c>
      <c r="P581" s="274">
        <v>4000</v>
      </c>
      <c r="Q581" s="274">
        <v>2</v>
      </c>
      <c r="R581" s="274">
        <v>6</v>
      </c>
      <c r="S581" s="274" t="s">
        <v>354</v>
      </c>
      <c r="T581" s="274" t="s">
        <v>1680</v>
      </c>
      <c r="U581" s="274" t="s">
        <v>1722</v>
      </c>
      <c r="V581" s="274" t="s">
        <v>355</v>
      </c>
      <c r="W581" s="274" t="s">
        <v>928</v>
      </c>
      <c r="X581" s="274" t="s">
        <v>928</v>
      </c>
      <c r="Y581" s="143"/>
      <c r="Z581" s="146" t="str">
        <f t="shared" ca="1" si="9"/>
        <v/>
      </c>
      <c r="AA581" s="146" t="str">
        <f ca="1">IFERROR(IF(OR(OFFSET('S4'!#REF!,MATCH($A581,'S4'!$D$5:$D$2535,0)-1,6)="巻返し",OFFSET('S4'!#REF!,MATCH($A581,'S4'!$D$5:$D$2535,0)-1,6)="スリット"),SUMIF('S4'!$D$5:$D$2535,$A581,'S4'!$U$5:$U$2535),""),"")</f>
        <v/>
      </c>
      <c r="AB581" s="146" t="str">
        <f ca="1">IFERROR(IF(OR(OFFSET('S5'!#REF!,MATCH($A581,'S5'!$D$5:$D$2103,0)-1,6)="巻返し",OFFSET('S5'!#REF!,MATCH($A581,'S5'!$D$5:$D$2103,0)-1,6)="スリット"),SUMIF('S5'!$D$5:$D$2103,$A581,'S5'!$T$5:$T$2103),""),"")</f>
        <v/>
      </c>
    </row>
    <row r="582" spans="1:28" s="141" customFormat="1" ht="13.5" x14ac:dyDescent="0.15">
      <c r="A582" s="274">
        <v>3731349</v>
      </c>
      <c r="B582" s="274" t="s">
        <v>351</v>
      </c>
      <c r="C582" s="274" t="s">
        <v>352</v>
      </c>
      <c r="D582" s="274" t="s">
        <v>353</v>
      </c>
      <c r="E582" s="274" t="s">
        <v>116</v>
      </c>
      <c r="F582" s="274">
        <v>3</v>
      </c>
      <c r="G582" s="274" t="s">
        <v>19</v>
      </c>
      <c r="H582" s="274" t="s">
        <v>20</v>
      </c>
      <c r="I582" s="274" t="s">
        <v>205</v>
      </c>
      <c r="J582" s="274" t="s">
        <v>928</v>
      </c>
      <c r="K582" s="274" t="s">
        <v>212</v>
      </c>
      <c r="L582" s="274">
        <v>50</v>
      </c>
      <c r="M582" s="274" t="s">
        <v>213</v>
      </c>
      <c r="N582" s="274">
        <v>1120</v>
      </c>
      <c r="O582" s="274">
        <v>1120</v>
      </c>
      <c r="P582" s="274">
        <v>4000</v>
      </c>
      <c r="Q582" s="274">
        <v>2</v>
      </c>
      <c r="R582" s="274">
        <v>18</v>
      </c>
      <c r="S582" s="274" t="s">
        <v>354</v>
      </c>
      <c r="T582" s="274" t="s">
        <v>1680</v>
      </c>
      <c r="U582" s="274" t="s">
        <v>1735</v>
      </c>
      <c r="V582" s="274" t="s">
        <v>355</v>
      </c>
      <c r="W582" s="274" t="s">
        <v>928</v>
      </c>
      <c r="X582" s="274" t="s">
        <v>928</v>
      </c>
      <c r="Y582" s="143"/>
      <c r="Z582" s="146" t="str">
        <f t="shared" ca="1" si="9"/>
        <v/>
      </c>
      <c r="AA582" s="146" t="str">
        <f ca="1">IFERROR(IF(OR(OFFSET('S4'!#REF!,MATCH($A582,'S4'!$D$5:$D$2535,0)-1,6)="巻返し",OFFSET('S4'!#REF!,MATCH($A582,'S4'!$D$5:$D$2535,0)-1,6)="スリット"),SUMIF('S4'!$D$5:$D$2535,$A582,'S4'!$U$5:$U$2535),""),"")</f>
        <v/>
      </c>
      <c r="AB582" s="146" t="str">
        <f ca="1">IFERROR(IF(OR(OFFSET('S5'!#REF!,MATCH($A582,'S5'!$D$5:$D$2103,0)-1,6)="巻返し",OFFSET('S5'!#REF!,MATCH($A582,'S5'!$D$5:$D$2103,0)-1,6)="スリット"),SUMIF('S5'!$D$5:$D$2103,$A582,'S5'!$T$5:$T$2103),""),"")</f>
        <v/>
      </c>
    </row>
    <row r="583" spans="1:28" s="141" customFormat="1" ht="13.5" x14ac:dyDescent="0.15">
      <c r="A583" s="274">
        <v>3731350</v>
      </c>
      <c r="B583" s="274" t="s">
        <v>351</v>
      </c>
      <c r="C583" s="274" t="s">
        <v>352</v>
      </c>
      <c r="D583" s="274" t="s">
        <v>353</v>
      </c>
      <c r="E583" s="274" t="s">
        <v>116</v>
      </c>
      <c r="F583" s="274">
        <v>3</v>
      </c>
      <c r="G583" s="274" t="s">
        <v>19</v>
      </c>
      <c r="H583" s="274" t="s">
        <v>20</v>
      </c>
      <c r="I583" s="274" t="s">
        <v>205</v>
      </c>
      <c r="J583" s="274" t="s">
        <v>928</v>
      </c>
      <c r="K583" s="274" t="s">
        <v>212</v>
      </c>
      <c r="L583" s="274">
        <v>50</v>
      </c>
      <c r="M583" s="274" t="s">
        <v>213</v>
      </c>
      <c r="N583" s="274">
        <v>1120</v>
      </c>
      <c r="O583" s="274">
        <v>1120</v>
      </c>
      <c r="P583" s="274">
        <v>4000</v>
      </c>
      <c r="Q583" s="274">
        <v>2</v>
      </c>
      <c r="R583" s="274">
        <v>18</v>
      </c>
      <c r="S583" s="274" t="s">
        <v>354</v>
      </c>
      <c r="T583" s="274" t="s">
        <v>1680</v>
      </c>
      <c r="U583" s="274" t="s">
        <v>1735</v>
      </c>
      <c r="V583" s="274" t="s">
        <v>355</v>
      </c>
      <c r="W583" s="274" t="s">
        <v>928</v>
      </c>
      <c r="X583" s="274" t="s">
        <v>928</v>
      </c>
      <c r="Y583" s="143"/>
      <c r="Z583" s="146" t="str">
        <f t="shared" ca="1" si="9"/>
        <v/>
      </c>
      <c r="AA583" s="146" t="str">
        <f ca="1">IFERROR(IF(OR(OFFSET('S4'!#REF!,MATCH($A583,'S4'!$D$5:$D$2535,0)-1,6)="巻返し",OFFSET('S4'!#REF!,MATCH($A583,'S4'!$D$5:$D$2535,0)-1,6)="スリット"),SUMIF('S4'!$D$5:$D$2535,$A583,'S4'!$U$5:$U$2535),""),"")</f>
        <v/>
      </c>
      <c r="AB583" s="146" t="str">
        <f ca="1">IFERROR(IF(OR(OFFSET('S5'!#REF!,MATCH($A583,'S5'!$D$5:$D$2103,0)-1,6)="巻返し",OFFSET('S5'!#REF!,MATCH($A583,'S5'!$D$5:$D$2103,0)-1,6)="スリット"),SUMIF('S5'!$D$5:$D$2103,$A583,'S5'!$T$5:$T$2103),""),"")</f>
        <v/>
      </c>
    </row>
    <row r="584" spans="1:28" s="141" customFormat="1" ht="13.5" x14ac:dyDescent="0.15">
      <c r="A584" s="274">
        <v>3731351</v>
      </c>
      <c r="B584" s="274" t="s">
        <v>351</v>
      </c>
      <c r="C584" s="274" t="s">
        <v>352</v>
      </c>
      <c r="D584" s="274" t="s">
        <v>353</v>
      </c>
      <c r="E584" s="274" t="s">
        <v>116</v>
      </c>
      <c r="F584" s="274">
        <v>3</v>
      </c>
      <c r="G584" s="274" t="s">
        <v>19</v>
      </c>
      <c r="H584" s="274" t="s">
        <v>20</v>
      </c>
      <c r="I584" s="274" t="s">
        <v>205</v>
      </c>
      <c r="J584" s="274" t="s">
        <v>928</v>
      </c>
      <c r="K584" s="274" t="s">
        <v>211</v>
      </c>
      <c r="L584" s="274">
        <v>50</v>
      </c>
      <c r="M584" s="274" t="s">
        <v>370</v>
      </c>
      <c r="N584" s="274">
        <v>1050</v>
      </c>
      <c r="O584" s="274">
        <v>1050</v>
      </c>
      <c r="P584" s="274">
        <v>4100</v>
      </c>
      <c r="Q584" s="274">
        <v>2</v>
      </c>
      <c r="R584" s="274">
        <v>5</v>
      </c>
      <c r="S584" s="274" t="s">
        <v>354</v>
      </c>
      <c r="T584" s="274" t="s">
        <v>1680</v>
      </c>
      <c r="U584" s="274" t="s">
        <v>1722</v>
      </c>
      <c r="V584" s="274" t="s">
        <v>355</v>
      </c>
      <c r="W584" s="274" t="s">
        <v>928</v>
      </c>
      <c r="X584" s="274" t="s">
        <v>928</v>
      </c>
      <c r="Y584" s="143"/>
      <c r="Z584" s="146" t="str">
        <f t="shared" ca="1" si="9"/>
        <v/>
      </c>
      <c r="AA584" s="146" t="str">
        <f ca="1">IFERROR(IF(OR(OFFSET('S4'!#REF!,MATCH($A584,'S4'!$D$5:$D$2535,0)-1,6)="巻返し",OFFSET('S4'!#REF!,MATCH($A584,'S4'!$D$5:$D$2535,0)-1,6)="スリット"),SUMIF('S4'!$D$5:$D$2535,$A584,'S4'!$U$5:$U$2535),""),"")</f>
        <v/>
      </c>
      <c r="AB584" s="146" t="str">
        <f ca="1">IFERROR(IF(OR(OFFSET('S5'!#REF!,MATCH($A584,'S5'!$D$5:$D$2103,0)-1,6)="巻返し",OFFSET('S5'!#REF!,MATCH($A584,'S5'!$D$5:$D$2103,0)-1,6)="スリット"),SUMIF('S5'!$D$5:$D$2103,$A584,'S5'!$T$5:$T$2103),""),"")</f>
        <v/>
      </c>
    </row>
    <row r="585" spans="1:28" s="141" customFormat="1" ht="13.5" x14ac:dyDescent="0.15">
      <c r="A585" s="274">
        <v>3731353</v>
      </c>
      <c r="B585" s="274" t="s">
        <v>351</v>
      </c>
      <c r="C585" s="274" t="s">
        <v>352</v>
      </c>
      <c r="D585" s="274" t="s">
        <v>353</v>
      </c>
      <c r="E585" s="274" t="s">
        <v>116</v>
      </c>
      <c r="F585" s="274">
        <v>3</v>
      </c>
      <c r="G585" s="274" t="s">
        <v>19</v>
      </c>
      <c r="H585" s="274" t="s">
        <v>20</v>
      </c>
      <c r="I585" s="274" t="s">
        <v>205</v>
      </c>
      <c r="J585" s="274" t="s">
        <v>928</v>
      </c>
      <c r="K585" s="274" t="s">
        <v>216</v>
      </c>
      <c r="L585" s="274">
        <v>25</v>
      </c>
      <c r="M585" s="274" t="s">
        <v>217</v>
      </c>
      <c r="N585" s="274">
        <v>1005</v>
      </c>
      <c r="O585" s="274">
        <v>1000</v>
      </c>
      <c r="P585" s="274">
        <v>4000</v>
      </c>
      <c r="Q585" s="274">
        <v>2</v>
      </c>
      <c r="R585" s="274">
        <v>18</v>
      </c>
      <c r="S585" s="274" t="s">
        <v>354</v>
      </c>
      <c r="T585" s="274" t="s">
        <v>1680</v>
      </c>
      <c r="U585" s="274" t="s">
        <v>1722</v>
      </c>
      <c r="V585" s="274" t="s">
        <v>355</v>
      </c>
      <c r="W585" s="274" t="s">
        <v>928</v>
      </c>
      <c r="X585" s="274" t="s">
        <v>928</v>
      </c>
      <c r="Y585" s="143"/>
      <c r="Z585" s="146" t="str">
        <f t="shared" ca="1" si="9"/>
        <v/>
      </c>
      <c r="AA585" s="146" t="str">
        <f ca="1">IFERROR(IF(OR(OFFSET('S4'!#REF!,MATCH($A585,'S4'!$D$5:$D$2535,0)-1,6)="巻返し",OFFSET('S4'!#REF!,MATCH($A585,'S4'!$D$5:$D$2535,0)-1,6)="スリット"),SUMIF('S4'!$D$5:$D$2535,$A585,'S4'!$U$5:$U$2535),""),"")</f>
        <v/>
      </c>
      <c r="AB585" s="146" t="str">
        <f ca="1">IFERROR(IF(OR(OFFSET('S5'!#REF!,MATCH($A585,'S5'!$D$5:$D$2103,0)-1,6)="巻返し",OFFSET('S5'!#REF!,MATCH($A585,'S5'!$D$5:$D$2103,0)-1,6)="スリット"),SUMIF('S5'!$D$5:$D$2103,$A585,'S5'!$T$5:$T$2103),""),"")</f>
        <v/>
      </c>
    </row>
    <row r="586" spans="1:28" s="141" customFormat="1" ht="13.5" x14ac:dyDescent="0.15">
      <c r="A586" s="274">
        <v>3731354</v>
      </c>
      <c r="B586" s="274" t="s">
        <v>351</v>
      </c>
      <c r="C586" s="274" t="s">
        <v>352</v>
      </c>
      <c r="D586" s="274" t="s">
        <v>353</v>
      </c>
      <c r="E586" s="274" t="s">
        <v>116</v>
      </c>
      <c r="F586" s="274">
        <v>3</v>
      </c>
      <c r="G586" s="274" t="s">
        <v>19</v>
      </c>
      <c r="H586" s="274" t="s">
        <v>20</v>
      </c>
      <c r="I586" s="274" t="s">
        <v>205</v>
      </c>
      <c r="J586" s="274" t="s">
        <v>928</v>
      </c>
      <c r="K586" s="274" t="s">
        <v>216</v>
      </c>
      <c r="L586" s="274">
        <v>25</v>
      </c>
      <c r="M586" s="274" t="s">
        <v>217</v>
      </c>
      <c r="N586" s="274">
        <v>1125</v>
      </c>
      <c r="O586" s="274">
        <v>1120</v>
      </c>
      <c r="P586" s="274">
        <v>4000</v>
      </c>
      <c r="Q586" s="274">
        <v>2</v>
      </c>
      <c r="R586" s="274">
        <v>3</v>
      </c>
      <c r="S586" s="274" t="s">
        <v>354</v>
      </c>
      <c r="T586" s="274" t="s">
        <v>1680</v>
      </c>
      <c r="U586" s="274" t="s">
        <v>1722</v>
      </c>
      <c r="V586" s="274" t="s">
        <v>355</v>
      </c>
      <c r="W586" s="274" t="s">
        <v>928</v>
      </c>
      <c r="X586" s="274" t="s">
        <v>928</v>
      </c>
      <c r="Y586" s="143"/>
      <c r="Z586" s="146" t="str">
        <f t="shared" ca="1" si="9"/>
        <v/>
      </c>
      <c r="AA586" s="146" t="str">
        <f ca="1">IFERROR(IF(OR(OFFSET('S4'!#REF!,MATCH($A586,'S4'!$D$5:$D$2535,0)-1,6)="巻返し",OFFSET('S4'!#REF!,MATCH($A586,'S4'!$D$5:$D$2535,0)-1,6)="スリット"),SUMIF('S4'!$D$5:$D$2535,$A586,'S4'!$U$5:$U$2535),""),"")</f>
        <v/>
      </c>
      <c r="AB586" s="146" t="str">
        <f ca="1">IFERROR(IF(OR(OFFSET('S5'!#REF!,MATCH($A586,'S5'!$D$5:$D$2103,0)-1,6)="巻返し",OFFSET('S5'!#REF!,MATCH($A586,'S5'!$D$5:$D$2103,0)-1,6)="スリット"),SUMIF('S5'!$D$5:$D$2103,$A586,'S5'!$T$5:$T$2103),""),"")</f>
        <v/>
      </c>
    </row>
    <row r="587" spans="1:28" s="141" customFormat="1" ht="13.5" x14ac:dyDescent="0.15">
      <c r="A587" s="274">
        <v>3731355</v>
      </c>
      <c r="B587" s="274" t="s">
        <v>351</v>
      </c>
      <c r="C587" s="274" t="s">
        <v>352</v>
      </c>
      <c r="D587" s="274" t="s">
        <v>353</v>
      </c>
      <c r="E587" s="274" t="s">
        <v>116</v>
      </c>
      <c r="F587" s="274">
        <v>3</v>
      </c>
      <c r="G587" s="274" t="s">
        <v>19</v>
      </c>
      <c r="H587" s="274" t="s">
        <v>20</v>
      </c>
      <c r="I587" s="274" t="s">
        <v>205</v>
      </c>
      <c r="J587" s="274" t="s">
        <v>928</v>
      </c>
      <c r="K587" s="274" t="s">
        <v>216</v>
      </c>
      <c r="L587" s="274">
        <v>50</v>
      </c>
      <c r="M587" s="274" t="s">
        <v>217</v>
      </c>
      <c r="N587" s="274">
        <v>1120</v>
      </c>
      <c r="O587" s="274">
        <v>1120</v>
      </c>
      <c r="P587" s="274">
        <v>5000</v>
      </c>
      <c r="Q587" s="274">
        <v>2</v>
      </c>
      <c r="R587" s="274">
        <v>30</v>
      </c>
      <c r="S587" s="274" t="s">
        <v>354</v>
      </c>
      <c r="T587" s="274" t="s">
        <v>1680</v>
      </c>
      <c r="U587" s="274" t="s">
        <v>1735</v>
      </c>
      <c r="V587" s="274" t="s">
        <v>355</v>
      </c>
      <c r="W587" s="274" t="s">
        <v>928</v>
      </c>
      <c r="X587" s="274" t="s">
        <v>928</v>
      </c>
      <c r="Y587" s="143"/>
      <c r="Z587" s="146" t="str">
        <f t="shared" ca="1" si="9"/>
        <v/>
      </c>
      <c r="AA587" s="146" t="str">
        <f ca="1">IFERROR(IF(OR(OFFSET('S4'!#REF!,MATCH($A587,'S4'!$D$5:$D$2535,0)-1,6)="巻返し",OFFSET('S4'!#REF!,MATCH($A587,'S4'!$D$5:$D$2535,0)-1,6)="スリット"),SUMIF('S4'!$D$5:$D$2535,$A587,'S4'!$U$5:$U$2535),""),"")</f>
        <v/>
      </c>
      <c r="AB587" s="146" t="str">
        <f ca="1">IFERROR(IF(OR(OFFSET('S5'!#REF!,MATCH($A587,'S5'!$D$5:$D$2103,0)-1,6)="巻返し",OFFSET('S5'!#REF!,MATCH($A587,'S5'!$D$5:$D$2103,0)-1,6)="スリット"),SUMIF('S5'!$D$5:$D$2103,$A587,'S5'!$T$5:$T$2103),""),"")</f>
        <v/>
      </c>
    </row>
    <row r="588" spans="1:28" s="141" customFormat="1" ht="13.5" x14ac:dyDescent="0.15">
      <c r="A588" s="274">
        <v>3731356</v>
      </c>
      <c r="B588" s="274" t="s">
        <v>351</v>
      </c>
      <c r="C588" s="274" t="s">
        <v>352</v>
      </c>
      <c r="D588" s="274" t="s">
        <v>353</v>
      </c>
      <c r="E588" s="274" t="s">
        <v>116</v>
      </c>
      <c r="F588" s="274">
        <v>3</v>
      </c>
      <c r="G588" s="274" t="s">
        <v>19</v>
      </c>
      <c r="H588" s="274" t="s">
        <v>20</v>
      </c>
      <c r="I588" s="274" t="s">
        <v>165</v>
      </c>
      <c r="J588" s="274" t="s">
        <v>928</v>
      </c>
      <c r="K588" s="274" t="s">
        <v>187</v>
      </c>
      <c r="L588" s="274">
        <v>50</v>
      </c>
      <c r="M588" s="274" t="s">
        <v>188</v>
      </c>
      <c r="N588" s="274">
        <v>1000</v>
      </c>
      <c r="O588" s="274">
        <v>1000</v>
      </c>
      <c r="P588" s="274">
        <v>3000</v>
      </c>
      <c r="Q588" s="274">
        <v>2</v>
      </c>
      <c r="R588" s="274">
        <v>2</v>
      </c>
      <c r="S588" s="274" t="s">
        <v>354</v>
      </c>
      <c r="T588" s="274" t="s">
        <v>1680</v>
      </c>
      <c r="U588" s="274" t="s">
        <v>1722</v>
      </c>
      <c r="V588" s="274" t="s">
        <v>355</v>
      </c>
      <c r="W588" s="274" t="s">
        <v>928</v>
      </c>
      <c r="X588" s="274" t="s">
        <v>928</v>
      </c>
      <c r="Y588" s="143"/>
      <c r="Z588" s="146" t="str">
        <f t="shared" ca="1" si="9"/>
        <v/>
      </c>
      <c r="AA588" s="146" t="str">
        <f ca="1">IFERROR(IF(OR(OFFSET('S4'!#REF!,MATCH($A588,'S4'!$D$5:$D$2535,0)-1,6)="巻返し",OFFSET('S4'!#REF!,MATCH($A588,'S4'!$D$5:$D$2535,0)-1,6)="スリット"),SUMIF('S4'!$D$5:$D$2535,$A588,'S4'!$U$5:$U$2535),""),"")</f>
        <v/>
      </c>
      <c r="AB588" s="146" t="str">
        <f ca="1">IFERROR(IF(OR(OFFSET('S5'!#REF!,MATCH($A588,'S5'!$D$5:$D$2103,0)-1,6)="巻返し",OFFSET('S5'!#REF!,MATCH($A588,'S5'!$D$5:$D$2103,0)-1,6)="スリット"),SUMIF('S5'!$D$5:$D$2103,$A588,'S5'!$T$5:$T$2103),""),"")</f>
        <v/>
      </c>
    </row>
    <row r="589" spans="1:28" s="141" customFormat="1" ht="13.5" x14ac:dyDescent="0.15">
      <c r="A589" s="274">
        <v>3731357</v>
      </c>
      <c r="B589" s="274" t="s">
        <v>351</v>
      </c>
      <c r="C589" s="274" t="s">
        <v>352</v>
      </c>
      <c r="D589" s="274" t="s">
        <v>353</v>
      </c>
      <c r="E589" s="274" t="s">
        <v>116</v>
      </c>
      <c r="F589" s="274">
        <v>3</v>
      </c>
      <c r="G589" s="274" t="s">
        <v>19</v>
      </c>
      <c r="H589" s="274" t="s">
        <v>20</v>
      </c>
      <c r="I589" s="274" t="s">
        <v>205</v>
      </c>
      <c r="J589" s="274" t="s">
        <v>928</v>
      </c>
      <c r="K589" s="274" t="s">
        <v>218</v>
      </c>
      <c r="L589" s="274">
        <v>25</v>
      </c>
      <c r="M589" s="274" t="s">
        <v>219</v>
      </c>
      <c r="N589" s="274">
        <v>1005</v>
      </c>
      <c r="O589" s="274">
        <v>1000</v>
      </c>
      <c r="P589" s="274">
        <v>4000</v>
      </c>
      <c r="Q589" s="274">
        <v>2</v>
      </c>
      <c r="R589" s="274">
        <v>2</v>
      </c>
      <c r="S589" s="274" t="s">
        <v>354</v>
      </c>
      <c r="T589" s="274" t="s">
        <v>1680</v>
      </c>
      <c r="U589" s="274" t="s">
        <v>1722</v>
      </c>
      <c r="V589" s="274" t="s">
        <v>355</v>
      </c>
      <c r="W589" s="274" t="s">
        <v>928</v>
      </c>
      <c r="X589" s="274" t="s">
        <v>928</v>
      </c>
      <c r="Y589" s="143"/>
      <c r="Z589" s="146" t="str">
        <f t="shared" ca="1" si="9"/>
        <v/>
      </c>
      <c r="AA589" s="146" t="str">
        <f ca="1">IFERROR(IF(OR(OFFSET('S4'!#REF!,MATCH($A589,'S4'!$D$5:$D$2535,0)-1,6)="巻返し",OFFSET('S4'!#REF!,MATCH($A589,'S4'!$D$5:$D$2535,0)-1,6)="スリット"),SUMIF('S4'!$D$5:$D$2535,$A589,'S4'!$U$5:$U$2535),""),"")</f>
        <v/>
      </c>
      <c r="AB589" s="146" t="str">
        <f ca="1">IFERROR(IF(OR(OFFSET('S5'!#REF!,MATCH($A589,'S5'!$D$5:$D$2103,0)-1,6)="巻返し",OFFSET('S5'!#REF!,MATCH($A589,'S5'!$D$5:$D$2103,0)-1,6)="スリット"),SUMIF('S5'!$D$5:$D$2103,$A589,'S5'!$T$5:$T$2103),""),"")</f>
        <v/>
      </c>
    </row>
    <row r="590" spans="1:28" s="141" customFormat="1" ht="13.5" x14ac:dyDescent="0.15">
      <c r="A590" s="274">
        <v>3731358</v>
      </c>
      <c r="B590" s="274" t="s">
        <v>351</v>
      </c>
      <c r="C590" s="274" t="s">
        <v>352</v>
      </c>
      <c r="D590" s="274" t="s">
        <v>353</v>
      </c>
      <c r="E590" s="274" t="s">
        <v>116</v>
      </c>
      <c r="F590" s="274">
        <v>3</v>
      </c>
      <c r="G590" s="274" t="s">
        <v>19</v>
      </c>
      <c r="H590" s="274" t="s">
        <v>20</v>
      </c>
      <c r="I590" s="274" t="s">
        <v>205</v>
      </c>
      <c r="J590" s="274" t="s">
        <v>928</v>
      </c>
      <c r="K590" s="274" t="s">
        <v>218</v>
      </c>
      <c r="L590" s="274">
        <v>50</v>
      </c>
      <c r="M590" s="274" t="s">
        <v>219</v>
      </c>
      <c r="N590" s="274">
        <v>1000</v>
      </c>
      <c r="O590" s="274">
        <v>1000</v>
      </c>
      <c r="P590" s="274">
        <v>4000</v>
      </c>
      <c r="Q590" s="274">
        <v>2</v>
      </c>
      <c r="R590" s="274">
        <v>20</v>
      </c>
      <c r="S590" s="274" t="s">
        <v>354</v>
      </c>
      <c r="T590" s="274" t="s">
        <v>1680</v>
      </c>
      <c r="U590" s="274" t="s">
        <v>1722</v>
      </c>
      <c r="V590" s="274" t="s">
        <v>355</v>
      </c>
      <c r="W590" s="274" t="s">
        <v>928</v>
      </c>
      <c r="X590" s="274" t="s">
        <v>928</v>
      </c>
      <c r="Y590" s="143"/>
      <c r="Z590" s="146" t="str">
        <f t="shared" ca="1" si="9"/>
        <v/>
      </c>
      <c r="AA590" s="146" t="str">
        <f ca="1">IFERROR(IF(OR(OFFSET('S4'!#REF!,MATCH($A590,'S4'!$D$5:$D$2535,0)-1,6)="巻返し",OFFSET('S4'!#REF!,MATCH($A590,'S4'!$D$5:$D$2535,0)-1,6)="スリット"),SUMIF('S4'!$D$5:$D$2535,$A590,'S4'!$U$5:$U$2535),""),"")</f>
        <v/>
      </c>
      <c r="AB590" s="146" t="str">
        <f ca="1">IFERROR(IF(OR(OFFSET('S5'!#REF!,MATCH($A590,'S5'!$D$5:$D$2103,0)-1,6)="巻返し",OFFSET('S5'!#REF!,MATCH($A590,'S5'!$D$5:$D$2103,0)-1,6)="スリット"),SUMIF('S5'!$D$5:$D$2103,$A590,'S5'!$T$5:$T$2103),""),"")</f>
        <v/>
      </c>
    </row>
    <row r="591" spans="1:28" s="141" customFormat="1" ht="13.5" x14ac:dyDescent="0.15">
      <c r="A591" s="274">
        <v>3731359</v>
      </c>
      <c r="B591" s="274" t="s">
        <v>351</v>
      </c>
      <c r="C591" s="274" t="s">
        <v>352</v>
      </c>
      <c r="D591" s="274" t="s">
        <v>353</v>
      </c>
      <c r="E591" s="274" t="s">
        <v>116</v>
      </c>
      <c r="F591" s="274" t="s">
        <v>158</v>
      </c>
      <c r="G591" s="274" t="s">
        <v>19</v>
      </c>
      <c r="H591" s="274" t="s">
        <v>20</v>
      </c>
      <c r="I591" s="274" t="s">
        <v>165</v>
      </c>
      <c r="J591" s="274" t="s">
        <v>928</v>
      </c>
      <c r="K591" s="274" t="s">
        <v>192</v>
      </c>
      <c r="L591" s="274">
        <v>50</v>
      </c>
      <c r="M591" s="274" t="s">
        <v>193</v>
      </c>
      <c r="N591" s="274">
        <v>1005</v>
      </c>
      <c r="O591" s="274">
        <v>1000</v>
      </c>
      <c r="P591" s="274">
        <v>4000</v>
      </c>
      <c r="Q591" s="274">
        <v>2</v>
      </c>
      <c r="R591" s="274">
        <v>6</v>
      </c>
      <c r="S591" s="274" t="s">
        <v>354</v>
      </c>
      <c r="T591" s="274" t="s">
        <v>1680</v>
      </c>
      <c r="U591" s="274" t="s">
        <v>1722</v>
      </c>
      <c r="V591" s="274" t="s">
        <v>355</v>
      </c>
      <c r="W591" s="274" t="s">
        <v>928</v>
      </c>
      <c r="X591" s="274" t="s">
        <v>928</v>
      </c>
      <c r="Y591" s="143"/>
      <c r="Z591" s="146" t="str">
        <f t="shared" ca="1" si="9"/>
        <v/>
      </c>
      <c r="AA591" s="146" t="str">
        <f ca="1">IFERROR(IF(OR(OFFSET('S4'!#REF!,MATCH($A591,'S4'!$D$5:$D$2535,0)-1,6)="巻返し",OFFSET('S4'!#REF!,MATCH($A591,'S4'!$D$5:$D$2535,0)-1,6)="スリット"),SUMIF('S4'!$D$5:$D$2535,$A591,'S4'!$U$5:$U$2535),""),"")</f>
        <v/>
      </c>
      <c r="AB591" s="146" t="str">
        <f ca="1">IFERROR(IF(OR(OFFSET('S5'!#REF!,MATCH($A591,'S5'!$D$5:$D$2103,0)-1,6)="巻返し",OFFSET('S5'!#REF!,MATCH($A591,'S5'!$D$5:$D$2103,0)-1,6)="スリット"),SUMIF('S5'!$D$5:$D$2103,$A591,'S5'!$T$5:$T$2103),""),"")</f>
        <v/>
      </c>
    </row>
    <row r="592" spans="1:28" s="141" customFormat="1" ht="13.5" x14ac:dyDescent="0.15">
      <c r="A592" s="274">
        <v>3731360</v>
      </c>
      <c r="B592" s="274" t="s">
        <v>351</v>
      </c>
      <c r="C592" s="274" t="s">
        <v>352</v>
      </c>
      <c r="D592" s="274" t="s">
        <v>353</v>
      </c>
      <c r="E592" s="274" t="s">
        <v>116</v>
      </c>
      <c r="F592" s="274" t="s">
        <v>158</v>
      </c>
      <c r="G592" s="274" t="s">
        <v>19</v>
      </c>
      <c r="H592" s="274" t="s">
        <v>20</v>
      </c>
      <c r="I592" s="274" t="s">
        <v>165</v>
      </c>
      <c r="J592" s="274" t="s">
        <v>928</v>
      </c>
      <c r="K592" s="274" t="s">
        <v>195</v>
      </c>
      <c r="L592" s="274">
        <v>50</v>
      </c>
      <c r="M592" s="274" t="s">
        <v>196</v>
      </c>
      <c r="N592" s="274">
        <v>1005</v>
      </c>
      <c r="O592" s="274">
        <v>1000</v>
      </c>
      <c r="P592" s="274">
        <v>4000</v>
      </c>
      <c r="Q592" s="274">
        <v>2</v>
      </c>
      <c r="R592" s="274">
        <v>9</v>
      </c>
      <c r="S592" s="274" t="s">
        <v>354</v>
      </c>
      <c r="T592" s="274" t="s">
        <v>1680</v>
      </c>
      <c r="U592" s="274" t="s">
        <v>1722</v>
      </c>
      <c r="V592" s="274" t="s">
        <v>355</v>
      </c>
      <c r="W592" s="274" t="s">
        <v>928</v>
      </c>
      <c r="X592" s="274" t="s">
        <v>928</v>
      </c>
      <c r="Y592" s="143"/>
      <c r="Z592" s="146" t="str">
        <f t="shared" ca="1" si="9"/>
        <v/>
      </c>
      <c r="AA592" s="146" t="str">
        <f ca="1">IFERROR(IF(OR(OFFSET('S4'!#REF!,MATCH($A592,'S4'!$D$5:$D$2535,0)-1,6)="巻返し",OFFSET('S4'!#REF!,MATCH($A592,'S4'!$D$5:$D$2535,0)-1,6)="スリット"),SUMIF('S4'!$D$5:$D$2535,$A592,'S4'!$U$5:$U$2535),""),"")</f>
        <v/>
      </c>
      <c r="AB592" s="146" t="str">
        <f ca="1">IFERROR(IF(OR(OFFSET('S5'!#REF!,MATCH($A592,'S5'!$D$5:$D$2103,0)-1,6)="巻返し",OFFSET('S5'!#REF!,MATCH($A592,'S5'!$D$5:$D$2103,0)-1,6)="スリット"),SUMIF('S5'!$D$5:$D$2103,$A592,'S5'!$T$5:$T$2103),""),"")</f>
        <v/>
      </c>
    </row>
    <row r="593" spans="1:28" s="141" customFormat="1" ht="13.5" x14ac:dyDescent="0.15">
      <c r="A593" s="274">
        <v>3731361</v>
      </c>
      <c r="B593" s="274" t="s">
        <v>351</v>
      </c>
      <c r="C593" s="274" t="s">
        <v>352</v>
      </c>
      <c r="D593" s="274" t="s">
        <v>353</v>
      </c>
      <c r="E593" s="274" t="s">
        <v>116</v>
      </c>
      <c r="F593" s="274" t="s">
        <v>158</v>
      </c>
      <c r="G593" s="274" t="s">
        <v>19</v>
      </c>
      <c r="H593" s="274" t="s">
        <v>20</v>
      </c>
      <c r="I593" s="274" t="s">
        <v>165</v>
      </c>
      <c r="J593" s="274" t="s">
        <v>928</v>
      </c>
      <c r="K593" s="274" t="s">
        <v>195</v>
      </c>
      <c r="L593" s="274">
        <v>50</v>
      </c>
      <c r="M593" s="274" t="s">
        <v>196</v>
      </c>
      <c r="N593" s="274">
        <v>1005</v>
      </c>
      <c r="O593" s="274">
        <v>1000</v>
      </c>
      <c r="P593" s="274">
        <v>4100</v>
      </c>
      <c r="Q593" s="274">
        <v>2</v>
      </c>
      <c r="R593" s="274">
        <v>3</v>
      </c>
      <c r="S593" s="274" t="s">
        <v>354</v>
      </c>
      <c r="T593" s="274" t="s">
        <v>1680</v>
      </c>
      <c r="U593" s="274" t="s">
        <v>1722</v>
      </c>
      <c r="V593" s="274" t="s">
        <v>355</v>
      </c>
      <c r="W593" s="274" t="s">
        <v>928</v>
      </c>
      <c r="X593" s="274" t="s">
        <v>928</v>
      </c>
      <c r="Y593" s="143"/>
      <c r="Z593" s="146" t="str">
        <f t="shared" ca="1" si="9"/>
        <v/>
      </c>
      <c r="AA593" s="146" t="str">
        <f ca="1">IFERROR(IF(OR(OFFSET('S4'!#REF!,MATCH($A593,'S4'!$D$5:$D$2535,0)-1,6)="巻返し",OFFSET('S4'!#REF!,MATCH($A593,'S4'!$D$5:$D$2535,0)-1,6)="スリット"),SUMIF('S4'!$D$5:$D$2535,$A593,'S4'!$U$5:$U$2535),""),"")</f>
        <v/>
      </c>
      <c r="AB593" s="146" t="str">
        <f ca="1">IFERROR(IF(OR(OFFSET('S5'!#REF!,MATCH($A593,'S5'!$D$5:$D$2103,0)-1,6)="巻返し",OFFSET('S5'!#REF!,MATCH($A593,'S5'!$D$5:$D$2103,0)-1,6)="スリット"),SUMIF('S5'!$D$5:$D$2103,$A593,'S5'!$T$5:$T$2103),""),"")</f>
        <v/>
      </c>
    </row>
    <row r="594" spans="1:28" s="141" customFormat="1" ht="13.5" x14ac:dyDescent="0.15">
      <c r="A594" s="274">
        <v>3731362</v>
      </c>
      <c r="B594" s="274" t="s">
        <v>351</v>
      </c>
      <c r="C594" s="274" t="s">
        <v>352</v>
      </c>
      <c r="D594" s="274" t="s">
        <v>353</v>
      </c>
      <c r="E594" s="274" t="s">
        <v>116</v>
      </c>
      <c r="F594" s="274" t="s">
        <v>158</v>
      </c>
      <c r="G594" s="274" t="s">
        <v>19</v>
      </c>
      <c r="H594" s="274" t="s">
        <v>20</v>
      </c>
      <c r="I594" s="274" t="s">
        <v>165</v>
      </c>
      <c r="J594" s="274" t="s">
        <v>928</v>
      </c>
      <c r="K594" s="274" t="s">
        <v>197</v>
      </c>
      <c r="L594" s="274">
        <v>50</v>
      </c>
      <c r="M594" s="274" t="s">
        <v>198</v>
      </c>
      <c r="N594" s="274">
        <v>1005</v>
      </c>
      <c r="O594" s="274">
        <v>1000</v>
      </c>
      <c r="P594" s="274">
        <v>4100</v>
      </c>
      <c r="Q594" s="274">
        <v>2</v>
      </c>
      <c r="R594" s="274">
        <v>2</v>
      </c>
      <c r="S594" s="274" t="s">
        <v>354</v>
      </c>
      <c r="T594" s="274" t="s">
        <v>1680</v>
      </c>
      <c r="U594" s="274" t="s">
        <v>1722</v>
      </c>
      <c r="V594" s="274" t="s">
        <v>355</v>
      </c>
      <c r="W594" s="274" t="s">
        <v>928</v>
      </c>
      <c r="X594" s="274" t="s">
        <v>928</v>
      </c>
      <c r="Y594" s="143"/>
      <c r="Z594" s="146" t="str">
        <f t="shared" ca="1" si="9"/>
        <v/>
      </c>
      <c r="AA594" s="146" t="str">
        <f ca="1">IFERROR(IF(OR(OFFSET('S4'!#REF!,MATCH($A594,'S4'!$D$5:$D$2535,0)-1,6)="巻返し",OFFSET('S4'!#REF!,MATCH($A594,'S4'!$D$5:$D$2535,0)-1,6)="スリット"),SUMIF('S4'!$D$5:$D$2535,$A594,'S4'!$U$5:$U$2535),""),"")</f>
        <v/>
      </c>
      <c r="AB594" s="146" t="str">
        <f ca="1">IFERROR(IF(OR(OFFSET('S5'!#REF!,MATCH($A594,'S5'!$D$5:$D$2103,0)-1,6)="巻返し",OFFSET('S5'!#REF!,MATCH($A594,'S5'!$D$5:$D$2103,0)-1,6)="スリット"),SUMIF('S5'!$D$5:$D$2103,$A594,'S5'!$T$5:$T$2103),""),"")</f>
        <v/>
      </c>
    </row>
    <row r="595" spans="1:28" s="141" customFormat="1" ht="13.5" x14ac:dyDescent="0.15">
      <c r="A595" s="274">
        <v>3731365</v>
      </c>
      <c r="B595" s="274" t="s">
        <v>351</v>
      </c>
      <c r="C595" s="274" t="s">
        <v>352</v>
      </c>
      <c r="D595" s="274" t="s">
        <v>353</v>
      </c>
      <c r="E595" s="274" t="s">
        <v>116</v>
      </c>
      <c r="F595" s="274">
        <v>3</v>
      </c>
      <c r="G595" s="274" t="s">
        <v>19</v>
      </c>
      <c r="H595" s="274" t="s">
        <v>20</v>
      </c>
      <c r="I595" s="274" t="s">
        <v>205</v>
      </c>
      <c r="J595" s="274" t="s">
        <v>928</v>
      </c>
      <c r="K595" s="274" t="s">
        <v>221</v>
      </c>
      <c r="L595" s="274">
        <v>25</v>
      </c>
      <c r="M595" s="274" t="s">
        <v>222</v>
      </c>
      <c r="N595" s="274">
        <v>1000</v>
      </c>
      <c r="O595" s="274">
        <v>1000</v>
      </c>
      <c r="P595" s="274">
        <v>6000</v>
      </c>
      <c r="Q595" s="274">
        <v>2</v>
      </c>
      <c r="R595" s="274">
        <v>8</v>
      </c>
      <c r="S595" s="274" t="s">
        <v>354</v>
      </c>
      <c r="T595" s="274" t="s">
        <v>1680</v>
      </c>
      <c r="U595" s="274" t="s">
        <v>1722</v>
      </c>
      <c r="V595" s="274" t="s">
        <v>355</v>
      </c>
      <c r="W595" s="274" t="s">
        <v>928</v>
      </c>
      <c r="X595" s="274" t="s">
        <v>928</v>
      </c>
      <c r="Y595" s="143"/>
      <c r="Z595" s="146" t="str">
        <f t="shared" ca="1" si="9"/>
        <v/>
      </c>
      <c r="AA595" s="146" t="str">
        <f ca="1">IFERROR(IF(OR(OFFSET('S4'!#REF!,MATCH($A595,'S4'!$D$5:$D$2535,0)-1,6)="巻返し",OFFSET('S4'!#REF!,MATCH($A595,'S4'!$D$5:$D$2535,0)-1,6)="スリット"),SUMIF('S4'!$D$5:$D$2535,$A595,'S4'!$U$5:$U$2535),""),"")</f>
        <v/>
      </c>
      <c r="AB595" s="146" t="str">
        <f ca="1">IFERROR(IF(OR(OFFSET('S5'!#REF!,MATCH($A595,'S5'!$D$5:$D$2103,0)-1,6)="巻返し",OFFSET('S5'!#REF!,MATCH($A595,'S5'!$D$5:$D$2103,0)-1,6)="スリット"),SUMIF('S5'!$D$5:$D$2103,$A595,'S5'!$T$5:$T$2103),""),"")</f>
        <v/>
      </c>
    </row>
    <row r="596" spans="1:28" s="141" customFormat="1" ht="13.5" x14ac:dyDescent="0.15">
      <c r="A596" s="274">
        <v>3731366</v>
      </c>
      <c r="B596" s="274" t="s">
        <v>351</v>
      </c>
      <c r="C596" s="274" t="s">
        <v>352</v>
      </c>
      <c r="D596" s="274" t="s">
        <v>353</v>
      </c>
      <c r="E596" s="274" t="s">
        <v>116</v>
      </c>
      <c r="F596" s="274">
        <v>3</v>
      </c>
      <c r="G596" s="274" t="s">
        <v>19</v>
      </c>
      <c r="H596" s="274" t="s">
        <v>20</v>
      </c>
      <c r="I596" s="274" t="s">
        <v>205</v>
      </c>
      <c r="J596" s="274" t="s">
        <v>928</v>
      </c>
      <c r="K596" s="274" t="s">
        <v>221</v>
      </c>
      <c r="L596" s="274">
        <v>25</v>
      </c>
      <c r="M596" s="274" t="s">
        <v>222</v>
      </c>
      <c r="N596" s="274">
        <v>1100</v>
      </c>
      <c r="O596" s="274">
        <v>1100</v>
      </c>
      <c r="P596" s="274">
        <v>6000</v>
      </c>
      <c r="Q596" s="274">
        <v>2</v>
      </c>
      <c r="R596" s="274">
        <v>12</v>
      </c>
      <c r="S596" s="274" t="s">
        <v>354</v>
      </c>
      <c r="T596" s="274" t="s">
        <v>1680</v>
      </c>
      <c r="U596" s="274" t="s">
        <v>1722</v>
      </c>
      <c r="V596" s="274" t="s">
        <v>355</v>
      </c>
      <c r="W596" s="274" t="s">
        <v>928</v>
      </c>
      <c r="X596" s="274" t="s">
        <v>928</v>
      </c>
      <c r="Y596" s="143"/>
      <c r="Z596" s="146" t="str">
        <f t="shared" ca="1" si="9"/>
        <v/>
      </c>
      <c r="AA596" s="146" t="str">
        <f ca="1">IFERROR(IF(OR(OFFSET('S4'!#REF!,MATCH($A596,'S4'!$D$5:$D$2535,0)-1,6)="巻返し",OFFSET('S4'!#REF!,MATCH($A596,'S4'!$D$5:$D$2535,0)-1,6)="スリット"),SUMIF('S4'!$D$5:$D$2535,$A596,'S4'!$U$5:$U$2535),""),"")</f>
        <v/>
      </c>
      <c r="AB596" s="146" t="str">
        <f ca="1">IFERROR(IF(OR(OFFSET('S5'!#REF!,MATCH($A596,'S5'!$D$5:$D$2103,0)-1,6)="巻返し",OFFSET('S5'!#REF!,MATCH($A596,'S5'!$D$5:$D$2103,0)-1,6)="スリット"),SUMIF('S5'!$D$5:$D$2103,$A596,'S5'!$T$5:$T$2103),""),"")</f>
        <v/>
      </c>
    </row>
    <row r="597" spans="1:28" s="141" customFormat="1" ht="13.5" x14ac:dyDescent="0.15">
      <c r="A597" s="274">
        <v>3731367</v>
      </c>
      <c r="B597" s="274" t="s">
        <v>351</v>
      </c>
      <c r="C597" s="274" t="s">
        <v>352</v>
      </c>
      <c r="D597" s="274" t="s">
        <v>353</v>
      </c>
      <c r="E597" s="274" t="s">
        <v>116</v>
      </c>
      <c r="F597" s="274">
        <v>3</v>
      </c>
      <c r="G597" s="274" t="s">
        <v>19</v>
      </c>
      <c r="H597" s="274" t="s">
        <v>20</v>
      </c>
      <c r="I597" s="274" t="s">
        <v>165</v>
      </c>
      <c r="J597" s="274" t="s">
        <v>928</v>
      </c>
      <c r="K597" s="274" t="s">
        <v>172</v>
      </c>
      <c r="L597" s="274">
        <v>50</v>
      </c>
      <c r="M597" s="274" t="s">
        <v>173</v>
      </c>
      <c r="N597" s="274">
        <v>1005</v>
      </c>
      <c r="O597" s="274">
        <v>1000</v>
      </c>
      <c r="P597" s="274">
        <v>4000</v>
      </c>
      <c r="Q597" s="274">
        <v>2</v>
      </c>
      <c r="R597" s="274">
        <v>2</v>
      </c>
      <c r="S597" s="274" t="s">
        <v>354</v>
      </c>
      <c r="T597" s="274" t="s">
        <v>1680</v>
      </c>
      <c r="U597" s="274" t="s">
        <v>1722</v>
      </c>
      <c r="V597" s="274" t="s">
        <v>355</v>
      </c>
      <c r="W597" s="274" t="s">
        <v>928</v>
      </c>
      <c r="X597" s="274" t="s">
        <v>928</v>
      </c>
      <c r="Y597" s="143"/>
      <c r="Z597" s="146" t="str">
        <f t="shared" ca="1" si="9"/>
        <v/>
      </c>
      <c r="AA597" s="146" t="str">
        <f ca="1">IFERROR(IF(OR(OFFSET('S4'!#REF!,MATCH($A597,'S4'!$D$5:$D$2535,0)-1,6)="巻返し",OFFSET('S4'!#REF!,MATCH($A597,'S4'!$D$5:$D$2535,0)-1,6)="スリット"),SUMIF('S4'!$D$5:$D$2535,$A597,'S4'!$U$5:$U$2535),""),"")</f>
        <v/>
      </c>
      <c r="AB597" s="146" t="str">
        <f ca="1">IFERROR(IF(OR(OFFSET('S5'!#REF!,MATCH($A597,'S5'!$D$5:$D$2103,0)-1,6)="巻返し",OFFSET('S5'!#REF!,MATCH($A597,'S5'!$D$5:$D$2103,0)-1,6)="スリット"),SUMIF('S5'!$D$5:$D$2103,$A597,'S5'!$T$5:$T$2103),""),"")</f>
        <v/>
      </c>
    </row>
    <row r="598" spans="1:28" s="141" customFormat="1" ht="13.5" x14ac:dyDescent="0.15">
      <c r="A598" s="274">
        <v>3731368</v>
      </c>
      <c r="B598" s="274" t="s">
        <v>351</v>
      </c>
      <c r="C598" s="274" t="s">
        <v>352</v>
      </c>
      <c r="D598" s="274" t="s">
        <v>353</v>
      </c>
      <c r="E598" s="274" t="s">
        <v>116</v>
      </c>
      <c r="F598" s="274">
        <v>3</v>
      </c>
      <c r="G598" s="274" t="s">
        <v>19</v>
      </c>
      <c r="H598" s="274" t="s">
        <v>20</v>
      </c>
      <c r="I598" s="274" t="s">
        <v>165</v>
      </c>
      <c r="J598" s="274" t="s">
        <v>928</v>
      </c>
      <c r="K598" s="274" t="s">
        <v>176</v>
      </c>
      <c r="L598" s="274">
        <v>25</v>
      </c>
      <c r="M598" s="274" t="s">
        <v>177</v>
      </c>
      <c r="N598" s="274">
        <v>1005</v>
      </c>
      <c r="O598" s="274">
        <v>1000</v>
      </c>
      <c r="P598" s="274">
        <v>2000</v>
      </c>
      <c r="Q598" s="274">
        <v>2</v>
      </c>
      <c r="R598" s="274">
        <v>4</v>
      </c>
      <c r="S598" s="274" t="s">
        <v>354</v>
      </c>
      <c r="T598" s="274" t="s">
        <v>1680</v>
      </c>
      <c r="U598" s="274" t="s">
        <v>1722</v>
      </c>
      <c r="V598" s="274" t="s">
        <v>355</v>
      </c>
      <c r="W598" s="274" t="s">
        <v>928</v>
      </c>
      <c r="X598" s="274" t="s">
        <v>928</v>
      </c>
      <c r="Y598" s="143"/>
      <c r="Z598" s="146" t="str">
        <f t="shared" ca="1" si="9"/>
        <v/>
      </c>
      <c r="AA598" s="146" t="str">
        <f ca="1">IFERROR(IF(OR(OFFSET('S4'!#REF!,MATCH($A598,'S4'!$D$5:$D$2535,0)-1,6)="巻返し",OFFSET('S4'!#REF!,MATCH($A598,'S4'!$D$5:$D$2535,0)-1,6)="スリット"),SUMIF('S4'!$D$5:$D$2535,$A598,'S4'!$U$5:$U$2535),""),"")</f>
        <v/>
      </c>
      <c r="AB598" s="146" t="str">
        <f ca="1">IFERROR(IF(OR(OFFSET('S5'!#REF!,MATCH($A598,'S5'!$D$5:$D$2103,0)-1,6)="巻返し",OFFSET('S5'!#REF!,MATCH($A598,'S5'!$D$5:$D$2103,0)-1,6)="スリット"),SUMIF('S5'!$D$5:$D$2103,$A598,'S5'!$T$5:$T$2103),""),"")</f>
        <v/>
      </c>
    </row>
    <row r="599" spans="1:28" s="141" customFormat="1" ht="13.5" x14ac:dyDescent="0.15">
      <c r="A599" s="274">
        <v>3731369</v>
      </c>
      <c r="B599" s="274" t="s">
        <v>351</v>
      </c>
      <c r="C599" s="274" t="s">
        <v>352</v>
      </c>
      <c r="D599" s="274" t="s">
        <v>353</v>
      </c>
      <c r="E599" s="274" t="s">
        <v>116</v>
      </c>
      <c r="F599" s="274">
        <v>3</v>
      </c>
      <c r="G599" s="274" t="s">
        <v>19</v>
      </c>
      <c r="H599" s="274" t="s">
        <v>20</v>
      </c>
      <c r="I599" s="274" t="s">
        <v>165</v>
      </c>
      <c r="J599" s="274" t="s">
        <v>928</v>
      </c>
      <c r="K599" s="274" t="s">
        <v>176</v>
      </c>
      <c r="L599" s="274">
        <v>50</v>
      </c>
      <c r="M599" s="274" t="s">
        <v>177</v>
      </c>
      <c r="N599" s="274">
        <v>1005</v>
      </c>
      <c r="O599" s="274">
        <v>1000</v>
      </c>
      <c r="P599" s="274">
        <v>4100</v>
      </c>
      <c r="Q599" s="274">
        <v>2</v>
      </c>
      <c r="R599" s="274">
        <v>4</v>
      </c>
      <c r="S599" s="274" t="s">
        <v>354</v>
      </c>
      <c r="T599" s="274" t="s">
        <v>1680</v>
      </c>
      <c r="U599" s="274" t="s">
        <v>1722</v>
      </c>
      <c r="V599" s="274" t="s">
        <v>355</v>
      </c>
      <c r="W599" s="274" t="s">
        <v>928</v>
      </c>
      <c r="X599" s="274" t="s">
        <v>928</v>
      </c>
      <c r="Y599" s="143"/>
      <c r="Z599" s="146" t="str">
        <f t="shared" ca="1" si="9"/>
        <v/>
      </c>
      <c r="AA599" s="146" t="str">
        <f ca="1">IFERROR(IF(OR(OFFSET('S4'!#REF!,MATCH($A599,'S4'!$D$5:$D$2535,0)-1,6)="巻返し",OFFSET('S4'!#REF!,MATCH($A599,'S4'!$D$5:$D$2535,0)-1,6)="スリット"),SUMIF('S4'!$D$5:$D$2535,$A599,'S4'!$U$5:$U$2535),""),"")</f>
        <v/>
      </c>
      <c r="AB599" s="146" t="str">
        <f ca="1">IFERROR(IF(OR(OFFSET('S5'!#REF!,MATCH($A599,'S5'!$D$5:$D$2103,0)-1,6)="巻返し",OFFSET('S5'!#REF!,MATCH($A599,'S5'!$D$5:$D$2103,0)-1,6)="スリット"),SUMIF('S5'!$D$5:$D$2103,$A599,'S5'!$T$5:$T$2103),""),"")</f>
        <v/>
      </c>
    </row>
    <row r="600" spans="1:28" s="141" customFormat="1" ht="13.5" x14ac:dyDescent="0.15">
      <c r="A600" s="274">
        <v>3731370</v>
      </c>
      <c r="B600" s="274" t="s">
        <v>351</v>
      </c>
      <c r="C600" s="274" t="s">
        <v>352</v>
      </c>
      <c r="D600" s="274" t="s">
        <v>353</v>
      </c>
      <c r="E600" s="274" t="s">
        <v>116</v>
      </c>
      <c r="F600" s="274">
        <v>3</v>
      </c>
      <c r="G600" s="274" t="s">
        <v>19</v>
      </c>
      <c r="H600" s="274" t="s">
        <v>20</v>
      </c>
      <c r="I600" s="274" t="s">
        <v>143</v>
      </c>
      <c r="J600" s="274" t="s">
        <v>928</v>
      </c>
      <c r="K600" s="274" t="s">
        <v>152</v>
      </c>
      <c r="L600" s="274">
        <v>38</v>
      </c>
      <c r="M600" s="274" t="s">
        <v>153</v>
      </c>
      <c r="N600" s="274">
        <v>1005</v>
      </c>
      <c r="O600" s="274">
        <v>1000</v>
      </c>
      <c r="P600" s="274">
        <v>4000</v>
      </c>
      <c r="Q600" s="274">
        <v>2</v>
      </c>
      <c r="R600" s="274">
        <v>4</v>
      </c>
      <c r="S600" s="274" t="s">
        <v>354</v>
      </c>
      <c r="T600" s="274" t="s">
        <v>1680</v>
      </c>
      <c r="U600" s="274" t="s">
        <v>1722</v>
      </c>
      <c r="V600" s="274" t="s">
        <v>355</v>
      </c>
      <c r="W600" s="274" t="s">
        <v>928</v>
      </c>
      <c r="X600" s="274" t="s">
        <v>928</v>
      </c>
      <c r="Y600" s="143"/>
      <c r="Z600" s="146" t="str">
        <f t="shared" ca="1" si="9"/>
        <v/>
      </c>
      <c r="AA600" s="146" t="str">
        <f ca="1">IFERROR(IF(OR(OFFSET('S4'!#REF!,MATCH($A600,'S4'!$D$5:$D$2535,0)-1,6)="巻返し",OFFSET('S4'!#REF!,MATCH($A600,'S4'!$D$5:$D$2535,0)-1,6)="スリット"),SUMIF('S4'!$D$5:$D$2535,$A600,'S4'!$U$5:$U$2535),""),"")</f>
        <v/>
      </c>
      <c r="AB600" s="146" t="str">
        <f ca="1">IFERROR(IF(OR(OFFSET('S5'!#REF!,MATCH($A600,'S5'!$D$5:$D$2103,0)-1,6)="巻返し",OFFSET('S5'!#REF!,MATCH($A600,'S5'!$D$5:$D$2103,0)-1,6)="スリット"),SUMIF('S5'!$D$5:$D$2103,$A600,'S5'!$T$5:$T$2103),""),"")</f>
        <v/>
      </c>
    </row>
    <row r="601" spans="1:28" s="141" customFormat="1" ht="13.5" x14ac:dyDescent="0.15">
      <c r="A601" s="274">
        <v>3731371</v>
      </c>
      <c r="B601" s="274" t="s">
        <v>351</v>
      </c>
      <c r="C601" s="274" t="s">
        <v>352</v>
      </c>
      <c r="D601" s="274" t="s">
        <v>353</v>
      </c>
      <c r="E601" s="274" t="s">
        <v>116</v>
      </c>
      <c r="F601" s="274">
        <v>3</v>
      </c>
      <c r="G601" s="274" t="s">
        <v>19</v>
      </c>
      <c r="H601" s="274" t="s">
        <v>28</v>
      </c>
      <c r="I601" s="274" t="s">
        <v>205</v>
      </c>
      <c r="J601" s="274" t="s">
        <v>928</v>
      </c>
      <c r="K601" s="274" t="s">
        <v>237</v>
      </c>
      <c r="L601" s="274">
        <v>25</v>
      </c>
      <c r="M601" s="274" t="s">
        <v>238</v>
      </c>
      <c r="N601" s="274">
        <v>1120</v>
      </c>
      <c r="O601" s="274">
        <v>1120</v>
      </c>
      <c r="P601" s="274">
        <v>8000</v>
      </c>
      <c r="Q601" s="274">
        <v>2</v>
      </c>
      <c r="R601" s="274">
        <v>2</v>
      </c>
      <c r="S601" s="274" t="s">
        <v>354</v>
      </c>
      <c r="T601" s="274" t="s">
        <v>1680</v>
      </c>
      <c r="U601" s="274" t="s">
        <v>1695</v>
      </c>
      <c r="V601" s="274" t="s">
        <v>355</v>
      </c>
      <c r="W601" s="274" t="s">
        <v>928</v>
      </c>
      <c r="X601" s="274" t="s">
        <v>928</v>
      </c>
      <c r="Y601" s="143"/>
      <c r="Z601" s="146" t="str">
        <f t="shared" ca="1" si="9"/>
        <v/>
      </c>
      <c r="AA601" s="146" t="str">
        <f ca="1">IFERROR(IF(OR(OFFSET('S4'!#REF!,MATCH($A601,'S4'!$D$5:$D$2535,0)-1,6)="巻返し",OFFSET('S4'!#REF!,MATCH($A601,'S4'!$D$5:$D$2535,0)-1,6)="スリット"),SUMIF('S4'!$D$5:$D$2535,$A601,'S4'!$U$5:$U$2535),""),"")</f>
        <v/>
      </c>
      <c r="AB601" s="146" t="str">
        <f ca="1">IFERROR(IF(OR(OFFSET('S5'!#REF!,MATCH($A601,'S5'!$D$5:$D$2103,0)-1,6)="巻返し",OFFSET('S5'!#REF!,MATCH($A601,'S5'!$D$5:$D$2103,0)-1,6)="スリット"),SUMIF('S5'!$D$5:$D$2103,$A601,'S5'!$T$5:$T$2103),""),"")</f>
        <v/>
      </c>
    </row>
    <row r="602" spans="1:28" s="141" customFormat="1" ht="13.5" x14ac:dyDescent="0.15">
      <c r="A602" s="274">
        <v>3731372</v>
      </c>
      <c r="B602" s="274" t="s">
        <v>351</v>
      </c>
      <c r="C602" s="274" t="s">
        <v>352</v>
      </c>
      <c r="D602" s="274" t="s">
        <v>353</v>
      </c>
      <c r="E602" s="274" t="s">
        <v>116</v>
      </c>
      <c r="F602" s="274">
        <v>3</v>
      </c>
      <c r="G602" s="274" t="s">
        <v>19</v>
      </c>
      <c r="H602" s="274" t="s">
        <v>28</v>
      </c>
      <c r="I602" s="274" t="s">
        <v>205</v>
      </c>
      <c r="J602" s="274" t="s">
        <v>928</v>
      </c>
      <c r="K602" s="274" t="s">
        <v>237</v>
      </c>
      <c r="L602" s="274">
        <v>25</v>
      </c>
      <c r="M602" s="274" t="s">
        <v>238</v>
      </c>
      <c r="N602" s="274">
        <v>1120</v>
      </c>
      <c r="O602" s="274">
        <v>1120</v>
      </c>
      <c r="P602" s="274">
        <v>8000</v>
      </c>
      <c r="Q602" s="274">
        <v>2</v>
      </c>
      <c r="R602" s="274">
        <v>1</v>
      </c>
      <c r="S602" s="274" t="s">
        <v>354</v>
      </c>
      <c r="T602" s="274" t="s">
        <v>1680</v>
      </c>
      <c r="U602" s="274" t="s">
        <v>1695</v>
      </c>
      <c r="V602" s="274" t="s">
        <v>355</v>
      </c>
      <c r="W602" s="274" t="s">
        <v>928</v>
      </c>
      <c r="X602" s="274" t="s">
        <v>928</v>
      </c>
      <c r="Y602" s="143"/>
      <c r="Z602" s="146" t="str">
        <f t="shared" ca="1" si="9"/>
        <v/>
      </c>
      <c r="AA602" s="146" t="str">
        <f ca="1">IFERROR(IF(OR(OFFSET('S4'!#REF!,MATCH($A602,'S4'!$D$5:$D$2535,0)-1,6)="巻返し",OFFSET('S4'!#REF!,MATCH($A602,'S4'!$D$5:$D$2535,0)-1,6)="スリット"),SUMIF('S4'!$D$5:$D$2535,$A602,'S4'!$U$5:$U$2535),""),"")</f>
        <v/>
      </c>
      <c r="AB602" s="146" t="str">
        <f ca="1">IFERROR(IF(OR(OFFSET('S5'!#REF!,MATCH($A602,'S5'!$D$5:$D$2103,0)-1,6)="巻返し",OFFSET('S5'!#REF!,MATCH($A602,'S5'!$D$5:$D$2103,0)-1,6)="スリット"),SUMIF('S5'!$D$5:$D$2103,$A602,'S5'!$T$5:$T$2103),""),"")</f>
        <v/>
      </c>
    </row>
    <row r="603" spans="1:28" s="141" customFormat="1" ht="13.5" x14ac:dyDescent="0.15">
      <c r="A603" s="274">
        <v>3731373</v>
      </c>
      <c r="B603" s="274" t="s">
        <v>351</v>
      </c>
      <c r="C603" s="274" t="s">
        <v>352</v>
      </c>
      <c r="D603" s="274" t="s">
        <v>353</v>
      </c>
      <c r="E603" s="274" t="s">
        <v>116</v>
      </c>
      <c r="F603" s="274">
        <v>3</v>
      </c>
      <c r="G603" s="274" t="s">
        <v>19</v>
      </c>
      <c r="H603" s="274" t="s">
        <v>28</v>
      </c>
      <c r="I603" s="274" t="s">
        <v>205</v>
      </c>
      <c r="J603" s="274" t="s">
        <v>928</v>
      </c>
      <c r="K603" s="274" t="s">
        <v>237</v>
      </c>
      <c r="L603" s="274">
        <v>50</v>
      </c>
      <c r="M603" s="274" t="s">
        <v>238</v>
      </c>
      <c r="N603" s="274">
        <v>1120</v>
      </c>
      <c r="O603" s="274">
        <v>1120</v>
      </c>
      <c r="P603" s="274">
        <v>4000</v>
      </c>
      <c r="Q603" s="274">
        <v>2</v>
      </c>
      <c r="R603" s="274">
        <v>4</v>
      </c>
      <c r="S603" s="274" t="s">
        <v>354</v>
      </c>
      <c r="T603" s="274" t="s">
        <v>1680</v>
      </c>
      <c r="U603" s="274" t="s">
        <v>1736</v>
      </c>
      <c r="V603" s="274" t="s">
        <v>355</v>
      </c>
      <c r="W603" s="274" t="s">
        <v>928</v>
      </c>
      <c r="X603" s="274" t="s">
        <v>928</v>
      </c>
      <c r="Y603" s="143"/>
      <c r="Z603" s="146" t="str">
        <f t="shared" ca="1" si="9"/>
        <v/>
      </c>
      <c r="AA603" s="146" t="str">
        <f ca="1">IFERROR(IF(OR(OFFSET('S4'!#REF!,MATCH($A603,'S4'!$D$5:$D$2535,0)-1,6)="巻返し",OFFSET('S4'!#REF!,MATCH($A603,'S4'!$D$5:$D$2535,0)-1,6)="スリット"),SUMIF('S4'!$D$5:$D$2535,$A603,'S4'!$U$5:$U$2535),""),"")</f>
        <v/>
      </c>
      <c r="AB603" s="146" t="str">
        <f ca="1">IFERROR(IF(OR(OFFSET('S5'!#REF!,MATCH($A603,'S5'!$D$5:$D$2103,0)-1,6)="巻返し",OFFSET('S5'!#REF!,MATCH($A603,'S5'!$D$5:$D$2103,0)-1,6)="スリット"),SUMIF('S5'!$D$5:$D$2103,$A603,'S5'!$T$5:$T$2103),""),"")</f>
        <v/>
      </c>
    </row>
    <row r="604" spans="1:28" s="141" customFormat="1" ht="13.5" x14ac:dyDescent="0.15">
      <c r="A604" s="274">
        <v>3731374</v>
      </c>
      <c r="B604" s="274" t="s">
        <v>351</v>
      </c>
      <c r="C604" s="274" t="s">
        <v>352</v>
      </c>
      <c r="D604" s="274" t="s">
        <v>353</v>
      </c>
      <c r="E604" s="274" t="s">
        <v>116</v>
      </c>
      <c r="F604" s="274">
        <v>3</v>
      </c>
      <c r="G604" s="274" t="s">
        <v>19</v>
      </c>
      <c r="H604" s="274" t="s">
        <v>28</v>
      </c>
      <c r="I604" s="274" t="s">
        <v>205</v>
      </c>
      <c r="J604" s="274" t="s">
        <v>928</v>
      </c>
      <c r="K604" s="274" t="s">
        <v>224</v>
      </c>
      <c r="L604" s="274">
        <v>50</v>
      </c>
      <c r="M604" s="274" t="s">
        <v>225</v>
      </c>
      <c r="N604" s="274">
        <v>1120</v>
      </c>
      <c r="O604" s="274">
        <v>1120</v>
      </c>
      <c r="P604" s="274">
        <v>5000</v>
      </c>
      <c r="Q604" s="274">
        <v>2</v>
      </c>
      <c r="R604" s="274">
        <v>2</v>
      </c>
      <c r="S604" s="274" t="s">
        <v>354</v>
      </c>
      <c r="T604" s="274" t="s">
        <v>1680</v>
      </c>
      <c r="U604" s="274" t="s">
        <v>1736</v>
      </c>
      <c r="V604" s="274" t="s">
        <v>355</v>
      </c>
      <c r="W604" s="274" t="s">
        <v>928</v>
      </c>
      <c r="X604" s="274" t="s">
        <v>928</v>
      </c>
      <c r="Y604" s="143"/>
      <c r="Z604" s="146" t="str">
        <f t="shared" ca="1" si="9"/>
        <v/>
      </c>
      <c r="AA604" s="146" t="str">
        <f ca="1">IFERROR(IF(OR(OFFSET('S4'!#REF!,MATCH($A604,'S4'!$D$5:$D$2535,0)-1,6)="巻返し",OFFSET('S4'!#REF!,MATCH($A604,'S4'!$D$5:$D$2535,0)-1,6)="スリット"),SUMIF('S4'!$D$5:$D$2535,$A604,'S4'!$U$5:$U$2535),""),"")</f>
        <v/>
      </c>
      <c r="AB604" s="146" t="str">
        <f ca="1">IFERROR(IF(OR(OFFSET('S5'!#REF!,MATCH($A604,'S5'!$D$5:$D$2103,0)-1,6)="巻返し",OFFSET('S5'!#REF!,MATCH($A604,'S5'!$D$5:$D$2103,0)-1,6)="スリット"),SUMIF('S5'!$D$5:$D$2103,$A604,'S5'!$T$5:$T$2103),""),"")</f>
        <v/>
      </c>
    </row>
    <row r="605" spans="1:28" s="141" customFormat="1" ht="13.5" x14ac:dyDescent="0.15">
      <c r="A605" s="274">
        <v>3731375</v>
      </c>
      <c r="B605" s="274" t="s">
        <v>351</v>
      </c>
      <c r="C605" s="274" t="s">
        <v>352</v>
      </c>
      <c r="D605" s="274" t="s">
        <v>353</v>
      </c>
      <c r="E605" s="274" t="s">
        <v>116</v>
      </c>
      <c r="F605" s="274">
        <v>3</v>
      </c>
      <c r="G605" s="274" t="s">
        <v>19</v>
      </c>
      <c r="H605" s="274" t="s">
        <v>28</v>
      </c>
      <c r="I605" s="274" t="s">
        <v>205</v>
      </c>
      <c r="J605" s="274" t="s">
        <v>928</v>
      </c>
      <c r="K605" s="274" t="s">
        <v>233</v>
      </c>
      <c r="L605" s="274">
        <v>50</v>
      </c>
      <c r="M605" s="274" t="s">
        <v>234</v>
      </c>
      <c r="N605" s="274">
        <v>1120</v>
      </c>
      <c r="O605" s="274">
        <v>1120</v>
      </c>
      <c r="P605" s="274">
        <v>4000</v>
      </c>
      <c r="Q605" s="274">
        <v>2</v>
      </c>
      <c r="R605" s="274">
        <v>2</v>
      </c>
      <c r="S605" s="274" t="s">
        <v>354</v>
      </c>
      <c r="T605" s="274" t="s">
        <v>1680</v>
      </c>
      <c r="U605" s="274" t="s">
        <v>1736</v>
      </c>
      <c r="V605" s="274" t="s">
        <v>355</v>
      </c>
      <c r="W605" s="274" t="s">
        <v>928</v>
      </c>
      <c r="X605" s="274" t="s">
        <v>928</v>
      </c>
      <c r="Y605" s="143"/>
      <c r="Z605" s="146" t="str">
        <f t="shared" ca="1" si="9"/>
        <v/>
      </c>
      <c r="AA605" s="146" t="str">
        <f ca="1">IFERROR(IF(OR(OFFSET('S4'!#REF!,MATCH($A605,'S4'!$D$5:$D$2535,0)-1,6)="巻返し",OFFSET('S4'!#REF!,MATCH($A605,'S4'!$D$5:$D$2535,0)-1,6)="スリット"),SUMIF('S4'!$D$5:$D$2535,$A605,'S4'!$U$5:$U$2535),""),"")</f>
        <v/>
      </c>
      <c r="AB605" s="146" t="str">
        <f ca="1">IFERROR(IF(OR(OFFSET('S5'!#REF!,MATCH($A605,'S5'!$D$5:$D$2103,0)-1,6)="巻返し",OFFSET('S5'!#REF!,MATCH($A605,'S5'!$D$5:$D$2103,0)-1,6)="スリット"),SUMIF('S5'!$D$5:$D$2103,$A605,'S5'!$T$5:$T$2103),""),"")</f>
        <v/>
      </c>
    </row>
    <row r="606" spans="1:28" s="141" customFormat="1" ht="13.5" x14ac:dyDescent="0.15">
      <c r="A606" s="274">
        <v>3731376</v>
      </c>
      <c r="B606" s="274" t="s">
        <v>351</v>
      </c>
      <c r="C606" s="274" t="s">
        <v>352</v>
      </c>
      <c r="D606" s="274" t="s">
        <v>353</v>
      </c>
      <c r="E606" s="274" t="s">
        <v>116</v>
      </c>
      <c r="F606" s="274">
        <v>3</v>
      </c>
      <c r="G606" s="274" t="s">
        <v>19</v>
      </c>
      <c r="H606" s="274" t="s">
        <v>28</v>
      </c>
      <c r="I606" s="274" t="s">
        <v>205</v>
      </c>
      <c r="J606" s="274" t="s">
        <v>928</v>
      </c>
      <c r="K606" s="274" t="s">
        <v>224</v>
      </c>
      <c r="L606" s="274">
        <v>50</v>
      </c>
      <c r="M606" s="274" t="s">
        <v>225</v>
      </c>
      <c r="N606" s="274">
        <v>1120</v>
      </c>
      <c r="O606" s="274">
        <v>1120</v>
      </c>
      <c r="P606" s="274">
        <v>5000</v>
      </c>
      <c r="Q606" s="274">
        <v>2</v>
      </c>
      <c r="R606" s="274">
        <v>2</v>
      </c>
      <c r="S606" s="274" t="s">
        <v>354</v>
      </c>
      <c r="T606" s="274" t="s">
        <v>1680</v>
      </c>
      <c r="U606" s="274" t="s">
        <v>1736</v>
      </c>
      <c r="V606" s="274" t="s">
        <v>355</v>
      </c>
      <c r="W606" s="274" t="s">
        <v>928</v>
      </c>
      <c r="X606" s="274" t="s">
        <v>928</v>
      </c>
      <c r="Y606" s="143"/>
      <c r="Z606" s="146" t="str">
        <f t="shared" ca="1" si="9"/>
        <v/>
      </c>
      <c r="AA606" s="146" t="str">
        <f ca="1">IFERROR(IF(OR(OFFSET('S4'!#REF!,MATCH($A606,'S4'!$D$5:$D$2535,0)-1,6)="巻返し",OFFSET('S4'!#REF!,MATCH($A606,'S4'!$D$5:$D$2535,0)-1,6)="スリット"),SUMIF('S4'!$D$5:$D$2535,$A606,'S4'!$U$5:$U$2535),""),"")</f>
        <v/>
      </c>
      <c r="AB606" s="146" t="str">
        <f ca="1">IFERROR(IF(OR(OFFSET('S5'!#REF!,MATCH($A606,'S5'!$D$5:$D$2103,0)-1,6)="巻返し",OFFSET('S5'!#REF!,MATCH($A606,'S5'!$D$5:$D$2103,0)-1,6)="スリット"),SUMIF('S5'!$D$5:$D$2103,$A606,'S5'!$T$5:$T$2103),""),"")</f>
        <v/>
      </c>
    </row>
    <row r="607" spans="1:28" s="141" customFormat="1" ht="13.5" x14ac:dyDescent="0.15">
      <c r="A607" s="274">
        <v>3731377</v>
      </c>
      <c r="B607" s="274" t="s">
        <v>351</v>
      </c>
      <c r="C607" s="274" t="s">
        <v>352</v>
      </c>
      <c r="D607" s="274" t="s">
        <v>353</v>
      </c>
      <c r="E607" s="274" t="s">
        <v>116</v>
      </c>
      <c r="F607" s="274">
        <v>3</v>
      </c>
      <c r="G607" s="274" t="s">
        <v>19</v>
      </c>
      <c r="H607" s="274" t="s">
        <v>28</v>
      </c>
      <c r="I607" s="274" t="s">
        <v>205</v>
      </c>
      <c r="J607" s="274" t="s">
        <v>928</v>
      </c>
      <c r="K607" s="274" t="s">
        <v>233</v>
      </c>
      <c r="L607" s="274">
        <v>50</v>
      </c>
      <c r="M607" s="274" t="s">
        <v>234</v>
      </c>
      <c r="N607" s="274">
        <v>1120</v>
      </c>
      <c r="O607" s="274">
        <v>1120</v>
      </c>
      <c r="P607" s="274">
        <v>4000</v>
      </c>
      <c r="Q607" s="274">
        <v>2</v>
      </c>
      <c r="R607" s="274">
        <v>4</v>
      </c>
      <c r="S607" s="274" t="s">
        <v>354</v>
      </c>
      <c r="T607" s="274" t="s">
        <v>1680</v>
      </c>
      <c r="U607" s="274" t="s">
        <v>1736</v>
      </c>
      <c r="V607" s="274" t="s">
        <v>355</v>
      </c>
      <c r="W607" s="274" t="s">
        <v>928</v>
      </c>
      <c r="X607" s="274" t="s">
        <v>928</v>
      </c>
      <c r="Y607" s="143"/>
      <c r="Z607" s="146" t="str">
        <f t="shared" ca="1" si="9"/>
        <v/>
      </c>
      <c r="AA607" s="146" t="str">
        <f ca="1">IFERROR(IF(OR(OFFSET('S4'!#REF!,MATCH($A607,'S4'!$D$5:$D$2535,0)-1,6)="巻返し",OFFSET('S4'!#REF!,MATCH($A607,'S4'!$D$5:$D$2535,0)-1,6)="スリット"),SUMIF('S4'!$D$5:$D$2535,$A607,'S4'!$U$5:$U$2535),""),"")</f>
        <v/>
      </c>
      <c r="AB607" s="146" t="str">
        <f ca="1">IFERROR(IF(OR(OFFSET('S5'!#REF!,MATCH($A607,'S5'!$D$5:$D$2103,0)-1,6)="巻返し",OFFSET('S5'!#REF!,MATCH($A607,'S5'!$D$5:$D$2103,0)-1,6)="スリット"),SUMIF('S5'!$D$5:$D$2103,$A607,'S5'!$T$5:$T$2103),""),"")</f>
        <v/>
      </c>
    </row>
    <row r="608" spans="1:28" s="141" customFormat="1" ht="13.5" x14ac:dyDescent="0.15">
      <c r="A608" s="274">
        <v>3731382</v>
      </c>
      <c r="B608" s="274" t="s">
        <v>510</v>
      </c>
      <c r="C608" s="274" t="s">
        <v>364</v>
      </c>
      <c r="D608" s="274" t="s">
        <v>353</v>
      </c>
      <c r="E608" s="274" t="s">
        <v>324</v>
      </c>
      <c r="F608" s="274">
        <v>3</v>
      </c>
      <c r="G608" s="274" t="s">
        <v>269</v>
      </c>
      <c r="H608" s="274" t="s">
        <v>20</v>
      </c>
      <c r="I608" s="274" t="s">
        <v>205</v>
      </c>
      <c r="J608" s="274" t="s">
        <v>928</v>
      </c>
      <c r="K608" s="274" t="s">
        <v>325</v>
      </c>
      <c r="L608" s="274">
        <v>9</v>
      </c>
      <c r="M608" s="274" t="s">
        <v>326</v>
      </c>
      <c r="N608" s="274">
        <v>1360</v>
      </c>
      <c r="O608" s="274">
        <v>1360</v>
      </c>
      <c r="P608" s="274">
        <v>2100</v>
      </c>
      <c r="Q608" s="274">
        <v>2</v>
      </c>
      <c r="R608" s="274">
        <v>15</v>
      </c>
      <c r="S608" s="274" t="s">
        <v>354</v>
      </c>
      <c r="T608" s="274" t="s">
        <v>1536</v>
      </c>
      <c r="U608" s="274" t="s">
        <v>1761</v>
      </c>
      <c r="V608" s="274" t="s">
        <v>428</v>
      </c>
      <c r="W608" s="274" t="s">
        <v>928</v>
      </c>
      <c r="X608" s="274" t="s">
        <v>928</v>
      </c>
      <c r="Y608" s="143"/>
      <c r="Z608" s="146" t="str">
        <f t="shared" ca="1" si="9"/>
        <v/>
      </c>
      <c r="AA608" s="146" t="str">
        <f ca="1">IFERROR(IF(OR(OFFSET('S4'!#REF!,MATCH($A608,'S4'!$D$5:$D$2535,0)-1,6)="巻返し",OFFSET('S4'!#REF!,MATCH($A608,'S4'!$D$5:$D$2535,0)-1,6)="スリット"),SUMIF('S4'!$D$5:$D$2535,$A608,'S4'!$U$5:$U$2535),""),"")</f>
        <v/>
      </c>
      <c r="AB608" s="146" t="str">
        <f ca="1">IFERROR(IF(OR(OFFSET('S5'!#REF!,MATCH($A608,'S5'!$D$5:$D$2103,0)-1,6)="巻返し",OFFSET('S5'!#REF!,MATCH($A608,'S5'!$D$5:$D$2103,0)-1,6)="スリット"),SUMIF('S5'!$D$5:$D$2103,$A608,'S5'!$T$5:$T$2103),""),"")</f>
        <v/>
      </c>
    </row>
    <row r="609" spans="1:28" s="141" customFormat="1" ht="13.5" x14ac:dyDescent="0.15">
      <c r="A609" s="274">
        <v>3731443</v>
      </c>
      <c r="B609" s="274" t="s">
        <v>1364</v>
      </c>
      <c r="C609" s="274" t="s">
        <v>358</v>
      </c>
      <c r="D609" s="274" t="s">
        <v>353</v>
      </c>
      <c r="E609" s="274" t="s">
        <v>1365</v>
      </c>
      <c r="F609" s="274">
        <v>3</v>
      </c>
      <c r="G609" s="274" t="s">
        <v>269</v>
      </c>
      <c r="H609" s="274" t="s">
        <v>28</v>
      </c>
      <c r="I609" s="274" t="s">
        <v>1078</v>
      </c>
      <c r="J609" s="274" t="s">
        <v>928</v>
      </c>
      <c r="K609" s="274" t="s">
        <v>1079</v>
      </c>
      <c r="L609" s="274">
        <v>25</v>
      </c>
      <c r="M609" s="274" t="s">
        <v>1366</v>
      </c>
      <c r="N609" s="274">
        <v>1050</v>
      </c>
      <c r="O609" s="274">
        <v>1050</v>
      </c>
      <c r="P609" s="274">
        <v>6000</v>
      </c>
      <c r="Q609" s="274">
        <v>1</v>
      </c>
      <c r="R609" s="274">
        <v>6</v>
      </c>
      <c r="S609" s="274" t="s">
        <v>354</v>
      </c>
      <c r="T609" s="274" t="s">
        <v>1536</v>
      </c>
      <c r="U609" s="274" t="s">
        <v>1733</v>
      </c>
      <c r="V609" s="274" t="s">
        <v>428</v>
      </c>
      <c r="W609" s="274" t="s">
        <v>928</v>
      </c>
      <c r="X609" s="274" t="s">
        <v>928</v>
      </c>
      <c r="Y609" s="143"/>
      <c r="Z609" s="146" t="str">
        <f t="shared" ca="1" si="9"/>
        <v/>
      </c>
      <c r="AA609" s="146" t="str">
        <f ca="1">IFERROR(IF(OR(OFFSET('S4'!#REF!,MATCH($A609,'S4'!$D$5:$D$2535,0)-1,6)="巻返し",OFFSET('S4'!#REF!,MATCH($A609,'S4'!$D$5:$D$2535,0)-1,6)="スリット"),SUMIF('S4'!$D$5:$D$2535,$A609,'S4'!$U$5:$U$2535),""),"")</f>
        <v/>
      </c>
      <c r="AB609" s="146" t="str">
        <f ca="1">IFERROR(IF(OR(OFFSET('S5'!#REF!,MATCH($A609,'S5'!$D$5:$D$2103,0)-1,6)="巻返し",OFFSET('S5'!#REF!,MATCH($A609,'S5'!$D$5:$D$2103,0)-1,6)="スリット"),SUMIF('S5'!$D$5:$D$2103,$A609,'S5'!$T$5:$T$2103),""),"")</f>
        <v/>
      </c>
    </row>
    <row r="610" spans="1:28" s="141" customFormat="1" ht="13.5" x14ac:dyDescent="0.15">
      <c r="A610" s="274">
        <v>3731444</v>
      </c>
      <c r="B610" s="274" t="s">
        <v>1364</v>
      </c>
      <c r="C610" s="274" t="s">
        <v>358</v>
      </c>
      <c r="D610" s="274" t="s">
        <v>353</v>
      </c>
      <c r="E610" s="274" t="s">
        <v>1365</v>
      </c>
      <c r="F610" s="274">
        <v>3</v>
      </c>
      <c r="G610" s="274" t="s">
        <v>269</v>
      </c>
      <c r="H610" s="274" t="s">
        <v>28</v>
      </c>
      <c r="I610" s="274" t="s">
        <v>1078</v>
      </c>
      <c r="J610" s="274" t="s">
        <v>928</v>
      </c>
      <c r="K610" s="274" t="s">
        <v>1079</v>
      </c>
      <c r="L610" s="274">
        <v>25</v>
      </c>
      <c r="M610" s="274" t="s">
        <v>1366</v>
      </c>
      <c r="N610" s="274">
        <v>1050</v>
      </c>
      <c r="O610" s="274">
        <v>1050</v>
      </c>
      <c r="P610" s="274">
        <v>6000</v>
      </c>
      <c r="Q610" s="274">
        <v>1</v>
      </c>
      <c r="R610" s="274">
        <v>4</v>
      </c>
      <c r="S610" s="274" t="s">
        <v>354</v>
      </c>
      <c r="T610" s="274" t="s">
        <v>1536</v>
      </c>
      <c r="U610" s="274" t="s">
        <v>1761</v>
      </c>
      <c r="V610" s="274" t="s">
        <v>428</v>
      </c>
      <c r="W610" s="274" t="s">
        <v>928</v>
      </c>
      <c r="X610" s="274" t="s">
        <v>928</v>
      </c>
      <c r="Y610" s="143"/>
      <c r="Z610" s="146" t="str">
        <f t="shared" ca="1" si="9"/>
        <v/>
      </c>
      <c r="AA610" s="146" t="str">
        <f ca="1">IFERROR(IF(OR(OFFSET('S4'!#REF!,MATCH($A610,'S4'!$D$5:$D$2535,0)-1,6)="巻返し",OFFSET('S4'!#REF!,MATCH($A610,'S4'!$D$5:$D$2535,0)-1,6)="スリット"),SUMIF('S4'!$D$5:$D$2535,$A610,'S4'!$U$5:$U$2535),""),"")</f>
        <v/>
      </c>
      <c r="AB610" s="146" t="str">
        <f ca="1">IFERROR(IF(OR(OFFSET('S5'!#REF!,MATCH($A610,'S5'!$D$5:$D$2103,0)-1,6)="巻返し",OFFSET('S5'!#REF!,MATCH($A610,'S5'!$D$5:$D$2103,0)-1,6)="スリット"),SUMIF('S5'!$D$5:$D$2103,$A610,'S5'!$T$5:$T$2103),""),"")</f>
        <v/>
      </c>
    </row>
    <row r="611" spans="1:28" s="141" customFormat="1" ht="13.5" x14ac:dyDescent="0.15">
      <c r="A611" s="274">
        <v>3731818</v>
      </c>
      <c r="B611" s="274" t="s">
        <v>351</v>
      </c>
      <c r="C611" s="274" t="s">
        <v>363</v>
      </c>
      <c r="D611" s="274" t="s">
        <v>353</v>
      </c>
      <c r="E611" s="274" t="s">
        <v>204</v>
      </c>
      <c r="F611" s="274">
        <v>3</v>
      </c>
      <c r="G611" s="274" t="s">
        <v>19</v>
      </c>
      <c r="H611" s="274" t="s">
        <v>20</v>
      </c>
      <c r="I611" s="274" t="s">
        <v>205</v>
      </c>
      <c r="J611" s="274" t="s">
        <v>928</v>
      </c>
      <c r="K611" s="274" t="s">
        <v>206</v>
      </c>
      <c r="L611" s="274">
        <v>50</v>
      </c>
      <c r="M611" s="274" t="s">
        <v>207</v>
      </c>
      <c r="N611" s="274">
        <v>1020</v>
      </c>
      <c r="O611" s="274">
        <v>1000</v>
      </c>
      <c r="P611" s="274">
        <v>2000</v>
      </c>
      <c r="Q611" s="274">
        <v>2</v>
      </c>
      <c r="R611" s="274">
        <v>4</v>
      </c>
      <c r="S611" s="274" t="s">
        <v>354</v>
      </c>
      <c r="T611" s="274" t="s">
        <v>1536</v>
      </c>
      <c r="U611" s="274" t="s">
        <v>1761</v>
      </c>
      <c r="V611" s="274" t="s">
        <v>355</v>
      </c>
      <c r="W611" s="274" t="s">
        <v>928</v>
      </c>
      <c r="X611" s="274" t="s">
        <v>928</v>
      </c>
      <c r="Y611" s="143"/>
      <c r="Z611" s="146" t="str">
        <f t="shared" ca="1" si="9"/>
        <v/>
      </c>
      <c r="AA611" s="146" t="str">
        <f ca="1">IFERROR(IF(OR(OFFSET('S4'!#REF!,MATCH($A611,'S4'!$D$5:$D$2535,0)-1,6)="巻返し",OFFSET('S4'!#REF!,MATCH($A611,'S4'!$D$5:$D$2535,0)-1,6)="スリット"),SUMIF('S4'!$D$5:$D$2535,$A611,'S4'!$U$5:$U$2535),""),"")</f>
        <v/>
      </c>
      <c r="AB611" s="146" t="str">
        <f ca="1">IFERROR(IF(OR(OFFSET('S5'!#REF!,MATCH($A611,'S5'!$D$5:$D$2103,0)-1,6)="巻返し",OFFSET('S5'!#REF!,MATCH($A611,'S5'!$D$5:$D$2103,0)-1,6)="スリット"),SUMIF('S5'!$D$5:$D$2103,$A611,'S5'!$T$5:$T$2103),""),"")</f>
        <v/>
      </c>
    </row>
    <row r="612" spans="1:28" s="141" customFormat="1" ht="13.5" x14ac:dyDescent="0.15">
      <c r="A612" s="274">
        <v>3732043</v>
      </c>
      <c r="B612" s="274" t="s">
        <v>351</v>
      </c>
      <c r="C612" s="274" t="s">
        <v>364</v>
      </c>
      <c r="D612" s="274" t="s">
        <v>353</v>
      </c>
      <c r="E612" s="274" t="s">
        <v>171</v>
      </c>
      <c r="F612" s="274">
        <v>3</v>
      </c>
      <c r="G612" s="274" t="s">
        <v>19</v>
      </c>
      <c r="H612" s="274" t="s">
        <v>20</v>
      </c>
      <c r="I612" s="274" t="s">
        <v>165</v>
      </c>
      <c r="J612" s="274" t="s">
        <v>928</v>
      </c>
      <c r="K612" s="274" t="s">
        <v>180</v>
      </c>
      <c r="L612" s="274">
        <v>50</v>
      </c>
      <c r="M612" s="274" t="s">
        <v>181</v>
      </c>
      <c r="N612" s="274">
        <v>1200</v>
      </c>
      <c r="O612" s="274">
        <v>1190</v>
      </c>
      <c r="P612" s="274">
        <v>6000</v>
      </c>
      <c r="Q612" s="274">
        <v>2</v>
      </c>
      <c r="R612" s="274">
        <v>6</v>
      </c>
      <c r="S612" s="274" t="s">
        <v>354</v>
      </c>
      <c r="T612" s="274" t="s">
        <v>1763</v>
      </c>
      <c r="U612" s="274" t="s">
        <v>1733</v>
      </c>
      <c r="V612" s="274" t="s">
        <v>355</v>
      </c>
      <c r="W612" s="274" t="s">
        <v>928</v>
      </c>
      <c r="X612" s="274" t="s">
        <v>928</v>
      </c>
      <c r="Y612" s="143"/>
      <c r="Z612" s="146" t="str">
        <f t="shared" ca="1" si="9"/>
        <v/>
      </c>
      <c r="AA612" s="146" t="str">
        <f ca="1">IFERROR(IF(OR(OFFSET('S4'!#REF!,MATCH($A612,'S4'!$D$5:$D$2535,0)-1,6)="巻返し",OFFSET('S4'!#REF!,MATCH($A612,'S4'!$D$5:$D$2535,0)-1,6)="スリット"),SUMIF('S4'!$D$5:$D$2535,$A612,'S4'!$U$5:$U$2535),""),"")</f>
        <v/>
      </c>
      <c r="AB612" s="146" t="str">
        <f ca="1">IFERROR(IF(OR(OFFSET('S5'!#REF!,MATCH($A612,'S5'!$D$5:$D$2103,0)-1,6)="巻返し",OFFSET('S5'!#REF!,MATCH($A612,'S5'!$D$5:$D$2103,0)-1,6)="スリット"),SUMIF('S5'!$D$5:$D$2103,$A612,'S5'!$T$5:$T$2103),""),"")</f>
        <v/>
      </c>
    </row>
    <row r="613" spans="1:28" s="141" customFormat="1" ht="13.5" x14ac:dyDescent="0.15">
      <c r="A613" s="274">
        <v>3732645</v>
      </c>
      <c r="B613" s="274" t="s">
        <v>351</v>
      </c>
      <c r="C613" s="274" t="s">
        <v>358</v>
      </c>
      <c r="D613" s="274" t="s">
        <v>353</v>
      </c>
      <c r="E613" s="274" t="s">
        <v>204</v>
      </c>
      <c r="F613" s="274">
        <v>3</v>
      </c>
      <c r="G613" s="274" t="s">
        <v>19</v>
      </c>
      <c r="H613" s="274" t="s">
        <v>20</v>
      </c>
      <c r="I613" s="274" t="s">
        <v>205</v>
      </c>
      <c r="J613" s="274" t="s">
        <v>928</v>
      </c>
      <c r="K613" s="274" t="s">
        <v>206</v>
      </c>
      <c r="L613" s="274">
        <v>50</v>
      </c>
      <c r="M613" s="274" t="s">
        <v>207</v>
      </c>
      <c r="N613" s="274">
        <v>1020</v>
      </c>
      <c r="O613" s="274">
        <v>1000</v>
      </c>
      <c r="P613" s="274">
        <v>2000</v>
      </c>
      <c r="Q613" s="274">
        <v>2</v>
      </c>
      <c r="R613" s="274">
        <v>4</v>
      </c>
      <c r="S613" s="274" t="s">
        <v>354</v>
      </c>
      <c r="T613" s="274" t="s">
        <v>1513</v>
      </c>
      <c r="U613" s="274" t="s">
        <v>1761</v>
      </c>
      <c r="V613" s="274" t="s">
        <v>355</v>
      </c>
      <c r="W613" s="274" t="s">
        <v>928</v>
      </c>
      <c r="X613" s="274" t="s">
        <v>928</v>
      </c>
      <c r="Y613" s="143"/>
      <c r="Z613" s="146" t="str">
        <f t="shared" ca="1" si="9"/>
        <v/>
      </c>
      <c r="AA613" s="146" t="str">
        <f ca="1">IFERROR(IF(OR(OFFSET('S4'!#REF!,MATCH($A613,'S4'!$D$5:$D$2535,0)-1,6)="巻返し",OFFSET('S4'!#REF!,MATCH($A613,'S4'!$D$5:$D$2535,0)-1,6)="スリット"),SUMIF('S4'!$D$5:$D$2535,$A613,'S4'!$U$5:$U$2535),""),"")</f>
        <v/>
      </c>
      <c r="AB613" s="146" t="str">
        <f ca="1">IFERROR(IF(OR(OFFSET('S5'!#REF!,MATCH($A613,'S5'!$D$5:$D$2103,0)-1,6)="巻返し",OFFSET('S5'!#REF!,MATCH($A613,'S5'!$D$5:$D$2103,0)-1,6)="スリット"),SUMIF('S5'!$D$5:$D$2103,$A613,'S5'!$T$5:$T$2103),""),"")</f>
        <v/>
      </c>
    </row>
    <row r="614" spans="1:28" s="141" customFormat="1" ht="13.5" x14ac:dyDescent="0.15">
      <c r="A614" s="274">
        <v>3732646</v>
      </c>
      <c r="B614" s="274" t="s">
        <v>351</v>
      </c>
      <c r="C614" s="274" t="s">
        <v>352</v>
      </c>
      <c r="D614" s="274" t="s">
        <v>353</v>
      </c>
      <c r="E614" s="274" t="s">
        <v>171</v>
      </c>
      <c r="F614" s="274">
        <v>3</v>
      </c>
      <c r="G614" s="274" t="s">
        <v>19</v>
      </c>
      <c r="H614" s="274" t="s">
        <v>20</v>
      </c>
      <c r="I614" s="274" t="s">
        <v>165</v>
      </c>
      <c r="J614" s="274" t="s">
        <v>928</v>
      </c>
      <c r="K614" s="274" t="s">
        <v>180</v>
      </c>
      <c r="L614" s="274">
        <v>50</v>
      </c>
      <c r="M614" s="274" t="s">
        <v>181</v>
      </c>
      <c r="N614" s="274">
        <v>1200</v>
      </c>
      <c r="O614" s="274">
        <v>1190</v>
      </c>
      <c r="P614" s="274">
        <v>6000</v>
      </c>
      <c r="Q614" s="274">
        <v>2</v>
      </c>
      <c r="R614" s="274">
        <v>4</v>
      </c>
      <c r="S614" s="274" t="s">
        <v>354</v>
      </c>
      <c r="T614" s="274" t="s">
        <v>1513</v>
      </c>
      <c r="U614" s="274" t="s">
        <v>1733</v>
      </c>
      <c r="V614" s="274" t="s">
        <v>355</v>
      </c>
      <c r="W614" s="274" t="s">
        <v>928</v>
      </c>
      <c r="X614" s="274" t="s">
        <v>928</v>
      </c>
      <c r="Y614" s="143"/>
      <c r="Z614" s="146" t="str">
        <f t="shared" ca="1" si="9"/>
        <v/>
      </c>
      <c r="AA614" s="146" t="str">
        <f ca="1">IFERROR(IF(OR(OFFSET('S4'!#REF!,MATCH($A614,'S4'!$D$5:$D$2535,0)-1,6)="巻返し",OFFSET('S4'!#REF!,MATCH($A614,'S4'!$D$5:$D$2535,0)-1,6)="スリット"),SUMIF('S4'!$D$5:$D$2535,$A614,'S4'!$U$5:$U$2535),""),"")</f>
        <v/>
      </c>
      <c r="AB614" s="146" t="str">
        <f ca="1">IFERROR(IF(OR(OFFSET('S5'!#REF!,MATCH($A614,'S5'!$D$5:$D$2103,0)-1,6)="巻返し",OFFSET('S5'!#REF!,MATCH($A614,'S5'!$D$5:$D$2103,0)-1,6)="スリット"),SUMIF('S5'!$D$5:$D$2103,$A614,'S5'!$T$5:$T$2103),""),"")</f>
        <v/>
      </c>
    </row>
    <row r="615" spans="1:28" s="141" customFormat="1" ht="13.5" x14ac:dyDescent="0.15">
      <c r="A615" s="274">
        <v>3732648</v>
      </c>
      <c r="B615" s="274" t="s">
        <v>351</v>
      </c>
      <c r="C615" s="274" t="s">
        <v>352</v>
      </c>
      <c r="D615" s="274" t="s">
        <v>353</v>
      </c>
      <c r="E615" s="274" t="s">
        <v>148</v>
      </c>
      <c r="F615" s="274">
        <v>3</v>
      </c>
      <c r="G615" s="274" t="s">
        <v>19</v>
      </c>
      <c r="H615" s="274" t="s">
        <v>20</v>
      </c>
      <c r="I615" s="274" t="s">
        <v>143</v>
      </c>
      <c r="J615" s="274" t="s">
        <v>928</v>
      </c>
      <c r="K615" s="274" t="s">
        <v>149</v>
      </c>
      <c r="L615" s="274">
        <v>50</v>
      </c>
      <c r="M615" s="274" t="s">
        <v>150</v>
      </c>
      <c r="N615" s="274">
        <v>1120</v>
      </c>
      <c r="O615" s="274">
        <v>1120</v>
      </c>
      <c r="P615" s="274">
        <v>6000</v>
      </c>
      <c r="Q615" s="274">
        <v>2</v>
      </c>
      <c r="R615" s="274">
        <v>8</v>
      </c>
      <c r="S615" s="274" t="s">
        <v>354</v>
      </c>
      <c r="T615" s="274" t="s">
        <v>1513</v>
      </c>
      <c r="U615" s="274" t="s">
        <v>1733</v>
      </c>
      <c r="V615" s="274" t="s">
        <v>355</v>
      </c>
      <c r="W615" s="274" t="s">
        <v>928</v>
      </c>
      <c r="X615" s="274" t="s">
        <v>928</v>
      </c>
      <c r="Y615" s="143"/>
      <c r="Z615" s="146" t="str">
        <f t="shared" ca="1" si="9"/>
        <v/>
      </c>
      <c r="AA615" s="146" t="str">
        <f ca="1">IFERROR(IF(OR(OFFSET('S4'!#REF!,MATCH($A615,'S4'!$D$5:$D$2535,0)-1,6)="巻返し",OFFSET('S4'!#REF!,MATCH($A615,'S4'!$D$5:$D$2535,0)-1,6)="スリット"),SUMIF('S4'!$D$5:$D$2535,$A615,'S4'!$U$5:$U$2535),""),"")</f>
        <v/>
      </c>
      <c r="AB615" s="146" t="str">
        <f ca="1">IFERROR(IF(OR(OFFSET('S5'!#REF!,MATCH($A615,'S5'!$D$5:$D$2103,0)-1,6)="巻返し",OFFSET('S5'!#REF!,MATCH($A615,'S5'!$D$5:$D$2103,0)-1,6)="スリット"),SUMIF('S5'!$D$5:$D$2103,$A615,'S5'!$T$5:$T$2103),""),"")</f>
        <v/>
      </c>
    </row>
    <row r="616" spans="1:28" s="141" customFormat="1" ht="13.5" x14ac:dyDescent="0.15">
      <c r="A616" s="274">
        <v>3732649</v>
      </c>
      <c r="B616" s="274" t="s">
        <v>351</v>
      </c>
      <c r="C616" s="274" t="s">
        <v>352</v>
      </c>
      <c r="D616" s="274" t="s">
        <v>353</v>
      </c>
      <c r="E616" s="274" t="s">
        <v>148</v>
      </c>
      <c r="F616" s="274">
        <v>3</v>
      </c>
      <c r="G616" s="274" t="s">
        <v>19</v>
      </c>
      <c r="H616" s="274" t="s">
        <v>20</v>
      </c>
      <c r="I616" s="274" t="s">
        <v>165</v>
      </c>
      <c r="J616" s="274" t="s">
        <v>928</v>
      </c>
      <c r="K616" s="274" t="s">
        <v>169</v>
      </c>
      <c r="L616" s="274">
        <v>50</v>
      </c>
      <c r="M616" s="274" t="s">
        <v>170</v>
      </c>
      <c r="N616" s="274">
        <v>1120</v>
      </c>
      <c r="O616" s="274">
        <v>1120</v>
      </c>
      <c r="P616" s="274">
        <v>6000</v>
      </c>
      <c r="Q616" s="274">
        <v>2</v>
      </c>
      <c r="R616" s="274">
        <v>4</v>
      </c>
      <c r="S616" s="274" t="s">
        <v>354</v>
      </c>
      <c r="T616" s="274" t="s">
        <v>1513</v>
      </c>
      <c r="U616" s="274" t="s">
        <v>1733</v>
      </c>
      <c r="V616" s="274" t="s">
        <v>355</v>
      </c>
      <c r="W616" s="274" t="s">
        <v>928</v>
      </c>
      <c r="X616" s="274" t="s">
        <v>928</v>
      </c>
      <c r="Y616" s="143"/>
      <c r="Z616" s="146" t="str">
        <f t="shared" ca="1" si="9"/>
        <v/>
      </c>
      <c r="AA616" s="146" t="str">
        <f ca="1">IFERROR(IF(OR(OFFSET('S4'!#REF!,MATCH($A616,'S4'!$D$5:$D$2535,0)-1,6)="巻返し",OFFSET('S4'!#REF!,MATCH($A616,'S4'!$D$5:$D$2535,0)-1,6)="スリット"),SUMIF('S4'!$D$5:$D$2535,$A616,'S4'!$U$5:$U$2535),""),"")</f>
        <v/>
      </c>
      <c r="AB616" s="146" t="str">
        <f ca="1">IFERROR(IF(OR(OFFSET('S5'!#REF!,MATCH($A616,'S5'!$D$5:$D$2103,0)-1,6)="巻返し",OFFSET('S5'!#REF!,MATCH($A616,'S5'!$D$5:$D$2103,0)-1,6)="スリット"),SUMIF('S5'!$D$5:$D$2103,$A616,'S5'!$T$5:$T$2103),""),"")</f>
        <v/>
      </c>
    </row>
    <row r="617" spans="1:28" s="141" customFormat="1" ht="13.5" x14ac:dyDescent="0.15">
      <c r="A617" s="274">
        <v>3732650</v>
      </c>
      <c r="B617" s="274" t="s">
        <v>351</v>
      </c>
      <c r="C617" s="274" t="s">
        <v>352</v>
      </c>
      <c r="D617" s="274" t="s">
        <v>353</v>
      </c>
      <c r="E617" s="274" t="s">
        <v>148</v>
      </c>
      <c r="F617" s="274">
        <v>3</v>
      </c>
      <c r="G617" s="274" t="s">
        <v>19</v>
      </c>
      <c r="H617" s="274" t="s">
        <v>20</v>
      </c>
      <c r="I617" s="274" t="s">
        <v>165</v>
      </c>
      <c r="J617" s="274" t="s">
        <v>928</v>
      </c>
      <c r="K617" s="274" t="s">
        <v>180</v>
      </c>
      <c r="L617" s="274">
        <v>50</v>
      </c>
      <c r="M617" s="274" t="s">
        <v>181</v>
      </c>
      <c r="N617" s="274">
        <v>1120</v>
      </c>
      <c r="O617" s="274">
        <v>1120</v>
      </c>
      <c r="P617" s="274">
        <v>4000</v>
      </c>
      <c r="Q617" s="274">
        <v>2</v>
      </c>
      <c r="R617" s="274">
        <v>6</v>
      </c>
      <c r="S617" s="274" t="s">
        <v>354</v>
      </c>
      <c r="T617" s="274" t="s">
        <v>1513</v>
      </c>
      <c r="U617" s="274" t="s">
        <v>1733</v>
      </c>
      <c r="V617" s="274" t="s">
        <v>355</v>
      </c>
      <c r="W617" s="274" t="s">
        <v>928</v>
      </c>
      <c r="X617" s="274" t="s">
        <v>928</v>
      </c>
      <c r="Y617" s="143"/>
      <c r="Z617" s="146" t="str">
        <f t="shared" ca="1" si="9"/>
        <v/>
      </c>
      <c r="AA617" s="146" t="str">
        <f ca="1">IFERROR(IF(OR(OFFSET('S4'!#REF!,MATCH($A617,'S4'!$D$5:$D$2535,0)-1,6)="巻返し",OFFSET('S4'!#REF!,MATCH($A617,'S4'!$D$5:$D$2535,0)-1,6)="スリット"),SUMIF('S4'!$D$5:$D$2535,$A617,'S4'!$U$5:$U$2535),""),"")</f>
        <v/>
      </c>
      <c r="AB617" s="146" t="str">
        <f ca="1">IFERROR(IF(OR(OFFSET('S5'!#REF!,MATCH($A617,'S5'!$D$5:$D$2103,0)-1,6)="巻返し",OFFSET('S5'!#REF!,MATCH($A617,'S5'!$D$5:$D$2103,0)-1,6)="スリット"),SUMIF('S5'!$D$5:$D$2103,$A617,'S5'!$T$5:$T$2103),""),"")</f>
        <v/>
      </c>
    </row>
    <row r="618" spans="1:28" s="141" customFormat="1" ht="13.5" x14ac:dyDescent="0.15">
      <c r="A618" s="274">
        <v>3732651</v>
      </c>
      <c r="B618" s="274" t="s">
        <v>351</v>
      </c>
      <c r="C618" s="274" t="s">
        <v>352</v>
      </c>
      <c r="D618" s="274" t="s">
        <v>353</v>
      </c>
      <c r="E618" s="274" t="s">
        <v>148</v>
      </c>
      <c r="F618" s="274">
        <v>3</v>
      </c>
      <c r="G618" s="274" t="s">
        <v>19</v>
      </c>
      <c r="H618" s="274" t="s">
        <v>20</v>
      </c>
      <c r="I618" s="274" t="s">
        <v>165</v>
      </c>
      <c r="J618" s="274" t="s">
        <v>928</v>
      </c>
      <c r="K618" s="274" t="s">
        <v>202</v>
      </c>
      <c r="L618" s="274">
        <v>50</v>
      </c>
      <c r="M618" s="274" t="s">
        <v>424</v>
      </c>
      <c r="N618" s="274">
        <v>1120</v>
      </c>
      <c r="O618" s="274">
        <v>1120</v>
      </c>
      <c r="P618" s="274">
        <v>5000</v>
      </c>
      <c r="Q618" s="274">
        <v>2</v>
      </c>
      <c r="R618" s="274">
        <v>2</v>
      </c>
      <c r="S618" s="274" t="s">
        <v>354</v>
      </c>
      <c r="T618" s="274" t="s">
        <v>1513</v>
      </c>
      <c r="U618" s="274" t="s">
        <v>1733</v>
      </c>
      <c r="V618" s="274" t="s">
        <v>355</v>
      </c>
      <c r="W618" s="274" t="s">
        <v>928</v>
      </c>
      <c r="X618" s="274" t="s">
        <v>928</v>
      </c>
      <c r="Y618" s="143"/>
      <c r="Z618" s="146" t="str">
        <f t="shared" ca="1" si="9"/>
        <v/>
      </c>
      <c r="AA618" s="146" t="str">
        <f ca="1">IFERROR(IF(OR(OFFSET('S4'!#REF!,MATCH($A618,'S4'!$D$5:$D$2535,0)-1,6)="巻返し",OFFSET('S4'!#REF!,MATCH($A618,'S4'!$D$5:$D$2535,0)-1,6)="スリット"),SUMIF('S4'!$D$5:$D$2535,$A618,'S4'!$U$5:$U$2535),""),"")</f>
        <v/>
      </c>
      <c r="AB618" s="146" t="str">
        <f ca="1">IFERROR(IF(OR(OFFSET('S5'!#REF!,MATCH($A618,'S5'!$D$5:$D$2103,0)-1,6)="巻返し",OFFSET('S5'!#REF!,MATCH($A618,'S5'!$D$5:$D$2103,0)-1,6)="スリット"),SUMIF('S5'!$D$5:$D$2103,$A618,'S5'!$T$5:$T$2103),""),"")</f>
        <v/>
      </c>
    </row>
    <row r="619" spans="1:28" s="239" customFormat="1" ht="13.15" customHeight="1" x14ac:dyDescent="0.15">
      <c r="A619" s="274">
        <v>3732676</v>
      </c>
      <c r="B619" s="274" t="s">
        <v>351</v>
      </c>
      <c r="C619" s="274" t="s">
        <v>352</v>
      </c>
      <c r="D619" s="274" t="s">
        <v>353</v>
      </c>
      <c r="E619" s="274" t="s">
        <v>148</v>
      </c>
      <c r="F619" s="274" t="s">
        <v>468</v>
      </c>
      <c r="G619" s="274" t="s">
        <v>19</v>
      </c>
      <c r="H619" s="274" t="s">
        <v>20</v>
      </c>
      <c r="I619" s="274" t="s">
        <v>165</v>
      </c>
      <c r="J619" s="274" t="s">
        <v>928</v>
      </c>
      <c r="K619" s="274" t="s">
        <v>202</v>
      </c>
      <c r="L619" s="274">
        <v>50</v>
      </c>
      <c r="M619" s="274" t="s">
        <v>424</v>
      </c>
      <c r="N619" s="274">
        <v>1120</v>
      </c>
      <c r="O619" s="274">
        <v>1120</v>
      </c>
      <c r="P619" s="274">
        <v>5000</v>
      </c>
      <c r="Q619" s="274">
        <v>2</v>
      </c>
      <c r="R619" s="274">
        <v>2</v>
      </c>
      <c r="S619" s="274" t="s">
        <v>354</v>
      </c>
      <c r="T619" s="274" t="s">
        <v>1762</v>
      </c>
      <c r="U619" s="274" t="s">
        <v>1733</v>
      </c>
      <c r="V619" s="274" t="s">
        <v>355</v>
      </c>
      <c r="W619" s="274" t="s">
        <v>928</v>
      </c>
      <c r="X619" s="274" t="s">
        <v>928</v>
      </c>
      <c r="Y619" s="143"/>
    </row>
    <row r="620" spans="1:28" s="239" customFormat="1" ht="13.15" customHeight="1" x14ac:dyDescent="0.15">
      <c r="A620" s="274">
        <v>3732679</v>
      </c>
      <c r="B620" s="274" t="s">
        <v>423</v>
      </c>
      <c r="C620" s="274" t="s">
        <v>352</v>
      </c>
      <c r="D620" s="274" t="s">
        <v>353</v>
      </c>
      <c r="E620" s="274" t="s">
        <v>116</v>
      </c>
      <c r="F620" s="274">
        <v>3</v>
      </c>
      <c r="G620" s="274" t="s">
        <v>265</v>
      </c>
      <c r="H620" s="274" t="s">
        <v>20</v>
      </c>
      <c r="I620" s="274" t="s">
        <v>165</v>
      </c>
      <c r="J620" s="274" t="s">
        <v>928</v>
      </c>
      <c r="K620" s="274" t="s">
        <v>172</v>
      </c>
      <c r="L620" s="274">
        <v>50</v>
      </c>
      <c r="M620" s="274" t="s">
        <v>173</v>
      </c>
      <c r="N620" s="274">
        <v>1005</v>
      </c>
      <c r="O620" s="274">
        <v>1000</v>
      </c>
      <c r="P620" s="274">
        <v>4000</v>
      </c>
      <c r="Q620" s="274">
        <v>2</v>
      </c>
      <c r="R620" s="274">
        <v>2</v>
      </c>
      <c r="S620" s="274" t="s">
        <v>354</v>
      </c>
      <c r="T620" s="274" t="s">
        <v>1762</v>
      </c>
      <c r="U620" s="274" t="s">
        <v>1722</v>
      </c>
      <c r="V620" s="274" t="s">
        <v>355</v>
      </c>
      <c r="W620" s="274" t="s">
        <v>928</v>
      </c>
      <c r="X620" s="274" t="s">
        <v>928</v>
      </c>
      <c r="Y620" s="143"/>
    </row>
    <row r="621" spans="1:28" s="239" customFormat="1" ht="13.15" customHeight="1" x14ac:dyDescent="0.15">
      <c r="A621" s="274">
        <v>3732680</v>
      </c>
      <c r="B621" s="274" t="s">
        <v>423</v>
      </c>
      <c r="C621" s="274" t="s">
        <v>352</v>
      </c>
      <c r="D621" s="274" t="s">
        <v>353</v>
      </c>
      <c r="E621" s="274" t="s">
        <v>116</v>
      </c>
      <c r="F621" s="274">
        <v>3</v>
      </c>
      <c r="G621" s="274" t="s">
        <v>265</v>
      </c>
      <c r="H621" s="274" t="s">
        <v>20</v>
      </c>
      <c r="I621" s="274" t="s">
        <v>165</v>
      </c>
      <c r="J621" s="274" t="s">
        <v>928</v>
      </c>
      <c r="K621" s="274" t="s">
        <v>176</v>
      </c>
      <c r="L621" s="274">
        <v>50</v>
      </c>
      <c r="M621" s="274" t="s">
        <v>177</v>
      </c>
      <c r="N621" s="274">
        <v>1005</v>
      </c>
      <c r="O621" s="274">
        <v>1000</v>
      </c>
      <c r="P621" s="274">
        <v>4100</v>
      </c>
      <c r="Q621" s="274">
        <v>2</v>
      </c>
      <c r="R621" s="274">
        <v>4</v>
      </c>
      <c r="S621" s="274" t="s">
        <v>354</v>
      </c>
      <c r="T621" s="274" t="s">
        <v>1762</v>
      </c>
      <c r="U621" s="274" t="s">
        <v>1722</v>
      </c>
      <c r="V621" s="274" t="s">
        <v>355</v>
      </c>
      <c r="W621" s="274" t="s">
        <v>928</v>
      </c>
      <c r="X621" s="274" t="s">
        <v>928</v>
      </c>
      <c r="Y621" s="143"/>
    </row>
    <row r="622" spans="1:28" s="239" customFormat="1" ht="13.15" customHeight="1" x14ac:dyDescent="0.15">
      <c r="A622" s="274">
        <v>3732681</v>
      </c>
      <c r="B622" s="274" t="s">
        <v>423</v>
      </c>
      <c r="C622" s="274" t="s">
        <v>352</v>
      </c>
      <c r="D622" s="274" t="s">
        <v>353</v>
      </c>
      <c r="E622" s="274" t="s">
        <v>116</v>
      </c>
      <c r="F622" s="274">
        <v>3</v>
      </c>
      <c r="G622" s="274" t="s">
        <v>265</v>
      </c>
      <c r="H622" s="274" t="s">
        <v>20</v>
      </c>
      <c r="I622" s="274" t="s">
        <v>165</v>
      </c>
      <c r="J622" s="274" t="s">
        <v>928</v>
      </c>
      <c r="K622" s="274" t="s">
        <v>176</v>
      </c>
      <c r="L622" s="274">
        <v>25</v>
      </c>
      <c r="M622" s="274" t="s">
        <v>177</v>
      </c>
      <c r="N622" s="274">
        <v>1005</v>
      </c>
      <c r="O622" s="274">
        <v>1000</v>
      </c>
      <c r="P622" s="274">
        <v>2000</v>
      </c>
      <c r="Q622" s="274">
        <v>2</v>
      </c>
      <c r="R622" s="274">
        <v>4</v>
      </c>
      <c r="S622" s="274" t="s">
        <v>354</v>
      </c>
      <c r="T622" s="274" t="s">
        <v>1762</v>
      </c>
      <c r="U622" s="274" t="s">
        <v>1722</v>
      </c>
      <c r="V622" s="274" t="s">
        <v>355</v>
      </c>
      <c r="W622" s="274" t="s">
        <v>928</v>
      </c>
      <c r="X622" s="274" t="s">
        <v>928</v>
      </c>
      <c r="Y622" s="143"/>
    </row>
    <row r="623" spans="1:28" s="239" customFormat="1" ht="13.15" customHeight="1" x14ac:dyDescent="0.15">
      <c r="A623" s="274">
        <v>3732871</v>
      </c>
      <c r="B623" s="274" t="s">
        <v>351</v>
      </c>
      <c r="C623" s="274" t="s">
        <v>1801</v>
      </c>
      <c r="D623" s="274" t="s">
        <v>353</v>
      </c>
      <c r="E623" s="274" t="s">
        <v>17</v>
      </c>
      <c r="F623" s="274" t="s">
        <v>96</v>
      </c>
      <c r="G623" s="274" t="s">
        <v>19</v>
      </c>
      <c r="H623" s="274" t="s">
        <v>20</v>
      </c>
      <c r="I623" s="274" t="s">
        <v>205</v>
      </c>
      <c r="J623" s="274" t="s">
        <v>928</v>
      </c>
      <c r="K623" s="274" t="s">
        <v>242</v>
      </c>
      <c r="L623" s="274">
        <v>50</v>
      </c>
      <c r="M623" s="274" t="s">
        <v>243</v>
      </c>
      <c r="N623" s="274">
        <v>1000</v>
      </c>
      <c r="O623" s="274">
        <v>1000</v>
      </c>
      <c r="P623" s="274">
        <v>1000</v>
      </c>
      <c r="Q623" s="274">
        <v>2</v>
      </c>
      <c r="R623" s="274">
        <v>6</v>
      </c>
      <c r="S623" s="274" t="s">
        <v>354</v>
      </c>
      <c r="T623" s="274" t="s">
        <v>1802</v>
      </c>
      <c r="U623" s="274" t="s">
        <v>1733</v>
      </c>
      <c r="V623" s="274" t="s">
        <v>355</v>
      </c>
      <c r="W623" s="274" t="s">
        <v>928</v>
      </c>
      <c r="X623" s="274" t="s">
        <v>928</v>
      </c>
      <c r="Y623" s="143"/>
    </row>
    <row r="624" spans="1:28" s="239" customFormat="1" ht="13.15" customHeight="1" x14ac:dyDescent="0.15">
      <c r="A624" s="274">
        <v>3733362</v>
      </c>
      <c r="B624" s="274" t="s">
        <v>423</v>
      </c>
      <c r="C624" s="274" t="s">
        <v>1806</v>
      </c>
      <c r="D624" s="274" t="s">
        <v>353</v>
      </c>
      <c r="E624" s="274" t="s">
        <v>116</v>
      </c>
      <c r="F624" s="274">
        <v>3</v>
      </c>
      <c r="G624" s="274" t="s">
        <v>265</v>
      </c>
      <c r="H624" s="274" t="s">
        <v>20</v>
      </c>
      <c r="I624" s="274" t="s">
        <v>165</v>
      </c>
      <c r="J624" s="274" t="s">
        <v>928</v>
      </c>
      <c r="K624" s="274" t="s">
        <v>319</v>
      </c>
      <c r="L624" s="274">
        <v>25</v>
      </c>
      <c r="M624" s="274" t="s">
        <v>320</v>
      </c>
      <c r="N624" s="274">
        <v>1000</v>
      </c>
      <c r="O624" s="274">
        <v>1000</v>
      </c>
      <c r="P624" s="274">
        <v>2000</v>
      </c>
      <c r="Q624" s="274">
        <v>2</v>
      </c>
      <c r="R624" s="274">
        <v>2</v>
      </c>
      <c r="S624" s="274" t="s">
        <v>354</v>
      </c>
      <c r="T624" s="274" t="s">
        <v>1546</v>
      </c>
      <c r="U624" s="274" t="s">
        <v>1761</v>
      </c>
      <c r="V624" s="274" t="s">
        <v>355</v>
      </c>
      <c r="W624" s="274" t="s">
        <v>928</v>
      </c>
      <c r="X624" s="274" t="s">
        <v>928</v>
      </c>
      <c r="Y624" s="143"/>
    </row>
    <row r="625" spans="1:25" s="239" customFormat="1" ht="13.15" customHeight="1" x14ac:dyDescent="0.15">
      <c r="A625" s="274">
        <v>3734843</v>
      </c>
      <c r="B625" s="274" t="s">
        <v>510</v>
      </c>
      <c r="C625" s="274" t="s">
        <v>1806</v>
      </c>
      <c r="D625" s="274" t="s">
        <v>353</v>
      </c>
      <c r="E625" s="274" t="s">
        <v>324</v>
      </c>
      <c r="F625" s="274">
        <v>3</v>
      </c>
      <c r="G625" s="274" t="s">
        <v>269</v>
      </c>
      <c r="H625" s="274" t="s">
        <v>20</v>
      </c>
      <c r="I625" s="274" t="s">
        <v>205</v>
      </c>
      <c r="J625" s="274" t="s">
        <v>928</v>
      </c>
      <c r="K625" s="274" t="s">
        <v>325</v>
      </c>
      <c r="L625" s="274">
        <v>9</v>
      </c>
      <c r="M625" s="274" t="s">
        <v>326</v>
      </c>
      <c r="N625" s="274">
        <v>1360</v>
      </c>
      <c r="O625" s="274">
        <v>1360</v>
      </c>
      <c r="P625" s="274">
        <v>2100</v>
      </c>
      <c r="Q625" s="274">
        <v>2</v>
      </c>
      <c r="R625" s="274">
        <v>15</v>
      </c>
      <c r="S625" s="274" t="s">
        <v>354</v>
      </c>
      <c r="T625" s="274" t="s">
        <v>1813</v>
      </c>
      <c r="U625" s="274" t="s">
        <v>1761</v>
      </c>
      <c r="V625" s="274" t="s">
        <v>428</v>
      </c>
      <c r="W625" s="274" t="s">
        <v>928</v>
      </c>
      <c r="X625" s="274" t="s">
        <v>928</v>
      </c>
      <c r="Y625" s="143"/>
    </row>
    <row r="626" spans="1:25" s="239" customFormat="1" ht="13.15" customHeight="1" x14ac:dyDescent="0.15">
      <c r="A626" s="274">
        <v>3734843</v>
      </c>
      <c r="B626" s="274" t="s">
        <v>510</v>
      </c>
      <c r="C626" s="274" t="s">
        <v>1806</v>
      </c>
      <c r="D626" s="274" t="s">
        <v>353</v>
      </c>
      <c r="E626" s="274" t="s">
        <v>324</v>
      </c>
      <c r="F626" s="274">
        <v>3</v>
      </c>
      <c r="G626" s="274" t="s">
        <v>269</v>
      </c>
      <c r="H626" s="274" t="s">
        <v>20</v>
      </c>
      <c r="I626" s="274" t="s">
        <v>205</v>
      </c>
      <c r="J626" s="274" t="s">
        <v>928</v>
      </c>
      <c r="K626" s="274" t="s">
        <v>325</v>
      </c>
      <c r="L626" s="274">
        <v>9</v>
      </c>
      <c r="M626" s="274" t="s">
        <v>326</v>
      </c>
      <c r="N626" s="274">
        <v>1360</v>
      </c>
      <c r="O626" s="274">
        <v>1360</v>
      </c>
      <c r="P626" s="274">
        <v>2100</v>
      </c>
      <c r="Q626" s="274">
        <v>2</v>
      </c>
      <c r="R626" s="274">
        <v>15</v>
      </c>
      <c r="S626" s="274" t="s">
        <v>354</v>
      </c>
      <c r="T626" s="274" t="s">
        <v>1813</v>
      </c>
      <c r="U626" s="274" t="s">
        <v>1761</v>
      </c>
      <c r="V626" s="274" t="s">
        <v>428</v>
      </c>
      <c r="W626" s="274" t="s">
        <v>928</v>
      </c>
      <c r="X626" s="274" t="s">
        <v>928</v>
      </c>
      <c r="Y626" s="143"/>
    </row>
    <row r="627" spans="1:25" s="239" customFormat="1" ht="13.15" customHeight="1" x14ac:dyDescent="0.15">
      <c r="A627" s="274">
        <v>3734853</v>
      </c>
      <c r="B627" s="274" t="s">
        <v>423</v>
      </c>
      <c r="C627" s="274" t="s">
        <v>1806</v>
      </c>
      <c r="D627" s="274" t="s">
        <v>353</v>
      </c>
      <c r="E627" s="274" t="s">
        <v>116</v>
      </c>
      <c r="F627" s="274">
        <v>3</v>
      </c>
      <c r="G627" s="274" t="s">
        <v>265</v>
      </c>
      <c r="H627" s="274" t="s">
        <v>20</v>
      </c>
      <c r="I627" s="274" t="s">
        <v>165</v>
      </c>
      <c r="J627" s="274" t="s">
        <v>928</v>
      </c>
      <c r="K627" s="274" t="s">
        <v>319</v>
      </c>
      <c r="L627" s="274">
        <v>25</v>
      </c>
      <c r="M627" s="274" t="s">
        <v>320</v>
      </c>
      <c r="N627" s="274">
        <v>1000</v>
      </c>
      <c r="O627" s="274">
        <v>1000</v>
      </c>
      <c r="P627" s="274">
        <v>2000</v>
      </c>
      <c r="Q627" s="274">
        <v>2</v>
      </c>
      <c r="R627" s="274">
        <v>2</v>
      </c>
      <c r="S627" s="274" t="s">
        <v>354</v>
      </c>
      <c r="T627" s="274" t="s">
        <v>1813</v>
      </c>
      <c r="U627" s="274" t="s">
        <v>1761</v>
      </c>
      <c r="V627" s="274" t="s">
        <v>355</v>
      </c>
      <c r="W627" s="274" t="s">
        <v>928</v>
      </c>
      <c r="X627" s="274" t="s">
        <v>928</v>
      </c>
      <c r="Y627" s="143"/>
    </row>
    <row r="628" spans="1:25" s="239" customFormat="1" ht="13.15" customHeight="1" x14ac:dyDescent="0.15">
      <c r="A628" s="274">
        <v>3735099</v>
      </c>
      <c r="B628" s="274" t="s">
        <v>423</v>
      </c>
      <c r="C628" s="274" t="s">
        <v>1806</v>
      </c>
      <c r="D628" s="274" t="s">
        <v>353</v>
      </c>
      <c r="E628" s="274" t="s">
        <v>316</v>
      </c>
      <c r="F628" s="274">
        <v>3</v>
      </c>
      <c r="G628" s="274" t="s">
        <v>265</v>
      </c>
      <c r="H628" s="274" t="s">
        <v>20</v>
      </c>
      <c r="I628" s="274" t="s">
        <v>312</v>
      </c>
      <c r="J628" s="274" t="s">
        <v>928</v>
      </c>
      <c r="K628" s="274" t="s">
        <v>317</v>
      </c>
      <c r="L628" s="274">
        <v>50</v>
      </c>
      <c r="M628" s="274" t="s">
        <v>318</v>
      </c>
      <c r="N628" s="274">
        <v>680</v>
      </c>
      <c r="O628" s="274">
        <v>680</v>
      </c>
      <c r="P628" s="274">
        <v>2000</v>
      </c>
      <c r="Q628" s="274">
        <v>2</v>
      </c>
      <c r="R628" s="274">
        <v>4</v>
      </c>
      <c r="S628" s="274" t="s">
        <v>354</v>
      </c>
      <c r="T628" s="274" t="s">
        <v>1814</v>
      </c>
      <c r="U628" s="274" t="s">
        <v>1815</v>
      </c>
      <c r="V628" s="274" t="s">
        <v>355</v>
      </c>
      <c r="W628" s="274" t="s">
        <v>928</v>
      </c>
      <c r="X628" s="274" t="s">
        <v>928</v>
      </c>
      <c r="Y628" s="143"/>
    </row>
    <row r="629" spans="1:25" s="239" customFormat="1" ht="13.15" customHeight="1" x14ac:dyDescent="0.15">
      <c r="A629" s="274">
        <v>3735101</v>
      </c>
      <c r="B629" s="274" t="s">
        <v>351</v>
      </c>
      <c r="C629" s="274" t="s">
        <v>1806</v>
      </c>
      <c r="D629" s="274" t="s">
        <v>353</v>
      </c>
      <c r="E629" s="274" t="s">
        <v>148</v>
      </c>
      <c r="F629" s="274" t="s">
        <v>1823</v>
      </c>
      <c r="G629" s="274" t="s">
        <v>19</v>
      </c>
      <c r="H629" s="274" t="s">
        <v>20</v>
      </c>
      <c r="I629" s="274" t="s">
        <v>165</v>
      </c>
      <c r="J629" s="274" t="s">
        <v>928</v>
      </c>
      <c r="K629" s="274" t="s">
        <v>169</v>
      </c>
      <c r="L629" s="274">
        <v>50</v>
      </c>
      <c r="M629" s="274" t="s">
        <v>170</v>
      </c>
      <c r="N629" s="274">
        <v>1120</v>
      </c>
      <c r="O629" s="274">
        <v>1120</v>
      </c>
      <c r="P629" s="274">
        <v>6000</v>
      </c>
      <c r="Q629" s="274">
        <v>2</v>
      </c>
      <c r="R629" s="274">
        <v>2</v>
      </c>
      <c r="S629" s="274" t="s">
        <v>354</v>
      </c>
      <c r="T629" s="274" t="s">
        <v>1814</v>
      </c>
      <c r="U629" s="274" t="s">
        <v>1815</v>
      </c>
      <c r="V629" s="274" t="s">
        <v>355</v>
      </c>
      <c r="W629" s="274" t="s">
        <v>928</v>
      </c>
      <c r="X629" s="274" t="s">
        <v>928</v>
      </c>
      <c r="Y629" s="143"/>
    </row>
    <row r="630" spans="1:25" s="239" customFormat="1" ht="13.15" customHeight="1" x14ac:dyDescent="0.15">
      <c r="A630" s="274">
        <v>3735102</v>
      </c>
      <c r="B630" s="274" t="s">
        <v>351</v>
      </c>
      <c r="C630" s="274" t="s">
        <v>1806</v>
      </c>
      <c r="D630" s="274" t="s">
        <v>353</v>
      </c>
      <c r="E630" s="274" t="s">
        <v>148</v>
      </c>
      <c r="F630" s="274" t="s">
        <v>96</v>
      </c>
      <c r="G630" s="274" t="s">
        <v>19</v>
      </c>
      <c r="H630" s="274" t="s">
        <v>20</v>
      </c>
      <c r="I630" s="274" t="s">
        <v>165</v>
      </c>
      <c r="J630" s="274" t="s">
        <v>928</v>
      </c>
      <c r="K630" s="274" t="s">
        <v>202</v>
      </c>
      <c r="L630" s="274">
        <v>50</v>
      </c>
      <c r="M630" s="274" t="s">
        <v>424</v>
      </c>
      <c r="N630" s="274">
        <v>1120</v>
      </c>
      <c r="O630" s="274">
        <v>1120</v>
      </c>
      <c r="P630" s="274">
        <v>5000</v>
      </c>
      <c r="Q630" s="274">
        <v>2</v>
      </c>
      <c r="R630" s="274">
        <v>3</v>
      </c>
      <c r="S630" s="274" t="s">
        <v>354</v>
      </c>
      <c r="T630" s="274" t="s">
        <v>1814</v>
      </c>
      <c r="U630" s="274" t="s">
        <v>1815</v>
      </c>
      <c r="V630" s="274" t="s">
        <v>355</v>
      </c>
      <c r="W630" s="274" t="s">
        <v>928</v>
      </c>
      <c r="X630" s="274" t="s">
        <v>928</v>
      </c>
      <c r="Y630" s="143"/>
    </row>
    <row r="631" spans="1:25" s="239" customFormat="1" ht="13.15" customHeight="1" x14ac:dyDescent="0.15">
      <c r="A631" s="274">
        <v>3735103</v>
      </c>
      <c r="B631" s="274" t="s">
        <v>351</v>
      </c>
      <c r="C631" s="274" t="s">
        <v>1806</v>
      </c>
      <c r="D631" s="274" t="s">
        <v>353</v>
      </c>
      <c r="E631" s="274" t="s">
        <v>232</v>
      </c>
      <c r="F631" s="274">
        <v>3</v>
      </c>
      <c r="G631" s="274" t="s">
        <v>19</v>
      </c>
      <c r="H631" s="274" t="s">
        <v>20</v>
      </c>
      <c r="I631" s="274" t="s">
        <v>205</v>
      </c>
      <c r="J631" s="274" t="s">
        <v>928</v>
      </c>
      <c r="K631" s="274" t="s">
        <v>230</v>
      </c>
      <c r="L631" s="274">
        <v>25</v>
      </c>
      <c r="M631" s="274" t="s">
        <v>231</v>
      </c>
      <c r="N631" s="274">
        <v>1240</v>
      </c>
      <c r="O631" s="274">
        <v>1240</v>
      </c>
      <c r="P631" s="274">
        <v>2000</v>
      </c>
      <c r="Q631" s="274">
        <v>1</v>
      </c>
      <c r="R631" s="274">
        <v>6</v>
      </c>
      <c r="S631" s="274" t="s">
        <v>354</v>
      </c>
      <c r="T631" s="274" t="s">
        <v>1814</v>
      </c>
      <c r="U631" s="274" t="s">
        <v>1815</v>
      </c>
      <c r="V631" s="274" t="s">
        <v>355</v>
      </c>
      <c r="W631" s="274" t="s">
        <v>928</v>
      </c>
      <c r="X631" s="274" t="s">
        <v>928</v>
      </c>
      <c r="Y631" s="143"/>
    </row>
    <row r="632" spans="1:25" s="239" customFormat="1" ht="13.15" customHeight="1" x14ac:dyDescent="0.15">
      <c r="A632" s="274">
        <v>3735104</v>
      </c>
      <c r="B632" s="274" t="s">
        <v>351</v>
      </c>
      <c r="C632" s="274" t="s">
        <v>1806</v>
      </c>
      <c r="D632" s="274" t="s">
        <v>353</v>
      </c>
      <c r="E632" s="274" t="s">
        <v>116</v>
      </c>
      <c r="F632" s="274">
        <v>3</v>
      </c>
      <c r="G632" s="274" t="s">
        <v>19</v>
      </c>
      <c r="H632" s="274" t="s">
        <v>20</v>
      </c>
      <c r="I632" s="274" t="s">
        <v>205</v>
      </c>
      <c r="J632" s="274" t="s">
        <v>928</v>
      </c>
      <c r="K632" s="274" t="s">
        <v>212</v>
      </c>
      <c r="L632" s="274">
        <v>25</v>
      </c>
      <c r="M632" s="274" t="s">
        <v>213</v>
      </c>
      <c r="N632" s="274">
        <v>1000</v>
      </c>
      <c r="O632" s="274">
        <v>1000</v>
      </c>
      <c r="P632" s="274">
        <v>4000</v>
      </c>
      <c r="Q632" s="274">
        <v>2</v>
      </c>
      <c r="R632" s="274">
        <v>2</v>
      </c>
      <c r="S632" s="274" t="s">
        <v>354</v>
      </c>
      <c r="T632" s="274" t="s">
        <v>1814</v>
      </c>
      <c r="U632" s="274" t="s">
        <v>1816</v>
      </c>
      <c r="V632" s="274" t="s">
        <v>355</v>
      </c>
      <c r="W632" s="274" t="s">
        <v>928</v>
      </c>
      <c r="X632" s="274" t="s">
        <v>928</v>
      </c>
      <c r="Y632" s="143"/>
    </row>
    <row r="633" spans="1:25" s="239" customFormat="1" ht="13.15" customHeight="1" x14ac:dyDescent="0.15">
      <c r="A633" s="274">
        <v>3735105</v>
      </c>
      <c r="B633" s="274" t="s">
        <v>351</v>
      </c>
      <c r="C633" s="274" t="s">
        <v>1806</v>
      </c>
      <c r="D633" s="274" t="s">
        <v>353</v>
      </c>
      <c r="E633" s="274" t="s">
        <v>116</v>
      </c>
      <c r="F633" s="274">
        <v>3</v>
      </c>
      <c r="G633" s="274" t="s">
        <v>19</v>
      </c>
      <c r="H633" s="274" t="s">
        <v>20</v>
      </c>
      <c r="I633" s="274" t="s">
        <v>205</v>
      </c>
      <c r="J633" s="274" t="s">
        <v>928</v>
      </c>
      <c r="K633" s="274" t="s">
        <v>212</v>
      </c>
      <c r="L633" s="274">
        <v>25</v>
      </c>
      <c r="M633" s="274" t="s">
        <v>213</v>
      </c>
      <c r="N633" s="274">
        <v>1120</v>
      </c>
      <c r="O633" s="274">
        <v>1120</v>
      </c>
      <c r="P633" s="274">
        <v>4000</v>
      </c>
      <c r="Q633" s="274">
        <v>2</v>
      </c>
      <c r="R633" s="274">
        <v>9</v>
      </c>
      <c r="S633" s="274" t="s">
        <v>354</v>
      </c>
      <c r="T633" s="274" t="s">
        <v>1814</v>
      </c>
      <c r="U633" s="274" t="s">
        <v>1816</v>
      </c>
      <c r="V633" s="274" t="s">
        <v>355</v>
      </c>
      <c r="W633" s="274" t="s">
        <v>928</v>
      </c>
      <c r="X633" s="274" t="s">
        <v>928</v>
      </c>
      <c r="Y633" s="143"/>
    </row>
    <row r="634" spans="1:25" s="239" customFormat="1" ht="13.15" customHeight="1" x14ac:dyDescent="0.15">
      <c r="A634" s="274">
        <v>3735106</v>
      </c>
      <c r="B634" s="274" t="s">
        <v>351</v>
      </c>
      <c r="C634" s="274" t="s">
        <v>1806</v>
      </c>
      <c r="D634" s="274" t="s">
        <v>353</v>
      </c>
      <c r="E634" s="274" t="s">
        <v>116</v>
      </c>
      <c r="F634" s="274">
        <v>3</v>
      </c>
      <c r="G634" s="274" t="s">
        <v>19</v>
      </c>
      <c r="H634" s="274" t="s">
        <v>20</v>
      </c>
      <c r="I634" s="274" t="s">
        <v>205</v>
      </c>
      <c r="J634" s="274" t="s">
        <v>928</v>
      </c>
      <c r="K634" s="274" t="s">
        <v>212</v>
      </c>
      <c r="L634" s="274">
        <v>50</v>
      </c>
      <c r="M634" s="274" t="s">
        <v>213</v>
      </c>
      <c r="N634" s="274">
        <v>1000</v>
      </c>
      <c r="O634" s="274">
        <v>1000</v>
      </c>
      <c r="P634" s="274">
        <v>4000</v>
      </c>
      <c r="Q634" s="274">
        <v>2</v>
      </c>
      <c r="R634" s="274">
        <v>3</v>
      </c>
      <c r="S634" s="274" t="s">
        <v>354</v>
      </c>
      <c r="T634" s="274" t="s">
        <v>1814</v>
      </c>
      <c r="U634" s="274" t="s">
        <v>1816</v>
      </c>
      <c r="V634" s="274" t="s">
        <v>355</v>
      </c>
      <c r="W634" s="274" t="s">
        <v>928</v>
      </c>
      <c r="X634" s="274" t="s">
        <v>928</v>
      </c>
      <c r="Y634" s="143"/>
    </row>
    <row r="635" spans="1:25" s="239" customFormat="1" ht="13.15" customHeight="1" x14ac:dyDescent="0.15">
      <c r="A635" s="274">
        <v>3735107</v>
      </c>
      <c r="B635" s="274" t="s">
        <v>351</v>
      </c>
      <c r="C635" s="274" t="s">
        <v>1806</v>
      </c>
      <c r="D635" s="274" t="s">
        <v>353</v>
      </c>
      <c r="E635" s="274" t="s">
        <v>116</v>
      </c>
      <c r="F635" s="274">
        <v>3</v>
      </c>
      <c r="G635" s="274" t="s">
        <v>19</v>
      </c>
      <c r="H635" s="274" t="s">
        <v>20</v>
      </c>
      <c r="I635" s="274" t="s">
        <v>205</v>
      </c>
      <c r="J635" s="274" t="s">
        <v>928</v>
      </c>
      <c r="K635" s="274" t="s">
        <v>212</v>
      </c>
      <c r="L635" s="274">
        <v>50</v>
      </c>
      <c r="M635" s="274" t="s">
        <v>213</v>
      </c>
      <c r="N635" s="274">
        <v>1120</v>
      </c>
      <c r="O635" s="274">
        <v>1120</v>
      </c>
      <c r="P635" s="274">
        <v>4000</v>
      </c>
      <c r="Q635" s="274">
        <v>2</v>
      </c>
      <c r="R635" s="274">
        <v>15</v>
      </c>
      <c r="S635" s="274" t="s">
        <v>354</v>
      </c>
      <c r="T635" s="274" t="s">
        <v>1814</v>
      </c>
      <c r="U635" s="274" t="s">
        <v>1818</v>
      </c>
      <c r="V635" s="274" t="s">
        <v>355</v>
      </c>
      <c r="W635" s="274" t="s">
        <v>928</v>
      </c>
      <c r="X635" s="274" t="s">
        <v>928</v>
      </c>
      <c r="Y635" s="143"/>
    </row>
    <row r="636" spans="1:25" s="239" customFormat="1" ht="13.15" customHeight="1" x14ac:dyDescent="0.15">
      <c r="A636" s="274">
        <v>3735108</v>
      </c>
      <c r="B636" s="274" t="s">
        <v>351</v>
      </c>
      <c r="C636" s="274" t="s">
        <v>1806</v>
      </c>
      <c r="D636" s="274" t="s">
        <v>353</v>
      </c>
      <c r="E636" s="274" t="s">
        <v>116</v>
      </c>
      <c r="F636" s="274">
        <v>3</v>
      </c>
      <c r="G636" s="274" t="s">
        <v>19</v>
      </c>
      <c r="H636" s="274" t="s">
        <v>20</v>
      </c>
      <c r="I636" s="274" t="s">
        <v>205</v>
      </c>
      <c r="J636" s="274" t="s">
        <v>928</v>
      </c>
      <c r="K636" s="274" t="s">
        <v>212</v>
      </c>
      <c r="L636" s="274">
        <v>50</v>
      </c>
      <c r="M636" s="274" t="s">
        <v>213</v>
      </c>
      <c r="N636" s="274">
        <v>1120</v>
      </c>
      <c r="O636" s="274">
        <v>1120</v>
      </c>
      <c r="P636" s="274">
        <v>4000</v>
      </c>
      <c r="Q636" s="274">
        <v>2</v>
      </c>
      <c r="R636" s="274">
        <v>15</v>
      </c>
      <c r="S636" s="274" t="s">
        <v>354</v>
      </c>
      <c r="T636" s="274" t="s">
        <v>1814</v>
      </c>
      <c r="U636" s="274" t="s">
        <v>1818</v>
      </c>
      <c r="V636" s="274" t="s">
        <v>355</v>
      </c>
      <c r="W636" s="274" t="s">
        <v>928</v>
      </c>
      <c r="X636" s="274" t="s">
        <v>928</v>
      </c>
      <c r="Y636" s="143"/>
    </row>
    <row r="637" spans="1:25" s="239" customFormat="1" ht="13.15" customHeight="1" x14ac:dyDescent="0.15">
      <c r="A637" s="274">
        <v>3735109</v>
      </c>
      <c r="B637" s="274" t="s">
        <v>351</v>
      </c>
      <c r="C637" s="274" t="s">
        <v>1806</v>
      </c>
      <c r="D637" s="274" t="s">
        <v>353</v>
      </c>
      <c r="E637" s="274" t="s">
        <v>116</v>
      </c>
      <c r="F637" s="274">
        <v>3</v>
      </c>
      <c r="G637" s="274" t="s">
        <v>19</v>
      </c>
      <c r="H637" s="274" t="s">
        <v>20</v>
      </c>
      <c r="I637" s="274" t="s">
        <v>205</v>
      </c>
      <c r="J637" s="274" t="s">
        <v>928</v>
      </c>
      <c r="K637" s="274" t="s">
        <v>211</v>
      </c>
      <c r="L637" s="274">
        <v>38</v>
      </c>
      <c r="M637" s="274" t="s">
        <v>370</v>
      </c>
      <c r="N637" s="274">
        <v>1005</v>
      </c>
      <c r="O637" s="274">
        <v>1000</v>
      </c>
      <c r="P637" s="274">
        <v>4100</v>
      </c>
      <c r="Q637" s="274">
        <v>2</v>
      </c>
      <c r="R637" s="274">
        <v>2</v>
      </c>
      <c r="S637" s="274" t="s">
        <v>354</v>
      </c>
      <c r="T637" s="274" t="s">
        <v>1814</v>
      </c>
      <c r="U637" s="274" t="s">
        <v>1816</v>
      </c>
      <c r="V637" s="274" t="s">
        <v>355</v>
      </c>
      <c r="W637" s="274" t="s">
        <v>928</v>
      </c>
      <c r="X637" s="274" t="s">
        <v>928</v>
      </c>
      <c r="Y637" s="143"/>
    </row>
    <row r="638" spans="1:25" s="239" customFormat="1" ht="13.15" customHeight="1" x14ac:dyDescent="0.15">
      <c r="A638" s="274">
        <v>3735110</v>
      </c>
      <c r="B638" s="274" t="s">
        <v>351</v>
      </c>
      <c r="C638" s="274" t="s">
        <v>1806</v>
      </c>
      <c r="D638" s="274" t="s">
        <v>353</v>
      </c>
      <c r="E638" s="274" t="s">
        <v>116</v>
      </c>
      <c r="F638" s="274">
        <v>3</v>
      </c>
      <c r="G638" s="274" t="s">
        <v>19</v>
      </c>
      <c r="H638" s="274" t="s">
        <v>20</v>
      </c>
      <c r="I638" s="274" t="s">
        <v>205</v>
      </c>
      <c r="J638" s="274" t="s">
        <v>928</v>
      </c>
      <c r="K638" s="274" t="s">
        <v>211</v>
      </c>
      <c r="L638" s="274">
        <v>25</v>
      </c>
      <c r="M638" s="274" t="s">
        <v>491</v>
      </c>
      <c r="N638" s="274">
        <v>1050</v>
      </c>
      <c r="O638" s="274">
        <v>1050</v>
      </c>
      <c r="P638" s="274">
        <v>4000</v>
      </c>
      <c r="Q638" s="274">
        <v>2</v>
      </c>
      <c r="R638" s="274">
        <v>2</v>
      </c>
      <c r="S638" s="274" t="s">
        <v>354</v>
      </c>
      <c r="T638" s="274" t="s">
        <v>1814</v>
      </c>
      <c r="U638" s="274" t="s">
        <v>1824</v>
      </c>
      <c r="V638" s="274" t="s">
        <v>355</v>
      </c>
      <c r="W638" s="274" t="s">
        <v>928</v>
      </c>
      <c r="X638" s="274" t="s">
        <v>928</v>
      </c>
      <c r="Y638" s="143"/>
    </row>
    <row r="639" spans="1:25" s="239" customFormat="1" ht="13.15" customHeight="1" x14ac:dyDescent="0.15">
      <c r="A639" s="274">
        <v>3735111</v>
      </c>
      <c r="B639" s="274" t="s">
        <v>351</v>
      </c>
      <c r="C639" s="274" t="s">
        <v>1806</v>
      </c>
      <c r="D639" s="274" t="s">
        <v>353</v>
      </c>
      <c r="E639" s="274" t="s">
        <v>116</v>
      </c>
      <c r="F639" s="274">
        <v>3</v>
      </c>
      <c r="G639" s="274" t="s">
        <v>19</v>
      </c>
      <c r="H639" s="274" t="s">
        <v>20</v>
      </c>
      <c r="I639" s="274" t="s">
        <v>205</v>
      </c>
      <c r="J639" s="274" t="s">
        <v>928</v>
      </c>
      <c r="K639" s="274" t="s">
        <v>211</v>
      </c>
      <c r="L639" s="274">
        <v>50</v>
      </c>
      <c r="M639" s="274" t="s">
        <v>370</v>
      </c>
      <c r="N639" s="274">
        <v>1050</v>
      </c>
      <c r="O639" s="274">
        <v>1050</v>
      </c>
      <c r="P639" s="274">
        <v>4100</v>
      </c>
      <c r="Q639" s="274">
        <v>2</v>
      </c>
      <c r="R639" s="274">
        <v>3</v>
      </c>
      <c r="S639" s="274" t="s">
        <v>354</v>
      </c>
      <c r="T639" s="274" t="s">
        <v>1814</v>
      </c>
      <c r="U639" s="274" t="s">
        <v>1816</v>
      </c>
      <c r="V639" s="274" t="s">
        <v>355</v>
      </c>
      <c r="W639" s="274" t="s">
        <v>928</v>
      </c>
      <c r="X639" s="274" t="s">
        <v>928</v>
      </c>
      <c r="Y639" s="143"/>
    </row>
    <row r="640" spans="1:25" s="239" customFormat="1" ht="13.15" customHeight="1" x14ac:dyDescent="0.15">
      <c r="A640" s="274">
        <v>3735112</v>
      </c>
      <c r="B640" s="274" t="s">
        <v>351</v>
      </c>
      <c r="C640" s="274" t="s">
        <v>1806</v>
      </c>
      <c r="D640" s="274" t="s">
        <v>353</v>
      </c>
      <c r="E640" s="274" t="s">
        <v>116</v>
      </c>
      <c r="F640" s="274">
        <v>3</v>
      </c>
      <c r="G640" s="274" t="s">
        <v>19</v>
      </c>
      <c r="H640" s="274" t="s">
        <v>20</v>
      </c>
      <c r="I640" s="274" t="s">
        <v>205</v>
      </c>
      <c r="J640" s="274" t="s">
        <v>928</v>
      </c>
      <c r="K640" s="274" t="s">
        <v>211</v>
      </c>
      <c r="L640" s="274">
        <v>75</v>
      </c>
      <c r="M640" s="274" t="s">
        <v>370</v>
      </c>
      <c r="N640" s="274">
        <v>1050</v>
      </c>
      <c r="O640" s="274">
        <v>1050</v>
      </c>
      <c r="P640" s="274">
        <v>2000</v>
      </c>
      <c r="Q640" s="274">
        <v>2</v>
      </c>
      <c r="R640" s="274">
        <v>2</v>
      </c>
      <c r="S640" s="274" t="s">
        <v>354</v>
      </c>
      <c r="T640" s="274" t="s">
        <v>1814</v>
      </c>
      <c r="U640" s="274" t="s">
        <v>1824</v>
      </c>
      <c r="V640" s="274" t="s">
        <v>355</v>
      </c>
      <c r="W640" s="274" t="s">
        <v>928</v>
      </c>
      <c r="X640" s="274" t="s">
        <v>928</v>
      </c>
      <c r="Y640" s="143"/>
    </row>
    <row r="641" spans="1:25" s="239" customFormat="1" ht="13.15" customHeight="1" x14ac:dyDescent="0.15">
      <c r="A641" s="274">
        <v>3735113</v>
      </c>
      <c r="B641" s="274" t="s">
        <v>351</v>
      </c>
      <c r="C641" s="274" t="s">
        <v>1806</v>
      </c>
      <c r="D641" s="274" t="s">
        <v>353</v>
      </c>
      <c r="E641" s="274" t="s">
        <v>116</v>
      </c>
      <c r="F641" s="274">
        <v>3</v>
      </c>
      <c r="G641" s="274" t="s">
        <v>19</v>
      </c>
      <c r="H641" s="274" t="s">
        <v>20</v>
      </c>
      <c r="I641" s="274" t="s">
        <v>165</v>
      </c>
      <c r="J641" s="274" t="s">
        <v>928</v>
      </c>
      <c r="K641" s="274" t="s">
        <v>185</v>
      </c>
      <c r="L641" s="274">
        <v>50</v>
      </c>
      <c r="M641" s="274" t="s">
        <v>186</v>
      </c>
      <c r="N641" s="274">
        <v>1005</v>
      </c>
      <c r="O641" s="274">
        <v>1000</v>
      </c>
      <c r="P641" s="274">
        <v>4100</v>
      </c>
      <c r="Q641" s="274">
        <v>2</v>
      </c>
      <c r="R641" s="274">
        <v>6</v>
      </c>
      <c r="S641" s="274" t="s">
        <v>354</v>
      </c>
      <c r="T641" s="274" t="s">
        <v>1814</v>
      </c>
      <c r="U641" s="274" t="s">
        <v>1816</v>
      </c>
      <c r="V641" s="274" t="s">
        <v>355</v>
      </c>
      <c r="W641" s="274" t="s">
        <v>928</v>
      </c>
      <c r="X641" s="274" t="s">
        <v>928</v>
      </c>
      <c r="Y641" s="143"/>
    </row>
    <row r="642" spans="1:25" s="239" customFormat="1" ht="13.15" customHeight="1" x14ac:dyDescent="0.15">
      <c r="A642" s="274">
        <v>3735116</v>
      </c>
      <c r="B642" s="274" t="s">
        <v>351</v>
      </c>
      <c r="C642" s="274" t="s">
        <v>1806</v>
      </c>
      <c r="D642" s="274" t="s">
        <v>353</v>
      </c>
      <c r="E642" s="274" t="s">
        <v>116</v>
      </c>
      <c r="F642" s="274">
        <v>3</v>
      </c>
      <c r="G642" s="274" t="s">
        <v>19</v>
      </c>
      <c r="H642" s="274" t="s">
        <v>20</v>
      </c>
      <c r="I642" s="274" t="s">
        <v>205</v>
      </c>
      <c r="J642" s="274" t="s">
        <v>928</v>
      </c>
      <c r="K642" s="274" t="s">
        <v>216</v>
      </c>
      <c r="L642" s="274">
        <v>25</v>
      </c>
      <c r="M642" s="274" t="s">
        <v>217</v>
      </c>
      <c r="N642" s="274">
        <v>1005</v>
      </c>
      <c r="O642" s="274">
        <v>1000</v>
      </c>
      <c r="P642" s="274">
        <v>4000</v>
      </c>
      <c r="Q642" s="274">
        <v>2</v>
      </c>
      <c r="R642" s="274">
        <v>15</v>
      </c>
      <c r="S642" s="274" t="s">
        <v>354</v>
      </c>
      <c r="T642" s="274" t="s">
        <v>1814</v>
      </c>
      <c r="U642" s="274" t="s">
        <v>1821</v>
      </c>
      <c r="V642" s="274" t="s">
        <v>355</v>
      </c>
      <c r="W642" s="274" t="s">
        <v>928</v>
      </c>
      <c r="X642" s="274" t="s">
        <v>928</v>
      </c>
      <c r="Y642" s="143"/>
    </row>
    <row r="643" spans="1:25" s="239" customFormat="1" ht="13.15" customHeight="1" x14ac:dyDescent="0.15">
      <c r="A643" s="274">
        <v>3735117</v>
      </c>
      <c r="B643" s="274" t="s">
        <v>351</v>
      </c>
      <c r="C643" s="274" t="s">
        <v>1806</v>
      </c>
      <c r="D643" s="274" t="s">
        <v>353</v>
      </c>
      <c r="E643" s="274" t="s">
        <v>116</v>
      </c>
      <c r="F643" s="274" t="s">
        <v>96</v>
      </c>
      <c r="G643" s="274" t="s">
        <v>19</v>
      </c>
      <c r="H643" s="274" t="s">
        <v>20</v>
      </c>
      <c r="I643" s="274" t="s">
        <v>205</v>
      </c>
      <c r="J643" s="274" t="s">
        <v>928</v>
      </c>
      <c r="K643" s="274" t="s">
        <v>216</v>
      </c>
      <c r="L643" s="274">
        <v>50</v>
      </c>
      <c r="M643" s="274" t="s">
        <v>217</v>
      </c>
      <c r="N643" s="274">
        <v>1120</v>
      </c>
      <c r="O643" s="274">
        <v>1120</v>
      </c>
      <c r="P643" s="274">
        <v>5000</v>
      </c>
      <c r="Q643" s="274">
        <v>2</v>
      </c>
      <c r="R643" s="274">
        <v>25</v>
      </c>
      <c r="S643" s="274" t="s">
        <v>354</v>
      </c>
      <c r="T643" s="274" t="s">
        <v>1814</v>
      </c>
      <c r="U643" s="274" t="s">
        <v>1818</v>
      </c>
      <c r="V643" s="274" t="s">
        <v>355</v>
      </c>
      <c r="W643" s="274" t="s">
        <v>928</v>
      </c>
      <c r="X643" s="274" t="s">
        <v>928</v>
      </c>
      <c r="Y643" s="143"/>
    </row>
    <row r="644" spans="1:25" s="239" customFormat="1" ht="13.15" customHeight="1" x14ac:dyDescent="0.15">
      <c r="A644" s="274">
        <v>3735118</v>
      </c>
      <c r="B644" s="274" t="s">
        <v>351</v>
      </c>
      <c r="C644" s="274" t="s">
        <v>1806</v>
      </c>
      <c r="D644" s="274" t="s">
        <v>353</v>
      </c>
      <c r="E644" s="274" t="s">
        <v>116</v>
      </c>
      <c r="F644" s="274">
        <v>3</v>
      </c>
      <c r="G644" s="274" t="s">
        <v>19</v>
      </c>
      <c r="H644" s="274" t="s">
        <v>20</v>
      </c>
      <c r="I644" s="274" t="s">
        <v>205</v>
      </c>
      <c r="J644" s="274" t="s">
        <v>928</v>
      </c>
      <c r="K644" s="274" t="s">
        <v>216</v>
      </c>
      <c r="L644" s="274">
        <v>50</v>
      </c>
      <c r="M644" s="274" t="s">
        <v>217</v>
      </c>
      <c r="N644" s="274">
        <v>1120</v>
      </c>
      <c r="O644" s="274">
        <v>1120</v>
      </c>
      <c r="P644" s="274">
        <v>5000</v>
      </c>
      <c r="Q644" s="274">
        <v>2</v>
      </c>
      <c r="R644" s="274">
        <v>4</v>
      </c>
      <c r="S644" s="274" t="s">
        <v>354</v>
      </c>
      <c r="T644" s="274" t="s">
        <v>1814</v>
      </c>
      <c r="U644" s="274" t="s">
        <v>1818</v>
      </c>
      <c r="V644" s="274" t="s">
        <v>355</v>
      </c>
      <c r="W644" s="274" t="s">
        <v>928</v>
      </c>
      <c r="X644" s="274" t="s">
        <v>928</v>
      </c>
      <c r="Y644" s="143"/>
    </row>
    <row r="645" spans="1:25" s="239" customFormat="1" ht="13.15" customHeight="1" x14ac:dyDescent="0.15">
      <c r="A645" s="274">
        <v>3735119</v>
      </c>
      <c r="B645" s="274" t="s">
        <v>351</v>
      </c>
      <c r="C645" s="274" t="s">
        <v>1806</v>
      </c>
      <c r="D645" s="274" t="s">
        <v>353</v>
      </c>
      <c r="E645" s="274" t="s">
        <v>116</v>
      </c>
      <c r="F645" s="274" t="s">
        <v>1830</v>
      </c>
      <c r="G645" s="274" t="s">
        <v>19</v>
      </c>
      <c r="H645" s="274" t="s">
        <v>20</v>
      </c>
      <c r="I645" s="274" t="s">
        <v>205</v>
      </c>
      <c r="J645" s="274" t="s">
        <v>928</v>
      </c>
      <c r="K645" s="274" t="s">
        <v>216</v>
      </c>
      <c r="L645" s="274">
        <v>50</v>
      </c>
      <c r="M645" s="274" t="s">
        <v>217</v>
      </c>
      <c r="N645" s="274">
        <v>1120</v>
      </c>
      <c r="O645" s="274">
        <v>1120</v>
      </c>
      <c r="P645" s="274">
        <v>5000</v>
      </c>
      <c r="Q645" s="274">
        <v>2</v>
      </c>
      <c r="R645" s="274">
        <v>4</v>
      </c>
      <c r="S645" s="274" t="s">
        <v>354</v>
      </c>
      <c r="T645" s="274" t="s">
        <v>1814</v>
      </c>
      <c r="U645" s="274" t="s">
        <v>1818</v>
      </c>
      <c r="V645" s="274" t="s">
        <v>355</v>
      </c>
      <c r="W645" s="274" t="s">
        <v>928</v>
      </c>
      <c r="X645" s="274" t="s">
        <v>928</v>
      </c>
      <c r="Y645" s="143"/>
    </row>
    <row r="646" spans="1:25" s="239" customFormat="1" ht="13.15" customHeight="1" x14ac:dyDescent="0.15">
      <c r="A646" s="274">
        <v>3735120</v>
      </c>
      <c r="B646" s="274" t="s">
        <v>351</v>
      </c>
      <c r="C646" s="274" t="s">
        <v>1806</v>
      </c>
      <c r="D646" s="274" t="s">
        <v>353</v>
      </c>
      <c r="E646" s="274" t="s">
        <v>116</v>
      </c>
      <c r="F646" s="274">
        <v>3</v>
      </c>
      <c r="G646" s="274" t="s">
        <v>19</v>
      </c>
      <c r="H646" s="274" t="s">
        <v>20</v>
      </c>
      <c r="I646" s="274" t="s">
        <v>205</v>
      </c>
      <c r="J646" s="274" t="s">
        <v>928</v>
      </c>
      <c r="K646" s="274" t="s">
        <v>218</v>
      </c>
      <c r="L646" s="274">
        <v>25</v>
      </c>
      <c r="M646" s="274" t="s">
        <v>219</v>
      </c>
      <c r="N646" s="274">
        <v>1005</v>
      </c>
      <c r="O646" s="274">
        <v>1000</v>
      </c>
      <c r="P646" s="274">
        <v>4000</v>
      </c>
      <c r="Q646" s="274">
        <v>2</v>
      </c>
      <c r="R646" s="274">
        <v>4</v>
      </c>
      <c r="S646" s="274" t="s">
        <v>354</v>
      </c>
      <c r="T646" s="274" t="s">
        <v>1814</v>
      </c>
      <c r="U646" s="274" t="s">
        <v>1816</v>
      </c>
      <c r="V646" s="274" t="s">
        <v>355</v>
      </c>
      <c r="W646" s="274" t="s">
        <v>928</v>
      </c>
      <c r="X646" s="274" t="s">
        <v>928</v>
      </c>
      <c r="Y646" s="143"/>
    </row>
    <row r="647" spans="1:25" s="239" customFormat="1" ht="13.15" customHeight="1" x14ac:dyDescent="0.15">
      <c r="A647" s="274">
        <v>3735121</v>
      </c>
      <c r="B647" s="274" t="s">
        <v>351</v>
      </c>
      <c r="C647" s="274" t="s">
        <v>1806</v>
      </c>
      <c r="D647" s="274" t="s">
        <v>353</v>
      </c>
      <c r="E647" s="274" t="s">
        <v>116</v>
      </c>
      <c r="F647" s="274">
        <v>3</v>
      </c>
      <c r="G647" s="274" t="s">
        <v>19</v>
      </c>
      <c r="H647" s="274" t="s">
        <v>20</v>
      </c>
      <c r="I647" s="274" t="s">
        <v>205</v>
      </c>
      <c r="J647" s="274" t="s">
        <v>928</v>
      </c>
      <c r="K647" s="274" t="s">
        <v>218</v>
      </c>
      <c r="L647" s="274">
        <v>50</v>
      </c>
      <c r="M647" s="274" t="s">
        <v>219</v>
      </c>
      <c r="N647" s="274">
        <v>1000</v>
      </c>
      <c r="O647" s="274">
        <v>1000</v>
      </c>
      <c r="P647" s="274">
        <v>4000</v>
      </c>
      <c r="Q647" s="274">
        <v>2</v>
      </c>
      <c r="R647" s="274">
        <v>10</v>
      </c>
      <c r="S647" s="274" t="s">
        <v>354</v>
      </c>
      <c r="T647" s="274" t="s">
        <v>1814</v>
      </c>
      <c r="U647" s="274" t="s">
        <v>1816</v>
      </c>
      <c r="V647" s="274" t="s">
        <v>355</v>
      </c>
      <c r="W647" s="274" t="s">
        <v>928</v>
      </c>
      <c r="X647" s="274" t="s">
        <v>928</v>
      </c>
      <c r="Y647" s="143"/>
    </row>
    <row r="648" spans="1:25" s="239" customFormat="1" ht="13.15" customHeight="1" x14ac:dyDescent="0.15">
      <c r="A648" s="274">
        <v>3735122</v>
      </c>
      <c r="B648" s="274" t="s">
        <v>351</v>
      </c>
      <c r="C648" s="274" t="s">
        <v>1806</v>
      </c>
      <c r="D648" s="274" t="s">
        <v>353</v>
      </c>
      <c r="E648" s="274" t="s">
        <v>116</v>
      </c>
      <c r="F648" s="274" t="s">
        <v>158</v>
      </c>
      <c r="G648" s="274" t="s">
        <v>19</v>
      </c>
      <c r="H648" s="274" t="s">
        <v>20</v>
      </c>
      <c r="I648" s="274" t="s">
        <v>165</v>
      </c>
      <c r="J648" s="274" t="s">
        <v>928</v>
      </c>
      <c r="K648" s="274" t="s">
        <v>192</v>
      </c>
      <c r="L648" s="274">
        <v>50</v>
      </c>
      <c r="M648" s="274" t="s">
        <v>193</v>
      </c>
      <c r="N648" s="274">
        <v>1005</v>
      </c>
      <c r="O648" s="274">
        <v>1000</v>
      </c>
      <c r="P648" s="274">
        <v>4000</v>
      </c>
      <c r="Q648" s="274">
        <v>2</v>
      </c>
      <c r="R648" s="274">
        <v>4</v>
      </c>
      <c r="S648" s="274" t="s">
        <v>354</v>
      </c>
      <c r="T648" s="274" t="s">
        <v>1814</v>
      </c>
      <c r="U648" s="274" t="s">
        <v>1816</v>
      </c>
      <c r="V648" s="274" t="s">
        <v>355</v>
      </c>
      <c r="W648" s="274" t="s">
        <v>928</v>
      </c>
      <c r="X648" s="274" t="s">
        <v>928</v>
      </c>
      <c r="Y648" s="143"/>
    </row>
    <row r="649" spans="1:25" s="239" customFormat="1" ht="13.15" customHeight="1" x14ac:dyDescent="0.15">
      <c r="A649" s="274">
        <v>3735123</v>
      </c>
      <c r="B649" s="274" t="s">
        <v>351</v>
      </c>
      <c r="C649" s="274" t="s">
        <v>1806</v>
      </c>
      <c r="D649" s="274" t="s">
        <v>353</v>
      </c>
      <c r="E649" s="274" t="s">
        <v>116</v>
      </c>
      <c r="F649" s="274" t="s">
        <v>158</v>
      </c>
      <c r="G649" s="274" t="s">
        <v>19</v>
      </c>
      <c r="H649" s="274" t="s">
        <v>20</v>
      </c>
      <c r="I649" s="274" t="s">
        <v>165</v>
      </c>
      <c r="J649" s="274" t="s">
        <v>928</v>
      </c>
      <c r="K649" s="274" t="s">
        <v>195</v>
      </c>
      <c r="L649" s="274">
        <v>50</v>
      </c>
      <c r="M649" s="274" t="s">
        <v>196</v>
      </c>
      <c r="N649" s="274">
        <v>1005</v>
      </c>
      <c r="O649" s="274">
        <v>1000</v>
      </c>
      <c r="P649" s="274">
        <v>4000</v>
      </c>
      <c r="Q649" s="274">
        <v>2</v>
      </c>
      <c r="R649" s="274">
        <v>5</v>
      </c>
      <c r="S649" s="274" t="s">
        <v>354</v>
      </c>
      <c r="T649" s="274" t="s">
        <v>1814</v>
      </c>
      <c r="U649" s="274" t="s">
        <v>1816</v>
      </c>
      <c r="V649" s="274" t="s">
        <v>355</v>
      </c>
      <c r="W649" s="274" t="s">
        <v>928</v>
      </c>
      <c r="X649" s="274" t="s">
        <v>928</v>
      </c>
      <c r="Y649" s="143"/>
    </row>
    <row r="650" spans="1:25" s="239" customFormat="1" ht="13.15" customHeight="1" x14ac:dyDescent="0.15">
      <c r="A650" s="274">
        <v>3735124</v>
      </c>
      <c r="B650" s="274" t="s">
        <v>351</v>
      </c>
      <c r="C650" s="274" t="s">
        <v>1806</v>
      </c>
      <c r="D650" s="274" t="s">
        <v>353</v>
      </c>
      <c r="E650" s="274" t="s">
        <v>116</v>
      </c>
      <c r="F650" s="274" t="s">
        <v>158</v>
      </c>
      <c r="G650" s="274" t="s">
        <v>19</v>
      </c>
      <c r="H650" s="274" t="s">
        <v>20</v>
      </c>
      <c r="I650" s="274" t="s">
        <v>165</v>
      </c>
      <c r="J650" s="274" t="s">
        <v>928</v>
      </c>
      <c r="K650" s="274" t="s">
        <v>197</v>
      </c>
      <c r="L650" s="274">
        <v>50</v>
      </c>
      <c r="M650" s="274" t="s">
        <v>198</v>
      </c>
      <c r="N650" s="274">
        <v>1005</v>
      </c>
      <c r="O650" s="274">
        <v>1000</v>
      </c>
      <c r="P650" s="274">
        <v>4100</v>
      </c>
      <c r="Q650" s="274">
        <v>2</v>
      </c>
      <c r="R650" s="274">
        <v>9</v>
      </c>
      <c r="S650" s="274" t="s">
        <v>354</v>
      </c>
      <c r="T650" s="274" t="s">
        <v>1814</v>
      </c>
      <c r="U650" s="274" t="s">
        <v>1816</v>
      </c>
      <c r="V650" s="274" t="s">
        <v>355</v>
      </c>
      <c r="W650" s="274" t="s">
        <v>928</v>
      </c>
      <c r="X650" s="274" t="s">
        <v>928</v>
      </c>
      <c r="Y650" s="143"/>
    </row>
    <row r="651" spans="1:25" s="239" customFormat="1" ht="13.15" customHeight="1" x14ac:dyDescent="0.15">
      <c r="A651" s="274">
        <v>3735125</v>
      </c>
      <c r="B651" s="274" t="s">
        <v>351</v>
      </c>
      <c r="C651" s="274" t="s">
        <v>1806</v>
      </c>
      <c r="D651" s="274" t="s">
        <v>353</v>
      </c>
      <c r="E651" s="274" t="s">
        <v>116</v>
      </c>
      <c r="F651" s="274">
        <v>3</v>
      </c>
      <c r="G651" s="274" t="s">
        <v>19</v>
      </c>
      <c r="H651" s="274" t="s">
        <v>20</v>
      </c>
      <c r="I651" s="274" t="s">
        <v>165</v>
      </c>
      <c r="J651" s="274" t="s">
        <v>928</v>
      </c>
      <c r="K651" s="274" t="s">
        <v>200</v>
      </c>
      <c r="L651" s="274">
        <v>50</v>
      </c>
      <c r="M651" s="274" t="s">
        <v>201</v>
      </c>
      <c r="N651" s="274">
        <v>1005</v>
      </c>
      <c r="O651" s="274">
        <v>1000</v>
      </c>
      <c r="P651" s="274">
        <v>4100</v>
      </c>
      <c r="Q651" s="274">
        <v>2</v>
      </c>
      <c r="R651" s="274">
        <v>2</v>
      </c>
      <c r="S651" s="274" t="s">
        <v>354</v>
      </c>
      <c r="T651" s="274" t="s">
        <v>1814</v>
      </c>
      <c r="U651" s="274" t="s">
        <v>1816</v>
      </c>
      <c r="V651" s="274" t="s">
        <v>355</v>
      </c>
      <c r="W651" s="274" t="s">
        <v>928</v>
      </c>
      <c r="X651" s="274" t="s">
        <v>928</v>
      </c>
      <c r="Y651" s="143"/>
    </row>
    <row r="652" spans="1:25" s="239" customFormat="1" ht="13.15" customHeight="1" x14ac:dyDescent="0.15">
      <c r="A652" s="274">
        <v>3735127</v>
      </c>
      <c r="B652" s="274" t="s">
        <v>351</v>
      </c>
      <c r="C652" s="274" t="s">
        <v>1806</v>
      </c>
      <c r="D652" s="274" t="s">
        <v>353</v>
      </c>
      <c r="E652" s="274" t="s">
        <v>116</v>
      </c>
      <c r="F652" s="274">
        <v>3</v>
      </c>
      <c r="G652" s="274" t="s">
        <v>19</v>
      </c>
      <c r="H652" s="274" t="s">
        <v>20</v>
      </c>
      <c r="I652" s="274" t="s">
        <v>205</v>
      </c>
      <c r="J652" s="274" t="s">
        <v>928</v>
      </c>
      <c r="K652" s="274" t="s">
        <v>221</v>
      </c>
      <c r="L652" s="274">
        <v>25</v>
      </c>
      <c r="M652" s="274" t="s">
        <v>222</v>
      </c>
      <c r="N652" s="274">
        <v>1000</v>
      </c>
      <c r="O652" s="274">
        <v>1000</v>
      </c>
      <c r="P652" s="274">
        <v>6000</v>
      </c>
      <c r="Q652" s="274">
        <v>2</v>
      </c>
      <c r="R652" s="274">
        <v>3</v>
      </c>
      <c r="S652" s="274" t="s">
        <v>354</v>
      </c>
      <c r="T652" s="274" t="s">
        <v>1814</v>
      </c>
      <c r="U652" s="274" t="s">
        <v>1825</v>
      </c>
      <c r="V652" s="274" t="s">
        <v>355</v>
      </c>
      <c r="W652" s="274" t="s">
        <v>928</v>
      </c>
      <c r="X652" s="274" t="s">
        <v>928</v>
      </c>
      <c r="Y652" s="143"/>
    </row>
    <row r="653" spans="1:25" s="239" customFormat="1" ht="13.15" customHeight="1" x14ac:dyDescent="0.15">
      <c r="A653" s="274">
        <v>3735128</v>
      </c>
      <c r="B653" s="274" t="s">
        <v>351</v>
      </c>
      <c r="C653" s="274" t="s">
        <v>1806</v>
      </c>
      <c r="D653" s="274" t="s">
        <v>353</v>
      </c>
      <c r="E653" s="274" t="s">
        <v>116</v>
      </c>
      <c r="F653" s="274">
        <v>3</v>
      </c>
      <c r="G653" s="274" t="s">
        <v>19</v>
      </c>
      <c r="H653" s="274" t="s">
        <v>20</v>
      </c>
      <c r="I653" s="274" t="s">
        <v>205</v>
      </c>
      <c r="J653" s="274" t="s">
        <v>928</v>
      </c>
      <c r="K653" s="274" t="s">
        <v>221</v>
      </c>
      <c r="L653" s="274">
        <v>25</v>
      </c>
      <c r="M653" s="274" t="s">
        <v>222</v>
      </c>
      <c r="N653" s="274">
        <v>1100</v>
      </c>
      <c r="O653" s="274">
        <v>1100</v>
      </c>
      <c r="P653" s="274">
        <v>6000</v>
      </c>
      <c r="Q653" s="274">
        <v>2</v>
      </c>
      <c r="R653" s="274">
        <v>20</v>
      </c>
      <c r="S653" s="274" t="s">
        <v>354</v>
      </c>
      <c r="T653" s="274" t="s">
        <v>1814</v>
      </c>
      <c r="U653" s="274" t="s">
        <v>1825</v>
      </c>
      <c r="V653" s="274" t="s">
        <v>355</v>
      </c>
      <c r="W653" s="274" t="s">
        <v>928</v>
      </c>
      <c r="X653" s="274" t="s">
        <v>928</v>
      </c>
      <c r="Y653" s="143"/>
    </row>
    <row r="654" spans="1:25" s="239" customFormat="1" ht="13.15" customHeight="1" x14ac:dyDescent="0.15">
      <c r="A654" s="274">
        <v>3735129</v>
      </c>
      <c r="B654" s="274" t="s">
        <v>423</v>
      </c>
      <c r="C654" s="274" t="s">
        <v>1806</v>
      </c>
      <c r="D654" s="274" t="s">
        <v>353</v>
      </c>
      <c r="E654" s="274" t="s">
        <v>116</v>
      </c>
      <c r="F654" s="274">
        <v>3</v>
      </c>
      <c r="G654" s="274" t="s">
        <v>265</v>
      </c>
      <c r="H654" s="274" t="s">
        <v>20</v>
      </c>
      <c r="I654" s="274" t="s">
        <v>165</v>
      </c>
      <c r="J654" s="274" t="s">
        <v>928</v>
      </c>
      <c r="K654" s="274" t="s">
        <v>172</v>
      </c>
      <c r="L654" s="274">
        <v>50</v>
      </c>
      <c r="M654" s="274" t="s">
        <v>173</v>
      </c>
      <c r="N654" s="274">
        <v>1005</v>
      </c>
      <c r="O654" s="274">
        <v>1000</v>
      </c>
      <c r="P654" s="274">
        <v>2000</v>
      </c>
      <c r="Q654" s="274">
        <v>2</v>
      </c>
      <c r="R654" s="274">
        <v>4</v>
      </c>
      <c r="S654" s="274" t="s">
        <v>354</v>
      </c>
      <c r="T654" s="274" t="s">
        <v>1814</v>
      </c>
      <c r="U654" s="274" t="s">
        <v>1816</v>
      </c>
      <c r="V654" s="274" t="s">
        <v>355</v>
      </c>
      <c r="W654" s="274" t="s">
        <v>928</v>
      </c>
      <c r="X654" s="274" t="s">
        <v>928</v>
      </c>
      <c r="Y654" s="143"/>
    </row>
    <row r="655" spans="1:25" s="239" customFormat="1" ht="13.15" customHeight="1" x14ac:dyDescent="0.15">
      <c r="A655" s="274">
        <v>3735130</v>
      </c>
      <c r="B655" s="274" t="s">
        <v>423</v>
      </c>
      <c r="C655" s="274" t="s">
        <v>1806</v>
      </c>
      <c r="D655" s="274" t="s">
        <v>353</v>
      </c>
      <c r="E655" s="274" t="s">
        <v>116</v>
      </c>
      <c r="F655" s="274">
        <v>3</v>
      </c>
      <c r="G655" s="274" t="s">
        <v>265</v>
      </c>
      <c r="H655" s="274" t="s">
        <v>20</v>
      </c>
      <c r="I655" s="274" t="s">
        <v>165</v>
      </c>
      <c r="J655" s="274" t="s">
        <v>928</v>
      </c>
      <c r="K655" s="274" t="s">
        <v>176</v>
      </c>
      <c r="L655" s="274">
        <v>25</v>
      </c>
      <c r="M655" s="274" t="s">
        <v>177</v>
      </c>
      <c r="N655" s="274">
        <v>1005</v>
      </c>
      <c r="O655" s="274">
        <v>1000</v>
      </c>
      <c r="P655" s="274">
        <v>2000</v>
      </c>
      <c r="Q655" s="274">
        <v>2</v>
      </c>
      <c r="R655" s="274">
        <v>4</v>
      </c>
      <c r="S655" s="274" t="s">
        <v>354</v>
      </c>
      <c r="T655" s="274" t="s">
        <v>1814</v>
      </c>
      <c r="U655" s="274" t="s">
        <v>1816</v>
      </c>
      <c r="V655" s="274" t="s">
        <v>355</v>
      </c>
      <c r="W655" s="274" t="s">
        <v>928</v>
      </c>
      <c r="X655" s="274" t="s">
        <v>928</v>
      </c>
      <c r="Y655" s="143"/>
    </row>
    <row r="656" spans="1:25" s="239" customFormat="1" ht="13.15" customHeight="1" x14ac:dyDescent="0.15">
      <c r="A656" s="274">
        <v>3735131</v>
      </c>
      <c r="B656" s="274" t="s">
        <v>423</v>
      </c>
      <c r="C656" s="274" t="s">
        <v>1806</v>
      </c>
      <c r="D656" s="274" t="s">
        <v>353</v>
      </c>
      <c r="E656" s="274" t="s">
        <v>116</v>
      </c>
      <c r="F656" s="274">
        <v>3</v>
      </c>
      <c r="G656" s="274" t="s">
        <v>265</v>
      </c>
      <c r="H656" s="274" t="s">
        <v>20</v>
      </c>
      <c r="I656" s="274" t="s">
        <v>165</v>
      </c>
      <c r="J656" s="274" t="s">
        <v>928</v>
      </c>
      <c r="K656" s="274" t="s">
        <v>176</v>
      </c>
      <c r="L656" s="274">
        <v>50</v>
      </c>
      <c r="M656" s="274" t="s">
        <v>177</v>
      </c>
      <c r="N656" s="274">
        <v>1005</v>
      </c>
      <c r="O656" s="274">
        <v>1000</v>
      </c>
      <c r="P656" s="274">
        <v>4100</v>
      </c>
      <c r="Q656" s="274">
        <v>2</v>
      </c>
      <c r="R656" s="274">
        <v>3</v>
      </c>
      <c r="S656" s="274" t="s">
        <v>354</v>
      </c>
      <c r="T656" s="274" t="s">
        <v>1814</v>
      </c>
      <c r="U656" s="274" t="s">
        <v>1816</v>
      </c>
      <c r="V656" s="274" t="s">
        <v>355</v>
      </c>
      <c r="W656" s="274" t="s">
        <v>928</v>
      </c>
      <c r="X656" s="274" t="s">
        <v>928</v>
      </c>
      <c r="Y656" s="143"/>
    </row>
    <row r="657" spans="1:25" s="239" customFormat="1" ht="13.15" customHeight="1" x14ac:dyDescent="0.15">
      <c r="A657" s="274">
        <v>3735132</v>
      </c>
      <c r="B657" s="274" t="s">
        <v>351</v>
      </c>
      <c r="C657" s="274" t="s">
        <v>1806</v>
      </c>
      <c r="D657" s="274" t="s">
        <v>353</v>
      </c>
      <c r="E657" s="274" t="s">
        <v>116</v>
      </c>
      <c r="F657" s="274">
        <v>3</v>
      </c>
      <c r="G657" s="274" t="s">
        <v>19</v>
      </c>
      <c r="H657" s="274" t="s">
        <v>20</v>
      </c>
      <c r="I657" s="274" t="s">
        <v>143</v>
      </c>
      <c r="J657" s="274" t="s">
        <v>928</v>
      </c>
      <c r="K657" s="274" t="s">
        <v>152</v>
      </c>
      <c r="L657" s="274">
        <v>38</v>
      </c>
      <c r="M657" s="274" t="s">
        <v>153</v>
      </c>
      <c r="N657" s="274">
        <v>1005</v>
      </c>
      <c r="O657" s="274">
        <v>1000</v>
      </c>
      <c r="P657" s="274">
        <v>4000</v>
      </c>
      <c r="Q657" s="274">
        <v>2</v>
      </c>
      <c r="R657" s="274">
        <v>2</v>
      </c>
      <c r="S657" s="274" t="s">
        <v>354</v>
      </c>
      <c r="T657" s="274" t="s">
        <v>1814</v>
      </c>
      <c r="U657" s="274" t="s">
        <v>1825</v>
      </c>
      <c r="V657" s="274" t="s">
        <v>355</v>
      </c>
      <c r="W657" s="274" t="s">
        <v>928</v>
      </c>
      <c r="X657" s="274" t="s">
        <v>928</v>
      </c>
      <c r="Y657" s="143"/>
    </row>
    <row r="658" spans="1:25" s="239" customFormat="1" ht="13.15" customHeight="1" x14ac:dyDescent="0.15">
      <c r="A658" s="274">
        <v>3735133</v>
      </c>
      <c r="B658" s="274" t="s">
        <v>510</v>
      </c>
      <c r="C658" s="274" t="s">
        <v>1806</v>
      </c>
      <c r="D658" s="274" t="s">
        <v>353</v>
      </c>
      <c r="E658" s="274" t="s">
        <v>324</v>
      </c>
      <c r="F658" s="274">
        <v>3</v>
      </c>
      <c r="G658" s="274" t="s">
        <v>269</v>
      </c>
      <c r="H658" s="274" t="s">
        <v>20</v>
      </c>
      <c r="I658" s="274" t="s">
        <v>205</v>
      </c>
      <c r="J658" s="274" t="s">
        <v>928</v>
      </c>
      <c r="K658" s="274" t="s">
        <v>325</v>
      </c>
      <c r="L658" s="274">
        <v>9</v>
      </c>
      <c r="M658" s="274" t="s">
        <v>326</v>
      </c>
      <c r="N658" s="274">
        <v>1360</v>
      </c>
      <c r="O658" s="274">
        <v>1360</v>
      </c>
      <c r="P658" s="274">
        <v>2100</v>
      </c>
      <c r="Q658" s="274">
        <v>2</v>
      </c>
      <c r="R658" s="274">
        <v>10</v>
      </c>
      <c r="S658" s="274" t="s">
        <v>354</v>
      </c>
      <c r="T658" s="274" t="s">
        <v>1814</v>
      </c>
      <c r="U658" s="274" t="s">
        <v>1815</v>
      </c>
      <c r="V658" s="274" t="s">
        <v>428</v>
      </c>
      <c r="W658" s="274" t="s">
        <v>928</v>
      </c>
      <c r="X658" s="274" t="s">
        <v>928</v>
      </c>
      <c r="Y658" s="143"/>
    </row>
    <row r="659" spans="1:25" s="239" customFormat="1" ht="13.15" customHeight="1" x14ac:dyDescent="0.15">
      <c r="A659" s="274">
        <v>3735903</v>
      </c>
      <c r="B659" s="274" t="s">
        <v>351</v>
      </c>
      <c r="C659" s="274" t="s">
        <v>1806</v>
      </c>
      <c r="D659" s="274" t="s">
        <v>353</v>
      </c>
      <c r="E659" s="274" t="s">
        <v>148</v>
      </c>
      <c r="F659" s="274">
        <v>3</v>
      </c>
      <c r="G659" s="274" t="s">
        <v>19</v>
      </c>
      <c r="H659" s="274" t="s">
        <v>20</v>
      </c>
      <c r="I659" s="274" t="s">
        <v>165</v>
      </c>
      <c r="J659" s="274" t="s">
        <v>928</v>
      </c>
      <c r="K659" s="274" t="s">
        <v>180</v>
      </c>
      <c r="L659" s="274">
        <v>50</v>
      </c>
      <c r="M659" s="274" t="s">
        <v>181</v>
      </c>
      <c r="N659" s="274">
        <v>1120</v>
      </c>
      <c r="O659" s="274">
        <v>1120</v>
      </c>
      <c r="P659" s="274">
        <v>4000</v>
      </c>
      <c r="Q659" s="274">
        <v>2</v>
      </c>
      <c r="R659" s="274">
        <v>6</v>
      </c>
      <c r="S659" s="274" t="s">
        <v>354</v>
      </c>
      <c r="T659" s="274" t="s">
        <v>1736</v>
      </c>
      <c r="U659" s="274" t="s">
        <v>1733</v>
      </c>
      <c r="V659" s="274" t="s">
        <v>355</v>
      </c>
      <c r="W659" s="274" t="s">
        <v>928</v>
      </c>
      <c r="X659" s="274" t="s">
        <v>928</v>
      </c>
      <c r="Y659" s="143"/>
    </row>
    <row r="660" spans="1:25" s="239" customFormat="1" ht="13.15" customHeight="1" x14ac:dyDescent="0.15">
      <c r="A660" s="274">
        <v>3737316</v>
      </c>
      <c r="B660" s="274" t="s">
        <v>1364</v>
      </c>
      <c r="C660" s="274" t="s">
        <v>1808</v>
      </c>
      <c r="D660" s="274" t="s">
        <v>353</v>
      </c>
      <c r="E660" s="274" t="s">
        <v>61</v>
      </c>
      <c r="F660" s="274">
        <v>3</v>
      </c>
      <c r="G660" s="274" t="s">
        <v>269</v>
      </c>
      <c r="H660" s="274" t="s">
        <v>28</v>
      </c>
      <c r="I660" s="274" t="s">
        <v>1078</v>
      </c>
      <c r="J660" s="274" t="s">
        <v>928</v>
      </c>
      <c r="K660" s="274" t="s">
        <v>1079</v>
      </c>
      <c r="L660" s="274">
        <v>25</v>
      </c>
      <c r="M660" s="274" t="s">
        <v>1366</v>
      </c>
      <c r="N660" s="274">
        <v>1050</v>
      </c>
      <c r="O660" s="274">
        <v>1050</v>
      </c>
      <c r="P660" s="274">
        <v>6000</v>
      </c>
      <c r="Q660" s="274">
        <v>1</v>
      </c>
      <c r="R660" s="274">
        <v>22</v>
      </c>
      <c r="S660" s="274" t="s">
        <v>354</v>
      </c>
      <c r="T660" s="274" t="s">
        <v>1886</v>
      </c>
      <c r="U660" s="274" t="s">
        <v>1815</v>
      </c>
      <c r="V660" s="274" t="s">
        <v>428</v>
      </c>
      <c r="W660" s="274" t="s">
        <v>928</v>
      </c>
      <c r="X660" s="274" t="s">
        <v>928</v>
      </c>
      <c r="Y660" s="143"/>
    </row>
    <row r="661" spans="1:25" s="239" customFormat="1" ht="13.15" customHeight="1" x14ac:dyDescent="0.15">
      <c r="A661" s="274">
        <v>3737317</v>
      </c>
      <c r="B661" s="274" t="s">
        <v>1364</v>
      </c>
      <c r="C661" s="274" t="s">
        <v>1808</v>
      </c>
      <c r="D661" s="274" t="s">
        <v>353</v>
      </c>
      <c r="E661" s="274" t="s">
        <v>61</v>
      </c>
      <c r="F661" s="274">
        <v>3</v>
      </c>
      <c r="G661" s="274" t="s">
        <v>269</v>
      </c>
      <c r="H661" s="274" t="s">
        <v>28</v>
      </c>
      <c r="I661" s="274" t="s">
        <v>1078</v>
      </c>
      <c r="J661" s="274" t="s">
        <v>928</v>
      </c>
      <c r="K661" s="274" t="s">
        <v>1079</v>
      </c>
      <c r="L661" s="274">
        <v>25</v>
      </c>
      <c r="M661" s="274" t="s">
        <v>1366</v>
      </c>
      <c r="N661" s="274">
        <v>1050</v>
      </c>
      <c r="O661" s="274">
        <v>1050</v>
      </c>
      <c r="P661" s="274">
        <v>6000</v>
      </c>
      <c r="Q661" s="274">
        <v>1</v>
      </c>
      <c r="R661" s="274">
        <v>2</v>
      </c>
      <c r="S661" s="274" t="s">
        <v>354</v>
      </c>
      <c r="T661" s="274" t="s">
        <v>1886</v>
      </c>
      <c r="U661" s="274" t="s">
        <v>1815</v>
      </c>
      <c r="V661" s="274" t="s">
        <v>428</v>
      </c>
      <c r="W661" s="274" t="s">
        <v>928</v>
      </c>
      <c r="X661" s="274" t="s">
        <v>928</v>
      </c>
      <c r="Y661" s="143"/>
    </row>
    <row r="662" spans="1:25" s="239" customFormat="1" ht="13.15" customHeight="1" x14ac:dyDescent="0.15">
      <c r="A662" s="274">
        <v>3737453</v>
      </c>
      <c r="B662" s="274" t="s">
        <v>351</v>
      </c>
      <c r="C662" s="274" t="s">
        <v>1806</v>
      </c>
      <c r="D662" s="274" t="s">
        <v>353</v>
      </c>
      <c r="E662" s="274" t="s">
        <v>116</v>
      </c>
      <c r="F662" s="274">
        <v>3</v>
      </c>
      <c r="G662" s="274" t="s">
        <v>19</v>
      </c>
      <c r="H662" s="274" t="s">
        <v>28</v>
      </c>
      <c r="I662" s="274" t="s">
        <v>205</v>
      </c>
      <c r="J662" s="274" t="s">
        <v>928</v>
      </c>
      <c r="K662" s="274" t="s">
        <v>233</v>
      </c>
      <c r="L662" s="274">
        <v>50</v>
      </c>
      <c r="M662" s="274" t="s">
        <v>234</v>
      </c>
      <c r="N662" s="274">
        <v>1120</v>
      </c>
      <c r="O662" s="274">
        <v>1120</v>
      </c>
      <c r="P662" s="274">
        <v>4000</v>
      </c>
      <c r="Q662" s="274">
        <v>2</v>
      </c>
      <c r="R662" s="274">
        <v>4</v>
      </c>
      <c r="S662" s="274" t="s">
        <v>354</v>
      </c>
      <c r="T662" s="274" t="s">
        <v>1888</v>
      </c>
      <c r="U662" s="274" t="s">
        <v>1818</v>
      </c>
      <c r="V662" s="274" t="s">
        <v>355</v>
      </c>
      <c r="W662" s="274" t="s">
        <v>928</v>
      </c>
      <c r="X662" s="274" t="s">
        <v>928</v>
      </c>
      <c r="Y662" s="143"/>
    </row>
    <row r="663" spans="1:25" s="239" customFormat="1" ht="13.15" customHeight="1" x14ac:dyDescent="0.15">
      <c r="A663" s="274">
        <v>3741600</v>
      </c>
      <c r="B663" s="274" t="s">
        <v>351</v>
      </c>
      <c r="C663" s="274" t="s">
        <v>1808</v>
      </c>
      <c r="D663" s="274" t="s">
        <v>353</v>
      </c>
      <c r="E663" s="274" t="s">
        <v>61</v>
      </c>
      <c r="F663" s="274">
        <v>3</v>
      </c>
      <c r="G663" s="274" t="s">
        <v>19</v>
      </c>
      <c r="H663" s="274" t="s">
        <v>20</v>
      </c>
      <c r="I663" s="274" t="s">
        <v>205</v>
      </c>
      <c r="J663" s="274" t="s">
        <v>928</v>
      </c>
      <c r="K663" s="274" t="s">
        <v>242</v>
      </c>
      <c r="L663" s="274">
        <v>50</v>
      </c>
      <c r="M663" s="274" t="s">
        <v>243</v>
      </c>
      <c r="N663" s="274">
        <v>1255</v>
      </c>
      <c r="O663" s="274">
        <v>1250</v>
      </c>
      <c r="P663" s="274">
        <v>2000</v>
      </c>
      <c r="Q663" s="274">
        <v>2</v>
      </c>
      <c r="R663" s="274">
        <v>21</v>
      </c>
      <c r="S663" s="274" t="s">
        <v>354</v>
      </c>
      <c r="T663" s="274" t="s">
        <v>1951</v>
      </c>
      <c r="U663" s="274" t="s">
        <v>1954</v>
      </c>
      <c r="V663" s="274" t="s">
        <v>355</v>
      </c>
      <c r="W663" s="339"/>
      <c r="X663" s="339"/>
      <c r="Y663" s="143"/>
    </row>
    <row r="664" spans="1:25" s="239" customFormat="1" ht="13.15" customHeight="1" x14ac:dyDescent="0.15">
      <c r="A664" s="274">
        <v>3741601</v>
      </c>
      <c r="B664" s="274" t="s">
        <v>351</v>
      </c>
      <c r="C664" s="274" t="s">
        <v>1806</v>
      </c>
      <c r="D664" s="274" t="s">
        <v>353</v>
      </c>
      <c r="E664" s="274" t="s">
        <v>116</v>
      </c>
      <c r="F664" s="274">
        <v>3</v>
      </c>
      <c r="G664" s="274" t="s">
        <v>19</v>
      </c>
      <c r="H664" s="274" t="s">
        <v>20</v>
      </c>
      <c r="I664" s="274" t="s">
        <v>205</v>
      </c>
      <c r="J664" s="274" t="s">
        <v>928</v>
      </c>
      <c r="K664" s="274" t="s">
        <v>212</v>
      </c>
      <c r="L664" s="274">
        <v>25</v>
      </c>
      <c r="M664" s="274" t="s">
        <v>213</v>
      </c>
      <c r="N664" s="274">
        <v>1000</v>
      </c>
      <c r="O664" s="274">
        <v>1000</v>
      </c>
      <c r="P664" s="274">
        <v>4000</v>
      </c>
      <c r="Q664" s="274">
        <v>2</v>
      </c>
      <c r="R664" s="274">
        <v>3</v>
      </c>
      <c r="S664" s="274" t="s">
        <v>354</v>
      </c>
      <c r="T664" s="274" t="s">
        <v>1951</v>
      </c>
      <c r="U664" s="274" t="s">
        <v>1958</v>
      </c>
      <c r="V664" s="274" t="s">
        <v>355</v>
      </c>
      <c r="W664" s="339"/>
      <c r="X664" s="339"/>
      <c r="Y664" s="143"/>
    </row>
    <row r="665" spans="1:25" s="239" customFormat="1" ht="13.15" customHeight="1" x14ac:dyDescent="0.15">
      <c r="A665" s="274">
        <v>3741602</v>
      </c>
      <c r="B665" s="274" t="s">
        <v>351</v>
      </c>
      <c r="C665" s="274" t="s">
        <v>1806</v>
      </c>
      <c r="D665" s="274" t="s">
        <v>353</v>
      </c>
      <c r="E665" s="274" t="s">
        <v>116</v>
      </c>
      <c r="F665" s="274">
        <v>3</v>
      </c>
      <c r="G665" s="274" t="s">
        <v>19</v>
      </c>
      <c r="H665" s="274" t="s">
        <v>20</v>
      </c>
      <c r="I665" s="274" t="s">
        <v>205</v>
      </c>
      <c r="J665" s="274" t="s">
        <v>928</v>
      </c>
      <c r="K665" s="274" t="s">
        <v>212</v>
      </c>
      <c r="L665" s="274">
        <v>25</v>
      </c>
      <c r="M665" s="274" t="s">
        <v>213</v>
      </c>
      <c r="N665" s="274">
        <v>1120</v>
      </c>
      <c r="O665" s="274">
        <v>1120</v>
      </c>
      <c r="P665" s="274">
        <v>4000</v>
      </c>
      <c r="Q665" s="274">
        <v>2</v>
      </c>
      <c r="R665" s="274">
        <v>6</v>
      </c>
      <c r="S665" s="274" t="s">
        <v>354</v>
      </c>
      <c r="T665" s="274" t="s">
        <v>1951</v>
      </c>
      <c r="U665" s="274" t="s">
        <v>1958</v>
      </c>
      <c r="V665" s="274" t="s">
        <v>355</v>
      </c>
      <c r="W665" s="339"/>
      <c r="X665" s="339"/>
      <c r="Y665" s="143"/>
    </row>
    <row r="666" spans="1:25" s="239" customFormat="1" ht="13.15" customHeight="1" x14ac:dyDescent="0.15">
      <c r="A666" s="274">
        <v>3741603</v>
      </c>
      <c r="B666" s="274" t="s">
        <v>351</v>
      </c>
      <c r="C666" s="274" t="s">
        <v>1806</v>
      </c>
      <c r="D666" s="274" t="s">
        <v>353</v>
      </c>
      <c r="E666" s="274" t="s">
        <v>116</v>
      </c>
      <c r="F666" s="274">
        <v>3</v>
      </c>
      <c r="G666" s="274" t="s">
        <v>19</v>
      </c>
      <c r="H666" s="274" t="s">
        <v>20</v>
      </c>
      <c r="I666" s="274" t="s">
        <v>205</v>
      </c>
      <c r="J666" s="274" t="s">
        <v>928</v>
      </c>
      <c r="K666" s="274" t="s">
        <v>212</v>
      </c>
      <c r="L666" s="274">
        <v>50</v>
      </c>
      <c r="M666" s="274" t="s">
        <v>213</v>
      </c>
      <c r="N666" s="274">
        <v>1000</v>
      </c>
      <c r="O666" s="274">
        <v>1000</v>
      </c>
      <c r="P666" s="274">
        <v>4000</v>
      </c>
      <c r="Q666" s="274">
        <v>2</v>
      </c>
      <c r="R666" s="274">
        <v>3</v>
      </c>
      <c r="S666" s="274" t="s">
        <v>354</v>
      </c>
      <c r="T666" s="274" t="s">
        <v>1951</v>
      </c>
      <c r="U666" s="274" t="s">
        <v>1959</v>
      </c>
      <c r="V666" s="274" t="s">
        <v>355</v>
      </c>
      <c r="W666" s="339"/>
      <c r="X666" s="339"/>
      <c r="Y666" s="143"/>
    </row>
    <row r="667" spans="1:25" s="239" customFormat="1" ht="13.15" customHeight="1" x14ac:dyDescent="0.15">
      <c r="A667" s="274">
        <v>3741604</v>
      </c>
      <c r="B667" s="274" t="s">
        <v>351</v>
      </c>
      <c r="C667" s="274" t="s">
        <v>1806</v>
      </c>
      <c r="D667" s="274" t="s">
        <v>353</v>
      </c>
      <c r="E667" s="274" t="s">
        <v>116</v>
      </c>
      <c r="F667" s="274">
        <v>3</v>
      </c>
      <c r="G667" s="274" t="s">
        <v>19</v>
      </c>
      <c r="H667" s="274" t="s">
        <v>20</v>
      </c>
      <c r="I667" s="274" t="s">
        <v>205</v>
      </c>
      <c r="J667" s="274" t="s">
        <v>928</v>
      </c>
      <c r="K667" s="274" t="s">
        <v>212</v>
      </c>
      <c r="L667" s="274">
        <v>50</v>
      </c>
      <c r="M667" s="274" t="s">
        <v>213</v>
      </c>
      <c r="N667" s="274">
        <v>1120</v>
      </c>
      <c r="O667" s="274">
        <v>1120</v>
      </c>
      <c r="P667" s="274">
        <v>4000</v>
      </c>
      <c r="Q667" s="274">
        <v>2</v>
      </c>
      <c r="R667" s="274">
        <v>36</v>
      </c>
      <c r="S667" s="274" t="s">
        <v>354</v>
      </c>
      <c r="T667" s="274" t="s">
        <v>1951</v>
      </c>
      <c r="U667" s="274" t="s">
        <v>1960</v>
      </c>
      <c r="V667" s="274" t="s">
        <v>355</v>
      </c>
      <c r="W667" s="339"/>
      <c r="X667" s="339"/>
      <c r="Y667" s="143"/>
    </row>
    <row r="668" spans="1:25" s="239" customFormat="1" ht="13.15" customHeight="1" x14ac:dyDescent="0.15">
      <c r="A668" s="274">
        <v>3741605</v>
      </c>
      <c r="B668" s="274" t="s">
        <v>351</v>
      </c>
      <c r="C668" s="274" t="s">
        <v>1806</v>
      </c>
      <c r="D668" s="274" t="s">
        <v>353</v>
      </c>
      <c r="E668" s="274" t="s">
        <v>116</v>
      </c>
      <c r="F668" s="274">
        <v>3</v>
      </c>
      <c r="G668" s="274" t="s">
        <v>19</v>
      </c>
      <c r="H668" s="274" t="s">
        <v>20</v>
      </c>
      <c r="I668" s="274" t="s">
        <v>205</v>
      </c>
      <c r="J668" s="274" t="s">
        <v>928</v>
      </c>
      <c r="K668" s="274" t="s">
        <v>211</v>
      </c>
      <c r="L668" s="274">
        <v>38</v>
      </c>
      <c r="M668" s="274" t="s">
        <v>370</v>
      </c>
      <c r="N668" s="274">
        <v>1005</v>
      </c>
      <c r="O668" s="274">
        <v>1000</v>
      </c>
      <c r="P668" s="274">
        <v>4100</v>
      </c>
      <c r="Q668" s="274">
        <v>2</v>
      </c>
      <c r="R668" s="274">
        <v>3</v>
      </c>
      <c r="S668" s="274" t="s">
        <v>354</v>
      </c>
      <c r="T668" s="274" t="s">
        <v>1951</v>
      </c>
      <c r="U668" s="274" t="s">
        <v>1958</v>
      </c>
      <c r="V668" s="274" t="s">
        <v>355</v>
      </c>
      <c r="W668" s="339"/>
      <c r="X668" s="339"/>
      <c r="Y668" s="143"/>
    </row>
    <row r="669" spans="1:25" s="239" customFormat="1" ht="13.15" customHeight="1" x14ac:dyDescent="0.15">
      <c r="A669" s="274">
        <v>3741606</v>
      </c>
      <c r="B669" s="274" t="s">
        <v>351</v>
      </c>
      <c r="C669" s="274" t="s">
        <v>1806</v>
      </c>
      <c r="D669" s="274" t="s">
        <v>353</v>
      </c>
      <c r="E669" s="274" t="s">
        <v>116</v>
      </c>
      <c r="F669" s="274">
        <v>3</v>
      </c>
      <c r="G669" s="274" t="s">
        <v>19</v>
      </c>
      <c r="H669" s="274" t="s">
        <v>20</v>
      </c>
      <c r="I669" s="274" t="s">
        <v>205</v>
      </c>
      <c r="J669" s="274" t="s">
        <v>928</v>
      </c>
      <c r="K669" s="274" t="s">
        <v>211</v>
      </c>
      <c r="L669" s="274">
        <v>50</v>
      </c>
      <c r="M669" s="274" t="s">
        <v>370</v>
      </c>
      <c r="N669" s="274">
        <v>1050</v>
      </c>
      <c r="O669" s="274">
        <v>1050</v>
      </c>
      <c r="P669" s="274">
        <v>4100</v>
      </c>
      <c r="Q669" s="274">
        <v>2</v>
      </c>
      <c r="R669" s="274">
        <v>6</v>
      </c>
      <c r="S669" s="274" t="s">
        <v>354</v>
      </c>
      <c r="T669" s="274" t="s">
        <v>1951</v>
      </c>
      <c r="U669" s="274" t="s">
        <v>1958</v>
      </c>
      <c r="V669" s="274" t="s">
        <v>355</v>
      </c>
      <c r="W669" s="339"/>
      <c r="X669" s="339"/>
      <c r="Y669" s="143"/>
    </row>
    <row r="670" spans="1:25" s="239" customFormat="1" ht="13.15" customHeight="1" x14ac:dyDescent="0.15">
      <c r="A670" s="274">
        <v>3741607</v>
      </c>
      <c r="B670" s="274" t="s">
        <v>351</v>
      </c>
      <c r="C670" s="274" t="s">
        <v>1806</v>
      </c>
      <c r="D670" s="274" t="s">
        <v>353</v>
      </c>
      <c r="E670" s="274" t="s">
        <v>116</v>
      </c>
      <c r="F670" s="274">
        <v>3</v>
      </c>
      <c r="G670" s="274" t="s">
        <v>19</v>
      </c>
      <c r="H670" s="274" t="s">
        <v>20</v>
      </c>
      <c r="I670" s="274" t="s">
        <v>205</v>
      </c>
      <c r="J670" s="274" t="s">
        <v>928</v>
      </c>
      <c r="K670" s="274" t="s">
        <v>211</v>
      </c>
      <c r="L670" s="274">
        <v>75</v>
      </c>
      <c r="M670" s="274" t="s">
        <v>370</v>
      </c>
      <c r="N670" s="274">
        <v>1050</v>
      </c>
      <c r="O670" s="274">
        <v>1050</v>
      </c>
      <c r="P670" s="274">
        <v>2000</v>
      </c>
      <c r="Q670" s="274">
        <v>2</v>
      </c>
      <c r="R670" s="274">
        <v>2</v>
      </c>
      <c r="S670" s="274" t="s">
        <v>354</v>
      </c>
      <c r="T670" s="274" t="s">
        <v>1951</v>
      </c>
      <c r="U670" s="274" t="s">
        <v>1958</v>
      </c>
      <c r="V670" s="274" t="s">
        <v>355</v>
      </c>
      <c r="W670" s="339"/>
      <c r="X670" s="339"/>
      <c r="Y670" s="143"/>
    </row>
    <row r="671" spans="1:25" s="239" customFormat="1" ht="13.15" customHeight="1" x14ac:dyDescent="0.15">
      <c r="A671" s="274">
        <v>3741608</v>
      </c>
      <c r="B671" s="274" t="s">
        <v>351</v>
      </c>
      <c r="C671" s="274" t="s">
        <v>1806</v>
      </c>
      <c r="D671" s="274" t="s">
        <v>353</v>
      </c>
      <c r="E671" s="274" t="s">
        <v>116</v>
      </c>
      <c r="F671" s="274">
        <v>3</v>
      </c>
      <c r="G671" s="274" t="s">
        <v>19</v>
      </c>
      <c r="H671" s="274" t="s">
        <v>20</v>
      </c>
      <c r="I671" s="274" t="s">
        <v>165</v>
      </c>
      <c r="J671" s="274" t="s">
        <v>928</v>
      </c>
      <c r="K671" s="274" t="s">
        <v>185</v>
      </c>
      <c r="L671" s="274">
        <v>50</v>
      </c>
      <c r="M671" s="274" t="s">
        <v>186</v>
      </c>
      <c r="N671" s="274">
        <v>1005</v>
      </c>
      <c r="O671" s="274">
        <v>1000</v>
      </c>
      <c r="P671" s="274">
        <v>4100</v>
      </c>
      <c r="Q671" s="274">
        <v>2</v>
      </c>
      <c r="R671" s="274">
        <v>3</v>
      </c>
      <c r="S671" s="274" t="s">
        <v>354</v>
      </c>
      <c r="T671" s="274" t="s">
        <v>1951</v>
      </c>
      <c r="U671" s="274" t="s">
        <v>1958</v>
      </c>
      <c r="V671" s="274" t="s">
        <v>355</v>
      </c>
      <c r="W671" s="339"/>
      <c r="X671" s="339"/>
      <c r="Y671" s="143"/>
    </row>
    <row r="672" spans="1:25" s="239" customFormat="1" ht="13.15" customHeight="1" x14ac:dyDescent="0.15">
      <c r="A672" s="274">
        <v>3741610</v>
      </c>
      <c r="B672" s="274" t="s">
        <v>351</v>
      </c>
      <c r="C672" s="274" t="s">
        <v>1806</v>
      </c>
      <c r="D672" s="274" t="s">
        <v>353</v>
      </c>
      <c r="E672" s="274" t="s">
        <v>116</v>
      </c>
      <c r="F672" s="274">
        <v>3</v>
      </c>
      <c r="G672" s="274" t="s">
        <v>19</v>
      </c>
      <c r="H672" s="274" t="s">
        <v>20</v>
      </c>
      <c r="I672" s="274" t="s">
        <v>205</v>
      </c>
      <c r="J672" s="274" t="s">
        <v>928</v>
      </c>
      <c r="K672" s="274" t="s">
        <v>216</v>
      </c>
      <c r="L672" s="274">
        <v>25</v>
      </c>
      <c r="M672" s="274" t="s">
        <v>217</v>
      </c>
      <c r="N672" s="274">
        <v>1005</v>
      </c>
      <c r="O672" s="274">
        <v>1000</v>
      </c>
      <c r="P672" s="274">
        <v>4000</v>
      </c>
      <c r="Q672" s="274">
        <v>2</v>
      </c>
      <c r="R672" s="274">
        <v>6</v>
      </c>
      <c r="S672" s="274" t="s">
        <v>354</v>
      </c>
      <c r="T672" s="274" t="s">
        <v>1951</v>
      </c>
      <c r="U672" s="274" t="s">
        <v>1958</v>
      </c>
      <c r="V672" s="274" t="s">
        <v>355</v>
      </c>
      <c r="W672" s="339"/>
      <c r="X672" s="339"/>
      <c r="Y672" s="143"/>
    </row>
    <row r="673" spans="1:28" s="239" customFormat="1" ht="13.15" customHeight="1" x14ac:dyDescent="0.15">
      <c r="A673" s="274">
        <v>3741611</v>
      </c>
      <c r="B673" s="274" t="s">
        <v>351</v>
      </c>
      <c r="C673" s="274" t="s">
        <v>1806</v>
      </c>
      <c r="D673" s="274" t="s">
        <v>353</v>
      </c>
      <c r="E673" s="274" t="s">
        <v>116</v>
      </c>
      <c r="F673" s="274">
        <v>3</v>
      </c>
      <c r="G673" s="274" t="s">
        <v>19</v>
      </c>
      <c r="H673" s="274" t="s">
        <v>20</v>
      </c>
      <c r="I673" s="274" t="s">
        <v>205</v>
      </c>
      <c r="J673" s="274" t="s">
        <v>928</v>
      </c>
      <c r="K673" s="274" t="s">
        <v>216</v>
      </c>
      <c r="L673" s="274">
        <v>25</v>
      </c>
      <c r="M673" s="274" t="s">
        <v>217</v>
      </c>
      <c r="N673" s="274">
        <v>1125</v>
      </c>
      <c r="O673" s="274">
        <v>1120</v>
      </c>
      <c r="P673" s="274">
        <v>4000</v>
      </c>
      <c r="Q673" s="274">
        <v>2</v>
      </c>
      <c r="R673" s="274">
        <v>3</v>
      </c>
      <c r="S673" s="274" t="s">
        <v>354</v>
      </c>
      <c r="T673" s="274" t="s">
        <v>1951</v>
      </c>
      <c r="U673" s="274" t="s">
        <v>1959</v>
      </c>
      <c r="V673" s="274" t="s">
        <v>355</v>
      </c>
      <c r="W673" s="339"/>
      <c r="X673" s="339"/>
      <c r="Y673" s="143"/>
    </row>
    <row r="674" spans="1:28" s="239" customFormat="1" ht="13.15" customHeight="1" x14ac:dyDescent="0.15">
      <c r="A674" s="274">
        <v>3741612</v>
      </c>
      <c r="B674" s="274" t="s">
        <v>351</v>
      </c>
      <c r="C674" s="274" t="s">
        <v>1806</v>
      </c>
      <c r="D674" s="274" t="s">
        <v>353</v>
      </c>
      <c r="E674" s="274" t="s">
        <v>116</v>
      </c>
      <c r="F674" s="274">
        <v>3</v>
      </c>
      <c r="G674" s="274" t="s">
        <v>19</v>
      </c>
      <c r="H674" s="274" t="s">
        <v>20</v>
      </c>
      <c r="I674" s="274" t="s">
        <v>205</v>
      </c>
      <c r="J674" s="274" t="s">
        <v>928</v>
      </c>
      <c r="K674" s="274" t="s">
        <v>216</v>
      </c>
      <c r="L674" s="274">
        <v>50</v>
      </c>
      <c r="M674" s="274" t="s">
        <v>217</v>
      </c>
      <c r="N674" s="274">
        <v>1120</v>
      </c>
      <c r="O674" s="274">
        <v>1120</v>
      </c>
      <c r="P674" s="274">
        <v>5000</v>
      </c>
      <c r="Q674" s="274">
        <v>2</v>
      </c>
      <c r="R674" s="274">
        <v>24</v>
      </c>
      <c r="S674" s="274" t="s">
        <v>354</v>
      </c>
      <c r="T674" s="274" t="s">
        <v>1951</v>
      </c>
      <c r="U674" s="274" t="s">
        <v>1961</v>
      </c>
      <c r="V674" s="274" t="s">
        <v>355</v>
      </c>
      <c r="W674" s="339"/>
      <c r="X674" s="339"/>
      <c r="Y674" s="143"/>
    </row>
    <row r="675" spans="1:28" s="239" customFormat="1" ht="13.15" customHeight="1" x14ac:dyDescent="0.15">
      <c r="A675" s="274">
        <v>3741613</v>
      </c>
      <c r="B675" s="274" t="s">
        <v>351</v>
      </c>
      <c r="C675" s="274" t="s">
        <v>1806</v>
      </c>
      <c r="D675" s="274" t="s">
        <v>353</v>
      </c>
      <c r="E675" s="274" t="s">
        <v>116</v>
      </c>
      <c r="F675" s="274">
        <v>3</v>
      </c>
      <c r="G675" s="274" t="s">
        <v>19</v>
      </c>
      <c r="H675" s="274" t="s">
        <v>20</v>
      </c>
      <c r="I675" s="274" t="s">
        <v>205</v>
      </c>
      <c r="J675" s="274" t="s">
        <v>928</v>
      </c>
      <c r="K675" s="274" t="s">
        <v>218</v>
      </c>
      <c r="L675" s="274">
        <v>25</v>
      </c>
      <c r="M675" s="274" t="s">
        <v>219</v>
      </c>
      <c r="N675" s="274">
        <v>1005</v>
      </c>
      <c r="O675" s="274">
        <v>1000</v>
      </c>
      <c r="P675" s="274">
        <v>4000</v>
      </c>
      <c r="Q675" s="274">
        <v>2</v>
      </c>
      <c r="R675" s="274">
        <v>4</v>
      </c>
      <c r="S675" s="274" t="s">
        <v>354</v>
      </c>
      <c r="T675" s="274" t="s">
        <v>1951</v>
      </c>
      <c r="U675" s="274" t="s">
        <v>1958</v>
      </c>
      <c r="V675" s="274" t="s">
        <v>355</v>
      </c>
      <c r="W675" s="339"/>
      <c r="X675" s="339"/>
      <c r="Y675" s="143"/>
    </row>
    <row r="676" spans="1:28" s="239" customFormat="1" ht="13.15" customHeight="1" x14ac:dyDescent="0.15">
      <c r="A676" s="274">
        <v>3741614</v>
      </c>
      <c r="B676" s="274" t="s">
        <v>351</v>
      </c>
      <c r="C676" s="274" t="s">
        <v>1806</v>
      </c>
      <c r="D676" s="274" t="s">
        <v>353</v>
      </c>
      <c r="E676" s="274" t="s">
        <v>116</v>
      </c>
      <c r="F676" s="274">
        <v>3</v>
      </c>
      <c r="G676" s="274" t="s">
        <v>19</v>
      </c>
      <c r="H676" s="274" t="s">
        <v>20</v>
      </c>
      <c r="I676" s="274" t="s">
        <v>205</v>
      </c>
      <c r="J676" s="274" t="s">
        <v>928</v>
      </c>
      <c r="K676" s="274" t="s">
        <v>218</v>
      </c>
      <c r="L676" s="274">
        <v>50</v>
      </c>
      <c r="M676" s="274" t="s">
        <v>219</v>
      </c>
      <c r="N676" s="274">
        <v>1000</v>
      </c>
      <c r="O676" s="274">
        <v>1000</v>
      </c>
      <c r="P676" s="274">
        <v>4000</v>
      </c>
      <c r="Q676" s="274">
        <v>2</v>
      </c>
      <c r="R676" s="274">
        <v>24</v>
      </c>
      <c r="S676" s="274" t="s">
        <v>354</v>
      </c>
      <c r="T676" s="274" t="s">
        <v>1951</v>
      </c>
      <c r="U676" s="274" t="s">
        <v>1958</v>
      </c>
      <c r="V676" s="274" t="s">
        <v>355</v>
      </c>
      <c r="W676" s="339"/>
      <c r="X676" s="339"/>
      <c r="Y676" s="143"/>
    </row>
    <row r="677" spans="1:28" s="239" customFormat="1" ht="13.15" customHeight="1" x14ac:dyDescent="0.15">
      <c r="A677" s="274">
        <v>3741615</v>
      </c>
      <c r="B677" s="274" t="s">
        <v>351</v>
      </c>
      <c r="C677" s="274" t="s">
        <v>1806</v>
      </c>
      <c r="D677" s="274" t="s">
        <v>353</v>
      </c>
      <c r="E677" s="274" t="s">
        <v>116</v>
      </c>
      <c r="F677" s="274" t="s">
        <v>158</v>
      </c>
      <c r="G677" s="274" t="s">
        <v>19</v>
      </c>
      <c r="H677" s="274" t="s">
        <v>20</v>
      </c>
      <c r="I677" s="274" t="s">
        <v>165</v>
      </c>
      <c r="J677" s="274" t="s">
        <v>928</v>
      </c>
      <c r="K677" s="274" t="s">
        <v>192</v>
      </c>
      <c r="L677" s="274">
        <v>50</v>
      </c>
      <c r="M677" s="274" t="s">
        <v>193</v>
      </c>
      <c r="N677" s="274">
        <v>1005</v>
      </c>
      <c r="O677" s="274">
        <v>1000</v>
      </c>
      <c r="P677" s="274">
        <v>4000</v>
      </c>
      <c r="Q677" s="274">
        <v>2</v>
      </c>
      <c r="R677" s="274">
        <v>6</v>
      </c>
      <c r="S677" s="274" t="s">
        <v>354</v>
      </c>
      <c r="T677" s="274" t="s">
        <v>1951</v>
      </c>
      <c r="U677" s="274" t="s">
        <v>1962</v>
      </c>
      <c r="V677" s="274" t="s">
        <v>355</v>
      </c>
      <c r="W677" s="339"/>
      <c r="X677" s="339"/>
      <c r="Y677" s="143"/>
    </row>
    <row r="678" spans="1:28" s="239" customFormat="1" ht="13.15" customHeight="1" x14ac:dyDescent="0.15">
      <c r="A678" s="274">
        <v>3741616</v>
      </c>
      <c r="B678" s="274" t="s">
        <v>351</v>
      </c>
      <c r="C678" s="274" t="s">
        <v>1806</v>
      </c>
      <c r="D678" s="274" t="s">
        <v>353</v>
      </c>
      <c r="E678" s="274" t="s">
        <v>116</v>
      </c>
      <c r="F678" s="274" t="s">
        <v>158</v>
      </c>
      <c r="G678" s="274" t="s">
        <v>19</v>
      </c>
      <c r="H678" s="274" t="s">
        <v>20</v>
      </c>
      <c r="I678" s="274" t="s">
        <v>165</v>
      </c>
      <c r="J678" s="274" t="s">
        <v>928</v>
      </c>
      <c r="K678" s="274" t="s">
        <v>195</v>
      </c>
      <c r="L678" s="274">
        <v>50</v>
      </c>
      <c r="M678" s="274" t="s">
        <v>196</v>
      </c>
      <c r="N678" s="274">
        <v>1005</v>
      </c>
      <c r="O678" s="274">
        <v>1000</v>
      </c>
      <c r="P678" s="274">
        <v>4000</v>
      </c>
      <c r="Q678" s="274">
        <v>2</v>
      </c>
      <c r="R678" s="274">
        <v>8</v>
      </c>
      <c r="S678" s="274" t="s">
        <v>354</v>
      </c>
      <c r="T678" s="274" t="s">
        <v>1951</v>
      </c>
      <c r="U678" s="274" t="s">
        <v>1962</v>
      </c>
      <c r="V678" s="274" t="s">
        <v>355</v>
      </c>
      <c r="W678" s="339"/>
      <c r="X678" s="339"/>
      <c r="Y678" s="143"/>
    </row>
    <row r="679" spans="1:28" s="239" customFormat="1" ht="13.15" customHeight="1" x14ac:dyDescent="0.15">
      <c r="A679" s="274">
        <v>3741617</v>
      </c>
      <c r="B679" s="274" t="s">
        <v>351</v>
      </c>
      <c r="C679" s="274" t="s">
        <v>1806</v>
      </c>
      <c r="D679" s="274" t="s">
        <v>353</v>
      </c>
      <c r="E679" s="274" t="s">
        <v>116</v>
      </c>
      <c r="F679" s="274" t="s">
        <v>158</v>
      </c>
      <c r="G679" s="274" t="s">
        <v>19</v>
      </c>
      <c r="H679" s="274" t="s">
        <v>28</v>
      </c>
      <c r="I679" s="274" t="s">
        <v>165</v>
      </c>
      <c r="J679" s="274" t="s">
        <v>928</v>
      </c>
      <c r="K679" s="274" t="s">
        <v>195</v>
      </c>
      <c r="L679" s="274">
        <v>50</v>
      </c>
      <c r="M679" s="274" t="s">
        <v>1963</v>
      </c>
      <c r="N679" s="274">
        <v>1005</v>
      </c>
      <c r="O679" s="274">
        <v>1000</v>
      </c>
      <c r="P679" s="274">
        <v>4000</v>
      </c>
      <c r="Q679" s="274">
        <v>2</v>
      </c>
      <c r="R679" s="274">
        <v>1</v>
      </c>
      <c r="S679" s="274" t="s">
        <v>354</v>
      </c>
      <c r="T679" s="274" t="s">
        <v>1951</v>
      </c>
      <c r="U679" s="274" t="s">
        <v>1962</v>
      </c>
      <c r="V679" s="274" t="s">
        <v>355</v>
      </c>
      <c r="W679" s="339"/>
      <c r="X679" s="339"/>
      <c r="Y679" s="143"/>
    </row>
    <row r="680" spans="1:28" s="239" customFormat="1" ht="13.15" customHeight="1" x14ac:dyDescent="0.15">
      <c r="A680" s="274">
        <v>3741618</v>
      </c>
      <c r="B680" s="274" t="s">
        <v>351</v>
      </c>
      <c r="C680" s="274" t="s">
        <v>1806</v>
      </c>
      <c r="D680" s="274" t="s">
        <v>353</v>
      </c>
      <c r="E680" s="274" t="s">
        <v>116</v>
      </c>
      <c r="F680" s="274" t="s">
        <v>158</v>
      </c>
      <c r="G680" s="274" t="s">
        <v>19</v>
      </c>
      <c r="H680" s="274" t="s">
        <v>20</v>
      </c>
      <c r="I680" s="274" t="s">
        <v>165</v>
      </c>
      <c r="J680" s="274" t="s">
        <v>928</v>
      </c>
      <c r="K680" s="274" t="s">
        <v>197</v>
      </c>
      <c r="L680" s="274">
        <v>50</v>
      </c>
      <c r="M680" s="274" t="s">
        <v>198</v>
      </c>
      <c r="N680" s="274">
        <v>1005</v>
      </c>
      <c r="O680" s="274">
        <v>1000</v>
      </c>
      <c r="P680" s="274">
        <v>4100</v>
      </c>
      <c r="Q680" s="274">
        <v>2</v>
      </c>
      <c r="R680" s="274">
        <v>6</v>
      </c>
      <c r="S680" s="274" t="s">
        <v>354</v>
      </c>
      <c r="T680" s="274" t="s">
        <v>1951</v>
      </c>
      <c r="U680" s="274" t="s">
        <v>1962</v>
      </c>
      <c r="V680" s="274" t="s">
        <v>355</v>
      </c>
      <c r="W680" s="339"/>
      <c r="X680" s="339"/>
      <c r="Y680" s="143"/>
    </row>
    <row r="681" spans="1:28" s="239" customFormat="1" ht="13.15" customHeight="1" x14ac:dyDescent="0.15">
      <c r="A681" s="274">
        <v>3741619</v>
      </c>
      <c r="B681" s="274" t="s">
        <v>351</v>
      </c>
      <c r="C681" s="274" t="s">
        <v>1806</v>
      </c>
      <c r="D681" s="274" t="s">
        <v>353</v>
      </c>
      <c r="E681" s="274" t="s">
        <v>116</v>
      </c>
      <c r="F681" s="274">
        <v>3</v>
      </c>
      <c r="G681" s="274" t="s">
        <v>19</v>
      </c>
      <c r="H681" s="274" t="s">
        <v>20</v>
      </c>
      <c r="I681" s="274" t="s">
        <v>165</v>
      </c>
      <c r="J681" s="274" t="s">
        <v>928</v>
      </c>
      <c r="K681" s="274" t="s">
        <v>200</v>
      </c>
      <c r="L681" s="274">
        <v>50</v>
      </c>
      <c r="M681" s="274" t="s">
        <v>201</v>
      </c>
      <c r="N681" s="274">
        <v>1005</v>
      </c>
      <c r="O681" s="274">
        <v>1000</v>
      </c>
      <c r="P681" s="274">
        <v>4100</v>
      </c>
      <c r="Q681" s="274">
        <v>2</v>
      </c>
      <c r="R681" s="274">
        <v>2</v>
      </c>
      <c r="S681" s="274" t="s">
        <v>354</v>
      </c>
      <c r="T681" s="274" t="s">
        <v>1951</v>
      </c>
      <c r="U681" s="274" t="s">
        <v>1962</v>
      </c>
      <c r="V681" s="274" t="s">
        <v>355</v>
      </c>
      <c r="W681" s="339"/>
      <c r="X681" s="339"/>
      <c r="Y681" s="143"/>
    </row>
    <row r="682" spans="1:28" s="239" customFormat="1" ht="13.15" customHeight="1" x14ac:dyDescent="0.15">
      <c r="A682" s="274">
        <v>3741621</v>
      </c>
      <c r="B682" s="274" t="s">
        <v>351</v>
      </c>
      <c r="C682" s="274" t="s">
        <v>1806</v>
      </c>
      <c r="D682" s="274" t="s">
        <v>353</v>
      </c>
      <c r="E682" s="274" t="s">
        <v>116</v>
      </c>
      <c r="F682" s="274">
        <v>3</v>
      </c>
      <c r="G682" s="274" t="s">
        <v>19</v>
      </c>
      <c r="H682" s="274" t="s">
        <v>20</v>
      </c>
      <c r="I682" s="274" t="s">
        <v>205</v>
      </c>
      <c r="J682" s="274" t="s">
        <v>928</v>
      </c>
      <c r="K682" s="274" t="s">
        <v>221</v>
      </c>
      <c r="L682" s="274">
        <v>25</v>
      </c>
      <c r="M682" s="274" t="s">
        <v>222</v>
      </c>
      <c r="N682" s="274">
        <v>1000</v>
      </c>
      <c r="O682" s="274">
        <v>1000</v>
      </c>
      <c r="P682" s="274">
        <v>6000</v>
      </c>
      <c r="Q682" s="274">
        <v>2</v>
      </c>
      <c r="R682" s="274">
        <v>3</v>
      </c>
      <c r="S682" s="274" t="s">
        <v>354</v>
      </c>
      <c r="T682" s="274" t="s">
        <v>1951</v>
      </c>
      <c r="U682" s="274" t="s">
        <v>1958</v>
      </c>
      <c r="V682" s="274" t="s">
        <v>355</v>
      </c>
      <c r="W682" s="339"/>
      <c r="X682" s="339"/>
      <c r="Y682" s="143"/>
    </row>
    <row r="683" spans="1:28" s="239" customFormat="1" ht="13.15" customHeight="1" x14ac:dyDescent="0.15">
      <c r="A683" s="274">
        <v>3741622</v>
      </c>
      <c r="B683" s="274" t="s">
        <v>351</v>
      </c>
      <c r="C683" s="274" t="s">
        <v>1806</v>
      </c>
      <c r="D683" s="274" t="s">
        <v>353</v>
      </c>
      <c r="E683" s="274" t="s">
        <v>116</v>
      </c>
      <c r="F683" s="274">
        <v>3</v>
      </c>
      <c r="G683" s="274" t="s">
        <v>19</v>
      </c>
      <c r="H683" s="274" t="s">
        <v>20</v>
      </c>
      <c r="I683" s="274" t="s">
        <v>205</v>
      </c>
      <c r="J683" s="274" t="s">
        <v>928</v>
      </c>
      <c r="K683" s="274" t="s">
        <v>221</v>
      </c>
      <c r="L683" s="274">
        <v>25</v>
      </c>
      <c r="M683" s="274" t="s">
        <v>222</v>
      </c>
      <c r="N683" s="274">
        <v>1100</v>
      </c>
      <c r="O683" s="274">
        <v>1100</v>
      </c>
      <c r="P683" s="274">
        <v>6000</v>
      </c>
      <c r="Q683" s="274">
        <v>2</v>
      </c>
      <c r="R683" s="274">
        <v>20</v>
      </c>
      <c r="S683" s="274" t="s">
        <v>354</v>
      </c>
      <c r="T683" s="274" t="s">
        <v>1951</v>
      </c>
      <c r="U683" s="274" t="s">
        <v>1958</v>
      </c>
      <c r="V683" s="274" t="s">
        <v>355</v>
      </c>
      <c r="W683" s="339"/>
      <c r="X683" s="339"/>
      <c r="Y683" s="143"/>
    </row>
    <row r="684" spans="1:28" s="239" customFormat="1" ht="13.15" customHeight="1" x14ac:dyDescent="0.15">
      <c r="A684" s="274">
        <v>3741623</v>
      </c>
      <c r="B684" s="274" t="s">
        <v>423</v>
      </c>
      <c r="C684" s="274" t="s">
        <v>1806</v>
      </c>
      <c r="D684" s="274" t="s">
        <v>353</v>
      </c>
      <c r="E684" s="274" t="s">
        <v>116</v>
      </c>
      <c r="F684" s="274">
        <v>3</v>
      </c>
      <c r="G684" s="274" t="s">
        <v>265</v>
      </c>
      <c r="H684" s="274" t="s">
        <v>20</v>
      </c>
      <c r="I684" s="274" t="s">
        <v>165</v>
      </c>
      <c r="J684" s="274" t="s">
        <v>928</v>
      </c>
      <c r="K684" s="274" t="s">
        <v>176</v>
      </c>
      <c r="L684" s="274">
        <v>50</v>
      </c>
      <c r="M684" s="274" t="s">
        <v>177</v>
      </c>
      <c r="N684" s="274">
        <v>1005</v>
      </c>
      <c r="O684" s="274">
        <v>1000</v>
      </c>
      <c r="P684" s="274">
        <v>4100</v>
      </c>
      <c r="Q684" s="274">
        <v>2</v>
      </c>
      <c r="R684" s="274">
        <v>9</v>
      </c>
      <c r="S684" s="274" t="s">
        <v>354</v>
      </c>
      <c r="T684" s="274" t="s">
        <v>1951</v>
      </c>
      <c r="U684" s="274" t="s">
        <v>1958</v>
      </c>
      <c r="V684" s="274" t="s">
        <v>355</v>
      </c>
      <c r="W684" s="339"/>
      <c r="X684" s="339"/>
      <c r="Y684" s="143"/>
    </row>
    <row r="685" spans="1:28" s="239" customFormat="1" ht="13.15" customHeight="1" x14ac:dyDescent="0.15">
      <c r="A685" s="274">
        <v>3741625</v>
      </c>
      <c r="B685" s="274" t="s">
        <v>351</v>
      </c>
      <c r="C685" s="274" t="s">
        <v>1806</v>
      </c>
      <c r="D685" s="274" t="s">
        <v>353</v>
      </c>
      <c r="E685" s="274" t="s">
        <v>116</v>
      </c>
      <c r="F685" s="274">
        <v>3</v>
      </c>
      <c r="G685" s="274" t="s">
        <v>19</v>
      </c>
      <c r="H685" s="274" t="s">
        <v>28</v>
      </c>
      <c r="I685" s="274" t="s">
        <v>205</v>
      </c>
      <c r="J685" s="274" t="s">
        <v>928</v>
      </c>
      <c r="K685" s="274" t="s">
        <v>233</v>
      </c>
      <c r="L685" s="274">
        <v>50</v>
      </c>
      <c r="M685" s="274" t="s">
        <v>234</v>
      </c>
      <c r="N685" s="274">
        <v>1120</v>
      </c>
      <c r="O685" s="274">
        <v>1120</v>
      </c>
      <c r="P685" s="274">
        <v>4000</v>
      </c>
      <c r="Q685" s="274">
        <v>2</v>
      </c>
      <c r="R685" s="274">
        <v>2</v>
      </c>
      <c r="S685" s="274" t="s">
        <v>354</v>
      </c>
      <c r="T685" s="274" t="s">
        <v>1951</v>
      </c>
      <c r="U685" s="274" t="s">
        <v>1964</v>
      </c>
      <c r="V685" s="274" t="s">
        <v>355</v>
      </c>
      <c r="W685" s="339"/>
      <c r="X685" s="339"/>
      <c r="Y685" s="143"/>
    </row>
    <row r="686" spans="1:28" s="239" customFormat="1" ht="13.15" customHeight="1" x14ac:dyDescent="0.15">
      <c r="A686" s="274">
        <v>3741626</v>
      </c>
      <c r="B686" s="274" t="s">
        <v>351</v>
      </c>
      <c r="C686" s="274" t="s">
        <v>1806</v>
      </c>
      <c r="D686" s="274" t="s">
        <v>353</v>
      </c>
      <c r="E686" s="274" t="s">
        <v>116</v>
      </c>
      <c r="F686" s="274">
        <v>3</v>
      </c>
      <c r="G686" s="274" t="s">
        <v>19</v>
      </c>
      <c r="H686" s="274" t="s">
        <v>28</v>
      </c>
      <c r="I686" s="274" t="s">
        <v>205</v>
      </c>
      <c r="J686" s="274" t="s">
        <v>928</v>
      </c>
      <c r="K686" s="274" t="s">
        <v>224</v>
      </c>
      <c r="L686" s="274">
        <v>50</v>
      </c>
      <c r="M686" s="274" t="s">
        <v>225</v>
      </c>
      <c r="N686" s="274">
        <v>1120</v>
      </c>
      <c r="O686" s="274">
        <v>1120</v>
      </c>
      <c r="P686" s="274">
        <v>5000</v>
      </c>
      <c r="Q686" s="274">
        <v>2</v>
      </c>
      <c r="R686" s="274">
        <v>2</v>
      </c>
      <c r="S686" s="274" t="s">
        <v>354</v>
      </c>
      <c r="T686" s="274" t="s">
        <v>1951</v>
      </c>
      <c r="U686" s="274" t="s">
        <v>1964</v>
      </c>
      <c r="V686" s="274" t="s">
        <v>355</v>
      </c>
      <c r="W686" s="339"/>
      <c r="X686" s="339"/>
      <c r="Y686" s="143"/>
    </row>
    <row r="687" spans="1:28" s="239" customFormat="1" ht="13.15" customHeight="1" x14ac:dyDescent="0.15">
      <c r="A687" s="274">
        <v>3741627</v>
      </c>
      <c r="B687" s="274" t="s">
        <v>351</v>
      </c>
      <c r="C687" s="274" t="s">
        <v>1806</v>
      </c>
      <c r="D687" s="274" t="s">
        <v>353</v>
      </c>
      <c r="E687" s="274" t="s">
        <v>116</v>
      </c>
      <c r="F687" s="274">
        <v>3</v>
      </c>
      <c r="G687" s="274" t="s">
        <v>19</v>
      </c>
      <c r="H687" s="274" t="s">
        <v>28</v>
      </c>
      <c r="I687" s="274" t="s">
        <v>205</v>
      </c>
      <c r="J687" s="274" t="s">
        <v>928</v>
      </c>
      <c r="K687" s="274" t="s">
        <v>233</v>
      </c>
      <c r="L687" s="274">
        <v>50</v>
      </c>
      <c r="M687" s="274" t="s">
        <v>234</v>
      </c>
      <c r="N687" s="274">
        <v>1120</v>
      </c>
      <c r="O687" s="274">
        <v>1120</v>
      </c>
      <c r="P687" s="274">
        <v>4000</v>
      </c>
      <c r="Q687" s="274">
        <v>2</v>
      </c>
      <c r="R687" s="274">
        <v>4</v>
      </c>
      <c r="S687" s="274" t="s">
        <v>354</v>
      </c>
      <c r="T687" s="274" t="s">
        <v>1951</v>
      </c>
      <c r="U687" s="274" t="s">
        <v>1964</v>
      </c>
      <c r="V687" s="274" t="s">
        <v>355</v>
      </c>
      <c r="W687" s="339"/>
      <c r="X687" s="339"/>
      <c r="Y687" s="143"/>
    </row>
    <row r="688" spans="1:28" s="141" customFormat="1" ht="13.5" x14ac:dyDescent="0.15">
      <c r="A688" s="274">
        <v>3741628</v>
      </c>
      <c r="B688" s="274" t="s">
        <v>351</v>
      </c>
      <c r="C688" s="274" t="s">
        <v>1806</v>
      </c>
      <c r="D688" s="274" t="s">
        <v>353</v>
      </c>
      <c r="E688" s="274" t="s">
        <v>116</v>
      </c>
      <c r="F688" s="274">
        <v>3</v>
      </c>
      <c r="G688" s="274" t="s">
        <v>19</v>
      </c>
      <c r="H688" s="274" t="s">
        <v>28</v>
      </c>
      <c r="I688" s="274" t="s">
        <v>205</v>
      </c>
      <c r="J688" s="274" t="s">
        <v>928</v>
      </c>
      <c r="K688" s="274" t="s">
        <v>233</v>
      </c>
      <c r="L688" s="274">
        <v>50</v>
      </c>
      <c r="M688" s="274" t="s">
        <v>234</v>
      </c>
      <c r="N688" s="274">
        <v>1120</v>
      </c>
      <c r="O688" s="274">
        <v>1120</v>
      </c>
      <c r="P688" s="274">
        <v>4000</v>
      </c>
      <c r="Q688" s="274">
        <v>2</v>
      </c>
      <c r="R688" s="274">
        <v>4</v>
      </c>
      <c r="S688" s="274" t="s">
        <v>354</v>
      </c>
      <c r="T688" s="274" t="s">
        <v>1951</v>
      </c>
      <c r="U688" s="274" t="s">
        <v>1964</v>
      </c>
      <c r="V688" s="274" t="s">
        <v>355</v>
      </c>
      <c r="W688" s="339"/>
      <c r="X688" s="339"/>
      <c r="Y688" s="143"/>
      <c r="Z688" s="146" t="str">
        <f t="shared" ref="Z688:Z697" ca="1" si="10">IF(SUM(AA688:AB688)=0,"",SUM(AA688:AB688))</f>
        <v/>
      </c>
      <c r="AA688" s="146" t="str">
        <f ca="1">IFERROR(IF(OR(OFFSET('S4'!#REF!,MATCH($A688,'S4'!$D$5:$D$2535,0)-1,6)="巻返し",OFFSET('S4'!#REF!,MATCH($A688,'S4'!$D$5:$D$2535,0)-1,6)="スリット"),SUMIF('S4'!$D$5:$D$2535,$A688,'S4'!$U$5:$U$2535),""),"")</f>
        <v/>
      </c>
      <c r="AB688" s="146" t="str">
        <f ca="1">IFERROR(IF(OR(OFFSET('S5'!#REF!,MATCH($A688,'S5'!$D$5:$D$2103,0)-1,6)="巻返し",OFFSET('S5'!#REF!,MATCH($A688,'S5'!$D$5:$D$2103,0)-1,6)="スリット"),SUMIF('S5'!$D$5:$D$2103,$A688,'S5'!$T$5:$T$2103),""),"")</f>
        <v/>
      </c>
    </row>
    <row r="689" spans="1:28" s="141" customFormat="1" ht="13.5" x14ac:dyDescent="0.15">
      <c r="A689" s="274">
        <v>3744746</v>
      </c>
      <c r="B689" s="274" t="s">
        <v>423</v>
      </c>
      <c r="C689" s="274" t="s">
        <v>1808</v>
      </c>
      <c r="D689" s="274" t="s">
        <v>353</v>
      </c>
      <c r="E689" s="274" t="s">
        <v>61</v>
      </c>
      <c r="F689" s="274">
        <v>3</v>
      </c>
      <c r="G689" s="274" t="s">
        <v>265</v>
      </c>
      <c r="H689" s="274" t="s">
        <v>20</v>
      </c>
      <c r="I689" s="274" t="s">
        <v>205</v>
      </c>
      <c r="J689" s="274" t="s">
        <v>928</v>
      </c>
      <c r="K689" s="274" t="s">
        <v>242</v>
      </c>
      <c r="L689" s="274">
        <v>50</v>
      </c>
      <c r="M689" s="274" t="s">
        <v>243</v>
      </c>
      <c r="N689" s="274">
        <v>1255</v>
      </c>
      <c r="O689" s="274">
        <v>1250</v>
      </c>
      <c r="P689" s="274">
        <v>3000</v>
      </c>
      <c r="Q689" s="274">
        <v>2</v>
      </c>
      <c r="R689" s="274">
        <v>2</v>
      </c>
      <c r="S689" s="274" t="s">
        <v>354</v>
      </c>
      <c r="T689" s="274" t="s">
        <v>2260</v>
      </c>
      <c r="U689" s="274" t="s">
        <v>1954</v>
      </c>
      <c r="V689" s="274" t="s">
        <v>355</v>
      </c>
      <c r="W689" s="274" t="s">
        <v>928</v>
      </c>
      <c r="X689" s="274" t="s">
        <v>928</v>
      </c>
      <c r="Y689" s="143"/>
      <c r="Z689" s="146" t="str">
        <f t="shared" ca="1" si="10"/>
        <v/>
      </c>
      <c r="AA689" s="146" t="str">
        <f ca="1">IFERROR(IF(OR(OFFSET('S4'!#REF!,MATCH($A689,'S4'!$D$5:$D$2535,0)-1,6)="巻返し",OFFSET('S4'!#REF!,MATCH($A689,'S4'!$D$5:$D$2535,0)-1,6)="スリット"),SUMIF('S4'!$D$5:$D$2535,$A689,'S4'!$U$5:$U$2535),""),"")</f>
        <v/>
      </c>
      <c r="AB689" s="146" t="str">
        <f ca="1">IFERROR(IF(OR(OFFSET('S5'!#REF!,MATCH($A689,'S5'!$D$5:$D$2103,0)-1,6)="巻返し",OFFSET('S5'!#REF!,MATCH($A689,'S5'!$D$5:$D$2103,0)-1,6)="スリット"),SUMIF('S5'!$D$5:$D$2103,$A689,'S5'!$T$5:$T$2103),""),"")</f>
        <v/>
      </c>
    </row>
    <row r="690" spans="1:28" s="141" customFormat="1" ht="13.5" x14ac:dyDescent="0.15">
      <c r="A690" s="274">
        <v>3744881</v>
      </c>
      <c r="B690" s="274" t="s">
        <v>351</v>
      </c>
      <c r="C690" s="274" t="s">
        <v>1806</v>
      </c>
      <c r="D690" s="274" t="s">
        <v>353</v>
      </c>
      <c r="E690" s="274" t="s">
        <v>116</v>
      </c>
      <c r="F690" s="274" t="s">
        <v>158</v>
      </c>
      <c r="G690" s="274" t="s">
        <v>19</v>
      </c>
      <c r="H690" s="274" t="s">
        <v>20</v>
      </c>
      <c r="I690" s="274" t="s">
        <v>165</v>
      </c>
      <c r="J690" s="274" t="s">
        <v>928</v>
      </c>
      <c r="K690" s="274" t="s">
        <v>197</v>
      </c>
      <c r="L690" s="274">
        <v>50</v>
      </c>
      <c r="M690" s="274" t="s">
        <v>198</v>
      </c>
      <c r="N690" s="274">
        <v>1005</v>
      </c>
      <c r="O690" s="274">
        <v>1000</v>
      </c>
      <c r="P690" s="274">
        <v>4100</v>
      </c>
      <c r="Q690" s="274">
        <v>2</v>
      </c>
      <c r="R690" s="274">
        <v>6</v>
      </c>
      <c r="S690" s="274" t="s">
        <v>354</v>
      </c>
      <c r="T690" s="274" t="s">
        <v>2264</v>
      </c>
      <c r="U690" s="274" t="s">
        <v>2265</v>
      </c>
      <c r="V690" s="274" t="s">
        <v>355</v>
      </c>
      <c r="W690" s="339"/>
      <c r="X690" s="339"/>
      <c r="Y690" s="143"/>
      <c r="Z690" s="146" t="str">
        <f t="shared" ca="1" si="10"/>
        <v/>
      </c>
      <c r="AA690" s="146" t="str">
        <f ca="1">IFERROR(IF(OR(OFFSET('S4'!#REF!,MATCH($A690,'S4'!$D$5:$D$2535,0)-1,6)="巻返し",OFFSET('S4'!#REF!,MATCH($A690,'S4'!$D$5:$D$2535,0)-1,6)="スリット"),SUMIF('S4'!$D$5:$D$2535,$A690,'S4'!$U$5:$U$2535),""),"")</f>
        <v/>
      </c>
      <c r="AB690" s="146" t="str">
        <f ca="1">IFERROR(IF(OR(OFFSET('S5'!#REF!,MATCH($A690,'S5'!$D$5:$D$2103,0)-1,6)="巻返し",OFFSET('S5'!#REF!,MATCH($A690,'S5'!$D$5:$D$2103,0)-1,6)="スリット"),SUMIF('S5'!$D$5:$D$2103,$A690,'S5'!$T$5:$T$2103),""),"")</f>
        <v/>
      </c>
    </row>
    <row r="691" spans="1:28" s="141" customFormat="1" ht="13.5" x14ac:dyDescent="0.15">
      <c r="A691" s="274">
        <v>3744882</v>
      </c>
      <c r="B691" s="274" t="s">
        <v>351</v>
      </c>
      <c r="C691" s="274" t="s">
        <v>1806</v>
      </c>
      <c r="D691" s="274" t="s">
        <v>353</v>
      </c>
      <c r="E691" s="274" t="s">
        <v>116</v>
      </c>
      <c r="F691" s="274">
        <v>3</v>
      </c>
      <c r="G691" s="274" t="s">
        <v>19</v>
      </c>
      <c r="H691" s="274" t="s">
        <v>20</v>
      </c>
      <c r="I691" s="274" t="s">
        <v>165</v>
      </c>
      <c r="J691" s="274" t="s">
        <v>928</v>
      </c>
      <c r="K691" s="274" t="s">
        <v>200</v>
      </c>
      <c r="L691" s="274">
        <v>50</v>
      </c>
      <c r="M691" s="274" t="s">
        <v>201</v>
      </c>
      <c r="N691" s="274">
        <v>1005</v>
      </c>
      <c r="O691" s="274">
        <v>1000</v>
      </c>
      <c r="P691" s="274">
        <v>4100</v>
      </c>
      <c r="Q691" s="274">
        <v>2</v>
      </c>
      <c r="R691" s="274">
        <v>2</v>
      </c>
      <c r="S691" s="274" t="s">
        <v>354</v>
      </c>
      <c r="T691" s="274" t="s">
        <v>2264</v>
      </c>
      <c r="U691" s="274" t="s">
        <v>2265</v>
      </c>
      <c r="V691" s="274" t="s">
        <v>355</v>
      </c>
      <c r="W691" s="339"/>
      <c r="X691" s="339"/>
      <c r="Y691" s="143"/>
      <c r="Z691" s="146" t="str">
        <f t="shared" ca="1" si="10"/>
        <v/>
      </c>
      <c r="AA691" s="146" t="str">
        <f ca="1">IFERROR(IF(OR(OFFSET('S4'!#REF!,MATCH($A691,'S4'!$D$5:$D$2535,0)-1,6)="巻返し",OFFSET('S4'!#REF!,MATCH($A691,'S4'!$D$5:$D$2535,0)-1,6)="スリット"),SUMIF('S4'!$D$5:$D$2535,$A691,'S4'!$U$5:$U$2535),""),"")</f>
        <v/>
      </c>
      <c r="AB691" s="146" t="str">
        <f ca="1">IFERROR(IF(OR(OFFSET('S5'!#REF!,MATCH($A691,'S5'!$D$5:$D$2103,0)-1,6)="巻返し",OFFSET('S5'!#REF!,MATCH($A691,'S5'!$D$5:$D$2103,0)-1,6)="スリット"),SUMIF('S5'!$D$5:$D$2103,$A691,'S5'!$T$5:$T$2103),""),"")</f>
        <v/>
      </c>
    </row>
    <row r="692" spans="1:28" s="141" customFormat="1" ht="13.5" x14ac:dyDescent="0.15">
      <c r="A692" s="274">
        <v>3744883</v>
      </c>
      <c r="B692" s="274" t="s">
        <v>351</v>
      </c>
      <c r="C692" s="274" t="s">
        <v>1806</v>
      </c>
      <c r="D692" s="274" t="s">
        <v>353</v>
      </c>
      <c r="E692" s="274" t="s">
        <v>116</v>
      </c>
      <c r="F692" s="274">
        <v>3</v>
      </c>
      <c r="G692" s="274" t="s">
        <v>19</v>
      </c>
      <c r="H692" s="274" t="s">
        <v>20</v>
      </c>
      <c r="I692" s="274" t="s">
        <v>205</v>
      </c>
      <c r="J692" s="274" t="s">
        <v>928</v>
      </c>
      <c r="K692" s="274" t="s">
        <v>212</v>
      </c>
      <c r="L692" s="274">
        <v>50</v>
      </c>
      <c r="M692" s="274" t="s">
        <v>213</v>
      </c>
      <c r="N692" s="274">
        <v>1120</v>
      </c>
      <c r="O692" s="274">
        <v>1120</v>
      </c>
      <c r="P692" s="274">
        <v>4000</v>
      </c>
      <c r="Q692" s="274">
        <v>2</v>
      </c>
      <c r="R692" s="274">
        <v>12</v>
      </c>
      <c r="S692" s="274" t="s">
        <v>354</v>
      </c>
      <c r="T692" s="274" t="s">
        <v>2264</v>
      </c>
      <c r="U692" s="274" t="s">
        <v>2265</v>
      </c>
      <c r="V692" s="274" t="s">
        <v>355</v>
      </c>
      <c r="W692" s="339"/>
      <c r="X692" s="339"/>
      <c r="Y692" s="143"/>
      <c r="Z692" s="146" t="str">
        <f t="shared" ca="1" si="10"/>
        <v/>
      </c>
      <c r="AA692" s="146" t="str">
        <f ca="1">IFERROR(IF(OR(OFFSET('S4'!#REF!,MATCH($A692,'S4'!$D$5:$D$2535,0)-1,6)="巻返し",OFFSET('S4'!#REF!,MATCH($A692,'S4'!$D$5:$D$2535,0)-1,6)="スリット"),SUMIF('S4'!$D$5:$D$2535,$A692,'S4'!$U$5:$U$2535),""),"")</f>
        <v/>
      </c>
      <c r="AB692" s="146" t="str">
        <f ca="1">IFERROR(IF(OR(OFFSET('S5'!#REF!,MATCH($A692,'S5'!$D$5:$D$2103,0)-1,6)="巻返し",OFFSET('S5'!#REF!,MATCH($A692,'S5'!$D$5:$D$2103,0)-1,6)="スリット"),SUMIF('S5'!$D$5:$D$2103,$A692,'S5'!$T$5:$T$2103),""),"")</f>
        <v/>
      </c>
    </row>
    <row r="693" spans="1:28" s="141" customFormat="1" ht="13.5" x14ac:dyDescent="0.15">
      <c r="A693" s="274">
        <v>3744884</v>
      </c>
      <c r="B693" s="274" t="s">
        <v>351</v>
      </c>
      <c r="C693" s="274" t="s">
        <v>1806</v>
      </c>
      <c r="D693" s="274" t="s">
        <v>353</v>
      </c>
      <c r="E693" s="274" t="s">
        <v>116</v>
      </c>
      <c r="F693" s="274">
        <v>3</v>
      </c>
      <c r="G693" s="274" t="s">
        <v>19</v>
      </c>
      <c r="H693" s="274" t="s">
        <v>20</v>
      </c>
      <c r="I693" s="274" t="s">
        <v>205</v>
      </c>
      <c r="J693" s="274" t="s">
        <v>928</v>
      </c>
      <c r="K693" s="274" t="s">
        <v>216</v>
      </c>
      <c r="L693" s="274">
        <v>50</v>
      </c>
      <c r="M693" s="274" t="s">
        <v>217</v>
      </c>
      <c r="N693" s="274">
        <v>1120</v>
      </c>
      <c r="O693" s="274">
        <v>1120</v>
      </c>
      <c r="P693" s="274">
        <v>5000</v>
      </c>
      <c r="Q693" s="274">
        <v>2</v>
      </c>
      <c r="R693" s="274">
        <v>14</v>
      </c>
      <c r="S693" s="274" t="s">
        <v>354</v>
      </c>
      <c r="T693" s="274" t="s">
        <v>2264</v>
      </c>
      <c r="U693" s="274" t="s">
        <v>2265</v>
      </c>
      <c r="V693" s="274" t="s">
        <v>355</v>
      </c>
      <c r="W693" s="339"/>
      <c r="X693" s="339"/>
      <c r="Y693" s="143"/>
      <c r="Z693" s="146" t="str">
        <f t="shared" ca="1" si="10"/>
        <v/>
      </c>
      <c r="AA693" s="146" t="str">
        <f ca="1">IFERROR(IF(OR(OFFSET('S4'!#REF!,MATCH($A693,'S4'!$D$5:$D$2535,0)-1,6)="巻返し",OFFSET('S4'!#REF!,MATCH($A693,'S4'!$D$5:$D$2535,0)-1,6)="スリット"),SUMIF('S4'!$D$5:$D$2535,$A693,'S4'!$U$5:$U$2535),""),"")</f>
        <v/>
      </c>
      <c r="AB693" s="146" t="str">
        <f ca="1">IFERROR(IF(OR(OFFSET('S5'!#REF!,MATCH($A693,'S5'!$D$5:$D$2103,0)-1,6)="巻返し",OFFSET('S5'!#REF!,MATCH($A693,'S5'!$D$5:$D$2103,0)-1,6)="スリット"),SUMIF('S5'!$D$5:$D$2103,$A693,'S5'!$T$5:$T$2103),""),"")</f>
        <v/>
      </c>
    </row>
    <row r="694" spans="1:28" s="141" customFormat="1" ht="13.5" x14ac:dyDescent="0.15">
      <c r="A694" s="274">
        <v>3744886</v>
      </c>
      <c r="B694" s="274" t="s">
        <v>351</v>
      </c>
      <c r="C694" s="274" t="s">
        <v>1806</v>
      </c>
      <c r="D694" s="274" t="s">
        <v>353</v>
      </c>
      <c r="E694" s="274" t="s">
        <v>116</v>
      </c>
      <c r="F694" s="274">
        <v>3</v>
      </c>
      <c r="G694" s="274" t="s">
        <v>19</v>
      </c>
      <c r="H694" s="274" t="s">
        <v>20</v>
      </c>
      <c r="I694" s="274" t="s">
        <v>143</v>
      </c>
      <c r="J694" s="274" t="s">
        <v>928</v>
      </c>
      <c r="K694" s="274" t="s">
        <v>152</v>
      </c>
      <c r="L694" s="274">
        <v>38</v>
      </c>
      <c r="M694" s="274" t="s">
        <v>153</v>
      </c>
      <c r="N694" s="274">
        <v>1005</v>
      </c>
      <c r="O694" s="274">
        <v>1000</v>
      </c>
      <c r="P694" s="274">
        <v>4000</v>
      </c>
      <c r="Q694" s="274">
        <v>2</v>
      </c>
      <c r="R694" s="274">
        <v>6</v>
      </c>
      <c r="S694" s="274" t="s">
        <v>354</v>
      </c>
      <c r="T694" s="274" t="s">
        <v>2264</v>
      </c>
      <c r="U694" s="274" t="s">
        <v>2265</v>
      </c>
      <c r="V694" s="274" t="s">
        <v>355</v>
      </c>
      <c r="W694" s="339"/>
      <c r="X694" s="339"/>
      <c r="Y694" s="143"/>
      <c r="Z694" s="146" t="str">
        <f t="shared" ca="1" si="10"/>
        <v/>
      </c>
      <c r="AA694" s="146" t="str">
        <f ca="1">IFERROR(IF(OR(OFFSET('S4'!#REF!,MATCH($A694,'S4'!$D$5:$D$2535,0)-1,6)="巻返し",OFFSET('S4'!#REF!,MATCH($A694,'S4'!$D$5:$D$2535,0)-1,6)="スリット"),SUMIF('S4'!$D$5:$D$2535,$A694,'S4'!$U$5:$U$2535),""),"")</f>
        <v/>
      </c>
      <c r="AB694" s="146" t="str">
        <f ca="1">IFERROR(IF(OR(OFFSET('S5'!#REF!,MATCH($A694,'S5'!$D$5:$D$2103,0)-1,6)="巻返し",OFFSET('S5'!#REF!,MATCH($A694,'S5'!$D$5:$D$2103,0)-1,6)="スリット"),SUMIF('S5'!$D$5:$D$2103,$A694,'S5'!$T$5:$T$2103),""),"")</f>
        <v/>
      </c>
    </row>
    <row r="695" spans="1:28" s="141" customFormat="1" ht="13.5" x14ac:dyDescent="0.15">
      <c r="A695" s="274">
        <v>3744888</v>
      </c>
      <c r="B695" s="274" t="s">
        <v>351</v>
      </c>
      <c r="C695" s="274" t="s">
        <v>1806</v>
      </c>
      <c r="D695" s="274" t="s">
        <v>353</v>
      </c>
      <c r="E695" s="274" t="s">
        <v>116</v>
      </c>
      <c r="F695" s="274" t="s">
        <v>158</v>
      </c>
      <c r="G695" s="274" t="s">
        <v>19</v>
      </c>
      <c r="H695" s="274" t="s">
        <v>20</v>
      </c>
      <c r="I695" s="274" t="s">
        <v>165</v>
      </c>
      <c r="J695" s="274" t="s">
        <v>928</v>
      </c>
      <c r="K695" s="274" t="s">
        <v>195</v>
      </c>
      <c r="L695" s="274">
        <v>50</v>
      </c>
      <c r="M695" s="274" t="s">
        <v>196</v>
      </c>
      <c r="N695" s="274">
        <v>1005</v>
      </c>
      <c r="O695" s="274">
        <v>1000</v>
      </c>
      <c r="P695" s="274">
        <v>4000</v>
      </c>
      <c r="Q695" s="274">
        <v>2</v>
      </c>
      <c r="R695" s="274">
        <v>6</v>
      </c>
      <c r="S695" s="274" t="s">
        <v>354</v>
      </c>
      <c r="T695" s="274" t="s">
        <v>2264</v>
      </c>
      <c r="U695" s="274" t="s">
        <v>2265</v>
      </c>
      <c r="V695" s="274" t="s">
        <v>355</v>
      </c>
      <c r="W695" s="339"/>
      <c r="X695" s="339"/>
      <c r="Y695" s="143"/>
      <c r="Z695" s="146" t="str">
        <f t="shared" ca="1" si="10"/>
        <v/>
      </c>
      <c r="AA695" s="146" t="str">
        <f ca="1">IFERROR(IF(OR(OFFSET('S4'!#REF!,MATCH($A695,'S4'!$D$5:$D$2535,0)-1,6)="巻返し",OFFSET('S4'!#REF!,MATCH($A695,'S4'!$D$5:$D$2535,0)-1,6)="スリット"),SUMIF('S4'!$D$5:$D$2535,$A695,'S4'!$U$5:$U$2535),""),"")</f>
        <v/>
      </c>
      <c r="AB695" s="146" t="str">
        <f ca="1">IFERROR(IF(OR(OFFSET('S5'!#REF!,MATCH($A695,'S5'!$D$5:$D$2103,0)-1,6)="巻返し",OFFSET('S5'!#REF!,MATCH($A695,'S5'!$D$5:$D$2103,0)-1,6)="スリット"),SUMIF('S5'!$D$5:$D$2103,$A695,'S5'!$T$5:$T$2103),""),"")</f>
        <v/>
      </c>
    </row>
    <row r="696" spans="1:28" s="141" customFormat="1" ht="13.5" x14ac:dyDescent="0.15">
      <c r="A696" s="274">
        <v>3744889</v>
      </c>
      <c r="B696" s="274" t="s">
        <v>351</v>
      </c>
      <c r="C696" s="274" t="s">
        <v>1806</v>
      </c>
      <c r="D696" s="274" t="s">
        <v>353</v>
      </c>
      <c r="E696" s="274" t="s">
        <v>116</v>
      </c>
      <c r="F696" s="274">
        <v>3</v>
      </c>
      <c r="G696" s="274" t="s">
        <v>19</v>
      </c>
      <c r="H696" s="274" t="s">
        <v>28</v>
      </c>
      <c r="I696" s="274" t="s">
        <v>205</v>
      </c>
      <c r="J696" s="274" t="s">
        <v>928</v>
      </c>
      <c r="K696" s="274" t="s">
        <v>224</v>
      </c>
      <c r="L696" s="274">
        <v>50</v>
      </c>
      <c r="M696" s="274" t="s">
        <v>225</v>
      </c>
      <c r="N696" s="274">
        <v>1120</v>
      </c>
      <c r="O696" s="274">
        <v>1120</v>
      </c>
      <c r="P696" s="274">
        <v>5000</v>
      </c>
      <c r="Q696" s="274">
        <v>2</v>
      </c>
      <c r="R696" s="274">
        <v>2</v>
      </c>
      <c r="S696" s="274" t="s">
        <v>354</v>
      </c>
      <c r="T696" s="274" t="s">
        <v>2264</v>
      </c>
      <c r="U696" s="274" t="s">
        <v>2265</v>
      </c>
      <c r="V696" s="274" t="s">
        <v>355</v>
      </c>
      <c r="W696" s="339"/>
      <c r="X696" s="339"/>
      <c r="Y696" s="143"/>
      <c r="Z696" s="146" t="str">
        <f t="shared" ca="1" si="10"/>
        <v/>
      </c>
      <c r="AA696" s="146" t="str">
        <f ca="1">IFERROR(IF(OR(OFFSET('S4'!#REF!,MATCH($A696,'S4'!$D$5:$D$2535,0)-1,6)="巻返し",OFFSET('S4'!#REF!,MATCH($A696,'S4'!$D$5:$D$2535,0)-1,6)="スリット"),SUMIF('S4'!$D$5:$D$2535,$A696,'S4'!$U$5:$U$2535),""),"")</f>
        <v/>
      </c>
      <c r="AB696" s="146" t="str">
        <f ca="1">IFERROR(IF(OR(OFFSET('S5'!#REF!,MATCH($A696,'S5'!$D$5:$D$2103,0)-1,6)="巻返し",OFFSET('S5'!#REF!,MATCH($A696,'S5'!$D$5:$D$2103,0)-1,6)="スリット"),SUMIF('S5'!$D$5:$D$2103,$A696,'S5'!$T$5:$T$2103),""),"")</f>
        <v/>
      </c>
    </row>
    <row r="697" spans="1:28" s="141" customFormat="1" ht="13.5" x14ac:dyDescent="0.15">
      <c r="A697" s="274">
        <v>3744890</v>
      </c>
      <c r="B697" s="274" t="s">
        <v>351</v>
      </c>
      <c r="C697" s="274" t="s">
        <v>1806</v>
      </c>
      <c r="D697" s="274" t="s">
        <v>353</v>
      </c>
      <c r="E697" s="274" t="s">
        <v>116</v>
      </c>
      <c r="F697" s="274">
        <v>3</v>
      </c>
      <c r="G697" s="274" t="s">
        <v>19</v>
      </c>
      <c r="H697" s="274" t="s">
        <v>28</v>
      </c>
      <c r="I697" s="274" t="s">
        <v>205</v>
      </c>
      <c r="J697" s="274" t="s">
        <v>928</v>
      </c>
      <c r="K697" s="274" t="s">
        <v>233</v>
      </c>
      <c r="L697" s="274">
        <v>50</v>
      </c>
      <c r="M697" s="274" t="s">
        <v>234</v>
      </c>
      <c r="N697" s="274">
        <v>1120</v>
      </c>
      <c r="O697" s="274">
        <v>1120</v>
      </c>
      <c r="P697" s="274">
        <v>4000</v>
      </c>
      <c r="Q697" s="274">
        <v>2</v>
      </c>
      <c r="R697" s="274">
        <v>2</v>
      </c>
      <c r="S697" s="274" t="s">
        <v>354</v>
      </c>
      <c r="T697" s="274" t="s">
        <v>2264</v>
      </c>
      <c r="U697" s="274" t="s">
        <v>2265</v>
      </c>
      <c r="V697" s="274" t="s">
        <v>355</v>
      </c>
      <c r="W697" s="339"/>
      <c r="X697" s="339"/>
      <c r="Y697" s="143"/>
      <c r="Z697" s="146" t="str">
        <f t="shared" ca="1" si="10"/>
        <v/>
      </c>
      <c r="AA697" s="146" t="str">
        <f ca="1">IFERROR(IF(OR(OFFSET('S4'!#REF!,MATCH($A697,'S4'!$D$5:$D$2535,0)-1,6)="巻返し",OFFSET('S4'!#REF!,MATCH($A697,'S4'!$D$5:$D$2535,0)-1,6)="スリット"),SUMIF('S4'!$D$5:$D$2535,$A697,'S4'!$U$5:$U$2535),""),"")</f>
        <v/>
      </c>
      <c r="AB697" s="146" t="str">
        <f ca="1">IFERROR(IF(OR(OFFSET('S5'!#REF!,MATCH($A697,'S5'!$D$5:$D$2103,0)-1,6)="巻返し",OFFSET('S5'!#REF!,MATCH($A697,'S5'!$D$5:$D$2103,0)-1,6)="スリット"),SUMIF('S5'!$D$5:$D$2103,$A697,'S5'!$T$5:$T$2103),""),"")</f>
        <v/>
      </c>
    </row>
    <row r="698" spans="1:28" s="141" customFormat="1" ht="13.5" x14ac:dyDescent="0.15">
      <c r="A698" s="274">
        <v>3744891</v>
      </c>
      <c r="B698" s="274" t="s">
        <v>351</v>
      </c>
      <c r="C698" s="274" t="s">
        <v>1806</v>
      </c>
      <c r="D698" s="274" t="s">
        <v>353</v>
      </c>
      <c r="E698" s="274" t="s">
        <v>116</v>
      </c>
      <c r="F698" s="274">
        <v>3</v>
      </c>
      <c r="G698" s="274" t="s">
        <v>19</v>
      </c>
      <c r="H698" s="274" t="s">
        <v>28</v>
      </c>
      <c r="I698" s="274" t="s">
        <v>205</v>
      </c>
      <c r="J698" s="274" t="s">
        <v>928</v>
      </c>
      <c r="K698" s="274" t="s">
        <v>237</v>
      </c>
      <c r="L698" s="274">
        <v>50</v>
      </c>
      <c r="M698" s="274" t="s">
        <v>238</v>
      </c>
      <c r="N698" s="274">
        <v>1120</v>
      </c>
      <c r="O698" s="274">
        <v>1120</v>
      </c>
      <c r="P698" s="274">
        <v>4000</v>
      </c>
      <c r="Q698" s="274">
        <v>2</v>
      </c>
      <c r="R698" s="274">
        <v>8</v>
      </c>
      <c r="S698" s="274" t="s">
        <v>354</v>
      </c>
      <c r="T698" s="274" t="s">
        <v>2264</v>
      </c>
      <c r="U698" s="274" t="s">
        <v>2265</v>
      </c>
      <c r="V698" s="274" t="s">
        <v>355</v>
      </c>
      <c r="W698" s="339"/>
      <c r="X698" s="339"/>
      <c r="Y698" s="143"/>
      <c r="Z698" s="146" t="str">
        <f t="shared" ref="Z698:Z737" ca="1" si="11">IF(SUM(AA698:AB698)=0,"",SUM(AA698:AB698))</f>
        <v/>
      </c>
      <c r="AA698" s="146" t="str">
        <f ca="1">IFERROR(IF(OR(OFFSET('S4'!#REF!,MATCH($A698,'S4'!$D$5:$D$2535,0)-1,6)="巻返し",OFFSET('S4'!#REF!,MATCH($A698,'S4'!$D$5:$D$2535,0)-1,6)="スリット"),SUMIF('S4'!$D$5:$D$2535,$A698,'S4'!$U$5:$U$2535),""),"")</f>
        <v/>
      </c>
      <c r="AB698" s="146" t="str">
        <f ca="1">IFERROR(IF(OR(OFFSET('S5'!#REF!,MATCH($A698,'S5'!$D$5:$D$2103,0)-1,6)="巻返し",OFFSET('S5'!#REF!,MATCH($A698,'S5'!$D$5:$D$2103,0)-1,6)="スリット"),SUMIF('S5'!$D$5:$D$2103,$A698,'S5'!$T$5:$T$2103),""),"")</f>
        <v/>
      </c>
    </row>
    <row r="699" spans="1:28" s="141" customFormat="1" ht="13.5" x14ac:dyDescent="0.15">
      <c r="A699" s="274">
        <v>3744892</v>
      </c>
      <c r="B699" s="274" t="s">
        <v>351</v>
      </c>
      <c r="C699" s="274" t="s">
        <v>1806</v>
      </c>
      <c r="D699" s="274" t="s">
        <v>353</v>
      </c>
      <c r="E699" s="274" t="s">
        <v>171</v>
      </c>
      <c r="F699" s="274">
        <v>3</v>
      </c>
      <c r="G699" s="274" t="s">
        <v>19</v>
      </c>
      <c r="H699" s="274" t="s">
        <v>20</v>
      </c>
      <c r="I699" s="274" t="s">
        <v>165</v>
      </c>
      <c r="J699" s="274" t="s">
        <v>928</v>
      </c>
      <c r="K699" s="274" t="s">
        <v>180</v>
      </c>
      <c r="L699" s="274">
        <v>50</v>
      </c>
      <c r="M699" s="274" t="s">
        <v>181</v>
      </c>
      <c r="N699" s="274">
        <v>1200</v>
      </c>
      <c r="O699" s="274">
        <v>1190</v>
      </c>
      <c r="P699" s="274">
        <v>6000</v>
      </c>
      <c r="Q699" s="274">
        <v>2</v>
      </c>
      <c r="R699" s="274">
        <v>8</v>
      </c>
      <c r="S699" s="274" t="s">
        <v>354</v>
      </c>
      <c r="T699" s="274" t="s">
        <v>2264</v>
      </c>
      <c r="U699" s="274" t="s">
        <v>2266</v>
      </c>
      <c r="V699" s="274" t="s">
        <v>355</v>
      </c>
      <c r="W699" s="339"/>
      <c r="X699" s="339"/>
      <c r="Y699" s="143"/>
      <c r="Z699" s="146" t="str">
        <f t="shared" ca="1" si="11"/>
        <v/>
      </c>
      <c r="AA699" s="146" t="str">
        <f ca="1">IFERROR(IF(OR(OFFSET('S4'!#REF!,MATCH($A699,'S4'!$D$5:$D$2535,0)-1,6)="巻返し",OFFSET('S4'!#REF!,MATCH($A699,'S4'!$D$5:$D$2535,0)-1,6)="スリット"),SUMIF('S4'!$D$5:$D$2535,$A699,'S4'!$U$5:$U$2535),""),"")</f>
        <v/>
      </c>
      <c r="AB699" s="146" t="str">
        <f ca="1">IFERROR(IF(OR(OFFSET('S5'!#REF!,MATCH($A699,'S5'!$D$5:$D$2103,0)-1,6)="巻返し",OFFSET('S5'!#REF!,MATCH($A699,'S5'!$D$5:$D$2103,0)-1,6)="スリット"),SUMIF('S5'!$D$5:$D$2103,$A699,'S5'!$T$5:$T$2103),""),"")</f>
        <v/>
      </c>
    </row>
    <row r="700" spans="1:28" s="141" customFormat="1" ht="13.5" x14ac:dyDescent="0.15">
      <c r="A700" s="274">
        <v>3744900</v>
      </c>
      <c r="B700" s="274" t="s">
        <v>351</v>
      </c>
      <c r="C700" s="274" t="s">
        <v>1806</v>
      </c>
      <c r="D700" s="274" t="s">
        <v>353</v>
      </c>
      <c r="E700" s="274" t="s">
        <v>148</v>
      </c>
      <c r="F700" s="274" t="s">
        <v>1823</v>
      </c>
      <c r="G700" s="274" t="s">
        <v>19</v>
      </c>
      <c r="H700" s="274" t="s">
        <v>20</v>
      </c>
      <c r="I700" s="274" t="s">
        <v>165</v>
      </c>
      <c r="J700" s="274" t="s">
        <v>928</v>
      </c>
      <c r="K700" s="274" t="s">
        <v>169</v>
      </c>
      <c r="L700" s="274">
        <v>50</v>
      </c>
      <c r="M700" s="274" t="s">
        <v>170</v>
      </c>
      <c r="N700" s="274">
        <v>1120</v>
      </c>
      <c r="O700" s="274">
        <v>1120</v>
      </c>
      <c r="P700" s="274">
        <v>6000</v>
      </c>
      <c r="Q700" s="274">
        <v>2</v>
      </c>
      <c r="R700" s="274">
        <v>2</v>
      </c>
      <c r="S700" s="274" t="s">
        <v>354</v>
      </c>
      <c r="T700" s="274" t="s">
        <v>2264</v>
      </c>
      <c r="U700" s="274" t="s">
        <v>2265</v>
      </c>
      <c r="V700" s="274" t="s">
        <v>355</v>
      </c>
      <c r="W700" s="339"/>
      <c r="X700" s="339"/>
      <c r="Y700" s="143"/>
      <c r="Z700" s="146" t="str">
        <f t="shared" ca="1" si="11"/>
        <v/>
      </c>
      <c r="AA700" s="146" t="str">
        <f ca="1">IFERROR(IF(OR(OFFSET('S4'!#REF!,MATCH($A700,'S4'!$D$5:$D$2535,0)-1,6)="巻返し",OFFSET('S4'!#REF!,MATCH($A700,'S4'!$D$5:$D$2535,0)-1,6)="スリット"),SUMIF('S4'!$D$5:$D$2535,$A700,'S4'!$U$5:$U$2535),""),"")</f>
        <v/>
      </c>
      <c r="AB700" s="146" t="str">
        <f ca="1">IFERROR(IF(OR(OFFSET('S5'!#REF!,MATCH($A700,'S5'!$D$5:$D$2103,0)-1,6)="巻返し",OFFSET('S5'!#REF!,MATCH($A700,'S5'!$D$5:$D$2103,0)-1,6)="スリット"),SUMIF('S5'!$D$5:$D$2103,$A700,'S5'!$T$5:$T$2103),""),"")</f>
        <v/>
      </c>
    </row>
    <row r="701" spans="1:28" s="141" customFormat="1" ht="13.5" x14ac:dyDescent="0.15">
      <c r="A701" s="274">
        <v>3745509</v>
      </c>
      <c r="B701" s="274" t="s">
        <v>351</v>
      </c>
      <c r="C701" s="274" t="s">
        <v>1806</v>
      </c>
      <c r="D701" s="274" t="s">
        <v>353</v>
      </c>
      <c r="E701" s="274" t="s">
        <v>116</v>
      </c>
      <c r="F701" s="274" t="s">
        <v>158</v>
      </c>
      <c r="G701" s="274" t="s">
        <v>19</v>
      </c>
      <c r="H701" s="274" t="s">
        <v>20</v>
      </c>
      <c r="I701" s="274" t="s">
        <v>165</v>
      </c>
      <c r="J701" s="274" t="s">
        <v>928</v>
      </c>
      <c r="K701" s="274" t="s">
        <v>192</v>
      </c>
      <c r="L701" s="274">
        <v>38</v>
      </c>
      <c r="M701" s="274" t="s">
        <v>193</v>
      </c>
      <c r="N701" s="274">
        <v>1005</v>
      </c>
      <c r="O701" s="274">
        <v>1000</v>
      </c>
      <c r="P701" s="274">
        <v>2000</v>
      </c>
      <c r="Q701" s="274">
        <v>2</v>
      </c>
      <c r="R701" s="274">
        <v>1</v>
      </c>
      <c r="S701" s="274" t="s">
        <v>354</v>
      </c>
      <c r="T701" s="274" t="s">
        <v>2271</v>
      </c>
      <c r="U701" s="274" t="s">
        <v>2272</v>
      </c>
      <c r="V701" s="274" t="s">
        <v>355</v>
      </c>
      <c r="W701" s="274" t="s">
        <v>928</v>
      </c>
      <c r="X701" s="274" t="s">
        <v>928</v>
      </c>
      <c r="Y701" s="143"/>
      <c r="Z701" s="146" t="str">
        <f t="shared" ca="1" si="11"/>
        <v/>
      </c>
      <c r="AA701" s="146" t="str">
        <f ca="1">IFERROR(IF(OR(OFFSET('S4'!#REF!,MATCH($A701,'S4'!$D$5:$D$2535,0)-1,6)="巻返し",OFFSET('S4'!#REF!,MATCH($A701,'S4'!$D$5:$D$2535,0)-1,6)="スリット"),SUMIF('S4'!$D$5:$D$2535,$A701,'S4'!$U$5:$U$2535),""),"")</f>
        <v/>
      </c>
      <c r="AB701" s="146" t="str">
        <f ca="1">IFERROR(IF(OR(OFFSET('S5'!#REF!,MATCH($A701,'S5'!$D$5:$D$2103,0)-1,6)="巻返し",OFFSET('S5'!#REF!,MATCH($A701,'S5'!$D$5:$D$2103,0)-1,6)="スリット"),SUMIF('S5'!$D$5:$D$2103,$A701,'S5'!$T$5:$T$2103),""),"")</f>
        <v/>
      </c>
    </row>
    <row r="702" spans="1:28" s="141" customFormat="1" ht="13.5" x14ac:dyDescent="0.15">
      <c r="A702" s="274">
        <v>3745645</v>
      </c>
      <c r="B702" s="274" t="s">
        <v>423</v>
      </c>
      <c r="C702" s="274" t="s">
        <v>1806</v>
      </c>
      <c r="D702" s="274" t="s">
        <v>353</v>
      </c>
      <c r="E702" s="274" t="s">
        <v>116</v>
      </c>
      <c r="F702" s="274">
        <v>3</v>
      </c>
      <c r="G702" s="274" t="s">
        <v>265</v>
      </c>
      <c r="H702" s="274" t="s">
        <v>20</v>
      </c>
      <c r="I702" s="274" t="s">
        <v>165</v>
      </c>
      <c r="J702" s="274" t="s">
        <v>928</v>
      </c>
      <c r="K702" s="274" t="s">
        <v>176</v>
      </c>
      <c r="L702" s="274">
        <v>50</v>
      </c>
      <c r="M702" s="274" t="s">
        <v>177</v>
      </c>
      <c r="N702" s="274">
        <v>1005</v>
      </c>
      <c r="O702" s="274">
        <v>1000</v>
      </c>
      <c r="P702" s="274">
        <v>4000</v>
      </c>
      <c r="Q702" s="274">
        <v>2</v>
      </c>
      <c r="R702" s="274">
        <v>3</v>
      </c>
      <c r="S702" s="274" t="s">
        <v>354</v>
      </c>
      <c r="T702" s="274" t="s">
        <v>2273</v>
      </c>
      <c r="U702" s="274" t="s">
        <v>2274</v>
      </c>
      <c r="V702" s="274" t="s">
        <v>355</v>
      </c>
      <c r="W702" s="274" t="s">
        <v>928</v>
      </c>
      <c r="X702" s="274" t="s">
        <v>928</v>
      </c>
      <c r="Y702" s="143"/>
      <c r="Z702" s="146" t="str">
        <f t="shared" ca="1" si="11"/>
        <v/>
      </c>
      <c r="AA702" s="146" t="str">
        <f ca="1">IFERROR(IF(OR(OFFSET('S4'!#REF!,MATCH($A702,'S4'!$D$5:$D$2535,0)-1,6)="巻返し",OFFSET('S4'!#REF!,MATCH($A702,'S4'!$D$5:$D$2535,0)-1,6)="スリット"),SUMIF('S4'!$D$5:$D$2535,$A702,'S4'!$U$5:$U$2535),""),"")</f>
        <v/>
      </c>
      <c r="AB702" s="146" t="str">
        <f ca="1">IFERROR(IF(OR(OFFSET('S5'!#REF!,MATCH($A702,'S5'!$D$5:$D$2103,0)-1,6)="巻返し",OFFSET('S5'!#REF!,MATCH($A702,'S5'!$D$5:$D$2103,0)-1,6)="スリット"),SUMIF('S5'!$D$5:$D$2103,$A702,'S5'!$T$5:$T$2103),""),"")</f>
        <v/>
      </c>
    </row>
    <row r="703" spans="1:28" s="141" customFormat="1" ht="13.5" x14ac:dyDescent="0.15">
      <c r="A703" s="274">
        <v>3745646</v>
      </c>
      <c r="B703" s="274" t="s">
        <v>351</v>
      </c>
      <c r="C703" s="274" t="s">
        <v>1806</v>
      </c>
      <c r="D703" s="274" t="s">
        <v>353</v>
      </c>
      <c r="E703" s="274" t="s">
        <v>116</v>
      </c>
      <c r="F703" s="274">
        <v>3</v>
      </c>
      <c r="G703" s="274" t="s">
        <v>19</v>
      </c>
      <c r="H703" s="274" t="s">
        <v>28</v>
      </c>
      <c r="I703" s="274" t="s">
        <v>205</v>
      </c>
      <c r="J703" s="274" t="s">
        <v>928</v>
      </c>
      <c r="K703" s="274" t="s">
        <v>237</v>
      </c>
      <c r="L703" s="274">
        <v>25</v>
      </c>
      <c r="M703" s="274" t="s">
        <v>238</v>
      </c>
      <c r="N703" s="274">
        <v>1120</v>
      </c>
      <c r="O703" s="274">
        <v>1120</v>
      </c>
      <c r="P703" s="274">
        <v>8000</v>
      </c>
      <c r="Q703" s="274">
        <v>2</v>
      </c>
      <c r="R703" s="274">
        <v>2</v>
      </c>
      <c r="S703" s="274" t="s">
        <v>354</v>
      </c>
      <c r="T703" s="274" t="s">
        <v>2273</v>
      </c>
      <c r="U703" s="274" t="s">
        <v>2266</v>
      </c>
      <c r="V703" s="274" t="s">
        <v>355</v>
      </c>
      <c r="W703" s="274" t="s">
        <v>928</v>
      </c>
      <c r="X703" s="274" t="s">
        <v>928</v>
      </c>
      <c r="Y703" s="143"/>
      <c r="Z703" s="146" t="str">
        <f t="shared" ca="1" si="11"/>
        <v/>
      </c>
      <c r="AA703" s="146" t="str">
        <f ca="1">IFERROR(IF(OR(OFFSET('S4'!#REF!,MATCH($A703,'S4'!$D$5:$D$2535,0)-1,6)="巻返し",OFFSET('S4'!#REF!,MATCH($A703,'S4'!$D$5:$D$2535,0)-1,6)="スリット"),SUMIF('S4'!$D$5:$D$2535,$A703,'S4'!$U$5:$U$2535),""),"")</f>
        <v/>
      </c>
      <c r="AB703" s="146" t="str">
        <f ca="1">IFERROR(IF(OR(OFFSET('S5'!#REF!,MATCH($A703,'S5'!$D$5:$D$2103,0)-1,6)="巻返し",OFFSET('S5'!#REF!,MATCH($A703,'S5'!$D$5:$D$2103,0)-1,6)="スリット"),SUMIF('S5'!$D$5:$D$2103,$A703,'S5'!$T$5:$T$2103),""),"")</f>
        <v/>
      </c>
    </row>
    <row r="704" spans="1:28" s="141" customFormat="1" ht="13.5" x14ac:dyDescent="0.15">
      <c r="A704" s="274">
        <v>3745647</v>
      </c>
      <c r="B704" s="274" t="s">
        <v>351</v>
      </c>
      <c r="C704" s="274" t="s">
        <v>1806</v>
      </c>
      <c r="D704" s="274" t="s">
        <v>353</v>
      </c>
      <c r="E704" s="274" t="s">
        <v>116</v>
      </c>
      <c r="F704" s="274">
        <v>3</v>
      </c>
      <c r="G704" s="274" t="s">
        <v>19</v>
      </c>
      <c r="H704" s="274" t="s">
        <v>28</v>
      </c>
      <c r="I704" s="274" t="s">
        <v>205</v>
      </c>
      <c r="J704" s="274" t="s">
        <v>928</v>
      </c>
      <c r="K704" s="274" t="s">
        <v>224</v>
      </c>
      <c r="L704" s="274">
        <v>25</v>
      </c>
      <c r="M704" s="274" t="s">
        <v>225</v>
      </c>
      <c r="N704" s="274">
        <v>1120</v>
      </c>
      <c r="O704" s="274">
        <v>1120</v>
      </c>
      <c r="P704" s="274">
        <v>4000</v>
      </c>
      <c r="Q704" s="274">
        <v>2</v>
      </c>
      <c r="R704" s="274">
        <v>2</v>
      </c>
      <c r="S704" s="274" t="s">
        <v>354</v>
      </c>
      <c r="T704" s="274" t="s">
        <v>2273</v>
      </c>
      <c r="U704" s="274" t="s">
        <v>2266</v>
      </c>
      <c r="V704" s="274" t="s">
        <v>355</v>
      </c>
      <c r="W704" s="274" t="s">
        <v>928</v>
      </c>
      <c r="X704" s="274" t="s">
        <v>928</v>
      </c>
      <c r="Y704" s="143"/>
      <c r="Z704" s="146" t="str">
        <f t="shared" ca="1" si="11"/>
        <v/>
      </c>
      <c r="AA704" s="146" t="str">
        <f ca="1">IFERROR(IF(OR(OFFSET('S4'!#REF!,MATCH($A704,'S4'!$D$5:$D$2535,0)-1,6)="巻返し",OFFSET('S4'!#REF!,MATCH($A704,'S4'!$D$5:$D$2535,0)-1,6)="スリット"),SUMIF('S4'!$D$5:$D$2535,$A704,'S4'!$U$5:$U$2535),""),"")</f>
        <v/>
      </c>
      <c r="AB704" s="146" t="str">
        <f ca="1">IFERROR(IF(OR(OFFSET('S5'!#REF!,MATCH($A704,'S5'!$D$5:$D$2103,0)-1,6)="巻返し",OFFSET('S5'!#REF!,MATCH($A704,'S5'!$D$5:$D$2103,0)-1,6)="スリット"),SUMIF('S5'!$D$5:$D$2103,$A704,'S5'!$T$5:$T$2103),""),"")</f>
        <v/>
      </c>
    </row>
    <row r="705" spans="1:28" s="141" customFormat="1" ht="13.5" x14ac:dyDescent="0.15">
      <c r="A705" s="274">
        <v>3745648</v>
      </c>
      <c r="B705" s="274" t="s">
        <v>351</v>
      </c>
      <c r="C705" s="274" t="s">
        <v>1806</v>
      </c>
      <c r="D705" s="274" t="s">
        <v>353</v>
      </c>
      <c r="E705" s="274" t="s">
        <v>116</v>
      </c>
      <c r="F705" s="274">
        <v>3</v>
      </c>
      <c r="G705" s="274" t="s">
        <v>19</v>
      </c>
      <c r="H705" s="274" t="s">
        <v>28</v>
      </c>
      <c r="I705" s="274" t="s">
        <v>205</v>
      </c>
      <c r="J705" s="274" t="s">
        <v>928</v>
      </c>
      <c r="K705" s="274" t="s">
        <v>233</v>
      </c>
      <c r="L705" s="274">
        <v>50</v>
      </c>
      <c r="M705" s="274" t="s">
        <v>234</v>
      </c>
      <c r="N705" s="274">
        <v>1120</v>
      </c>
      <c r="O705" s="274">
        <v>1120</v>
      </c>
      <c r="P705" s="274">
        <v>4000</v>
      </c>
      <c r="Q705" s="274">
        <v>2</v>
      </c>
      <c r="R705" s="274">
        <v>4</v>
      </c>
      <c r="S705" s="274" t="s">
        <v>354</v>
      </c>
      <c r="T705" s="274" t="s">
        <v>2273</v>
      </c>
      <c r="U705" s="274" t="s">
        <v>2266</v>
      </c>
      <c r="V705" s="274" t="s">
        <v>355</v>
      </c>
      <c r="W705" s="274" t="s">
        <v>928</v>
      </c>
      <c r="X705" s="274" t="s">
        <v>928</v>
      </c>
      <c r="Y705" s="143"/>
      <c r="Z705" s="146" t="str">
        <f t="shared" ca="1" si="11"/>
        <v/>
      </c>
      <c r="AA705" s="146" t="str">
        <f ca="1">IFERROR(IF(OR(OFFSET('S4'!#REF!,MATCH($A705,'S4'!$D$5:$D$2535,0)-1,6)="巻返し",OFFSET('S4'!#REF!,MATCH($A705,'S4'!$D$5:$D$2535,0)-1,6)="スリット"),SUMIF('S4'!$D$5:$D$2535,$A705,'S4'!$U$5:$U$2535),""),"")</f>
        <v/>
      </c>
      <c r="AB705" s="146" t="str">
        <f ca="1">IFERROR(IF(OR(OFFSET('S5'!#REF!,MATCH($A705,'S5'!$D$5:$D$2103,0)-1,6)="巻返し",OFFSET('S5'!#REF!,MATCH($A705,'S5'!$D$5:$D$2103,0)-1,6)="スリット"),SUMIF('S5'!$D$5:$D$2103,$A705,'S5'!$T$5:$T$2103),""),"")</f>
        <v/>
      </c>
    </row>
    <row r="706" spans="1:28" s="141" customFormat="1" ht="13.5" x14ac:dyDescent="0.15">
      <c r="A706" s="274">
        <v>3745649</v>
      </c>
      <c r="B706" s="274" t="s">
        <v>351</v>
      </c>
      <c r="C706" s="274" t="s">
        <v>1806</v>
      </c>
      <c r="D706" s="274" t="s">
        <v>353</v>
      </c>
      <c r="E706" s="274" t="s">
        <v>116</v>
      </c>
      <c r="F706" s="274">
        <v>3</v>
      </c>
      <c r="G706" s="274" t="s">
        <v>19</v>
      </c>
      <c r="H706" s="274" t="s">
        <v>28</v>
      </c>
      <c r="I706" s="274" t="s">
        <v>205</v>
      </c>
      <c r="J706" s="274" t="s">
        <v>928</v>
      </c>
      <c r="K706" s="274" t="s">
        <v>233</v>
      </c>
      <c r="L706" s="274">
        <v>50</v>
      </c>
      <c r="M706" s="274" t="s">
        <v>234</v>
      </c>
      <c r="N706" s="274">
        <v>1120</v>
      </c>
      <c r="O706" s="274">
        <v>1120</v>
      </c>
      <c r="P706" s="274">
        <v>4000</v>
      </c>
      <c r="Q706" s="274">
        <v>2</v>
      </c>
      <c r="R706" s="274">
        <v>10</v>
      </c>
      <c r="S706" s="274" t="s">
        <v>354</v>
      </c>
      <c r="T706" s="274" t="s">
        <v>2273</v>
      </c>
      <c r="U706" s="274" t="s">
        <v>2266</v>
      </c>
      <c r="V706" s="274" t="s">
        <v>355</v>
      </c>
      <c r="W706" s="274" t="s">
        <v>928</v>
      </c>
      <c r="X706" s="274" t="s">
        <v>928</v>
      </c>
      <c r="Y706" s="143"/>
      <c r="Z706" s="146" t="str">
        <f t="shared" ca="1" si="11"/>
        <v/>
      </c>
      <c r="AA706" s="146" t="str">
        <f ca="1">IFERROR(IF(OR(OFFSET('S4'!#REF!,MATCH($A706,'S4'!$D$5:$D$2535,0)-1,6)="巻返し",OFFSET('S4'!#REF!,MATCH($A706,'S4'!$D$5:$D$2535,0)-1,6)="スリット"),SUMIF('S4'!$D$5:$D$2535,$A706,'S4'!$U$5:$U$2535),""),"")</f>
        <v/>
      </c>
      <c r="AB706" s="146" t="str">
        <f ca="1">IFERROR(IF(OR(OFFSET('S5'!#REF!,MATCH($A706,'S5'!$D$5:$D$2103,0)-1,6)="巻返し",OFFSET('S5'!#REF!,MATCH($A706,'S5'!$D$5:$D$2103,0)-1,6)="スリット"),SUMIF('S5'!$D$5:$D$2103,$A706,'S5'!$T$5:$T$2103),""),"")</f>
        <v/>
      </c>
    </row>
    <row r="707" spans="1:28" s="141" customFormat="1" ht="13.5" x14ac:dyDescent="0.15">
      <c r="A707" s="274">
        <v>3745895</v>
      </c>
      <c r="B707" s="274" t="s">
        <v>423</v>
      </c>
      <c r="C707" s="274" t="s">
        <v>1806</v>
      </c>
      <c r="D707" s="274" t="s">
        <v>353</v>
      </c>
      <c r="E707" s="274" t="s">
        <v>116</v>
      </c>
      <c r="F707" s="274">
        <v>3</v>
      </c>
      <c r="G707" s="274" t="s">
        <v>265</v>
      </c>
      <c r="H707" s="274" t="s">
        <v>20</v>
      </c>
      <c r="I707" s="274" t="s">
        <v>165</v>
      </c>
      <c r="J707" s="274" t="s">
        <v>928</v>
      </c>
      <c r="K707" s="274" t="s">
        <v>176</v>
      </c>
      <c r="L707" s="274">
        <v>50</v>
      </c>
      <c r="M707" s="274" t="s">
        <v>177</v>
      </c>
      <c r="N707" s="274">
        <v>1005</v>
      </c>
      <c r="O707" s="274">
        <v>1000</v>
      </c>
      <c r="P707" s="274">
        <v>4100</v>
      </c>
      <c r="Q707" s="274">
        <v>2</v>
      </c>
      <c r="R707" s="274">
        <v>3</v>
      </c>
      <c r="S707" s="274" t="s">
        <v>354</v>
      </c>
      <c r="T707" s="274" t="s">
        <v>2273</v>
      </c>
      <c r="U707" s="274" t="s">
        <v>2274</v>
      </c>
      <c r="V707" s="274" t="s">
        <v>355</v>
      </c>
      <c r="W707" s="274" t="s">
        <v>928</v>
      </c>
      <c r="X707" s="274" t="s">
        <v>928</v>
      </c>
      <c r="Y707" s="143"/>
      <c r="Z707" s="146" t="str">
        <f t="shared" ca="1" si="11"/>
        <v/>
      </c>
      <c r="AA707" s="146" t="str">
        <f ca="1">IFERROR(IF(OR(OFFSET('S4'!#REF!,MATCH($A707,'S4'!$D$5:$D$2535,0)-1,6)="巻返し",OFFSET('S4'!#REF!,MATCH($A707,'S4'!$D$5:$D$2535,0)-1,6)="スリット"),SUMIF('S4'!$D$5:$D$2535,$A707,'S4'!$U$5:$U$2535),""),"")</f>
        <v/>
      </c>
      <c r="AB707" s="146" t="str">
        <f ca="1">IFERROR(IF(OR(OFFSET('S5'!#REF!,MATCH($A707,'S5'!$D$5:$D$2103,0)-1,6)="巻返し",OFFSET('S5'!#REF!,MATCH($A707,'S5'!$D$5:$D$2103,0)-1,6)="スリット"),SUMIF('S5'!$D$5:$D$2103,$A707,'S5'!$T$5:$T$2103),""),"")</f>
        <v/>
      </c>
    </row>
    <row r="708" spans="1:28" s="141" customFormat="1" ht="13.5" x14ac:dyDescent="0.15">
      <c r="A708" s="274">
        <v>3746133</v>
      </c>
      <c r="B708" s="274" t="s">
        <v>351</v>
      </c>
      <c r="C708" s="274" t="s">
        <v>1806</v>
      </c>
      <c r="D708" s="274" t="s">
        <v>353</v>
      </c>
      <c r="E708" s="274" t="s">
        <v>148</v>
      </c>
      <c r="F708" s="274" t="s">
        <v>1823</v>
      </c>
      <c r="G708" s="274" t="s">
        <v>19</v>
      </c>
      <c r="H708" s="274" t="s">
        <v>20</v>
      </c>
      <c r="I708" s="274" t="s">
        <v>165</v>
      </c>
      <c r="J708" s="274" t="s">
        <v>928</v>
      </c>
      <c r="K708" s="274" t="s">
        <v>169</v>
      </c>
      <c r="L708" s="274">
        <v>50</v>
      </c>
      <c r="M708" s="274" t="s">
        <v>170</v>
      </c>
      <c r="N708" s="274">
        <v>1120</v>
      </c>
      <c r="O708" s="274">
        <v>1120</v>
      </c>
      <c r="P708" s="274">
        <v>6000</v>
      </c>
      <c r="Q708" s="274">
        <v>2</v>
      </c>
      <c r="R708" s="274">
        <v>2</v>
      </c>
      <c r="S708" s="274" t="s">
        <v>354</v>
      </c>
      <c r="T708" s="274" t="s">
        <v>2273</v>
      </c>
      <c r="U708" s="274" t="s">
        <v>2266</v>
      </c>
      <c r="V708" s="274" t="s">
        <v>355</v>
      </c>
      <c r="W708" s="274" t="s">
        <v>928</v>
      </c>
      <c r="X708" s="339"/>
      <c r="Y708" s="143"/>
      <c r="Z708" s="146" t="str">
        <f t="shared" ca="1" si="11"/>
        <v/>
      </c>
      <c r="AA708" s="146" t="str">
        <f ca="1">IFERROR(IF(OR(OFFSET('S4'!#REF!,MATCH($A708,'S4'!$D$5:$D$2535,0)-1,6)="巻返し",OFFSET('S4'!#REF!,MATCH($A708,'S4'!$D$5:$D$2535,0)-1,6)="スリット"),SUMIF('S4'!$D$5:$D$2535,$A708,'S4'!$U$5:$U$2535),""),"")</f>
        <v/>
      </c>
      <c r="AB708" s="146" t="str">
        <f ca="1">IFERROR(IF(OR(OFFSET('S5'!#REF!,MATCH($A708,'S5'!$D$5:$D$2103,0)-1,6)="巻返し",OFFSET('S5'!#REF!,MATCH($A708,'S5'!$D$5:$D$2103,0)-1,6)="スリット"),SUMIF('S5'!$D$5:$D$2103,$A708,'S5'!$T$5:$T$2103),""),"")</f>
        <v/>
      </c>
    </row>
    <row r="709" spans="1:28" s="141" customFormat="1" ht="13.5" x14ac:dyDescent="0.15">
      <c r="A709" s="274">
        <v>3748890</v>
      </c>
      <c r="B709" s="274" t="s">
        <v>423</v>
      </c>
      <c r="C709" s="274" t="s">
        <v>1806</v>
      </c>
      <c r="D709" s="274" t="s">
        <v>353</v>
      </c>
      <c r="E709" s="274" t="s">
        <v>116</v>
      </c>
      <c r="F709" s="274">
        <v>3</v>
      </c>
      <c r="G709" s="274" t="s">
        <v>265</v>
      </c>
      <c r="H709" s="274" t="s">
        <v>20</v>
      </c>
      <c r="I709" s="274" t="s">
        <v>165</v>
      </c>
      <c r="J709" s="274" t="s">
        <v>928</v>
      </c>
      <c r="K709" s="274" t="s">
        <v>319</v>
      </c>
      <c r="L709" s="274">
        <v>25</v>
      </c>
      <c r="M709" s="274" t="s">
        <v>320</v>
      </c>
      <c r="N709" s="274">
        <v>1000</v>
      </c>
      <c r="O709" s="274">
        <v>1000</v>
      </c>
      <c r="P709" s="274">
        <v>2000</v>
      </c>
      <c r="Q709" s="274">
        <v>2</v>
      </c>
      <c r="R709" s="274">
        <v>2</v>
      </c>
      <c r="S709" s="274" t="s">
        <v>354</v>
      </c>
      <c r="T709" s="274" t="s">
        <v>2337</v>
      </c>
      <c r="U709" s="274" t="s">
        <v>2266</v>
      </c>
      <c r="V709" s="274" t="s">
        <v>355</v>
      </c>
      <c r="W709" s="274" t="s">
        <v>928</v>
      </c>
      <c r="X709" s="274" t="s">
        <v>928</v>
      </c>
      <c r="Y709" s="143"/>
      <c r="Z709" s="146" t="str">
        <f t="shared" ca="1" si="11"/>
        <v/>
      </c>
      <c r="AA709" s="146" t="str">
        <f ca="1">IFERROR(IF(OR(OFFSET('S4'!#REF!,MATCH($A709,'S4'!$D$5:$D$2535,0)-1,6)="巻返し",OFFSET('S4'!#REF!,MATCH($A709,'S4'!$D$5:$D$2535,0)-1,6)="スリット"),SUMIF('S4'!$D$5:$D$2535,$A709,'S4'!$U$5:$U$2535),""),"")</f>
        <v/>
      </c>
      <c r="AB709" s="146" t="str">
        <f ca="1">IFERROR(IF(OR(OFFSET('S5'!#REF!,MATCH($A709,'S5'!$D$5:$D$2103,0)-1,6)="巻返し",OFFSET('S5'!#REF!,MATCH($A709,'S5'!$D$5:$D$2103,0)-1,6)="スリット"),SUMIF('S5'!$D$5:$D$2103,$A709,'S5'!$T$5:$T$2103),""),"")</f>
        <v/>
      </c>
    </row>
    <row r="710" spans="1:28" s="141" customFormat="1" ht="13.5" x14ac:dyDescent="0.15">
      <c r="A710" s="274">
        <v>3749856</v>
      </c>
      <c r="B710" s="274" t="s">
        <v>351</v>
      </c>
      <c r="C710" s="274" t="s">
        <v>1806</v>
      </c>
      <c r="D710" s="274" t="s">
        <v>353</v>
      </c>
      <c r="E710" s="274" t="s">
        <v>171</v>
      </c>
      <c r="F710" s="274">
        <v>3</v>
      </c>
      <c r="G710" s="274" t="s">
        <v>19</v>
      </c>
      <c r="H710" s="274" t="s">
        <v>20</v>
      </c>
      <c r="I710" s="274" t="s">
        <v>165</v>
      </c>
      <c r="J710" s="274" t="s">
        <v>928</v>
      </c>
      <c r="K710" s="274" t="s">
        <v>180</v>
      </c>
      <c r="L710" s="274">
        <v>50</v>
      </c>
      <c r="M710" s="274" t="s">
        <v>181</v>
      </c>
      <c r="N710" s="274">
        <v>1200</v>
      </c>
      <c r="O710" s="274">
        <v>1190</v>
      </c>
      <c r="P710" s="274">
        <v>6000</v>
      </c>
      <c r="Q710" s="274">
        <v>2</v>
      </c>
      <c r="R710" s="274">
        <v>8</v>
      </c>
      <c r="S710" s="274" t="s">
        <v>354</v>
      </c>
      <c r="T710" s="274" t="s">
        <v>2361</v>
      </c>
      <c r="U710" s="274" t="s">
        <v>2266</v>
      </c>
      <c r="V710" s="274" t="s">
        <v>355</v>
      </c>
      <c r="W710" s="274" t="s">
        <v>928</v>
      </c>
      <c r="X710" s="274" t="s">
        <v>928</v>
      </c>
      <c r="Y710" s="143"/>
      <c r="Z710" s="146" t="str">
        <f t="shared" ca="1" si="11"/>
        <v/>
      </c>
      <c r="AA710" s="146" t="str">
        <f ca="1">IFERROR(IF(OR(OFFSET('S4'!#REF!,MATCH($A710,'S4'!$D$5:$D$2535,0)-1,6)="巻返し",OFFSET('S4'!#REF!,MATCH($A710,'S4'!$D$5:$D$2535,0)-1,6)="スリット"),SUMIF('S4'!$D$5:$D$2535,$A710,'S4'!$U$5:$U$2535),""),"")</f>
        <v/>
      </c>
      <c r="AB710" s="146" t="str">
        <f ca="1">IFERROR(IF(OR(OFFSET('S5'!#REF!,MATCH($A710,'S5'!$D$5:$D$2103,0)-1,6)="巻返し",OFFSET('S5'!#REF!,MATCH($A710,'S5'!$D$5:$D$2103,0)-1,6)="スリット"),SUMIF('S5'!$D$5:$D$2103,$A710,'S5'!$T$5:$T$2103),""),"")</f>
        <v/>
      </c>
    </row>
    <row r="711" spans="1:28" s="141" customFormat="1" ht="13.5" x14ac:dyDescent="0.15">
      <c r="A711" s="274">
        <v>3749857</v>
      </c>
      <c r="B711" s="274" t="s">
        <v>351</v>
      </c>
      <c r="C711" s="274" t="s">
        <v>1806</v>
      </c>
      <c r="D711" s="274" t="s">
        <v>353</v>
      </c>
      <c r="E711" s="274" t="s">
        <v>148</v>
      </c>
      <c r="F711" s="274" t="s">
        <v>1823</v>
      </c>
      <c r="G711" s="274" t="s">
        <v>19</v>
      </c>
      <c r="H711" s="274" t="s">
        <v>20</v>
      </c>
      <c r="I711" s="274" t="s">
        <v>165</v>
      </c>
      <c r="J711" s="274" t="s">
        <v>928</v>
      </c>
      <c r="K711" s="274" t="s">
        <v>169</v>
      </c>
      <c r="L711" s="274">
        <v>50</v>
      </c>
      <c r="M711" s="274" t="s">
        <v>170</v>
      </c>
      <c r="N711" s="274">
        <v>1120</v>
      </c>
      <c r="O711" s="274">
        <v>1120</v>
      </c>
      <c r="P711" s="274">
        <v>6000</v>
      </c>
      <c r="Q711" s="274">
        <v>2</v>
      </c>
      <c r="R711" s="274">
        <v>2</v>
      </c>
      <c r="S711" s="274" t="s">
        <v>354</v>
      </c>
      <c r="T711" s="274" t="s">
        <v>2361</v>
      </c>
      <c r="U711" s="274" t="s">
        <v>2266</v>
      </c>
      <c r="V711" s="274" t="s">
        <v>355</v>
      </c>
      <c r="W711" s="274" t="s">
        <v>928</v>
      </c>
      <c r="X711" s="274" t="s">
        <v>928</v>
      </c>
      <c r="Y711" s="143"/>
      <c r="Z711" s="146" t="str">
        <f t="shared" ca="1" si="11"/>
        <v/>
      </c>
      <c r="AA711" s="146" t="str">
        <f ca="1">IFERROR(IF(OR(OFFSET('S4'!#REF!,MATCH($A711,'S4'!$D$5:$D$2535,0)-1,6)="巻返し",OFFSET('S4'!#REF!,MATCH($A711,'S4'!$D$5:$D$2535,0)-1,6)="スリット"),SUMIF('S4'!$D$5:$D$2535,$A711,'S4'!$U$5:$U$2535),""),"")</f>
        <v/>
      </c>
      <c r="AB711" s="146" t="str">
        <f ca="1">IFERROR(IF(OR(OFFSET('S5'!#REF!,MATCH($A711,'S5'!$D$5:$D$2103,0)-1,6)="巻返し",OFFSET('S5'!#REF!,MATCH($A711,'S5'!$D$5:$D$2103,0)-1,6)="スリット"),SUMIF('S5'!$D$5:$D$2103,$A711,'S5'!$T$5:$T$2103),""),"")</f>
        <v/>
      </c>
    </row>
    <row r="712" spans="1:28" s="141" customFormat="1" ht="13.5" x14ac:dyDescent="0.15">
      <c r="A712" s="274">
        <v>3750056</v>
      </c>
      <c r="B712" s="274" t="s">
        <v>351</v>
      </c>
      <c r="C712" s="274" t="s">
        <v>1801</v>
      </c>
      <c r="D712" s="274" t="s">
        <v>353</v>
      </c>
      <c r="E712" s="274" t="s">
        <v>17</v>
      </c>
      <c r="F712" s="274">
        <v>3</v>
      </c>
      <c r="G712" s="274" t="s">
        <v>19</v>
      </c>
      <c r="H712" s="274" t="s">
        <v>20</v>
      </c>
      <c r="I712" s="274" t="s">
        <v>205</v>
      </c>
      <c r="J712" s="274" t="s">
        <v>928</v>
      </c>
      <c r="K712" s="274" t="s">
        <v>230</v>
      </c>
      <c r="L712" s="274">
        <v>25</v>
      </c>
      <c r="M712" s="274" t="s">
        <v>231</v>
      </c>
      <c r="N712" s="274">
        <v>1020</v>
      </c>
      <c r="O712" s="274">
        <v>1020</v>
      </c>
      <c r="P712" s="274">
        <v>2000</v>
      </c>
      <c r="Q712" s="274">
        <v>2</v>
      </c>
      <c r="R712" s="274">
        <v>6</v>
      </c>
      <c r="S712" s="274" t="s">
        <v>354</v>
      </c>
      <c r="T712" s="274" t="s">
        <v>2361</v>
      </c>
      <c r="U712" s="274" t="s">
        <v>2363</v>
      </c>
      <c r="V712" s="274" t="s">
        <v>355</v>
      </c>
      <c r="W712" s="274" t="s">
        <v>928</v>
      </c>
      <c r="X712" s="274" t="s">
        <v>928</v>
      </c>
      <c r="Y712" s="143"/>
      <c r="Z712" s="146" t="str">
        <f t="shared" ca="1" si="11"/>
        <v/>
      </c>
      <c r="AA712" s="146" t="str">
        <f ca="1">IFERROR(IF(OR(OFFSET('S4'!#REF!,MATCH($A712,'S4'!$D$5:$D$2535,0)-1,6)="巻返し",OFFSET('S4'!#REF!,MATCH($A712,'S4'!$D$5:$D$2535,0)-1,6)="スリット"),SUMIF('S4'!$D$5:$D$2535,$A712,'S4'!$U$5:$U$2535),""),"")</f>
        <v/>
      </c>
      <c r="AB712" s="146" t="str">
        <f ca="1">IFERROR(IF(OR(OFFSET('S5'!#REF!,MATCH($A712,'S5'!$D$5:$D$2103,0)-1,6)="巻返し",OFFSET('S5'!#REF!,MATCH($A712,'S5'!$D$5:$D$2103,0)-1,6)="スリット"),SUMIF('S5'!$D$5:$D$2103,$A712,'S5'!$T$5:$T$2103),""),"")</f>
        <v/>
      </c>
    </row>
    <row r="713" spans="1:28" s="141" customFormat="1" ht="13.5" x14ac:dyDescent="0.15">
      <c r="A713" s="274">
        <v>3750057</v>
      </c>
      <c r="B713" s="274" t="s">
        <v>351</v>
      </c>
      <c r="C713" s="274" t="s">
        <v>1801</v>
      </c>
      <c r="D713" s="274" t="s">
        <v>353</v>
      </c>
      <c r="E713" s="274" t="s">
        <v>229</v>
      </c>
      <c r="F713" s="274">
        <v>3</v>
      </c>
      <c r="G713" s="274" t="s">
        <v>19</v>
      </c>
      <c r="H713" s="274" t="s">
        <v>20</v>
      </c>
      <c r="I713" s="274" t="s">
        <v>205</v>
      </c>
      <c r="J713" s="274" t="s">
        <v>928</v>
      </c>
      <c r="K713" s="274" t="s">
        <v>230</v>
      </c>
      <c r="L713" s="274">
        <v>25</v>
      </c>
      <c r="M713" s="274" t="s">
        <v>231</v>
      </c>
      <c r="N713" s="274">
        <v>1000</v>
      </c>
      <c r="O713" s="274">
        <v>1000</v>
      </c>
      <c r="P713" s="274">
        <v>2000</v>
      </c>
      <c r="Q713" s="274">
        <v>2</v>
      </c>
      <c r="R713" s="274">
        <v>6</v>
      </c>
      <c r="S713" s="274" t="s">
        <v>354</v>
      </c>
      <c r="T713" s="274" t="s">
        <v>2361</v>
      </c>
      <c r="U713" s="274" t="s">
        <v>2363</v>
      </c>
      <c r="V713" s="274" t="s">
        <v>355</v>
      </c>
      <c r="W713" s="274" t="s">
        <v>928</v>
      </c>
      <c r="X713" s="274" t="s">
        <v>928</v>
      </c>
      <c r="Y713" s="143"/>
      <c r="Z713" s="146" t="str">
        <f t="shared" ca="1" si="11"/>
        <v/>
      </c>
      <c r="AA713" s="146" t="str">
        <f ca="1">IFERROR(IF(OR(OFFSET('S4'!#REF!,MATCH($A713,'S4'!$D$5:$D$2535,0)-1,6)="巻返し",OFFSET('S4'!#REF!,MATCH($A713,'S4'!$D$5:$D$2535,0)-1,6)="スリット"),SUMIF('S4'!$D$5:$D$2535,$A713,'S4'!$U$5:$U$2535),""),"")</f>
        <v/>
      </c>
      <c r="AB713" s="146" t="str">
        <f ca="1">IFERROR(IF(OR(OFFSET('S5'!#REF!,MATCH($A713,'S5'!$D$5:$D$2103,0)-1,6)="巻返し",OFFSET('S5'!#REF!,MATCH($A713,'S5'!$D$5:$D$2103,0)-1,6)="スリット"),SUMIF('S5'!$D$5:$D$2103,$A713,'S5'!$T$5:$T$2103),""),"")</f>
        <v/>
      </c>
    </row>
    <row r="714" spans="1:28" s="141" customFormat="1" ht="13.5" x14ac:dyDescent="0.15">
      <c r="A714" s="274">
        <v>3750058</v>
      </c>
      <c r="B714" s="274" t="s">
        <v>351</v>
      </c>
      <c r="C714" s="274" t="s">
        <v>1808</v>
      </c>
      <c r="D714" s="274" t="s">
        <v>353</v>
      </c>
      <c r="E714" s="274" t="s">
        <v>753</v>
      </c>
      <c r="F714" s="274">
        <v>3</v>
      </c>
      <c r="G714" s="274" t="s">
        <v>19</v>
      </c>
      <c r="H714" s="274" t="s">
        <v>20</v>
      </c>
      <c r="I714" s="274" t="s">
        <v>205</v>
      </c>
      <c r="J714" s="274" t="s">
        <v>928</v>
      </c>
      <c r="K714" s="274" t="s">
        <v>230</v>
      </c>
      <c r="L714" s="274">
        <v>25</v>
      </c>
      <c r="M714" s="274" t="s">
        <v>231</v>
      </c>
      <c r="N714" s="274">
        <v>510</v>
      </c>
      <c r="O714" s="274">
        <v>510</v>
      </c>
      <c r="P714" s="274">
        <v>2000</v>
      </c>
      <c r="Q714" s="274">
        <v>1</v>
      </c>
      <c r="R714" s="274">
        <v>12</v>
      </c>
      <c r="S714" s="274" t="s">
        <v>354</v>
      </c>
      <c r="T714" s="274" t="s">
        <v>2361</v>
      </c>
      <c r="U714" s="274" t="s">
        <v>2363</v>
      </c>
      <c r="V714" s="274" t="s">
        <v>355</v>
      </c>
      <c r="W714" s="274" t="s">
        <v>928</v>
      </c>
      <c r="X714" s="274" t="s">
        <v>928</v>
      </c>
      <c r="Y714" s="143"/>
      <c r="Z714" s="146" t="str">
        <f t="shared" ca="1" si="11"/>
        <v/>
      </c>
      <c r="AA714" s="146" t="str">
        <f ca="1">IFERROR(IF(OR(OFFSET('S4'!#REF!,MATCH($A714,'S4'!$D$5:$D$2535,0)-1,6)="巻返し",OFFSET('S4'!#REF!,MATCH($A714,'S4'!$D$5:$D$2535,0)-1,6)="スリット"),SUMIF('S4'!$D$5:$D$2535,$A714,'S4'!$U$5:$U$2535),""),"")</f>
        <v/>
      </c>
      <c r="AB714" s="146" t="str">
        <f ca="1">IFERROR(IF(OR(OFFSET('S5'!#REF!,MATCH($A714,'S5'!$D$5:$D$2103,0)-1,6)="巻返し",OFFSET('S5'!#REF!,MATCH($A714,'S5'!$D$5:$D$2103,0)-1,6)="スリット"),SUMIF('S5'!$D$5:$D$2103,$A714,'S5'!$T$5:$T$2103),""),"")</f>
        <v/>
      </c>
    </row>
    <row r="715" spans="1:28" s="141" customFormat="1" ht="13.5" x14ac:dyDescent="0.15">
      <c r="A715" s="274">
        <v>3750059</v>
      </c>
      <c r="B715" s="274" t="s">
        <v>351</v>
      </c>
      <c r="C715" s="274" t="s">
        <v>1808</v>
      </c>
      <c r="D715" s="274" t="s">
        <v>353</v>
      </c>
      <c r="E715" s="274" t="s">
        <v>61</v>
      </c>
      <c r="F715" s="274">
        <v>3</v>
      </c>
      <c r="G715" s="274" t="s">
        <v>19</v>
      </c>
      <c r="H715" s="274" t="s">
        <v>20</v>
      </c>
      <c r="I715" s="274" t="s">
        <v>205</v>
      </c>
      <c r="J715" s="274" t="s">
        <v>928</v>
      </c>
      <c r="K715" s="274" t="s">
        <v>242</v>
      </c>
      <c r="L715" s="274">
        <v>50</v>
      </c>
      <c r="M715" s="274" t="s">
        <v>243</v>
      </c>
      <c r="N715" s="274">
        <v>1255</v>
      </c>
      <c r="O715" s="274">
        <v>1250</v>
      </c>
      <c r="P715" s="274">
        <v>2000</v>
      </c>
      <c r="Q715" s="274">
        <v>2</v>
      </c>
      <c r="R715" s="274">
        <v>6</v>
      </c>
      <c r="S715" s="274" t="s">
        <v>354</v>
      </c>
      <c r="T715" s="274" t="s">
        <v>2361</v>
      </c>
      <c r="U715" s="274" t="s">
        <v>2363</v>
      </c>
      <c r="V715" s="274" t="s">
        <v>355</v>
      </c>
      <c r="W715" s="274" t="s">
        <v>928</v>
      </c>
      <c r="X715" s="274" t="s">
        <v>928</v>
      </c>
      <c r="Y715" s="143"/>
      <c r="Z715" s="146" t="str">
        <f t="shared" ca="1" si="11"/>
        <v/>
      </c>
      <c r="AA715" s="146" t="str">
        <f ca="1">IFERROR(IF(OR(OFFSET('S4'!#REF!,MATCH($A715,'S4'!$D$5:$D$2535,0)-1,6)="巻返し",OFFSET('S4'!#REF!,MATCH($A715,'S4'!$D$5:$D$2535,0)-1,6)="スリット"),SUMIF('S4'!$D$5:$D$2535,$A715,'S4'!$U$5:$U$2535),""),"")</f>
        <v/>
      </c>
      <c r="AB715" s="146" t="str">
        <f ca="1">IFERROR(IF(OR(OFFSET('S5'!#REF!,MATCH($A715,'S5'!$D$5:$D$2103,0)-1,6)="巻返し",OFFSET('S5'!#REF!,MATCH($A715,'S5'!$D$5:$D$2103,0)-1,6)="スリット"),SUMIF('S5'!$D$5:$D$2103,$A715,'S5'!$T$5:$T$2103),""),"")</f>
        <v/>
      </c>
    </row>
    <row r="716" spans="1:28" s="141" customFormat="1" ht="13.5" x14ac:dyDescent="0.15">
      <c r="A716" s="274">
        <v>3750060</v>
      </c>
      <c r="B716" s="274" t="s">
        <v>351</v>
      </c>
      <c r="C716" s="274" t="s">
        <v>1806</v>
      </c>
      <c r="D716" s="274" t="s">
        <v>353</v>
      </c>
      <c r="E716" s="274" t="s">
        <v>171</v>
      </c>
      <c r="F716" s="274">
        <v>3</v>
      </c>
      <c r="G716" s="274" t="s">
        <v>19</v>
      </c>
      <c r="H716" s="274" t="s">
        <v>20</v>
      </c>
      <c r="I716" s="274" t="s">
        <v>165</v>
      </c>
      <c r="J716" s="274" t="s">
        <v>928</v>
      </c>
      <c r="K716" s="274" t="s">
        <v>180</v>
      </c>
      <c r="L716" s="274">
        <v>50</v>
      </c>
      <c r="M716" s="274" t="s">
        <v>181</v>
      </c>
      <c r="N716" s="274">
        <v>1200</v>
      </c>
      <c r="O716" s="274">
        <v>1190</v>
      </c>
      <c r="P716" s="274">
        <v>6000</v>
      </c>
      <c r="Q716" s="274">
        <v>2</v>
      </c>
      <c r="R716" s="274">
        <v>12</v>
      </c>
      <c r="S716" s="274" t="s">
        <v>354</v>
      </c>
      <c r="T716" s="274" t="s">
        <v>2361</v>
      </c>
      <c r="U716" s="274" t="s">
        <v>2363</v>
      </c>
      <c r="V716" s="274" t="s">
        <v>355</v>
      </c>
      <c r="W716" s="274" t="s">
        <v>928</v>
      </c>
      <c r="X716" s="274" t="s">
        <v>928</v>
      </c>
      <c r="Y716" s="143"/>
      <c r="Z716" s="146" t="str">
        <f t="shared" ca="1" si="11"/>
        <v/>
      </c>
      <c r="AA716" s="146" t="str">
        <f ca="1">IFERROR(IF(OR(OFFSET('S4'!#REF!,MATCH($A716,'S4'!$D$5:$D$2535,0)-1,6)="巻返し",OFFSET('S4'!#REF!,MATCH($A716,'S4'!$D$5:$D$2535,0)-1,6)="スリット"),SUMIF('S4'!$D$5:$D$2535,$A716,'S4'!$U$5:$U$2535),""),"")</f>
        <v/>
      </c>
      <c r="AB716" s="146" t="str">
        <f ca="1">IFERROR(IF(OR(OFFSET('S5'!#REF!,MATCH($A716,'S5'!$D$5:$D$2103,0)-1,6)="巻返し",OFFSET('S5'!#REF!,MATCH($A716,'S5'!$D$5:$D$2103,0)-1,6)="スリット"),SUMIF('S5'!$D$5:$D$2103,$A716,'S5'!$T$5:$T$2103),""),"")</f>
        <v/>
      </c>
    </row>
    <row r="717" spans="1:28" s="141" customFormat="1" ht="13.5" x14ac:dyDescent="0.15">
      <c r="A717" s="274">
        <v>3750061</v>
      </c>
      <c r="B717" s="274" t="s">
        <v>351</v>
      </c>
      <c r="C717" s="274" t="s">
        <v>1806</v>
      </c>
      <c r="D717" s="274" t="s">
        <v>353</v>
      </c>
      <c r="E717" s="274" t="s">
        <v>148</v>
      </c>
      <c r="F717" s="274" t="s">
        <v>1823</v>
      </c>
      <c r="G717" s="274" t="s">
        <v>19</v>
      </c>
      <c r="H717" s="274" t="s">
        <v>20</v>
      </c>
      <c r="I717" s="274" t="s">
        <v>165</v>
      </c>
      <c r="J717" s="274" t="s">
        <v>928</v>
      </c>
      <c r="K717" s="274" t="s">
        <v>169</v>
      </c>
      <c r="L717" s="274">
        <v>50</v>
      </c>
      <c r="M717" s="274" t="s">
        <v>170</v>
      </c>
      <c r="N717" s="274">
        <v>1120</v>
      </c>
      <c r="O717" s="274">
        <v>1120</v>
      </c>
      <c r="P717" s="274">
        <v>6000</v>
      </c>
      <c r="Q717" s="274">
        <v>2</v>
      </c>
      <c r="R717" s="274">
        <v>3</v>
      </c>
      <c r="S717" s="274" t="s">
        <v>354</v>
      </c>
      <c r="T717" s="274" t="s">
        <v>2361</v>
      </c>
      <c r="U717" s="274" t="s">
        <v>2363</v>
      </c>
      <c r="V717" s="274" t="s">
        <v>355</v>
      </c>
      <c r="W717" s="274" t="s">
        <v>928</v>
      </c>
      <c r="X717" s="274" t="s">
        <v>928</v>
      </c>
      <c r="Y717" s="143"/>
      <c r="Z717" s="146" t="str">
        <f t="shared" ca="1" si="11"/>
        <v/>
      </c>
      <c r="AA717" s="146" t="str">
        <f ca="1">IFERROR(IF(OR(OFFSET('S4'!#REF!,MATCH($A717,'S4'!$D$5:$D$2535,0)-1,6)="巻返し",OFFSET('S4'!#REF!,MATCH($A717,'S4'!$D$5:$D$2535,0)-1,6)="スリット"),SUMIF('S4'!$D$5:$D$2535,$A717,'S4'!$U$5:$U$2535),""),"")</f>
        <v/>
      </c>
      <c r="AB717" s="146" t="str">
        <f ca="1">IFERROR(IF(OR(OFFSET('S5'!#REF!,MATCH($A717,'S5'!$D$5:$D$2103,0)-1,6)="巻返し",OFFSET('S5'!#REF!,MATCH($A717,'S5'!$D$5:$D$2103,0)-1,6)="スリット"),SUMIF('S5'!$D$5:$D$2103,$A717,'S5'!$T$5:$T$2103),""),"")</f>
        <v/>
      </c>
    </row>
    <row r="718" spans="1:28" s="141" customFormat="1" ht="13.5" x14ac:dyDescent="0.15">
      <c r="A718" s="274">
        <v>3750062</v>
      </c>
      <c r="B718" s="274" t="s">
        <v>351</v>
      </c>
      <c r="C718" s="274" t="s">
        <v>1806</v>
      </c>
      <c r="D718" s="274" t="s">
        <v>353</v>
      </c>
      <c r="E718" s="274" t="s">
        <v>148</v>
      </c>
      <c r="F718" s="274" t="s">
        <v>1823</v>
      </c>
      <c r="G718" s="274" t="s">
        <v>19</v>
      </c>
      <c r="H718" s="274" t="s">
        <v>20</v>
      </c>
      <c r="I718" s="274" t="s">
        <v>165</v>
      </c>
      <c r="J718" s="274" t="s">
        <v>928</v>
      </c>
      <c r="K718" s="274" t="s">
        <v>169</v>
      </c>
      <c r="L718" s="274">
        <v>50</v>
      </c>
      <c r="M718" s="274" t="s">
        <v>170</v>
      </c>
      <c r="N718" s="274">
        <v>1120</v>
      </c>
      <c r="O718" s="274">
        <v>1120</v>
      </c>
      <c r="P718" s="274">
        <v>6000</v>
      </c>
      <c r="Q718" s="274">
        <v>2</v>
      </c>
      <c r="R718" s="274">
        <v>1</v>
      </c>
      <c r="S718" s="274" t="s">
        <v>354</v>
      </c>
      <c r="T718" s="274" t="s">
        <v>2361</v>
      </c>
      <c r="U718" s="274" t="s">
        <v>2363</v>
      </c>
      <c r="V718" s="274" t="s">
        <v>355</v>
      </c>
      <c r="W718" s="274" t="s">
        <v>928</v>
      </c>
      <c r="X718" s="274" t="s">
        <v>928</v>
      </c>
      <c r="Y718" s="143"/>
      <c r="Z718" s="146" t="str">
        <f t="shared" ca="1" si="11"/>
        <v/>
      </c>
      <c r="AA718" s="146" t="str">
        <f ca="1">IFERROR(IF(OR(OFFSET('S4'!#REF!,MATCH($A718,'S4'!$D$5:$D$2535,0)-1,6)="巻返し",OFFSET('S4'!#REF!,MATCH($A718,'S4'!$D$5:$D$2535,0)-1,6)="スリット"),SUMIF('S4'!$D$5:$D$2535,$A718,'S4'!$U$5:$U$2535),""),"")</f>
        <v/>
      </c>
      <c r="AB718" s="146" t="str">
        <f ca="1">IFERROR(IF(OR(OFFSET('S5'!#REF!,MATCH($A718,'S5'!$D$5:$D$2103,0)-1,6)="巻返し",OFFSET('S5'!#REF!,MATCH($A718,'S5'!$D$5:$D$2103,0)-1,6)="スリット"),SUMIF('S5'!$D$5:$D$2103,$A718,'S5'!$T$5:$T$2103),""),"")</f>
        <v/>
      </c>
    </row>
    <row r="719" spans="1:28" s="141" customFormat="1" ht="13.5" x14ac:dyDescent="0.15">
      <c r="A719" s="274">
        <v>3750063</v>
      </c>
      <c r="B719" s="274" t="s">
        <v>351</v>
      </c>
      <c r="C719" s="274" t="s">
        <v>1806</v>
      </c>
      <c r="D719" s="274" t="s">
        <v>353</v>
      </c>
      <c r="E719" s="274" t="s">
        <v>148</v>
      </c>
      <c r="F719" s="274">
        <v>3</v>
      </c>
      <c r="G719" s="274" t="s">
        <v>19</v>
      </c>
      <c r="H719" s="274" t="s">
        <v>20</v>
      </c>
      <c r="I719" s="274" t="s">
        <v>165</v>
      </c>
      <c r="J719" s="274" t="s">
        <v>928</v>
      </c>
      <c r="K719" s="274" t="s">
        <v>190</v>
      </c>
      <c r="L719" s="274">
        <v>25</v>
      </c>
      <c r="M719" s="274" t="s">
        <v>191</v>
      </c>
      <c r="N719" s="274">
        <v>1020</v>
      </c>
      <c r="O719" s="274">
        <v>1020</v>
      </c>
      <c r="P719" s="274">
        <v>6000</v>
      </c>
      <c r="Q719" s="274">
        <v>2</v>
      </c>
      <c r="R719" s="274">
        <v>2</v>
      </c>
      <c r="S719" s="274" t="s">
        <v>354</v>
      </c>
      <c r="T719" s="274" t="s">
        <v>2361</v>
      </c>
      <c r="U719" s="274" t="s">
        <v>2363</v>
      </c>
      <c r="V719" s="274" t="s">
        <v>355</v>
      </c>
      <c r="W719" s="274" t="s">
        <v>928</v>
      </c>
      <c r="X719" s="274" t="s">
        <v>928</v>
      </c>
      <c r="Y719" s="143"/>
      <c r="Z719" s="146" t="str">
        <f t="shared" ca="1" si="11"/>
        <v/>
      </c>
      <c r="AA719" s="146" t="str">
        <f ca="1">IFERROR(IF(OR(OFFSET('S4'!#REF!,MATCH($A719,'S4'!$D$5:$D$2535,0)-1,6)="巻返し",OFFSET('S4'!#REF!,MATCH($A719,'S4'!$D$5:$D$2535,0)-1,6)="スリット"),SUMIF('S4'!$D$5:$D$2535,$A719,'S4'!$U$5:$U$2535),""),"")</f>
        <v/>
      </c>
      <c r="AB719" s="146" t="str">
        <f ca="1">IFERROR(IF(OR(OFFSET('S5'!#REF!,MATCH($A719,'S5'!$D$5:$D$2103,0)-1,6)="巻返し",OFFSET('S5'!#REF!,MATCH($A719,'S5'!$D$5:$D$2103,0)-1,6)="スリット"),SUMIF('S5'!$D$5:$D$2103,$A719,'S5'!$T$5:$T$2103),""),"")</f>
        <v/>
      </c>
    </row>
    <row r="720" spans="1:28" s="141" customFormat="1" ht="13.5" x14ac:dyDescent="0.15">
      <c r="A720" s="274">
        <v>3750064</v>
      </c>
      <c r="B720" s="274" t="s">
        <v>351</v>
      </c>
      <c r="C720" s="274" t="s">
        <v>1806</v>
      </c>
      <c r="D720" s="274" t="s">
        <v>353</v>
      </c>
      <c r="E720" s="274" t="s">
        <v>148</v>
      </c>
      <c r="F720" s="274" t="s">
        <v>2376</v>
      </c>
      <c r="G720" s="274" t="s">
        <v>19</v>
      </c>
      <c r="H720" s="274" t="s">
        <v>20</v>
      </c>
      <c r="I720" s="274" t="s">
        <v>165</v>
      </c>
      <c r="J720" s="274" t="s">
        <v>928</v>
      </c>
      <c r="K720" s="274" t="s">
        <v>202</v>
      </c>
      <c r="L720" s="274">
        <v>50</v>
      </c>
      <c r="M720" s="274" t="s">
        <v>424</v>
      </c>
      <c r="N720" s="274">
        <v>1120</v>
      </c>
      <c r="O720" s="274">
        <v>1120</v>
      </c>
      <c r="P720" s="274">
        <v>5000</v>
      </c>
      <c r="Q720" s="274">
        <v>2</v>
      </c>
      <c r="R720" s="274">
        <v>1</v>
      </c>
      <c r="S720" s="274" t="s">
        <v>354</v>
      </c>
      <c r="T720" s="274" t="s">
        <v>2361</v>
      </c>
      <c r="U720" s="274" t="s">
        <v>2363</v>
      </c>
      <c r="V720" s="274" t="s">
        <v>355</v>
      </c>
      <c r="W720" s="274" t="s">
        <v>928</v>
      </c>
      <c r="X720" s="274" t="s">
        <v>928</v>
      </c>
      <c r="Y720" s="143"/>
      <c r="Z720" s="146" t="str">
        <f t="shared" ca="1" si="11"/>
        <v/>
      </c>
      <c r="AA720" s="146" t="str">
        <f ca="1">IFERROR(IF(OR(OFFSET('S4'!#REF!,MATCH($A720,'S4'!$D$5:$D$2535,0)-1,6)="巻返し",OFFSET('S4'!#REF!,MATCH($A720,'S4'!$D$5:$D$2535,0)-1,6)="スリット"),SUMIF('S4'!$D$5:$D$2535,$A720,'S4'!$U$5:$U$2535),""),"")</f>
        <v/>
      </c>
      <c r="AB720" s="146" t="str">
        <f ca="1">IFERROR(IF(OR(OFFSET('S5'!#REF!,MATCH($A720,'S5'!$D$5:$D$2103,0)-1,6)="巻返し",OFFSET('S5'!#REF!,MATCH($A720,'S5'!$D$5:$D$2103,0)-1,6)="スリット"),SUMIF('S5'!$D$5:$D$2103,$A720,'S5'!$T$5:$T$2103),""),"")</f>
        <v/>
      </c>
    </row>
    <row r="721" spans="1:28" s="141" customFormat="1" ht="13.5" x14ac:dyDescent="0.15">
      <c r="A721" s="274">
        <v>3750065</v>
      </c>
      <c r="B721" s="274" t="s">
        <v>351</v>
      </c>
      <c r="C721" s="274" t="s">
        <v>1806</v>
      </c>
      <c r="D721" s="274" t="s">
        <v>353</v>
      </c>
      <c r="E721" s="274" t="s">
        <v>116</v>
      </c>
      <c r="F721" s="274">
        <v>3</v>
      </c>
      <c r="G721" s="274" t="s">
        <v>19</v>
      </c>
      <c r="H721" s="274" t="s">
        <v>20</v>
      </c>
      <c r="I721" s="274" t="s">
        <v>205</v>
      </c>
      <c r="J721" s="274" t="s">
        <v>928</v>
      </c>
      <c r="K721" s="274" t="s">
        <v>212</v>
      </c>
      <c r="L721" s="274">
        <v>25</v>
      </c>
      <c r="M721" s="274" t="s">
        <v>213</v>
      </c>
      <c r="N721" s="274">
        <v>1120</v>
      </c>
      <c r="O721" s="274">
        <v>1120</v>
      </c>
      <c r="P721" s="274">
        <v>4000</v>
      </c>
      <c r="Q721" s="274">
        <v>2</v>
      </c>
      <c r="R721" s="274">
        <v>4</v>
      </c>
      <c r="S721" s="274" t="s">
        <v>354</v>
      </c>
      <c r="T721" s="274" t="s">
        <v>2361</v>
      </c>
      <c r="U721" s="274" t="s">
        <v>2369</v>
      </c>
      <c r="V721" s="274" t="s">
        <v>355</v>
      </c>
      <c r="W721" s="274" t="s">
        <v>928</v>
      </c>
      <c r="X721" s="274" t="s">
        <v>928</v>
      </c>
      <c r="Y721" s="143"/>
      <c r="Z721" s="146" t="str">
        <f t="shared" ca="1" si="11"/>
        <v/>
      </c>
      <c r="AA721" s="146" t="str">
        <f ca="1">IFERROR(IF(OR(OFFSET('S4'!#REF!,MATCH($A721,'S4'!$D$5:$D$2535,0)-1,6)="巻返し",OFFSET('S4'!#REF!,MATCH($A721,'S4'!$D$5:$D$2535,0)-1,6)="スリット"),SUMIF('S4'!$D$5:$D$2535,$A721,'S4'!$U$5:$U$2535),""),"")</f>
        <v/>
      </c>
      <c r="AB721" s="146" t="str">
        <f ca="1">IFERROR(IF(OR(OFFSET('S5'!#REF!,MATCH($A721,'S5'!$D$5:$D$2103,0)-1,6)="巻返し",OFFSET('S5'!#REF!,MATCH($A721,'S5'!$D$5:$D$2103,0)-1,6)="スリット"),SUMIF('S5'!$D$5:$D$2103,$A721,'S5'!$T$5:$T$2103),""),"")</f>
        <v/>
      </c>
    </row>
    <row r="722" spans="1:28" s="141" customFormat="1" ht="13.5" x14ac:dyDescent="0.15">
      <c r="A722" s="274">
        <v>3750066</v>
      </c>
      <c r="B722" s="274" t="s">
        <v>351</v>
      </c>
      <c r="C722" s="274" t="s">
        <v>1806</v>
      </c>
      <c r="D722" s="274" t="s">
        <v>353</v>
      </c>
      <c r="E722" s="274" t="s">
        <v>116</v>
      </c>
      <c r="F722" s="274">
        <v>3</v>
      </c>
      <c r="G722" s="274" t="s">
        <v>19</v>
      </c>
      <c r="H722" s="274" t="s">
        <v>20</v>
      </c>
      <c r="I722" s="274" t="s">
        <v>205</v>
      </c>
      <c r="J722" s="274" t="s">
        <v>928</v>
      </c>
      <c r="K722" s="274" t="s">
        <v>212</v>
      </c>
      <c r="L722" s="274">
        <v>50</v>
      </c>
      <c r="M722" s="274" t="s">
        <v>213</v>
      </c>
      <c r="N722" s="274">
        <v>1120</v>
      </c>
      <c r="O722" s="274">
        <v>1120</v>
      </c>
      <c r="P722" s="274">
        <v>4000</v>
      </c>
      <c r="Q722" s="274">
        <v>2</v>
      </c>
      <c r="R722" s="274">
        <v>30</v>
      </c>
      <c r="S722" s="274" t="s">
        <v>354</v>
      </c>
      <c r="T722" s="274" t="s">
        <v>2361</v>
      </c>
      <c r="U722" s="274" t="s">
        <v>2362</v>
      </c>
      <c r="V722" s="274" t="s">
        <v>355</v>
      </c>
      <c r="W722" s="274" t="s">
        <v>928</v>
      </c>
      <c r="X722" s="274" t="s">
        <v>928</v>
      </c>
      <c r="Y722" s="143"/>
      <c r="Z722" s="146" t="str">
        <f t="shared" ca="1" si="11"/>
        <v/>
      </c>
      <c r="AA722" s="146" t="str">
        <f ca="1">IFERROR(IF(OR(OFFSET('S4'!#REF!,MATCH($A722,'S4'!$D$5:$D$2535,0)-1,6)="巻返し",OFFSET('S4'!#REF!,MATCH($A722,'S4'!$D$5:$D$2535,0)-1,6)="スリット"),SUMIF('S4'!$D$5:$D$2535,$A722,'S4'!$U$5:$U$2535),""),"")</f>
        <v/>
      </c>
      <c r="AB722" s="146" t="str">
        <f ca="1">IFERROR(IF(OR(OFFSET('S5'!#REF!,MATCH($A722,'S5'!$D$5:$D$2103,0)-1,6)="巻返し",OFFSET('S5'!#REF!,MATCH($A722,'S5'!$D$5:$D$2103,0)-1,6)="スリット"),SUMIF('S5'!$D$5:$D$2103,$A722,'S5'!$T$5:$T$2103),""),"")</f>
        <v/>
      </c>
    </row>
    <row r="723" spans="1:28" s="141" customFormat="1" ht="13.5" x14ac:dyDescent="0.15">
      <c r="A723" s="274">
        <v>3750067</v>
      </c>
      <c r="B723" s="274" t="s">
        <v>351</v>
      </c>
      <c r="C723" s="274" t="s">
        <v>1806</v>
      </c>
      <c r="D723" s="274" t="s">
        <v>353</v>
      </c>
      <c r="E723" s="274" t="s">
        <v>116</v>
      </c>
      <c r="F723" s="274">
        <v>3</v>
      </c>
      <c r="G723" s="274" t="s">
        <v>19</v>
      </c>
      <c r="H723" s="274" t="s">
        <v>20</v>
      </c>
      <c r="I723" s="274" t="s">
        <v>205</v>
      </c>
      <c r="J723" s="274" t="s">
        <v>928</v>
      </c>
      <c r="K723" s="274" t="s">
        <v>211</v>
      </c>
      <c r="L723" s="274">
        <v>50</v>
      </c>
      <c r="M723" s="274" t="s">
        <v>370</v>
      </c>
      <c r="N723" s="274">
        <v>1050</v>
      </c>
      <c r="O723" s="274">
        <v>1050</v>
      </c>
      <c r="P723" s="274">
        <v>4100</v>
      </c>
      <c r="Q723" s="274">
        <v>2</v>
      </c>
      <c r="R723" s="274">
        <v>6</v>
      </c>
      <c r="S723" s="274" t="s">
        <v>354</v>
      </c>
      <c r="T723" s="274" t="s">
        <v>2361</v>
      </c>
      <c r="U723" s="274" t="s">
        <v>2369</v>
      </c>
      <c r="V723" s="274" t="s">
        <v>355</v>
      </c>
      <c r="W723" s="274" t="s">
        <v>928</v>
      </c>
      <c r="X723" s="274" t="s">
        <v>928</v>
      </c>
      <c r="Y723" s="143"/>
      <c r="Z723" s="146" t="str">
        <f t="shared" ca="1" si="11"/>
        <v/>
      </c>
      <c r="AA723" s="146" t="str">
        <f ca="1">IFERROR(IF(OR(OFFSET('S4'!#REF!,MATCH($A723,'S4'!$D$5:$D$2535,0)-1,6)="巻返し",OFFSET('S4'!#REF!,MATCH($A723,'S4'!$D$5:$D$2535,0)-1,6)="スリット"),SUMIF('S4'!$D$5:$D$2535,$A723,'S4'!$U$5:$U$2535),""),"")</f>
        <v/>
      </c>
      <c r="AB723" s="146" t="str">
        <f ca="1">IFERROR(IF(OR(OFFSET('S5'!#REF!,MATCH($A723,'S5'!$D$5:$D$2103,0)-1,6)="巻返し",OFFSET('S5'!#REF!,MATCH($A723,'S5'!$D$5:$D$2103,0)-1,6)="スリット"),SUMIF('S5'!$D$5:$D$2103,$A723,'S5'!$T$5:$T$2103),""),"")</f>
        <v/>
      </c>
    </row>
    <row r="724" spans="1:28" s="141" customFormat="1" ht="13.5" x14ac:dyDescent="0.15">
      <c r="A724" s="274">
        <v>3750068</v>
      </c>
      <c r="B724" s="274" t="s">
        <v>351</v>
      </c>
      <c r="C724" s="274" t="s">
        <v>1806</v>
      </c>
      <c r="D724" s="274" t="s">
        <v>353</v>
      </c>
      <c r="E724" s="274" t="s">
        <v>116</v>
      </c>
      <c r="F724" s="274">
        <v>3</v>
      </c>
      <c r="G724" s="274" t="s">
        <v>19</v>
      </c>
      <c r="H724" s="274" t="s">
        <v>20</v>
      </c>
      <c r="I724" s="274" t="s">
        <v>165</v>
      </c>
      <c r="J724" s="274" t="s">
        <v>928</v>
      </c>
      <c r="K724" s="274" t="s">
        <v>185</v>
      </c>
      <c r="L724" s="274">
        <v>50</v>
      </c>
      <c r="M724" s="274" t="s">
        <v>186</v>
      </c>
      <c r="N724" s="274">
        <v>1005</v>
      </c>
      <c r="O724" s="274">
        <v>1000</v>
      </c>
      <c r="P724" s="274">
        <v>4100</v>
      </c>
      <c r="Q724" s="274">
        <v>2</v>
      </c>
      <c r="R724" s="274">
        <v>2</v>
      </c>
      <c r="S724" s="274" t="s">
        <v>354</v>
      </c>
      <c r="T724" s="274" t="s">
        <v>2361</v>
      </c>
      <c r="U724" s="274" t="s">
        <v>2369</v>
      </c>
      <c r="V724" s="274" t="s">
        <v>355</v>
      </c>
      <c r="W724" s="274" t="s">
        <v>928</v>
      </c>
      <c r="X724" s="274" t="s">
        <v>928</v>
      </c>
      <c r="Y724" s="143"/>
      <c r="Z724" s="146" t="str">
        <f t="shared" ca="1" si="11"/>
        <v/>
      </c>
      <c r="AA724" s="146" t="str">
        <f ca="1">IFERROR(IF(OR(OFFSET('S4'!#REF!,MATCH($A724,'S4'!$D$5:$D$2535,0)-1,6)="巻返し",OFFSET('S4'!#REF!,MATCH($A724,'S4'!$D$5:$D$2535,0)-1,6)="スリット"),SUMIF('S4'!$D$5:$D$2535,$A724,'S4'!$U$5:$U$2535),""),"")</f>
        <v/>
      </c>
      <c r="AB724" s="146" t="str">
        <f ca="1">IFERROR(IF(OR(OFFSET('S5'!#REF!,MATCH($A724,'S5'!$D$5:$D$2103,0)-1,6)="巻返し",OFFSET('S5'!#REF!,MATCH($A724,'S5'!$D$5:$D$2103,0)-1,6)="スリット"),SUMIF('S5'!$D$5:$D$2103,$A724,'S5'!$T$5:$T$2103),""),"")</f>
        <v/>
      </c>
    </row>
    <row r="725" spans="1:28" s="141" customFormat="1" ht="13.5" x14ac:dyDescent="0.15">
      <c r="A725" s="274">
        <v>3750069</v>
      </c>
      <c r="B725" s="274" t="s">
        <v>351</v>
      </c>
      <c r="C725" s="274" t="s">
        <v>1806</v>
      </c>
      <c r="D725" s="274" t="s">
        <v>353</v>
      </c>
      <c r="E725" s="274" t="s">
        <v>116</v>
      </c>
      <c r="F725" s="274">
        <v>3</v>
      </c>
      <c r="G725" s="274" t="s">
        <v>19</v>
      </c>
      <c r="H725" s="274" t="s">
        <v>20</v>
      </c>
      <c r="I725" s="274" t="s">
        <v>165</v>
      </c>
      <c r="J725" s="274" t="s">
        <v>928</v>
      </c>
      <c r="K725" s="274" t="s">
        <v>245</v>
      </c>
      <c r="L725" s="274">
        <v>16</v>
      </c>
      <c r="M725" s="274" t="s">
        <v>366</v>
      </c>
      <c r="N725" s="274">
        <v>1000</v>
      </c>
      <c r="O725" s="274">
        <v>1000</v>
      </c>
      <c r="P725" s="274">
        <v>3200</v>
      </c>
      <c r="Q725" s="274">
        <v>2</v>
      </c>
      <c r="R725" s="274">
        <v>1</v>
      </c>
      <c r="S725" s="274" t="s">
        <v>354</v>
      </c>
      <c r="T725" s="274" t="s">
        <v>2361</v>
      </c>
      <c r="U725" s="274" t="s">
        <v>2362</v>
      </c>
      <c r="V725" s="274" t="s">
        <v>355</v>
      </c>
      <c r="W725" s="274" t="s">
        <v>928</v>
      </c>
      <c r="X725" s="274" t="s">
        <v>928</v>
      </c>
      <c r="Y725" s="143"/>
      <c r="Z725" s="146" t="str">
        <f t="shared" ca="1" si="11"/>
        <v/>
      </c>
      <c r="AA725" s="146" t="str">
        <f ca="1">IFERROR(IF(OR(OFFSET('S4'!#REF!,MATCH($A725,'S4'!$D$5:$D$2535,0)-1,6)="巻返し",OFFSET('S4'!#REF!,MATCH($A725,'S4'!$D$5:$D$2535,0)-1,6)="スリット"),SUMIF('S4'!$D$5:$D$2535,$A725,'S4'!$U$5:$U$2535),""),"")</f>
        <v/>
      </c>
      <c r="AB725" s="146" t="str">
        <f ca="1">IFERROR(IF(OR(OFFSET('S5'!#REF!,MATCH($A725,'S5'!$D$5:$D$2103,0)-1,6)="巻返し",OFFSET('S5'!#REF!,MATCH($A725,'S5'!$D$5:$D$2103,0)-1,6)="スリット"),SUMIF('S5'!$D$5:$D$2103,$A725,'S5'!$T$5:$T$2103),""),"")</f>
        <v/>
      </c>
    </row>
    <row r="726" spans="1:28" s="141" customFormat="1" ht="13.5" x14ac:dyDescent="0.15">
      <c r="A726" s="274">
        <v>3750070</v>
      </c>
      <c r="B726" s="274" t="s">
        <v>351</v>
      </c>
      <c r="C726" s="274" t="s">
        <v>1806</v>
      </c>
      <c r="D726" s="274" t="s">
        <v>353</v>
      </c>
      <c r="E726" s="274" t="s">
        <v>116</v>
      </c>
      <c r="F726" s="274">
        <v>3</v>
      </c>
      <c r="G726" s="274" t="s">
        <v>19</v>
      </c>
      <c r="H726" s="274" t="s">
        <v>20</v>
      </c>
      <c r="I726" s="274" t="s">
        <v>205</v>
      </c>
      <c r="J726" s="274" t="s">
        <v>928</v>
      </c>
      <c r="K726" s="274" t="s">
        <v>216</v>
      </c>
      <c r="L726" s="274">
        <v>25</v>
      </c>
      <c r="M726" s="274" t="s">
        <v>217</v>
      </c>
      <c r="N726" s="274">
        <v>1005</v>
      </c>
      <c r="O726" s="274">
        <v>1000</v>
      </c>
      <c r="P726" s="274">
        <v>4000</v>
      </c>
      <c r="Q726" s="274">
        <v>2</v>
      </c>
      <c r="R726" s="274">
        <v>6</v>
      </c>
      <c r="S726" s="274" t="s">
        <v>354</v>
      </c>
      <c r="T726" s="274" t="s">
        <v>2361</v>
      </c>
      <c r="U726" s="274" t="s">
        <v>2369</v>
      </c>
      <c r="V726" s="274" t="s">
        <v>355</v>
      </c>
      <c r="W726" s="274" t="s">
        <v>928</v>
      </c>
      <c r="X726" s="274" t="s">
        <v>928</v>
      </c>
      <c r="Y726" s="143"/>
      <c r="Z726" s="146" t="str">
        <f t="shared" ca="1" si="11"/>
        <v/>
      </c>
      <c r="AA726" s="146" t="str">
        <f ca="1">IFERROR(IF(OR(OFFSET('S4'!#REF!,MATCH($A726,'S4'!$D$5:$D$2535,0)-1,6)="巻返し",OFFSET('S4'!#REF!,MATCH($A726,'S4'!$D$5:$D$2535,0)-1,6)="スリット"),SUMIF('S4'!$D$5:$D$2535,$A726,'S4'!$U$5:$U$2535),""),"")</f>
        <v/>
      </c>
      <c r="AB726" s="146" t="str">
        <f ca="1">IFERROR(IF(OR(OFFSET('S5'!#REF!,MATCH($A726,'S5'!$D$5:$D$2103,0)-1,6)="巻返し",OFFSET('S5'!#REF!,MATCH($A726,'S5'!$D$5:$D$2103,0)-1,6)="スリット"),SUMIF('S5'!$D$5:$D$2103,$A726,'S5'!$T$5:$T$2103),""),"")</f>
        <v/>
      </c>
    </row>
    <row r="727" spans="1:28" s="141" customFormat="1" ht="13.5" x14ac:dyDescent="0.15">
      <c r="A727" s="274">
        <v>3750071</v>
      </c>
      <c r="B727" s="274" t="s">
        <v>351</v>
      </c>
      <c r="C727" s="274" t="s">
        <v>1806</v>
      </c>
      <c r="D727" s="274" t="s">
        <v>353</v>
      </c>
      <c r="E727" s="274" t="s">
        <v>116</v>
      </c>
      <c r="F727" s="274">
        <v>3</v>
      </c>
      <c r="G727" s="274" t="s">
        <v>19</v>
      </c>
      <c r="H727" s="274" t="s">
        <v>20</v>
      </c>
      <c r="I727" s="274" t="s">
        <v>205</v>
      </c>
      <c r="J727" s="274" t="s">
        <v>928</v>
      </c>
      <c r="K727" s="274" t="s">
        <v>216</v>
      </c>
      <c r="L727" s="274">
        <v>50</v>
      </c>
      <c r="M727" s="274" t="s">
        <v>217</v>
      </c>
      <c r="N727" s="274">
        <v>1120</v>
      </c>
      <c r="O727" s="274">
        <v>1120</v>
      </c>
      <c r="P727" s="274">
        <v>5000</v>
      </c>
      <c r="Q727" s="274">
        <v>2</v>
      </c>
      <c r="R727" s="274">
        <v>50</v>
      </c>
      <c r="S727" s="274" t="s">
        <v>354</v>
      </c>
      <c r="T727" s="274" t="s">
        <v>2361</v>
      </c>
      <c r="U727" s="274" t="s">
        <v>2362</v>
      </c>
      <c r="V727" s="274" t="s">
        <v>355</v>
      </c>
      <c r="W727" s="274" t="s">
        <v>928</v>
      </c>
      <c r="X727" s="274" t="s">
        <v>928</v>
      </c>
      <c r="Y727" s="143"/>
      <c r="Z727" s="146" t="str">
        <f t="shared" ca="1" si="11"/>
        <v/>
      </c>
      <c r="AA727" s="146" t="str">
        <f ca="1">IFERROR(IF(OR(OFFSET('S4'!#REF!,MATCH($A727,'S4'!$D$5:$D$2535,0)-1,6)="巻返し",OFFSET('S4'!#REF!,MATCH($A727,'S4'!$D$5:$D$2535,0)-1,6)="スリット"),SUMIF('S4'!$D$5:$D$2535,$A727,'S4'!$U$5:$U$2535),""),"")</f>
        <v/>
      </c>
      <c r="AB727" s="146" t="str">
        <f ca="1">IFERROR(IF(OR(OFFSET('S5'!#REF!,MATCH($A727,'S5'!$D$5:$D$2103,0)-1,6)="巻返し",OFFSET('S5'!#REF!,MATCH($A727,'S5'!$D$5:$D$2103,0)-1,6)="スリット"),SUMIF('S5'!$D$5:$D$2103,$A727,'S5'!$T$5:$T$2103),""),"")</f>
        <v/>
      </c>
    </row>
    <row r="728" spans="1:28" s="141" customFormat="1" ht="13.5" x14ac:dyDescent="0.15">
      <c r="A728" s="274">
        <v>3750072</v>
      </c>
      <c r="B728" s="274" t="s">
        <v>351</v>
      </c>
      <c r="C728" s="274" t="s">
        <v>1806</v>
      </c>
      <c r="D728" s="274" t="s">
        <v>353</v>
      </c>
      <c r="E728" s="274" t="s">
        <v>116</v>
      </c>
      <c r="F728" s="274">
        <v>3</v>
      </c>
      <c r="G728" s="274" t="s">
        <v>19</v>
      </c>
      <c r="H728" s="274" t="s">
        <v>20</v>
      </c>
      <c r="I728" s="274" t="s">
        <v>205</v>
      </c>
      <c r="J728" s="274" t="s">
        <v>928</v>
      </c>
      <c r="K728" s="274" t="s">
        <v>218</v>
      </c>
      <c r="L728" s="274">
        <v>50</v>
      </c>
      <c r="M728" s="274" t="s">
        <v>219</v>
      </c>
      <c r="N728" s="274">
        <v>1000</v>
      </c>
      <c r="O728" s="274">
        <v>1000</v>
      </c>
      <c r="P728" s="274">
        <v>4000</v>
      </c>
      <c r="Q728" s="274">
        <v>2</v>
      </c>
      <c r="R728" s="274">
        <v>28</v>
      </c>
      <c r="S728" s="274" t="s">
        <v>354</v>
      </c>
      <c r="T728" s="274" t="s">
        <v>2361</v>
      </c>
      <c r="U728" s="274" t="s">
        <v>2362</v>
      </c>
      <c r="V728" s="274" t="s">
        <v>355</v>
      </c>
      <c r="W728" s="274" t="s">
        <v>928</v>
      </c>
      <c r="X728" s="274" t="s">
        <v>928</v>
      </c>
      <c r="Y728" s="143"/>
      <c r="Z728" s="146" t="str">
        <f t="shared" ca="1" si="11"/>
        <v/>
      </c>
      <c r="AA728" s="146" t="str">
        <f ca="1">IFERROR(IF(OR(OFFSET('S4'!#REF!,MATCH($A728,'S4'!$D$5:$D$2535,0)-1,6)="巻返し",OFFSET('S4'!#REF!,MATCH($A728,'S4'!$D$5:$D$2535,0)-1,6)="スリット"),SUMIF('S4'!$D$5:$D$2535,$A728,'S4'!$U$5:$U$2535),""),"")</f>
        <v/>
      </c>
      <c r="AB728" s="146" t="str">
        <f ca="1">IFERROR(IF(OR(OFFSET('S5'!#REF!,MATCH($A728,'S5'!$D$5:$D$2103,0)-1,6)="巻返し",OFFSET('S5'!#REF!,MATCH($A728,'S5'!$D$5:$D$2103,0)-1,6)="スリット"),SUMIF('S5'!$D$5:$D$2103,$A728,'S5'!$T$5:$T$2103),""),"")</f>
        <v/>
      </c>
    </row>
    <row r="729" spans="1:28" s="141" customFormat="1" ht="13.5" x14ac:dyDescent="0.15">
      <c r="A729" s="274">
        <v>3750073</v>
      </c>
      <c r="B729" s="274" t="s">
        <v>351</v>
      </c>
      <c r="C729" s="274" t="s">
        <v>1806</v>
      </c>
      <c r="D729" s="274" t="s">
        <v>353</v>
      </c>
      <c r="E729" s="274" t="s">
        <v>116</v>
      </c>
      <c r="F729" s="274" t="s">
        <v>158</v>
      </c>
      <c r="G729" s="274" t="s">
        <v>19</v>
      </c>
      <c r="H729" s="274" t="s">
        <v>20</v>
      </c>
      <c r="I729" s="274" t="s">
        <v>165</v>
      </c>
      <c r="J729" s="274" t="s">
        <v>928</v>
      </c>
      <c r="K729" s="274" t="s">
        <v>192</v>
      </c>
      <c r="L729" s="274">
        <v>50</v>
      </c>
      <c r="M729" s="274" t="s">
        <v>193</v>
      </c>
      <c r="N729" s="274">
        <v>1005</v>
      </c>
      <c r="O729" s="274">
        <v>1000</v>
      </c>
      <c r="P729" s="274">
        <v>4000</v>
      </c>
      <c r="Q729" s="274">
        <v>2</v>
      </c>
      <c r="R729" s="274">
        <v>3</v>
      </c>
      <c r="S729" s="274" t="s">
        <v>354</v>
      </c>
      <c r="T729" s="274" t="s">
        <v>2361</v>
      </c>
      <c r="U729" s="274" t="s">
        <v>2369</v>
      </c>
      <c r="V729" s="274" t="s">
        <v>355</v>
      </c>
      <c r="W729" s="274" t="s">
        <v>928</v>
      </c>
      <c r="X729" s="274" t="s">
        <v>928</v>
      </c>
      <c r="Y729" s="143"/>
      <c r="Z729" s="146" t="str">
        <f t="shared" ca="1" si="11"/>
        <v/>
      </c>
      <c r="AA729" s="146" t="str">
        <f ca="1">IFERROR(IF(OR(OFFSET('S4'!#REF!,MATCH($A729,'S4'!$D$5:$D$2535,0)-1,6)="巻返し",OFFSET('S4'!#REF!,MATCH($A729,'S4'!$D$5:$D$2535,0)-1,6)="スリット"),SUMIF('S4'!$D$5:$D$2535,$A729,'S4'!$U$5:$U$2535),""),"")</f>
        <v/>
      </c>
      <c r="AB729" s="146" t="str">
        <f ca="1">IFERROR(IF(OR(OFFSET('S5'!#REF!,MATCH($A729,'S5'!$D$5:$D$2103,0)-1,6)="巻返し",OFFSET('S5'!#REF!,MATCH($A729,'S5'!$D$5:$D$2103,0)-1,6)="スリット"),SUMIF('S5'!$D$5:$D$2103,$A729,'S5'!$T$5:$T$2103),""),"")</f>
        <v/>
      </c>
    </row>
    <row r="730" spans="1:28" s="141" customFormat="1" ht="13.5" x14ac:dyDescent="0.15">
      <c r="A730" s="274">
        <v>3750074</v>
      </c>
      <c r="B730" s="274" t="s">
        <v>351</v>
      </c>
      <c r="C730" s="274" t="s">
        <v>1806</v>
      </c>
      <c r="D730" s="274" t="s">
        <v>353</v>
      </c>
      <c r="E730" s="274" t="s">
        <v>116</v>
      </c>
      <c r="F730" s="274" t="s">
        <v>158</v>
      </c>
      <c r="G730" s="274" t="s">
        <v>19</v>
      </c>
      <c r="H730" s="274" t="s">
        <v>20</v>
      </c>
      <c r="I730" s="274" t="s">
        <v>165</v>
      </c>
      <c r="J730" s="274" t="s">
        <v>928</v>
      </c>
      <c r="K730" s="274" t="s">
        <v>195</v>
      </c>
      <c r="L730" s="274">
        <v>50</v>
      </c>
      <c r="M730" s="274" t="s">
        <v>196</v>
      </c>
      <c r="N730" s="274">
        <v>1005</v>
      </c>
      <c r="O730" s="274">
        <v>1000</v>
      </c>
      <c r="P730" s="274">
        <v>4000</v>
      </c>
      <c r="Q730" s="274">
        <v>2</v>
      </c>
      <c r="R730" s="274">
        <v>5</v>
      </c>
      <c r="S730" s="274" t="s">
        <v>354</v>
      </c>
      <c r="T730" s="274" t="s">
        <v>2361</v>
      </c>
      <c r="U730" s="274" t="s">
        <v>2362</v>
      </c>
      <c r="V730" s="274" t="s">
        <v>355</v>
      </c>
      <c r="W730" s="274" t="s">
        <v>928</v>
      </c>
      <c r="X730" s="274" t="s">
        <v>928</v>
      </c>
      <c r="Y730" s="143"/>
      <c r="Z730" s="146" t="str">
        <f t="shared" ca="1" si="11"/>
        <v/>
      </c>
      <c r="AA730" s="146" t="str">
        <f ca="1">IFERROR(IF(OR(OFFSET('S4'!#REF!,MATCH($A730,'S4'!$D$5:$D$2535,0)-1,6)="巻返し",OFFSET('S4'!#REF!,MATCH($A730,'S4'!$D$5:$D$2535,0)-1,6)="スリット"),SUMIF('S4'!$D$5:$D$2535,$A730,'S4'!$U$5:$U$2535),""),"")</f>
        <v/>
      </c>
      <c r="AB730" s="146" t="str">
        <f ca="1">IFERROR(IF(OR(OFFSET('S5'!#REF!,MATCH($A730,'S5'!$D$5:$D$2103,0)-1,6)="巻返し",OFFSET('S5'!#REF!,MATCH($A730,'S5'!$D$5:$D$2103,0)-1,6)="スリット"),SUMIF('S5'!$D$5:$D$2103,$A730,'S5'!$T$5:$T$2103),""),"")</f>
        <v/>
      </c>
    </row>
    <row r="731" spans="1:28" s="141" customFormat="1" ht="13.5" x14ac:dyDescent="0.15">
      <c r="A731" s="274">
        <v>3750075</v>
      </c>
      <c r="B731" s="274" t="s">
        <v>351</v>
      </c>
      <c r="C731" s="274" t="s">
        <v>1806</v>
      </c>
      <c r="D731" s="274" t="s">
        <v>353</v>
      </c>
      <c r="E731" s="274" t="s">
        <v>116</v>
      </c>
      <c r="F731" s="274" t="s">
        <v>158</v>
      </c>
      <c r="G731" s="274" t="s">
        <v>19</v>
      </c>
      <c r="H731" s="274" t="s">
        <v>28</v>
      </c>
      <c r="I731" s="274" t="s">
        <v>165</v>
      </c>
      <c r="J731" s="274" t="s">
        <v>928</v>
      </c>
      <c r="K731" s="274" t="s">
        <v>195</v>
      </c>
      <c r="L731" s="274">
        <v>50</v>
      </c>
      <c r="M731" s="274" t="s">
        <v>1963</v>
      </c>
      <c r="N731" s="274">
        <v>1005</v>
      </c>
      <c r="O731" s="274">
        <v>1000</v>
      </c>
      <c r="P731" s="274">
        <v>4000</v>
      </c>
      <c r="Q731" s="274">
        <v>2</v>
      </c>
      <c r="R731" s="274">
        <v>1</v>
      </c>
      <c r="S731" s="274" t="s">
        <v>354</v>
      </c>
      <c r="T731" s="274" t="s">
        <v>2361</v>
      </c>
      <c r="U731" s="274" t="s">
        <v>2362</v>
      </c>
      <c r="V731" s="274" t="s">
        <v>355</v>
      </c>
      <c r="W731" s="274" t="s">
        <v>928</v>
      </c>
      <c r="X731" s="274" t="s">
        <v>928</v>
      </c>
      <c r="Y731" s="143"/>
      <c r="Z731" s="146" t="str">
        <f t="shared" ca="1" si="11"/>
        <v/>
      </c>
      <c r="AA731" s="146" t="str">
        <f ca="1">IFERROR(IF(OR(OFFSET('S4'!#REF!,MATCH($A731,'S4'!$D$5:$D$2535,0)-1,6)="巻返し",OFFSET('S4'!#REF!,MATCH($A731,'S4'!$D$5:$D$2535,0)-1,6)="スリット"),SUMIF('S4'!$D$5:$D$2535,$A731,'S4'!$U$5:$U$2535),""),"")</f>
        <v/>
      </c>
      <c r="AB731" s="146" t="str">
        <f ca="1">IFERROR(IF(OR(OFFSET('S5'!#REF!,MATCH($A731,'S5'!$D$5:$D$2103,0)-1,6)="巻返し",OFFSET('S5'!#REF!,MATCH($A731,'S5'!$D$5:$D$2103,0)-1,6)="スリット"),SUMIF('S5'!$D$5:$D$2103,$A731,'S5'!$T$5:$T$2103),""),"")</f>
        <v/>
      </c>
    </row>
    <row r="732" spans="1:28" s="141" customFormat="1" ht="13.5" x14ac:dyDescent="0.15">
      <c r="A732" s="274">
        <v>3750076</v>
      </c>
      <c r="B732" s="274" t="s">
        <v>351</v>
      </c>
      <c r="C732" s="274" t="s">
        <v>1806</v>
      </c>
      <c r="D732" s="274" t="s">
        <v>353</v>
      </c>
      <c r="E732" s="274" t="s">
        <v>116</v>
      </c>
      <c r="F732" s="274">
        <v>3</v>
      </c>
      <c r="G732" s="274" t="s">
        <v>19</v>
      </c>
      <c r="H732" s="274" t="s">
        <v>20</v>
      </c>
      <c r="I732" s="274" t="s">
        <v>165</v>
      </c>
      <c r="J732" s="274" t="s">
        <v>928</v>
      </c>
      <c r="K732" s="274" t="s">
        <v>166</v>
      </c>
      <c r="L732" s="274">
        <v>50</v>
      </c>
      <c r="M732" s="274" t="s">
        <v>167</v>
      </c>
      <c r="N732" s="274">
        <v>1005</v>
      </c>
      <c r="O732" s="274">
        <v>1000</v>
      </c>
      <c r="P732" s="274">
        <v>2000</v>
      </c>
      <c r="Q732" s="274">
        <v>2</v>
      </c>
      <c r="R732" s="274">
        <v>2</v>
      </c>
      <c r="S732" s="274" t="s">
        <v>354</v>
      </c>
      <c r="T732" s="274" t="s">
        <v>2361</v>
      </c>
      <c r="U732" s="274" t="s">
        <v>2369</v>
      </c>
      <c r="V732" s="274" t="s">
        <v>355</v>
      </c>
      <c r="W732" s="274" t="s">
        <v>928</v>
      </c>
      <c r="X732" s="274" t="s">
        <v>928</v>
      </c>
      <c r="Y732" s="143"/>
      <c r="Z732" s="146" t="str">
        <f t="shared" ca="1" si="11"/>
        <v/>
      </c>
      <c r="AA732" s="146" t="str">
        <f ca="1">IFERROR(IF(OR(OFFSET('S4'!#REF!,MATCH($A732,'S4'!$D$5:$D$2535,0)-1,6)="巻返し",OFFSET('S4'!#REF!,MATCH($A732,'S4'!$D$5:$D$2535,0)-1,6)="スリット"),SUMIF('S4'!$D$5:$D$2535,$A732,'S4'!$U$5:$U$2535),""),"")</f>
        <v/>
      </c>
      <c r="AB732" s="146" t="str">
        <f ca="1">IFERROR(IF(OR(OFFSET('S5'!#REF!,MATCH($A732,'S5'!$D$5:$D$2103,0)-1,6)="巻返し",OFFSET('S5'!#REF!,MATCH($A732,'S5'!$D$5:$D$2103,0)-1,6)="スリット"),SUMIF('S5'!$D$5:$D$2103,$A732,'S5'!$T$5:$T$2103),""),"")</f>
        <v/>
      </c>
    </row>
    <row r="733" spans="1:28" s="141" customFormat="1" ht="13.5" x14ac:dyDescent="0.15">
      <c r="A733" s="274">
        <v>3750080</v>
      </c>
      <c r="B733" s="274" t="s">
        <v>351</v>
      </c>
      <c r="C733" s="274" t="s">
        <v>1806</v>
      </c>
      <c r="D733" s="274" t="s">
        <v>353</v>
      </c>
      <c r="E733" s="274" t="s">
        <v>116</v>
      </c>
      <c r="F733" s="274">
        <v>3</v>
      </c>
      <c r="G733" s="274" t="s">
        <v>19</v>
      </c>
      <c r="H733" s="274" t="s">
        <v>20</v>
      </c>
      <c r="I733" s="274" t="s">
        <v>205</v>
      </c>
      <c r="J733" s="274" t="s">
        <v>928</v>
      </c>
      <c r="K733" s="274" t="s">
        <v>221</v>
      </c>
      <c r="L733" s="274">
        <v>25</v>
      </c>
      <c r="M733" s="274" t="s">
        <v>222</v>
      </c>
      <c r="N733" s="274">
        <v>1100</v>
      </c>
      <c r="O733" s="274">
        <v>1100</v>
      </c>
      <c r="P733" s="274">
        <v>6000</v>
      </c>
      <c r="Q733" s="274">
        <v>2</v>
      </c>
      <c r="R733" s="274">
        <v>10</v>
      </c>
      <c r="S733" s="274" t="s">
        <v>354</v>
      </c>
      <c r="T733" s="274" t="s">
        <v>2361</v>
      </c>
      <c r="U733" s="274" t="s">
        <v>2362</v>
      </c>
      <c r="V733" s="274" t="s">
        <v>355</v>
      </c>
      <c r="W733" s="274" t="s">
        <v>928</v>
      </c>
      <c r="X733" s="274" t="s">
        <v>928</v>
      </c>
      <c r="Y733" s="143"/>
      <c r="Z733" s="146" t="str">
        <f t="shared" ca="1" si="11"/>
        <v/>
      </c>
      <c r="AA733" s="146" t="str">
        <f ca="1">IFERROR(IF(OR(OFFSET('S4'!#REF!,MATCH($A733,'S4'!$D$5:$D$2535,0)-1,6)="巻返し",OFFSET('S4'!#REF!,MATCH($A733,'S4'!$D$5:$D$2535,0)-1,6)="スリット"),SUMIF('S4'!$D$5:$D$2535,$A733,'S4'!$U$5:$U$2535),""),"")</f>
        <v/>
      </c>
      <c r="AB733" s="146" t="str">
        <f ca="1">IFERROR(IF(OR(OFFSET('S5'!#REF!,MATCH($A733,'S5'!$D$5:$D$2103,0)-1,6)="巻返し",OFFSET('S5'!#REF!,MATCH($A733,'S5'!$D$5:$D$2103,0)-1,6)="スリット"),SUMIF('S5'!$D$5:$D$2103,$A733,'S5'!$T$5:$T$2103),""),"")</f>
        <v/>
      </c>
    </row>
    <row r="734" spans="1:28" s="141" customFormat="1" ht="13.5" x14ac:dyDescent="0.15">
      <c r="A734" s="274">
        <v>3750083</v>
      </c>
      <c r="B734" s="274" t="s">
        <v>351</v>
      </c>
      <c r="C734" s="274" t="s">
        <v>1806</v>
      </c>
      <c r="D734" s="274" t="s">
        <v>353</v>
      </c>
      <c r="E734" s="274" t="s">
        <v>116</v>
      </c>
      <c r="F734" s="274">
        <v>3</v>
      </c>
      <c r="G734" s="274" t="s">
        <v>19</v>
      </c>
      <c r="H734" s="274" t="s">
        <v>20</v>
      </c>
      <c r="I734" s="274" t="s">
        <v>205</v>
      </c>
      <c r="J734" s="274" t="s">
        <v>928</v>
      </c>
      <c r="K734" s="274" t="s">
        <v>218</v>
      </c>
      <c r="L734" s="274">
        <v>25</v>
      </c>
      <c r="M734" s="274" t="s">
        <v>219</v>
      </c>
      <c r="N734" s="274">
        <v>1005</v>
      </c>
      <c r="O734" s="274">
        <v>1000</v>
      </c>
      <c r="P734" s="274">
        <v>4000</v>
      </c>
      <c r="Q734" s="274">
        <v>2</v>
      </c>
      <c r="R734" s="274">
        <v>6</v>
      </c>
      <c r="S734" s="274" t="s">
        <v>354</v>
      </c>
      <c r="T734" s="274" t="s">
        <v>2361</v>
      </c>
      <c r="U734" s="274" t="s">
        <v>2370</v>
      </c>
      <c r="V734" s="274" t="s">
        <v>355</v>
      </c>
      <c r="W734" s="274" t="s">
        <v>928</v>
      </c>
      <c r="X734" s="274" t="s">
        <v>928</v>
      </c>
      <c r="Y734" s="143"/>
      <c r="Z734" s="146" t="str">
        <f t="shared" ca="1" si="11"/>
        <v/>
      </c>
      <c r="AA734" s="146" t="str">
        <f ca="1">IFERROR(IF(OR(OFFSET('S4'!#REF!,MATCH($A734,'S4'!$D$5:$D$2535,0)-1,6)="巻返し",OFFSET('S4'!#REF!,MATCH($A734,'S4'!$D$5:$D$2535,0)-1,6)="スリット"),SUMIF('S4'!$D$5:$D$2535,$A734,'S4'!$U$5:$U$2535),""),"")</f>
        <v/>
      </c>
      <c r="AB734" s="146" t="str">
        <f ca="1">IFERROR(IF(OR(OFFSET('S5'!#REF!,MATCH($A734,'S5'!$D$5:$D$2103,0)-1,6)="巻返し",OFFSET('S5'!#REF!,MATCH($A734,'S5'!$D$5:$D$2103,0)-1,6)="スリット"),SUMIF('S5'!$D$5:$D$2103,$A734,'S5'!$T$5:$T$2103),""),"")</f>
        <v/>
      </c>
    </row>
    <row r="735" spans="1:28" s="141" customFormat="1" ht="13.5" x14ac:dyDescent="0.15">
      <c r="A735" s="274">
        <v>3750084</v>
      </c>
      <c r="B735" s="274" t="s">
        <v>351</v>
      </c>
      <c r="C735" s="274" t="s">
        <v>1806</v>
      </c>
      <c r="D735" s="274" t="s">
        <v>353</v>
      </c>
      <c r="E735" s="274" t="s">
        <v>116</v>
      </c>
      <c r="F735" s="274">
        <v>3</v>
      </c>
      <c r="G735" s="274" t="s">
        <v>19</v>
      </c>
      <c r="H735" s="274" t="s">
        <v>28</v>
      </c>
      <c r="I735" s="274" t="s">
        <v>205</v>
      </c>
      <c r="J735" s="274" t="s">
        <v>928</v>
      </c>
      <c r="K735" s="274" t="s">
        <v>237</v>
      </c>
      <c r="L735" s="274">
        <v>25</v>
      </c>
      <c r="M735" s="274" t="s">
        <v>238</v>
      </c>
      <c r="N735" s="274">
        <v>1120</v>
      </c>
      <c r="O735" s="274">
        <v>1120</v>
      </c>
      <c r="P735" s="274">
        <v>8000</v>
      </c>
      <c r="Q735" s="274">
        <v>2</v>
      </c>
      <c r="R735" s="274">
        <v>2</v>
      </c>
      <c r="S735" s="274" t="s">
        <v>354</v>
      </c>
      <c r="T735" s="274" t="s">
        <v>2361</v>
      </c>
      <c r="U735" s="274" t="s">
        <v>2369</v>
      </c>
      <c r="V735" s="274" t="s">
        <v>355</v>
      </c>
      <c r="W735" s="274" t="s">
        <v>928</v>
      </c>
      <c r="X735" s="274" t="s">
        <v>928</v>
      </c>
      <c r="Y735" s="143"/>
      <c r="Z735" s="146" t="str">
        <f t="shared" ca="1" si="11"/>
        <v/>
      </c>
      <c r="AA735" s="146" t="str">
        <f ca="1">IFERROR(IF(OR(OFFSET('S4'!#REF!,MATCH($A735,'S4'!$D$5:$D$2535,0)-1,6)="巻返し",OFFSET('S4'!#REF!,MATCH($A735,'S4'!$D$5:$D$2535,0)-1,6)="スリット"),SUMIF('S4'!$D$5:$D$2535,$A735,'S4'!$U$5:$U$2535),""),"")</f>
        <v/>
      </c>
      <c r="AB735" s="146" t="str">
        <f ca="1">IFERROR(IF(OR(OFFSET('S5'!#REF!,MATCH($A735,'S5'!$D$5:$D$2103,0)-1,6)="巻返し",OFFSET('S5'!#REF!,MATCH($A735,'S5'!$D$5:$D$2103,0)-1,6)="スリット"),SUMIF('S5'!$D$5:$D$2103,$A735,'S5'!$T$5:$T$2103),""),"")</f>
        <v/>
      </c>
    </row>
    <row r="736" spans="1:28" s="141" customFormat="1" ht="13.5" x14ac:dyDescent="0.15">
      <c r="A736" s="274">
        <v>3750085</v>
      </c>
      <c r="B736" s="274" t="s">
        <v>351</v>
      </c>
      <c r="C736" s="274" t="s">
        <v>1806</v>
      </c>
      <c r="D736" s="274" t="s">
        <v>353</v>
      </c>
      <c r="E736" s="274" t="s">
        <v>116</v>
      </c>
      <c r="F736" s="274">
        <v>3</v>
      </c>
      <c r="G736" s="274" t="s">
        <v>19</v>
      </c>
      <c r="H736" s="274" t="s">
        <v>28</v>
      </c>
      <c r="I736" s="274" t="s">
        <v>205</v>
      </c>
      <c r="J736" s="274" t="s">
        <v>928</v>
      </c>
      <c r="K736" s="274" t="s">
        <v>224</v>
      </c>
      <c r="L736" s="274">
        <v>25</v>
      </c>
      <c r="M736" s="274" t="s">
        <v>225</v>
      </c>
      <c r="N736" s="274">
        <v>1120</v>
      </c>
      <c r="O736" s="274">
        <v>1120</v>
      </c>
      <c r="P736" s="274">
        <v>8000</v>
      </c>
      <c r="Q736" s="274">
        <v>2</v>
      </c>
      <c r="R736" s="274">
        <v>1</v>
      </c>
      <c r="S736" s="274" t="s">
        <v>354</v>
      </c>
      <c r="T736" s="274" t="s">
        <v>2361</v>
      </c>
      <c r="U736" s="274" t="s">
        <v>2369</v>
      </c>
      <c r="V736" s="274" t="s">
        <v>355</v>
      </c>
      <c r="W736" s="274" t="s">
        <v>928</v>
      </c>
      <c r="X736" s="274" t="s">
        <v>928</v>
      </c>
      <c r="Y736" s="143"/>
      <c r="Z736" s="146" t="str">
        <f t="shared" ca="1" si="11"/>
        <v/>
      </c>
      <c r="AA736" s="146" t="str">
        <f ca="1">IFERROR(IF(OR(OFFSET('S4'!#REF!,MATCH($A736,'S4'!$D$5:$D$2535,0)-1,6)="巻返し",OFFSET('S4'!#REF!,MATCH($A736,'S4'!$D$5:$D$2535,0)-1,6)="スリット"),SUMIF('S4'!$D$5:$D$2535,$A736,'S4'!$U$5:$U$2535),""),"")</f>
        <v/>
      </c>
      <c r="AB736" s="146" t="str">
        <f ca="1">IFERROR(IF(OR(OFFSET('S5'!#REF!,MATCH($A736,'S5'!$D$5:$D$2103,0)-1,6)="巻返し",OFFSET('S5'!#REF!,MATCH($A736,'S5'!$D$5:$D$2103,0)-1,6)="スリット"),SUMIF('S5'!$D$5:$D$2103,$A736,'S5'!$T$5:$T$2103),""),"")</f>
        <v/>
      </c>
    </row>
    <row r="737" spans="1:28" s="141" customFormat="1" ht="13.5" x14ac:dyDescent="0.15">
      <c r="A737" s="274">
        <v>3750086</v>
      </c>
      <c r="B737" s="274" t="s">
        <v>351</v>
      </c>
      <c r="C737" s="274" t="s">
        <v>1806</v>
      </c>
      <c r="D737" s="274" t="s">
        <v>353</v>
      </c>
      <c r="E737" s="274" t="s">
        <v>116</v>
      </c>
      <c r="F737" s="274">
        <v>3</v>
      </c>
      <c r="G737" s="274" t="s">
        <v>19</v>
      </c>
      <c r="H737" s="274" t="s">
        <v>28</v>
      </c>
      <c r="I737" s="274" t="s">
        <v>205</v>
      </c>
      <c r="J737" s="274" t="s">
        <v>928</v>
      </c>
      <c r="K737" s="274" t="s">
        <v>237</v>
      </c>
      <c r="L737" s="274">
        <v>50</v>
      </c>
      <c r="M737" s="274" t="s">
        <v>238</v>
      </c>
      <c r="N737" s="274">
        <v>1120</v>
      </c>
      <c r="O737" s="274">
        <v>1120</v>
      </c>
      <c r="P737" s="274">
        <v>4000</v>
      </c>
      <c r="Q737" s="274">
        <v>2</v>
      </c>
      <c r="R737" s="274">
        <v>4</v>
      </c>
      <c r="S737" s="274" t="s">
        <v>354</v>
      </c>
      <c r="T737" s="274" t="s">
        <v>2361</v>
      </c>
      <c r="U737" s="274" t="s">
        <v>2369</v>
      </c>
      <c r="V737" s="274" t="s">
        <v>355</v>
      </c>
      <c r="W737" s="274" t="s">
        <v>928</v>
      </c>
      <c r="X737" s="274" t="s">
        <v>928</v>
      </c>
      <c r="Y737" s="143"/>
      <c r="Z737" s="146" t="str">
        <f t="shared" ca="1" si="11"/>
        <v/>
      </c>
      <c r="AA737" s="146" t="str">
        <f ca="1">IFERROR(IF(OR(OFFSET('S4'!#REF!,MATCH($A737,'S4'!$D$5:$D$2535,0)-1,6)="巻返し",OFFSET('S4'!#REF!,MATCH($A737,'S4'!$D$5:$D$2535,0)-1,6)="スリット"),SUMIF('S4'!$D$5:$D$2535,$A737,'S4'!$U$5:$U$2535),""),"")</f>
        <v/>
      </c>
      <c r="AB737" s="146" t="str">
        <f ca="1">IFERROR(IF(OR(OFFSET('S5'!#REF!,MATCH($A737,'S5'!$D$5:$D$2103,0)-1,6)="巻返し",OFFSET('S5'!#REF!,MATCH($A737,'S5'!$D$5:$D$2103,0)-1,6)="スリット"),SUMIF('S5'!$D$5:$D$2103,$A737,'S5'!$T$5:$T$2103),""),"")</f>
        <v/>
      </c>
    </row>
    <row r="738" spans="1:28" s="239" customFormat="1" ht="13.15" customHeight="1" x14ac:dyDescent="0.15">
      <c r="A738" s="274">
        <v>3750087</v>
      </c>
      <c r="B738" s="274" t="s">
        <v>351</v>
      </c>
      <c r="C738" s="274" t="s">
        <v>1806</v>
      </c>
      <c r="D738" s="274" t="s">
        <v>353</v>
      </c>
      <c r="E738" s="274" t="s">
        <v>116</v>
      </c>
      <c r="F738" s="274">
        <v>3</v>
      </c>
      <c r="G738" s="274" t="s">
        <v>19</v>
      </c>
      <c r="H738" s="274" t="s">
        <v>28</v>
      </c>
      <c r="I738" s="274" t="s">
        <v>205</v>
      </c>
      <c r="J738" s="274" t="s">
        <v>928</v>
      </c>
      <c r="K738" s="274" t="s">
        <v>224</v>
      </c>
      <c r="L738" s="274">
        <v>50</v>
      </c>
      <c r="M738" s="274" t="s">
        <v>225</v>
      </c>
      <c r="N738" s="274">
        <v>1120</v>
      </c>
      <c r="O738" s="274">
        <v>1120</v>
      </c>
      <c r="P738" s="274">
        <v>5000</v>
      </c>
      <c r="Q738" s="274">
        <v>2</v>
      </c>
      <c r="R738" s="274">
        <v>2</v>
      </c>
      <c r="S738" s="274" t="s">
        <v>354</v>
      </c>
      <c r="T738" s="274" t="s">
        <v>2361</v>
      </c>
      <c r="U738" s="274" t="s">
        <v>2369</v>
      </c>
      <c r="V738" s="274" t="s">
        <v>355</v>
      </c>
      <c r="W738" s="274" t="s">
        <v>928</v>
      </c>
      <c r="X738" s="274" t="s">
        <v>928</v>
      </c>
      <c r="Y738" s="143"/>
    </row>
    <row r="739" spans="1:28" s="239" customFormat="1" ht="13.15" customHeight="1" x14ac:dyDescent="0.15">
      <c r="A739" s="274">
        <v>3750088</v>
      </c>
      <c r="B739" s="274" t="s">
        <v>351</v>
      </c>
      <c r="C739" s="274" t="s">
        <v>1806</v>
      </c>
      <c r="D739" s="274" t="s">
        <v>353</v>
      </c>
      <c r="E739" s="274" t="s">
        <v>116</v>
      </c>
      <c r="F739" s="274">
        <v>3</v>
      </c>
      <c r="G739" s="274" t="s">
        <v>19</v>
      </c>
      <c r="H739" s="274" t="s">
        <v>28</v>
      </c>
      <c r="I739" s="274" t="s">
        <v>205</v>
      </c>
      <c r="J739" s="274" t="s">
        <v>928</v>
      </c>
      <c r="K739" s="274" t="s">
        <v>233</v>
      </c>
      <c r="L739" s="274">
        <v>50</v>
      </c>
      <c r="M739" s="274" t="s">
        <v>234</v>
      </c>
      <c r="N739" s="274">
        <v>1120</v>
      </c>
      <c r="O739" s="274">
        <v>1120</v>
      </c>
      <c r="P739" s="274">
        <v>4000</v>
      </c>
      <c r="Q739" s="274">
        <v>2</v>
      </c>
      <c r="R739" s="274">
        <v>4</v>
      </c>
      <c r="S739" s="274" t="s">
        <v>354</v>
      </c>
      <c r="T739" s="274" t="s">
        <v>2361</v>
      </c>
      <c r="U739" s="274" t="s">
        <v>2369</v>
      </c>
      <c r="V739" s="274" t="s">
        <v>355</v>
      </c>
      <c r="W739" s="274" t="s">
        <v>928</v>
      </c>
      <c r="X739" s="274" t="s">
        <v>928</v>
      </c>
      <c r="Y739" s="143"/>
    </row>
    <row r="740" spans="1:28" s="239" customFormat="1" ht="13.15" customHeight="1" x14ac:dyDescent="0.15">
      <c r="A740" s="274">
        <v>3750089</v>
      </c>
      <c r="B740" s="274" t="s">
        <v>351</v>
      </c>
      <c r="C740" s="274" t="s">
        <v>1806</v>
      </c>
      <c r="D740" s="274" t="s">
        <v>353</v>
      </c>
      <c r="E740" s="274" t="s">
        <v>116</v>
      </c>
      <c r="F740" s="274">
        <v>3</v>
      </c>
      <c r="G740" s="274" t="s">
        <v>19</v>
      </c>
      <c r="H740" s="274" t="s">
        <v>28</v>
      </c>
      <c r="I740" s="274" t="s">
        <v>205</v>
      </c>
      <c r="J740" s="274" t="s">
        <v>928</v>
      </c>
      <c r="K740" s="274" t="s">
        <v>233</v>
      </c>
      <c r="L740" s="274">
        <v>50</v>
      </c>
      <c r="M740" s="274" t="s">
        <v>234</v>
      </c>
      <c r="N740" s="274">
        <v>1120</v>
      </c>
      <c r="O740" s="274">
        <v>1120</v>
      </c>
      <c r="P740" s="274">
        <v>4000</v>
      </c>
      <c r="Q740" s="274">
        <v>2</v>
      </c>
      <c r="R740" s="274">
        <v>4</v>
      </c>
      <c r="S740" s="274" t="s">
        <v>354</v>
      </c>
      <c r="T740" s="274" t="s">
        <v>2361</v>
      </c>
      <c r="U740" s="274" t="s">
        <v>2369</v>
      </c>
      <c r="V740" s="274" t="s">
        <v>355</v>
      </c>
      <c r="W740" s="274" t="s">
        <v>928</v>
      </c>
      <c r="X740" s="274" t="s">
        <v>928</v>
      </c>
      <c r="Y740" s="143"/>
    </row>
    <row r="741" spans="1:28" s="239" customFormat="1" ht="13.15" customHeight="1" x14ac:dyDescent="0.15">
      <c r="A741" s="274">
        <v>3750090</v>
      </c>
      <c r="B741" s="274" t="s">
        <v>351</v>
      </c>
      <c r="C741" s="274" t="s">
        <v>1806</v>
      </c>
      <c r="D741" s="274" t="s">
        <v>353</v>
      </c>
      <c r="E741" s="274" t="s">
        <v>116</v>
      </c>
      <c r="F741" s="274">
        <v>3</v>
      </c>
      <c r="G741" s="274" t="s">
        <v>19</v>
      </c>
      <c r="H741" s="274" t="s">
        <v>28</v>
      </c>
      <c r="I741" s="274" t="s">
        <v>205</v>
      </c>
      <c r="J741" s="274" t="s">
        <v>928</v>
      </c>
      <c r="K741" s="274" t="s">
        <v>237</v>
      </c>
      <c r="L741" s="274">
        <v>50</v>
      </c>
      <c r="M741" s="274" t="s">
        <v>238</v>
      </c>
      <c r="N741" s="274">
        <v>1120</v>
      </c>
      <c r="O741" s="274">
        <v>1120</v>
      </c>
      <c r="P741" s="274">
        <v>4000</v>
      </c>
      <c r="Q741" s="274">
        <v>2</v>
      </c>
      <c r="R741" s="274">
        <v>2</v>
      </c>
      <c r="S741" s="274" t="s">
        <v>354</v>
      </c>
      <c r="T741" s="274" t="s">
        <v>2361</v>
      </c>
      <c r="U741" s="274" t="s">
        <v>2369</v>
      </c>
      <c r="V741" s="274" t="s">
        <v>355</v>
      </c>
      <c r="W741" s="274" t="s">
        <v>928</v>
      </c>
      <c r="X741" s="274" t="s">
        <v>928</v>
      </c>
      <c r="Y741" s="143"/>
    </row>
    <row r="742" spans="1:28" s="239" customFormat="1" ht="13.15" customHeight="1" x14ac:dyDescent="0.15">
      <c r="A742" s="274">
        <v>3750091</v>
      </c>
      <c r="B742" s="274" t="s">
        <v>351</v>
      </c>
      <c r="C742" s="274" t="s">
        <v>1806</v>
      </c>
      <c r="D742" s="274" t="s">
        <v>353</v>
      </c>
      <c r="E742" s="274" t="s">
        <v>116</v>
      </c>
      <c r="F742" s="274">
        <v>3</v>
      </c>
      <c r="G742" s="274" t="s">
        <v>19</v>
      </c>
      <c r="H742" s="274" t="s">
        <v>28</v>
      </c>
      <c r="I742" s="274" t="s">
        <v>205</v>
      </c>
      <c r="J742" s="274" t="s">
        <v>928</v>
      </c>
      <c r="K742" s="274" t="s">
        <v>224</v>
      </c>
      <c r="L742" s="274">
        <v>25</v>
      </c>
      <c r="M742" s="274" t="s">
        <v>225</v>
      </c>
      <c r="N742" s="274">
        <v>1120</v>
      </c>
      <c r="O742" s="274">
        <v>1120</v>
      </c>
      <c r="P742" s="274">
        <v>8000</v>
      </c>
      <c r="Q742" s="274">
        <v>2</v>
      </c>
      <c r="R742" s="274">
        <v>1</v>
      </c>
      <c r="S742" s="274" t="s">
        <v>354</v>
      </c>
      <c r="T742" s="274" t="s">
        <v>2361</v>
      </c>
      <c r="U742" s="274" t="s">
        <v>2369</v>
      </c>
      <c r="V742" s="274" t="s">
        <v>355</v>
      </c>
      <c r="W742" s="274" t="s">
        <v>928</v>
      </c>
      <c r="X742" s="274" t="s">
        <v>928</v>
      </c>
      <c r="Y742" s="143"/>
    </row>
    <row r="743" spans="1:28" s="239" customFormat="1" ht="13.15" customHeight="1" x14ac:dyDescent="0.15">
      <c r="A743" s="274">
        <v>3750092</v>
      </c>
      <c r="B743" s="274" t="s">
        <v>351</v>
      </c>
      <c r="C743" s="274" t="s">
        <v>1806</v>
      </c>
      <c r="D743" s="274" t="s">
        <v>353</v>
      </c>
      <c r="E743" s="274" t="s">
        <v>116</v>
      </c>
      <c r="F743" s="274">
        <v>3</v>
      </c>
      <c r="G743" s="274" t="s">
        <v>19</v>
      </c>
      <c r="H743" s="274" t="s">
        <v>28</v>
      </c>
      <c r="I743" s="274" t="s">
        <v>205</v>
      </c>
      <c r="J743" s="274" t="s">
        <v>928</v>
      </c>
      <c r="K743" s="274" t="s">
        <v>233</v>
      </c>
      <c r="L743" s="274">
        <v>50</v>
      </c>
      <c r="M743" s="274" t="s">
        <v>234</v>
      </c>
      <c r="N743" s="274">
        <v>1120</v>
      </c>
      <c r="O743" s="274">
        <v>1120</v>
      </c>
      <c r="P743" s="274">
        <v>4000</v>
      </c>
      <c r="Q743" s="274">
        <v>2</v>
      </c>
      <c r="R743" s="274">
        <v>4</v>
      </c>
      <c r="S743" s="274" t="s">
        <v>354</v>
      </c>
      <c r="T743" s="274" t="s">
        <v>2361</v>
      </c>
      <c r="U743" s="274" t="s">
        <v>2369</v>
      </c>
      <c r="V743" s="274" t="s">
        <v>355</v>
      </c>
      <c r="W743" s="274" t="s">
        <v>928</v>
      </c>
      <c r="X743" s="274" t="s">
        <v>928</v>
      </c>
      <c r="Y743" s="143"/>
    </row>
    <row r="744" spans="1:28" s="239" customFormat="1" ht="13.15" customHeight="1" x14ac:dyDescent="0.15">
      <c r="A744" s="274">
        <v>3750093</v>
      </c>
      <c r="B744" s="274" t="s">
        <v>351</v>
      </c>
      <c r="C744" s="274" t="s">
        <v>1806</v>
      </c>
      <c r="D744" s="274" t="s">
        <v>353</v>
      </c>
      <c r="E744" s="274" t="s">
        <v>116</v>
      </c>
      <c r="F744" s="274">
        <v>3</v>
      </c>
      <c r="G744" s="274" t="s">
        <v>19</v>
      </c>
      <c r="H744" s="274" t="s">
        <v>28</v>
      </c>
      <c r="I744" s="274" t="s">
        <v>205</v>
      </c>
      <c r="J744" s="274" t="s">
        <v>928</v>
      </c>
      <c r="K744" s="274" t="s">
        <v>224</v>
      </c>
      <c r="L744" s="274">
        <v>50</v>
      </c>
      <c r="M744" s="274" t="s">
        <v>225</v>
      </c>
      <c r="N744" s="274">
        <v>1120</v>
      </c>
      <c r="O744" s="274">
        <v>1120</v>
      </c>
      <c r="P744" s="274">
        <v>5000</v>
      </c>
      <c r="Q744" s="274">
        <v>2</v>
      </c>
      <c r="R744" s="274">
        <v>2</v>
      </c>
      <c r="S744" s="274" t="s">
        <v>354</v>
      </c>
      <c r="T744" s="274" t="s">
        <v>2361</v>
      </c>
      <c r="U744" s="274" t="s">
        <v>2369</v>
      </c>
      <c r="V744" s="274" t="s">
        <v>355</v>
      </c>
      <c r="W744" s="274" t="s">
        <v>928</v>
      </c>
      <c r="X744" s="274" t="s">
        <v>928</v>
      </c>
      <c r="Y744" s="143"/>
    </row>
    <row r="745" spans="1:28" s="239" customFormat="1" ht="13.15" customHeight="1" x14ac:dyDescent="0.15">
      <c r="A745" s="274">
        <v>3750096</v>
      </c>
      <c r="B745" s="274" t="s">
        <v>423</v>
      </c>
      <c r="C745" s="274" t="s">
        <v>1806</v>
      </c>
      <c r="D745" s="274" t="s">
        <v>353</v>
      </c>
      <c r="E745" s="274" t="s">
        <v>116</v>
      </c>
      <c r="F745" s="274">
        <v>3</v>
      </c>
      <c r="G745" s="274" t="s">
        <v>265</v>
      </c>
      <c r="H745" s="274" t="s">
        <v>20</v>
      </c>
      <c r="I745" s="274" t="s">
        <v>165</v>
      </c>
      <c r="J745" s="274" t="s">
        <v>928</v>
      </c>
      <c r="K745" s="274" t="s">
        <v>176</v>
      </c>
      <c r="L745" s="274">
        <v>50</v>
      </c>
      <c r="M745" s="274" t="s">
        <v>177</v>
      </c>
      <c r="N745" s="274">
        <v>1005</v>
      </c>
      <c r="O745" s="274">
        <v>1000</v>
      </c>
      <c r="P745" s="274">
        <v>4100</v>
      </c>
      <c r="Q745" s="274">
        <v>2</v>
      </c>
      <c r="R745" s="274">
        <v>1</v>
      </c>
      <c r="S745" s="274" t="s">
        <v>354</v>
      </c>
      <c r="T745" s="274" t="s">
        <v>2361</v>
      </c>
      <c r="U745" s="274" t="s">
        <v>2369</v>
      </c>
      <c r="V745" s="274" t="s">
        <v>355</v>
      </c>
      <c r="W745" s="274" t="s">
        <v>928</v>
      </c>
      <c r="X745" s="274" t="s">
        <v>928</v>
      </c>
      <c r="Y745" s="143"/>
    </row>
    <row r="746" spans="1:28" s="239" customFormat="1" ht="13.15" customHeight="1" x14ac:dyDescent="0.15">
      <c r="A746" s="274">
        <v>3750097</v>
      </c>
      <c r="B746" s="274" t="s">
        <v>423</v>
      </c>
      <c r="C746" s="274" t="s">
        <v>1806</v>
      </c>
      <c r="D746" s="274" t="s">
        <v>353</v>
      </c>
      <c r="E746" s="274" t="s">
        <v>116</v>
      </c>
      <c r="F746" s="274">
        <v>3</v>
      </c>
      <c r="G746" s="274" t="s">
        <v>265</v>
      </c>
      <c r="H746" s="274" t="s">
        <v>20</v>
      </c>
      <c r="I746" s="274" t="s">
        <v>165</v>
      </c>
      <c r="J746" s="274" t="s">
        <v>928</v>
      </c>
      <c r="K746" s="274" t="s">
        <v>176</v>
      </c>
      <c r="L746" s="274">
        <v>50</v>
      </c>
      <c r="M746" s="274" t="s">
        <v>177</v>
      </c>
      <c r="N746" s="274">
        <v>1005</v>
      </c>
      <c r="O746" s="274">
        <v>1000</v>
      </c>
      <c r="P746" s="274">
        <v>2000</v>
      </c>
      <c r="Q746" s="274">
        <v>2</v>
      </c>
      <c r="R746" s="274">
        <v>2</v>
      </c>
      <c r="S746" s="274" t="s">
        <v>354</v>
      </c>
      <c r="T746" s="274" t="s">
        <v>2361</v>
      </c>
      <c r="U746" s="274" t="s">
        <v>2369</v>
      </c>
      <c r="V746" s="274" t="s">
        <v>355</v>
      </c>
      <c r="W746" s="274" t="s">
        <v>928</v>
      </c>
      <c r="X746" s="274" t="s">
        <v>928</v>
      </c>
      <c r="Y746" s="143"/>
    </row>
    <row r="747" spans="1:28" s="239" customFormat="1" ht="13.15" customHeight="1" x14ac:dyDescent="0.15">
      <c r="A747" s="274">
        <v>3750949</v>
      </c>
      <c r="B747" s="274" t="s">
        <v>351</v>
      </c>
      <c r="C747" s="274" t="s">
        <v>1806</v>
      </c>
      <c r="D747" s="274" t="s">
        <v>353</v>
      </c>
      <c r="E747" s="274" t="s">
        <v>148</v>
      </c>
      <c r="F747" s="274" t="s">
        <v>1823</v>
      </c>
      <c r="G747" s="274" t="s">
        <v>19</v>
      </c>
      <c r="H747" s="274" t="s">
        <v>20</v>
      </c>
      <c r="I747" s="274" t="s">
        <v>143</v>
      </c>
      <c r="J747" s="274" t="s">
        <v>928</v>
      </c>
      <c r="K747" s="274" t="s">
        <v>149</v>
      </c>
      <c r="L747" s="274">
        <v>25</v>
      </c>
      <c r="M747" s="274" t="s">
        <v>150</v>
      </c>
      <c r="N747" s="274">
        <v>1120</v>
      </c>
      <c r="O747" s="274">
        <v>1120</v>
      </c>
      <c r="P747" s="274">
        <v>6000</v>
      </c>
      <c r="Q747" s="274">
        <v>2</v>
      </c>
      <c r="R747" s="274">
        <v>8</v>
      </c>
      <c r="S747" s="274" t="s">
        <v>354</v>
      </c>
      <c r="T747" s="274" t="s">
        <v>2371</v>
      </c>
      <c r="U747" s="274" t="s">
        <v>2363</v>
      </c>
      <c r="V747" s="274" t="s">
        <v>355</v>
      </c>
      <c r="W747" s="274" t="s">
        <v>928</v>
      </c>
      <c r="X747" s="274" t="s">
        <v>928</v>
      </c>
      <c r="Y747" s="143"/>
    </row>
    <row r="748" spans="1:28" s="239" customFormat="1" ht="13.15" customHeight="1" x14ac:dyDescent="0.15">
      <c r="A748" s="274">
        <v>3750949</v>
      </c>
      <c r="B748" s="274" t="s">
        <v>351</v>
      </c>
      <c r="C748" s="274" t="s">
        <v>1806</v>
      </c>
      <c r="D748" s="274" t="s">
        <v>353</v>
      </c>
      <c r="E748" s="274" t="s">
        <v>148</v>
      </c>
      <c r="F748" s="274" t="s">
        <v>1823</v>
      </c>
      <c r="G748" s="274" t="s">
        <v>19</v>
      </c>
      <c r="H748" s="274" t="s">
        <v>20</v>
      </c>
      <c r="I748" s="274" t="s">
        <v>143</v>
      </c>
      <c r="J748" s="274" t="s">
        <v>928</v>
      </c>
      <c r="K748" s="274" t="s">
        <v>149</v>
      </c>
      <c r="L748" s="274">
        <v>25</v>
      </c>
      <c r="M748" s="274" t="s">
        <v>150</v>
      </c>
      <c r="N748" s="274">
        <v>1120</v>
      </c>
      <c r="O748" s="274">
        <v>1120</v>
      </c>
      <c r="P748" s="274">
        <v>6000</v>
      </c>
      <c r="Q748" s="274">
        <v>2</v>
      </c>
      <c r="R748" s="274">
        <v>8</v>
      </c>
      <c r="S748" s="274" t="s">
        <v>354</v>
      </c>
      <c r="T748" s="274" t="s">
        <v>2371</v>
      </c>
      <c r="U748" s="274" t="s">
        <v>2363</v>
      </c>
      <c r="V748" s="274" t="s">
        <v>355</v>
      </c>
      <c r="W748" s="274" t="s">
        <v>928</v>
      </c>
      <c r="X748" s="274" t="s">
        <v>928</v>
      </c>
      <c r="Y748" s="143"/>
    </row>
    <row r="749" spans="1:28" s="239" customFormat="1" ht="13.15" customHeight="1" x14ac:dyDescent="0.15">
      <c r="A749" s="274">
        <v>3751758</v>
      </c>
      <c r="B749" s="274" t="s">
        <v>423</v>
      </c>
      <c r="C749" s="274" t="s">
        <v>1806</v>
      </c>
      <c r="D749" s="274" t="s">
        <v>353</v>
      </c>
      <c r="E749" s="274" t="s">
        <v>116</v>
      </c>
      <c r="F749" s="274">
        <v>3</v>
      </c>
      <c r="G749" s="274" t="s">
        <v>265</v>
      </c>
      <c r="H749" s="274" t="s">
        <v>20</v>
      </c>
      <c r="I749" s="274" t="s">
        <v>165</v>
      </c>
      <c r="J749" s="274" t="s">
        <v>928</v>
      </c>
      <c r="K749" s="274" t="s">
        <v>319</v>
      </c>
      <c r="L749" s="274">
        <v>50</v>
      </c>
      <c r="M749" s="274" t="s">
        <v>483</v>
      </c>
      <c r="N749" s="274">
        <v>1000</v>
      </c>
      <c r="O749" s="274">
        <v>1000</v>
      </c>
      <c r="P749" s="274">
        <v>2000</v>
      </c>
      <c r="Q749" s="274">
        <v>2</v>
      </c>
      <c r="R749" s="274">
        <v>2</v>
      </c>
      <c r="S749" s="274" t="s">
        <v>354</v>
      </c>
      <c r="T749" s="274" t="s">
        <v>2746</v>
      </c>
      <c r="U749" s="274" t="s">
        <v>2747</v>
      </c>
      <c r="V749" s="274" t="s">
        <v>355</v>
      </c>
      <c r="W749" s="274" t="s">
        <v>928</v>
      </c>
      <c r="X749" s="274" t="s">
        <v>928</v>
      </c>
      <c r="Y749" s="143"/>
    </row>
    <row r="750" spans="1:28" s="239" customFormat="1" ht="13.15" customHeight="1" x14ac:dyDescent="0.15">
      <c r="A750" s="274">
        <v>3752159</v>
      </c>
      <c r="B750" s="274" t="s">
        <v>351</v>
      </c>
      <c r="C750" s="274" t="s">
        <v>1806</v>
      </c>
      <c r="D750" s="274" t="s">
        <v>353</v>
      </c>
      <c r="E750" s="274" t="s">
        <v>183</v>
      </c>
      <c r="F750" s="274">
        <v>3</v>
      </c>
      <c r="G750" s="274" t="s">
        <v>19</v>
      </c>
      <c r="H750" s="274" t="s">
        <v>20</v>
      </c>
      <c r="I750" s="274" t="s">
        <v>165</v>
      </c>
      <c r="J750" s="274" t="s">
        <v>928</v>
      </c>
      <c r="K750" s="274" t="s">
        <v>180</v>
      </c>
      <c r="L750" s="274">
        <v>100</v>
      </c>
      <c r="M750" s="274" t="s">
        <v>181</v>
      </c>
      <c r="N750" s="274">
        <v>1205</v>
      </c>
      <c r="O750" s="274">
        <v>1205</v>
      </c>
      <c r="P750" s="274">
        <v>2500</v>
      </c>
      <c r="Q750" s="274">
        <v>2</v>
      </c>
      <c r="R750" s="274">
        <v>2</v>
      </c>
      <c r="S750" s="274" t="s">
        <v>354</v>
      </c>
      <c r="T750" s="274" t="s">
        <v>2753</v>
      </c>
      <c r="U750" s="274" t="s">
        <v>2754</v>
      </c>
      <c r="V750" s="274" t="s">
        <v>355</v>
      </c>
      <c r="W750" s="274" t="s">
        <v>928</v>
      </c>
      <c r="X750" s="274" t="s">
        <v>928</v>
      </c>
      <c r="Y750" s="143"/>
    </row>
    <row r="751" spans="1:28" s="239" customFormat="1" ht="13.15" customHeight="1" x14ac:dyDescent="0.15">
      <c r="A751" s="274">
        <v>3752405</v>
      </c>
      <c r="B751" s="274" t="s">
        <v>351</v>
      </c>
      <c r="C751" s="274" t="s">
        <v>1806</v>
      </c>
      <c r="D751" s="274" t="s">
        <v>353</v>
      </c>
      <c r="E751" s="274" t="s">
        <v>116</v>
      </c>
      <c r="F751" s="274" t="s">
        <v>96</v>
      </c>
      <c r="G751" s="274" t="s">
        <v>19</v>
      </c>
      <c r="H751" s="274" t="s">
        <v>28</v>
      </c>
      <c r="I751" s="274" t="s">
        <v>205</v>
      </c>
      <c r="J751" s="274" t="s">
        <v>928</v>
      </c>
      <c r="K751" s="274" t="s">
        <v>237</v>
      </c>
      <c r="L751" s="274">
        <v>50</v>
      </c>
      <c r="M751" s="274" t="s">
        <v>238</v>
      </c>
      <c r="N751" s="274">
        <v>1120</v>
      </c>
      <c r="O751" s="274">
        <v>1120</v>
      </c>
      <c r="P751" s="274">
        <v>4000</v>
      </c>
      <c r="Q751" s="274">
        <v>2</v>
      </c>
      <c r="R751" s="274">
        <v>4</v>
      </c>
      <c r="S751" s="274" t="s">
        <v>354</v>
      </c>
      <c r="T751" s="274" t="s">
        <v>2755</v>
      </c>
      <c r="U751" s="274" t="s">
        <v>2369</v>
      </c>
      <c r="V751" s="274" t="s">
        <v>355</v>
      </c>
      <c r="W751" s="274" t="s">
        <v>928</v>
      </c>
      <c r="X751" s="274" t="s">
        <v>928</v>
      </c>
      <c r="Y751" s="143"/>
    </row>
    <row r="752" spans="1:28" s="239" customFormat="1" ht="13.15" customHeight="1" x14ac:dyDescent="0.15">
      <c r="A752" s="274">
        <v>3754078</v>
      </c>
      <c r="B752" s="274" t="s">
        <v>351</v>
      </c>
      <c r="C752" s="274" t="s">
        <v>1808</v>
      </c>
      <c r="D752" s="274" t="s">
        <v>353</v>
      </c>
      <c r="E752" s="274" t="s">
        <v>753</v>
      </c>
      <c r="F752" s="274">
        <v>3</v>
      </c>
      <c r="G752" s="274" t="s">
        <v>19</v>
      </c>
      <c r="H752" s="274" t="s">
        <v>20</v>
      </c>
      <c r="I752" s="274" t="s">
        <v>205</v>
      </c>
      <c r="J752" s="274" t="s">
        <v>928</v>
      </c>
      <c r="K752" s="274" t="s">
        <v>230</v>
      </c>
      <c r="L752" s="274">
        <v>25</v>
      </c>
      <c r="M752" s="274" t="s">
        <v>231</v>
      </c>
      <c r="N752" s="274">
        <v>510</v>
      </c>
      <c r="O752" s="274">
        <v>510</v>
      </c>
      <c r="P752" s="274">
        <v>2000</v>
      </c>
      <c r="Q752" s="274">
        <v>1</v>
      </c>
      <c r="R752" s="274">
        <v>12</v>
      </c>
      <c r="S752" s="274" t="s">
        <v>354</v>
      </c>
      <c r="T752" s="274" t="s">
        <v>2369</v>
      </c>
      <c r="U752" s="274" t="s">
        <v>2770</v>
      </c>
      <c r="V752" s="274" t="s">
        <v>355</v>
      </c>
      <c r="W752" s="274" t="s">
        <v>928</v>
      </c>
      <c r="X752" s="339"/>
      <c r="Y752" s="143"/>
    </row>
    <row r="753" spans="1:25" s="239" customFormat="1" ht="13.15" customHeight="1" x14ac:dyDescent="0.15">
      <c r="A753" s="274">
        <v>3754079</v>
      </c>
      <c r="B753" s="274" t="s">
        <v>351</v>
      </c>
      <c r="C753" s="274" t="s">
        <v>1806</v>
      </c>
      <c r="D753" s="274" t="s">
        <v>353</v>
      </c>
      <c r="E753" s="274" t="s">
        <v>232</v>
      </c>
      <c r="F753" s="274">
        <v>3</v>
      </c>
      <c r="G753" s="274" t="s">
        <v>19</v>
      </c>
      <c r="H753" s="274" t="s">
        <v>20</v>
      </c>
      <c r="I753" s="274" t="s">
        <v>205</v>
      </c>
      <c r="J753" s="274" t="s">
        <v>928</v>
      </c>
      <c r="K753" s="274" t="s">
        <v>230</v>
      </c>
      <c r="L753" s="274">
        <v>25</v>
      </c>
      <c r="M753" s="274" t="s">
        <v>231</v>
      </c>
      <c r="N753" s="274">
        <v>1240</v>
      </c>
      <c r="O753" s="274">
        <v>1240</v>
      </c>
      <c r="P753" s="274">
        <v>2000</v>
      </c>
      <c r="Q753" s="274">
        <v>1</v>
      </c>
      <c r="R753" s="274">
        <v>6</v>
      </c>
      <c r="S753" s="274" t="s">
        <v>354</v>
      </c>
      <c r="T753" s="274" t="s">
        <v>2369</v>
      </c>
      <c r="U753" s="274" t="s">
        <v>2770</v>
      </c>
      <c r="V753" s="274" t="s">
        <v>355</v>
      </c>
      <c r="W753" s="274" t="s">
        <v>928</v>
      </c>
      <c r="X753" s="339"/>
      <c r="Y753" s="143"/>
    </row>
    <row r="754" spans="1:25" s="239" customFormat="1" ht="13.15" customHeight="1" x14ac:dyDescent="0.15">
      <c r="A754" s="274">
        <v>3754080</v>
      </c>
      <c r="B754" s="274" t="s">
        <v>351</v>
      </c>
      <c r="C754" s="274" t="s">
        <v>1806</v>
      </c>
      <c r="D754" s="274" t="s">
        <v>353</v>
      </c>
      <c r="E754" s="274" t="s">
        <v>116</v>
      </c>
      <c r="F754" s="274">
        <v>3</v>
      </c>
      <c r="G754" s="274" t="s">
        <v>19</v>
      </c>
      <c r="H754" s="274" t="s">
        <v>20</v>
      </c>
      <c r="I754" s="274" t="s">
        <v>205</v>
      </c>
      <c r="J754" s="274" t="s">
        <v>928</v>
      </c>
      <c r="K754" s="274" t="s">
        <v>212</v>
      </c>
      <c r="L754" s="274">
        <v>25</v>
      </c>
      <c r="M754" s="274" t="s">
        <v>213</v>
      </c>
      <c r="N754" s="274">
        <v>1120</v>
      </c>
      <c r="O754" s="274">
        <v>1120</v>
      </c>
      <c r="P754" s="274">
        <v>4000</v>
      </c>
      <c r="Q754" s="274">
        <v>2</v>
      </c>
      <c r="R754" s="274">
        <v>3</v>
      </c>
      <c r="S754" s="274" t="s">
        <v>354</v>
      </c>
      <c r="T754" s="274" t="s">
        <v>2369</v>
      </c>
      <c r="U754" s="274" t="s">
        <v>2774</v>
      </c>
      <c r="V754" s="274" t="s">
        <v>355</v>
      </c>
      <c r="W754" s="274" t="s">
        <v>928</v>
      </c>
      <c r="X754" s="339"/>
      <c r="Y754" s="143"/>
    </row>
    <row r="755" spans="1:25" s="239" customFormat="1" ht="13.15" customHeight="1" x14ac:dyDescent="0.15">
      <c r="A755" s="274">
        <v>3754081</v>
      </c>
      <c r="B755" s="274" t="s">
        <v>351</v>
      </c>
      <c r="C755" s="274" t="s">
        <v>1806</v>
      </c>
      <c r="D755" s="274" t="s">
        <v>353</v>
      </c>
      <c r="E755" s="274" t="s">
        <v>116</v>
      </c>
      <c r="F755" s="274">
        <v>3</v>
      </c>
      <c r="G755" s="274" t="s">
        <v>19</v>
      </c>
      <c r="H755" s="274" t="s">
        <v>28</v>
      </c>
      <c r="I755" s="274" t="s">
        <v>205</v>
      </c>
      <c r="J755" s="274" t="s">
        <v>928</v>
      </c>
      <c r="K755" s="274" t="s">
        <v>212</v>
      </c>
      <c r="L755" s="274">
        <v>25</v>
      </c>
      <c r="M755" s="274" t="s">
        <v>2775</v>
      </c>
      <c r="N755" s="274">
        <v>1120</v>
      </c>
      <c r="O755" s="274">
        <v>1120</v>
      </c>
      <c r="P755" s="274">
        <v>4000</v>
      </c>
      <c r="Q755" s="274">
        <v>2</v>
      </c>
      <c r="R755" s="274">
        <v>4</v>
      </c>
      <c r="S755" s="274" t="s">
        <v>354</v>
      </c>
      <c r="T755" s="274" t="s">
        <v>2369</v>
      </c>
      <c r="U755" s="274" t="s">
        <v>2776</v>
      </c>
      <c r="V755" s="274" t="s">
        <v>355</v>
      </c>
      <c r="W755" s="274" t="s">
        <v>928</v>
      </c>
      <c r="X755" s="339"/>
      <c r="Y755" s="143"/>
    </row>
    <row r="756" spans="1:25" s="239" customFormat="1" ht="13.15" customHeight="1" x14ac:dyDescent="0.15">
      <c r="A756" s="274">
        <v>3754082</v>
      </c>
      <c r="B756" s="274" t="s">
        <v>351</v>
      </c>
      <c r="C756" s="274" t="s">
        <v>1806</v>
      </c>
      <c r="D756" s="274" t="s">
        <v>353</v>
      </c>
      <c r="E756" s="274" t="s">
        <v>116</v>
      </c>
      <c r="F756" s="274">
        <v>3</v>
      </c>
      <c r="G756" s="274" t="s">
        <v>19</v>
      </c>
      <c r="H756" s="274" t="s">
        <v>20</v>
      </c>
      <c r="I756" s="274" t="s">
        <v>205</v>
      </c>
      <c r="J756" s="274" t="s">
        <v>928</v>
      </c>
      <c r="K756" s="274" t="s">
        <v>212</v>
      </c>
      <c r="L756" s="274">
        <v>50</v>
      </c>
      <c r="M756" s="274" t="s">
        <v>213</v>
      </c>
      <c r="N756" s="274">
        <v>1000</v>
      </c>
      <c r="O756" s="274">
        <v>1000</v>
      </c>
      <c r="P756" s="274">
        <v>4000</v>
      </c>
      <c r="Q756" s="274">
        <v>2</v>
      </c>
      <c r="R756" s="274">
        <v>3</v>
      </c>
      <c r="S756" s="274" t="s">
        <v>354</v>
      </c>
      <c r="T756" s="274" t="s">
        <v>2369</v>
      </c>
      <c r="U756" s="274" t="s">
        <v>2777</v>
      </c>
      <c r="V756" s="274" t="s">
        <v>355</v>
      </c>
      <c r="W756" s="274" t="s">
        <v>928</v>
      </c>
      <c r="X756" s="339"/>
      <c r="Y756" s="143"/>
    </row>
    <row r="757" spans="1:25" s="239" customFormat="1" ht="13.15" customHeight="1" x14ac:dyDescent="0.15">
      <c r="A757" s="274">
        <v>3754083</v>
      </c>
      <c r="B757" s="274" t="s">
        <v>351</v>
      </c>
      <c r="C757" s="274" t="s">
        <v>1806</v>
      </c>
      <c r="D757" s="274" t="s">
        <v>353</v>
      </c>
      <c r="E757" s="274" t="s">
        <v>116</v>
      </c>
      <c r="F757" s="274">
        <v>3</v>
      </c>
      <c r="G757" s="274" t="s">
        <v>19</v>
      </c>
      <c r="H757" s="274" t="s">
        <v>20</v>
      </c>
      <c r="I757" s="274" t="s">
        <v>205</v>
      </c>
      <c r="J757" s="274" t="s">
        <v>928</v>
      </c>
      <c r="K757" s="274" t="s">
        <v>212</v>
      </c>
      <c r="L757" s="274">
        <v>50</v>
      </c>
      <c r="M757" s="274" t="s">
        <v>213</v>
      </c>
      <c r="N757" s="274">
        <v>1120</v>
      </c>
      <c r="O757" s="274">
        <v>1120</v>
      </c>
      <c r="P757" s="274">
        <v>4000</v>
      </c>
      <c r="Q757" s="274">
        <v>2</v>
      </c>
      <c r="R757" s="274">
        <v>24</v>
      </c>
      <c r="S757" s="274" t="s">
        <v>354</v>
      </c>
      <c r="T757" s="274" t="s">
        <v>2369</v>
      </c>
      <c r="U757" s="274" t="s">
        <v>2774</v>
      </c>
      <c r="V757" s="274" t="s">
        <v>355</v>
      </c>
      <c r="W757" s="274" t="s">
        <v>928</v>
      </c>
      <c r="X757" s="339"/>
      <c r="Y757" s="143"/>
    </row>
    <row r="758" spans="1:25" s="239" customFormat="1" ht="13.15" customHeight="1" x14ac:dyDescent="0.15">
      <c r="A758" s="274">
        <v>3754084</v>
      </c>
      <c r="B758" s="274" t="s">
        <v>351</v>
      </c>
      <c r="C758" s="274" t="s">
        <v>1806</v>
      </c>
      <c r="D758" s="274" t="s">
        <v>353</v>
      </c>
      <c r="E758" s="274" t="s">
        <v>116</v>
      </c>
      <c r="F758" s="274">
        <v>3</v>
      </c>
      <c r="G758" s="274" t="s">
        <v>19</v>
      </c>
      <c r="H758" s="274" t="s">
        <v>20</v>
      </c>
      <c r="I758" s="274" t="s">
        <v>205</v>
      </c>
      <c r="J758" s="274" t="s">
        <v>928</v>
      </c>
      <c r="K758" s="274" t="s">
        <v>211</v>
      </c>
      <c r="L758" s="274">
        <v>50</v>
      </c>
      <c r="M758" s="274" t="s">
        <v>370</v>
      </c>
      <c r="N758" s="274">
        <v>1050</v>
      </c>
      <c r="O758" s="274">
        <v>1050</v>
      </c>
      <c r="P758" s="274">
        <v>4100</v>
      </c>
      <c r="Q758" s="274">
        <v>2</v>
      </c>
      <c r="R758" s="274">
        <v>3</v>
      </c>
      <c r="S758" s="274" t="s">
        <v>354</v>
      </c>
      <c r="T758" s="274" t="s">
        <v>2369</v>
      </c>
      <c r="U758" s="274" t="s">
        <v>2778</v>
      </c>
      <c r="V758" s="274" t="s">
        <v>355</v>
      </c>
      <c r="W758" s="274" t="s">
        <v>928</v>
      </c>
      <c r="X758" s="339"/>
      <c r="Y758" s="143"/>
    </row>
    <row r="759" spans="1:25" s="239" customFormat="1" ht="13.15" customHeight="1" x14ac:dyDescent="0.15">
      <c r="A759" s="274">
        <v>3754085</v>
      </c>
      <c r="B759" s="274" t="s">
        <v>351</v>
      </c>
      <c r="C759" s="274" t="s">
        <v>1806</v>
      </c>
      <c r="D759" s="274" t="s">
        <v>353</v>
      </c>
      <c r="E759" s="274" t="s">
        <v>116</v>
      </c>
      <c r="F759" s="274">
        <v>3</v>
      </c>
      <c r="G759" s="274" t="s">
        <v>19</v>
      </c>
      <c r="H759" s="274" t="s">
        <v>20</v>
      </c>
      <c r="I759" s="274" t="s">
        <v>205</v>
      </c>
      <c r="J759" s="274" t="s">
        <v>928</v>
      </c>
      <c r="K759" s="274" t="s">
        <v>211</v>
      </c>
      <c r="L759" s="274">
        <v>75</v>
      </c>
      <c r="M759" s="274" t="s">
        <v>370</v>
      </c>
      <c r="N759" s="274">
        <v>1050</v>
      </c>
      <c r="O759" s="274">
        <v>1050</v>
      </c>
      <c r="P759" s="274">
        <v>2000</v>
      </c>
      <c r="Q759" s="274">
        <v>2</v>
      </c>
      <c r="R759" s="274">
        <v>2</v>
      </c>
      <c r="S759" s="274" t="s">
        <v>354</v>
      </c>
      <c r="T759" s="274" t="s">
        <v>2369</v>
      </c>
      <c r="U759" s="274" t="s">
        <v>2778</v>
      </c>
      <c r="V759" s="274" t="s">
        <v>355</v>
      </c>
      <c r="W759" s="274" t="s">
        <v>928</v>
      </c>
      <c r="X759" s="339"/>
      <c r="Y759" s="143"/>
    </row>
    <row r="760" spans="1:25" s="239" customFormat="1" ht="13.15" customHeight="1" x14ac:dyDescent="0.15">
      <c r="A760" s="274">
        <v>3754086</v>
      </c>
      <c r="B760" s="274" t="s">
        <v>351</v>
      </c>
      <c r="C760" s="274" t="s">
        <v>1806</v>
      </c>
      <c r="D760" s="274" t="s">
        <v>353</v>
      </c>
      <c r="E760" s="274" t="s">
        <v>116</v>
      </c>
      <c r="F760" s="274">
        <v>3</v>
      </c>
      <c r="G760" s="274" t="s">
        <v>19</v>
      </c>
      <c r="H760" s="274" t="s">
        <v>20</v>
      </c>
      <c r="I760" s="274" t="s">
        <v>205</v>
      </c>
      <c r="J760" s="274" t="s">
        <v>928</v>
      </c>
      <c r="K760" s="274" t="s">
        <v>216</v>
      </c>
      <c r="L760" s="274">
        <v>25</v>
      </c>
      <c r="M760" s="274" t="s">
        <v>217</v>
      </c>
      <c r="N760" s="274">
        <v>1005</v>
      </c>
      <c r="O760" s="274">
        <v>1000</v>
      </c>
      <c r="P760" s="274">
        <v>4000</v>
      </c>
      <c r="Q760" s="274">
        <v>2</v>
      </c>
      <c r="R760" s="274">
        <v>15</v>
      </c>
      <c r="S760" s="274" t="s">
        <v>354</v>
      </c>
      <c r="T760" s="274" t="s">
        <v>2369</v>
      </c>
      <c r="U760" s="274" t="s">
        <v>2778</v>
      </c>
      <c r="V760" s="274" t="s">
        <v>355</v>
      </c>
      <c r="W760" s="274" t="s">
        <v>928</v>
      </c>
      <c r="X760" s="339"/>
      <c r="Y760" s="143"/>
    </row>
    <row r="761" spans="1:25" s="239" customFormat="1" ht="13.15" customHeight="1" x14ac:dyDescent="0.15">
      <c r="A761" s="274">
        <v>3754087</v>
      </c>
      <c r="B761" s="274" t="s">
        <v>351</v>
      </c>
      <c r="C761" s="274" t="s">
        <v>1806</v>
      </c>
      <c r="D761" s="274" t="s">
        <v>353</v>
      </c>
      <c r="E761" s="274" t="s">
        <v>116</v>
      </c>
      <c r="F761" s="274">
        <v>3</v>
      </c>
      <c r="G761" s="274" t="s">
        <v>19</v>
      </c>
      <c r="H761" s="274" t="s">
        <v>20</v>
      </c>
      <c r="I761" s="274" t="s">
        <v>205</v>
      </c>
      <c r="J761" s="274" t="s">
        <v>928</v>
      </c>
      <c r="K761" s="274" t="s">
        <v>216</v>
      </c>
      <c r="L761" s="274">
        <v>50</v>
      </c>
      <c r="M761" s="274" t="s">
        <v>217</v>
      </c>
      <c r="N761" s="274">
        <v>1120</v>
      </c>
      <c r="O761" s="274">
        <v>1120</v>
      </c>
      <c r="P761" s="274">
        <v>5000</v>
      </c>
      <c r="Q761" s="274">
        <v>2</v>
      </c>
      <c r="R761" s="274">
        <v>54</v>
      </c>
      <c r="S761" s="274" t="s">
        <v>354</v>
      </c>
      <c r="T761" s="274" t="s">
        <v>2369</v>
      </c>
      <c r="U761" s="274" t="s">
        <v>2777</v>
      </c>
      <c r="V761" s="274" t="s">
        <v>355</v>
      </c>
      <c r="W761" s="274" t="s">
        <v>928</v>
      </c>
      <c r="X761" s="339"/>
      <c r="Y761" s="143"/>
    </row>
    <row r="762" spans="1:25" s="239" customFormat="1" ht="13.15" customHeight="1" x14ac:dyDescent="0.15">
      <c r="A762" s="274">
        <v>3754088</v>
      </c>
      <c r="B762" s="274" t="s">
        <v>351</v>
      </c>
      <c r="C762" s="274" t="s">
        <v>1806</v>
      </c>
      <c r="D762" s="274" t="s">
        <v>353</v>
      </c>
      <c r="E762" s="274" t="s">
        <v>116</v>
      </c>
      <c r="F762" s="274">
        <v>3</v>
      </c>
      <c r="G762" s="274" t="s">
        <v>19</v>
      </c>
      <c r="H762" s="274" t="s">
        <v>20</v>
      </c>
      <c r="I762" s="274" t="s">
        <v>205</v>
      </c>
      <c r="J762" s="274" t="s">
        <v>928</v>
      </c>
      <c r="K762" s="274" t="s">
        <v>218</v>
      </c>
      <c r="L762" s="274">
        <v>50</v>
      </c>
      <c r="M762" s="274" t="s">
        <v>219</v>
      </c>
      <c r="N762" s="274">
        <v>1000</v>
      </c>
      <c r="O762" s="274">
        <v>1000</v>
      </c>
      <c r="P762" s="274">
        <v>4000</v>
      </c>
      <c r="Q762" s="274">
        <v>2</v>
      </c>
      <c r="R762" s="274">
        <v>24</v>
      </c>
      <c r="S762" s="274" t="s">
        <v>354</v>
      </c>
      <c r="T762" s="274" t="s">
        <v>2369</v>
      </c>
      <c r="U762" s="274" t="s">
        <v>2777</v>
      </c>
      <c r="V762" s="274" t="s">
        <v>355</v>
      </c>
      <c r="W762" s="274" t="s">
        <v>928</v>
      </c>
      <c r="X762" s="339"/>
      <c r="Y762" s="143"/>
    </row>
    <row r="763" spans="1:25" s="239" customFormat="1" ht="13.15" customHeight="1" x14ac:dyDescent="0.15">
      <c r="A763" s="274">
        <v>3754089</v>
      </c>
      <c r="B763" s="274" t="s">
        <v>351</v>
      </c>
      <c r="C763" s="274" t="s">
        <v>1806</v>
      </c>
      <c r="D763" s="274" t="s">
        <v>353</v>
      </c>
      <c r="E763" s="274" t="s">
        <v>116</v>
      </c>
      <c r="F763" s="274">
        <v>3</v>
      </c>
      <c r="G763" s="274" t="s">
        <v>19</v>
      </c>
      <c r="H763" s="274" t="s">
        <v>28</v>
      </c>
      <c r="I763" s="274" t="s">
        <v>205</v>
      </c>
      <c r="J763" s="274" t="s">
        <v>928</v>
      </c>
      <c r="K763" s="274" t="s">
        <v>233</v>
      </c>
      <c r="L763" s="274">
        <v>50</v>
      </c>
      <c r="M763" s="274" t="s">
        <v>234</v>
      </c>
      <c r="N763" s="274">
        <v>1120</v>
      </c>
      <c r="O763" s="274">
        <v>1120</v>
      </c>
      <c r="P763" s="274">
        <v>4000</v>
      </c>
      <c r="Q763" s="274">
        <v>2</v>
      </c>
      <c r="R763" s="274">
        <v>8</v>
      </c>
      <c r="S763" s="274" t="s">
        <v>354</v>
      </c>
      <c r="T763" s="274" t="s">
        <v>2369</v>
      </c>
      <c r="U763" s="274" t="s">
        <v>2366</v>
      </c>
      <c r="V763" s="274" t="s">
        <v>355</v>
      </c>
      <c r="W763" s="274" t="s">
        <v>928</v>
      </c>
      <c r="X763" s="339"/>
      <c r="Y763" s="143"/>
    </row>
    <row r="764" spans="1:25" s="239" customFormat="1" ht="13.15" customHeight="1" x14ac:dyDescent="0.15">
      <c r="A764" s="274">
        <v>3754090</v>
      </c>
      <c r="B764" s="274" t="s">
        <v>351</v>
      </c>
      <c r="C764" s="274" t="s">
        <v>1806</v>
      </c>
      <c r="D764" s="274" t="s">
        <v>353</v>
      </c>
      <c r="E764" s="274" t="s">
        <v>116</v>
      </c>
      <c r="F764" s="274">
        <v>3</v>
      </c>
      <c r="G764" s="274" t="s">
        <v>19</v>
      </c>
      <c r="H764" s="274" t="s">
        <v>28</v>
      </c>
      <c r="I764" s="274" t="s">
        <v>205</v>
      </c>
      <c r="J764" s="274" t="s">
        <v>928</v>
      </c>
      <c r="K764" s="274" t="s">
        <v>235</v>
      </c>
      <c r="L764" s="274">
        <v>50</v>
      </c>
      <c r="M764" s="274" t="s">
        <v>236</v>
      </c>
      <c r="N764" s="274">
        <v>1120</v>
      </c>
      <c r="O764" s="274">
        <v>1120</v>
      </c>
      <c r="P764" s="274">
        <v>4000</v>
      </c>
      <c r="Q764" s="274">
        <v>2</v>
      </c>
      <c r="R764" s="274">
        <v>8</v>
      </c>
      <c r="S764" s="274" t="s">
        <v>354</v>
      </c>
      <c r="T764" s="274" t="s">
        <v>2369</v>
      </c>
      <c r="U764" s="274" t="s">
        <v>2366</v>
      </c>
      <c r="V764" s="274" t="s">
        <v>355</v>
      </c>
      <c r="W764" s="274" t="s">
        <v>928</v>
      </c>
      <c r="X764" s="339"/>
      <c r="Y764" s="143"/>
    </row>
    <row r="765" spans="1:25" s="239" customFormat="1" ht="13.15" customHeight="1" x14ac:dyDescent="0.15">
      <c r="A765" s="274">
        <v>3754091</v>
      </c>
      <c r="B765" s="274" t="s">
        <v>351</v>
      </c>
      <c r="C765" s="274" t="s">
        <v>1806</v>
      </c>
      <c r="D765" s="274" t="s">
        <v>353</v>
      </c>
      <c r="E765" s="274" t="s">
        <v>116</v>
      </c>
      <c r="F765" s="274">
        <v>3</v>
      </c>
      <c r="G765" s="274" t="s">
        <v>19</v>
      </c>
      <c r="H765" s="274" t="s">
        <v>28</v>
      </c>
      <c r="I765" s="274" t="s">
        <v>205</v>
      </c>
      <c r="J765" s="274" t="s">
        <v>928</v>
      </c>
      <c r="K765" s="274" t="s">
        <v>233</v>
      </c>
      <c r="L765" s="274">
        <v>50</v>
      </c>
      <c r="M765" s="274" t="s">
        <v>234</v>
      </c>
      <c r="N765" s="274">
        <v>1120</v>
      </c>
      <c r="O765" s="274">
        <v>1120</v>
      </c>
      <c r="P765" s="274">
        <v>4000</v>
      </c>
      <c r="Q765" s="274">
        <v>2</v>
      </c>
      <c r="R765" s="274">
        <v>4</v>
      </c>
      <c r="S765" s="274" t="s">
        <v>354</v>
      </c>
      <c r="T765" s="274" t="s">
        <v>2369</v>
      </c>
      <c r="U765" s="274" t="s">
        <v>2366</v>
      </c>
      <c r="V765" s="274" t="s">
        <v>355</v>
      </c>
      <c r="W765" s="274" t="s">
        <v>928</v>
      </c>
      <c r="X765" s="339"/>
      <c r="Y765" s="143"/>
    </row>
    <row r="766" spans="1:25" s="239" customFormat="1" ht="13.15" customHeight="1" x14ac:dyDescent="0.15">
      <c r="A766" s="274">
        <v>3754092</v>
      </c>
      <c r="B766" s="274" t="s">
        <v>351</v>
      </c>
      <c r="C766" s="274" t="s">
        <v>1806</v>
      </c>
      <c r="D766" s="274" t="s">
        <v>353</v>
      </c>
      <c r="E766" s="274" t="s">
        <v>116</v>
      </c>
      <c r="F766" s="274">
        <v>3</v>
      </c>
      <c r="G766" s="274" t="s">
        <v>19</v>
      </c>
      <c r="H766" s="274" t="s">
        <v>28</v>
      </c>
      <c r="I766" s="274" t="s">
        <v>205</v>
      </c>
      <c r="J766" s="274" t="s">
        <v>928</v>
      </c>
      <c r="K766" s="274" t="s">
        <v>233</v>
      </c>
      <c r="L766" s="274">
        <v>50</v>
      </c>
      <c r="M766" s="274" t="s">
        <v>234</v>
      </c>
      <c r="N766" s="274">
        <v>1005</v>
      </c>
      <c r="O766" s="274">
        <v>1005</v>
      </c>
      <c r="P766" s="274">
        <v>4000</v>
      </c>
      <c r="Q766" s="274">
        <v>2</v>
      </c>
      <c r="R766" s="274">
        <v>4</v>
      </c>
      <c r="S766" s="274" t="s">
        <v>354</v>
      </c>
      <c r="T766" s="274" t="s">
        <v>2369</v>
      </c>
      <c r="U766" s="274" t="s">
        <v>2366</v>
      </c>
      <c r="V766" s="274" t="s">
        <v>355</v>
      </c>
      <c r="W766" s="274" t="s">
        <v>928</v>
      </c>
      <c r="X766" s="339"/>
      <c r="Y766" s="143"/>
    </row>
    <row r="767" spans="1:25" s="239" customFormat="1" ht="13.15" customHeight="1" x14ac:dyDescent="0.15">
      <c r="A767" s="274">
        <v>3754093</v>
      </c>
      <c r="B767" s="274" t="s">
        <v>351</v>
      </c>
      <c r="C767" s="274" t="s">
        <v>1806</v>
      </c>
      <c r="D767" s="274" t="s">
        <v>353</v>
      </c>
      <c r="E767" s="274" t="s">
        <v>116</v>
      </c>
      <c r="F767" s="274">
        <v>3</v>
      </c>
      <c r="G767" s="274" t="s">
        <v>19</v>
      </c>
      <c r="H767" s="274" t="s">
        <v>28</v>
      </c>
      <c r="I767" s="274" t="s">
        <v>205</v>
      </c>
      <c r="J767" s="274" t="s">
        <v>928</v>
      </c>
      <c r="K767" s="274" t="s">
        <v>235</v>
      </c>
      <c r="L767" s="274">
        <v>25</v>
      </c>
      <c r="M767" s="274" t="s">
        <v>236</v>
      </c>
      <c r="N767" s="274">
        <v>1120</v>
      </c>
      <c r="O767" s="274">
        <v>1120</v>
      </c>
      <c r="P767" s="274">
        <v>8000</v>
      </c>
      <c r="Q767" s="274">
        <v>2</v>
      </c>
      <c r="R767" s="274">
        <v>2</v>
      </c>
      <c r="S767" s="274" t="s">
        <v>354</v>
      </c>
      <c r="T767" s="274" t="s">
        <v>2369</v>
      </c>
      <c r="U767" s="274" t="s">
        <v>2774</v>
      </c>
      <c r="V767" s="274" t="s">
        <v>355</v>
      </c>
      <c r="W767" s="274" t="s">
        <v>928</v>
      </c>
      <c r="X767" s="339"/>
      <c r="Y767" s="143"/>
    </row>
    <row r="768" spans="1:25" s="239" customFormat="1" ht="13.15" customHeight="1" x14ac:dyDescent="0.15">
      <c r="A768" s="274">
        <v>3754094</v>
      </c>
      <c r="B768" s="274" t="s">
        <v>351</v>
      </c>
      <c r="C768" s="274" t="s">
        <v>1806</v>
      </c>
      <c r="D768" s="274" t="s">
        <v>353</v>
      </c>
      <c r="E768" s="274" t="s">
        <v>116</v>
      </c>
      <c r="F768" s="274">
        <v>3</v>
      </c>
      <c r="G768" s="274" t="s">
        <v>19</v>
      </c>
      <c r="H768" s="274" t="s">
        <v>28</v>
      </c>
      <c r="I768" s="274" t="s">
        <v>205</v>
      </c>
      <c r="J768" s="274" t="s">
        <v>928</v>
      </c>
      <c r="K768" s="274" t="s">
        <v>224</v>
      </c>
      <c r="L768" s="274">
        <v>50</v>
      </c>
      <c r="M768" s="274" t="s">
        <v>225</v>
      </c>
      <c r="N768" s="274">
        <v>1120</v>
      </c>
      <c r="O768" s="274">
        <v>1120</v>
      </c>
      <c r="P768" s="274">
        <v>5000</v>
      </c>
      <c r="Q768" s="274">
        <v>2</v>
      </c>
      <c r="R768" s="274">
        <v>4</v>
      </c>
      <c r="S768" s="274" t="s">
        <v>354</v>
      </c>
      <c r="T768" s="274" t="s">
        <v>2369</v>
      </c>
      <c r="U768" s="274" t="s">
        <v>2774</v>
      </c>
      <c r="V768" s="274" t="s">
        <v>355</v>
      </c>
      <c r="W768" s="274" t="s">
        <v>928</v>
      </c>
      <c r="X768" s="339"/>
      <c r="Y768" s="143"/>
    </row>
    <row r="769" spans="1:25" s="239" customFormat="1" ht="13.15" customHeight="1" x14ac:dyDescent="0.15">
      <c r="A769" s="274">
        <v>3754095</v>
      </c>
      <c r="B769" s="274" t="s">
        <v>351</v>
      </c>
      <c r="C769" s="274" t="s">
        <v>1806</v>
      </c>
      <c r="D769" s="274" t="s">
        <v>353</v>
      </c>
      <c r="E769" s="274" t="s">
        <v>116</v>
      </c>
      <c r="F769" s="274">
        <v>3</v>
      </c>
      <c r="G769" s="274" t="s">
        <v>19</v>
      </c>
      <c r="H769" s="274" t="s">
        <v>28</v>
      </c>
      <c r="I769" s="274" t="s">
        <v>205</v>
      </c>
      <c r="J769" s="274" t="s">
        <v>928</v>
      </c>
      <c r="K769" s="274" t="s">
        <v>224</v>
      </c>
      <c r="L769" s="274">
        <v>50</v>
      </c>
      <c r="M769" s="274" t="s">
        <v>225</v>
      </c>
      <c r="N769" s="274">
        <v>1120</v>
      </c>
      <c r="O769" s="274">
        <v>1120</v>
      </c>
      <c r="P769" s="274">
        <v>5000</v>
      </c>
      <c r="Q769" s="274">
        <v>2</v>
      </c>
      <c r="R769" s="274">
        <v>6</v>
      </c>
      <c r="S769" s="274" t="s">
        <v>354</v>
      </c>
      <c r="T769" s="274" t="s">
        <v>2369</v>
      </c>
      <c r="U769" s="274" t="s">
        <v>2774</v>
      </c>
      <c r="V769" s="274" t="s">
        <v>355</v>
      </c>
      <c r="W769" s="274" t="s">
        <v>928</v>
      </c>
      <c r="X769" s="339"/>
      <c r="Y769" s="143"/>
    </row>
    <row r="770" spans="1:25" s="239" customFormat="1" ht="13.15" customHeight="1" x14ac:dyDescent="0.15">
      <c r="A770" s="274">
        <v>3754097</v>
      </c>
      <c r="B770" s="274" t="s">
        <v>351</v>
      </c>
      <c r="C770" s="274" t="s">
        <v>1806</v>
      </c>
      <c r="D770" s="274" t="s">
        <v>353</v>
      </c>
      <c r="E770" s="274" t="s">
        <v>116</v>
      </c>
      <c r="F770" s="274">
        <v>3</v>
      </c>
      <c r="G770" s="274" t="s">
        <v>19</v>
      </c>
      <c r="H770" s="274" t="s">
        <v>20</v>
      </c>
      <c r="I770" s="274" t="s">
        <v>143</v>
      </c>
      <c r="J770" s="274" t="s">
        <v>928</v>
      </c>
      <c r="K770" s="274" t="s">
        <v>152</v>
      </c>
      <c r="L770" s="274">
        <v>38</v>
      </c>
      <c r="M770" s="274" t="s">
        <v>153</v>
      </c>
      <c r="N770" s="274">
        <v>1005</v>
      </c>
      <c r="O770" s="274">
        <v>1000</v>
      </c>
      <c r="P770" s="274">
        <v>4000</v>
      </c>
      <c r="Q770" s="274">
        <v>2</v>
      </c>
      <c r="R770" s="274">
        <v>2</v>
      </c>
      <c r="S770" s="274" t="s">
        <v>354</v>
      </c>
      <c r="T770" s="274" t="s">
        <v>2369</v>
      </c>
      <c r="U770" s="274" t="s">
        <v>2779</v>
      </c>
      <c r="V770" s="274" t="s">
        <v>355</v>
      </c>
      <c r="W770" s="274" t="s">
        <v>928</v>
      </c>
      <c r="X770" s="339"/>
      <c r="Y770" s="143"/>
    </row>
    <row r="771" spans="1:25" s="239" customFormat="1" ht="13.15" customHeight="1" x14ac:dyDescent="0.15">
      <c r="A771" s="274">
        <v>3754098</v>
      </c>
      <c r="B771" s="274" t="s">
        <v>351</v>
      </c>
      <c r="C771" s="274" t="s">
        <v>1806</v>
      </c>
      <c r="D771" s="274" t="s">
        <v>353</v>
      </c>
      <c r="E771" s="274" t="s">
        <v>183</v>
      </c>
      <c r="F771" s="274">
        <v>3</v>
      </c>
      <c r="G771" s="274" t="s">
        <v>19</v>
      </c>
      <c r="H771" s="274" t="s">
        <v>20</v>
      </c>
      <c r="I771" s="274" t="s">
        <v>165</v>
      </c>
      <c r="J771" s="274" t="s">
        <v>928</v>
      </c>
      <c r="K771" s="274" t="s">
        <v>180</v>
      </c>
      <c r="L771" s="274">
        <v>100</v>
      </c>
      <c r="M771" s="274" t="s">
        <v>181</v>
      </c>
      <c r="N771" s="274">
        <v>1205</v>
      </c>
      <c r="O771" s="274">
        <v>1205</v>
      </c>
      <c r="P771" s="274">
        <v>2500</v>
      </c>
      <c r="Q771" s="274">
        <v>2</v>
      </c>
      <c r="R771" s="274">
        <v>2</v>
      </c>
      <c r="S771" s="274" t="s">
        <v>354</v>
      </c>
      <c r="T771" s="274" t="s">
        <v>2369</v>
      </c>
      <c r="U771" s="274" t="s">
        <v>2770</v>
      </c>
      <c r="V771" s="274" t="s">
        <v>355</v>
      </c>
      <c r="W771" s="274" t="s">
        <v>928</v>
      </c>
      <c r="X771" s="339"/>
      <c r="Y771" s="143"/>
    </row>
    <row r="772" spans="1:25" s="239" customFormat="1" ht="13.15" customHeight="1" x14ac:dyDescent="0.15">
      <c r="A772" s="274">
        <v>3754099</v>
      </c>
      <c r="B772" s="274" t="s">
        <v>351</v>
      </c>
      <c r="C772" s="274" t="s">
        <v>1806</v>
      </c>
      <c r="D772" s="274" t="s">
        <v>353</v>
      </c>
      <c r="E772" s="274" t="s">
        <v>116</v>
      </c>
      <c r="F772" s="274">
        <v>3</v>
      </c>
      <c r="G772" s="274" t="s">
        <v>19</v>
      </c>
      <c r="H772" s="274" t="s">
        <v>20</v>
      </c>
      <c r="I772" s="274" t="s">
        <v>165</v>
      </c>
      <c r="J772" s="274" t="s">
        <v>928</v>
      </c>
      <c r="K772" s="274" t="s">
        <v>185</v>
      </c>
      <c r="L772" s="274">
        <v>50</v>
      </c>
      <c r="M772" s="274" t="s">
        <v>186</v>
      </c>
      <c r="N772" s="274">
        <v>1005</v>
      </c>
      <c r="O772" s="274">
        <v>1000</v>
      </c>
      <c r="P772" s="274">
        <v>4100</v>
      </c>
      <c r="Q772" s="274">
        <v>2</v>
      </c>
      <c r="R772" s="274">
        <v>2</v>
      </c>
      <c r="S772" s="274" t="s">
        <v>354</v>
      </c>
      <c r="T772" s="274" t="s">
        <v>2369</v>
      </c>
      <c r="U772" s="274" t="s">
        <v>2774</v>
      </c>
      <c r="V772" s="274" t="s">
        <v>355</v>
      </c>
      <c r="W772" s="274" t="s">
        <v>928</v>
      </c>
      <c r="X772" s="339"/>
      <c r="Y772" s="143"/>
    </row>
    <row r="773" spans="1:25" s="239" customFormat="1" ht="13.15" customHeight="1" x14ac:dyDescent="0.15">
      <c r="A773" s="274">
        <v>3754100</v>
      </c>
      <c r="B773" s="274" t="s">
        <v>351</v>
      </c>
      <c r="C773" s="274" t="s">
        <v>1806</v>
      </c>
      <c r="D773" s="274" t="s">
        <v>353</v>
      </c>
      <c r="E773" s="274" t="s">
        <v>116</v>
      </c>
      <c r="F773" s="274" t="s">
        <v>158</v>
      </c>
      <c r="G773" s="274" t="s">
        <v>19</v>
      </c>
      <c r="H773" s="274" t="s">
        <v>20</v>
      </c>
      <c r="I773" s="274" t="s">
        <v>165</v>
      </c>
      <c r="J773" s="274" t="s">
        <v>928</v>
      </c>
      <c r="K773" s="274" t="s">
        <v>192</v>
      </c>
      <c r="L773" s="274">
        <v>50</v>
      </c>
      <c r="M773" s="274" t="s">
        <v>193</v>
      </c>
      <c r="N773" s="274">
        <v>1005</v>
      </c>
      <c r="O773" s="274">
        <v>1000</v>
      </c>
      <c r="P773" s="274">
        <v>4000</v>
      </c>
      <c r="Q773" s="274">
        <v>2</v>
      </c>
      <c r="R773" s="274">
        <v>3</v>
      </c>
      <c r="S773" s="274" t="s">
        <v>354</v>
      </c>
      <c r="T773" s="274" t="s">
        <v>2369</v>
      </c>
      <c r="U773" s="274" t="s">
        <v>2779</v>
      </c>
      <c r="V773" s="274" t="s">
        <v>355</v>
      </c>
      <c r="W773" s="274" t="s">
        <v>928</v>
      </c>
      <c r="X773" s="339"/>
      <c r="Y773" s="143"/>
    </row>
    <row r="774" spans="1:25" s="239" customFormat="1" ht="13.15" customHeight="1" x14ac:dyDescent="0.15">
      <c r="A774" s="274">
        <v>3754101</v>
      </c>
      <c r="B774" s="274" t="s">
        <v>351</v>
      </c>
      <c r="C774" s="274" t="s">
        <v>1806</v>
      </c>
      <c r="D774" s="274" t="s">
        <v>353</v>
      </c>
      <c r="E774" s="274" t="s">
        <v>116</v>
      </c>
      <c r="F774" s="274" t="s">
        <v>158</v>
      </c>
      <c r="G774" s="274" t="s">
        <v>19</v>
      </c>
      <c r="H774" s="274" t="s">
        <v>20</v>
      </c>
      <c r="I774" s="274" t="s">
        <v>165</v>
      </c>
      <c r="J774" s="274" t="s">
        <v>928</v>
      </c>
      <c r="K774" s="274" t="s">
        <v>195</v>
      </c>
      <c r="L774" s="274">
        <v>50</v>
      </c>
      <c r="M774" s="274" t="s">
        <v>196</v>
      </c>
      <c r="N774" s="274">
        <v>1005</v>
      </c>
      <c r="O774" s="274">
        <v>1000</v>
      </c>
      <c r="P774" s="274">
        <v>4000</v>
      </c>
      <c r="Q774" s="274">
        <v>2</v>
      </c>
      <c r="R774" s="274">
        <v>6</v>
      </c>
      <c r="S774" s="274" t="s">
        <v>354</v>
      </c>
      <c r="T774" s="274" t="s">
        <v>2369</v>
      </c>
      <c r="U774" s="274" t="s">
        <v>2779</v>
      </c>
      <c r="V774" s="274" t="s">
        <v>355</v>
      </c>
      <c r="W774" s="274" t="s">
        <v>928</v>
      </c>
      <c r="X774" s="339"/>
      <c r="Y774" s="143"/>
    </row>
    <row r="775" spans="1:25" s="239" customFormat="1" ht="13.15" customHeight="1" x14ac:dyDescent="0.15">
      <c r="A775" s="274">
        <v>3754102</v>
      </c>
      <c r="B775" s="274" t="s">
        <v>351</v>
      </c>
      <c r="C775" s="274" t="s">
        <v>1806</v>
      </c>
      <c r="D775" s="274" t="s">
        <v>353</v>
      </c>
      <c r="E775" s="274" t="s">
        <v>116</v>
      </c>
      <c r="F775" s="274" t="s">
        <v>158</v>
      </c>
      <c r="G775" s="274" t="s">
        <v>19</v>
      </c>
      <c r="H775" s="274" t="s">
        <v>20</v>
      </c>
      <c r="I775" s="274" t="s">
        <v>165</v>
      </c>
      <c r="J775" s="274" t="s">
        <v>928</v>
      </c>
      <c r="K775" s="274" t="s">
        <v>197</v>
      </c>
      <c r="L775" s="274">
        <v>50</v>
      </c>
      <c r="M775" s="274" t="s">
        <v>198</v>
      </c>
      <c r="N775" s="274">
        <v>1005</v>
      </c>
      <c r="O775" s="274">
        <v>1000</v>
      </c>
      <c r="P775" s="274">
        <v>4100</v>
      </c>
      <c r="Q775" s="274">
        <v>2</v>
      </c>
      <c r="R775" s="274">
        <v>6</v>
      </c>
      <c r="S775" s="274" t="s">
        <v>354</v>
      </c>
      <c r="T775" s="274" t="s">
        <v>2369</v>
      </c>
      <c r="U775" s="274" t="s">
        <v>2779</v>
      </c>
      <c r="V775" s="274" t="s">
        <v>355</v>
      </c>
      <c r="W775" s="274" t="s">
        <v>928</v>
      </c>
      <c r="X775" s="339"/>
      <c r="Y775" s="143"/>
    </row>
    <row r="776" spans="1:25" s="239" customFormat="1" ht="13.15" customHeight="1" x14ac:dyDescent="0.15">
      <c r="A776" s="274">
        <v>3754103</v>
      </c>
      <c r="B776" s="274" t="s">
        <v>423</v>
      </c>
      <c r="C776" s="274" t="s">
        <v>1806</v>
      </c>
      <c r="D776" s="274" t="s">
        <v>353</v>
      </c>
      <c r="E776" s="274" t="s">
        <v>116</v>
      </c>
      <c r="F776" s="274">
        <v>3</v>
      </c>
      <c r="G776" s="274" t="s">
        <v>265</v>
      </c>
      <c r="H776" s="274" t="s">
        <v>20</v>
      </c>
      <c r="I776" s="274" t="s">
        <v>165</v>
      </c>
      <c r="J776" s="274" t="s">
        <v>928</v>
      </c>
      <c r="K776" s="274" t="s">
        <v>172</v>
      </c>
      <c r="L776" s="274">
        <v>50</v>
      </c>
      <c r="M776" s="274" t="s">
        <v>173</v>
      </c>
      <c r="N776" s="274">
        <v>1005</v>
      </c>
      <c r="O776" s="274">
        <v>1000</v>
      </c>
      <c r="P776" s="274">
        <v>4000</v>
      </c>
      <c r="Q776" s="274">
        <v>2</v>
      </c>
      <c r="R776" s="274">
        <v>3</v>
      </c>
      <c r="S776" s="274" t="s">
        <v>354</v>
      </c>
      <c r="T776" s="274" t="s">
        <v>2369</v>
      </c>
      <c r="U776" s="274" t="s">
        <v>2779</v>
      </c>
      <c r="V776" s="274" t="s">
        <v>355</v>
      </c>
      <c r="W776" s="274" t="s">
        <v>928</v>
      </c>
      <c r="X776" s="339"/>
      <c r="Y776" s="143"/>
    </row>
    <row r="777" spans="1:25" s="239" customFormat="1" ht="13.15" customHeight="1" x14ac:dyDescent="0.15">
      <c r="A777" s="274">
        <v>3754104</v>
      </c>
      <c r="B777" s="274" t="s">
        <v>351</v>
      </c>
      <c r="C777" s="274" t="s">
        <v>1806</v>
      </c>
      <c r="D777" s="274" t="s">
        <v>353</v>
      </c>
      <c r="E777" s="274" t="s">
        <v>116</v>
      </c>
      <c r="F777" s="274">
        <v>3</v>
      </c>
      <c r="G777" s="274" t="s">
        <v>19</v>
      </c>
      <c r="H777" s="274" t="s">
        <v>20</v>
      </c>
      <c r="I777" s="274" t="s">
        <v>165</v>
      </c>
      <c r="J777" s="274" t="s">
        <v>928</v>
      </c>
      <c r="K777" s="274" t="s">
        <v>187</v>
      </c>
      <c r="L777" s="274">
        <v>50</v>
      </c>
      <c r="M777" s="274" t="s">
        <v>188</v>
      </c>
      <c r="N777" s="274">
        <v>1000</v>
      </c>
      <c r="O777" s="274">
        <v>1000</v>
      </c>
      <c r="P777" s="274">
        <v>3000</v>
      </c>
      <c r="Q777" s="274">
        <v>2</v>
      </c>
      <c r="R777" s="274">
        <v>2</v>
      </c>
      <c r="S777" s="274" t="s">
        <v>354</v>
      </c>
      <c r="T777" s="274" t="s">
        <v>2369</v>
      </c>
      <c r="U777" s="274" t="s">
        <v>2779</v>
      </c>
      <c r="V777" s="274" t="s">
        <v>355</v>
      </c>
      <c r="W777" s="274" t="s">
        <v>928</v>
      </c>
      <c r="X777" s="339"/>
      <c r="Y777" s="143"/>
    </row>
    <row r="778" spans="1:25" s="239" customFormat="1" ht="13.15" customHeight="1" thickBot="1" x14ac:dyDescent="0.2">
      <c r="A778" s="334">
        <v>3754105</v>
      </c>
      <c r="B778" s="334" t="s">
        <v>351</v>
      </c>
      <c r="C778" s="334" t="s">
        <v>1806</v>
      </c>
      <c r="D778" s="334" t="s">
        <v>353</v>
      </c>
      <c r="E778" s="334" t="s">
        <v>171</v>
      </c>
      <c r="F778" s="334">
        <v>3</v>
      </c>
      <c r="G778" s="334" t="s">
        <v>19</v>
      </c>
      <c r="H778" s="334" t="s">
        <v>20</v>
      </c>
      <c r="I778" s="334" t="s">
        <v>165</v>
      </c>
      <c r="J778" s="334" t="s">
        <v>928</v>
      </c>
      <c r="K778" s="334" t="s">
        <v>180</v>
      </c>
      <c r="L778" s="334">
        <v>50</v>
      </c>
      <c r="M778" s="334" t="s">
        <v>181</v>
      </c>
      <c r="N778" s="334">
        <v>1200</v>
      </c>
      <c r="O778" s="334">
        <v>1190</v>
      </c>
      <c r="P778" s="334">
        <v>6000</v>
      </c>
      <c r="Q778" s="334">
        <v>2</v>
      </c>
      <c r="R778" s="334">
        <v>6</v>
      </c>
      <c r="S778" s="334" t="s">
        <v>354</v>
      </c>
      <c r="T778" s="334" t="s">
        <v>2369</v>
      </c>
      <c r="U778" s="334" t="s">
        <v>2770</v>
      </c>
      <c r="V778" s="334" t="s">
        <v>355</v>
      </c>
      <c r="W778" s="334" t="s">
        <v>928</v>
      </c>
      <c r="X778" s="346"/>
      <c r="Y778" s="143"/>
    </row>
    <row r="779" spans="1:25" s="239" customFormat="1" ht="13.15" customHeight="1" x14ac:dyDescent="0.15">
      <c r="A779" s="238">
        <v>3686426</v>
      </c>
      <c r="B779" s="176" t="s">
        <v>510</v>
      </c>
      <c r="C779" s="176" t="s">
        <v>358</v>
      </c>
      <c r="D779" s="176" t="s">
        <v>353</v>
      </c>
      <c r="E779" s="176" t="s">
        <v>61</v>
      </c>
      <c r="F779" s="176">
        <v>3</v>
      </c>
      <c r="G779" s="176" t="s">
        <v>269</v>
      </c>
      <c r="H779" s="176" t="s">
        <v>20</v>
      </c>
      <c r="I779" s="176" t="s">
        <v>205</v>
      </c>
      <c r="J779" s="176"/>
      <c r="K779" s="176" t="s">
        <v>242</v>
      </c>
      <c r="L779" s="176">
        <v>50</v>
      </c>
      <c r="M779" s="176" t="s">
        <v>243</v>
      </c>
      <c r="N779" s="177">
        <v>1250</v>
      </c>
      <c r="O779" s="177">
        <v>1250</v>
      </c>
      <c r="P779" s="177">
        <v>3000</v>
      </c>
      <c r="Q779" s="176">
        <v>2</v>
      </c>
      <c r="R779" s="176">
        <v>2</v>
      </c>
      <c r="S779" s="176" t="s">
        <v>354</v>
      </c>
      <c r="T779" s="178">
        <v>44872</v>
      </c>
      <c r="U779" s="178">
        <v>44895</v>
      </c>
      <c r="V779" s="176" t="s">
        <v>428</v>
      </c>
      <c r="W779" s="176"/>
      <c r="X779" s="176"/>
      <c r="Y779" s="141"/>
    </row>
    <row r="780" spans="1:25" s="239" customFormat="1" ht="13.15" customHeight="1" x14ac:dyDescent="0.15">
      <c r="A780" s="285">
        <v>3691086</v>
      </c>
      <c r="B780" s="173" t="s">
        <v>351</v>
      </c>
      <c r="C780" s="173" t="s">
        <v>356</v>
      </c>
      <c r="D780" s="173" t="s">
        <v>353</v>
      </c>
      <c r="E780" s="173" t="s">
        <v>668</v>
      </c>
      <c r="F780" s="173">
        <v>331</v>
      </c>
      <c r="G780" s="173" t="s">
        <v>19</v>
      </c>
      <c r="H780" s="173" t="s">
        <v>28</v>
      </c>
      <c r="I780" s="173" t="s">
        <v>21</v>
      </c>
      <c r="J780" s="173"/>
      <c r="K780" s="173" t="s">
        <v>102</v>
      </c>
      <c r="L780" s="173">
        <v>50</v>
      </c>
      <c r="M780" s="173" t="s">
        <v>103</v>
      </c>
      <c r="N780" s="174">
        <v>1050</v>
      </c>
      <c r="O780" s="174">
        <v>1040</v>
      </c>
      <c r="P780" s="174">
        <v>4000</v>
      </c>
      <c r="Q780" s="173">
        <v>2</v>
      </c>
      <c r="R780" s="173">
        <v>6</v>
      </c>
      <c r="S780" s="173" t="s">
        <v>354</v>
      </c>
      <c r="T780" s="175">
        <v>44894</v>
      </c>
      <c r="U780" s="175">
        <v>44900</v>
      </c>
      <c r="V780" s="173" t="s">
        <v>355</v>
      </c>
      <c r="W780" s="173"/>
      <c r="X780" s="173"/>
      <c r="Y780" s="141"/>
    </row>
    <row r="781" spans="1:25" s="239" customFormat="1" ht="13.15" customHeight="1" x14ac:dyDescent="0.15">
      <c r="A781" s="281">
        <v>3700913</v>
      </c>
      <c r="B781" s="274" t="s">
        <v>351</v>
      </c>
      <c r="C781" s="274" t="s">
        <v>358</v>
      </c>
      <c r="D781" s="274" t="s">
        <v>353</v>
      </c>
      <c r="E781" s="274" t="s">
        <v>61</v>
      </c>
      <c r="F781" s="331">
        <v>3</v>
      </c>
      <c r="G781" s="274" t="s">
        <v>1549</v>
      </c>
      <c r="H781" s="274" t="s">
        <v>1550</v>
      </c>
      <c r="I781" s="274" t="s">
        <v>21</v>
      </c>
      <c r="J781" s="274"/>
      <c r="K781" s="274" t="s">
        <v>62</v>
      </c>
      <c r="L781" s="274">
        <v>38</v>
      </c>
      <c r="M781" s="274" t="s">
        <v>63</v>
      </c>
      <c r="N781" s="275">
        <v>1585</v>
      </c>
      <c r="O781" s="275">
        <v>1580</v>
      </c>
      <c r="P781" s="275">
        <v>4000</v>
      </c>
      <c r="Q781" s="274">
        <v>2</v>
      </c>
      <c r="R781" s="274">
        <v>3</v>
      </c>
      <c r="S781" s="274" t="s">
        <v>354</v>
      </c>
      <c r="T781" s="276">
        <v>44978</v>
      </c>
      <c r="U781" s="276">
        <v>44993</v>
      </c>
      <c r="V781" s="274" t="s">
        <v>355</v>
      </c>
      <c r="W781" s="274"/>
      <c r="X781" s="274"/>
    </row>
    <row r="782" spans="1:25" s="239" customFormat="1" ht="13.15" customHeight="1" x14ac:dyDescent="0.15">
      <c r="A782" s="281">
        <v>3700915</v>
      </c>
      <c r="B782" s="274" t="s">
        <v>351</v>
      </c>
      <c r="C782" s="274" t="s">
        <v>358</v>
      </c>
      <c r="D782" s="274" t="s">
        <v>353</v>
      </c>
      <c r="E782" s="274" t="s">
        <v>61</v>
      </c>
      <c r="F782" s="331">
        <v>3</v>
      </c>
      <c r="G782" s="274" t="s">
        <v>19</v>
      </c>
      <c r="H782" s="274" t="s">
        <v>20</v>
      </c>
      <c r="I782" s="274" t="s">
        <v>21</v>
      </c>
      <c r="J782" s="274"/>
      <c r="K782" s="274" t="s">
        <v>62</v>
      </c>
      <c r="L782" s="274">
        <v>38</v>
      </c>
      <c r="M782" s="274" t="s">
        <v>63</v>
      </c>
      <c r="N782" s="275">
        <v>1255</v>
      </c>
      <c r="O782" s="275">
        <v>1250</v>
      </c>
      <c r="P782" s="275">
        <v>6000</v>
      </c>
      <c r="Q782" s="274">
        <v>2</v>
      </c>
      <c r="R782" s="274">
        <v>4</v>
      </c>
      <c r="S782" s="274" t="s">
        <v>354</v>
      </c>
      <c r="T782" s="276">
        <v>44978</v>
      </c>
      <c r="U782" s="276">
        <v>44993</v>
      </c>
      <c r="V782" s="274" t="s">
        <v>355</v>
      </c>
      <c r="W782" s="274"/>
      <c r="X782" s="274"/>
    </row>
    <row r="783" spans="1:25" s="239" customFormat="1" ht="13.15" customHeight="1" x14ac:dyDescent="0.15">
      <c r="A783" s="281">
        <v>3700938</v>
      </c>
      <c r="B783" s="274" t="s">
        <v>431</v>
      </c>
      <c r="C783" s="274" t="s">
        <v>754</v>
      </c>
      <c r="D783" s="274" t="s">
        <v>353</v>
      </c>
      <c r="E783" s="274" t="s">
        <v>755</v>
      </c>
      <c r="F783" s="331">
        <v>3</v>
      </c>
      <c r="G783" s="274" t="s">
        <v>265</v>
      </c>
      <c r="H783" s="274" t="s">
        <v>20</v>
      </c>
      <c r="I783" s="274" t="s">
        <v>21</v>
      </c>
      <c r="J783" s="274"/>
      <c r="K783" s="274" t="s">
        <v>128</v>
      </c>
      <c r="L783" s="274">
        <v>25</v>
      </c>
      <c r="M783" s="274" t="s">
        <v>756</v>
      </c>
      <c r="N783" s="275">
        <v>1155</v>
      </c>
      <c r="O783" s="275">
        <v>1150</v>
      </c>
      <c r="P783" s="275">
        <v>12400</v>
      </c>
      <c r="Q783" s="274">
        <v>2</v>
      </c>
      <c r="R783" s="274">
        <v>2</v>
      </c>
      <c r="S783" s="274" t="s">
        <v>354</v>
      </c>
      <c r="T783" s="276">
        <v>44978</v>
      </c>
      <c r="U783" s="276">
        <v>45012</v>
      </c>
      <c r="V783" s="274" t="s">
        <v>355</v>
      </c>
      <c r="W783" s="274"/>
      <c r="X783" s="274"/>
    </row>
    <row r="784" spans="1:25" s="239" customFormat="1" ht="13.15" customHeight="1" x14ac:dyDescent="0.15">
      <c r="A784" s="281">
        <v>3700942</v>
      </c>
      <c r="B784" s="274" t="s">
        <v>351</v>
      </c>
      <c r="C784" s="274" t="s">
        <v>356</v>
      </c>
      <c r="D784" s="274" t="s">
        <v>1601</v>
      </c>
      <c r="E784" s="274" t="s">
        <v>668</v>
      </c>
      <c r="F784" s="331">
        <v>331</v>
      </c>
      <c r="G784" s="274" t="s">
        <v>19</v>
      </c>
      <c r="H784" s="274" t="s">
        <v>28</v>
      </c>
      <c r="I784" s="274" t="s">
        <v>21</v>
      </c>
      <c r="J784" s="274"/>
      <c r="K784" s="274" t="s">
        <v>102</v>
      </c>
      <c r="L784" s="274">
        <v>50</v>
      </c>
      <c r="M784" s="274" t="s">
        <v>103</v>
      </c>
      <c r="N784" s="275">
        <v>1050</v>
      </c>
      <c r="O784" s="275">
        <v>1040</v>
      </c>
      <c r="P784" s="275">
        <v>4000</v>
      </c>
      <c r="Q784" s="274">
        <v>2</v>
      </c>
      <c r="R784" s="274">
        <v>4</v>
      </c>
      <c r="S784" s="274" t="s">
        <v>354</v>
      </c>
      <c r="T784" s="276">
        <v>44978</v>
      </c>
      <c r="U784" s="276">
        <v>45012</v>
      </c>
      <c r="V784" s="274" t="s">
        <v>355</v>
      </c>
      <c r="W784" s="274"/>
      <c r="X784" s="274"/>
    </row>
    <row r="785" spans="1:25" s="239" customFormat="1" ht="13.15" customHeight="1" x14ac:dyDescent="0.15">
      <c r="A785" s="281">
        <v>3716211</v>
      </c>
      <c r="B785" s="274" t="s">
        <v>351</v>
      </c>
      <c r="C785" s="274" t="s">
        <v>358</v>
      </c>
      <c r="D785" s="274" t="s">
        <v>353</v>
      </c>
      <c r="E785" s="274" t="s">
        <v>61</v>
      </c>
      <c r="F785" s="331">
        <v>3</v>
      </c>
      <c r="G785" s="274" t="s">
        <v>1589</v>
      </c>
      <c r="H785" s="274" t="s">
        <v>1590</v>
      </c>
      <c r="I785" s="274" t="s">
        <v>1552</v>
      </c>
      <c r="J785" s="274"/>
      <c r="K785" s="274" t="s">
        <v>62</v>
      </c>
      <c r="L785" s="274">
        <v>38</v>
      </c>
      <c r="M785" s="274" t="s">
        <v>63</v>
      </c>
      <c r="N785" s="275">
        <v>1255</v>
      </c>
      <c r="O785" s="275">
        <v>1250</v>
      </c>
      <c r="P785" s="275">
        <v>6000</v>
      </c>
      <c r="Q785" s="274">
        <v>2</v>
      </c>
      <c r="R785" s="274">
        <v>56</v>
      </c>
      <c r="S785" s="274" t="s">
        <v>354</v>
      </c>
      <c r="T785" s="276">
        <v>45097</v>
      </c>
      <c r="U785" s="276">
        <v>45121</v>
      </c>
      <c r="V785" s="274" t="s">
        <v>355</v>
      </c>
      <c r="W785" s="274"/>
      <c r="X785" s="274"/>
    </row>
    <row r="786" spans="1:25" s="239" customFormat="1" ht="13.15" customHeight="1" x14ac:dyDescent="0.15">
      <c r="A786" s="281">
        <v>3744893</v>
      </c>
      <c r="B786" s="274" t="s">
        <v>351</v>
      </c>
      <c r="C786" s="274" t="s">
        <v>1808</v>
      </c>
      <c r="D786" s="274" t="s">
        <v>353</v>
      </c>
      <c r="E786" s="274" t="s">
        <v>362</v>
      </c>
      <c r="F786" s="274">
        <v>3303</v>
      </c>
      <c r="G786" s="274" t="s">
        <v>19</v>
      </c>
      <c r="H786" s="274" t="s">
        <v>20</v>
      </c>
      <c r="I786" s="274" t="s">
        <v>21</v>
      </c>
      <c r="J786" s="274" t="s">
        <v>928</v>
      </c>
      <c r="K786" s="274" t="s">
        <v>88</v>
      </c>
      <c r="L786" s="274">
        <v>188</v>
      </c>
      <c r="M786" s="274" t="s">
        <v>361</v>
      </c>
      <c r="N786" s="274">
        <v>1130</v>
      </c>
      <c r="O786" s="274">
        <v>1130</v>
      </c>
      <c r="P786" s="274">
        <v>1620</v>
      </c>
      <c r="Q786" s="274">
        <v>2</v>
      </c>
      <c r="R786" s="274">
        <v>2</v>
      </c>
      <c r="S786" s="274" t="s">
        <v>354</v>
      </c>
      <c r="T786" s="274" t="s">
        <v>2264</v>
      </c>
      <c r="U786" s="274" t="s">
        <v>1972</v>
      </c>
      <c r="V786" s="274" t="s">
        <v>355</v>
      </c>
      <c r="W786" s="339"/>
      <c r="X786" s="339"/>
      <c r="Y786" s="143"/>
    </row>
    <row r="787" spans="1:25" s="239" customFormat="1" ht="13.15" customHeight="1" x14ac:dyDescent="0.15">
      <c r="A787" s="281">
        <v>3750034</v>
      </c>
      <c r="B787" s="274" t="s">
        <v>431</v>
      </c>
      <c r="C787" s="274" t="s">
        <v>1801</v>
      </c>
      <c r="D787" s="274" t="s">
        <v>353</v>
      </c>
      <c r="E787" s="274" t="s">
        <v>130</v>
      </c>
      <c r="F787" s="274">
        <v>3</v>
      </c>
      <c r="G787" s="274" t="s">
        <v>265</v>
      </c>
      <c r="H787" s="274" t="s">
        <v>20</v>
      </c>
      <c r="I787" s="274" t="s">
        <v>21</v>
      </c>
      <c r="J787" s="274" t="s">
        <v>928</v>
      </c>
      <c r="K787" s="274" t="s">
        <v>2342</v>
      </c>
      <c r="L787" s="274">
        <v>25</v>
      </c>
      <c r="M787" s="274" t="s">
        <v>2343</v>
      </c>
      <c r="N787" s="274">
        <v>1420</v>
      </c>
      <c r="O787" s="274">
        <v>1420</v>
      </c>
      <c r="P787" s="274">
        <v>12400</v>
      </c>
      <c r="Q787" s="274">
        <v>2</v>
      </c>
      <c r="R787" s="274">
        <v>10</v>
      </c>
      <c r="S787" s="274" t="s">
        <v>354</v>
      </c>
      <c r="T787" s="274" t="s">
        <v>2361</v>
      </c>
      <c r="U787" s="274" t="s">
        <v>2363</v>
      </c>
      <c r="V787" s="274" t="s">
        <v>355</v>
      </c>
      <c r="W787" s="274" t="s">
        <v>928</v>
      </c>
      <c r="X787" s="274" t="s">
        <v>928</v>
      </c>
      <c r="Y787" s="143"/>
    </row>
    <row r="788" spans="1:25" s="239" customFormat="1" ht="13.15" customHeight="1" x14ac:dyDescent="0.15">
      <c r="A788" s="281" t="str">
        <f>"3728262"</f>
        <v>3728262</v>
      </c>
      <c r="B788" s="274" t="str">
        <f>"機能材料ＫＮＺ福開発"</f>
        <v>機能材料ＫＮＺ福開発</v>
      </c>
      <c r="C788" s="274" t="str">
        <f>"工材１部大阪電材課  "</f>
        <v xml:space="preserve">工材１部大阪電材課  </v>
      </c>
      <c r="D788" s="274" t="str">
        <f>"ダミー担当者        "</f>
        <v xml:space="preserve">ダミー担当者        </v>
      </c>
      <c r="E788" s="274" t="str">
        <f>"日東電工㈱豊橋工場  "</f>
        <v xml:space="preserve">日東電工㈱豊橋工場  </v>
      </c>
      <c r="F788" s="274" t="str">
        <f>"3   "</f>
        <v xml:space="preserve">3   </v>
      </c>
      <c r="G788" s="274" t="str">
        <f>"U"</f>
        <v>U</v>
      </c>
      <c r="H788" s="274" t="str">
        <f>"N"</f>
        <v>N</v>
      </c>
      <c r="I788" s="274" t="str">
        <f>"KNZ   "</f>
        <v xml:space="preserve">KNZ   </v>
      </c>
      <c r="J788" s="274" t="str">
        <f>"   "</f>
        <v xml:space="preserve">   </v>
      </c>
      <c r="K788" s="274" t="str">
        <f>"MCRALCB"</f>
        <v>MCRALCB</v>
      </c>
      <c r="L788" s="274">
        <v>25</v>
      </c>
      <c r="M788" s="274" t="str">
        <f>"メタルミーＣＲアルミ面コートＢ                                          "</f>
        <v xml:space="preserve">メタルミーＣＲアルミ面コートＢ                                          </v>
      </c>
      <c r="N788" s="274">
        <v>1050</v>
      </c>
      <c r="O788" s="274">
        <v>1050</v>
      </c>
      <c r="P788" s="274">
        <v>6000</v>
      </c>
      <c r="Q788" s="274" t="str">
        <f>"2     "</f>
        <v xml:space="preserve">2     </v>
      </c>
      <c r="R788" s="274">
        <v>6</v>
      </c>
      <c r="S788" s="274" t="str">
        <f>"本        "</f>
        <v xml:space="preserve">本        </v>
      </c>
      <c r="T788" s="276">
        <v>45196</v>
      </c>
      <c r="U788" s="276">
        <v>45230</v>
      </c>
      <c r="V788" s="274" t="str">
        <f>"福島工場ＣＯ        "</f>
        <v xml:space="preserve">福島工場ＣＯ        </v>
      </c>
      <c r="W788" s="274" t="str">
        <f>"                                                                                "</f>
        <v xml:space="preserve">                                                                                </v>
      </c>
      <c r="X788" s="274" t="str">
        <f>"     "</f>
        <v xml:space="preserve">     </v>
      </c>
      <c r="Y788" s="143"/>
    </row>
    <row r="789" spans="1:25" s="239" customFormat="1" ht="13.15" customHeight="1" x14ac:dyDescent="0.15">
      <c r="A789" s="173">
        <v>3667055</v>
      </c>
      <c r="B789" s="173" t="s">
        <v>351</v>
      </c>
      <c r="C789" s="173" t="s">
        <v>356</v>
      </c>
      <c r="D789" s="173" t="s">
        <v>353</v>
      </c>
      <c r="E789" s="173" t="s">
        <v>106</v>
      </c>
      <c r="F789" s="173">
        <v>3</v>
      </c>
      <c r="G789" s="173" t="s">
        <v>19</v>
      </c>
      <c r="H789" s="173" t="s">
        <v>20</v>
      </c>
      <c r="I789" s="173" t="s">
        <v>21</v>
      </c>
      <c r="J789" s="173"/>
      <c r="K789" s="173" t="s">
        <v>1571</v>
      </c>
      <c r="L789" s="173">
        <v>38</v>
      </c>
      <c r="M789" s="173" t="s">
        <v>367</v>
      </c>
      <c r="N789" s="174">
        <v>1240</v>
      </c>
      <c r="O789" s="174">
        <v>1240</v>
      </c>
      <c r="P789" s="330">
        <v>6000</v>
      </c>
      <c r="Q789" s="173">
        <v>2</v>
      </c>
      <c r="R789" s="173">
        <v>4</v>
      </c>
      <c r="S789" s="173" t="s">
        <v>354</v>
      </c>
      <c r="T789" s="175">
        <v>44734</v>
      </c>
      <c r="U789" s="175">
        <v>44753</v>
      </c>
      <c r="V789" s="173" t="s">
        <v>355</v>
      </c>
      <c r="W789" s="173"/>
      <c r="X789" s="173"/>
      <c r="Y789" s="141"/>
    </row>
    <row r="790" spans="1:25" s="239" customFormat="1" ht="13.15" customHeight="1" x14ac:dyDescent="0.15">
      <c r="A790" s="173">
        <v>3667056</v>
      </c>
      <c r="B790" s="173" t="s">
        <v>351</v>
      </c>
      <c r="C790" s="173" t="s">
        <v>356</v>
      </c>
      <c r="D790" s="173" t="s">
        <v>353</v>
      </c>
      <c r="E790" s="173" t="s">
        <v>115</v>
      </c>
      <c r="F790" s="173">
        <v>3</v>
      </c>
      <c r="G790" s="173" t="s">
        <v>19</v>
      </c>
      <c r="H790" s="173" t="s">
        <v>20</v>
      </c>
      <c r="I790" s="173" t="s">
        <v>21</v>
      </c>
      <c r="J790" s="173"/>
      <c r="K790" s="173" t="s">
        <v>112</v>
      </c>
      <c r="L790" s="173">
        <v>38</v>
      </c>
      <c r="M790" s="173" t="s">
        <v>357</v>
      </c>
      <c r="N790" s="174">
        <v>1135</v>
      </c>
      <c r="O790" s="174">
        <v>1130</v>
      </c>
      <c r="P790" s="330">
        <v>6000</v>
      </c>
      <c r="Q790" s="173">
        <v>2</v>
      </c>
      <c r="R790" s="173">
        <v>4</v>
      </c>
      <c r="S790" s="173" t="s">
        <v>354</v>
      </c>
      <c r="T790" s="175">
        <v>44734</v>
      </c>
      <c r="U790" s="175">
        <v>44753</v>
      </c>
      <c r="V790" s="173" t="s">
        <v>355</v>
      </c>
      <c r="W790" s="173"/>
      <c r="X790" s="173"/>
      <c r="Y790" s="141"/>
    </row>
    <row r="791" spans="1:25" s="239" customFormat="1" ht="13.15" customHeight="1" x14ac:dyDescent="0.15">
      <c r="A791" s="173">
        <v>3667057</v>
      </c>
      <c r="B791" s="173" t="s">
        <v>351</v>
      </c>
      <c r="C791" s="173" t="s">
        <v>358</v>
      </c>
      <c r="D791" s="173" t="s">
        <v>353</v>
      </c>
      <c r="E791" s="173" t="s">
        <v>120</v>
      </c>
      <c r="F791" s="173">
        <v>3</v>
      </c>
      <c r="G791" s="173" t="s">
        <v>19</v>
      </c>
      <c r="H791" s="173" t="s">
        <v>20</v>
      </c>
      <c r="I791" s="173" t="s">
        <v>21</v>
      </c>
      <c r="J791" s="173"/>
      <c r="K791" s="173" t="s">
        <v>118</v>
      </c>
      <c r="L791" s="173">
        <v>125</v>
      </c>
      <c r="M791" s="173" t="s">
        <v>121</v>
      </c>
      <c r="N791" s="174">
        <v>1230</v>
      </c>
      <c r="O791" s="174">
        <v>1225</v>
      </c>
      <c r="P791" s="330">
        <v>6000</v>
      </c>
      <c r="Q791" s="173">
        <v>2</v>
      </c>
      <c r="R791" s="173">
        <v>1</v>
      </c>
      <c r="S791" s="173" t="s">
        <v>354</v>
      </c>
      <c r="T791" s="175">
        <v>44734</v>
      </c>
      <c r="U791" s="175">
        <v>44753</v>
      </c>
      <c r="V791" s="173" t="s">
        <v>355</v>
      </c>
      <c r="W791" s="173"/>
      <c r="X791" s="173"/>
      <c r="Y791" s="141"/>
    </row>
    <row r="792" spans="1:25" s="239" customFormat="1" ht="13.15" customHeight="1" x14ac:dyDescent="0.15">
      <c r="A792" s="173">
        <v>3667058</v>
      </c>
      <c r="B792" s="173" t="s">
        <v>351</v>
      </c>
      <c r="C792" s="173" t="s">
        <v>356</v>
      </c>
      <c r="D792" s="173" t="s">
        <v>353</v>
      </c>
      <c r="E792" s="173" t="s">
        <v>17</v>
      </c>
      <c r="F792" s="173">
        <v>3</v>
      </c>
      <c r="G792" s="173" t="s">
        <v>19</v>
      </c>
      <c r="H792" s="173" t="s">
        <v>20</v>
      </c>
      <c r="I792" s="173" t="s">
        <v>21</v>
      </c>
      <c r="J792" s="173"/>
      <c r="K792" s="173" t="s">
        <v>104</v>
      </c>
      <c r="L792" s="173">
        <v>25</v>
      </c>
      <c r="M792" s="173" t="s">
        <v>375</v>
      </c>
      <c r="N792" s="174">
        <v>1145</v>
      </c>
      <c r="O792" s="174">
        <v>1145</v>
      </c>
      <c r="P792" s="330">
        <v>6000</v>
      </c>
      <c r="Q792" s="173">
        <v>2</v>
      </c>
      <c r="R792" s="173">
        <v>2</v>
      </c>
      <c r="S792" s="173" t="s">
        <v>354</v>
      </c>
      <c r="T792" s="175">
        <v>44734</v>
      </c>
      <c r="U792" s="175">
        <v>44753</v>
      </c>
      <c r="V792" s="173" t="s">
        <v>360</v>
      </c>
      <c r="W792" s="173"/>
      <c r="X792" s="173"/>
      <c r="Y792" s="141"/>
    </row>
    <row r="793" spans="1:25" s="239" customFormat="1" ht="13.15" customHeight="1" x14ac:dyDescent="0.15">
      <c r="A793" s="173">
        <v>3667059</v>
      </c>
      <c r="B793" s="173" t="s">
        <v>351</v>
      </c>
      <c r="C793" s="173" t="s">
        <v>356</v>
      </c>
      <c r="D793" s="173" t="s">
        <v>353</v>
      </c>
      <c r="E793" s="173" t="s">
        <v>17</v>
      </c>
      <c r="F793" s="173">
        <v>3</v>
      </c>
      <c r="G793" s="173" t="s">
        <v>19</v>
      </c>
      <c r="H793" s="173" t="s">
        <v>20</v>
      </c>
      <c r="I793" s="173" t="s">
        <v>21</v>
      </c>
      <c r="J793" s="173"/>
      <c r="K793" s="173" t="s">
        <v>104</v>
      </c>
      <c r="L793" s="173">
        <v>25</v>
      </c>
      <c r="M793" s="173" t="s">
        <v>375</v>
      </c>
      <c r="N793" s="174">
        <v>1325</v>
      </c>
      <c r="O793" s="174">
        <v>1320</v>
      </c>
      <c r="P793" s="330">
        <v>6000</v>
      </c>
      <c r="Q793" s="173">
        <v>2</v>
      </c>
      <c r="R793" s="173">
        <v>4</v>
      </c>
      <c r="S793" s="173" t="s">
        <v>354</v>
      </c>
      <c r="T793" s="175">
        <v>44734</v>
      </c>
      <c r="U793" s="175">
        <v>44753</v>
      </c>
      <c r="V793" s="173" t="s">
        <v>355</v>
      </c>
      <c r="W793" s="173"/>
      <c r="X793" s="173"/>
      <c r="Y793" s="141"/>
    </row>
    <row r="794" spans="1:25" s="239" customFormat="1" ht="13.15" customHeight="1" x14ac:dyDescent="0.15">
      <c r="A794" s="173">
        <v>3667060</v>
      </c>
      <c r="B794" s="173" t="s">
        <v>431</v>
      </c>
      <c r="C794" s="173" t="s">
        <v>364</v>
      </c>
      <c r="D794" s="173" t="s">
        <v>353</v>
      </c>
      <c r="E794" s="173" t="s">
        <v>371</v>
      </c>
      <c r="F794" s="173">
        <v>3</v>
      </c>
      <c r="G794" s="173" t="s">
        <v>265</v>
      </c>
      <c r="H794" s="173" t="s">
        <v>20</v>
      </c>
      <c r="I794" s="173" t="s">
        <v>21</v>
      </c>
      <c r="J794" s="173"/>
      <c r="K794" s="173" t="s">
        <v>118</v>
      </c>
      <c r="L794" s="173">
        <v>25</v>
      </c>
      <c r="M794" s="173" t="s">
        <v>119</v>
      </c>
      <c r="N794" s="174">
        <v>1425</v>
      </c>
      <c r="O794" s="174">
        <v>1420</v>
      </c>
      <c r="P794" s="330">
        <v>6000</v>
      </c>
      <c r="Q794" s="173">
        <v>2</v>
      </c>
      <c r="R794" s="173">
        <v>10</v>
      </c>
      <c r="S794" s="173" t="s">
        <v>354</v>
      </c>
      <c r="T794" s="175">
        <v>44734</v>
      </c>
      <c r="U794" s="175">
        <v>44753</v>
      </c>
      <c r="V794" s="173" t="s">
        <v>355</v>
      </c>
      <c r="W794" s="173"/>
      <c r="X794" s="173"/>
      <c r="Y794" s="141"/>
    </row>
    <row r="795" spans="1:25" s="239" customFormat="1" ht="13.15" customHeight="1" x14ac:dyDescent="0.15">
      <c r="A795" s="173">
        <v>3667060</v>
      </c>
      <c r="B795" s="173" t="s">
        <v>431</v>
      </c>
      <c r="C795" s="173" t="s">
        <v>364</v>
      </c>
      <c r="D795" s="173" t="s">
        <v>353</v>
      </c>
      <c r="E795" s="173" t="s">
        <v>371</v>
      </c>
      <c r="F795" s="173">
        <v>3</v>
      </c>
      <c r="G795" s="173" t="s">
        <v>265</v>
      </c>
      <c r="H795" s="173" t="s">
        <v>20</v>
      </c>
      <c r="I795" s="173" t="s">
        <v>21</v>
      </c>
      <c r="J795" s="173"/>
      <c r="K795" s="173" t="s">
        <v>118</v>
      </c>
      <c r="L795" s="173">
        <v>25</v>
      </c>
      <c r="M795" s="173" t="s">
        <v>119</v>
      </c>
      <c r="N795" s="174">
        <v>1425</v>
      </c>
      <c r="O795" s="174">
        <v>1420</v>
      </c>
      <c r="P795" s="330">
        <v>6000</v>
      </c>
      <c r="Q795" s="173">
        <v>2</v>
      </c>
      <c r="R795" s="173">
        <v>10</v>
      </c>
      <c r="S795" s="173" t="s">
        <v>354</v>
      </c>
      <c r="T795" s="175">
        <v>44734</v>
      </c>
      <c r="U795" s="175">
        <v>44753</v>
      </c>
      <c r="V795" s="173" t="s">
        <v>355</v>
      </c>
      <c r="W795" s="173"/>
      <c r="X795" s="173"/>
      <c r="Y795" s="141"/>
    </row>
    <row r="796" spans="1:25" s="239" customFormat="1" ht="13.15" customHeight="1" x14ac:dyDescent="0.15">
      <c r="A796" s="173">
        <v>3667061</v>
      </c>
      <c r="B796" s="173" t="s">
        <v>351</v>
      </c>
      <c r="C796" s="173" t="s">
        <v>356</v>
      </c>
      <c r="D796" s="173" t="s">
        <v>353</v>
      </c>
      <c r="E796" s="173" t="s">
        <v>106</v>
      </c>
      <c r="F796" s="173">
        <v>3</v>
      </c>
      <c r="G796" s="173" t="s">
        <v>19</v>
      </c>
      <c r="H796" s="173" t="s">
        <v>20</v>
      </c>
      <c r="I796" s="173" t="s">
        <v>21</v>
      </c>
      <c r="J796" s="173"/>
      <c r="K796" s="173" t="s">
        <v>107</v>
      </c>
      <c r="L796" s="173">
        <v>25</v>
      </c>
      <c r="M796" s="173" t="s">
        <v>367</v>
      </c>
      <c r="N796" s="174">
        <v>1040</v>
      </c>
      <c r="O796" s="174">
        <v>1040</v>
      </c>
      <c r="P796" s="330">
        <v>6000</v>
      </c>
      <c r="Q796" s="173">
        <v>2</v>
      </c>
      <c r="R796" s="173">
        <v>44</v>
      </c>
      <c r="S796" s="173" t="s">
        <v>354</v>
      </c>
      <c r="T796" s="175">
        <v>44734</v>
      </c>
      <c r="U796" s="175">
        <v>44753</v>
      </c>
      <c r="V796" s="173" t="s">
        <v>355</v>
      </c>
      <c r="W796" s="173"/>
      <c r="X796" s="173"/>
      <c r="Y796" s="141"/>
    </row>
    <row r="797" spans="1:25" s="239" customFormat="1" ht="13.15" customHeight="1" x14ac:dyDescent="0.15">
      <c r="A797" s="173">
        <v>3667062</v>
      </c>
      <c r="B797" s="173" t="s">
        <v>431</v>
      </c>
      <c r="C797" s="173" t="s">
        <v>356</v>
      </c>
      <c r="D797" s="173" t="s">
        <v>353</v>
      </c>
      <c r="E797" s="173" t="s">
        <v>130</v>
      </c>
      <c r="F797" s="173">
        <v>3</v>
      </c>
      <c r="G797" s="173" t="s">
        <v>265</v>
      </c>
      <c r="H797" s="173" t="s">
        <v>20</v>
      </c>
      <c r="I797" s="173" t="s">
        <v>21</v>
      </c>
      <c r="J797" s="173"/>
      <c r="K797" s="173" t="s">
        <v>435</v>
      </c>
      <c r="L797" s="173">
        <v>25</v>
      </c>
      <c r="M797" s="173" t="s">
        <v>436</v>
      </c>
      <c r="N797" s="174">
        <v>1410</v>
      </c>
      <c r="O797" s="174">
        <v>1410</v>
      </c>
      <c r="P797" s="330">
        <v>6000</v>
      </c>
      <c r="Q797" s="173">
        <v>2</v>
      </c>
      <c r="R797" s="173">
        <v>14</v>
      </c>
      <c r="S797" s="173" t="s">
        <v>354</v>
      </c>
      <c r="T797" s="175">
        <v>44734</v>
      </c>
      <c r="U797" s="175">
        <v>44753</v>
      </c>
      <c r="V797" s="173" t="s">
        <v>355</v>
      </c>
      <c r="W797" s="173"/>
      <c r="X797" s="173"/>
      <c r="Y797" s="141"/>
    </row>
    <row r="798" spans="1:25" s="239" customFormat="1" ht="13.15" customHeight="1" x14ac:dyDescent="0.15">
      <c r="A798" s="173">
        <v>3667062</v>
      </c>
      <c r="B798" s="173" t="s">
        <v>431</v>
      </c>
      <c r="C798" s="173" t="s">
        <v>356</v>
      </c>
      <c r="D798" s="173" t="s">
        <v>353</v>
      </c>
      <c r="E798" s="173" t="s">
        <v>130</v>
      </c>
      <c r="F798" s="173">
        <v>3</v>
      </c>
      <c r="G798" s="173" t="s">
        <v>265</v>
      </c>
      <c r="H798" s="173" t="s">
        <v>20</v>
      </c>
      <c r="I798" s="173" t="s">
        <v>21</v>
      </c>
      <c r="J798" s="173"/>
      <c r="K798" s="173" t="s">
        <v>435</v>
      </c>
      <c r="L798" s="173">
        <v>25</v>
      </c>
      <c r="M798" s="173" t="s">
        <v>436</v>
      </c>
      <c r="N798" s="174">
        <v>1410</v>
      </c>
      <c r="O798" s="174">
        <v>1410</v>
      </c>
      <c r="P798" s="330">
        <v>6000</v>
      </c>
      <c r="Q798" s="173">
        <v>2</v>
      </c>
      <c r="R798" s="173">
        <v>14</v>
      </c>
      <c r="S798" s="173" t="s">
        <v>354</v>
      </c>
      <c r="T798" s="175">
        <v>44734</v>
      </c>
      <c r="U798" s="175">
        <v>44753</v>
      </c>
      <c r="V798" s="173" t="s">
        <v>355</v>
      </c>
      <c r="W798" s="173"/>
      <c r="X798" s="173"/>
      <c r="Y798" s="141"/>
    </row>
    <row r="799" spans="1:25" s="239" customFormat="1" ht="13.15" customHeight="1" x14ac:dyDescent="0.15">
      <c r="A799" s="173">
        <v>3667063</v>
      </c>
      <c r="B799" s="173" t="s">
        <v>351</v>
      </c>
      <c r="C799" s="173" t="s">
        <v>352</v>
      </c>
      <c r="D799" s="173" t="s">
        <v>353</v>
      </c>
      <c r="E799" s="173" t="s">
        <v>116</v>
      </c>
      <c r="F799" s="173">
        <v>3</v>
      </c>
      <c r="G799" s="173" t="s">
        <v>19</v>
      </c>
      <c r="H799" s="173" t="s">
        <v>20</v>
      </c>
      <c r="I799" s="173" t="s">
        <v>21</v>
      </c>
      <c r="J799" s="173"/>
      <c r="K799" s="173" t="s">
        <v>118</v>
      </c>
      <c r="L799" s="173">
        <v>38</v>
      </c>
      <c r="M799" s="173" t="s">
        <v>368</v>
      </c>
      <c r="N799" s="174">
        <v>1005</v>
      </c>
      <c r="O799" s="174">
        <v>1000</v>
      </c>
      <c r="P799" s="330">
        <v>6000</v>
      </c>
      <c r="Q799" s="173">
        <v>2</v>
      </c>
      <c r="R799" s="173">
        <v>5</v>
      </c>
      <c r="S799" s="173" t="s">
        <v>354</v>
      </c>
      <c r="T799" s="175">
        <v>44734</v>
      </c>
      <c r="U799" s="175">
        <v>44767</v>
      </c>
      <c r="V799" s="173" t="s">
        <v>355</v>
      </c>
      <c r="W799" s="173"/>
      <c r="X799" s="173"/>
      <c r="Y799" s="141"/>
    </row>
    <row r="800" spans="1:25" s="239" customFormat="1" ht="13.15" customHeight="1" x14ac:dyDescent="0.15">
      <c r="A800" s="173">
        <v>3667064</v>
      </c>
      <c r="B800" s="173" t="s">
        <v>351</v>
      </c>
      <c r="C800" s="173" t="s">
        <v>352</v>
      </c>
      <c r="D800" s="173" t="s">
        <v>353</v>
      </c>
      <c r="E800" s="173" t="s">
        <v>116</v>
      </c>
      <c r="F800" s="173">
        <v>3</v>
      </c>
      <c r="G800" s="173" t="s">
        <v>19</v>
      </c>
      <c r="H800" s="173" t="s">
        <v>20</v>
      </c>
      <c r="I800" s="173" t="s">
        <v>21</v>
      </c>
      <c r="J800" s="173"/>
      <c r="K800" s="173" t="s">
        <v>118</v>
      </c>
      <c r="L800" s="173">
        <v>38</v>
      </c>
      <c r="M800" s="173" t="s">
        <v>368</v>
      </c>
      <c r="N800" s="174">
        <v>1005</v>
      </c>
      <c r="O800" s="174">
        <v>1000</v>
      </c>
      <c r="P800" s="330">
        <v>6000</v>
      </c>
      <c r="Q800" s="173">
        <v>2</v>
      </c>
      <c r="R800" s="173">
        <v>10</v>
      </c>
      <c r="S800" s="173" t="s">
        <v>354</v>
      </c>
      <c r="T800" s="175">
        <v>44734</v>
      </c>
      <c r="U800" s="175">
        <v>44774</v>
      </c>
      <c r="V800" s="173" t="s">
        <v>355</v>
      </c>
      <c r="W800" s="173"/>
      <c r="X800" s="173"/>
      <c r="Y800" s="141"/>
    </row>
    <row r="801" spans="1:25" s="239" customFormat="1" ht="13.15" customHeight="1" x14ac:dyDescent="0.15">
      <c r="A801" s="173">
        <v>3667065</v>
      </c>
      <c r="B801" s="173" t="s">
        <v>351</v>
      </c>
      <c r="C801" s="173" t="s">
        <v>352</v>
      </c>
      <c r="D801" s="173" t="s">
        <v>353</v>
      </c>
      <c r="E801" s="173" t="s">
        <v>116</v>
      </c>
      <c r="F801" s="173">
        <v>3</v>
      </c>
      <c r="G801" s="173" t="s">
        <v>19</v>
      </c>
      <c r="H801" s="173" t="s">
        <v>20</v>
      </c>
      <c r="I801" s="173" t="s">
        <v>21</v>
      </c>
      <c r="J801" s="173"/>
      <c r="K801" s="173" t="s">
        <v>118</v>
      </c>
      <c r="L801" s="173">
        <v>38</v>
      </c>
      <c r="M801" s="173" t="s">
        <v>368</v>
      </c>
      <c r="N801" s="174">
        <v>1415</v>
      </c>
      <c r="O801" s="174">
        <v>1410</v>
      </c>
      <c r="P801" s="330">
        <v>6000</v>
      </c>
      <c r="Q801" s="173">
        <v>2</v>
      </c>
      <c r="R801" s="173">
        <v>12</v>
      </c>
      <c r="S801" s="173" t="s">
        <v>354</v>
      </c>
      <c r="T801" s="175">
        <v>44734</v>
      </c>
      <c r="U801" s="175">
        <v>44767</v>
      </c>
      <c r="V801" s="173" t="s">
        <v>355</v>
      </c>
      <c r="W801" s="173"/>
      <c r="X801" s="173"/>
      <c r="Y801" s="141"/>
    </row>
    <row r="802" spans="1:25" s="239" customFormat="1" ht="13.15" customHeight="1" x14ac:dyDescent="0.15">
      <c r="A802" s="173">
        <v>3667066</v>
      </c>
      <c r="B802" s="173" t="s">
        <v>351</v>
      </c>
      <c r="C802" s="173" t="s">
        <v>356</v>
      </c>
      <c r="D802" s="173" t="s">
        <v>353</v>
      </c>
      <c r="E802" s="173" t="s">
        <v>32</v>
      </c>
      <c r="F802" s="173">
        <v>331</v>
      </c>
      <c r="G802" s="173" t="s">
        <v>19</v>
      </c>
      <c r="H802" s="173" t="s">
        <v>20</v>
      </c>
      <c r="I802" s="173" t="s">
        <v>21</v>
      </c>
      <c r="J802" s="173"/>
      <c r="K802" s="173" t="s">
        <v>33</v>
      </c>
      <c r="L802" s="173">
        <v>38</v>
      </c>
      <c r="M802" s="173" t="s">
        <v>30</v>
      </c>
      <c r="N802" s="174">
        <v>1330</v>
      </c>
      <c r="O802" s="174">
        <v>1330</v>
      </c>
      <c r="P802" s="330">
        <v>6000</v>
      </c>
      <c r="Q802" s="173">
        <v>2</v>
      </c>
      <c r="R802" s="173">
        <v>4</v>
      </c>
      <c r="S802" s="173" t="s">
        <v>354</v>
      </c>
      <c r="T802" s="175">
        <v>44734</v>
      </c>
      <c r="U802" s="175">
        <v>44753</v>
      </c>
      <c r="V802" s="173" t="s">
        <v>355</v>
      </c>
      <c r="W802" s="173"/>
      <c r="X802" s="173"/>
      <c r="Y802" s="141"/>
    </row>
    <row r="803" spans="1:25" s="239" customFormat="1" ht="13.15" customHeight="1" x14ac:dyDescent="0.15">
      <c r="A803" s="173">
        <v>3667067</v>
      </c>
      <c r="B803" s="173" t="s">
        <v>351</v>
      </c>
      <c r="C803" s="173" t="s">
        <v>356</v>
      </c>
      <c r="D803" s="173" t="s">
        <v>353</v>
      </c>
      <c r="E803" s="173" t="s">
        <v>17</v>
      </c>
      <c r="F803" s="173">
        <v>331</v>
      </c>
      <c r="G803" s="173" t="s">
        <v>19</v>
      </c>
      <c r="H803" s="173" t="s">
        <v>20</v>
      </c>
      <c r="I803" s="173" t="s">
        <v>21</v>
      </c>
      <c r="J803" s="173"/>
      <c r="K803" s="173" t="s">
        <v>22</v>
      </c>
      <c r="L803" s="173">
        <v>38</v>
      </c>
      <c r="M803" s="173" t="s">
        <v>23</v>
      </c>
      <c r="N803" s="174">
        <v>1367</v>
      </c>
      <c r="O803" s="174">
        <v>1360</v>
      </c>
      <c r="P803" s="330">
        <v>6000</v>
      </c>
      <c r="Q803" s="173">
        <v>2</v>
      </c>
      <c r="R803" s="173">
        <v>4</v>
      </c>
      <c r="S803" s="173" t="s">
        <v>354</v>
      </c>
      <c r="T803" s="175">
        <v>44734</v>
      </c>
      <c r="U803" s="175">
        <v>44753</v>
      </c>
      <c r="V803" s="173" t="s">
        <v>355</v>
      </c>
      <c r="W803" s="173"/>
      <c r="X803" s="173"/>
      <c r="Y803" s="141"/>
    </row>
    <row r="804" spans="1:25" s="239" customFormat="1" ht="13.15" customHeight="1" x14ac:dyDescent="0.15">
      <c r="A804" s="173">
        <v>3667068</v>
      </c>
      <c r="B804" s="173" t="s">
        <v>351</v>
      </c>
      <c r="C804" s="173" t="s">
        <v>356</v>
      </c>
      <c r="D804" s="173" t="s">
        <v>353</v>
      </c>
      <c r="E804" s="173" t="s">
        <v>17</v>
      </c>
      <c r="F804" s="173">
        <v>331</v>
      </c>
      <c r="G804" s="173" t="s">
        <v>19</v>
      </c>
      <c r="H804" s="173" t="s">
        <v>20</v>
      </c>
      <c r="I804" s="173" t="s">
        <v>21</v>
      </c>
      <c r="J804" s="173"/>
      <c r="K804" s="173" t="s">
        <v>22</v>
      </c>
      <c r="L804" s="173">
        <v>38</v>
      </c>
      <c r="M804" s="173" t="s">
        <v>23</v>
      </c>
      <c r="N804" s="174">
        <v>1337</v>
      </c>
      <c r="O804" s="174">
        <v>1330</v>
      </c>
      <c r="P804" s="330">
        <v>6000</v>
      </c>
      <c r="Q804" s="173">
        <v>2</v>
      </c>
      <c r="R804" s="173">
        <v>4</v>
      </c>
      <c r="S804" s="173" t="s">
        <v>354</v>
      </c>
      <c r="T804" s="175">
        <v>44734</v>
      </c>
      <c r="U804" s="175">
        <v>44753</v>
      </c>
      <c r="V804" s="173" t="s">
        <v>355</v>
      </c>
      <c r="W804" s="173"/>
      <c r="X804" s="173"/>
      <c r="Y804" s="141"/>
    </row>
    <row r="805" spans="1:25" s="239" customFormat="1" ht="13.15" customHeight="1" x14ac:dyDescent="0.15">
      <c r="A805" s="173">
        <v>3667069</v>
      </c>
      <c r="B805" s="173" t="s">
        <v>351</v>
      </c>
      <c r="C805" s="173" t="s">
        <v>356</v>
      </c>
      <c r="D805" s="173" t="s">
        <v>353</v>
      </c>
      <c r="E805" s="173" t="s">
        <v>377</v>
      </c>
      <c r="F805" s="173">
        <v>3</v>
      </c>
      <c r="G805" s="173" t="s">
        <v>19</v>
      </c>
      <c r="H805" s="173" t="s">
        <v>20</v>
      </c>
      <c r="I805" s="173" t="s">
        <v>21</v>
      </c>
      <c r="J805" s="173"/>
      <c r="K805" s="173" t="s">
        <v>36</v>
      </c>
      <c r="L805" s="173">
        <v>25</v>
      </c>
      <c r="M805" s="173" t="s">
        <v>37</v>
      </c>
      <c r="N805" s="174">
        <v>890</v>
      </c>
      <c r="O805" s="174">
        <v>890</v>
      </c>
      <c r="P805" s="330">
        <v>6000</v>
      </c>
      <c r="Q805" s="173">
        <v>2</v>
      </c>
      <c r="R805" s="173">
        <v>6</v>
      </c>
      <c r="S805" s="173" t="s">
        <v>354</v>
      </c>
      <c r="T805" s="175">
        <v>44734</v>
      </c>
      <c r="U805" s="175">
        <v>44757</v>
      </c>
      <c r="V805" s="173" t="s">
        <v>355</v>
      </c>
      <c r="W805" s="173"/>
      <c r="X805" s="173"/>
      <c r="Y805" s="141"/>
    </row>
    <row r="806" spans="1:25" s="239" customFormat="1" ht="13.15" customHeight="1" x14ac:dyDescent="0.15">
      <c r="A806" s="173">
        <v>3667070</v>
      </c>
      <c r="B806" s="173" t="s">
        <v>351</v>
      </c>
      <c r="C806" s="173" t="s">
        <v>356</v>
      </c>
      <c r="D806" s="173" t="s">
        <v>353</v>
      </c>
      <c r="E806" s="173" t="s">
        <v>17</v>
      </c>
      <c r="F806" s="173">
        <v>331</v>
      </c>
      <c r="G806" s="173" t="s">
        <v>19</v>
      </c>
      <c r="H806" s="173" t="s">
        <v>20</v>
      </c>
      <c r="I806" s="173" t="s">
        <v>21</v>
      </c>
      <c r="J806" s="173"/>
      <c r="K806" s="173" t="s">
        <v>22</v>
      </c>
      <c r="L806" s="173">
        <v>38</v>
      </c>
      <c r="M806" s="173" t="s">
        <v>23</v>
      </c>
      <c r="N806" s="174">
        <v>1335</v>
      </c>
      <c r="O806" s="174">
        <v>1330</v>
      </c>
      <c r="P806" s="330">
        <v>6000</v>
      </c>
      <c r="Q806" s="173">
        <v>2</v>
      </c>
      <c r="R806" s="173">
        <v>18</v>
      </c>
      <c r="S806" s="173" t="s">
        <v>354</v>
      </c>
      <c r="T806" s="175">
        <v>44734</v>
      </c>
      <c r="U806" s="175">
        <v>44757</v>
      </c>
      <c r="V806" s="173" t="s">
        <v>355</v>
      </c>
      <c r="W806" s="173"/>
      <c r="X806" s="173"/>
      <c r="Y806" s="141"/>
    </row>
    <row r="807" spans="1:25" s="239" customFormat="1" ht="13.15" customHeight="1" x14ac:dyDescent="0.15">
      <c r="A807" s="173">
        <v>3667071</v>
      </c>
      <c r="B807" s="173" t="s">
        <v>351</v>
      </c>
      <c r="C807" s="173" t="s">
        <v>356</v>
      </c>
      <c r="D807" s="173" t="s">
        <v>353</v>
      </c>
      <c r="E807" s="173" t="s">
        <v>17</v>
      </c>
      <c r="F807" s="173">
        <v>3</v>
      </c>
      <c r="G807" s="173" t="s">
        <v>19</v>
      </c>
      <c r="H807" s="173" t="s">
        <v>20</v>
      </c>
      <c r="I807" s="173" t="s">
        <v>21</v>
      </c>
      <c r="J807" s="173"/>
      <c r="K807" s="173" t="s">
        <v>22</v>
      </c>
      <c r="L807" s="173">
        <v>38</v>
      </c>
      <c r="M807" s="173" t="s">
        <v>23</v>
      </c>
      <c r="N807" s="174">
        <v>1037</v>
      </c>
      <c r="O807" s="174">
        <v>1030</v>
      </c>
      <c r="P807" s="330">
        <v>6000</v>
      </c>
      <c r="Q807" s="173">
        <v>2</v>
      </c>
      <c r="R807" s="173">
        <v>57</v>
      </c>
      <c r="S807" s="173" t="s">
        <v>354</v>
      </c>
      <c r="T807" s="175">
        <v>44734</v>
      </c>
      <c r="U807" s="175">
        <v>44757</v>
      </c>
      <c r="V807" s="173" t="s">
        <v>355</v>
      </c>
      <c r="W807" s="173"/>
      <c r="X807" s="173"/>
      <c r="Y807" s="141"/>
    </row>
    <row r="808" spans="1:25" s="239" customFormat="1" ht="13.15" customHeight="1" x14ac:dyDescent="0.15">
      <c r="A808" s="173">
        <v>3667072</v>
      </c>
      <c r="B808" s="173" t="s">
        <v>351</v>
      </c>
      <c r="C808" s="173" t="s">
        <v>356</v>
      </c>
      <c r="D808" s="173" t="s">
        <v>353</v>
      </c>
      <c r="E808" s="173" t="s">
        <v>32</v>
      </c>
      <c r="F808" s="173">
        <v>331</v>
      </c>
      <c r="G808" s="173" t="s">
        <v>19</v>
      </c>
      <c r="H808" s="173" t="s">
        <v>20</v>
      </c>
      <c r="I808" s="173" t="s">
        <v>21</v>
      </c>
      <c r="J808" s="173"/>
      <c r="K808" s="173" t="s">
        <v>33</v>
      </c>
      <c r="L808" s="173">
        <v>38</v>
      </c>
      <c r="M808" s="173" t="s">
        <v>30</v>
      </c>
      <c r="N808" s="174">
        <v>1580</v>
      </c>
      <c r="O808" s="174">
        <v>1580</v>
      </c>
      <c r="P808" s="330">
        <v>6000</v>
      </c>
      <c r="Q808" s="173">
        <v>2</v>
      </c>
      <c r="R808" s="173">
        <v>4</v>
      </c>
      <c r="S808" s="173" t="s">
        <v>354</v>
      </c>
      <c r="T808" s="175">
        <v>44734</v>
      </c>
      <c r="U808" s="175">
        <v>44757</v>
      </c>
      <c r="V808" s="173" t="s">
        <v>355</v>
      </c>
      <c r="W808" s="173"/>
      <c r="X808" s="173"/>
      <c r="Y808" s="141"/>
    </row>
    <row r="809" spans="1:25" ht="13.5" x14ac:dyDescent="0.15">
      <c r="A809" s="173">
        <v>3667073</v>
      </c>
      <c r="B809" s="173" t="s">
        <v>351</v>
      </c>
      <c r="C809" s="173" t="s">
        <v>363</v>
      </c>
      <c r="D809" s="173" t="s">
        <v>353</v>
      </c>
      <c r="E809" s="173" t="s">
        <v>65</v>
      </c>
      <c r="F809" s="173">
        <v>3321</v>
      </c>
      <c r="G809" s="173" t="s">
        <v>19</v>
      </c>
      <c r="H809" s="173" t="s">
        <v>20</v>
      </c>
      <c r="I809" s="173" t="s">
        <v>21</v>
      </c>
      <c r="J809" s="173"/>
      <c r="K809" s="173" t="s">
        <v>67</v>
      </c>
      <c r="L809" s="173">
        <v>38</v>
      </c>
      <c r="M809" s="173" t="s">
        <v>68</v>
      </c>
      <c r="N809" s="174">
        <v>1336</v>
      </c>
      <c r="O809" s="174">
        <v>1325</v>
      </c>
      <c r="P809" s="330">
        <v>6000</v>
      </c>
      <c r="Q809" s="173">
        <v>2</v>
      </c>
      <c r="R809" s="173">
        <v>23</v>
      </c>
      <c r="S809" s="173" t="s">
        <v>354</v>
      </c>
      <c r="T809" s="175">
        <v>44734</v>
      </c>
      <c r="U809" s="175">
        <v>44757</v>
      </c>
      <c r="V809" s="173" t="s">
        <v>355</v>
      </c>
      <c r="W809" s="173"/>
      <c r="X809" s="173"/>
      <c r="Y809" s="141"/>
    </row>
    <row r="810" spans="1:25" ht="13.5" x14ac:dyDescent="0.15">
      <c r="A810" s="173">
        <v>3667074</v>
      </c>
      <c r="B810" s="173" t="s">
        <v>351</v>
      </c>
      <c r="C810" s="173" t="s">
        <v>363</v>
      </c>
      <c r="D810" s="173" t="s">
        <v>353</v>
      </c>
      <c r="E810" s="173" t="s">
        <v>65</v>
      </c>
      <c r="F810" s="173">
        <v>3321</v>
      </c>
      <c r="G810" s="173" t="s">
        <v>19</v>
      </c>
      <c r="H810" s="173" t="s">
        <v>20</v>
      </c>
      <c r="I810" s="173" t="s">
        <v>21</v>
      </c>
      <c r="J810" s="173"/>
      <c r="K810" s="173" t="s">
        <v>70</v>
      </c>
      <c r="L810" s="173">
        <v>38</v>
      </c>
      <c r="M810" s="173" t="s">
        <v>71</v>
      </c>
      <c r="N810" s="174">
        <v>1336</v>
      </c>
      <c r="O810" s="174">
        <v>1325</v>
      </c>
      <c r="P810" s="330">
        <v>6000</v>
      </c>
      <c r="Q810" s="173">
        <v>2</v>
      </c>
      <c r="R810" s="173">
        <v>23</v>
      </c>
      <c r="S810" s="173" t="s">
        <v>354</v>
      </c>
      <c r="T810" s="175">
        <v>44734</v>
      </c>
      <c r="U810" s="175">
        <v>44757</v>
      </c>
      <c r="V810" s="173" t="s">
        <v>355</v>
      </c>
      <c r="W810" s="173"/>
      <c r="X810" s="173"/>
      <c r="Y810" s="141"/>
    </row>
    <row r="811" spans="1:25" ht="13.5" x14ac:dyDescent="0.15">
      <c r="A811" s="173">
        <v>3667075</v>
      </c>
      <c r="B811" s="173" t="s">
        <v>351</v>
      </c>
      <c r="C811" s="173" t="s">
        <v>356</v>
      </c>
      <c r="D811" s="173" t="s">
        <v>353</v>
      </c>
      <c r="E811" s="173" t="s">
        <v>17</v>
      </c>
      <c r="F811" s="173">
        <v>331</v>
      </c>
      <c r="G811" s="173" t="s">
        <v>19</v>
      </c>
      <c r="H811" s="173" t="s">
        <v>20</v>
      </c>
      <c r="I811" s="173" t="s">
        <v>21</v>
      </c>
      <c r="J811" s="173"/>
      <c r="K811" s="173" t="s">
        <v>52</v>
      </c>
      <c r="L811" s="173">
        <v>38</v>
      </c>
      <c r="M811" s="173" t="s">
        <v>53</v>
      </c>
      <c r="N811" s="174">
        <v>1330</v>
      </c>
      <c r="O811" s="174">
        <v>1330</v>
      </c>
      <c r="P811" s="330">
        <v>6000</v>
      </c>
      <c r="Q811" s="173">
        <v>2</v>
      </c>
      <c r="R811" s="173">
        <v>50</v>
      </c>
      <c r="S811" s="173" t="s">
        <v>354</v>
      </c>
      <c r="T811" s="175">
        <v>44734</v>
      </c>
      <c r="U811" s="175">
        <v>44764</v>
      </c>
      <c r="V811" s="173" t="s">
        <v>355</v>
      </c>
      <c r="W811" s="173"/>
      <c r="X811" s="173"/>
      <c r="Y811" s="141"/>
    </row>
    <row r="812" spans="1:25" ht="13.5" x14ac:dyDescent="0.15">
      <c r="A812" s="173">
        <v>3667076</v>
      </c>
      <c r="B812" s="173" t="s">
        <v>351</v>
      </c>
      <c r="C812" s="173" t="s">
        <v>356</v>
      </c>
      <c r="D812" s="173" t="s">
        <v>353</v>
      </c>
      <c r="E812" s="173" t="s">
        <v>32</v>
      </c>
      <c r="F812" s="173">
        <v>3</v>
      </c>
      <c r="G812" s="173" t="s">
        <v>19</v>
      </c>
      <c r="H812" s="173" t="s">
        <v>20</v>
      </c>
      <c r="I812" s="173" t="s">
        <v>21</v>
      </c>
      <c r="J812" s="173"/>
      <c r="K812" s="173" t="s">
        <v>56</v>
      </c>
      <c r="L812" s="173">
        <v>75</v>
      </c>
      <c r="M812" s="173" t="s">
        <v>376</v>
      </c>
      <c r="N812" s="174">
        <v>1330</v>
      </c>
      <c r="O812" s="174">
        <v>1330</v>
      </c>
      <c r="P812" s="330">
        <v>6000</v>
      </c>
      <c r="Q812" s="173">
        <v>2</v>
      </c>
      <c r="R812" s="173">
        <v>24</v>
      </c>
      <c r="S812" s="173" t="s">
        <v>354</v>
      </c>
      <c r="T812" s="175">
        <v>44734</v>
      </c>
      <c r="U812" s="175">
        <v>44764</v>
      </c>
      <c r="V812" s="173" t="s">
        <v>355</v>
      </c>
      <c r="W812" s="173"/>
      <c r="X812" s="173"/>
      <c r="Y812" s="141"/>
    </row>
    <row r="813" spans="1:25" ht="13.5" x14ac:dyDescent="0.15">
      <c r="A813" s="173">
        <v>3667077</v>
      </c>
      <c r="B813" s="173" t="s">
        <v>351</v>
      </c>
      <c r="C813" s="173" t="s">
        <v>356</v>
      </c>
      <c r="D813" s="173" t="s">
        <v>353</v>
      </c>
      <c r="E813" s="173" t="s">
        <v>32</v>
      </c>
      <c r="F813" s="173">
        <v>331</v>
      </c>
      <c r="G813" s="173" t="s">
        <v>19</v>
      </c>
      <c r="H813" s="173" t="s">
        <v>20</v>
      </c>
      <c r="I813" s="173" t="s">
        <v>21</v>
      </c>
      <c r="J813" s="173"/>
      <c r="K813" s="173" t="s">
        <v>54</v>
      </c>
      <c r="L813" s="173">
        <v>38</v>
      </c>
      <c r="M813" s="173" t="s">
        <v>53</v>
      </c>
      <c r="N813" s="174">
        <v>1580</v>
      </c>
      <c r="O813" s="174">
        <v>1580</v>
      </c>
      <c r="P813" s="330">
        <v>6000</v>
      </c>
      <c r="Q813" s="173">
        <v>2</v>
      </c>
      <c r="R813" s="173">
        <v>4</v>
      </c>
      <c r="S813" s="173" t="s">
        <v>354</v>
      </c>
      <c r="T813" s="175">
        <v>44734</v>
      </c>
      <c r="U813" s="175">
        <v>44764</v>
      </c>
      <c r="V813" s="173" t="s">
        <v>355</v>
      </c>
      <c r="W813" s="173"/>
      <c r="X813" s="173"/>
      <c r="Y813" s="141"/>
    </row>
    <row r="814" spans="1:25" ht="13.5" x14ac:dyDescent="0.15">
      <c r="A814" s="173">
        <v>3667078</v>
      </c>
      <c r="B814" s="173" t="s">
        <v>431</v>
      </c>
      <c r="C814" s="173" t="s">
        <v>358</v>
      </c>
      <c r="D814" s="173" t="s">
        <v>353</v>
      </c>
      <c r="E814" s="173" t="s">
        <v>61</v>
      </c>
      <c r="F814" s="173">
        <v>3</v>
      </c>
      <c r="G814" s="173" t="s">
        <v>265</v>
      </c>
      <c r="H814" s="173" t="s">
        <v>20</v>
      </c>
      <c r="I814" s="173" t="s">
        <v>21</v>
      </c>
      <c r="J814" s="173"/>
      <c r="K814" s="173" t="s">
        <v>263</v>
      </c>
      <c r="L814" s="173">
        <v>75</v>
      </c>
      <c r="M814" s="173" t="s">
        <v>264</v>
      </c>
      <c r="N814" s="174">
        <v>1050</v>
      </c>
      <c r="O814" s="174">
        <v>1050</v>
      </c>
      <c r="P814" s="330">
        <v>6000</v>
      </c>
      <c r="Q814" s="173">
        <v>2</v>
      </c>
      <c r="R814" s="173">
        <v>18</v>
      </c>
      <c r="S814" s="173" t="s">
        <v>354</v>
      </c>
      <c r="T814" s="175">
        <v>44734</v>
      </c>
      <c r="U814" s="175">
        <v>44764</v>
      </c>
      <c r="V814" s="173" t="s">
        <v>355</v>
      </c>
      <c r="W814" s="173"/>
      <c r="X814" s="173"/>
      <c r="Y814" s="141"/>
    </row>
    <row r="815" spans="1:25" ht="13.5" x14ac:dyDescent="0.15">
      <c r="A815" s="173">
        <v>3667078</v>
      </c>
      <c r="B815" s="173" t="s">
        <v>431</v>
      </c>
      <c r="C815" s="173" t="s">
        <v>358</v>
      </c>
      <c r="D815" s="173" t="s">
        <v>353</v>
      </c>
      <c r="E815" s="173" t="s">
        <v>61</v>
      </c>
      <c r="F815" s="173">
        <v>3</v>
      </c>
      <c r="G815" s="173" t="s">
        <v>265</v>
      </c>
      <c r="H815" s="173" t="s">
        <v>20</v>
      </c>
      <c r="I815" s="173" t="s">
        <v>21</v>
      </c>
      <c r="J815" s="173"/>
      <c r="K815" s="173" t="s">
        <v>263</v>
      </c>
      <c r="L815" s="173">
        <v>75</v>
      </c>
      <c r="M815" s="173" t="s">
        <v>264</v>
      </c>
      <c r="N815" s="174">
        <v>1050</v>
      </c>
      <c r="O815" s="174">
        <v>1050</v>
      </c>
      <c r="P815" s="330">
        <v>6000</v>
      </c>
      <c r="Q815" s="173">
        <v>2</v>
      </c>
      <c r="R815" s="173">
        <v>18</v>
      </c>
      <c r="S815" s="173" t="s">
        <v>354</v>
      </c>
      <c r="T815" s="175">
        <v>44734</v>
      </c>
      <c r="U815" s="175">
        <v>44764</v>
      </c>
      <c r="V815" s="173" t="s">
        <v>355</v>
      </c>
      <c r="W815" s="173"/>
      <c r="X815" s="173"/>
      <c r="Y815" s="141"/>
    </row>
    <row r="816" spans="1:25" ht="13.5" x14ac:dyDescent="0.15">
      <c r="A816" s="173">
        <v>3667079</v>
      </c>
      <c r="B816" s="173" t="s">
        <v>351</v>
      </c>
      <c r="C816" s="173" t="s">
        <v>364</v>
      </c>
      <c r="D816" s="173" t="s">
        <v>353</v>
      </c>
      <c r="E816" s="173" t="s">
        <v>371</v>
      </c>
      <c r="F816" s="173">
        <v>3</v>
      </c>
      <c r="G816" s="173" t="s">
        <v>19</v>
      </c>
      <c r="H816" s="173" t="s">
        <v>28</v>
      </c>
      <c r="I816" s="173" t="s">
        <v>21</v>
      </c>
      <c r="J816" s="173"/>
      <c r="K816" s="173" t="s">
        <v>465</v>
      </c>
      <c r="L816" s="173">
        <v>75</v>
      </c>
      <c r="M816" s="173" t="s">
        <v>466</v>
      </c>
      <c r="N816" s="174">
        <v>1040</v>
      </c>
      <c r="O816" s="174">
        <v>1040</v>
      </c>
      <c r="P816" s="330">
        <v>6000</v>
      </c>
      <c r="Q816" s="173">
        <v>1</v>
      </c>
      <c r="R816" s="173">
        <v>1</v>
      </c>
      <c r="S816" s="173" t="s">
        <v>354</v>
      </c>
      <c r="T816" s="175">
        <v>44734</v>
      </c>
      <c r="U816" s="175">
        <v>44764</v>
      </c>
      <c r="V816" s="173" t="s">
        <v>355</v>
      </c>
      <c r="W816" s="173"/>
      <c r="X816" s="173"/>
      <c r="Y816" s="141"/>
    </row>
    <row r="817" spans="1:25" ht="13.5" x14ac:dyDescent="0.15">
      <c r="A817" s="173">
        <v>3667080</v>
      </c>
      <c r="B817" s="173" t="s">
        <v>351</v>
      </c>
      <c r="C817" s="173" t="s">
        <v>364</v>
      </c>
      <c r="D817" s="173" t="s">
        <v>353</v>
      </c>
      <c r="E817" s="173" t="s">
        <v>371</v>
      </c>
      <c r="F817" s="173">
        <v>3</v>
      </c>
      <c r="G817" s="173" t="s">
        <v>19</v>
      </c>
      <c r="H817" s="173" t="s">
        <v>28</v>
      </c>
      <c r="I817" s="173" t="s">
        <v>21</v>
      </c>
      <c r="J817" s="173"/>
      <c r="K817" s="173" t="s">
        <v>60</v>
      </c>
      <c r="L817" s="173">
        <v>75</v>
      </c>
      <c r="M817" s="173" t="s">
        <v>372</v>
      </c>
      <c r="N817" s="174">
        <v>1040</v>
      </c>
      <c r="O817" s="174">
        <v>1040</v>
      </c>
      <c r="P817" s="330">
        <v>6000</v>
      </c>
      <c r="Q817" s="173">
        <v>1</v>
      </c>
      <c r="R817" s="173">
        <v>3</v>
      </c>
      <c r="S817" s="173" t="s">
        <v>354</v>
      </c>
      <c r="T817" s="175">
        <v>44734</v>
      </c>
      <c r="U817" s="175">
        <v>44764</v>
      </c>
      <c r="V817" s="173" t="s">
        <v>355</v>
      </c>
      <c r="W817" s="173"/>
      <c r="X817" s="173"/>
      <c r="Y817" s="141"/>
    </row>
    <row r="818" spans="1:25" ht="13.5" x14ac:dyDescent="0.15">
      <c r="A818" s="173">
        <v>3667081</v>
      </c>
      <c r="B818" s="173" t="s">
        <v>351</v>
      </c>
      <c r="C818" s="173" t="s">
        <v>356</v>
      </c>
      <c r="D818" s="173" t="s">
        <v>353</v>
      </c>
      <c r="E818" s="173" t="s">
        <v>17</v>
      </c>
      <c r="F818" s="173">
        <v>3</v>
      </c>
      <c r="G818" s="173" t="s">
        <v>19</v>
      </c>
      <c r="H818" s="173" t="s">
        <v>20</v>
      </c>
      <c r="I818" s="173" t="s">
        <v>21</v>
      </c>
      <c r="J818" s="173"/>
      <c r="K818" s="173" t="s">
        <v>22</v>
      </c>
      <c r="L818" s="173">
        <v>38</v>
      </c>
      <c r="M818" s="173" t="s">
        <v>23</v>
      </c>
      <c r="N818" s="174">
        <v>1057</v>
      </c>
      <c r="O818" s="174">
        <v>1050</v>
      </c>
      <c r="P818" s="330">
        <v>6000</v>
      </c>
      <c r="Q818" s="173">
        <v>2</v>
      </c>
      <c r="R818" s="173">
        <v>3</v>
      </c>
      <c r="S818" s="173" t="s">
        <v>354</v>
      </c>
      <c r="T818" s="175">
        <v>44734</v>
      </c>
      <c r="U818" s="175">
        <v>44764</v>
      </c>
      <c r="V818" s="173" t="s">
        <v>355</v>
      </c>
      <c r="W818" s="173"/>
      <c r="X818" s="173"/>
      <c r="Y818" s="141"/>
    </row>
    <row r="819" spans="1:25" ht="13.5" x14ac:dyDescent="0.15">
      <c r="A819" s="173">
        <v>3667082</v>
      </c>
      <c r="B819" s="173" t="s">
        <v>351</v>
      </c>
      <c r="C819" s="173" t="s">
        <v>356</v>
      </c>
      <c r="D819" s="173" t="s">
        <v>353</v>
      </c>
      <c r="E819" s="173" t="s">
        <v>32</v>
      </c>
      <c r="F819" s="173">
        <v>331</v>
      </c>
      <c r="G819" s="173" t="s">
        <v>19</v>
      </c>
      <c r="H819" s="173" t="s">
        <v>20</v>
      </c>
      <c r="I819" s="173" t="s">
        <v>21</v>
      </c>
      <c r="J819" s="173"/>
      <c r="K819" s="173" t="s">
        <v>33</v>
      </c>
      <c r="L819" s="173">
        <v>38</v>
      </c>
      <c r="M819" s="173" t="s">
        <v>30</v>
      </c>
      <c r="N819" s="174">
        <v>1330</v>
      </c>
      <c r="O819" s="174">
        <v>1330</v>
      </c>
      <c r="P819" s="330">
        <v>6000</v>
      </c>
      <c r="Q819" s="173">
        <v>2</v>
      </c>
      <c r="R819" s="173">
        <v>16</v>
      </c>
      <c r="S819" s="173" t="s">
        <v>354</v>
      </c>
      <c r="T819" s="175">
        <v>44734</v>
      </c>
      <c r="U819" s="175">
        <v>44764</v>
      </c>
      <c r="V819" s="173" t="s">
        <v>355</v>
      </c>
      <c r="W819" s="173"/>
      <c r="X819" s="173"/>
      <c r="Y819" s="141"/>
    </row>
    <row r="820" spans="1:25" ht="13.5" x14ac:dyDescent="0.15">
      <c r="A820" s="173">
        <v>3667083</v>
      </c>
      <c r="B820" s="173" t="s">
        <v>351</v>
      </c>
      <c r="C820" s="173" t="s">
        <v>359</v>
      </c>
      <c r="D820" s="173" t="s">
        <v>353</v>
      </c>
      <c r="E820" s="173" t="s">
        <v>40</v>
      </c>
      <c r="F820" s="173">
        <v>3</v>
      </c>
      <c r="G820" s="173" t="s">
        <v>19</v>
      </c>
      <c r="H820" s="173" t="s">
        <v>20</v>
      </c>
      <c r="I820" s="173" t="s">
        <v>21</v>
      </c>
      <c r="J820" s="173"/>
      <c r="K820" s="173" t="s">
        <v>42</v>
      </c>
      <c r="L820" s="173">
        <v>25</v>
      </c>
      <c r="M820" s="173" t="s">
        <v>43</v>
      </c>
      <c r="N820" s="174">
        <v>1045</v>
      </c>
      <c r="O820" s="174">
        <v>1040</v>
      </c>
      <c r="P820" s="330">
        <v>6000</v>
      </c>
      <c r="Q820" s="173">
        <v>2</v>
      </c>
      <c r="R820" s="173">
        <v>12</v>
      </c>
      <c r="S820" s="173" t="s">
        <v>354</v>
      </c>
      <c r="T820" s="175">
        <v>44734</v>
      </c>
      <c r="U820" s="175">
        <v>44764</v>
      </c>
      <c r="V820" s="173" t="s">
        <v>355</v>
      </c>
      <c r="W820" s="173"/>
      <c r="X820" s="173"/>
      <c r="Y820" s="141"/>
    </row>
    <row r="821" spans="1:25" ht="13.5" x14ac:dyDescent="0.15">
      <c r="A821" s="173">
        <v>3667084</v>
      </c>
      <c r="B821" s="173" t="s">
        <v>351</v>
      </c>
      <c r="C821" s="173" t="s">
        <v>359</v>
      </c>
      <c r="D821" s="173" t="s">
        <v>353</v>
      </c>
      <c r="E821" s="173" t="s">
        <v>40</v>
      </c>
      <c r="F821" s="173">
        <v>3</v>
      </c>
      <c r="G821" s="173" t="s">
        <v>19</v>
      </c>
      <c r="H821" s="173" t="s">
        <v>20</v>
      </c>
      <c r="I821" s="173" t="s">
        <v>21</v>
      </c>
      <c r="J821" s="173"/>
      <c r="K821" s="173" t="s">
        <v>42</v>
      </c>
      <c r="L821" s="173">
        <v>25</v>
      </c>
      <c r="M821" s="173" t="s">
        <v>43</v>
      </c>
      <c r="N821" s="174">
        <v>1085</v>
      </c>
      <c r="O821" s="174">
        <v>1080</v>
      </c>
      <c r="P821" s="330">
        <v>6000</v>
      </c>
      <c r="Q821" s="173">
        <v>2</v>
      </c>
      <c r="R821" s="173">
        <v>4</v>
      </c>
      <c r="S821" s="173" t="s">
        <v>354</v>
      </c>
      <c r="T821" s="175">
        <v>44734</v>
      </c>
      <c r="U821" s="175">
        <v>44764</v>
      </c>
      <c r="V821" s="173" t="s">
        <v>355</v>
      </c>
      <c r="W821" s="173"/>
      <c r="X821" s="173"/>
      <c r="Y821" s="141"/>
    </row>
    <row r="822" spans="1:25" ht="13.5" x14ac:dyDescent="0.15">
      <c r="A822" s="173">
        <v>3667085</v>
      </c>
      <c r="B822" s="173" t="s">
        <v>351</v>
      </c>
      <c r="C822" s="173" t="s">
        <v>358</v>
      </c>
      <c r="D822" s="173" t="s">
        <v>353</v>
      </c>
      <c r="E822" s="173" t="s">
        <v>73</v>
      </c>
      <c r="F822" s="173">
        <v>331</v>
      </c>
      <c r="G822" s="173" t="s">
        <v>19</v>
      </c>
      <c r="H822" s="173" t="s">
        <v>20</v>
      </c>
      <c r="I822" s="173" t="s">
        <v>21</v>
      </c>
      <c r="J822" s="173"/>
      <c r="K822" s="173" t="s">
        <v>74</v>
      </c>
      <c r="L822" s="173">
        <v>38</v>
      </c>
      <c r="M822" s="173" t="s">
        <v>365</v>
      </c>
      <c r="N822" s="174">
        <v>415</v>
      </c>
      <c r="O822" s="174">
        <v>415</v>
      </c>
      <c r="P822" s="330">
        <v>6000</v>
      </c>
      <c r="Q822" s="173">
        <v>2</v>
      </c>
      <c r="R822" s="173">
        <v>108</v>
      </c>
      <c r="S822" s="173" t="s">
        <v>354</v>
      </c>
      <c r="T822" s="175">
        <v>44734</v>
      </c>
      <c r="U822" s="175">
        <v>44764</v>
      </c>
      <c r="V822" s="173" t="s">
        <v>355</v>
      </c>
      <c r="W822" s="173"/>
      <c r="X822" s="173"/>
      <c r="Y822" s="141"/>
    </row>
    <row r="823" spans="1:25" ht="13.5" x14ac:dyDescent="0.15">
      <c r="A823" s="173">
        <v>3667086</v>
      </c>
      <c r="B823" s="173" t="s">
        <v>351</v>
      </c>
      <c r="C823" s="173" t="s">
        <v>358</v>
      </c>
      <c r="D823" s="173" t="s">
        <v>353</v>
      </c>
      <c r="E823" s="173" t="s">
        <v>61</v>
      </c>
      <c r="F823" s="173">
        <v>3313</v>
      </c>
      <c r="G823" s="173" t="s">
        <v>19</v>
      </c>
      <c r="H823" s="173" t="s">
        <v>20</v>
      </c>
      <c r="I823" s="173" t="s">
        <v>21</v>
      </c>
      <c r="J823" s="173"/>
      <c r="K823" s="173" t="s">
        <v>62</v>
      </c>
      <c r="L823" s="173">
        <v>38</v>
      </c>
      <c r="M823" s="173" t="s">
        <v>63</v>
      </c>
      <c r="N823" s="174">
        <v>750</v>
      </c>
      <c r="O823" s="174">
        <v>750</v>
      </c>
      <c r="P823" s="330">
        <v>6000</v>
      </c>
      <c r="Q823" s="173">
        <v>2</v>
      </c>
      <c r="R823" s="173">
        <v>20</v>
      </c>
      <c r="S823" s="173" t="s">
        <v>354</v>
      </c>
      <c r="T823" s="175">
        <v>44734</v>
      </c>
      <c r="U823" s="175">
        <v>44771</v>
      </c>
      <c r="V823" s="173" t="s">
        <v>355</v>
      </c>
      <c r="W823" s="173"/>
      <c r="X823" s="173"/>
      <c r="Y823" s="141"/>
    </row>
    <row r="824" spans="1:25" ht="13.5" x14ac:dyDescent="0.15">
      <c r="A824" s="173">
        <v>3667087</v>
      </c>
      <c r="B824" s="173" t="s">
        <v>351</v>
      </c>
      <c r="C824" s="173" t="s">
        <v>358</v>
      </c>
      <c r="D824" s="173" t="s">
        <v>353</v>
      </c>
      <c r="E824" s="173" t="s">
        <v>61</v>
      </c>
      <c r="F824" s="173">
        <v>331</v>
      </c>
      <c r="G824" s="173" t="s">
        <v>19</v>
      </c>
      <c r="H824" s="173" t="s">
        <v>20</v>
      </c>
      <c r="I824" s="173" t="s">
        <v>21</v>
      </c>
      <c r="J824" s="173"/>
      <c r="K824" s="173" t="s">
        <v>62</v>
      </c>
      <c r="L824" s="173">
        <v>38</v>
      </c>
      <c r="M824" s="173" t="s">
        <v>63</v>
      </c>
      <c r="N824" s="174">
        <v>1255</v>
      </c>
      <c r="O824" s="174">
        <v>1250</v>
      </c>
      <c r="P824" s="330">
        <v>6000</v>
      </c>
      <c r="Q824" s="173">
        <v>2</v>
      </c>
      <c r="R824" s="173">
        <v>28</v>
      </c>
      <c r="S824" s="173" t="s">
        <v>354</v>
      </c>
      <c r="T824" s="175">
        <v>44734</v>
      </c>
      <c r="U824" s="175">
        <v>44771</v>
      </c>
      <c r="V824" s="173" t="s">
        <v>355</v>
      </c>
      <c r="W824" s="173"/>
      <c r="X824" s="173"/>
      <c r="Y824" s="141"/>
    </row>
    <row r="825" spans="1:25" ht="13.5" x14ac:dyDescent="0.15">
      <c r="A825" s="173">
        <v>3667088</v>
      </c>
      <c r="B825" s="173" t="s">
        <v>351</v>
      </c>
      <c r="C825" s="173" t="s">
        <v>358</v>
      </c>
      <c r="D825" s="173" t="s">
        <v>353</v>
      </c>
      <c r="E825" s="173" t="s">
        <v>61</v>
      </c>
      <c r="F825" s="173">
        <v>331</v>
      </c>
      <c r="G825" s="173" t="s">
        <v>19</v>
      </c>
      <c r="H825" s="173" t="s">
        <v>20</v>
      </c>
      <c r="I825" s="173" t="s">
        <v>21</v>
      </c>
      <c r="J825" s="173"/>
      <c r="K825" s="173" t="s">
        <v>62</v>
      </c>
      <c r="L825" s="173">
        <v>38</v>
      </c>
      <c r="M825" s="173" t="s">
        <v>63</v>
      </c>
      <c r="N825" s="174">
        <v>1585</v>
      </c>
      <c r="O825" s="174">
        <v>1580</v>
      </c>
      <c r="P825" s="330">
        <v>6000</v>
      </c>
      <c r="Q825" s="173">
        <v>2</v>
      </c>
      <c r="R825" s="173">
        <v>3</v>
      </c>
      <c r="S825" s="173" t="s">
        <v>354</v>
      </c>
      <c r="T825" s="175">
        <v>44734</v>
      </c>
      <c r="U825" s="175">
        <v>44771</v>
      </c>
      <c r="V825" s="173" t="s">
        <v>355</v>
      </c>
      <c r="W825" s="173"/>
      <c r="X825" s="173"/>
      <c r="Y825" s="141"/>
    </row>
    <row r="826" spans="1:25" ht="13.5" x14ac:dyDescent="0.15">
      <c r="A826" s="173">
        <v>3667089</v>
      </c>
      <c r="B826" s="173" t="s">
        <v>351</v>
      </c>
      <c r="C826" s="173" t="s">
        <v>363</v>
      </c>
      <c r="D826" s="173" t="s">
        <v>353</v>
      </c>
      <c r="E826" s="173" t="s">
        <v>65</v>
      </c>
      <c r="F826" s="173">
        <v>3321</v>
      </c>
      <c r="G826" s="173" t="s">
        <v>19</v>
      </c>
      <c r="H826" s="173" t="s">
        <v>20</v>
      </c>
      <c r="I826" s="173" t="s">
        <v>21</v>
      </c>
      <c r="J826" s="173"/>
      <c r="K826" s="173" t="s">
        <v>67</v>
      </c>
      <c r="L826" s="173">
        <v>38</v>
      </c>
      <c r="M826" s="173" t="s">
        <v>68</v>
      </c>
      <c r="N826" s="174">
        <v>1336</v>
      </c>
      <c r="O826" s="174">
        <v>1325</v>
      </c>
      <c r="P826" s="330">
        <v>6000</v>
      </c>
      <c r="Q826" s="173">
        <v>2</v>
      </c>
      <c r="R826" s="173">
        <v>33</v>
      </c>
      <c r="S826" s="173" t="s">
        <v>354</v>
      </c>
      <c r="T826" s="175">
        <v>44734</v>
      </c>
      <c r="U826" s="175">
        <v>44771</v>
      </c>
      <c r="V826" s="173" t="s">
        <v>355</v>
      </c>
      <c r="W826" s="173"/>
      <c r="X826" s="173"/>
      <c r="Y826" s="141"/>
    </row>
    <row r="827" spans="1:25" ht="13.5" x14ac:dyDescent="0.15">
      <c r="A827" s="173">
        <v>3667090</v>
      </c>
      <c r="B827" s="173" t="s">
        <v>351</v>
      </c>
      <c r="C827" s="173" t="s">
        <v>363</v>
      </c>
      <c r="D827" s="173" t="s">
        <v>353</v>
      </c>
      <c r="E827" s="173" t="s">
        <v>65</v>
      </c>
      <c r="F827" s="173">
        <v>3321</v>
      </c>
      <c r="G827" s="173" t="s">
        <v>19</v>
      </c>
      <c r="H827" s="173" t="s">
        <v>20</v>
      </c>
      <c r="I827" s="173" t="s">
        <v>21</v>
      </c>
      <c r="J827" s="173"/>
      <c r="K827" s="173" t="s">
        <v>70</v>
      </c>
      <c r="L827" s="173">
        <v>38</v>
      </c>
      <c r="M827" s="173" t="s">
        <v>71</v>
      </c>
      <c r="N827" s="174">
        <v>1336</v>
      </c>
      <c r="O827" s="174">
        <v>1325</v>
      </c>
      <c r="P827" s="330">
        <v>6000</v>
      </c>
      <c r="Q827" s="173">
        <v>2</v>
      </c>
      <c r="R827" s="173">
        <v>33</v>
      </c>
      <c r="S827" s="173" t="s">
        <v>354</v>
      </c>
      <c r="T827" s="175">
        <v>44734</v>
      </c>
      <c r="U827" s="175">
        <v>44771</v>
      </c>
      <c r="V827" s="173" t="s">
        <v>355</v>
      </c>
      <c r="W827" s="173"/>
      <c r="X827" s="173"/>
      <c r="Y827" s="141"/>
    </row>
    <row r="828" spans="1:25" ht="13.5" x14ac:dyDescent="0.15">
      <c r="A828" s="173">
        <v>3667091</v>
      </c>
      <c r="B828" s="173" t="s">
        <v>432</v>
      </c>
      <c r="C828" s="173" t="s">
        <v>358</v>
      </c>
      <c r="D828" s="173" t="s">
        <v>353</v>
      </c>
      <c r="E828" s="173" t="s">
        <v>304</v>
      </c>
      <c r="F828" s="173">
        <v>3301</v>
      </c>
      <c r="G828" s="173" t="s">
        <v>265</v>
      </c>
      <c r="H828" s="173" t="s">
        <v>20</v>
      </c>
      <c r="I828" s="173" t="s">
        <v>256</v>
      </c>
      <c r="J828" s="173"/>
      <c r="K828" s="173" t="s">
        <v>433</v>
      </c>
      <c r="L828" s="173">
        <v>100</v>
      </c>
      <c r="M828" s="173" t="s">
        <v>305</v>
      </c>
      <c r="N828" s="174">
        <v>1050</v>
      </c>
      <c r="O828" s="174">
        <v>1050</v>
      </c>
      <c r="P828" s="330">
        <v>6000</v>
      </c>
      <c r="Q828" s="173">
        <v>2</v>
      </c>
      <c r="R828" s="173">
        <v>1</v>
      </c>
      <c r="S828" s="173" t="s">
        <v>354</v>
      </c>
      <c r="T828" s="175">
        <v>44734</v>
      </c>
      <c r="U828" s="175">
        <v>44757</v>
      </c>
      <c r="V828" s="173" t="s">
        <v>355</v>
      </c>
      <c r="W828" s="173"/>
      <c r="X828" s="173"/>
      <c r="Y828" s="141"/>
    </row>
    <row r="829" spans="1:25" ht="13.5" x14ac:dyDescent="0.15">
      <c r="A829" s="173">
        <v>3667091</v>
      </c>
      <c r="B829" s="173" t="s">
        <v>432</v>
      </c>
      <c r="C829" s="173" t="s">
        <v>358</v>
      </c>
      <c r="D829" s="173" t="s">
        <v>353</v>
      </c>
      <c r="E829" s="173" t="s">
        <v>304</v>
      </c>
      <c r="F829" s="173">
        <v>3301</v>
      </c>
      <c r="G829" s="173" t="s">
        <v>265</v>
      </c>
      <c r="H829" s="173" t="s">
        <v>20</v>
      </c>
      <c r="I829" s="173" t="s">
        <v>256</v>
      </c>
      <c r="J829" s="173"/>
      <c r="K829" s="173" t="s">
        <v>433</v>
      </c>
      <c r="L829" s="173">
        <v>100</v>
      </c>
      <c r="M829" s="173" t="s">
        <v>305</v>
      </c>
      <c r="N829" s="174">
        <v>1050</v>
      </c>
      <c r="O829" s="174">
        <v>1050</v>
      </c>
      <c r="P829" s="330">
        <v>6000</v>
      </c>
      <c r="Q829" s="173">
        <v>2</v>
      </c>
      <c r="R829" s="173">
        <v>1</v>
      </c>
      <c r="S829" s="173" t="s">
        <v>354</v>
      </c>
      <c r="T829" s="175">
        <v>44734</v>
      </c>
      <c r="U829" s="175">
        <v>44757</v>
      </c>
      <c r="V829" s="173" t="s">
        <v>355</v>
      </c>
      <c r="W829" s="173"/>
      <c r="X829" s="173"/>
      <c r="Y829" s="141"/>
    </row>
    <row r="830" spans="1:25" ht="13.5" x14ac:dyDescent="0.15">
      <c r="A830" s="173">
        <v>3667091</v>
      </c>
      <c r="B830" s="173" t="s">
        <v>432</v>
      </c>
      <c r="C830" s="173" t="s">
        <v>358</v>
      </c>
      <c r="D830" s="173" t="s">
        <v>353</v>
      </c>
      <c r="E830" s="173" t="s">
        <v>304</v>
      </c>
      <c r="F830" s="173">
        <v>3301</v>
      </c>
      <c r="G830" s="173" t="s">
        <v>265</v>
      </c>
      <c r="H830" s="173" t="s">
        <v>20</v>
      </c>
      <c r="I830" s="173" t="s">
        <v>256</v>
      </c>
      <c r="J830" s="173"/>
      <c r="K830" s="173" t="s">
        <v>433</v>
      </c>
      <c r="L830" s="173">
        <v>100</v>
      </c>
      <c r="M830" s="173" t="s">
        <v>305</v>
      </c>
      <c r="N830" s="174">
        <v>1050</v>
      </c>
      <c r="O830" s="174">
        <v>1050</v>
      </c>
      <c r="P830" s="330">
        <v>6000</v>
      </c>
      <c r="Q830" s="173">
        <v>2</v>
      </c>
      <c r="R830" s="173">
        <v>1</v>
      </c>
      <c r="S830" s="173" t="s">
        <v>354</v>
      </c>
      <c r="T830" s="175">
        <v>44734</v>
      </c>
      <c r="U830" s="175">
        <v>44757</v>
      </c>
      <c r="V830" s="173" t="s">
        <v>355</v>
      </c>
      <c r="W830" s="173"/>
      <c r="X830" s="173"/>
      <c r="Y830" s="141"/>
    </row>
    <row r="831" spans="1:25" ht="13.5" x14ac:dyDescent="0.15">
      <c r="A831" s="173">
        <v>3667092</v>
      </c>
      <c r="B831" s="173" t="s">
        <v>432</v>
      </c>
      <c r="C831" s="173" t="s">
        <v>358</v>
      </c>
      <c r="D831" s="173" t="s">
        <v>353</v>
      </c>
      <c r="E831" s="173" t="s">
        <v>304</v>
      </c>
      <c r="F831" s="173">
        <v>3301</v>
      </c>
      <c r="G831" s="173" t="s">
        <v>265</v>
      </c>
      <c r="H831" s="173" t="s">
        <v>20</v>
      </c>
      <c r="I831" s="173" t="s">
        <v>256</v>
      </c>
      <c r="J831" s="173"/>
      <c r="K831" s="173" t="s">
        <v>433</v>
      </c>
      <c r="L831" s="173">
        <v>100</v>
      </c>
      <c r="M831" s="173" t="s">
        <v>305</v>
      </c>
      <c r="N831" s="174">
        <v>1050</v>
      </c>
      <c r="O831" s="174">
        <v>1050</v>
      </c>
      <c r="P831" s="330">
        <v>6000</v>
      </c>
      <c r="Q831" s="173">
        <v>2</v>
      </c>
      <c r="R831" s="173">
        <v>1</v>
      </c>
      <c r="S831" s="173" t="s">
        <v>354</v>
      </c>
      <c r="T831" s="175">
        <v>44734</v>
      </c>
      <c r="U831" s="175">
        <v>44757</v>
      </c>
      <c r="V831" s="173" t="s">
        <v>355</v>
      </c>
      <c r="W831" s="173"/>
      <c r="X831" s="173"/>
      <c r="Y831" s="141"/>
    </row>
    <row r="832" spans="1:25" ht="13.5" x14ac:dyDescent="0.15">
      <c r="A832" s="173">
        <v>3667092</v>
      </c>
      <c r="B832" s="173" t="s">
        <v>432</v>
      </c>
      <c r="C832" s="173" t="s">
        <v>358</v>
      </c>
      <c r="D832" s="173" t="s">
        <v>353</v>
      </c>
      <c r="E832" s="173" t="s">
        <v>304</v>
      </c>
      <c r="F832" s="173">
        <v>3301</v>
      </c>
      <c r="G832" s="173" t="s">
        <v>265</v>
      </c>
      <c r="H832" s="173" t="s">
        <v>20</v>
      </c>
      <c r="I832" s="173" t="s">
        <v>256</v>
      </c>
      <c r="J832" s="173"/>
      <c r="K832" s="173" t="s">
        <v>433</v>
      </c>
      <c r="L832" s="173">
        <v>100</v>
      </c>
      <c r="M832" s="173" t="s">
        <v>305</v>
      </c>
      <c r="N832" s="174">
        <v>1050</v>
      </c>
      <c r="O832" s="174">
        <v>1050</v>
      </c>
      <c r="P832" s="330">
        <v>6000</v>
      </c>
      <c r="Q832" s="173">
        <v>2</v>
      </c>
      <c r="R832" s="173">
        <v>1</v>
      </c>
      <c r="S832" s="173" t="s">
        <v>354</v>
      </c>
      <c r="T832" s="175">
        <v>44734</v>
      </c>
      <c r="U832" s="175">
        <v>44757</v>
      </c>
      <c r="V832" s="173" t="s">
        <v>355</v>
      </c>
      <c r="W832" s="173"/>
      <c r="X832" s="173"/>
      <c r="Y832" s="141"/>
    </row>
    <row r="833" spans="1:25" ht="13.5" x14ac:dyDescent="0.15">
      <c r="A833" s="173">
        <v>3667092</v>
      </c>
      <c r="B833" s="173" t="s">
        <v>432</v>
      </c>
      <c r="C833" s="173" t="s">
        <v>358</v>
      </c>
      <c r="D833" s="173" t="s">
        <v>353</v>
      </c>
      <c r="E833" s="173" t="s">
        <v>304</v>
      </c>
      <c r="F833" s="173">
        <v>3301</v>
      </c>
      <c r="G833" s="173" t="s">
        <v>265</v>
      </c>
      <c r="H833" s="173" t="s">
        <v>20</v>
      </c>
      <c r="I833" s="173" t="s">
        <v>256</v>
      </c>
      <c r="J833" s="173"/>
      <c r="K833" s="173" t="s">
        <v>433</v>
      </c>
      <c r="L833" s="173">
        <v>100</v>
      </c>
      <c r="M833" s="173" t="s">
        <v>305</v>
      </c>
      <c r="N833" s="174">
        <v>1050</v>
      </c>
      <c r="O833" s="174">
        <v>1050</v>
      </c>
      <c r="P833" s="330">
        <v>6000</v>
      </c>
      <c r="Q833" s="173">
        <v>2</v>
      </c>
      <c r="R833" s="173">
        <v>1</v>
      </c>
      <c r="S833" s="173" t="s">
        <v>354</v>
      </c>
      <c r="T833" s="175">
        <v>44734</v>
      </c>
      <c r="U833" s="175">
        <v>44757</v>
      </c>
      <c r="V833" s="173" t="s">
        <v>355</v>
      </c>
      <c r="W833" s="173"/>
      <c r="X833" s="173"/>
      <c r="Y833" s="141"/>
    </row>
    <row r="834" spans="1:25" ht="13.5" x14ac:dyDescent="0.15">
      <c r="A834" s="173">
        <v>3667094</v>
      </c>
      <c r="B834" s="173" t="s">
        <v>351</v>
      </c>
      <c r="C834" s="173" t="s">
        <v>363</v>
      </c>
      <c r="D834" s="173" t="s">
        <v>353</v>
      </c>
      <c r="E834" s="173" t="s">
        <v>65</v>
      </c>
      <c r="F834" s="173" t="s">
        <v>96</v>
      </c>
      <c r="G834" s="173" t="s">
        <v>19</v>
      </c>
      <c r="H834" s="173" t="s">
        <v>20</v>
      </c>
      <c r="I834" s="173" t="s">
        <v>251</v>
      </c>
      <c r="J834" s="173"/>
      <c r="K834" s="173" t="s">
        <v>252</v>
      </c>
      <c r="L834" s="173">
        <v>50</v>
      </c>
      <c r="M834" s="173" t="s">
        <v>253</v>
      </c>
      <c r="N834" s="174">
        <v>1094</v>
      </c>
      <c r="O834" s="174">
        <v>1094</v>
      </c>
      <c r="P834" s="330">
        <v>6000</v>
      </c>
      <c r="Q834" s="173">
        <v>2</v>
      </c>
      <c r="R834" s="173">
        <v>5</v>
      </c>
      <c r="S834" s="173" t="s">
        <v>354</v>
      </c>
      <c r="T834" s="175">
        <v>44734</v>
      </c>
      <c r="U834" s="175">
        <v>44757</v>
      </c>
      <c r="V834" s="173" t="s">
        <v>355</v>
      </c>
      <c r="W834" s="173"/>
      <c r="X834" s="173"/>
      <c r="Y834" s="141"/>
    </row>
    <row r="835" spans="1:25" ht="13.5" x14ac:dyDescent="0.15">
      <c r="A835" s="173">
        <v>3667097</v>
      </c>
      <c r="B835" s="173" t="s">
        <v>440</v>
      </c>
      <c r="C835" s="173" t="s">
        <v>364</v>
      </c>
      <c r="D835" s="173" t="s">
        <v>353</v>
      </c>
      <c r="E835" s="173"/>
      <c r="F835" s="173" t="s">
        <v>158</v>
      </c>
      <c r="G835" s="173" t="s">
        <v>265</v>
      </c>
      <c r="H835" s="173" t="s">
        <v>28</v>
      </c>
      <c r="I835" s="173" t="s">
        <v>307</v>
      </c>
      <c r="J835" s="173"/>
      <c r="K835" s="173" t="s">
        <v>308</v>
      </c>
      <c r="L835" s="173">
        <v>38</v>
      </c>
      <c r="M835" s="173" t="s">
        <v>441</v>
      </c>
      <c r="N835" s="174">
        <v>715</v>
      </c>
      <c r="O835" s="174">
        <v>715</v>
      </c>
      <c r="P835" s="330">
        <v>6000</v>
      </c>
      <c r="Q835" s="173">
        <v>2</v>
      </c>
      <c r="R835" s="173">
        <v>9</v>
      </c>
      <c r="S835" s="173" t="s">
        <v>354</v>
      </c>
      <c r="T835" s="175">
        <v>44734</v>
      </c>
      <c r="U835" s="175">
        <v>44757</v>
      </c>
      <c r="V835" s="173" t="s">
        <v>355</v>
      </c>
      <c r="W835" s="173"/>
      <c r="X835" s="173"/>
      <c r="Y835" s="141"/>
    </row>
    <row r="836" spans="1:25" ht="13.5" x14ac:dyDescent="0.15">
      <c r="A836" s="173">
        <v>3667097</v>
      </c>
      <c r="B836" s="173" t="s">
        <v>440</v>
      </c>
      <c r="C836" s="173" t="s">
        <v>364</v>
      </c>
      <c r="D836" s="173" t="s">
        <v>353</v>
      </c>
      <c r="E836" s="173"/>
      <c r="F836" s="173" t="s">
        <v>158</v>
      </c>
      <c r="G836" s="173" t="s">
        <v>265</v>
      </c>
      <c r="H836" s="173" t="s">
        <v>28</v>
      </c>
      <c r="I836" s="173" t="s">
        <v>307</v>
      </c>
      <c r="J836" s="173"/>
      <c r="K836" s="173" t="s">
        <v>308</v>
      </c>
      <c r="L836" s="173">
        <v>38</v>
      </c>
      <c r="M836" s="173" t="s">
        <v>441</v>
      </c>
      <c r="N836" s="174">
        <v>715</v>
      </c>
      <c r="O836" s="174">
        <v>715</v>
      </c>
      <c r="P836" s="330">
        <v>6000</v>
      </c>
      <c r="Q836" s="173">
        <v>2</v>
      </c>
      <c r="R836" s="173">
        <v>9</v>
      </c>
      <c r="S836" s="173" t="s">
        <v>354</v>
      </c>
      <c r="T836" s="175">
        <v>44734</v>
      </c>
      <c r="U836" s="175">
        <v>44757</v>
      </c>
      <c r="V836" s="173" t="s">
        <v>355</v>
      </c>
      <c r="W836" s="173"/>
      <c r="X836" s="173"/>
      <c r="Y836" s="141"/>
    </row>
    <row r="837" spans="1:25" ht="13.5" x14ac:dyDescent="0.15">
      <c r="A837" s="173">
        <v>3667118</v>
      </c>
      <c r="B837" s="173" t="s">
        <v>351</v>
      </c>
      <c r="C837" s="173" t="s">
        <v>352</v>
      </c>
      <c r="D837" s="173" t="s">
        <v>353</v>
      </c>
      <c r="E837" s="173" t="s">
        <v>116</v>
      </c>
      <c r="F837" s="173">
        <v>3</v>
      </c>
      <c r="G837" s="173" t="s">
        <v>19</v>
      </c>
      <c r="H837" s="173" t="s">
        <v>20</v>
      </c>
      <c r="I837" s="173" t="s">
        <v>143</v>
      </c>
      <c r="J837" s="173"/>
      <c r="K837" s="173" t="s">
        <v>159</v>
      </c>
      <c r="L837" s="173">
        <v>25</v>
      </c>
      <c r="M837" s="173" t="s">
        <v>160</v>
      </c>
      <c r="N837" s="174">
        <v>1005</v>
      </c>
      <c r="O837" s="174">
        <v>1000</v>
      </c>
      <c r="P837" s="330">
        <v>6000</v>
      </c>
      <c r="Q837" s="173">
        <v>2</v>
      </c>
      <c r="R837" s="173">
        <v>3</v>
      </c>
      <c r="S837" s="173" t="s">
        <v>354</v>
      </c>
      <c r="T837" s="175">
        <v>44734</v>
      </c>
      <c r="U837" s="175">
        <v>44757</v>
      </c>
      <c r="V837" s="173" t="s">
        <v>355</v>
      </c>
      <c r="W837" s="173"/>
      <c r="X837" s="173"/>
      <c r="Y837" s="141"/>
    </row>
    <row r="838" spans="1:25" ht="13.5" x14ac:dyDescent="0.15">
      <c r="A838" s="173">
        <v>3667130</v>
      </c>
      <c r="B838" s="173" t="s">
        <v>351</v>
      </c>
      <c r="C838" s="173" t="s">
        <v>352</v>
      </c>
      <c r="D838" s="173" t="s">
        <v>353</v>
      </c>
      <c r="E838" s="173" t="s">
        <v>116</v>
      </c>
      <c r="F838" s="173">
        <v>3</v>
      </c>
      <c r="G838" s="173" t="s">
        <v>19</v>
      </c>
      <c r="H838" s="173" t="s">
        <v>20</v>
      </c>
      <c r="I838" s="173" t="s">
        <v>143</v>
      </c>
      <c r="J838" s="173"/>
      <c r="K838" s="173" t="s">
        <v>144</v>
      </c>
      <c r="L838" s="173">
        <v>50</v>
      </c>
      <c r="M838" s="173" t="s">
        <v>145</v>
      </c>
      <c r="N838" s="174">
        <v>1002</v>
      </c>
      <c r="O838" s="174">
        <v>1000</v>
      </c>
      <c r="P838" s="330">
        <v>6000</v>
      </c>
      <c r="Q838" s="173">
        <v>2</v>
      </c>
      <c r="R838" s="173">
        <v>9</v>
      </c>
      <c r="S838" s="173" t="s">
        <v>354</v>
      </c>
      <c r="T838" s="175">
        <v>44734</v>
      </c>
      <c r="U838" s="175">
        <v>44767</v>
      </c>
      <c r="V838" s="173" t="s">
        <v>355</v>
      </c>
      <c r="W838" s="173"/>
      <c r="X838" s="173"/>
      <c r="Y838" s="141"/>
    </row>
    <row r="839" spans="1:25" ht="13.5" x14ac:dyDescent="0.15">
      <c r="A839" s="173">
        <v>3667131</v>
      </c>
      <c r="B839" s="173" t="s">
        <v>351</v>
      </c>
      <c r="C839" s="173" t="s">
        <v>352</v>
      </c>
      <c r="D839" s="173" t="s">
        <v>353</v>
      </c>
      <c r="E839" s="173" t="s">
        <v>116</v>
      </c>
      <c r="F839" s="173">
        <v>3</v>
      </c>
      <c r="G839" s="173" t="s">
        <v>19</v>
      </c>
      <c r="H839" s="173" t="s">
        <v>20</v>
      </c>
      <c r="I839" s="173" t="s">
        <v>143</v>
      </c>
      <c r="J839" s="173"/>
      <c r="K839" s="173" t="s">
        <v>144</v>
      </c>
      <c r="L839" s="173">
        <v>75</v>
      </c>
      <c r="M839" s="173" t="s">
        <v>145</v>
      </c>
      <c r="N839" s="174">
        <v>1002</v>
      </c>
      <c r="O839" s="174">
        <v>1000</v>
      </c>
      <c r="P839" s="330">
        <v>6000</v>
      </c>
      <c r="Q839" s="173">
        <v>2</v>
      </c>
      <c r="R839" s="173">
        <v>2</v>
      </c>
      <c r="S839" s="173" t="s">
        <v>354</v>
      </c>
      <c r="T839" s="175">
        <v>44734</v>
      </c>
      <c r="U839" s="175">
        <v>44767</v>
      </c>
      <c r="V839" s="173" t="s">
        <v>355</v>
      </c>
      <c r="W839" s="173"/>
      <c r="X839" s="173"/>
      <c r="Y839" s="141"/>
    </row>
    <row r="840" spans="1:25" ht="13.5" x14ac:dyDescent="0.15">
      <c r="A840" s="173">
        <v>3667835</v>
      </c>
      <c r="B840" s="173" t="s">
        <v>427</v>
      </c>
      <c r="C840" s="173" t="s">
        <v>356</v>
      </c>
      <c r="D840" s="173" t="s">
        <v>353</v>
      </c>
      <c r="E840" s="173"/>
      <c r="F840" s="173">
        <v>3</v>
      </c>
      <c r="G840" s="173" t="s">
        <v>269</v>
      </c>
      <c r="H840" s="173" t="s">
        <v>20</v>
      </c>
      <c r="I840" s="173" t="s">
        <v>21</v>
      </c>
      <c r="J840" s="173"/>
      <c r="K840" s="173" t="s">
        <v>429</v>
      </c>
      <c r="L840" s="173">
        <v>25</v>
      </c>
      <c r="M840" s="173" t="s">
        <v>430</v>
      </c>
      <c r="N840" s="174">
        <v>1100</v>
      </c>
      <c r="O840" s="174">
        <v>1100</v>
      </c>
      <c r="P840" s="330">
        <v>6000</v>
      </c>
      <c r="Q840" s="173">
        <v>2</v>
      </c>
      <c r="R840" s="173">
        <v>1</v>
      </c>
      <c r="S840" s="173" t="s">
        <v>354</v>
      </c>
      <c r="T840" s="175">
        <v>44736</v>
      </c>
      <c r="U840" s="175">
        <v>44773</v>
      </c>
      <c r="V840" s="173" t="s">
        <v>428</v>
      </c>
      <c r="W840" s="173"/>
      <c r="X840" s="173"/>
      <c r="Y840" s="141"/>
    </row>
    <row r="841" spans="1:25" ht="13.5" x14ac:dyDescent="0.15">
      <c r="A841" s="173">
        <v>3667836</v>
      </c>
      <c r="B841" s="173" t="s">
        <v>427</v>
      </c>
      <c r="C841" s="173" t="s">
        <v>352</v>
      </c>
      <c r="D841" s="173" t="s">
        <v>353</v>
      </c>
      <c r="E841" s="173"/>
      <c r="F841" s="173">
        <v>3</v>
      </c>
      <c r="G841" s="173" t="s">
        <v>269</v>
      </c>
      <c r="H841" s="173" t="s">
        <v>20</v>
      </c>
      <c r="I841" s="173" t="s">
        <v>21</v>
      </c>
      <c r="J841" s="173"/>
      <c r="K841" s="173" t="s">
        <v>118</v>
      </c>
      <c r="L841" s="173">
        <v>25</v>
      </c>
      <c r="M841" s="173" t="s">
        <v>121</v>
      </c>
      <c r="N841" s="174">
        <v>1000</v>
      </c>
      <c r="O841" s="174">
        <v>1000</v>
      </c>
      <c r="P841" s="330">
        <v>6000</v>
      </c>
      <c r="Q841" s="173">
        <v>2</v>
      </c>
      <c r="R841" s="173">
        <v>1</v>
      </c>
      <c r="S841" s="173" t="s">
        <v>354</v>
      </c>
      <c r="T841" s="175">
        <v>44736</v>
      </c>
      <c r="U841" s="175">
        <v>44773</v>
      </c>
      <c r="V841" s="173" t="s">
        <v>428</v>
      </c>
      <c r="W841" s="173"/>
      <c r="X841" s="173"/>
      <c r="Y841" s="141"/>
    </row>
    <row r="842" spans="1:25" ht="13.5" x14ac:dyDescent="0.15">
      <c r="A842" s="173">
        <v>3667837</v>
      </c>
      <c r="B842" s="173" t="s">
        <v>427</v>
      </c>
      <c r="C842" s="173" t="s">
        <v>356</v>
      </c>
      <c r="D842" s="173" t="s">
        <v>353</v>
      </c>
      <c r="E842" s="173"/>
      <c r="F842" s="173">
        <v>3</v>
      </c>
      <c r="G842" s="173" t="s">
        <v>269</v>
      </c>
      <c r="H842" s="173" t="s">
        <v>20</v>
      </c>
      <c r="I842" s="173" t="s">
        <v>21</v>
      </c>
      <c r="J842" s="173"/>
      <c r="K842" s="173" t="s">
        <v>429</v>
      </c>
      <c r="L842" s="173">
        <v>38</v>
      </c>
      <c r="M842" s="173" t="s">
        <v>430</v>
      </c>
      <c r="N842" s="174">
        <v>1000</v>
      </c>
      <c r="O842" s="174">
        <v>1000</v>
      </c>
      <c r="P842" s="330">
        <v>6000</v>
      </c>
      <c r="Q842" s="173">
        <v>2</v>
      </c>
      <c r="R842" s="173">
        <v>12</v>
      </c>
      <c r="S842" s="173" t="s">
        <v>354</v>
      </c>
      <c r="T842" s="175">
        <v>44736</v>
      </c>
      <c r="U842" s="175">
        <v>44773</v>
      </c>
      <c r="V842" s="173" t="s">
        <v>428</v>
      </c>
      <c r="W842" s="173"/>
      <c r="X842" s="173"/>
      <c r="Y842" s="141"/>
    </row>
    <row r="843" spans="1:25" ht="13.5" x14ac:dyDescent="0.15">
      <c r="A843" s="173">
        <v>3667838</v>
      </c>
      <c r="B843" s="173" t="s">
        <v>427</v>
      </c>
      <c r="C843" s="173" t="s">
        <v>356</v>
      </c>
      <c r="D843" s="173" t="s">
        <v>353</v>
      </c>
      <c r="E843" s="173"/>
      <c r="F843" s="173">
        <v>3</v>
      </c>
      <c r="G843" s="173" t="s">
        <v>269</v>
      </c>
      <c r="H843" s="173" t="s">
        <v>20</v>
      </c>
      <c r="I843" s="173" t="s">
        <v>21</v>
      </c>
      <c r="J843" s="173"/>
      <c r="K843" s="173" t="s">
        <v>429</v>
      </c>
      <c r="L843" s="173">
        <v>38</v>
      </c>
      <c r="M843" s="173" t="s">
        <v>430</v>
      </c>
      <c r="N843" s="174">
        <v>1000</v>
      </c>
      <c r="O843" s="174">
        <v>1000</v>
      </c>
      <c r="P843" s="330">
        <v>6000</v>
      </c>
      <c r="Q843" s="173">
        <v>2</v>
      </c>
      <c r="R843" s="173">
        <v>7</v>
      </c>
      <c r="S843" s="173" t="s">
        <v>354</v>
      </c>
      <c r="T843" s="175">
        <v>44736</v>
      </c>
      <c r="U843" s="175">
        <v>44773</v>
      </c>
      <c r="V843" s="173" t="s">
        <v>428</v>
      </c>
      <c r="W843" s="173"/>
      <c r="X843" s="173"/>
      <c r="Y843" s="141"/>
    </row>
    <row r="844" spans="1:25" ht="13.5" x14ac:dyDescent="0.15">
      <c r="A844" s="173">
        <v>3668867</v>
      </c>
      <c r="B844" s="173" t="s">
        <v>351</v>
      </c>
      <c r="C844" s="173" t="s">
        <v>358</v>
      </c>
      <c r="D844" s="173" t="s">
        <v>353</v>
      </c>
      <c r="E844" s="173" t="s">
        <v>131</v>
      </c>
      <c r="F844" s="173">
        <v>3</v>
      </c>
      <c r="G844" s="173" t="s">
        <v>19</v>
      </c>
      <c r="H844" s="173" t="s">
        <v>20</v>
      </c>
      <c r="I844" s="173" t="s">
        <v>132</v>
      </c>
      <c r="J844" s="173"/>
      <c r="K844" s="173" t="s">
        <v>133</v>
      </c>
      <c r="L844" s="173">
        <v>75</v>
      </c>
      <c r="M844" s="173" t="s">
        <v>134</v>
      </c>
      <c r="N844" s="174">
        <v>600</v>
      </c>
      <c r="O844" s="174">
        <v>600</v>
      </c>
      <c r="P844" s="330">
        <v>6000</v>
      </c>
      <c r="Q844" s="173">
        <v>2</v>
      </c>
      <c r="R844" s="173">
        <v>24</v>
      </c>
      <c r="S844" s="173" t="s">
        <v>354</v>
      </c>
      <c r="T844" s="175">
        <v>44741</v>
      </c>
      <c r="U844" s="175">
        <v>44773</v>
      </c>
      <c r="V844" s="173" t="s">
        <v>355</v>
      </c>
      <c r="W844" s="173"/>
      <c r="X844" s="173"/>
      <c r="Y844" s="141"/>
    </row>
    <row r="845" spans="1:25" ht="13.5" x14ac:dyDescent="0.15">
      <c r="A845" s="173">
        <v>3668915</v>
      </c>
      <c r="B845" s="173" t="s">
        <v>351</v>
      </c>
      <c r="C845" s="173" t="s">
        <v>434</v>
      </c>
      <c r="D845" s="173" t="s">
        <v>353</v>
      </c>
      <c r="E845" s="173" t="s">
        <v>439</v>
      </c>
      <c r="F845" s="173">
        <v>3</v>
      </c>
      <c r="G845" s="173" t="s">
        <v>19</v>
      </c>
      <c r="H845" s="173" t="s">
        <v>20</v>
      </c>
      <c r="I845" s="173" t="s">
        <v>132</v>
      </c>
      <c r="J845" s="173"/>
      <c r="K845" s="173" t="s">
        <v>139</v>
      </c>
      <c r="L845" s="173">
        <v>25</v>
      </c>
      <c r="M845" s="173" t="s">
        <v>140</v>
      </c>
      <c r="N845" s="174">
        <v>1575</v>
      </c>
      <c r="O845" s="174">
        <v>1575</v>
      </c>
      <c r="P845" s="330">
        <v>6000</v>
      </c>
      <c r="Q845" s="173">
        <v>2</v>
      </c>
      <c r="R845" s="173">
        <v>2</v>
      </c>
      <c r="S845" s="173" t="s">
        <v>354</v>
      </c>
      <c r="T845" s="175">
        <v>44741</v>
      </c>
      <c r="U845" s="175">
        <v>44773</v>
      </c>
      <c r="V845" s="173" t="s">
        <v>355</v>
      </c>
      <c r="W845" s="173"/>
      <c r="X845" s="173"/>
      <c r="Y845" s="141"/>
    </row>
    <row r="846" spans="1:25" ht="13.5" x14ac:dyDescent="0.15">
      <c r="A846" s="173">
        <v>3671779</v>
      </c>
      <c r="B846" s="173" t="s">
        <v>351</v>
      </c>
      <c r="C846" s="173" t="s">
        <v>356</v>
      </c>
      <c r="D846" s="173" t="s">
        <v>353</v>
      </c>
      <c r="E846" s="173" t="s">
        <v>17</v>
      </c>
      <c r="F846" s="173">
        <v>331</v>
      </c>
      <c r="G846" s="173" t="s">
        <v>19</v>
      </c>
      <c r="H846" s="173" t="s">
        <v>20</v>
      </c>
      <c r="I846" s="173" t="s">
        <v>21</v>
      </c>
      <c r="J846" s="173"/>
      <c r="K846" s="173" t="s">
        <v>52</v>
      </c>
      <c r="L846" s="173">
        <v>38</v>
      </c>
      <c r="M846" s="173" t="s">
        <v>53</v>
      </c>
      <c r="N846" s="174">
        <v>1330</v>
      </c>
      <c r="O846" s="174">
        <v>1330</v>
      </c>
      <c r="P846" s="330">
        <v>6000</v>
      </c>
      <c r="Q846" s="173">
        <v>2</v>
      </c>
      <c r="R846" s="173">
        <v>36</v>
      </c>
      <c r="S846" s="173" t="s">
        <v>354</v>
      </c>
      <c r="T846" s="175">
        <v>44763</v>
      </c>
      <c r="U846" s="175">
        <v>44783</v>
      </c>
      <c r="V846" s="173" t="s">
        <v>355</v>
      </c>
      <c r="W846" s="173"/>
      <c r="X846" s="173"/>
      <c r="Y846" s="141"/>
    </row>
    <row r="847" spans="1:25" ht="13.5" x14ac:dyDescent="0.15">
      <c r="A847" s="173">
        <v>3671780</v>
      </c>
      <c r="B847" s="173" t="s">
        <v>351</v>
      </c>
      <c r="C847" s="173" t="s">
        <v>358</v>
      </c>
      <c r="D847" s="173" t="s">
        <v>353</v>
      </c>
      <c r="E847" s="173" t="s">
        <v>73</v>
      </c>
      <c r="F847" s="173">
        <v>331</v>
      </c>
      <c r="G847" s="173" t="s">
        <v>19</v>
      </c>
      <c r="H847" s="173" t="s">
        <v>20</v>
      </c>
      <c r="I847" s="173" t="s">
        <v>21</v>
      </c>
      <c r="J847" s="173"/>
      <c r="K847" s="173" t="s">
        <v>74</v>
      </c>
      <c r="L847" s="173">
        <v>38</v>
      </c>
      <c r="M847" s="173" t="s">
        <v>365</v>
      </c>
      <c r="N847" s="174">
        <v>415</v>
      </c>
      <c r="O847" s="174">
        <v>415</v>
      </c>
      <c r="P847" s="330">
        <v>6000</v>
      </c>
      <c r="Q847" s="173">
        <v>2</v>
      </c>
      <c r="R847" s="173">
        <v>198</v>
      </c>
      <c r="S847" s="173" t="s">
        <v>354</v>
      </c>
      <c r="T847" s="175">
        <v>44763</v>
      </c>
      <c r="U847" s="175">
        <v>44783</v>
      </c>
      <c r="V847" s="173" t="s">
        <v>355</v>
      </c>
      <c r="W847" s="173"/>
      <c r="X847" s="173"/>
      <c r="Y847" s="141"/>
    </row>
    <row r="848" spans="1:25" ht="13.5" x14ac:dyDescent="0.15">
      <c r="A848" s="173">
        <v>3671781</v>
      </c>
      <c r="B848" s="173" t="s">
        <v>351</v>
      </c>
      <c r="C848" s="173" t="s">
        <v>358</v>
      </c>
      <c r="D848" s="173" t="s">
        <v>353</v>
      </c>
      <c r="E848" s="173" t="s">
        <v>61</v>
      </c>
      <c r="F848" s="173">
        <v>331</v>
      </c>
      <c r="G848" s="173" t="s">
        <v>19</v>
      </c>
      <c r="H848" s="173" t="s">
        <v>20</v>
      </c>
      <c r="I848" s="173" t="s">
        <v>21</v>
      </c>
      <c r="J848" s="173"/>
      <c r="K848" s="173" t="s">
        <v>62</v>
      </c>
      <c r="L848" s="173">
        <v>38</v>
      </c>
      <c r="M848" s="173" t="s">
        <v>63</v>
      </c>
      <c r="N848" s="174">
        <v>1255</v>
      </c>
      <c r="O848" s="174">
        <v>1250</v>
      </c>
      <c r="P848" s="330">
        <v>6000</v>
      </c>
      <c r="Q848" s="173">
        <v>2</v>
      </c>
      <c r="R848" s="173">
        <v>36</v>
      </c>
      <c r="S848" s="173" t="s">
        <v>354</v>
      </c>
      <c r="T848" s="175">
        <v>44763</v>
      </c>
      <c r="U848" s="175">
        <v>44783</v>
      </c>
      <c r="V848" s="173" t="s">
        <v>355</v>
      </c>
      <c r="W848" s="173"/>
      <c r="X848" s="173"/>
      <c r="Y848" s="141"/>
    </row>
    <row r="849" spans="1:25" ht="13.5" x14ac:dyDescent="0.15">
      <c r="A849" s="173">
        <v>3671782</v>
      </c>
      <c r="B849" s="173" t="s">
        <v>351</v>
      </c>
      <c r="C849" s="173" t="s">
        <v>356</v>
      </c>
      <c r="D849" s="173" t="s">
        <v>353</v>
      </c>
      <c r="E849" s="173" t="s">
        <v>17</v>
      </c>
      <c r="F849" s="173">
        <v>331</v>
      </c>
      <c r="G849" s="173" t="s">
        <v>19</v>
      </c>
      <c r="H849" s="173" t="s">
        <v>20</v>
      </c>
      <c r="I849" s="173" t="s">
        <v>21</v>
      </c>
      <c r="J849" s="173"/>
      <c r="K849" s="173" t="s">
        <v>22</v>
      </c>
      <c r="L849" s="173">
        <v>38</v>
      </c>
      <c r="M849" s="173" t="s">
        <v>23</v>
      </c>
      <c r="N849" s="174">
        <v>1367</v>
      </c>
      <c r="O849" s="174">
        <v>1360</v>
      </c>
      <c r="P849" s="330">
        <v>6000</v>
      </c>
      <c r="Q849" s="173">
        <v>2</v>
      </c>
      <c r="R849" s="173">
        <v>6</v>
      </c>
      <c r="S849" s="173" t="s">
        <v>354</v>
      </c>
      <c r="T849" s="175">
        <v>44763</v>
      </c>
      <c r="U849" s="175">
        <v>44783</v>
      </c>
      <c r="V849" s="173" t="s">
        <v>355</v>
      </c>
      <c r="W849" s="173"/>
      <c r="X849" s="173"/>
      <c r="Y849" s="141"/>
    </row>
    <row r="850" spans="1:25" ht="13.5" x14ac:dyDescent="0.15">
      <c r="A850" s="173">
        <v>3671783</v>
      </c>
      <c r="B850" s="173" t="s">
        <v>351</v>
      </c>
      <c r="C850" s="173" t="s">
        <v>356</v>
      </c>
      <c r="D850" s="173" t="s">
        <v>353</v>
      </c>
      <c r="E850" s="173" t="s">
        <v>17</v>
      </c>
      <c r="F850" s="173">
        <v>3</v>
      </c>
      <c r="G850" s="173" t="s">
        <v>19</v>
      </c>
      <c r="H850" s="173" t="s">
        <v>20</v>
      </c>
      <c r="I850" s="173" t="s">
        <v>21</v>
      </c>
      <c r="J850" s="173"/>
      <c r="K850" s="173" t="s">
        <v>22</v>
      </c>
      <c r="L850" s="173">
        <v>38</v>
      </c>
      <c r="M850" s="173" t="s">
        <v>23</v>
      </c>
      <c r="N850" s="174">
        <v>1037</v>
      </c>
      <c r="O850" s="174">
        <v>1030</v>
      </c>
      <c r="P850" s="330">
        <v>6000</v>
      </c>
      <c r="Q850" s="173">
        <v>2</v>
      </c>
      <c r="R850" s="173">
        <v>20</v>
      </c>
      <c r="S850" s="173" t="s">
        <v>354</v>
      </c>
      <c r="T850" s="175">
        <v>44763</v>
      </c>
      <c r="U850" s="175">
        <v>44783</v>
      </c>
      <c r="V850" s="173" t="s">
        <v>355</v>
      </c>
      <c r="W850" s="173"/>
      <c r="X850" s="173"/>
      <c r="Y850" s="141"/>
    </row>
    <row r="851" spans="1:25" ht="13.5" x14ac:dyDescent="0.15">
      <c r="A851" s="173">
        <v>3671784</v>
      </c>
      <c r="B851" s="173" t="s">
        <v>351</v>
      </c>
      <c r="C851" s="173" t="s">
        <v>356</v>
      </c>
      <c r="D851" s="173" t="s">
        <v>353</v>
      </c>
      <c r="E851" s="173" t="s">
        <v>17</v>
      </c>
      <c r="F851" s="173">
        <v>331</v>
      </c>
      <c r="G851" s="173" t="s">
        <v>19</v>
      </c>
      <c r="H851" s="173" t="s">
        <v>20</v>
      </c>
      <c r="I851" s="173" t="s">
        <v>21</v>
      </c>
      <c r="J851" s="173"/>
      <c r="K851" s="173" t="s">
        <v>29</v>
      </c>
      <c r="L851" s="173">
        <v>38</v>
      </c>
      <c r="M851" s="173" t="s">
        <v>30</v>
      </c>
      <c r="N851" s="174">
        <v>1330</v>
      </c>
      <c r="O851" s="174">
        <v>1330</v>
      </c>
      <c r="P851" s="330">
        <v>6000</v>
      </c>
      <c r="Q851" s="173">
        <v>2</v>
      </c>
      <c r="R851" s="173">
        <v>20</v>
      </c>
      <c r="S851" s="173" t="s">
        <v>354</v>
      </c>
      <c r="T851" s="175">
        <v>44763</v>
      </c>
      <c r="U851" s="175">
        <v>44783</v>
      </c>
      <c r="V851" s="173" t="s">
        <v>355</v>
      </c>
      <c r="W851" s="173"/>
      <c r="X851" s="173"/>
      <c r="Y851" s="141"/>
    </row>
    <row r="852" spans="1:25" ht="13.5" x14ac:dyDescent="0.15">
      <c r="A852" s="173">
        <v>3671785</v>
      </c>
      <c r="B852" s="173" t="s">
        <v>351</v>
      </c>
      <c r="C852" s="173" t="s">
        <v>356</v>
      </c>
      <c r="D852" s="173" t="s">
        <v>353</v>
      </c>
      <c r="E852" s="173" t="s">
        <v>32</v>
      </c>
      <c r="F852" s="173">
        <v>331</v>
      </c>
      <c r="G852" s="173" t="s">
        <v>19</v>
      </c>
      <c r="H852" s="173" t="s">
        <v>20</v>
      </c>
      <c r="I852" s="173" t="s">
        <v>21</v>
      </c>
      <c r="J852" s="173"/>
      <c r="K852" s="173" t="s">
        <v>33</v>
      </c>
      <c r="L852" s="173">
        <v>38</v>
      </c>
      <c r="M852" s="173" t="s">
        <v>30</v>
      </c>
      <c r="N852" s="174">
        <v>1580</v>
      </c>
      <c r="O852" s="174">
        <v>1580</v>
      </c>
      <c r="P852" s="330">
        <v>6000</v>
      </c>
      <c r="Q852" s="173">
        <v>2</v>
      </c>
      <c r="R852" s="173">
        <v>2</v>
      </c>
      <c r="S852" s="173" t="s">
        <v>354</v>
      </c>
      <c r="T852" s="175">
        <v>44763</v>
      </c>
      <c r="U852" s="175">
        <v>44783</v>
      </c>
      <c r="V852" s="173" t="s">
        <v>355</v>
      </c>
      <c r="W852" s="173"/>
      <c r="X852" s="173"/>
      <c r="Y852" s="141"/>
    </row>
    <row r="853" spans="1:25" ht="13.5" x14ac:dyDescent="0.15">
      <c r="A853" s="173">
        <v>3671786</v>
      </c>
      <c r="B853" s="173" t="s">
        <v>351</v>
      </c>
      <c r="C853" s="173" t="s">
        <v>356</v>
      </c>
      <c r="D853" s="173" t="s">
        <v>353</v>
      </c>
      <c r="E853" s="173" t="s">
        <v>106</v>
      </c>
      <c r="F853" s="173">
        <v>3</v>
      </c>
      <c r="G853" s="173" t="s">
        <v>19</v>
      </c>
      <c r="H853" s="173" t="s">
        <v>20</v>
      </c>
      <c r="I853" s="173" t="s">
        <v>21</v>
      </c>
      <c r="J853" s="173"/>
      <c r="K853" s="173" t="s">
        <v>107</v>
      </c>
      <c r="L853" s="173">
        <v>25</v>
      </c>
      <c r="M853" s="173" t="s">
        <v>367</v>
      </c>
      <c r="N853" s="174">
        <v>1040</v>
      </c>
      <c r="O853" s="174">
        <v>1040</v>
      </c>
      <c r="P853" s="330">
        <v>6000</v>
      </c>
      <c r="Q853" s="173">
        <v>2</v>
      </c>
      <c r="R853" s="173">
        <v>24</v>
      </c>
      <c r="S853" s="173" t="s">
        <v>354</v>
      </c>
      <c r="T853" s="175">
        <v>44763</v>
      </c>
      <c r="U853" s="175">
        <v>44790</v>
      </c>
      <c r="V853" s="173" t="s">
        <v>355</v>
      </c>
      <c r="W853" s="173"/>
      <c r="X853" s="173"/>
      <c r="Y853" s="141"/>
    </row>
    <row r="854" spans="1:25" ht="13.5" x14ac:dyDescent="0.15">
      <c r="A854" s="173">
        <v>3671787</v>
      </c>
      <c r="B854" s="173" t="s">
        <v>351</v>
      </c>
      <c r="C854" s="173" t="s">
        <v>356</v>
      </c>
      <c r="D854" s="173" t="s">
        <v>353</v>
      </c>
      <c r="E854" s="173" t="s">
        <v>106</v>
      </c>
      <c r="F854" s="173">
        <v>3</v>
      </c>
      <c r="G854" s="173" t="s">
        <v>19</v>
      </c>
      <c r="H854" s="173" t="s">
        <v>20</v>
      </c>
      <c r="I854" s="173" t="s">
        <v>21</v>
      </c>
      <c r="J854" s="173"/>
      <c r="K854" s="173" t="s">
        <v>107</v>
      </c>
      <c r="L854" s="173">
        <v>38</v>
      </c>
      <c r="M854" s="173" t="s">
        <v>367</v>
      </c>
      <c r="N854" s="174">
        <v>1240</v>
      </c>
      <c r="O854" s="174">
        <v>1240</v>
      </c>
      <c r="P854" s="330">
        <v>6000</v>
      </c>
      <c r="Q854" s="173">
        <v>2</v>
      </c>
      <c r="R854" s="173">
        <v>10</v>
      </c>
      <c r="S854" s="173" t="s">
        <v>354</v>
      </c>
      <c r="T854" s="175">
        <v>44763</v>
      </c>
      <c r="U854" s="175">
        <v>44790</v>
      </c>
      <c r="V854" s="173" t="s">
        <v>355</v>
      </c>
      <c r="W854" s="173"/>
      <c r="X854" s="173"/>
      <c r="Y854" s="141"/>
    </row>
    <row r="855" spans="1:25" ht="13.5" x14ac:dyDescent="0.15">
      <c r="A855" s="173">
        <v>3671788</v>
      </c>
      <c r="B855" s="173" t="s">
        <v>351</v>
      </c>
      <c r="C855" s="173" t="s">
        <v>356</v>
      </c>
      <c r="D855" s="173" t="s">
        <v>353</v>
      </c>
      <c r="E855" s="173" t="s">
        <v>115</v>
      </c>
      <c r="F855" s="173">
        <v>3</v>
      </c>
      <c r="G855" s="173" t="s">
        <v>19</v>
      </c>
      <c r="H855" s="173" t="s">
        <v>20</v>
      </c>
      <c r="I855" s="173" t="s">
        <v>21</v>
      </c>
      <c r="J855" s="173"/>
      <c r="K855" s="173" t="s">
        <v>112</v>
      </c>
      <c r="L855" s="173">
        <v>38</v>
      </c>
      <c r="M855" s="173" t="s">
        <v>357</v>
      </c>
      <c r="N855" s="174">
        <v>1135</v>
      </c>
      <c r="O855" s="174">
        <v>1130</v>
      </c>
      <c r="P855" s="330">
        <v>6000</v>
      </c>
      <c r="Q855" s="173">
        <v>2</v>
      </c>
      <c r="R855" s="173">
        <v>2</v>
      </c>
      <c r="S855" s="173" t="s">
        <v>354</v>
      </c>
      <c r="T855" s="175">
        <v>44763</v>
      </c>
      <c r="U855" s="175">
        <v>44790</v>
      </c>
      <c r="V855" s="173" t="s">
        <v>355</v>
      </c>
      <c r="W855" s="173"/>
      <c r="X855" s="173"/>
      <c r="Y855" s="141"/>
    </row>
    <row r="856" spans="1:25" ht="13.5" x14ac:dyDescent="0.15">
      <c r="A856" s="173">
        <v>3671789</v>
      </c>
      <c r="B856" s="173" t="s">
        <v>431</v>
      </c>
      <c r="C856" s="173" t="s">
        <v>356</v>
      </c>
      <c r="D856" s="173" t="s">
        <v>353</v>
      </c>
      <c r="E856" s="173" t="s">
        <v>130</v>
      </c>
      <c r="F856" s="173">
        <v>3</v>
      </c>
      <c r="G856" s="173" t="s">
        <v>265</v>
      </c>
      <c r="H856" s="173" t="s">
        <v>20</v>
      </c>
      <c r="I856" s="173" t="s">
        <v>21</v>
      </c>
      <c r="J856" s="173"/>
      <c r="K856" s="173" t="s">
        <v>435</v>
      </c>
      <c r="L856" s="173">
        <v>25</v>
      </c>
      <c r="M856" s="173" t="s">
        <v>436</v>
      </c>
      <c r="N856" s="174">
        <v>1410</v>
      </c>
      <c r="O856" s="174">
        <v>1410</v>
      </c>
      <c r="P856" s="330">
        <v>6000</v>
      </c>
      <c r="Q856" s="173">
        <v>2</v>
      </c>
      <c r="R856" s="173">
        <v>18</v>
      </c>
      <c r="S856" s="173" t="s">
        <v>354</v>
      </c>
      <c r="T856" s="175">
        <v>44763</v>
      </c>
      <c r="U856" s="175">
        <v>44790</v>
      </c>
      <c r="V856" s="173" t="s">
        <v>355</v>
      </c>
      <c r="W856" s="173"/>
      <c r="X856" s="173"/>
      <c r="Y856" s="141"/>
    </row>
    <row r="857" spans="1:25" ht="13.5" x14ac:dyDescent="0.15">
      <c r="A857" s="173">
        <v>3671790</v>
      </c>
      <c r="B857" s="173" t="s">
        <v>351</v>
      </c>
      <c r="C857" s="173" t="s">
        <v>356</v>
      </c>
      <c r="D857" s="173" t="s">
        <v>353</v>
      </c>
      <c r="E857" s="173" t="s">
        <v>114</v>
      </c>
      <c r="F857" s="173">
        <v>3</v>
      </c>
      <c r="G857" s="173" t="s">
        <v>19</v>
      </c>
      <c r="H857" s="173" t="s">
        <v>20</v>
      </c>
      <c r="I857" s="173" t="s">
        <v>21</v>
      </c>
      <c r="J857" s="173"/>
      <c r="K857" s="173" t="s">
        <v>112</v>
      </c>
      <c r="L857" s="173">
        <v>25</v>
      </c>
      <c r="M857" s="173" t="s">
        <v>357</v>
      </c>
      <c r="N857" s="174">
        <v>640</v>
      </c>
      <c r="O857" s="174">
        <v>640</v>
      </c>
      <c r="P857" s="330">
        <v>6000</v>
      </c>
      <c r="Q857" s="173">
        <v>2</v>
      </c>
      <c r="R857" s="173">
        <v>12</v>
      </c>
      <c r="S857" s="173" t="s">
        <v>354</v>
      </c>
      <c r="T857" s="175">
        <v>44763</v>
      </c>
      <c r="U857" s="175">
        <v>44790</v>
      </c>
      <c r="V857" s="173" t="s">
        <v>355</v>
      </c>
      <c r="W857" s="173"/>
      <c r="X857" s="173"/>
      <c r="Y857" s="141"/>
    </row>
    <row r="858" spans="1:25" ht="13.5" x14ac:dyDescent="0.15">
      <c r="A858" s="173">
        <v>3671791</v>
      </c>
      <c r="B858" s="173" t="s">
        <v>351</v>
      </c>
      <c r="C858" s="173" t="s">
        <v>358</v>
      </c>
      <c r="D858" s="173" t="s">
        <v>353</v>
      </c>
      <c r="E858" s="173" t="s">
        <v>120</v>
      </c>
      <c r="F858" s="173">
        <v>3</v>
      </c>
      <c r="G858" s="173" t="s">
        <v>19</v>
      </c>
      <c r="H858" s="173" t="s">
        <v>20</v>
      </c>
      <c r="I858" s="173" t="s">
        <v>21</v>
      </c>
      <c r="J858" s="173"/>
      <c r="K858" s="173" t="s">
        <v>118</v>
      </c>
      <c r="L858" s="173">
        <v>125</v>
      </c>
      <c r="M858" s="173" t="s">
        <v>121</v>
      </c>
      <c r="N858" s="174">
        <v>1230</v>
      </c>
      <c r="O858" s="174">
        <v>1225</v>
      </c>
      <c r="P858" s="330">
        <v>6000</v>
      </c>
      <c r="Q858" s="173">
        <v>2</v>
      </c>
      <c r="R858" s="173">
        <v>1</v>
      </c>
      <c r="S858" s="173" t="s">
        <v>354</v>
      </c>
      <c r="T858" s="175">
        <v>44763</v>
      </c>
      <c r="U858" s="175">
        <v>44790</v>
      </c>
      <c r="V858" s="173" t="s">
        <v>355</v>
      </c>
      <c r="W858" s="173"/>
      <c r="X858" s="173"/>
      <c r="Y858" s="141"/>
    </row>
    <row r="859" spans="1:25" ht="13.5" x14ac:dyDescent="0.15">
      <c r="A859" s="173">
        <v>3671792</v>
      </c>
      <c r="B859" s="173" t="s">
        <v>351</v>
      </c>
      <c r="C859" s="173" t="s">
        <v>356</v>
      </c>
      <c r="D859" s="173" t="s">
        <v>353</v>
      </c>
      <c r="E859" s="173" t="s">
        <v>32</v>
      </c>
      <c r="F859" s="173">
        <v>3</v>
      </c>
      <c r="G859" s="173" t="s">
        <v>19</v>
      </c>
      <c r="H859" s="173" t="s">
        <v>20</v>
      </c>
      <c r="I859" s="173" t="s">
        <v>21</v>
      </c>
      <c r="J859" s="173"/>
      <c r="K859" s="173" t="s">
        <v>56</v>
      </c>
      <c r="L859" s="173">
        <v>75</v>
      </c>
      <c r="M859" s="173" t="s">
        <v>376</v>
      </c>
      <c r="N859" s="174">
        <v>1330</v>
      </c>
      <c r="O859" s="174">
        <v>1330</v>
      </c>
      <c r="P859" s="330">
        <v>6000</v>
      </c>
      <c r="Q859" s="173">
        <v>2</v>
      </c>
      <c r="R859" s="173">
        <v>40</v>
      </c>
      <c r="S859" s="173" t="s">
        <v>354</v>
      </c>
      <c r="T859" s="175">
        <v>44763</v>
      </c>
      <c r="U859" s="175">
        <v>44799</v>
      </c>
      <c r="V859" s="173" t="s">
        <v>355</v>
      </c>
      <c r="W859" s="173"/>
      <c r="X859" s="173"/>
      <c r="Y859" s="141"/>
    </row>
    <row r="860" spans="1:25" ht="13.5" x14ac:dyDescent="0.15">
      <c r="A860" s="173">
        <v>3671793</v>
      </c>
      <c r="B860" s="173" t="s">
        <v>431</v>
      </c>
      <c r="C860" s="173" t="s">
        <v>358</v>
      </c>
      <c r="D860" s="173" t="s">
        <v>353</v>
      </c>
      <c r="E860" s="173" t="s">
        <v>61</v>
      </c>
      <c r="F860" s="173">
        <v>3</v>
      </c>
      <c r="G860" s="173" t="s">
        <v>265</v>
      </c>
      <c r="H860" s="173" t="s">
        <v>20</v>
      </c>
      <c r="I860" s="173" t="s">
        <v>21</v>
      </c>
      <c r="J860" s="173"/>
      <c r="K860" s="173" t="s">
        <v>263</v>
      </c>
      <c r="L860" s="173">
        <v>75</v>
      </c>
      <c r="M860" s="173" t="s">
        <v>264</v>
      </c>
      <c r="N860" s="174">
        <v>1050</v>
      </c>
      <c r="O860" s="174">
        <v>1050</v>
      </c>
      <c r="P860" s="330">
        <v>6000</v>
      </c>
      <c r="Q860" s="173">
        <v>2</v>
      </c>
      <c r="R860" s="173">
        <v>32</v>
      </c>
      <c r="S860" s="173" t="s">
        <v>354</v>
      </c>
      <c r="T860" s="175">
        <v>44763</v>
      </c>
      <c r="U860" s="175">
        <v>44799</v>
      </c>
      <c r="V860" s="173" t="s">
        <v>355</v>
      </c>
      <c r="W860" s="173"/>
      <c r="X860" s="173"/>
      <c r="Y860" s="141"/>
    </row>
    <row r="861" spans="1:25" ht="13.5" x14ac:dyDescent="0.15">
      <c r="A861" s="173">
        <v>3671794</v>
      </c>
      <c r="B861" s="173" t="s">
        <v>351</v>
      </c>
      <c r="C861" s="173" t="s">
        <v>356</v>
      </c>
      <c r="D861" s="173" t="s">
        <v>353</v>
      </c>
      <c r="E861" s="173" t="s">
        <v>106</v>
      </c>
      <c r="F861" s="173">
        <v>3</v>
      </c>
      <c r="G861" s="173" t="s">
        <v>19</v>
      </c>
      <c r="H861" s="173" t="s">
        <v>20</v>
      </c>
      <c r="I861" s="173" t="s">
        <v>21</v>
      </c>
      <c r="J861" s="173"/>
      <c r="K861" s="173" t="s">
        <v>107</v>
      </c>
      <c r="L861" s="173">
        <v>25</v>
      </c>
      <c r="M861" s="173" t="s">
        <v>367</v>
      </c>
      <c r="N861" s="174">
        <v>1240</v>
      </c>
      <c r="O861" s="174">
        <v>1240</v>
      </c>
      <c r="P861" s="330">
        <v>6000</v>
      </c>
      <c r="Q861" s="173">
        <v>2</v>
      </c>
      <c r="R861" s="173">
        <v>44</v>
      </c>
      <c r="S861" s="173" t="s">
        <v>354</v>
      </c>
      <c r="T861" s="175">
        <v>44763</v>
      </c>
      <c r="U861" s="175">
        <v>44799</v>
      </c>
      <c r="V861" s="173" t="s">
        <v>355</v>
      </c>
      <c r="W861" s="173"/>
      <c r="X861" s="173"/>
      <c r="Y861" s="141"/>
    </row>
    <row r="862" spans="1:25" ht="13.5" x14ac:dyDescent="0.15">
      <c r="A862" s="173">
        <v>3671795</v>
      </c>
      <c r="B862" s="173" t="s">
        <v>351</v>
      </c>
      <c r="C862" s="173" t="s">
        <v>352</v>
      </c>
      <c r="D862" s="173" t="s">
        <v>353</v>
      </c>
      <c r="E862" s="173" t="s">
        <v>116</v>
      </c>
      <c r="F862" s="173">
        <v>3</v>
      </c>
      <c r="G862" s="173" t="s">
        <v>19</v>
      </c>
      <c r="H862" s="173" t="s">
        <v>20</v>
      </c>
      <c r="I862" s="173" t="s">
        <v>21</v>
      </c>
      <c r="J862" s="173"/>
      <c r="K862" s="173" t="s">
        <v>118</v>
      </c>
      <c r="L862" s="173">
        <v>38</v>
      </c>
      <c r="M862" s="173" t="s">
        <v>368</v>
      </c>
      <c r="N862" s="174">
        <v>1415</v>
      </c>
      <c r="O862" s="174">
        <v>1410</v>
      </c>
      <c r="P862" s="330">
        <v>6000</v>
      </c>
      <c r="Q862" s="173">
        <v>2</v>
      </c>
      <c r="R862" s="173">
        <v>17</v>
      </c>
      <c r="S862" s="173" t="s">
        <v>354</v>
      </c>
      <c r="T862" s="175">
        <v>44763</v>
      </c>
      <c r="U862" s="175">
        <v>44795</v>
      </c>
      <c r="V862" s="173" t="s">
        <v>355</v>
      </c>
      <c r="W862" s="173"/>
      <c r="X862" s="173"/>
      <c r="Y862" s="141"/>
    </row>
    <row r="863" spans="1:25" ht="13.5" x14ac:dyDescent="0.15">
      <c r="A863" s="173">
        <v>3671796</v>
      </c>
      <c r="B863" s="173" t="s">
        <v>351</v>
      </c>
      <c r="C863" s="173" t="s">
        <v>358</v>
      </c>
      <c r="D863" s="173" t="s">
        <v>353</v>
      </c>
      <c r="E863" s="173" t="s">
        <v>61</v>
      </c>
      <c r="F863" s="173">
        <v>3313</v>
      </c>
      <c r="G863" s="173" t="s">
        <v>19</v>
      </c>
      <c r="H863" s="173" t="s">
        <v>20</v>
      </c>
      <c r="I863" s="173" t="s">
        <v>21</v>
      </c>
      <c r="J863" s="173"/>
      <c r="K863" s="173" t="s">
        <v>62</v>
      </c>
      <c r="L863" s="173">
        <v>38</v>
      </c>
      <c r="M863" s="173" t="s">
        <v>63</v>
      </c>
      <c r="N863" s="174">
        <v>750</v>
      </c>
      <c r="O863" s="174">
        <v>750</v>
      </c>
      <c r="P863" s="330">
        <v>6000</v>
      </c>
      <c r="Q863" s="173">
        <v>2</v>
      </c>
      <c r="R863" s="173">
        <v>32</v>
      </c>
      <c r="S863" s="173" t="s">
        <v>354</v>
      </c>
      <c r="T863" s="175">
        <v>44763</v>
      </c>
      <c r="U863" s="175">
        <v>44799</v>
      </c>
      <c r="V863" s="173" t="s">
        <v>355</v>
      </c>
      <c r="W863" s="173"/>
      <c r="X863" s="173"/>
      <c r="Y863" s="141"/>
    </row>
    <row r="864" spans="1:25" ht="13.5" x14ac:dyDescent="0.15">
      <c r="A864" s="173">
        <v>3671797</v>
      </c>
      <c r="B864" s="173" t="s">
        <v>351</v>
      </c>
      <c r="C864" s="173" t="s">
        <v>358</v>
      </c>
      <c r="D864" s="173" t="s">
        <v>353</v>
      </c>
      <c r="E864" s="173" t="s">
        <v>61</v>
      </c>
      <c r="F864" s="173">
        <v>331</v>
      </c>
      <c r="G864" s="173" t="s">
        <v>19</v>
      </c>
      <c r="H864" s="173" t="s">
        <v>20</v>
      </c>
      <c r="I864" s="173" t="s">
        <v>21</v>
      </c>
      <c r="J864" s="173"/>
      <c r="K864" s="173" t="s">
        <v>62</v>
      </c>
      <c r="L864" s="173">
        <v>38</v>
      </c>
      <c r="M864" s="173" t="s">
        <v>63</v>
      </c>
      <c r="N864" s="174">
        <v>1255</v>
      </c>
      <c r="O864" s="174">
        <v>1250</v>
      </c>
      <c r="P864" s="330">
        <v>6000</v>
      </c>
      <c r="Q864" s="173">
        <v>2</v>
      </c>
      <c r="R864" s="173">
        <v>12</v>
      </c>
      <c r="S864" s="173" t="s">
        <v>354</v>
      </c>
      <c r="T864" s="175">
        <v>44763</v>
      </c>
      <c r="U864" s="175">
        <v>44799</v>
      </c>
      <c r="V864" s="173" t="s">
        <v>355</v>
      </c>
      <c r="W864" s="173"/>
      <c r="X864" s="173"/>
      <c r="Y864" s="141"/>
    </row>
    <row r="865" spans="1:25" ht="13.5" x14ac:dyDescent="0.15">
      <c r="A865" s="173">
        <v>3671798</v>
      </c>
      <c r="B865" s="173" t="s">
        <v>351</v>
      </c>
      <c r="C865" s="173" t="s">
        <v>358</v>
      </c>
      <c r="D865" s="173" t="s">
        <v>353</v>
      </c>
      <c r="E865" s="173" t="s">
        <v>61</v>
      </c>
      <c r="F865" s="173">
        <v>331</v>
      </c>
      <c r="G865" s="173" t="s">
        <v>19</v>
      </c>
      <c r="H865" s="173" t="s">
        <v>20</v>
      </c>
      <c r="I865" s="173" t="s">
        <v>21</v>
      </c>
      <c r="J865" s="173"/>
      <c r="K865" s="173" t="s">
        <v>62</v>
      </c>
      <c r="L865" s="173">
        <v>38</v>
      </c>
      <c r="M865" s="173" t="s">
        <v>63</v>
      </c>
      <c r="N865" s="174">
        <v>1585</v>
      </c>
      <c r="O865" s="174">
        <v>1580</v>
      </c>
      <c r="P865" s="330">
        <v>6000</v>
      </c>
      <c r="Q865" s="173">
        <v>2</v>
      </c>
      <c r="R865" s="173">
        <v>3</v>
      </c>
      <c r="S865" s="173" t="s">
        <v>354</v>
      </c>
      <c r="T865" s="175">
        <v>44763</v>
      </c>
      <c r="U865" s="175">
        <v>44799</v>
      </c>
      <c r="V865" s="173" t="s">
        <v>355</v>
      </c>
      <c r="W865" s="173"/>
      <c r="X865" s="173"/>
      <c r="Y865" s="141"/>
    </row>
    <row r="866" spans="1:25" ht="13.5" x14ac:dyDescent="0.15">
      <c r="A866" s="173">
        <v>3671799</v>
      </c>
      <c r="B866" s="173" t="s">
        <v>351</v>
      </c>
      <c r="C866" s="173" t="s">
        <v>363</v>
      </c>
      <c r="D866" s="173" t="s">
        <v>353</v>
      </c>
      <c r="E866" s="173" t="s">
        <v>65</v>
      </c>
      <c r="F866" s="173">
        <v>3321</v>
      </c>
      <c r="G866" s="173" t="s">
        <v>19</v>
      </c>
      <c r="H866" s="173" t="s">
        <v>20</v>
      </c>
      <c r="I866" s="173" t="s">
        <v>21</v>
      </c>
      <c r="J866" s="173"/>
      <c r="K866" s="173" t="s">
        <v>67</v>
      </c>
      <c r="L866" s="173">
        <v>38</v>
      </c>
      <c r="M866" s="173" t="s">
        <v>68</v>
      </c>
      <c r="N866" s="174">
        <v>1336</v>
      </c>
      <c r="O866" s="174">
        <v>1325</v>
      </c>
      <c r="P866" s="330">
        <v>6000</v>
      </c>
      <c r="Q866" s="173">
        <v>2</v>
      </c>
      <c r="R866" s="173">
        <v>22</v>
      </c>
      <c r="S866" s="173" t="s">
        <v>354</v>
      </c>
      <c r="T866" s="175">
        <v>44763</v>
      </c>
      <c r="U866" s="175">
        <v>44799</v>
      </c>
      <c r="V866" s="173" t="s">
        <v>355</v>
      </c>
      <c r="W866" s="173"/>
      <c r="X866" s="173"/>
      <c r="Y866" s="141"/>
    </row>
    <row r="867" spans="1:25" ht="13.5" x14ac:dyDescent="0.15">
      <c r="A867" s="173">
        <v>3671800</v>
      </c>
      <c r="B867" s="173" t="s">
        <v>351</v>
      </c>
      <c r="C867" s="173" t="s">
        <v>363</v>
      </c>
      <c r="D867" s="173" t="s">
        <v>353</v>
      </c>
      <c r="E867" s="173" t="s">
        <v>65</v>
      </c>
      <c r="F867" s="173">
        <v>3321</v>
      </c>
      <c r="G867" s="173" t="s">
        <v>19</v>
      </c>
      <c r="H867" s="173" t="s">
        <v>20</v>
      </c>
      <c r="I867" s="173" t="s">
        <v>21</v>
      </c>
      <c r="J867" s="173"/>
      <c r="K867" s="173" t="s">
        <v>70</v>
      </c>
      <c r="L867" s="173">
        <v>38</v>
      </c>
      <c r="M867" s="173" t="s">
        <v>71</v>
      </c>
      <c r="N867" s="174">
        <v>1336</v>
      </c>
      <c r="O867" s="174">
        <v>1325</v>
      </c>
      <c r="P867" s="330">
        <v>6000</v>
      </c>
      <c r="Q867" s="173">
        <v>2</v>
      </c>
      <c r="R867" s="173">
        <v>22</v>
      </c>
      <c r="S867" s="173" t="s">
        <v>354</v>
      </c>
      <c r="T867" s="175">
        <v>44763</v>
      </c>
      <c r="U867" s="175">
        <v>44799</v>
      </c>
      <c r="V867" s="173" t="s">
        <v>355</v>
      </c>
      <c r="W867" s="173"/>
      <c r="X867" s="173"/>
      <c r="Y867" s="141"/>
    </row>
    <row r="868" spans="1:25" ht="13.5" x14ac:dyDescent="0.15">
      <c r="A868" s="173">
        <v>3671801</v>
      </c>
      <c r="B868" s="173" t="s">
        <v>351</v>
      </c>
      <c r="C868" s="173" t="s">
        <v>356</v>
      </c>
      <c r="D868" s="173" t="s">
        <v>353</v>
      </c>
      <c r="E868" s="173" t="s">
        <v>32</v>
      </c>
      <c r="F868" s="173">
        <v>331</v>
      </c>
      <c r="G868" s="173" t="s">
        <v>19</v>
      </c>
      <c r="H868" s="173" t="s">
        <v>20</v>
      </c>
      <c r="I868" s="173" t="s">
        <v>21</v>
      </c>
      <c r="J868" s="173"/>
      <c r="K868" s="173" t="s">
        <v>33</v>
      </c>
      <c r="L868" s="173">
        <v>38</v>
      </c>
      <c r="M868" s="173" t="s">
        <v>30</v>
      </c>
      <c r="N868" s="174">
        <v>1330</v>
      </c>
      <c r="O868" s="174">
        <v>1330</v>
      </c>
      <c r="P868" s="330">
        <v>6000</v>
      </c>
      <c r="Q868" s="173">
        <v>2</v>
      </c>
      <c r="R868" s="173">
        <v>10</v>
      </c>
      <c r="S868" s="173" t="s">
        <v>354</v>
      </c>
      <c r="T868" s="175">
        <v>44763</v>
      </c>
      <c r="U868" s="175">
        <v>44804</v>
      </c>
      <c r="V868" s="173" t="s">
        <v>355</v>
      </c>
      <c r="W868" s="173"/>
      <c r="X868" s="173"/>
      <c r="Y868" s="141"/>
    </row>
    <row r="869" spans="1:25" ht="13.5" x14ac:dyDescent="0.15">
      <c r="A869" s="173">
        <v>3671802</v>
      </c>
      <c r="B869" s="173" t="s">
        <v>351</v>
      </c>
      <c r="C869" s="173" t="s">
        <v>356</v>
      </c>
      <c r="D869" s="173" t="s">
        <v>353</v>
      </c>
      <c r="E869" s="173" t="s">
        <v>377</v>
      </c>
      <c r="F869" s="173">
        <v>3</v>
      </c>
      <c r="G869" s="173" t="s">
        <v>19</v>
      </c>
      <c r="H869" s="173" t="s">
        <v>20</v>
      </c>
      <c r="I869" s="173" t="s">
        <v>21</v>
      </c>
      <c r="J869" s="173"/>
      <c r="K869" s="173" t="s">
        <v>36</v>
      </c>
      <c r="L869" s="173">
        <v>25</v>
      </c>
      <c r="M869" s="173" t="s">
        <v>37</v>
      </c>
      <c r="N869" s="174">
        <v>890</v>
      </c>
      <c r="O869" s="174">
        <v>890</v>
      </c>
      <c r="P869" s="330">
        <v>6000</v>
      </c>
      <c r="Q869" s="173">
        <v>2</v>
      </c>
      <c r="R869" s="173">
        <v>6</v>
      </c>
      <c r="S869" s="173" t="s">
        <v>354</v>
      </c>
      <c r="T869" s="175">
        <v>44763</v>
      </c>
      <c r="U869" s="175">
        <v>44804</v>
      </c>
      <c r="V869" s="173" t="s">
        <v>355</v>
      </c>
      <c r="W869" s="173"/>
      <c r="X869" s="173"/>
      <c r="Y869" s="141"/>
    </row>
    <row r="870" spans="1:25" ht="13.5" x14ac:dyDescent="0.15">
      <c r="A870" s="173">
        <v>3671803</v>
      </c>
      <c r="B870" s="173" t="s">
        <v>351</v>
      </c>
      <c r="C870" s="173" t="s">
        <v>359</v>
      </c>
      <c r="D870" s="173" t="s">
        <v>353</v>
      </c>
      <c r="E870" s="173" t="s">
        <v>40</v>
      </c>
      <c r="F870" s="173">
        <v>3</v>
      </c>
      <c r="G870" s="173" t="s">
        <v>19</v>
      </c>
      <c r="H870" s="173" t="s">
        <v>20</v>
      </c>
      <c r="I870" s="173" t="s">
        <v>21</v>
      </c>
      <c r="J870" s="173"/>
      <c r="K870" s="173" t="s">
        <v>42</v>
      </c>
      <c r="L870" s="173">
        <v>25</v>
      </c>
      <c r="M870" s="173" t="s">
        <v>43</v>
      </c>
      <c r="N870" s="174">
        <v>1045</v>
      </c>
      <c r="O870" s="174">
        <v>1040</v>
      </c>
      <c r="P870" s="330">
        <v>6000</v>
      </c>
      <c r="Q870" s="173">
        <v>2</v>
      </c>
      <c r="R870" s="173">
        <v>16</v>
      </c>
      <c r="S870" s="173" t="s">
        <v>354</v>
      </c>
      <c r="T870" s="175">
        <v>44763</v>
      </c>
      <c r="U870" s="175">
        <v>44804</v>
      </c>
      <c r="V870" s="173" t="s">
        <v>355</v>
      </c>
      <c r="W870" s="173"/>
      <c r="X870" s="173"/>
      <c r="Y870" s="141"/>
    </row>
    <row r="871" spans="1:25" ht="13.5" x14ac:dyDescent="0.15">
      <c r="A871" s="173">
        <v>3671804</v>
      </c>
      <c r="B871" s="173" t="s">
        <v>351</v>
      </c>
      <c r="C871" s="173" t="s">
        <v>358</v>
      </c>
      <c r="D871" s="173" t="s">
        <v>353</v>
      </c>
      <c r="E871" s="173" t="s">
        <v>378</v>
      </c>
      <c r="F871" s="173">
        <v>3</v>
      </c>
      <c r="G871" s="173" t="s">
        <v>19</v>
      </c>
      <c r="H871" s="173" t="s">
        <v>20</v>
      </c>
      <c r="I871" s="173" t="s">
        <v>21</v>
      </c>
      <c r="J871" s="173"/>
      <c r="K871" s="173" t="s">
        <v>99</v>
      </c>
      <c r="L871" s="173">
        <v>25</v>
      </c>
      <c r="M871" s="173" t="s">
        <v>100</v>
      </c>
      <c r="N871" s="174">
        <v>500</v>
      </c>
      <c r="O871" s="174">
        <v>500</v>
      </c>
      <c r="P871" s="330">
        <v>6000</v>
      </c>
      <c r="Q871" s="173">
        <v>2</v>
      </c>
      <c r="R871" s="173">
        <v>48</v>
      </c>
      <c r="S871" s="173" t="s">
        <v>354</v>
      </c>
      <c r="T871" s="175">
        <v>44763</v>
      </c>
      <c r="U871" s="175">
        <v>44804</v>
      </c>
      <c r="V871" s="173" t="s">
        <v>355</v>
      </c>
      <c r="W871" s="173"/>
      <c r="X871" s="173"/>
      <c r="Y871" s="141"/>
    </row>
    <row r="872" spans="1:25" ht="13.5" x14ac:dyDescent="0.15">
      <c r="A872" s="173">
        <v>3671805</v>
      </c>
      <c r="B872" s="173" t="s">
        <v>351</v>
      </c>
      <c r="C872" s="173" t="s">
        <v>356</v>
      </c>
      <c r="D872" s="173" t="s">
        <v>353</v>
      </c>
      <c r="E872" s="173" t="s">
        <v>255</v>
      </c>
      <c r="F872" s="173">
        <v>3</v>
      </c>
      <c r="G872" s="173" t="s">
        <v>19</v>
      </c>
      <c r="H872" s="173" t="s">
        <v>20</v>
      </c>
      <c r="I872" s="173" t="s">
        <v>256</v>
      </c>
      <c r="J872" s="173"/>
      <c r="K872" s="173" t="s">
        <v>257</v>
      </c>
      <c r="L872" s="173">
        <v>100</v>
      </c>
      <c r="M872" s="173" t="s">
        <v>258</v>
      </c>
      <c r="N872" s="174">
        <v>1000</v>
      </c>
      <c r="O872" s="174">
        <v>1000</v>
      </c>
      <c r="P872" s="330">
        <v>6000</v>
      </c>
      <c r="Q872" s="173">
        <v>2</v>
      </c>
      <c r="R872" s="173">
        <v>8</v>
      </c>
      <c r="S872" s="173" t="s">
        <v>354</v>
      </c>
      <c r="T872" s="175">
        <v>44763</v>
      </c>
      <c r="U872" s="175">
        <v>44795</v>
      </c>
      <c r="V872" s="173" t="s">
        <v>355</v>
      </c>
      <c r="W872" s="173"/>
      <c r="X872" s="173"/>
      <c r="Y872" s="141"/>
    </row>
    <row r="873" spans="1:25" ht="13.5" x14ac:dyDescent="0.15">
      <c r="A873" s="173">
        <v>3671806</v>
      </c>
      <c r="B873" s="173" t="s">
        <v>351</v>
      </c>
      <c r="C873" s="173" t="s">
        <v>356</v>
      </c>
      <c r="D873" s="173" t="s">
        <v>353</v>
      </c>
      <c r="E873" s="173" t="s">
        <v>255</v>
      </c>
      <c r="F873" s="173">
        <v>3</v>
      </c>
      <c r="G873" s="173" t="s">
        <v>19</v>
      </c>
      <c r="H873" s="173" t="s">
        <v>20</v>
      </c>
      <c r="I873" s="173" t="s">
        <v>256</v>
      </c>
      <c r="J873" s="173"/>
      <c r="K873" s="173" t="s">
        <v>257</v>
      </c>
      <c r="L873" s="173">
        <v>125</v>
      </c>
      <c r="M873" s="173" t="s">
        <v>258</v>
      </c>
      <c r="N873" s="174">
        <v>1000</v>
      </c>
      <c r="O873" s="174">
        <v>1000</v>
      </c>
      <c r="P873" s="330">
        <v>6000</v>
      </c>
      <c r="Q873" s="173">
        <v>2</v>
      </c>
      <c r="R873" s="173">
        <v>6</v>
      </c>
      <c r="S873" s="173" t="s">
        <v>354</v>
      </c>
      <c r="T873" s="175">
        <v>44763</v>
      </c>
      <c r="U873" s="175">
        <v>44795</v>
      </c>
      <c r="V873" s="173" t="s">
        <v>355</v>
      </c>
      <c r="W873" s="173"/>
      <c r="X873" s="173"/>
      <c r="Y873" s="141"/>
    </row>
    <row r="874" spans="1:25" ht="13.5" x14ac:dyDescent="0.15">
      <c r="A874" s="173">
        <v>3671807</v>
      </c>
      <c r="B874" s="173" t="s">
        <v>351</v>
      </c>
      <c r="C874" s="173" t="s">
        <v>356</v>
      </c>
      <c r="D874" s="173" t="s">
        <v>353</v>
      </c>
      <c r="E874" s="173" t="s">
        <v>255</v>
      </c>
      <c r="F874" s="173">
        <v>3</v>
      </c>
      <c r="G874" s="173" t="s">
        <v>19</v>
      </c>
      <c r="H874" s="173" t="s">
        <v>20</v>
      </c>
      <c r="I874" s="173" t="s">
        <v>256</v>
      </c>
      <c r="J874" s="173"/>
      <c r="K874" s="173" t="s">
        <v>257</v>
      </c>
      <c r="L874" s="173">
        <v>188</v>
      </c>
      <c r="M874" s="173" t="s">
        <v>258</v>
      </c>
      <c r="N874" s="174">
        <v>1000</v>
      </c>
      <c r="O874" s="174">
        <v>1000</v>
      </c>
      <c r="P874" s="330">
        <v>6000</v>
      </c>
      <c r="Q874" s="173">
        <v>2</v>
      </c>
      <c r="R874" s="173">
        <v>4</v>
      </c>
      <c r="S874" s="173" t="s">
        <v>354</v>
      </c>
      <c r="T874" s="175">
        <v>44763</v>
      </c>
      <c r="U874" s="175">
        <v>44795</v>
      </c>
      <c r="V874" s="173" t="s">
        <v>355</v>
      </c>
      <c r="W874" s="173"/>
      <c r="X874" s="173"/>
      <c r="Y874" s="141"/>
    </row>
    <row r="875" spans="1:25" ht="13.5" x14ac:dyDescent="0.15">
      <c r="A875" s="173">
        <v>3671809</v>
      </c>
      <c r="B875" s="173" t="s">
        <v>351</v>
      </c>
      <c r="C875" s="173" t="s">
        <v>358</v>
      </c>
      <c r="D875" s="173" t="s">
        <v>353</v>
      </c>
      <c r="E875" s="173" t="s">
        <v>131</v>
      </c>
      <c r="F875" s="173">
        <v>3</v>
      </c>
      <c r="G875" s="173" t="s">
        <v>19</v>
      </c>
      <c r="H875" s="173" t="s">
        <v>20</v>
      </c>
      <c r="I875" s="173" t="s">
        <v>132</v>
      </c>
      <c r="J875" s="173"/>
      <c r="K875" s="173" t="s">
        <v>133</v>
      </c>
      <c r="L875" s="173">
        <v>75</v>
      </c>
      <c r="M875" s="173" t="s">
        <v>134</v>
      </c>
      <c r="N875" s="174">
        <v>600</v>
      </c>
      <c r="O875" s="174">
        <v>600</v>
      </c>
      <c r="P875" s="330">
        <v>6000</v>
      </c>
      <c r="Q875" s="173">
        <v>2</v>
      </c>
      <c r="R875" s="173">
        <v>60</v>
      </c>
      <c r="S875" s="173" t="s">
        <v>354</v>
      </c>
      <c r="T875" s="175">
        <v>44763</v>
      </c>
      <c r="U875" s="175">
        <v>44795</v>
      </c>
      <c r="V875" s="173" t="s">
        <v>355</v>
      </c>
      <c r="W875" s="173"/>
      <c r="X875" s="173"/>
      <c r="Y875" s="141"/>
    </row>
    <row r="876" spans="1:25" ht="13.5" x14ac:dyDescent="0.15">
      <c r="A876" s="173">
        <v>3671812</v>
      </c>
      <c r="B876" s="173" t="s">
        <v>351</v>
      </c>
      <c r="C876" s="173" t="s">
        <v>364</v>
      </c>
      <c r="D876" s="173" t="s">
        <v>353</v>
      </c>
      <c r="E876" s="173" t="s">
        <v>162</v>
      </c>
      <c r="F876" s="173">
        <v>3</v>
      </c>
      <c r="G876" s="173" t="s">
        <v>19</v>
      </c>
      <c r="H876" s="173" t="s">
        <v>20</v>
      </c>
      <c r="I876" s="173" t="s">
        <v>143</v>
      </c>
      <c r="J876" s="173"/>
      <c r="K876" s="173" t="s">
        <v>163</v>
      </c>
      <c r="L876" s="173">
        <v>38</v>
      </c>
      <c r="M876" s="173" t="s">
        <v>164</v>
      </c>
      <c r="N876" s="174">
        <v>1320</v>
      </c>
      <c r="O876" s="174">
        <v>1320</v>
      </c>
      <c r="P876" s="330">
        <v>6000</v>
      </c>
      <c r="Q876" s="173">
        <v>2</v>
      </c>
      <c r="R876" s="173">
        <v>10</v>
      </c>
      <c r="S876" s="173" t="s">
        <v>354</v>
      </c>
      <c r="T876" s="175">
        <v>44763</v>
      </c>
      <c r="U876" s="175">
        <v>44795</v>
      </c>
      <c r="V876" s="173" t="s">
        <v>355</v>
      </c>
      <c r="W876" s="173"/>
      <c r="X876" s="173"/>
      <c r="Y876" s="141"/>
    </row>
    <row r="877" spans="1:25" ht="13.5" x14ac:dyDescent="0.15">
      <c r="A877" s="173">
        <v>3671827</v>
      </c>
      <c r="B877" s="173" t="s">
        <v>351</v>
      </c>
      <c r="C877" s="173" t="s">
        <v>352</v>
      </c>
      <c r="D877" s="173" t="s">
        <v>353</v>
      </c>
      <c r="E877" s="173" t="s">
        <v>116</v>
      </c>
      <c r="F877" s="173">
        <v>3</v>
      </c>
      <c r="G877" s="173" t="s">
        <v>19</v>
      </c>
      <c r="H877" s="173" t="s">
        <v>20</v>
      </c>
      <c r="I877" s="173" t="s">
        <v>143</v>
      </c>
      <c r="J877" s="173"/>
      <c r="K877" s="173" t="s">
        <v>159</v>
      </c>
      <c r="L877" s="173">
        <v>25</v>
      </c>
      <c r="M877" s="173" t="s">
        <v>160</v>
      </c>
      <c r="N877" s="174">
        <v>1005</v>
      </c>
      <c r="O877" s="174">
        <v>1000</v>
      </c>
      <c r="P877" s="330">
        <v>6000</v>
      </c>
      <c r="Q877" s="173">
        <v>2</v>
      </c>
      <c r="R877" s="173">
        <v>3</v>
      </c>
      <c r="S877" s="173" t="s">
        <v>354</v>
      </c>
      <c r="T877" s="175">
        <v>44763</v>
      </c>
      <c r="U877" s="175">
        <v>44790</v>
      </c>
      <c r="V877" s="173" t="s">
        <v>355</v>
      </c>
      <c r="W877" s="173"/>
      <c r="X877" s="173"/>
      <c r="Y877" s="141"/>
    </row>
    <row r="878" spans="1:25" ht="13.5" x14ac:dyDescent="0.15">
      <c r="A878" s="173">
        <v>3674220</v>
      </c>
      <c r="B878" s="173" t="s">
        <v>351</v>
      </c>
      <c r="C878" s="173" t="s">
        <v>352</v>
      </c>
      <c r="D878" s="173" t="s">
        <v>353</v>
      </c>
      <c r="E878" s="173" t="s">
        <v>116</v>
      </c>
      <c r="F878" s="173">
        <v>3</v>
      </c>
      <c r="G878" s="173" t="s">
        <v>19</v>
      </c>
      <c r="H878" s="173" t="s">
        <v>20</v>
      </c>
      <c r="I878" s="173" t="s">
        <v>143</v>
      </c>
      <c r="J878" s="173"/>
      <c r="K878" s="173" t="s">
        <v>144</v>
      </c>
      <c r="L878" s="173">
        <v>50</v>
      </c>
      <c r="M878" s="173" t="s">
        <v>145</v>
      </c>
      <c r="N878" s="174">
        <v>1002</v>
      </c>
      <c r="O878" s="174">
        <v>1000</v>
      </c>
      <c r="P878" s="330">
        <v>6000</v>
      </c>
      <c r="Q878" s="173">
        <v>2</v>
      </c>
      <c r="R878" s="173">
        <v>9</v>
      </c>
      <c r="S878" s="173" t="s">
        <v>354</v>
      </c>
      <c r="T878" s="175">
        <v>44782</v>
      </c>
      <c r="U878" s="175">
        <v>44834</v>
      </c>
      <c r="V878" s="173" t="s">
        <v>355</v>
      </c>
      <c r="W878" s="173"/>
      <c r="X878" s="173"/>
      <c r="Y878" s="141"/>
    </row>
    <row r="879" spans="1:25" ht="13.5" x14ac:dyDescent="0.15">
      <c r="A879" s="173">
        <v>3675580</v>
      </c>
      <c r="B879" s="173" t="s">
        <v>351</v>
      </c>
      <c r="C879" s="173" t="s">
        <v>358</v>
      </c>
      <c r="D879" s="173" t="s">
        <v>353</v>
      </c>
      <c r="E879" s="173" t="s">
        <v>373</v>
      </c>
      <c r="F879" s="173">
        <v>3</v>
      </c>
      <c r="G879" s="173" t="s">
        <v>19</v>
      </c>
      <c r="H879" s="173" t="s">
        <v>20</v>
      </c>
      <c r="I879" s="173" t="s">
        <v>21</v>
      </c>
      <c r="J879" s="173"/>
      <c r="K879" s="173" t="s">
        <v>80</v>
      </c>
      <c r="L879" s="173">
        <v>31</v>
      </c>
      <c r="M879" s="173" t="s">
        <v>374</v>
      </c>
      <c r="N879" s="174">
        <v>440</v>
      </c>
      <c r="O879" s="174">
        <v>440</v>
      </c>
      <c r="P879" s="330">
        <v>6000</v>
      </c>
      <c r="Q879" s="173">
        <v>1</v>
      </c>
      <c r="R879" s="173">
        <v>42</v>
      </c>
      <c r="S879" s="173" t="s">
        <v>354</v>
      </c>
      <c r="T879" s="175">
        <v>44795</v>
      </c>
      <c r="U879" s="175">
        <v>44811</v>
      </c>
      <c r="V879" s="173" t="s">
        <v>355</v>
      </c>
      <c r="W879" s="173"/>
      <c r="X879" s="173"/>
      <c r="Y879" s="141"/>
    </row>
    <row r="880" spans="1:25" ht="13.5" x14ac:dyDescent="0.15">
      <c r="A880" s="173">
        <v>3675581</v>
      </c>
      <c r="B880" s="173" t="s">
        <v>351</v>
      </c>
      <c r="C880" s="173" t="s">
        <v>358</v>
      </c>
      <c r="D880" s="173" t="s">
        <v>353</v>
      </c>
      <c r="E880" s="173" t="s">
        <v>362</v>
      </c>
      <c r="F880" s="173">
        <v>3</v>
      </c>
      <c r="G880" s="173" t="s">
        <v>19</v>
      </c>
      <c r="H880" s="173" t="s">
        <v>20</v>
      </c>
      <c r="I880" s="173" t="s">
        <v>21</v>
      </c>
      <c r="J880" s="173"/>
      <c r="K880" s="173" t="s">
        <v>88</v>
      </c>
      <c r="L880" s="173">
        <v>188</v>
      </c>
      <c r="M880" s="173" t="s">
        <v>361</v>
      </c>
      <c r="N880" s="174">
        <v>1130</v>
      </c>
      <c r="O880" s="174">
        <v>1130</v>
      </c>
      <c r="P880" s="330">
        <v>6000</v>
      </c>
      <c r="Q880" s="173">
        <v>2</v>
      </c>
      <c r="R880" s="173">
        <v>20</v>
      </c>
      <c r="S880" s="173" t="s">
        <v>354</v>
      </c>
      <c r="T880" s="175">
        <v>44795</v>
      </c>
      <c r="U880" s="175">
        <v>44811</v>
      </c>
      <c r="V880" s="173" t="s">
        <v>355</v>
      </c>
      <c r="W880" s="173"/>
      <c r="X880" s="173"/>
      <c r="Y880" s="141"/>
    </row>
    <row r="881" spans="1:25" ht="13.5" x14ac:dyDescent="0.15">
      <c r="A881" s="173">
        <v>3675582</v>
      </c>
      <c r="B881" s="173" t="s">
        <v>351</v>
      </c>
      <c r="C881" s="173" t="s">
        <v>356</v>
      </c>
      <c r="D881" s="173" t="s">
        <v>353</v>
      </c>
      <c r="E881" s="173" t="s">
        <v>83</v>
      </c>
      <c r="F881" s="173" t="s">
        <v>86</v>
      </c>
      <c r="G881" s="173" t="s">
        <v>19</v>
      </c>
      <c r="H881" s="173" t="s">
        <v>20</v>
      </c>
      <c r="I881" s="173" t="s">
        <v>21</v>
      </c>
      <c r="J881" s="173"/>
      <c r="K881" s="173" t="s">
        <v>84</v>
      </c>
      <c r="L881" s="173">
        <v>38</v>
      </c>
      <c r="M881" s="173" t="s">
        <v>85</v>
      </c>
      <c r="N881" s="174">
        <v>1265</v>
      </c>
      <c r="O881" s="174">
        <v>1265</v>
      </c>
      <c r="P881" s="330">
        <v>6000</v>
      </c>
      <c r="Q881" s="173">
        <v>2</v>
      </c>
      <c r="R881" s="173">
        <v>3</v>
      </c>
      <c r="S881" s="173" t="s">
        <v>354</v>
      </c>
      <c r="T881" s="175">
        <v>44795</v>
      </c>
      <c r="U881" s="175">
        <v>44811</v>
      </c>
      <c r="V881" s="173" t="s">
        <v>355</v>
      </c>
      <c r="W881" s="173"/>
      <c r="X881" s="173"/>
      <c r="Y881" s="141"/>
    </row>
    <row r="882" spans="1:25" ht="13.5" x14ac:dyDescent="0.15">
      <c r="A882" s="173">
        <v>3675583</v>
      </c>
      <c r="B882" s="173" t="s">
        <v>351</v>
      </c>
      <c r="C882" s="173" t="s">
        <v>356</v>
      </c>
      <c r="D882" s="173" t="s">
        <v>353</v>
      </c>
      <c r="E882" s="173"/>
      <c r="F882" s="173">
        <v>3</v>
      </c>
      <c r="G882" s="173" t="s">
        <v>19</v>
      </c>
      <c r="H882" s="173" t="s">
        <v>20</v>
      </c>
      <c r="I882" s="173" t="s">
        <v>21</v>
      </c>
      <c r="J882" s="173"/>
      <c r="K882" s="173" t="s">
        <v>88</v>
      </c>
      <c r="L882" s="173">
        <v>125</v>
      </c>
      <c r="M882" s="173" t="s">
        <v>361</v>
      </c>
      <c r="N882" s="174">
        <v>200</v>
      </c>
      <c r="O882" s="174">
        <v>200</v>
      </c>
      <c r="P882" s="330">
        <v>6000</v>
      </c>
      <c r="Q882" s="173">
        <v>1</v>
      </c>
      <c r="R882" s="173">
        <v>30</v>
      </c>
      <c r="S882" s="173" t="s">
        <v>354</v>
      </c>
      <c r="T882" s="175">
        <v>44795</v>
      </c>
      <c r="U882" s="175">
        <v>44811</v>
      </c>
      <c r="V882" s="173" t="s">
        <v>355</v>
      </c>
      <c r="W882" s="173"/>
      <c r="X882" s="173"/>
      <c r="Y882" s="141"/>
    </row>
    <row r="883" spans="1:25" ht="13.5" x14ac:dyDescent="0.15">
      <c r="A883" s="173">
        <v>3675584</v>
      </c>
      <c r="B883" s="173" t="s">
        <v>351</v>
      </c>
      <c r="C883" s="173" t="s">
        <v>358</v>
      </c>
      <c r="D883" s="173" t="s">
        <v>353</v>
      </c>
      <c r="E883" s="173" t="s">
        <v>90</v>
      </c>
      <c r="F883" s="173">
        <v>3</v>
      </c>
      <c r="G883" s="173" t="s">
        <v>19</v>
      </c>
      <c r="H883" s="173" t="s">
        <v>20</v>
      </c>
      <c r="I883" s="173" t="s">
        <v>21</v>
      </c>
      <c r="J883" s="173"/>
      <c r="K883" s="173" t="s">
        <v>88</v>
      </c>
      <c r="L883" s="173">
        <v>75</v>
      </c>
      <c r="M883" s="173" t="s">
        <v>361</v>
      </c>
      <c r="N883" s="174">
        <v>620</v>
      </c>
      <c r="O883" s="174">
        <v>620</v>
      </c>
      <c r="P883" s="330">
        <v>6000</v>
      </c>
      <c r="Q883" s="173">
        <v>2</v>
      </c>
      <c r="R883" s="173">
        <v>36</v>
      </c>
      <c r="S883" s="173" t="s">
        <v>354</v>
      </c>
      <c r="T883" s="175">
        <v>44795</v>
      </c>
      <c r="U883" s="175">
        <v>44811</v>
      </c>
      <c r="V883" s="173" t="s">
        <v>355</v>
      </c>
      <c r="W883" s="173"/>
      <c r="X883" s="173"/>
      <c r="Y883" s="141"/>
    </row>
    <row r="884" spans="1:25" ht="13.5" x14ac:dyDescent="0.15">
      <c r="A884" s="173">
        <v>3675585</v>
      </c>
      <c r="B884" s="173" t="s">
        <v>351</v>
      </c>
      <c r="C884" s="173" t="s">
        <v>358</v>
      </c>
      <c r="D884" s="173" t="s">
        <v>353</v>
      </c>
      <c r="E884" s="173" t="s">
        <v>95</v>
      </c>
      <c r="F884" s="173" t="s">
        <v>96</v>
      </c>
      <c r="G884" s="173" t="s">
        <v>19</v>
      </c>
      <c r="H884" s="173" t="s">
        <v>20</v>
      </c>
      <c r="I884" s="173" t="s">
        <v>21</v>
      </c>
      <c r="J884" s="173"/>
      <c r="K884" s="173" t="s">
        <v>88</v>
      </c>
      <c r="L884" s="173">
        <v>188</v>
      </c>
      <c r="M884" s="173" t="s">
        <v>361</v>
      </c>
      <c r="N884" s="174">
        <v>360</v>
      </c>
      <c r="O884" s="174">
        <v>360</v>
      </c>
      <c r="P884" s="330">
        <v>6000</v>
      </c>
      <c r="Q884" s="173">
        <v>2</v>
      </c>
      <c r="R884" s="173">
        <v>105</v>
      </c>
      <c r="S884" s="173" t="s">
        <v>354</v>
      </c>
      <c r="T884" s="175">
        <v>44795</v>
      </c>
      <c r="U884" s="175">
        <v>44811</v>
      </c>
      <c r="V884" s="173" t="s">
        <v>355</v>
      </c>
      <c r="W884" s="173"/>
      <c r="X884" s="173"/>
      <c r="Y884" s="141"/>
    </row>
    <row r="885" spans="1:25" ht="13.5" x14ac:dyDescent="0.15">
      <c r="A885" s="173">
        <v>3675586</v>
      </c>
      <c r="B885" s="173" t="s">
        <v>351</v>
      </c>
      <c r="C885" s="173" t="s">
        <v>358</v>
      </c>
      <c r="D885" s="173" t="s">
        <v>353</v>
      </c>
      <c r="E885" s="173" t="s">
        <v>362</v>
      </c>
      <c r="F885" s="173">
        <v>3</v>
      </c>
      <c r="G885" s="173" t="s">
        <v>19</v>
      </c>
      <c r="H885" s="173" t="s">
        <v>20</v>
      </c>
      <c r="I885" s="173" t="s">
        <v>21</v>
      </c>
      <c r="J885" s="173"/>
      <c r="K885" s="173" t="s">
        <v>88</v>
      </c>
      <c r="L885" s="173">
        <v>100</v>
      </c>
      <c r="M885" s="173" t="s">
        <v>361</v>
      </c>
      <c r="N885" s="174">
        <v>330</v>
      </c>
      <c r="O885" s="174">
        <v>330</v>
      </c>
      <c r="P885" s="330">
        <v>6000</v>
      </c>
      <c r="Q885" s="173">
        <v>1</v>
      </c>
      <c r="R885" s="173">
        <v>36</v>
      </c>
      <c r="S885" s="173" t="s">
        <v>354</v>
      </c>
      <c r="T885" s="175">
        <v>44795</v>
      </c>
      <c r="U885" s="175">
        <v>44811</v>
      </c>
      <c r="V885" s="173" t="s">
        <v>355</v>
      </c>
      <c r="W885" s="173"/>
      <c r="X885" s="173"/>
      <c r="Y885" s="141"/>
    </row>
    <row r="886" spans="1:25" ht="13.5" x14ac:dyDescent="0.15">
      <c r="A886" s="173">
        <v>3675587</v>
      </c>
      <c r="B886" s="173" t="s">
        <v>351</v>
      </c>
      <c r="C886" s="173" t="s">
        <v>358</v>
      </c>
      <c r="D886" s="173" t="s">
        <v>353</v>
      </c>
      <c r="E886" s="173" t="s">
        <v>362</v>
      </c>
      <c r="F886" s="173">
        <v>3</v>
      </c>
      <c r="G886" s="173" t="s">
        <v>19</v>
      </c>
      <c r="H886" s="173" t="s">
        <v>20</v>
      </c>
      <c r="I886" s="173" t="s">
        <v>21</v>
      </c>
      <c r="J886" s="173"/>
      <c r="K886" s="173" t="s">
        <v>88</v>
      </c>
      <c r="L886" s="173">
        <v>125</v>
      </c>
      <c r="M886" s="173" t="s">
        <v>361</v>
      </c>
      <c r="N886" s="174">
        <v>150</v>
      </c>
      <c r="O886" s="174">
        <v>150</v>
      </c>
      <c r="P886" s="330">
        <v>6000</v>
      </c>
      <c r="Q886" s="173">
        <v>1</v>
      </c>
      <c r="R886" s="173">
        <v>128</v>
      </c>
      <c r="S886" s="173" t="s">
        <v>354</v>
      </c>
      <c r="T886" s="175">
        <v>44795</v>
      </c>
      <c r="U886" s="175">
        <v>44811</v>
      </c>
      <c r="V886" s="173" t="s">
        <v>355</v>
      </c>
      <c r="W886" s="173"/>
      <c r="X886" s="173"/>
      <c r="Y886" s="141"/>
    </row>
    <row r="887" spans="1:25" ht="13.5" x14ac:dyDescent="0.15">
      <c r="A887" s="173">
        <v>3675588</v>
      </c>
      <c r="B887" s="173" t="s">
        <v>351</v>
      </c>
      <c r="C887" s="173" t="s">
        <v>364</v>
      </c>
      <c r="D887" s="173" t="s">
        <v>353</v>
      </c>
      <c r="E887" s="173" t="s">
        <v>93</v>
      </c>
      <c r="F887" s="173">
        <v>331</v>
      </c>
      <c r="G887" s="173" t="s">
        <v>19</v>
      </c>
      <c r="H887" s="173" t="s">
        <v>20</v>
      </c>
      <c r="I887" s="173" t="s">
        <v>21</v>
      </c>
      <c r="J887" s="173"/>
      <c r="K887" s="173" t="s">
        <v>88</v>
      </c>
      <c r="L887" s="173">
        <v>100</v>
      </c>
      <c r="M887" s="173" t="s">
        <v>361</v>
      </c>
      <c r="N887" s="174">
        <v>450</v>
      </c>
      <c r="O887" s="174">
        <v>450</v>
      </c>
      <c r="P887" s="330">
        <v>6000</v>
      </c>
      <c r="Q887" s="173">
        <v>2</v>
      </c>
      <c r="R887" s="173">
        <v>12</v>
      </c>
      <c r="S887" s="173" t="s">
        <v>354</v>
      </c>
      <c r="T887" s="175">
        <v>44795</v>
      </c>
      <c r="U887" s="175">
        <v>44811</v>
      </c>
      <c r="V887" s="173" t="s">
        <v>355</v>
      </c>
      <c r="W887" s="173"/>
      <c r="X887" s="173"/>
      <c r="Y887" s="141"/>
    </row>
    <row r="888" spans="1:25" ht="13.5" x14ac:dyDescent="0.15">
      <c r="A888" s="173">
        <v>3675589</v>
      </c>
      <c r="B888" s="173" t="s">
        <v>351</v>
      </c>
      <c r="C888" s="173" t="s">
        <v>364</v>
      </c>
      <c r="D888" s="173" t="s">
        <v>353</v>
      </c>
      <c r="E888" s="173" t="s">
        <v>93</v>
      </c>
      <c r="F888" s="173">
        <v>331</v>
      </c>
      <c r="G888" s="173" t="s">
        <v>19</v>
      </c>
      <c r="H888" s="173" t="s">
        <v>20</v>
      </c>
      <c r="I888" s="173" t="s">
        <v>21</v>
      </c>
      <c r="J888" s="173"/>
      <c r="K888" s="173" t="s">
        <v>88</v>
      </c>
      <c r="L888" s="173">
        <v>100</v>
      </c>
      <c r="M888" s="173" t="s">
        <v>361</v>
      </c>
      <c r="N888" s="174">
        <v>450</v>
      </c>
      <c r="O888" s="174">
        <v>450</v>
      </c>
      <c r="P888" s="330">
        <v>6000</v>
      </c>
      <c r="Q888" s="173">
        <v>2</v>
      </c>
      <c r="R888" s="173">
        <v>24</v>
      </c>
      <c r="S888" s="173" t="s">
        <v>354</v>
      </c>
      <c r="T888" s="175">
        <v>44795</v>
      </c>
      <c r="U888" s="175">
        <v>44811</v>
      </c>
      <c r="V888" s="173" t="s">
        <v>355</v>
      </c>
      <c r="W888" s="173"/>
      <c r="X888" s="173"/>
      <c r="Y888" s="141"/>
    </row>
    <row r="889" spans="1:25" ht="13.5" x14ac:dyDescent="0.15">
      <c r="A889" s="173">
        <v>3675590</v>
      </c>
      <c r="B889" s="173" t="s">
        <v>351</v>
      </c>
      <c r="C889" s="173" t="s">
        <v>356</v>
      </c>
      <c r="D889" s="173" t="s">
        <v>353</v>
      </c>
      <c r="E889" s="173" t="s">
        <v>32</v>
      </c>
      <c r="F889" s="173">
        <v>331</v>
      </c>
      <c r="G889" s="173" t="s">
        <v>19</v>
      </c>
      <c r="H889" s="173" t="s">
        <v>20</v>
      </c>
      <c r="I889" s="173" t="s">
        <v>21</v>
      </c>
      <c r="J889" s="173"/>
      <c r="K889" s="173" t="s">
        <v>33</v>
      </c>
      <c r="L889" s="173">
        <v>38</v>
      </c>
      <c r="M889" s="173" t="s">
        <v>30</v>
      </c>
      <c r="N889" s="174">
        <v>1580</v>
      </c>
      <c r="O889" s="174">
        <v>1580</v>
      </c>
      <c r="P889" s="330">
        <v>6000</v>
      </c>
      <c r="Q889" s="173">
        <v>2</v>
      </c>
      <c r="R889" s="173">
        <v>6</v>
      </c>
      <c r="S889" s="173" t="s">
        <v>354</v>
      </c>
      <c r="T889" s="175">
        <v>44795</v>
      </c>
      <c r="U889" s="175">
        <v>44813</v>
      </c>
      <c r="V889" s="173" t="s">
        <v>355</v>
      </c>
      <c r="W889" s="173"/>
      <c r="X889" s="173"/>
      <c r="Y889" s="141"/>
    </row>
    <row r="890" spans="1:25" ht="13.5" x14ac:dyDescent="0.15">
      <c r="A890" s="173">
        <v>3675591</v>
      </c>
      <c r="B890" s="173" t="s">
        <v>351</v>
      </c>
      <c r="C890" s="173" t="s">
        <v>356</v>
      </c>
      <c r="D890" s="173" t="s">
        <v>353</v>
      </c>
      <c r="E890" s="173" t="s">
        <v>32</v>
      </c>
      <c r="F890" s="173">
        <v>331</v>
      </c>
      <c r="G890" s="173" t="s">
        <v>19</v>
      </c>
      <c r="H890" s="173" t="s">
        <v>20</v>
      </c>
      <c r="I890" s="173" t="s">
        <v>21</v>
      </c>
      <c r="J890" s="173"/>
      <c r="K890" s="173" t="s">
        <v>33</v>
      </c>
      <c r="L890" s="173">
        <v>25</v>
      </c>
      <c r="M890" s="173" t="s">
        <v>30</v>
      </c>
      <c r="N890" s="174">
        <v>1330</v>
      </c>
      <c r="O890" s="174">
        <v>1330</v>
      </c>
      <c r="P890" s="330">
        <v>6000</v>
      </c>
      <c r="Q890" s="173">
        <v>2</v>
      </c>
      <c r="R890" s="173">
        <v>8</v>
      </c>
      <c r="S890" s="173" t="s">
        <v>354</v>
      </c>
      <c r="T890" s="175">
        <v>44795</v>
      </c>
      <c r="U890" s="175">
        <v>44813</v>
      </c>
      <c r="V890" s="173" t="s">
        <v>355</v>
      </c>
      <c r="W890" s="173"/>
      <c r="X890" s="173"/>
      <c r="Y890" s="141"/>
    </row>
    <row r="891" spans="1:25" s="239" customFormat="1" ht="13.15" customHeight="1" x14ac:dyDescent="0.15">
      <c r="A891" s="173">
        <v>3675592</v>
      </c>
      <c r="B891" s="173" t="s">
        <v>351</v>
      </c>
      <c r="C891" s="173" t="s">
        <v>356</v>
      </c>
      <c r="D891" s="173" t="s">
        <v>353</v>
      </c>
      <c r="E891" s="173" t="s">
        <v>32</v>
      </c>
      <c r="F891" s="173">
        <v>331</v>
      </c>
      <c r="G891" s="173" t="s">
        <v>19</v>
      </c>
      <c r="H891" s="173" t="s">
        <v>20</v>
      </c>
      <c r="I891" s="173" t="s">
        <v>21</v>
      </c>
      <c r="J891" s="173"/>
      <c r="K891" s="173" t="s">
        <v>33</v>
      </c>
      <c r="L891" s="173">
        <v>38</v>
      </c>
      <c r="M891" s="173" t="s">
        <v>30</v>
      </c>
      <c r="N891" s="174">
        <v>1330</v>
      </c>
      <c r="O891" s="174">
        <v>1330</v>
      </c>
      <c r="P891" s="330">
        <v>6000</v>
      </c>
      <c r="Q891" s="173">
        <v>2</v>
      </c>
      <c r="R891" s="173">
        <v>10</v>
      </c>
      <c r="S891" s="173" t="s">
        <v>354</v>
      </c>
      <c r="T891" s="175">
        <v>44795</v>
      </c>
      <c r="U891" s="175">
        <v>44813</v>
      </c>
      <c r="V891" s="173" t="s">
        <v>355</v>
      </c>
      <c r="W891" s="173"/>
      <c r="X891" s="173"/>
      <c r="Y891" s="141"/>
    </row>
    <row r="892" spans="1:25" s="239" customFormat="1" ht="13.15" customHeight="1" x14ac:dyDescent="0.15">
      <c r="A892" s="173">
        <v>3675593</v>
      </c>
      <c r="B892" s="173" t="s">
        <v>351</v>
      </c>
      <c r="C892" s="173" t="s">
        <v>356</v>
      </c>
      <c r="D892" s="173" t="s">
        <v>353</v>
      </c>
      <c r="E892" s="173" t="s">
        <v>17</v>
      </c>
      <c r="F892" s="173">
        <v>3</v>
      </c>
      <c r="G892" s="173" t="s">
        <v>19</v>
      </c>
      <c r="H892" s="173" t="s">
        <v>20</v>
      </c>
      <c r="I892" s="173" t="s">
        <v>21</v>
      </c>
      <c r="J892" s="173"/>
      <c r="K892" s="173" t="s">
        <v>22</v>
      </c>
      <c r="L892" s="173">
        <v>38</v>
      </c>
      <c r="M892" s="173" t="s">
        <v>23</v>
      </c>
      <c r="N892" s="174">
        <v>1057</v>
      </c>
      <c r="O892" s="174">
        <v>1050</v>
      </c>
      <c r="P892" s="330">
        <v>6000</v>
      </c>
      <c r="Q892" s="173">
        <v>2</v>
      </c>
      <c r="R892" s="173">
        <v>10</v>
      </c>
      <c r="S892" s="173" t="s">
        <v>354</v>
      </c>
      <c r="T892" s="175">
        <v>44795</v>
      </c>
      <c r="U892" s="175">
        <v>44813</v>
      </c>
      <c r="V892" s="173" t="s">
        <v>355</v>
      </c>
      <c r="W892" s="173"/>
      <c r="X892" s="173"/>
      <c r="Y892" s="141"/>
    </row>
    <row r="893" spans="1:25" s="239" customFormat="1" ht="13.15" customHeight="1" x14ac:dyDescent="0.15">
      <c r="A893" s="173">
        <v>3675594</v>
      </c>
      <c r="B893" s="173" t="s">
        <v>351</v>
      </c>
      <c r="C893" s="173" t="s">
        <v>356</v>
      </c>
      <c r="D893" s="173" t="s">
        <v>353</v>
      </c>
      <c r="E893" s="173" t="s">
        <v>17</v>
      </c>
      <c r="F893" s="173">
        <v>3</v>
      </c>
      <c r="G893" s="173" t="s">
        <v>19</v>
      </c>
      <c r="H893" s="173" t="s">
        <v>20</v>
      </c>
      <c r="I893" s="173" t="s">
        <v>21</v>
      </c>
      <c r="J893" s="173"/>
      <c r="K893" s="173" t="s">
        <v>22</v>
      </c>
      <c r="L893" s="173">
        <v>38</v>
      </c>
      <c r="M893" s="173" t="s">
        <v>23</v>
      </c>
      <c r="N893" s="174">
        <v>1037</v>
      </c>
      <c r="O893" s="174">
        <v>1030</v>
      </c>
      <c r="P893" s="330">
        <v>6000</v>
      </c>
      <c r="Q893" s="173">
        <v>2</v>
      </c>
      <c r="R893" s="173">
        <v>40</v>
      </c>
      <c r="S893" s="173" t="s">
        <v>354</v>
      </c>
      <c r="T893" s="175">
        <v>44795</v>
      </c>
      <c r="U893" s="175">
        <v>44813</v>
      </c>
      <c r="V893" s="173" t="s">
        <v>355</v>
      </c>
      <c r="W893" s="173"/>
      <c r="X893" s="173"/>
      <c r="Y893" s="141"/>
    </row>
    <row r="894" spans="1:25" s="239" customFormat="1" ht="13.15" customHeight="1" x14ac:dyDescent="0.15">
      <c r="A894" s="173">
        <v>3675595</v>
      </c>
      <c r="B894" s="173" t="s">
        <v>351</v>
      </c>
      <c r="C894" s="173" t="s">
        <v>356</v>
      </c>
      <c r="D894" s="173" t="s">
        <v>353</v>
      </c>
      <c r="E894" s="173" t="s">
        <v>377</v>
      </c>
      <c r="F894" s="173">
        <v>3</v>
      </c>
      <c r="G894" s="173" t="s">
        <v>19</v>
      </c>
      <c r="H894" s="173" t="s">
        <v>20</v>
      </c>
      <c r="I894" s="173" t="s">
        <v>21</v>
      </c>
      <c r="J894" s="173"/>
      <c r="K894" s="173" t="s">
        <v>36</v>
      </c>
      <c r="L894" s="173">
        <v>25</v>
      </c>
      <c r="M894" s="173" t="s">
        <v>37</v>
      </c>
      <c r="N894" s="174">
        <v>890</v>
      </c>
      <c r="O894" s="174">
        <v>890</v>
      </c>
      <c r="P894" s="330">
        <v>6000</v>
      </c>
      <c r="Q894" s="173">
        <v>2</v>
      </c>
      <c r="R894" s="173">
        <v>3</v>
      </c>
      <c r="S894" s="173" t="s">
        <v>354</v>
      </c>
      <c r="T894" s="175">
        <v>44795</v>
      </c>
      <c r="U894" s="175">
        <v>44813</v>
      </c>
      <c r="V894" s="173" t="s">
        <v>355</v>
      </c>
      <c r="W894" s="173"/>
      <c r="X894" s="173"/>
      <c r="Y894" s="141"/>
    </row>
    <row r="895" spans="1:25" s="239" customFormat="1" ht="13.15" customHeight="1" x14ac:dyDescent="0.15">
      <c r="A895" s="173">
        <v>3675596</v>
      </c>
      <c r="B895" s="173" t="s">
        <v>351</v>
      </c>
      <c r="C895" s="173" t="s">
        <v>364</v>
      </c>
      <c r="D895" s="173" t="s">
        <v>353</v>
      </c>
      <c r="E895" s="173" t="s">
        <v>371</v>
      </c>
      <c r="F895" s="173">
        <v>3</v>
      </c>
      <c r="G895" s="173" t="s">
        <v>19</v>
      </c>
      <c r="H895" s="173" t="s">
        <v>20</v>
      </c>
      <c r="I895" s="173" t="s">
        <v>21</v>
      </c>
      <c r="J895" s="173"/>
      <c r="K895" s="173" t="s">
        <v>118</v>
      </c>
      <c r="L895" s="173">
        <v>25</v>
      </c>
      <c r="M895" s="173" t="s">
        <v>119</v>
      </c>
      <c r="N895" s="174">
        <v>1425</v>
      </c>
      <c r="O895" s="174">
        <v>1420</v>
      </c>
      <c r="P895" s="330">
        <v>6000</v>
      </c>
      <c r="Q895" s="173">
        <v>2</v>
      </c>
      <c r="R895" s="173">
        <v>4</v>
      </c>
      <c r="S895" s="173" t="s">
        <v>354</v>
      </c>
      <c r="T895" s="175">
        <v>44795</v>
      </c>
      <c r="U895" s="175">
        <v>44819</v>
      </c>
      <c r="V895" s="173" t="s">
        <v>355</v>
      </c>
      <c r="W895" s="173"/>
      <c r="X895" s="173"/>
      <c r="Y895" s="141"/>
    </row>
    <row r="896" spans="1:25" s="239" customFormat="1" ht="13.15" customHeight="1" x14ac:dyDescent="0.15">
      <c r="A896" s="173">
        <v>3675598</v>
      </c>
      <c r="B896" s="173" t="s">
        <v>351</v>
      </c>
      <c r="C896" s="173" t="s">
        <v>356</v>
      </c>
      <c r="D896" s="173" t="s">
        <v>353</v>
      </c>
      <c r="E896" s="173" t="s">
        <v>106</v>
      </c>
      <c r="F896" s="173">
        <v>3</v>
      </c>
      <c r="G896" s="173" t="s">
        <v>19</v>
      </c>
      <c r="H896" s="173" t="s">
        <v>20</v>
      </c>
      <c r="I896" s="173" t="s">
        <v>21</v>
      </c>
      <c r="J896" s="173"/>
      <c r="K896" s="173" t="s">
        <v>107</v>
      </c>
      <c r="L896" s="173">
        <v>25</v>
      </c>
      <c r="M896" s="173" t="s">
        <v>367</v>
      </c>
      <c r="N896" s="174">
        <v>1240</v>
      </c>
      <c r="O896" s="174">
        <v>1240</v>
      </c>
      <c r="P896" s="330">
        <v>6000</v>
      </c>
      <c r="Q896" s="173">
        <v>2</v>
      </c>
      <c r="R896" s="173">
        <v>40</v>
      </c>
      <c r="S896" s="173" t="s">
        <v>354</v>
      </c>
      <c r="T896" s="175">
        <v>44795</v>
      </c>
      <c r="U896" s="175">
        <v>44819</v>
      </c>
      <c r="V896" s="173" t="s">
        <v>355</v>
      </c>
      <c r="W896" s="173"/>
      <c r="X896" s="173"/>
      <c r="Y896" s="141"/>
    </row>
    <row r="897" spans="1:25" s="239" customFormat="1" ht="13.15" customHeight="1" x14ac:dyDescent="0.15">
      <c r="A897" s="173">
        <v>3675599</v>
      </c>
      <c r="B897" s="173" t="s">
        <v>351</v>
      </c>
      <c r="C897" s="173" t="s">
        <v>356</v>
      </c>
      <c r="D897" s="173" t="s">
        <v>353</v>
      </c>
      <c r="E897" s="173" t="s">
        <v>115</v>
      </c>
      <c r="F897" s="173">
        <v>3</v>
      </c>
      <c r="G897" s="173" t="s">
        <v>19</v>
      </c>
      <c r="H897" s="173" t="s">
        <v>20</v>
      </c>
      <c r="I897" s="173" t="s">
        <v>21</v>
      </c>
      <c r="J897" s="173"/>
      <c r="K897" s="173" t="s">
        <v>112</v>
      </c>
      <c r="L897" s="173">
        <v>38</v>
      </c>
      <c r="M897" s="173" t="s">
        <v>357</v>
      </c>
      <c r="N897" s="174">
        <v>1135</v>
      </c>
      <c r="O897" s="174">
        <v>1130</v>
      </c>
      <c r="P897" s="330">
        <v>6000</v>
      </c>
      <c r="Q897" s="173">
        <v>2</v>
      </c>
      <c r="R897" s="173">
        <v>2</v>
      </c>
      <c r="S897" s="173" t="s">
        <v>354</v>
      </c>
      <c r="T897" s="175">
        <v>44795</v>
      </c>
      <c r="U897" s="175">
        <v>44819</v>
      </c>
      <c r="V897" s="173" t="s">
        <v>355</v>
      </c>
      <c r="W897" s="173"/>
      <c r="X897" s="173"/>
      <c r="Y897" s="141"/>
    </row>
    <row r="898" spans="1:25" s="239" customFormat="1" ht="13.15" customHeight="1" x14ac:dyDescent="0.15">
      <c r="A898" s="173">
        <v>3675600</v>
      </c>
      <c r="B898" s="173" t="s">
        <v>351</v>
      </c>
      <c r="C898" s="173" t="s">
        <v>352</v>
      </c>
      <c r="D898" s="173" t="s">
        <v>353</v>
      </c>
      <c r="E898" s="173" t="s">
        <v>116</v>
      </c>
      <c r="F898" s="173">
        <v>3</v>
      </c>
      <c r="G898" s="173" t="s">
        <v>19</v>
      </c>
      <c r="H898" s="173" t="s">
        <v>20</v>
      </c>
      <c r="I898" s="173" t="s">
        <v>21</v>
      </c>
      <c r="J898" s="173"/>
      <c r="K898" s="173" t="s">
        <v>118</v>
      </c>
      <c r="L898" s="173">
        <v>38</v>
      </c>
      <c r="M898" s="173" t="s">
        <v>368</v>
      </c>
      <c r="N898" s="174">
        <v>1415</v>
      </c>
      <c r="O898" s="174">
        <v>1410</v>
      </c>
      <c r="P898" s="330">
        <v>6000</v>
      </c>
      <c r="Q898" s="173">
        <v>2</v>
      </c>
      <c r="R898" s="173">
        <v>16</v>
      </c>
      <c r="S898" s="173" t="s">
        <v>354</v>
      </c>
      <c r="T898" s="175">
        <v>44795</v>
      </c>
      <c r="U898" s="175">
        <v>44819</v>
      </c>
      <c r="V898" s="173" t="s">
        <v>355</v>
      </c>
      <c r="W898" s="173"/>
      <c r="X898" s="173"/>
      <c r="Y898" s="141"/>
    </row>
    <row r="899" spans="1:25" s="239" customFormat="1" ht="13.15" customHeight="1" x14ac:dyDescent="0.15">
      <c r="A899" s="173">
        <v>3675601</v>
      </c>
      <c r="B899" s="173" t="s">
        <v>351</v>
      </c>
      <c r="C899" s="173" t="s">
        <v>356</v>
      </c>
      <c r="D899" s="173" t="s">
        <v>353</v>
      </c>
      <c r="E899" s="173" t="s">
        <v>32</v>
      </c>
      <c r="F899" s="173">
        <v>331</v>
      </c>
      <c r="G899" s="173" t="s">
        <v>19</v>
      </c>
      <c r="H899" s="173" t="s">
        <v>20</v>
      </c>
      <c r="I899" s="173" t="s">
        <v>21</v>
      </c>
      <c r="J899" s="173"/>
      <c r="K899" s="173" t="s">
        <v>54</v>
      </c>
      <c r="L899" s="173">
        <v>38</v>
      </c>
      <c r="M899" s="173" t="s">
        <v>53</v>
      </c>
      <c r="N899" s="174">
        <v>1580</v>
      </c>
      <c r="O899" s="174">
        <v>1580</v>
      </c>
      <c r="P899" s="330">
        <v>6000</v>
      </c>
      <c r="Q899" s="173">
        <v>2</v>
      </c>
      <c r="R899" s="173">
        <v>6</v>
      </c>
      <c r="S899" s="173" t="s">
        <v>354</v>
      </c>
      <c r="T899" s="175">
        <v>44795</v>
      </c>
      <c r="U899" s="175">
        <v>44824</v>
      </c>
      <c r="V899" s="173" t="s">
        <v>355</v>
      </c>
      <c r="W899" s="173"/>
      <c r="X899" s="173"/>
      <c r="Y899" s="141"/>
    </row>
    <row r="900" spans="1:25" s="239" customFormat="1" ht="13.15" customHeight="1" x14ac:dyDescent="0.15">
      <c r="A900" s="173">
        <v>3675602</v>
      </c>
      <c r="B900" s="173" t="s">
        <v>351</v>
      </c>
      <c r="C900" s="173" t="s">
        <v>356</v>
      </c>
      <c r="D900" s="173" t="s">
        <v>353</v>
      </c>
      <c r="E900" s="173" t="s">
        <v>32</v>
      </c>
      <c r="F900" s="173">
        <v>331</v>
      </c>
      <c r="G900" s="173" t="s">
        <v>19</v>
      </c>
      <c r="H900" s="173" t="s">
        <v>20</v>
      </c>
      <c r="I900" s="173" t="s">
        <v>21</v>
      </c>
      <c r="J900" s="173"/>
      <c r="K900" s="173" t="s">
        <v>54</v>
      </c>
      <c r="L900" s="173">
        <v>38</v>
      </c>
      <c r="M900" s="173" t="s">
        <v>53</v>
      </c>
      <c r="N900" s="174">
        <v>1330</v>
      </c>
      <c r="O900" s="174">
        <v>1330</v>
      </c>
      <c r="P900" s="330">
        <v>6000</v>
      </c>
      <c r="Q900" s="173">
        <v>2</v>
      </c>
      <c r="R900" s="173">
        <v>2</v>
      </c>
      <c r="S900" s="173" t="s">
        <v>354</v>
      </c>
      <c r="T900" s="175">
        <v>44795</v>
      </c>
      <c r="U900" s="175">
        <v>44824</v>
      </c>
      <c r="V900" s="173" t="s">
        <v>355</v>
      </c>
      <c r="W900" s="173"/>
      <c r="X900" s="173"/>
      <c r="Y900" s="141"/>
    </row>
    <row r="901" spans="1:25" s="239" customFormat="1" ht="13.15" customHeight="1" x14ac:dyDescent="0.15">
      <c r="A901" s="173">
        <v>3675603</v>
      </c>
      <c r="B901" s="173" t="s">
        <v>351</v>
      </c>
      <c r="C901" s="173" t="s">
        <v>356</v>
      </c>
      <c r="D901" s="173" t="s">
        <v>353</v>
      </c>
      <c r="E901" s="173" t="s">
        <v>17</v>
      </c>
      <c r="F901" s="173">
        <v>331</v>
      </c>
      <c r="G901" s="173" t="s">
        <v>19</v>
      </c>
      <c r="H901" s="173" t="s">
        <v>20</v>
      </c>
      <c r="I901" s="173" t="s">
        <v>21</v>
      </c>
      <c r="J901" s="173"/>
      <c r="K901" s="173" t="s">
        <v>52</v>
      </c>
      <c r="L901" s="173">
        <v>38</v>
      </c>
      <c r="M901" s="173" t="s">
        <v>53</v>
      </c>
      <c r="N901" s="174">
        <v>1330</v>
      </c>
      <c r="O901" s="174">
        <v>1330</v>
      </c>
      <c r="P901" s="330">
        <v>6000</v>
      </c>
      <c r="Q901" s="173">
        <v>2</v>
      </c>
      <c r="R901" s="173">
        <v>60</v>
      </c>
      <c r="S901" s="173" t="s">
        <v>354</v>
      </c>
      <c r="T901" s="175">
        <v>44795</v>
      </c>
      <c r="U901" s="175">
        <v>44824</v>
      </c>
      <c r="V901" s="173" t="s">
        <v>355</v>
      </c>
      <c r="W901" s="173"/>
      <c r="X901" s="173"/>
      <c r="Y901" s="141"/>
    </row>
    <row r="902" spans="1:25" s="239" customFormat="1" ht="13.15" customHeight="1" x14ac:dyDescent="0.15">
      <c r="A902" s="173">
        <v>3675604</v>
      </c>
      <c r="B902" s="173" t="s">
        <v>351</v>
      </c>
      <c r="C902" s="173" t="s">
        <v>358</v>
      </c>
      <c r="D902" s="173" t="s">
        <v>353</v>
      </c>
      <c r="E902" s="173" t="s">
        <v>369</v>
      </c>
      <c r="F902" s="173">
        <v>3</v>
      </c>
      <c r="G902" s="173" t="s">
        <v>19</v>
      </c>
      <c r="H902" s="173" t="s">
        <v>20</v>
      </c>
      <c r="I902" s="173" t="s">
        <v>21</v>
      </c>
      <c r="J902" s="173"/>
      <c r="K902" s="173" t="s">
        <v>47</v>
      </c>
      <c r="L902" s="173">
        <v>38</v>
      </c>
      <c r="M902" s="173" t="s">
        <v>53</v>
      </c>
      <c r="N902" s="174">
        <v>535</v>
      </c>
      <c r="O902" s="174">
        <v>535</v>
      </c>
      <c r="P902" s="330">
        <v>6000</v>
      </c>
      <c r="Q902" s="173">
        <v>2</v>
      </c>
      <c r="R902" s="173">
        <v>20</v>
      </c>
      <c r="S902" s="173" t="s">
        <v>354</v>
      </c>
      <c r="T902" s="175">
        <v>44795</v>
      </c>
      <c r="U902" s="175">
        <v>44824</v>
      </c>
      <c r="V902" s="173" t="s">
        <v>355</v>
      </c>
      <c r="W902" s="173"/>
      <c r="X902" s="173"/>
      <c r="Y902" s="141"/>
    </row>
    <row r="903" spans="1:25" s="239" customFormat="1" ht="13.15" customHeight="1" x14ac:dyDescent="0.15">
      <c r="A903" s="173">
        <v>3675606</v>
      </c>
      <c r="B903" s="173" t="s">
        <v>351</v>
      </c>
      <c r="C903" s="173" t="s">
        <v>364</v>
      </c>
      <c r="D903" s="173" t="s">
        <v>353</v>
      </c>
      <c r="E903" s="173" t="s">
        <v>371</v>
      </c>
      <c r="F903" s="173">
        <v>3</v>
      </c>
      <c r="G903" s="173" t="s">
        <v>19</v>
      </c>
      <c r="H903" s="173" t="s">
        <v>28</v>
      </c>
      <c r="I903" s="173" t="s">
        <v>21</v>
      </c>
      <c r="J903" s="173"/>
      <c r="K903" s="173" t="s">
        <v>465</v>
      </c>
      <c r="L903" s="173">
        <v>75</v>
      </c>
      <c r="M903" s="173" t="s">
        <v>466</v>
      </c>
      <c r="N903" s="174">
        <v>1040</v>
      </c>
      <c r="O903" s="174">
        <v>1040</v>
      </c>
      <c r="P903" s="330">
        <v>6000</v>
      </c>
      <c r="Q903" s="173">
        <v>1</v>
      </c>
      <c r="R903" s="173">
        <v>1</v>
      </c>
      <c r="S903" s="173" t="s">
        <v>354</v>
      </c>
      <c r="T903" s="175">
        <v>44795</v>
      </c>
      <c r="U903" s="175">
        <v>44824</v>
      </c>
      <c r="V903" s="173" t="s">
        <v>355</v>
      </c>
      <c r="W903" s="173"/>
      <c r="X903" s="173"/>
      <c r="Y903" s="141"/>
    </row>
    <row r="904" spans="1:25" s="239" customFormat="1" ht="13.15" customHeight="1" x14ac:dyDescent="0.15">
      <c r="A904" s="173">
        <v>3675607</v>
      </c>
      <c r="B904" s="173" t="s">
        <v>351</v>
      </c>
      <c r="C904" s="173" t="s">
        <v>363</v>
      </c>
      <c r="D904" s="173" t="s">
        <v>353</v>
      </c>
      <c r="E904" s="173" t="s">
        <v>65</v>
      </c>
      <c r="F904" s="173">
        <v>3321</v>
      </c>
      <c r="G904" s="173" t="s">
        <v>19</v>
      </c>
      <c r="H904" s="173" t="s">
        <v>20</v>
      </c>
      <c r="I904" s="173" t="s">
        <v>21</v>
      </c>
      <c r="J904" s="173"/>
      <c r="K904" s="173" t="s">
        <v>67</v>
      </c>
      <c r="L904" s="173">
        <v>38</v>
      </c>
      <c r="M904" s="173" t="s">
        <v>68</v>
      </c>
      <c r="N904" s="174">
        <v>1336</v>
      </c>
      <c r="O904" s="174">
        <v>1325</v>
      </c>
      <c r="P904" s="330">
        <v>6000</v>
      </c>
      <c r="Q904" s="173">
        <v>2</v>
      </c>
      <c r="R904" s="173">
        <v>30</v>
      </c>
      <c r="S904" s="173" t="s">
        <v>354</v>
      </c>
      <c r="T904" s="175">
        <v>44795</v>
      </c>
      <c r="U904" s="175">
        <v>44824</v>
      </c>
      <c r="V904" s="173" t="s">
        <v>355</v>
      </c>
      <c r="W904" s="173"/>
      <c r="X904" s="173"/>
      <c r="Y904" s="141"/>
    </row>
    <row r="905" spans="1:25" s="239" customFormat="1" ht="13.15" customHeight="1" x14ac:dyDescent="0.15">
      <c r="A905" s="173">
        <v>3675608</v>
      </c>
      <c r="B905" s="173" t="s">
        <v>351</v>
      </c>
      <c r="C905" s="173" t="s">
        <v>363</v>
      </c>
      <c r="D905" s="173" t="s">
        <v>353</v>
      </c>
      <c r="E905" s="173" t="s">
        <v>65</v>
      </c>
      <c r="F905" s="173">
        <v>3321</v>
      </c>
      <c r="G905" s="173" t="s">
        <v>19</v>
      </c>
      <c r="H905" s="173" t="s">
        <v>20</v>
      </c>
      <c r="I905" s="173" t="s">
        <v>21</v>
      </c>
      <c r="J905" s="173"/>
      <c r="K905" s="173" t="s">
        <v>70</v>
      </c>
      <c r="L905" s="173">
        <v>38</v>
      </c>
      <c r="M905" s="173" t="s">
        <v>71</v>
      </c>
      <c r="N905" s="174">
        <v>1336</v>
      </c>
      <c r="O905" s="174">
        <v>1325</v>
      </c>
      <c r="P905" s="330">
        <v>6000</v>
      </c>
      <c r="Q905" s="173">
        <v>2</v>
      </c>
      <c r="R905" s="173">
        <v>30</v>
      </c>
      <c r="S905" s="173" t="s">
        <v>354</v>
      </c>
      <c r="T905" s="175">
        <v>44795</v>
      </c>
      <c r="U905" s="175">
        <v>44824</v>
      </c>
      <c r="V905" s="173" t="s">
        <v>355</v>
      </c>
      <c r="W905" s="173"/>
      <c r="X905" s="173"/>
      <c r="Y905" s="141"/>
    </row>
    <row r="906" spans="1:25" s="239" customFormat="1" ht="13.15" customHeight="1" x14ac:dyDescent="0.15">
      <c r="A906" s="173">
        <v>3675611</v>
      </c>
      <c r="B906" s="173" t="s">
        <v>351</v>
      </c>
      <c r="C906" s="173" t="s">
        <v>363</v>
      </c>
      <c r="D906" s="173" t="s">
        <v>353</v>
      </c>
      <c r="E906" s="173" t="s">
        <v>65</v>
      </c>
      <c r="F906" s="173">
        <v>3321</v>
      </c>
      <c r="G906" s="173" t="s">
        <v>19</v>
      </c>
      <c r="H906" s="173" t="s">
        <v>20</v>
      </c>
      <c r="I906" s="173" t="s">
        <v>21</v>
      </c>
      <c r="J906" s="173"/>
      <c r="K906" s="173" t="s">
        <v>67</v>
      </c>
      <c r="L906" s="173">
        <v>38</v>
      </c>
      <c r="M906" s="173" t="s">
        <v>68</v>
      </c>
      <c r="N906" s="174">
        <v>1336</v>
      </c>
      <c r="O906" s="174">
        <v>1325</v>
      </c>
      <c r="P906" s="330">
        <v>6000</v>
      </c>
      <c r="Q906" s="173">
        <v>2</v>
      </c>
      <c r="R906" s="173">
        <v>23</v>
      </c>
      <c r="S906" s="173" t="s">
        <v>354</v>
      </c>
      <c r="T906" s="175">
        <v>44795</v>
      </c>
      <c r="U906" s="175">
        <v>44833</v>
      </c>
      <c r="V906" s="173" t="s">
        <v>355</v>
      </c>
      <c r="W906" s="173"/>
      <c r="X906" s="173"/>
      <c r="Y906" s="141"/>
    </row>
    <row r="907" spans="1:25" s="239" customFormat="1" ht="13.15" customHeight="1" x14ac:dyDescent="0.15">
      <c r="A907" s="173">
        <v>3675612</v>
      </c>
      <c r="B907" s="173" t="s">
        <v>351</v>
      </c>
      <c r="C907" s="173" t="s">
        <v>363</v>
      </c>
      <c r="D907" s="173" t="s">
        <v>353</v>
      </c>
      <c r="E907" s="173" t="s">
        <v>65</v>
      </c>
      <c r="F907" s="173">
        <v>3321</v>
      </c>
      <c r="G907" s="173" t="s">
        <v>19</v>
      </c>
      <c r="H907" s="173" t="s">
        <v>20</v>
      </c>
      <c r="I907" s="173" t="s">
        <v>21</v>
      </c>
      <c r="J907" s="173"/>
      <c r="K907" s="173" t="s">
        <v>70</v>
      </c>
      <c r="L907" s="173">
        <v>38</v>
      </c>
      <c r="M907" s="173" t="s">
        <v>71</v>
      </c>
      <c r="N907" s="174">
        <v>1336</v>
      </c>
      <c r="O907" s="174">
        <v>1325</v>
      </c>
      <c r="P907" s="330">
        <v>6000</v>
      </c>
      <c r="Q907" s="173">
        <v>2</v>
      </c>
      <c r="R907" s="173">
        <v>24</v>
      </c>
      <c r="S907" s="173" t="s">
        <v>354</v>
      </c>
      <c r="T907" s="175">
        <v>44795</v>
      </c>
      <c r="U907" s="175">
        <v>44833</v>
      </c>
      <c r="V907" s="173" t="s">
        <v>355</v>
      </c>
      <c r="W907" s="173"/>
      <c r="X907" s="173"/>
      <c r="Y907" s="141"/>
    </row>
    <row r="908" spans="1:25" s="239" customFormat="1" ht="13.15" customHeight="1" x14ac:dyDescent="0.15">
      <c r="A908" s="173">
        <v>3675613</v>
      </c>
      <c r="B908" s="173" t="s">
        <v>351</v>
      </c>
      <c r="C908" s="173" t="s">
        <v>358</v>
      </c>
      <c r="D908" s="173" t="s">
        <v>353</v>
      </c>
      <c r="E908" s="173" t="s">
        <v>61</v>
      </c>
      <c r="F908" s="173">
        <v>3313</v>
      </c>
      <c r="G908" s="173" t="s">
        <v>19</v>
      </c>
      <c r="H908" s="173" t="s">
        <v>20</v>
      </c>
      <c r="I908" s="173" t="s">
        <v>21</v>
      </c>
      <c r="J908" s="173"/>
      <c r="K908" s="173" t="s">
        <v>62</v>
      </c>
      <c r="L908" s="173">
        <v>38</v>
      </c>
      <c r="M908" s="173" t="s">
        <v>63</v>
      </c>
      <c r="N908" s="174">
        <v>750</v>
      </c>
      <c r="O908" s="174">
        <v>750</v>
      </c>
      <c r="P908" s="330">
        <v>6000</v>
      </c>
      <c r="Q908" s="173">
        <v>2</v>
      </c>
      <c r="R908" s="173">
        <v>8</v>
      </c>
      <c r="S908" s="173" t="s">
        <v>354</v>
      </c>
      <c r="T908" s="175">
        <v>44795</v>
      </c>
      <c r="U908" s="175">
        <v>44833</v>
      </c>
      <c r="V908" s="173" t="s">
        <v>355</v>
      </c>
      <c r="W908" s="173"/>
      <c r="X908" s="173"/>
      <c r="Y908" s="141"/>
    </row>
    <row r="909" spans="1:25" s="239" customFormat="1" ht="13.15" customHeight="1" x14ac:dyDescent="0.15">
      <c r="A909" s="173">
        <v>3675614</v>
      </c>
      <c r="B909" s="173" t="s">
        <v>351</v>
      </c>
      <c r="C909" s="173" t="s">
        <v>358</v>
      </c>
      <c r="D909" s="173" t="s">
        <v>353</v>
      </c>
      <c r="E909" s="173" t="s">
        <v>61</v>
      </c>
      <c r="F909" s="173">
        <v>331</v>
      </c>
      <c r="G909" s="173" t="s">
        <v>19</v>
      </c>
      <c r="H909" s="173" t="s">
        <v>20</v>
      </c>
      <c r="I909" s="173" t="s">
        <v>21</v>
      </c>
      <c r="J909" s="173"/>
      <c r="K909" s="173" t="s">
        <v>62</v>
      </c>
      <c r="L909" s="173">
        <v>38</v>
      </c>
      <c r="M909" s="173" t="s">
        <v>63</v>
      </c>
      <c r="N909" s="174">
        <v>1255</v>
      </c>
      <c r="O909" s="174">
        <v>1250</v>
      </c>
      <c r="P909" s="330">
        <v>6000</v>
      </c>
      <c r="Q909" s="173">
        <v>2</v>
      </c>
      <c r="R909" s="173">
        <v>10</v>
      </c>
      <c r="S909" s="173" t="s">
        <v>354</v>
      </c>
      <c r="T909" s="175">
        <v>44795</v>
      </c>
      <c r="U909" s="175">
        <v>44833</v>
      </c>
      <c r="V909" s="173" t="s">
        <v>355</v>
      </c>
      <c r="W909" s="173"/>
      <c r="X909" s="173"/>
      <c r="Y909" s="141"/>
    </row>
    <row r="910" spans="1:25" s="239" customFormat="1" ht="13.15" customHeight="1" x14ac:dyDescent="0.15">
      <c r="A910" s="173">
        <v>3675615</v>
      </c>
      <c r="B910" s="173" t="s">
        <v>351</v>
      </c>
      <c r="C910" s="173" t="s">
        <v>356</v>
      </c>
      <c r="D910" s="173" t="s">
        <v>353</v>
      </c>
      <c r="E910" s="173" t="s">
        <v>17</v>
      </c>
      <c r="F910" s="173">
        <v>331</v>
      </c>
      <c r="G910" s="173" t="s">
        <v>19</v>
      </c>
      <c r="H910" s="173" t="s">
        <v>20</v>
      </c>
      <c r="I910" s="173" t="s">
        <v>21</v>
      </c>
      <c r="J910" s="173"/>
      <c r="K910" s="173" t="s">
        <v>29</v>
      </c>
      <c r="L910" s="173">
        <v>38</v>
      </c>
      <c r="M910" s="173" t="s">
        <v>30</v>
      </c>
      <c r="N910" s="174">
        <v>1330</v>
      </c>
      <c r="O910" s="174">
        <v>1330</v>
      </c>
      <c r="P910" s="330">
        <v>6000</v>
      </c>
      <c r="Q910" s="173">
        <v>2</v>
      </c>
      <c r="R910" s="173">
        <v>20</v>
      </c>
      <c r="S910" s="173" t="s">
        <v>354</v>
      </c>
      <c r="T910" s="175">
        <v>44795</v>
      </c>
      <c r="U910" s="175">
        <v>44833</v>
      </c>
      <c r="V910" s="173" t="s">
        <v>355</v>
      </c>
      <c r="W910" s="173"/>
      <c r="X910" s="173"/>
      <c r="Y910" s="141"/>
    </row>
    <row r="911" spans="1:25" s="239" customFormat="1" ht="13.15" customHeight="1" x14ac:dyDescent="0.15">
      <c r="A911" s="173">
        <v>3675616</v>
      </c>
      <c r="B911" s="173" t="s">
        <v>351</v>
      </c>
      <c r="C911" s="173" t="s">
        <v>359</v>
      </c>
      <c r="D911" s="173" t="s">
        <v>353</v>
      </c>
      <c r="E911" s="173" t="s">
        <v>40</v>
      </c>
      <c r="F911" s="173">
        <v>3</v>
      </c>
      <c r="G911" s="173" t="s">
        <v>19</v>
      </c>
      <c r="H911" s="173" t="s">
        <v>20</v>
      </c>
      <c r="I911" s="173" t="s">
        <v>21</v>
      </c>
      <c r="J911" s="173"/>
      <c r="K911" s="173" t="s">
        <v>42</v>
      </c>
      <c r="L911" s="173">
        <v>25</v>
      </c>
      <c r="M911" s="173" t="s">
        <v>43</v>
      </c>
      <c r="N911" s="174">
        <v>1045</v>
      </c>
      <c r="O911" s="174">
        <v>1040</v>
      </c>
      <c r="P911" s="330">
        <v>6000</v>
      </c>
      <c r="Q911" s="173">
        <v>2</v>
      </c>
      <c r="R911" s="173">
        <v>14</v>
      </c>
      <c r="S911" s="173" t="s">
        <v>354</v>
      </c>
      <c r="T911" s="175">
        <v>44795</v>
      </c>
      <c r="U911" s="175">
        <v>44833</v>
      </c>
      <c r="V911" s="173" t="s">
        <v>355</v>
      </c>
      <c r="W911" s="173"/>
      <c r="X911" s="173"/>
      <c r="Y911" s="141"/>
    </row>
    <row r="912" spans="1:25" s="239" customFormat="1" ht="13.15" customHeight="1" x14ac:dyDescent="0.15">
      <c r="A912" s="173">
        <v>3675617</v>
      </c>
      <c r="B912" s="173" t="s">
        <v>351</v>
      </c>
      <c r="C912" s="173" t="s">
        <v>356</v>
      </c>
      <c r="D912" s="173" t="s">
        <v>353</v>
      </c>
      <c r="E912" s="173" t="s">
        <v>17</v>
      </c>
      <c r="F912" s="173">
        <v>3</v>
      </c>
      <c r="G912" s="173" t="s">
        <v>19</v>
      </c>
      <c r="H912" s="173" t="s">
        <v>20</v>
      </c>
      <c r="I912" s="173" t="s">
        <v>21</v>
      </c>
      <c r="J912" s="173"/>
      <c r="K912" s="173" t="s">
        <v>104</v>
      </c>
      <c r="L912" s="173">
        <v>25</v>
      </c>
      <c r="M912" s="173" t="s">
        <v>375</v>
      </c>
      <c r="N912" s="174">
        <v>1050</v>
      </c>
      <c r="O912" s="174">
        <v>1050</v>
      </c>
      <c r="P912" s="330">
        <v>6000</v>
      </c>
      <c r="Q912" s="173">
        <v>2</v>
      </c>
      <c r="R912" s="173">
        <v>10</v>
      </c>
      <c r="S912" s="173" t="s">
        <v>354</v>
      </c>
      <c r="T912" s="175">
        <v>44795</v>
      </c>
      <c r="U912" s="175">
        <v>44833</v>
      </c>
      <c r="V912" s="173" t="s">
        <v>355</v>
      </c>
      <c r="W912" s="173"/>
      <c r="X912" s="173"/>
      <c r="Y912" s="141"/>
    </row>
    <row r="913" spans="1:25" s="239" customFormat="1" ht="13.15" customHeight="1" x14ac:dyDescent="0.15">
      <c r="A913" s="173">
        <v>3675618</v>
      </c>
      <c r="B913" s="173" t="s">
        <v>351</v>
      </c>
      <c r="C913" s="173" t="s">
        <v>356</v>
      </c>
      <c r="D913" s="173" t="s">
        <v>353</v>
      </c>
      <c r="E913" s="173" t="s">
        <v>106</v>
      </c>
      <c r="F913" s="173">
        <v>3</v>
      </c>
      <c r="G913" s="173" t="s">
        <v>19</v>
      </c>
      <c r="H913" s="173" t="s">
        <v>20</v>
      </c>
      <c r="I913" s="173" t="s">
        <v>21</v>
      </c>
      <c r="J913" s="173"/>
      <c r="K913" s="173" t="s">
        <v>107</v>
      </c>
      <c r="L913" s="173">
        <v>25</v>
      </c>
      <c r="M913" s="173" t="s">
        <v>367</v>
      </c>
      <c r="N913" s="174">
        <v>1040</v>
      </c>
      <c r="O913" s="174">
        <v>1040</v>
      </c>
      <c r="P913" s="330">
        <v>6000</v>
      </c>
      <c r="Q913" s="173">
        <v>2</v>
      </c>
      <c r="R913" s="173">
        <v>30</v>
      </c>
      <c r="S913" s="173" t="s">
        <v>354</v>
      </c>
      <c r="T913" s="175">
        <v>44795</v>
      </c>
      <c r="U913" s="175">
        <v>44833</v>
      </c>
      <c r="V913" s="173" t="s">
        <v>355</v>
      </c>
      <c r="W913" s="173"/>
      <c r="X913" s="173"/>
      <c r="Y913" s="141"/>
    </row>
    <row r="914" spans="1:25" s="239" customFormat="1" ht="13.15" customHeight="1" x14ac:dyDescent="0.15">
      <c r="A914" s="173">
        <v>3675621</v>
      </c>
      <c r="B914" s="173" t="s">
        <v>351</v>
      </c>
      <c r="C914" s="173" t="s">
        <v>358</v>
      </c>
      <c r="D914" s="173" t="s">
        <v>353</v>
      </c>
      <c r="E914" s="173" t="s">
        <v>131</v>
      </c>
      <c r="F914" s="173">
        <v>3</v>
      </c>
      <c r="G914" s="173" t="s">
        <v>19</v>
      </c>
      <c r="H914" s="173" t="s">
        <v>20</v>
      </c>
      <c r="I914" s="173" t="s">
        <v>132</v>
      </c>
      <c r="J914" s="173"/>
      <c r="K914" s="173" t="s">
        <v>133</v>
      </c>
      <c r="L914" s="173">
        <v>75</v>
      </c>
      <c r="M914" s="173" t="s">
        <v>134</v>
      </c>
      <c r="N914" s="174">
        <v>600</v>
      </c>
      <c r="O914" s="174">
        <v>600</v>
      </c>
      <c r="P914" s="330">
        <v>6000</v>
      </c>
      <c r="Q914" s="173">
        <v>2</v>
      </c>
      <c r="R914" s="173">
        <v>36</v>
      </c>
      <c r="S914" s="173" t="s">
        <v>354</v>
      </c>
      <c r="T914" s="175">
        <v>44795</v>
      </c>
      <c r="U914" s="175">
        <v>44833</v>
      </c>
      <c r="V914" s="173" t="s">
        <v>355</v>
      </c>
      <c r="W914" s="173"/>
      <c r="X914" s="173"/>
      <c r="Y914" s="141"/>
    </row>
    <row r="915" spans="1:25" s="239" customFormat="1" ht="13.15" customHeight="1" x14ac:dyDescent="0.15">
      <c r="A915" s="173">
        <v>3675624</v>
      </c>
      <c r="B915" s="173" t="s">
        <v>351</v>
      </c>
      <c r="C915" s="173" t="s">
        <v>364</v>
      </c>
      <c r="D915" s="173" t="s">
        <v>353</v>
      </c>
      <c r="E915" s="173" t="s">
        <v>162</v>
      </c>
      <c r="F915" s="173">
        <v>3</v>
      </c>
      <c r="G915" s="173" t="s">
        <v>19</v>
      </c>
      <c r="H915" s="173" t="s">
        <v>20</v>
      </c>
      <c r="I915" s="173" t="s">
        <v>143</v>
      </c>
      <c r="J915" s="173"/>
      <c r="K915" s="173" t="s">
        <v>163</v>
      </c>
      <c r="L915" s="173">
        <v>38</v>
      </c>
      <c r="M915" s="173" t="s">
        <v>164</v>
      </c>
      <c r="N915" s="174">
        <v>1320</v>
      </c>
      <c r="O915" s="174">
        <v>1320</v>
      </c>
      <c r="P915" s="330">
        <v>6000</v>
      </c>
      <c r="Q915" s="173">
        <v>2</v>
      </c>
      <c r="R915" s="173">
        <v>9</v>
      </c>
      <c r="S915" s="173" t="s">
        <v>354</v>
      </c>
      <c r="T915" s="175">
        <v>44795</v>
      </c>
      <c r="U915" s="175">
        <v>44833</v>
      </c>
      <c r="V915" s="173" t="s">
        <v>355</v>
      </c>
      <c r="W915" s="173"/>
      <c r="X915" s="173"/>
      <c r="Y915" s="141"/>
    </row>
    <row r="916" spans="1:25" s="239" customFormat="1" ht="13.15" customHeight="1" x14ac:dyDescent="0.15">
      <c r="A916" s="173">
        <v>3675647</v>
      </c>
      <c r="B916" s="173" t="s">
        <v>351</v>
      </c>
      <c r="C916" s="173" t="s">
        <v>356</v>
      </c>
      <c r="D916" s="173" t="s">
        <v>353</v>
      </c>
      <c r="E916" s="173" t="s">
        <v>32</v>
      </c>
      <c r="F916" s="173">
        <v>3</v>
      </c>
      <c r="G916" s="173" t="s">
        <v>19</v>
      </c>
      <c r="H916" s="173" t="s">
        <v>20</v>
      </c>
      <c r="I916" s="173" t="s">
        <v>21</v>
      </c>
      <c r="J916" s="173"/>
      <c r="K916" s="173" t="s">
        <v>56</v>
      </c>
      <c r="L916" s="173">
        <v>75</v>
      </c>
      <c r="M916" s="173" t="s">
        <v>376</v>
      </c>
      <c r="N916" s="174">
        <v>1330</v>
      </c>
      <c r="O916" s="174">
        <v>1330</v>
      </c>
      <c r="P916" s="330">
        <v>6000</v>
      </c>
      <c r="Q916" s="173">
        <v>2</v>
      </c>
      <c r="R916" s="173">
        <v>60</v>
      </c>
      <c r="S916" s="173" t="s">
        <v>354</v>
      </c>
      <c r="T916" s="175">
        <v>44795</v>
      </c>
      <c r="U916" s="175">
        <v>44833</v>
      </c>
      <c r="V916" s="173" t="s">
        <v>355</v>
      </c>
      <c r="W916" s="173"/>
      <c r="X916" s="173"/>
      <c r="Y916" s="141"/>
    </row>
    <row r="917" spans="1:25" s="239" customFormat="1" ht="13.15" customHeight="1" x14ac:dyDescent="0.15">
      <c r="A917" s="173">
        <v>3679979</v>
      </c>
      <c r="B917" s="173" t="s">
        <v>351</v>
      </c>
      <c r="C917" s="173" t="s">
        <v>356</v>
      </c>
      <c r="D917" s="173" t="s">
        <v>353</v>
      </c>
      <c r="E917" s="173" t="s">
        <v>32</v>
      </c>
      <c r="F917" s="173">
        <v>331</v>
      </c>
      <c r="G917" s="173" t="s">
        <v>19</v>
      </c>
      <c r="H917" s="173" t="s">
        <v>20</v>
      </c>
      <c r="I917" s="173" t="s">
        <v>21</v>
      </c>
      <c r="J917" s="173"/>
      <c r="K917" s="173" t="s">
        <v>33</v>
      </c>
      <c r="L917" s="173">
        <v>38</v>
      </c>
      <c r="M917" s="173" t="s">
        <v>30</v>
      </c>
      <c r="N917" s="174">
        <v>1580</v>
      </c>
      <c r="O917" s="174">
        <v>1580</v>
      </c>
      <c r="P917" s="330">
        <v>6000</v>
      </c>
      <c r="Q917" s="173">
        <v>2</v>
      </c>
      <c r="R917" s="173">
        <v>2</v>
      </c>
      <c r="S917" s="173" t="s">
        <v>354</v>
      </c>
      <c r="T917" s="175">
        <v>44825</v>
      </c>
      <c r="U917" s="175">
        <v>44841</v>
      </c>
      <c r="V917" s="173" t="s">
        <v>355</v>
      </c>
      <c r="W917" s="173"/>
      <c r="X917" s="173"/>
      <c r="Y917" s="141"/>
    </row>
    <row r="918" spans="1:25" s="239" customFormat="1" ht="13.15" customHeight="1" x14ac:dyDescent="0.15">
      <c r="A918" s="173">
        <v>3679980</v>
      </c>
      <c r="B918" s="173" t="s">
        <v>351</v>
      </c>
      <c r="C918" s="173" t="s">
        <v>356</v>
      </c>
      <c r="D918" s="173" t="s">
        <v>353</v>
      </c>
      <c r="E918" s="173" t="s">
        <v>17</v>
      </c>
      <c r="F918" s="173">
        <v>331</v>
      </c>
      <c r="G918" s="173" t="s">
        <v>19</v>
      </c>
      <c r="H918" s="173" t="s">
        <v>20</v>
      </c>
      <c r="I918" s="173" t="s">
        <v>21</v>
      </c>
      <c r="J918" s="173"/>
      <c r="K918" s="173" t="s">
        <v>29</v>
      </c>
      <c r="L918" s="173">
        <v>38</v>
      </c>
      <c r="M918" s="173" t="s">
        <v>30</v>
      </c>
      <c r="N918" s="174">
        <v>1330</v>
      </c>
      <c r="O918" s="174">
        <v>1330</v>
      </c>
      <c r="P918" s="330">
        <v>6000</v>
      </c>
      <c r="Q918" s="173">
        <v>2</v>
      </c>
      <c r="R918" s="173">
        <v>20</v>
      </c>
      <c r="S918" s="173" t="s">
        <v>354</v>
      </c>
      <c r="T918" s="175">
        <v>44825</v>
      </c>
      <c r="U918" s="175">
        <v>44841</v>
      </c>
      <c r="V918" s="173" t="s">
        <v>355</v>
      </c>
      <c r="W918" s="173"/>
      <c r="X918" s="173"/>
      <c r="Y918" s="141"/>
    </row>
    <row r="919" spans="1:25" s="239" customFormat="1" ht="13.15" customHeight="1" x14ac:dyDescent="0.15">
      <c r="A919" s="173">
        <v>3679981</v>
      </c>
      <c r="B919" s="173" t="s">
        <v>351</v>
      </c>
      <c r="C919" s="173" t="s">
        <v>356</v>
      </c>
      <c r="D919" s="173" t="s">
        <v>353</v>
      </c>
      <c r="E919" s="173" t="s">
        <v>32</v>
      </c>
      <c r="F919" s="173">
        <v>331</v>
      </c>
      <c r="G919" s="173" t="s">
        <v>19</v>
      </c>
      <c r="H919" s="173" t="s">
        <v>20</v>
      </c>
      <c r="I919" s="173" t="s">
        <v>21</v>
      </c>
      <c r="J919" s="173"/>
      <c r="K919" s="173" t="s">
        <v>33</v>
      </c>
      <c r="L919" s="173">
        <v>38</v>
      </c>
      <c r="M919" s="173" t="s">
        <v>30</v>
      </c>
      <c r="N919" s="174">
        <v>1330</v>
      </c>
      <c r="O919" s="174">
        <v>1330</v>
      </c>
      <c r="P919" s="330">
        <v>6000</v>
      </c>
      <c r="Q919" s="173">
        <v>2</v>
      </c>
      <c r="R919" s="173">
        <v>20</v>
      </c>
      <c r="S919" s="173" t="s">
        <v>354</v>
      </c>
      <c r="T919" s="175">
        <v>44825</v>
      </c>
      <c r="U919" s="175">
        <v>44841</v>
      </c>
      <c r="V919" s="173" t="s">
        <v>355</v>
      </c>
      <c r="W919" s="173"/>
      <c r="X919" s="173"/>
      <c r="Y919" s="141"/>
    </row>
    <row r="920" spans="1:25" s="239" customFormat="1" ht="13.15" customHeight="1" x14ac:dyDescent="0.15">
      <c r="A920" s="173">
        <v>3679982</v>
      </c>
      <c r="B920" s="173" t="s">
        <v>351</v>
      </c>
      <c r="C920" s="173" t="s">
        <v>356</v>
      </c>
      <c r="D920" s="173" t="s">
        <v>353</v>
      </c>
      <c r="E920" s="173" t="s">
        <v>17</v>
      </c>
      <c r="F920" s="173">
        <v>3</v>
      </c>
      <c r="G920" s="173" t="s">
        <v>19</v>
      </c>
      <c r="H920" s="173" t="s">
        <v>20</v>
      </c>
      <c r="I920" s="173" t="s">
        <v>21</v>
      </c>
      <c r="J920" s="173"/>
      <c r="K920" s="173" t="s">
        <v>22</v>
      </c>
      <c r="L920" s="173">
        <v>38</v>
      </c>
      <c r="M920" s="173" t="s">
        <v>23</v>
      </c>
      <c r="N920" s="174">
        <v>1057</v>
      </c>
      <c r="O920" s="174">
        <v>1050</v>
      </c>
      <c r="P920" s="330">
        <v>6000</v>
      </c>
      <c r="Q920" s="173">
        <v>2</v>
      </c>
      <c r="R920" s="173">
        <v>8</v>
      </c>
      <c r="S920" s="173" t="s">
        <v>354</v>
      </c>
      <c r="T920" s="175">
        <v>44825</v>
      </c>
      <c r="U920" s="175">
        <v>44841</v>
      </c>
      <c r="V920" s="173" t="s">
        <v>355</v>
      </c>
      <c r="W920" s="173"/>
      <c r="X920" s="173"/>
      <c r="Y920" s="141"/>
    </row>
    <row r="921" spans="1:25" s="239" customFormat="1" ht="13.15" customHeight="1" x14ac:dyDescent="0.15">
      <c r="A921" s="173">
        <v>3679983</v>
      </c>
      <c r="B921" s="173" t="s">
        <v>351</v>
      </c>
      <c r="C921" s="173" t="s">
        <v>359</v>
      </c>
      <c r="D921" s="173" t="s">
        <v>353</v>
      </c>
      <c r="E921" s="173" t="s">
        <v>40</v>
      </c>
      <c r="F921" s="173">
        <v>3</v>
      </c>
      <c r="G921" s="173" t="s">
        <v>19</v>
      </c>
      <c r="H921" s="173" t="s">
        <v>20</v>
      </c>
      <c r="I921" s="173" t="s">
        <v>21</v>
      </c>
      <c r="J921" s="173"/>
      <c r="K921" s="173" t="s">
        <v>42</v>
      </c>
      <c r="L921" s="173">
        <v>25</v>
      </c>
      <c r="M921" s="173" t="s">
        <v>43</v>
      </c>
      <c r="N921" s="174">
        <v>1045</v>
      </c>
      <c r="O921" s="174">
        <v>1040</v>
      </c>
      <c r="P921" s="330">
        <v>6000</v>
      </c>
      <c r="Q921" s="173">
        <v>2</v>
      </c>
      <c r="R921" s="173">
        <v>10</v>
      </c>
      <c r="S921" s="173" t="s">
        <v>354</v>
      </c>
      <c r="T921" s="175">
        <v>44825</v>
      </c>
      <c r="U921" s="175">
        <v>44841</v>
      </c>
      <c r="V921" s="173" t="s">
        <v>355</v>
      </c>
      <c r="W921" s="173"/>
      <c r="X921" s="173"/>
      <c r="Y921" s="141"/>
    </row>
    <row r="922" spans="1:25" s="239" customFormat="1" ht="13.15" customHeight="1" x14ac:dyDescent="0.15">
      <c r="A922" s="173">
        <v>3679984</v>
      </c>
      <c r="B922" s="173" t="s">
        <v>351</v>
      </c>
      <c r="C922" s="173" t="s">
        <v>356</v>
      </c>
      <c r="D922" s="173" t="s">
        <v>353</v>
      </c>
      <c r="E922" s="173" t="s">
        <v>17</v>
      </c>
      <c r="F922" s="173">
        <v>3</v>
      </c>
      <c r="G922" s="173" t="s">
        <v>19</v>
      </c>
      <c r="H922" s="173" t="s">
        <v>20</v>
      </c>
      <c r="I922" s="173" t="s">
        <v>21</v>
      </c>
      <c r="J922" s="173"/>
      <c r="K922" s="173" t="s">
        <v>22</v>
      </c>
      <c r="L922" s="173">
        <v>38</v>
      </c>
      <c r="M922" s="173" t="s">
        <v>23</v>
      </c>
      <c r="N922" s="174">
        <v>1037</v>
      </c>
      <c r="O922" s="174">
        <v>1030</v>
      </c>
      <c r="P922" s="330">
        <v>6000</v>
      </c>
      <c r="Q922" s="173">
        <v>2</v>
      </c>
      <c r="R922" s="173">
        <v>60</v>
      </c>
      <c r="S922" s="173" t="s">
        <v>354</v>
      </c>
      <c r="T922" s="175">
        <v>44825</v>
      </c>
      <c r="U922" s="175">
        <v>44841</v>
      </c>
      <c r="V922" s="173" t="s">
        <v>355</v>
      </c>
      <c r="W922" s="173"/>
      <c r="X922" s="173"/>
      <c r="Y922" s="141"/>
    </row>
    <row r="923" spans="1:25" s="239" customFormat="1" ht="13.15" customHeight="1" x14ac:dyDescent="0.15">
      <c r="A923" s="173">
        <v>3679985</v>
      </c>
      <c r="B923" s="173" t="s">
        <v>351</v>
      </c>
      <c r="C923" s="173" t="s">
        <v>356</v>
      </c>
      <c r="D923" s="173" t="s">
        <v>353</v>
      </c>
      <c r="E923" s="173" t="s">
        <v>17</v>
      </c>
      <c r="F923" s="173">
        <v>331</v>
      </c>
      <c r="G923" s="173" t="s">
        <v>19</v>
      </c>
      <c r="H923" s="173" t="s">
        <v>20</v>
      </c>
      <c r="I923" s="173" t="s">
        <v>21</v>
      </c>
      <c r="J923" s="173"/>
      <c r="K923" s="173" t="s">
        <v>29</v>
      </c>
      <c r="L923" s="173">
        <v>38</v>
      </c>
      <c r="M923" s="173" t="s">
        <v>30</v>
      </c>
      <c r="N923" s="174">
        <v>1030</v>
      </c>
      <c r="O923" s="174">
        <v>1030</v>
      </c>
      <c r="P923" s="330">
        <v>6000</v>
      </c>
      <c r="Q923" s="173">
        <v>2</v>
      </c>
      <c r="R923" s="173">
        <v>6</v>
      </c>
      <c r="S923" s="173" t="s">
        <v>354</v>
      </c>
      <c r="T923" s="175">
        <v>44825</v>
      </c>
      <c r="U923" s="175">
        <v>44841</v>
      </c>
      <c r="V923" s="173" t="s">
        <v>355</v>
      </c>
      <c r="W923" s="173"/>
      <c r="X923" s="173"/>
      <c r="Y923" s="141"/>
    </row>
    <row r="924" spans="1:25" s="239" customFormat="1" ht="13.15" customHeight="1" x14ac:dyDescent="0.15">
      <c r="A924" s="173">
        <v>3679986</v>
      </c>
      <c r="B924" s="173" t="s">
        <v>351</v>
      </c>
      <c r="C924" s="173" t="s">
        <v>356</v>
      </c>
      <c r="D924" s="173" t="s">
        <v>353</v>
      </c>
      <c r="E924" s="173" t="s">
        <v>377</v>
      </c>
      <c r="F924" s="173">
        <v>3</v>
      </c>
      <c r="G924" s="173" t="s">
        <v>19</v>
      </c>
      <c r="H924" s="173" t="s">
        <v>20</v>
      </c>
      <c r="I924" s="173" t="s">
        <v>21</v>
      </c>
      <c r="J924" s="173"/>
      <c r="K924" s="173" t="s">
        <v>36</v>
      </c>
      <c r="L924" s="173">
        <v>25</v>
      </c>
      <c r="M924" s="173" t="s">
        <v>37</v>
      </c>
      <c r="N924" s="174">
        <v>890</v>
      </c>
      <c r="O924" s="174">
        <v>890</v>
      </c>
      <c r="P924" s="330">
        <v>6000</v>
      </c>
      <c r="Q924" s="173">
        <v>2</v>
      </c>
      <c r="R924" s="173">
        <v>6</v>
      </c>
      <c r="S924" s="173" t="s">
        <v>354</v>
      </c>
      <c r="T924" s="175">
        <v>44825</v>
      </c>
      <c r="U924" s="175">
        <v>44841</v>
      </c>
      <c r="V924" s="173" t="s">
        <v>355</v>
      </c>
      <c r="W924" s="173"/>
      <c r="X924" s="173"/>
      <c r="Y924" s="141"/>
    </row>
    <row r="925" spans="1:25" s="239" customFormat="1" ht="13.15" customHeight="1" x14ac:dyDescent="0.15">
      <c r="A925" s="173">
        <v>3679987</v>
      </c>
      <c r="B925" s="173" t="s">
        <v>431</v>
      </c>
      <c r="C925" s="173" t="s">
        <v>364</v>
      </c>
      <c r="D925" s="173" t="s">
        <v>353</v>
      </c>
      <c r="E925" s="173" t="s">
        <v>371</v>
      </c>
      <c r="F925" s="173">
        <v>3</v>
      </c>
      <c r="G925" s="173" t="s">
        <v>265</v>
      </c>
      <c r="H925" s="173" t="s">
        <v>20</v>
      </c>
      <c r="I925" s="173" t="s">
        <v>21</v>
      </c>
      <c r="J925" s="173"/>
      <c r="K925" s="173" t="s">
        <v>118</v>
      </c>
      <c r="L925" s="173">
        <v>25</v>
      </c>
      <c r="M925" s="173" t="s">
        <v>119</v>
      </c>
      <c r="N925" s="174">
        <v>1425</v>
      </c>
      <c r="O925" s="174">
        <v>1420</v>
      </c>
      <c r="P925" s="330">
        <v>6000</v>
      </c>
      <c r="Q925" s="173">
        <v>2</v>
      </c>
      <c r="R925" s="173">
        <v>1</v>
      </c>
      <c r="S925" s="173" t="s">
        <v>354</v>
      </c>
      <c r="T925" s="175">
        <v>44825</v>
      </c>
      <c r="U925" s="175">
        <v>44848</v>
      </c>
      <c r="V925" s="173" t="s">
        <v>355</v>
      </c>
      <c r="W925" s="173"/>
      <c r="X925" s="173"/>
      <c r="Y925" s="141"/>
    </row>
    <row r="926" spans="1:25" s="239" customFormat="1" ht="13.15" customHeight="1" x14ac:dyDescent="0.15">
      <c r="A926" s="173">
        <v>3679988</v>
      </c>
      <c r="B926" s="173" t="s">
        <v>431</v>
      </c>
      <c r="C926" s="173" t="s">
        <v>364</v>
      </c>
      <c r="D926" s="173" t="s">
        <v>353</v>
      </c>
      <c r="E926" s="173" t="s">
        <v>371</v>
      </c>
      <c r="F926" s="173">
        <v>3</v>
      </c>
      <c r="G926" s="173" t="s">
        <v>265</v>
      </c>
      <c r="H926" s="173" t="s">
        <v>20</v>
      </c>
      <c r="I926" s="173" t="s">
        <v>21</v>
      </c>
      <c r="J926" s="173"/>
      <c r="K926" s="173" t="s">
        <v>118</v>
      </c>
      <c r="L926" s="173">
        <v>25</v>
      </c>
      <c r="M926" s="173" t="s">
        <v>119</v>
      </c>
      <c r="N926" s="174">
        <v>1425</v>
      </c>
      <c r="O926" s="174">
        <v>1420</v>
      </c>
      <c r="P926" s="330">
        <v>6000</v>
      </c>
      <c r="Q926" s="173">
        <v>2</v>
      </c>
      <c r="R926" s="173">
        <v>3</v>
      </c>
      <c r="S926" s="173" t="s">
        <v>354</v>
      </c>
      <c r="T926" s="175">
        <v>44825</v>
      </c>
      <c r="U926" s="175">
        <v>44848</v>
      </c>
      <c r="V926" s="173" t="s">
        <v>355</v>
      </c>
      <c r="W926" s="173"/>
      <c r="X926" s="173"/>
      <c r="Y926" s="141"/>
    </row>
    <row r="927" spans="1:25" s="239" customFormat="1" ht="13.15" customHeight="1" x14ac:dyDescent="0.15">
      <c r="A927" s="173">
        <v>3679989</v>
      </c>
      <c r="B927" s="173" t="s">
        <v>431</v>
      </c>
      <c r="C927" s="173" t="s">
        <v>356</v>
      </c>
      <c r="D927" s="173" t="s">
        <v>353</v>
      </c>
      <c r="E927" s="173" t="s">
        <v>130</v>
      </c>
      <c r="F927" s="173">
        <v>3</v>
      </c>
      <c r="G927" s="173" t="s">
        <v>265</v>
      </c>
      <c r="H927" s="173" t="s">
        <v>20</v>
      </c>
      <c r="I927" s="173" t="s">
        <v>21</v>
      </c>
      <c r="J927" s="173"/>
      <c r="K927" s="173" t="s">
        <v>435</v>
      </c>
      <c r="L927" s="173">
        <v>25</v>
      </c>
      <c r="M927" s="173" t="s">
        <v>436</v>
      </c>
      <c r="N927" s="174">
        <v>1410</v>
      </c>
      <c r="O927" s="174">
        <v>1410</v>
      </c>
      <c r="P927" s="330">
        <v>6000</v>
      </c>
      <c r="Q927" s="173">
        <v>2</v>
      </c>
      <c r="R927" s="173">
        <v>20</v>
      </c>
      <c r="S927" s="173" t="s">
        <v>354</v>
      </c>
      <c r="T927" s="175">
        <v>44825</v>
      </c>
      <c r="U927" s="175">
        <v>44848</v>
      </c>
      <c r="V927" s="173" t="s">
        <v>355</v>
      </c>
      <c r="W927" s="173"/>
      <c r="X927" s="173"/>
      <c r="Y927" s="141"/>
    </row>
    <row r="928" spans="1:25" s="239" customFormat="1" ht="13.15" customHeight="1" x14ac:dyDescent="0.15">
      <c r="A928" s="173">
        <v>3679990</v>
      </c>
      <c r="B928" s="173" t="s">
        <v>351</v>
      </c>
      <c r="C928" s="173" t="s">
        <v>352</v>
      </c>
      <c r="D928" s="173" t="s">
        <v>353</v>
      </c>
      <c r="E928" s="173" t="s">
        <v>116</v>
      </c>
      <c r="F928" s="173">
        <v>3</v>
      </c>
      <c r="G928" s="173" t="s">
        <v>19</v>
      </c>
      <c r="H928" s="173" t="s">
        <v>20</v>
      </c>
      <c r="I928" s="173" t="s">
        <v>21</v>
      </c>
      <c r="J928" s="173"/>
      <c r="K928" s="173" t="s">
        <v>118</v>
      </c>
      <c r="L928" s="173">
        <v>38</v>
      </c>
      <c r="M928" s="173" t="s">
        <v>368</v>
      </c>
      <c r="N928" s="174">
        <v>1415</v>
      </c>
      <c r="O928" s="174">
        <v>1410</v>
      </c>
      <c r="P928" s="330">
        <v>6000</v>
      </c>
      <c r="Q928" s="173">
        <v>2</v>
      </c>
      <c r="R928" s="173">
        <v>15</v>
      </c>
      <c r="S928" s="173" t="s">
        <v>354</v>
      </c>
      <c r="T928" s="175">
        <v>44825</v>
      </c>
      <c r="U928" s="175">
        <v>44855</v>
      </c>
      <c r="V928" s="173" t="s">
        <v>355</v>
      </c>
      <c r="W928" s="173"/>
      <c r="X928" s="173"/>
      <c r="Y928" s="141"/>
    </row>
    <row r="929" spans="1:25" s="239" customFormat="1" ht="13.15" customHeight="1" x14ac:dyDescent="0.15">
      <c r="A929" s="173">
        <v>3679991</v>
      </c>
      <c r="B929" s="173" t="s">
        <v>351</v>
      </c>
      <c r="C929" s="173" t="s">
        <v>356</v>
      </c>
      <c r="D929" s="173" t="s">
        <v>353</v>
      </c>
      <c r="E929" s="173" t="s">
        <v>106</v>
      </c>
      <c r="F929" s="173">
        <v>3</v>
      </c>
      <c r="G929" s="173" t="s">
        <v>19</v>
      </c>
      <c r="H929" s="173" t="s">
        <v>20</v>
      </c>
      <c r="I929" s="173" t="s">
        <v>21</v>
      </c>
      <c r="J929" s="173"/>
      <c r="K929" s="173" t="s">
        <v>107</v>
      </c>
      <c r="L929" s="173">
        <v>25</v>
      </c>
      <c r="M929" s="173" t="s">
        <v>367</v>
      </c>
      <c r="N929" s="174">
        <v>1240</v>
      </c>
      <c r="O929" s="174">
        <v>1240</v>
      </c>
      <c r="P929" s="330">
        <v>6000</v>
      </c>
      <c r="Q929" s="173">
        <v>2</v>
      </c>
      <c r="R929" s="173">
        <v>26</v>
      </c>
      <c r="S929" s="173" t="s">
        <v>354</v>
      </c>
      <c r="T929" s="175">
        <v>44825</v>
      </c>
      <c r="U929" s="175">
        <v>44848</v>
      </c>
      <c r="V929" s="173" t="s">
        <v>355</v>
      </c>
      <c r="W929" s="173"/>
      <c r="X929" s="173"/>
      <c r="Y929" s="141"/>
    </row>
    <row r="930" spans="1:25" s="239" customFormat="1" ht="13.15" customHeight="1" x14ac:dyDescent="0.15">
      <c r="A930" s="173">
        <v>3679992</v>
      </c>
      <c r="B930" s="173" t="s">
        <v>351</v>
      </c>
      <c r="C930" s="173" t="s">
        <v>356</v>
      </c>
      <c r="D930" s="173" t="s">
        <v>353</v>
      </c>
      <c r="E930" s="173" t="s">
        <v>106</v>
      </c>
      <c r="F930" s="173">
        <v>3</v>
      </c>
      <c r="G930" s="173" t="s">
        <v>19</v>
      </c>
      <c r="H930" s="173" t="s">
        <v>20</v>
      </c>
      <c r="I930" s="173" t="s">
        <v>21</v>
      </c>
      <c r="J930" s="173"/>
      <c r="K930" s="173" t="s">
        <v>107</v>
      </c>
      <c r="L930" s="173">
        <v>38</v>
      </c>
      <c r="M930" s="173" t="s">
        <v>367</v>
      </c>
      <c r="N930" s="174">
        <v>1240</v>
      </c>
      <c r="O930" s="174">
        <v>1240</v>
      </c>
      <c r="P930" s="330">
        <v>6000</v>
      </c>
      <c r="Q930" s="173">
        <v>2</v>
      </c>
      <c r="R930" s="173">
        <v>12</v>
      </c>
      <c r="S930" s="173" t="s">
        <v>354</v>
      </c>
      <c r="T930" s="175">
        <v>44825</v>
      </c>
      <c r="U930" s="175">
        <v>44848</v>
      </c>
      <c r="V930" s="173" t="s">
        <v>355</v>
      </c>
      <c r="W930" s="173"/>
      <c r="X930" s="173"/>
      <c r="Y930" s="141"/>
    </row>
    <row r="931" spans="1:25" s="239" customFormat="1" ht="13.15" customHeight="1" x14ac:dyDescent="0.15">
      <c r="A931" s="173">
        <v>3679993</v>
      </c>
      <c r="B931" s="173" t="s">
        <v>351</v>
      </c>
      <c r="C931" s="173" t="s">
        <v>356</v>
      </c>
      <c r="D931" s="173" t="s">
        <v>353</v>
      </c>
      <c r="E931" s="173" t="s">
        <v>115</v>
      </c>
      <c r="F931" s="173">
        <v>3</v>
      </c>
      <c r="G931" s="173" t="s">
        <v>19</v>
      </c>
      <c r="H931" s="173" t="s">
        <v>20</v>
      </c>
      <c r="I931" s="173" t="s">
        <v>21</v>
      </c>
      <c r="J931" s="173"/>
      <c r="K931" s="173" t="s">
        <v>112</v>
      </c>
      <c r="L931" s="173">
        <v>38</v>
      </c>
      <c r="M931" s="173" t="s">
        <v>357</v>
      </c>
      <c r="N931" s="174">
        <v>1135</v>
      </c>
      <c r="O931" s="174">
        <v>1130</v>
      </c>
      <c r="P931" s="330">
        <v>6000</v>
      </c>
      <c r="Q931" s="173">
        <v>2</v>
      </c>
      <c r="R931" s="173">
        <v>2</v>
      </c>
      <c r="S931" s="173" t="s">
        <v>354</v>
      </c>
      <c r="T931" s="175">
        <v>44825</v>
      </c>
      <c r="U931" s="175">
        <v>44848</v>
      </c>
      <c r="V931" s="173" t="s">
        <v>355</v>
      </c>
      <c r="W931" s="173"/>
      <c r="X931" s="173"/>
      <c r="Y931" s="141"/>
    </row>
    <row r="932" spans="1:25" s="239" customFormat="1" ht="13.15" customHeight="1" x14ac:dyDescent="0.15">
      <c r="A932" s="173">
        <v>3679994</v>
      </c>
      <c r="B932" s="173" t="s">
        <v>351</v>
      </c>
      <c r="C932" s="173" t="s">
        <v>356</v>
      </c>
      <c r="D932" s="173" t="s">
        <v>353</v>
      </c>
      <c r="E932" s="173" t="s">
        <v>106</v>
      </c>
      <c r="F932" s="173">
        <v>3</v>
      </c>
      <c r="G932" s="173" t="s">
        <v>19</v>
      </c>
      <c r="H932" s="173" t="s">
        <v>20</v>
      </c>
      <c r="I932" s="173" t="s">
        <v>21</v>
      </c>
      <c r="J932" s="173"/>
      <c r="K932" s="173" t="s">
        <v>107</v>
      </c>
      <c r="L932" s="173">
        <v>25</v>
      </c>
      <c r="M932" s="173" t="s">
        <v>367</v>
      </c>
      <c r="N932" s="174">
        <v>1040</v>
      </c>
      <c r="O932" s="174">
        <v>1040</v>
      </c>
      <c r="P932" s="330">
        <v>6000</v>
      </c>
      <c r="Q932" s="173">
        <v>2</v>
      </c>
      <c r="R932" s="173">
        <v>36</v>
      </c>
      <c r="S932" s="173" t="s">
        <v>354</v>
      </c>
      <c r="T932" s="175">
        <v>44825</v>
      </c>
      <c r="U932" s="175">
        <v>44848</v>
      </c>
      <c r="V932" s="173" t="s">
        <v>355</v>
      </c>
      <c r="W932" s="173"/>
      <c r="X932" s="173"/>
      <c r="Y932" s="141"/>
    </row>
    <row r="933" spans="1:25" s="239" customFormat="1" ht="13.15" customHeight="1" x14ac:dyDescent="0.15">
      <c r="A933" s="173">
        <v>3679995</v>
      </c>
      <c r="B933" s="173" t="s">
        <v>351</v>
      </c>
      <c r="C933" s="173" t="s">
        <v>352</v>
      </c>
      <c r="D933" s="173" t="s">
        <v>353</v>
      </c>
      <c r="E933" s="173" t="s">
        <v>116</v>
      </c>
      <c r="F933" s="173">
        <v>3</v>
      </c>
      <c r="G933" s="173" t="s">
        <v>19</v>
      </c>
      <c r="H933" s="173" t="s">
        <v>20</v>
      </c>
      <c r="I933" s="173" t="s">
        <v>21</v>
      </c>
      <c r="J933" s="173"/>
      <c r="K933" s="173" t="s">
        <v>118</v>
      </c>
      <c r="L933" s="173">
        <v>38</v>
      </c>
      <c r="M933" s="173" t="s">
        <v>368</v>
      </c>
      <c r="N933" s="174">
        <v>1005</v>
      </c>
      <c r="O933" s="174">
        <v>1000</v>
      </c>
      <c r="P933" s="330">
        <v>6000</v>
      </c>
      <c r="Q933" s="173">
        <v>2</v>
      </c>
      <c r="R933" s="173">
        <v>10</v>
      </c>
      <c r="S933" s="173" t="s">
        <v>354</v>
      </c>
      <c r="T933" s="175">
        <v>44825</v>
      </c>
      <c r="U933" s="175">
        <v>44861</v>
      </c>
      <c r="V933" s="173" t="s">
        <v>355</v>
      </c>
      <c r="W933" s="173"/>
      <c r="X933" s="173"/>
      <c r="Y933" s="141"/>
    </row>
    <row r="934" spans="1:25" s="239" customFormat="1" ht="13.15" customHeight="1" x14ac:dyDescent="0.15">
      <c r="A934" s="173">
        <v>3679996</v>
      </c>
      <c r="B934" s="173" t="s">
        <v>351</v>
      </c>
      <c r="C934" s="173" t="s">
        <v>356</v>
      </c>
      <c r="D934" s="173" t="s">
        <v>353</v>
      </c>
      <c r="E934" s="173" t="s">
        <v>32</v>
      </c>
      <c r="F934" s="173">
        <v>331</v>
      </c>
      <c r="G934" s="173" t="s">
        <v>19</v>
      </c>
      <c r="H934" s="173" t="s">
        <v>20</v>
      </c>
      <c r="I934" s="173" t="s">
        <v>21</v>
      </c>
      <c r="J934" s="173"/>
      <c r="K934" s="173" t="s">
        <v>54</v>
      </c>
      <c r="L934" s="173">
        <v>38</v>
      </c>
      <c r="M934" s="173" t="s">
        <v>53</v>
      </c>
      <c r="N934" s="174">
        <v>1580</v>
      </c>
      <c r="O934" s="174">
        <v>1580</v>
      </c>
      <c r="P934" s="330">
        <v>6000</v>
      </c>
      <c r="Q934" s="173">
        <v>2</v>
      </c>
      <c r="R934" s="173">
        <v>2</v>
      </c>
      <c r="S934" s="173" t="s">
        <v>354</v>
      </c>
      <c r="T934" s="175">
        <v>44825</v>
      </c>
      <c r="U934" s="175">
        <v>44855</v>
      </c>
      <c r="V934" s="173" t="s">
        <v>355</v>
      </c>
      <c r="W934" s="173"/>
      <c r="X934" s="173"/>
      <c r="Y934" s="141"/>
    </row>
    <row r="935" spans="1:25" s="239" customFormat="1" ht="13.15" customHeight="1" x14ac:dyDescent="0.15">
      <c r="A935" s="173">
        <v>3679997</v>
      </c>
      <c r="B935" s="173" t="s">
        <v>351</v>
      </c>
      <c r="C935" s="173" t="s">
        <v>356</v>
      </c>
      <c r="D935" s="173" t="s">
        <v>353</v>
      </c>
      <c r="E935" s="173" t="s">
        <v>17</v>
      </c>
      <c r="F935" s="173">
        <v>3</v>
      </c>
      <c r="G935" s="173" t="s">
        <v>19</v>
      </c>
      <c r="H935" s="173" t="s">
        <v>20</v>
      </c>
      <c r="I935" s="173" t="s">
        <v>21</v>
      </c>
      <c r="J935" s="173"/>
      <c r="K935" s="173" t="s">
        <v>437</v>
      </c>
      <c r="L935" s="173">
        <v>75</v>
      </c>
      <c r="M935" s="173" t="s">
        <v>438</v>
      </c>
      <c r="N935" s="174">
        <v>1330</v>
      </c>
      <c r="O935" s="174">
        <v>1330</v>
      </c>
      <c r="P935" s="330">
        <v>6000</v>
      </c>
      <c r="Q935" s="173">
        <v>2</v>
      </c>
      <c r="R935" s="173">
        <v>3</v>
      </c>
      <c r="S935" s="173" t="s">
        <v>354</v>
      </c>
      <c r="T935" s="175">
        <v>44825</v>
      </c>
      <c r="U935" s="175">
        <v>44855</v>
      </c>
      <c r="V935" s="173" t="s">
        <v>355</v>
      </c>
      <c r="W935" s="173"/>
      <c r="X935" s="173"/>
      <c r="Y935" s="141"/>
    </row>
    <row r="936" spans="1:25" s="239" customFormat="1" ht="13.15" customHeight="1" x14ac:dyDescent="0.15">
      <c r="A936" s="173">
        <v>3679998</v>
      </c>
      <c r="B936" s="173" t="s">
        <v>351</v>
      </c>
      <c r="C936" s="173" t="s">
        <v>356</v>
      </c>
      <c r="D936" s="173" t="s">
        <v>353</v>
      </c>
      <c r="E936" s="173" t="s">
        <v>32</v>
      </c>
      <c r="F936" s="173">
        <v>3</v>
      </c>
      <c r="G936" s="173" t="s">
        <v>19</v>
      </c>
      <c r="H936" s="173" t="s">
        <v>20</v>
      </c>
      <c r="I936" s="173" t="s">
        <v>21</v>
      </c>
      <c r="J936" s="173"/>
      <c r="K936" s="173" t="s">
        <v>56</v>
      </c>
      <c r="L936" s="173">
        <v>75</v>
      </c>
      <c r="M936" s="173" t="s">
        <v>376</v>
      </c>
      <c r="N936" s="174">
        <v>1330</v>
      </c>
      <c r="O936" s="174">
        <v>1330</v>
      </c>
      <c r="P936" s="330">
        <v>6000</v>
      </c>
      <c r="Q936" s="173">
        <v>2</v>
      </c>
      <c r="R936" s="173">
        <v>20</v>
      </c>
      <c r="S936" s="173" t="s">
        <v>354</v>
      </c>
      <c r="T936" s="175">
        <v>44825</v>
      </c>
      <c r="U936" s="175">
        <v>44855</v>
      </c>
      <c r="V936" s="173" t="s">
        <v>355</v>
      </c>
      <c r="W936" s="173"/>
      <c r="X936" s="173"/>
      <c r="Y936" s="141"/>
    </row>
    <row r="937" spans="1:25" s="239" customFormat="1" ht="13.15" customHeight="1" x14ac:dyDescent="0.15">
      <c r="A937" s="173">
        <v>3679999</v>
      </c>
      <c r="B937" s="173" t="s">
        <v>351</v>
      </c>
      <c r="C937" s="173" t="s">
        <v>358</v>
      </c>
      <c r="D937" s="173" t="s">
        <v>353</v>
      </c>
      <c r="E937" s="173" t="s">
        <v>369</v>
      </c>
      <c r="F937" s="173">
        <v>3</v>
      </c>
      <c r="G937" s="173" t="s">
        <v>19</v>
      </c>
      <c r="H937" s="173" t="s">
        <v>20</v>
      </c>
      <c r="I937" s="173" t="s">
        <v>21</v>
      </c>
      <c r="J937" s="173"/>
      <c r="K937" s="173" t="s">
        <v>47</v>
      </c>
      <c r="L937" s="173">
        <v>38</v>
      </c>
      <c r="M937" s="173" t="s">
        <v>53</v>
      </c>
      <c r="N937" s="174">
        <v>535</v>
      </c>
      <c r="O937" s="174">
        <v>535</v>
      </c>
      <c r="P937" s="330">
        <v>6000</v>
      </c>
      <c r="Q937" s="173">
        <v>2</v>
      </c>
      <c r="R937" s="173">
        <v>4</v>
      </c>
      <c r="S937" s="173" t="s">
        <v>354</v>
      </c>
      <c r="T937" s="175">
        <v>44825</v>
      </c>
      <c r="U937" s="175">
        <v>44855</v>
      </c>
      <c r="V937" s="173" t="s">
        <v>355</v>
      </c>
      <c r="W937" s="173"/>
      <c r="X937" s="173"/>
      <c r="Y937" s="141"/>
    </row>
    <row r="938" spans="1:25" s="239" customFormat="1" ht="13.15" customHeight="1" x14ac:dyDescent="0.15">
      <c r="A938" s="173">
        <v>3680000</v>
      </c>
      <c r="B938" s="173" t="s">
        <v>431</v>
      </c>
      <c r="C938" s="173" t="s">
        <v>358</v>
      </c>
      <c r="D938" s="173" t="s">
        <v>353</v>
      </c>
      <c r="E938" s="173" t="s">
        <v>61</v>
      </c>
      <c r="F938" s="173">
        <v>3</v>
      </c>
      <c r="G938" s="173" t="s">
        <v>265</v>
      </c>
      <c r="H938" s="173" t="s">
        <v>20</v>
      </c>
      <c r="I938" s="173" t="s">
        <v>21</v>
      </c>
      <c r="J938" s="173"/>
      <c r="K938" s="173" t="s">
        <v>263</v>
      </c>
      <c r="L938" s="173">
        <v>75</v>
      </c>
      <c r="M938" s="173" t="s">
        <v>264</v>
      </c>
      <c r="N938" s="174">
        <v>1050</v>
      </c>
      <c r="O938" s="174">
        <v>1050</v>
      </c>
      <c r="P938" s="330">
        <v>6000</v>
      </c>
      <c r="Q938" s="173">
        <v>2</v>
      </c>
      <c r="R938" s="173">
        <v>5</v>
      </c>
      <c r="S938" s="173" t="s">
        <v>354</v>
      </c>
      <c r="T938" s="175">
        <v>44825</v>
      </c>
      <c r="U938" s="175">
        <v>44860</v>
      </c>
      <c r="V938" s="173" t="s">
        <v>355</v>
      </c>
      <c r="W938" s="173"/>
      <c r="X938" s="173"/>
      <c r="Y938" s="141"/>
    </row>
    <row r="939" spans="1:25" s="239" customFormat="1" ht="13.15" customHeight="1" x14ac:dyDescent="0.15">
      <c r="A939" s="173">
        <v>3680001</v>
      </c>
      <c r="B939" s="173" t="s">
        <v>351</v>
      </c>
      <c r="C939" s="173" t="s">
        <v>364</v>
      </c>
      <c r="D939" s="173" t="s">
        <v>353</v>
      </c>
      <c r="E939" s="173" t="s">
        <v>371</v>
      </c>
      <c r="F939" s="173">
        <v>3</v>
      </c>
      <c r="G939" s="173" t="s">
        <v>19</v>
      </c>
      <c r="H939" s="173" t="s">
        <v>28</v>
      </c>
      <c r="I939" s="173" t="s">
        <v>21</v>
      </c>
      <c r="J939" s="173"/>
      <c r="K939" s="173" t="s">
        <v>60</v>
      </c>
      <c r="L939" s="173">
        <v>75</v>
      </c>
      <c r="M939" s="173" t="s">
        <v>372</v>
      </c>
      <c r="N939" s="174">
        <v>1040</v>
      </c>
      <c r="O939" s="174">
        <v>1040</v>
      </c>
      <c r="P939" s="330">
        <v>6000</v>
      </c>
      <c r="Q939" s="173">
        <v>1</v>
      </c>
      <c r="R939" s="173">
        <v>1</v>
      </c>
      <c r="S939" s="173" t="s">
        <v>354</v>
      </c>
      <c r="T939" s="175">
        <v>44825</v>
      </c>
      <c r="U939" s="175">
        <v>44860</v>
      </c>
      <c r="V939" s="173" t="s">
        <v>355</v>
      </c>
      <c r="W939" s="173"/>
      <c r="X939" s="173"/>
      <c r="Y939" s="141"/>
    </row>
    <row r="940" spans="1:25" s="239" customFormat="1" ht="13.15" customHeight="1" x14ac:dyDescent="0.15">
      <c r="A940" s="173">
        <v>3680002</v>
      </c>
      <c r="B940" s="173" t="s">
        <v>351</v>
      </c>
      <c r="C940" s="173" t="s">
        <v>363</v>
      </c>
      <c r="D940" s="173" t="s">
        <v>353</v>
      </c>
      <c r="E940" s="173" t="s">
        <v>65</v>
      </c>
      <c r="F940" s="173">
        <v>3321</v>
      </c>
      <c r="G940" s="173" t="s">
        <v>19</v>
      </c>
      <c r="H940" s="173" t="s">
        <v>20</v>
      </c>
      <c r="I940" s="173" t="s">
        <v>21</v>
      </c>
      <c r="J940" s="173"/>
      <c r="K940" s="173" t="s">
        <v>67</v>
      </c>
      <c r="L940" s="173">
        <v>38</v>
      </c>
      <c r="M940" s="173" t="s">
        <v>68</v>
      </c>
      <c r="N940" s="174">
        <v>1336</v>
      </c>
      <c r="O940" s="174">
        <v>1325</v>
      </c>
      <c r="P940" s="330">
        <v>6000</v>
      </c>
      <c r="Q940" s="173">
        <v>2</v>
      </c>
      <c r="R940" s="173">
        <v>34</v>
      </c>
      <c r="S940" s="173" t="s">
        <v>354</v>
      </c>
      <c r="T940" s="175">
        <v>44825</v>
      </c>
      <c r="U940" s="175">
        <v>44860</v>
      </c>
      <c r="V940" s="173" t="s">
        <v>355</v>
      </c>
      <c r="W940" s="173"/>
      <c r="X940" s="173"/>
      <c r="Y940" s="141"/>
    </row>
    <row r="941" spans="1:25" s="239" customFormat="1" ht="13.15" customHeight="1" x14ac:dyDescent="0.15">
      <c r="A941" s="173">
        <v>3680003</v>
      </c>
      <c r="B941" s="173" t="s">
        <v>351</v>
      </c>
      <c r="C941" s="173" t="s">
        <v>363</v>
      </c>
      <c r="D941" s="173" t="s">
        <v>353</v>
      </c>
      <c r="E941" s="173" t="s">
        <v>65</v>
      </c>
      <c r="F941" s="173">
        <v>3321</v>
      </c>
      <c r="G941" s="173" t="s">
        <v>19</v>
      </c>
      <c r="H941" s="173" t="s">
        <v>20</v>
      </c>
      <c r="I941" s="173" t="s">
        <v>21</v>
      </c>
      <c r="J941" s="173"/>
      <c r="K941" s="173" t="s">
        <v>70</v>
      </c>
      <c r="L941" s="173">
        <v>38</v>
      </c>
      <c r="M941" s="173" t="s">
        <v>71</v>
      </c>
      <c r="N941" s="174">
        <v>1336</v>
      </c>
      <c r="O941" s="174">
        <v>1325</v>
      </c>
      <c r="P941" s="330">
        <v>6000</v>
      </c>
      <c r="Q941" s="173">
        <v>2</v>
      </c>
      <c r="R941" s="173">
        <v>25</v>
      </c>
      <c r="S941" s="173" t="s">
        <v>354</v>
      </c>
      <c r="T941" s="175">
        <v>44825</v>
      </c>
      <c r="U941" s="175">
        <v>44860</v>
      </c>
      <c r="V941" s="173" t="s">
        <v>355</v>
      </c>
      <c r="W941" s="173"/>
      <c r="X941" s="173"/>
      <c r="Y941" s="141"/>
    </row>
    <row r="942" spans="1:25" s="239" customFormat="1" ht="13.15" customHeight="1" x14ac:dyDescent="0.15">
      <c r="A942" s="173">
        <v>3680004</v>
      </c>
      <c r="B942" s="173" t="s">
        <v>351</v>
      </c>
      <c r="C942" s="173" t="s">
        <v>363</v>
      </c>
      <c r="D942" s="173" t="s">
        <v>353</v>
      </c>
      <c r="E942" s="173" t="s">
        <v>65</v>
      </c>
      <c r="F942" s="173">
        <v>3321</v>
      </c>
      <c r="G942" s="173" t="s">
        <v>19</v>
      </c>
      <c r="H942" s="173" t="s">
        <v>20</v>
      </c>
      <c r="I942" s="173" t="s">
        <v>21</v>
      </c>
      <c r="J942" s="173"/>
      <c r="K942" s="173" t="s">
        <v>70</v>
      </c>
      <c r="L942" s="173">
        <v>38</v>
      </c>
      <c r="M942" s="173" t="s">
        <v>71</v>
      </c>
      <c r="N942" s="174">
        <v>1336</v>
      </c>
      <c r="O942" s="174">
        <v>1325</v>
      </c>
      <c r="P942" s="330">
        <v>6000</v>
      </c>
      <c r="Q942" s="173">
        <v>2</v>
      </c>
      <c r="R942" s="173">
        <v>8</v>
      </c>
      <c r="S942" s="173" t="s">
        <v>354</v>
      </c>
      <c r="T942" s="175">
        <v>44825</v>
      </c>
      <c r="U942" s="175">
        <v>44860</v>
      </c>
      <c r="V942" s="173" t="s">
        <v>355</v>
      </c>
      <c r="W942" s="173"/>
      <c r="X942" s="173"/>
      <c r="Y942" s="141"/>
    </row>
    <row r="943" spans="1:25" s="239" customFormat="1" ht="13.15" customHeight="1" x14ac:dyDescent="0.15">
      <c r="A943" s="173">
        <v>3680005</v>
      </c>
      <c r="B943" s="173" t="s">
        <v>351</v>
      </c>
      <c r="C943" s="173" t="s">
        <v>358</v>
      </c>
      <c r="D943" s="173" t="s">
        <v>353</v>
      </c>
      <c r="E943" s="173" t="s">
        <v>61</v>
      </c>
      <c r="F943" s="173">
        <v>331</v>
      </c>
      <c r="G943" s="173" t="s">
        <v>19</v>
      </c>
      <c r="H943" s="173" t="s">
        <v>20</v>
      </c>
      <c r="I943" s="173" t="s">
        <v>21</v>
      </c>
      <c r="J943" s="173"/>
      <c r="K943" s="173" t="s">
        <v>62</v>
      </c>
      <c r="L943" s="173">
        <v>38</v>
      </c>
      <c r="M943" s="173" t="s">
        <v>63</v>
      </c>
      <c r="N943" s="174">
        <v>1025</v>
      </c>
      <c r="O943" s="174">
        <v>1020</v>
      </c>
      <c r="P943" s="330">
        <v>6000</v>
      </c>
      <c r="Q943" s="173">
        <v>2</v>
      </c>
      <c r="R943" s="173">
        <v>2</v>
      </c>
      <c r="S943" s="173" t="s">
        <v>354</v>
      </c>
      <c r="T943" s="175">
        <v>44825</v>
      </c>
      <c r="U943" s="175">
        <v>44860</v>
      </c>
      <c r="V943" s="173" t="s">
        <v>355</v>
      </c>
      <c r="W943" s="173"/>
      <c r="X943" s="173"/>
      <c r="Y943" s="141"/>
    </row>
    <row r="944" spans="1:25" s="239" customFormat="1" ht="13.15" customHeight="1" x14ac:dyDescent="0.15">
      <c r="A944" s="173">
        <v>3680007</v>
      </c>
      <c r="B944" s="173" t="s">
        <v>351</v>
      </c>
      <c r="C944" s="173" t="s">
        <v>352</v>
      </c>
      <c r="D944" s="173" t="s">
        <v>353</v>
      </c>
      <c r="E944" s="173" t="s">
        <v>155</v>
      </c>
      <c r="F944" s="173" t="s">
        <v>158</v>
      </c>
      <c r="G944" s="173" t="s">
        <v>19</v>
      </c>
      <c r="H944" s="173" t="s">
        <v>20</v>
      </c>
      <c r="I944" s="173" t="s">
        <v>143</v>
      </c>
      <c r="J944" s="173"/>
      <c r="K944" s="173" t="s">
        <v>156</v>
      </c>
      <c r="L944" s="173">
        <v>25</v>
      </c>
      <c r="M944" s="173" t="s">
        <v>157</v>
      </c>
      <c r="N944" s="174">
        <v>1120</v>
      </c>
      <c r="O944" s="174">
        <v>1120</v>
      </c>
      <c r="P944" s="330">
        <v>6000</v>
      </c>
      <c r="Q944" s="173">
        <v>2</v>
      </c>
      <c r="R944" s="173">
        <v>6</v>
      </c>
      <c r="S944" s="173" t="s">
        <v>354</v>
      </c>
      <c r="T944" s="175">
        <v>44825</v>
      </c>
      <c r="U944" s="175">
        <v>44849</v>
      </c>
      <c r="V944" s="173" t="s">
        <v>355</v>
      </c>
      <c r="W944" s="173"/>
      <c r="X944" s="173"/>
      <c r="Y944" s="141"/>
    </row>
    <row r="945" spans="1:25" s="239" customFormat="1" ht="13.15" customHeight="1" x14ac:dyDescent="0.15">
      <c r="A945" s="173">
        <v>3680011</v>
      </c>
      <c r="B945" s="173" t="s">
        <v>351</v>
      </c>
      <c r="C945" s="173" t="s">
        <v>364</v>
      </c>
      <c r="D945" s="173" t="s">
        <v>353</v>
      </c>
      <c r="E945" s="173" t="s">
        <v>162</v>
      </c>
      <c r="F945" s="173">
        <v>3</v>
      </c>
      <c r="G945" s="173" t="s">
        <v>19</v>
      </c>
      <c r="H945" s="173" t="s">
        <v>20</v>
      </c>
      <c r="I945" s="173" t="s">
        <v>143</v>
      </c>
      <c r="J945" s="173"/>
      <c r="K945" s="173" t="s">
        <v>163</v>
      </c>
      <c r="L945" s="173">
        <v>50</v>
      </c>
      <c r="M945" s="173" t="s">
        <v>164</v>
      </c>
      <c r="N945" s="174">
        <v>1320</v>
      </c>
      <c r="O945" s="174">
        <v>1320</v>
      </c>
      <c r="P945" s="330">
        <v>6000</v>
      </c>
      <c r="Q945" s="173">
        <v>2</v>
      </c>
      <c r="R945" s="173">
        <v>2</v>
      </c>
      <c r="S945" s="173" t="s">
        <v>354</v>
      </c>
      <c r="T945" s="175">
        <v>44825</v>
      </c>
      <c r="U945" s="175">
        <v>44849</v>
      </c>
      <c r="V945" s="173" t="s">
        <v>355</v>
      </c>
      <c r="W945" s="173"/>
      <c r="X945" s="173"/>
      <c r="Y945" s="141"/>
    </row>
    <row r="946" spans="1:25" s="239" customFormat="1" ht="13.15" customHeight="1" x14ac:dyDescent="0.15">
      <c r="A946" s="173">
        <v>3680026</v>
      </c>
      <c r="B946" s="173" t="s">
        <v>351</v>
      </c>
      <c r="C946" s="173" t="s">
        <v>352</v>
      </c>
      <c r="D946" s="173" t="s">
        <v>353</v>
      </c>
      <c r="E946" s="173" t="s">
        <v>116</v>
      </c>
      <c r="F946" s="173">
        <v>3</v>
      </c>
      <c r="G946" s="173" t="s">
        <v>19</v>
      </c>
      <c r="H946" s="173" t="s">
        <v>20</v>
      </c>
      <c r="I946" s="173" t="s">
        <v>143</v>
      </c>
      <c r="J946" s="173"/>
      <c r="K946" s="173" t="s">
        <v>159</v>
      </c>
      <c r="L946" s="173">
        <v>25</v>
      </c>
      <c r="M946" s="173" t="s">
        <v>160</v>
      </c>
      <c r="N946" s="174">
        <v>1005</v>
      </c>
      <c r="O946" s="174">
        <v>1000</v>
      </c>
      <c r="P946" s="330">
        <v>6000</v>
      </c>
      <c r="Q946" s="173">
        <v>2</v>
      </c>
      <c r="R946" s="173">
        <v>6</v>
      </c>
      <c r="S946" s="173" t="s">
        <v>354</v>
      </c>
      <c r="T946" s="175">
        <v>44825</v>
      </c>
      <c r="U946" s="175">
        <v>44845</v>
      </c>
      <c r="V946" s="173" t="s">
        <v>355</v>
      </c>
      <c r="W946" s="173"/>
      <c r="X946" s="173"/>
      <c r="Y946" s="141"/>
    </row>
    <row r="947" spans="1:25" s="239" customFormat="1" ht="13.15" customHeight="1" x14ac:dyDescent="0.15">
      <c r="A947" s="173">
        <v>3680039</v>
      </c>
      <c r="B947" s="173" t="s">
        <v>351</v>
      </c>
      <c r="C947" s="173" t="s">
        <v>352</v>
      </c>
      <c r="D947" s="173" t="s">
        <v>353</v>
      </c>
      <c r="E947" s="173" t="s">
        <v>116</v>
      </c>
      <c r="F947" s="173">
        <v>3</v>
      </c>
      <c r="G947" s="173" t="s">
        <v>19</v>
      </c>
      <c r="H947" s="173" t="s">
        <v>20</v>
      </c>
      <c r="I947" s="173" t="s">
        <v>143</v>
      </c>
      <c r="J947" s="173"/>
      <c r="K947" s="173" t="s">
        <v>144</v>
      </c>
      <c r="L947" s="173">
        <v>75</v>
      </c>
      <c r="M947" s="173" t="s">
        <v>145</v>
      </c>
      <c r="N947" s="174">
        <v>1002</v>
      </c>
      <c r="O947" s="174">
        <v>1000</v>
      </c>
      <c r="P947" s="330">
        <v>6000</v>
      </c>
      <c r="Q947" s="173">
        <v>2</v>
      </c>
      <c r="R947" s="173">
        <v>3</v>
      </c>
      <c r="S947" s="173" t="s">
        <v>354</v>
      </c>
      <c r="T947" s="175">
        <v>44825</v>
      </c>
      <c r="U947" s="175">
        <v>44855</v>
      </c>
      <c r="V947" s="173" t="s">
        <v>355</v>
      </c>
      <c r="W947" s="173"/>
      <c r="X947" s="173"/>
      <c r="Y947" s="141"/>
    </row>
    <row r="948" spans="1:25" s="239" customFormat="1" ht="13.15" customHeight="1" x14ac:dyDescent="0.15">
      <c r="A948" s="173">
        <v>3680040</v>
      </c>
      <c r="B948" s="173" t="s">
        <v>351</v>
      </c>
      <c r="C948" s="173" t="s">
        <v>352</v>
      </c>
      <c r="D948" s="173" t="s">
        <v>353</v>
      </c>
      <c r="E948" s="173" t="s">
        <v>116</v>
      </c>
      <c r="F948" s="173">
        <v>3</v>
      </c>
      <c r="G948" s="173" t="s">
        <v>19</v>
      </c>
      <c r="H948" s="173" t="s">
        <v>20</v>
      </c>
      <c r="I948" s="173" t="s">
        <v>143</v>
      </c>
      <c r="J948" s="173"/>
      <c r="K948" s="173" t="s">
        <v>144</v>
      </c>
      <c r="L948" s="173">
        <v>100</v>
      </c>
      <c r="M948" s="173" t="s">
        <v>145</v>
      </c>
      <c r="N948" s="174">
        <v>1005</v>
      </c>
      <c r="O948" s="174">
        <v>1000</v>
      </c>
      <c r="P948" s="330">
        <v>6000</v>
      </c>
      <c r="Q948" s="173">
        <v>2</v>
      </c>
      <c r="R948" s="173">
        <v>2</v>
      </c>
      <c r="S948" s="173" t="s">
        <v>354</v>
      </c>
      <c r="T948" s="175">
        <v>44825</v>
      </c>
      <c r="U948" s="175">
        <v>44855</v>
      </c>
      <c r="V948" s="173" t="s">
        <v>355</v>
      </c>
      <c r="W948" s="173"/>
      <c r="X948" s="173"/>
      <c r="Y948" s="141"/>
    </row>
    <row r="949" spans="1:25" s="239" customFormat="1" ht="13.15" customHeight="1" x14ac:dyDescent="0.15">
      <c r="A949" s="173">
        <v>3684726</v>
      </c>
      <c r="B949" s="173" t="s">
        <v>351</v>
      </c>
      <c r="C949" s="173" t="s">
        <v>356</v>
      </c>
      <c r="D949" s="173" t="s">
        <v>353</v>
      </c>
      <c r="E949" s="173" t="s">
        <v>32</v>
      </c>
      <c r="F949" s="173">
        <v>331</v>
      </c>
      <c r="G949" s="173" t="s">
        <v>19</v>
      </c>
      <c r="H949" s="173" t="s">
        <v>20</v>
      </c>
      <c r="I949" s="173" t="s">
        <v>21</v>
      </c>
      <c r="J949" s="173"/>
      <c r="K949" s="173" t="s">
        <v>54</v>
      </c>
      <c r="L949" s="173">
        <v>38</v>
      </c>
      <c r="M949" s="173" t="s">
        <v>53</v>
      </c>
      <c r="N949" s="174">
        <v>1330</v>
      </c>
      <c r="O949" s="174">
        <v>1330</v>
      </c>
      <c r="P949" s="330">
        <v>6000</v>
      </c>
      <c r="Q949" s="173">
        <v>2</v>
      </c>
      <c r="R949" s="173">
        <v>4</v>
      </c>
      <c r="S949" s="173" t="s">
        <v>354</v>
      </c>
      <c r="T949" s="175">
        <v>44855</v>
      </c>
      <c r="U949" s="175">
        <v>44875</v>
      </c>
      <c r="V949" s="173" t="s">
        <v>355</v>
      </c>
      <c r="W949" s="173"/>
      <c r="X949" s="173"/>
      <c r="Y949" s="141"/>
    </row>
    <row r="950" spans="1:25" s="239" customFormat="1" ht="13.15" customHeight="1" x14ac:dyDescent="0.15">
      <c r="A950" s="173">
        <v>3684727</v>
      </c>
      <c r="B950" s="173" t="s">
        <v>351</v>
      </c>
      <c r="C950" s="173" t="s">
        <v>356</v>
      </c>
      <c r="D950" s="173" t="s">
        <v>353</v>
      </c>
      <c r="E950" s="173" t="s">
        <v>32</v>
      </c>
      <c r="F950" s="173">
        <v>331</v>
      </c>
      <c r="G950" s="173" t="s">
        <v>19</v>
      </c>
      <c r="H950" s="173" t="s">
        <v>20</v>
      </c>
      <c r="I950" s="173" t="s">
        <v>21</v>
      </c>
      <c r="J950" s="173"/>
      <c r="K950" s="173" t="s">
        <v>54</v>
      </c>
      <c r="L950" s="173">
        <v>38</v>
      </c>
      <c r="M950" s="173" t="s">
        <v>53</v>
      </c>
      <c r="N950" s="174">
        <v>1580</v>
      </c>
      <c r="O950" s="174">
        <v>1580</v>
      </c>
      <c r="P950" s="330">
        <v>6000</v>
      </c>
      <c r="Q950" s="173">
        <v>2</v>
      </c>
      <c r="R950" s="173">
        <v>2</v>
      </c>
      <c r="S950" s="173" t="s">
        <v>354</v>
      </c>
      <c r="T950" s="175">
        <v>44855</v>
      </c>
      <c r="U950" s="175">
        <v>44875</v>
      </c>
      <c r="V950" s="173" t="s">
        <v>355</v>
      </c>
      <c r="W950" s="173"/>
      <c r="X950" s="173"/>
      <c r="Y950" s="141"/>
    </row>
    <row r="951" spans="1:25" s="239" customFormat="1" ht="13.15" customHeight="1" x14ac:dyDescent="0.15">
      <c r="A951" s="173">
        <v>3684728</v>
      </c>
      <c r="B951" s="173" t="s">
        <v>351</v>
      </c>
      <c r="C951" s="173" t="s">
        <v>356</v>
      </c>
      <c r="D951" s="173" t="s">
        <v>353</v>
      </c>
      <c r="E951" s="173"/>
      <c r="F951" s="173">
        <v>3</v>
      </c>
      <c r="G951" s="173" t="s">
        <v>19</v>
      </c>
      <c r="H951" s="173" t="s">
        <v>20</v>
      </c>
      <c r="I951" s="173" t="s">
        <v>21</v>
      </c>
      <c r="J951" s="173"/>
      <c r="K951" s="173" t="s">
        <v>632</v>
      </c>
      <c r="L951" s="173">
        <v>75</v>
      </c>
      <c r="M951" s="173" t="s">
        <v>633</v>
      </c>
      <c r="N951" s="174">
        <v>1300</v>
      </c>
      <c r="O951" s="174">
        <v>1300</v>
      </c>
      <c r="P951" s="330">
        <v>6000</v>
      </c>
      <c r="Q951" s="173">
        <v>2</v>
      </c>
      <c r="R951" s="173">
        <v>2</v>
      </c>
      <c r="S951" s="173" t="s">
        <v>354</v>
      </c>
      <c r="T951" s="175">
        <v>44855</v>
      </c>
      <c r="U951" s="175">
        <v>44875</v>
      </c>
      <c r="V951" s="173" t="s">
        <v>355</v>
      </c>
      <c r="W951" s="173"/>
      <c r="X951" s="173"/>
      <c r="Y951" s="141"/>
    </row>
    <row r="952" spans="1:25" s="239" customFormat="1" ht="13.15" customHeight="1" x14ac:dyDescent="0.15">
      <c r="A952" s="173">
        <v>3684729</v>
      </c>
      <c r="B952" s="173" t="s">
        <v>351</v>
      </c>
      <c r="C952" s="173" t="s">
        <v>358</v>
      </c>
      <c r="D952" s="173" t="s">
        <v>353</v>
      </c>
      <c r="E952" s="173" t="s">
        <v>369</v>
      </c>
      <c r="F952" s="173">
        <v>331</v>
      </c>
      <c r="G952" s="173" t="s">
        <v>19</v>
      </c>
      <c r="H952" s="173" t="s">
        <v>20</v>
      </c>
      <c r="I952" s="173" t="s">
        <v>21</v>
      </c>
      <c r="J952" s="173"/>
      <c r="K952" s="173" t="s">
        <v>47</v>
      </c>
      <c r="L952" s="173">
        <v>38</v>
      </c>
      <c r="M952" s="173" t="s">
        <v>53</v>
      </c>
      <c r="N952" s="174">
        <v>535</v>
      </c>
      <c r="O952" s="174">
        <v>535</v>
      </c>
      <c r="P952" s="330">
        <v>6000</v>
      </c>
      <c r="Q952" s="173">
        <v>2</v>
      </c>
      <c r="R952" s="173">
        <v>24</v>
      </c>
      <c r="S952" s="173" t="s">
        <v>354</v>
      </c>
      <c r="T952" s="175">
        <v>44855</v>
      </c>
      <c r="U952" s="175">
        <v>44875</v>
      </c>
      <c r="V952" s="173" t="s">
        <v>355</v>
      </c>
      <c r="W952" s="173"/>
      <c r="X952" s="173"/>
      <c r="Y952" s="141"/>
    </row>
    <row r="953" spans="1:25" s="239" customFormat="1" ht="13.15" customHeight="1" x14ac:dyDescent="0.15">
      <c r="A953" s="173">
        <v>3684730</v>
      </c>
      <c r="B953" s="173" t="s">
        <v>351</v>
      </c>
      <c r="C953" s="173" t="s">
        <v>364</v>
      </c>
      <c r="D953" s="173" t="s">
        <v>353</v>
      </c>
      <c r="E953" s="173" t="s">
        <v>371</v>
      </c>
      <c r="F953" s="173">
        <v>3</v>
      </c>
      <c r="G953" s="173" t="s">
        <v>19</v>
      </c>
      <c r="H953" s="173" t="s">
        <v>28</v>
      </c>
      <c r="I953" s="173" t="s">
        <v>21</v>
      </c>
      <c r="J953" s="173"/>
      <c r="K953" s="173" t="s">
        <v>465</v>
      </c>
      <c r="L953" s="173">
        <v>75</v>
      </c>
      <c r="M953" s="173" t="s">
        <v>466</v>
      </c>
      <c r="N953" s="174">
        <v>1040</v>
      </c>
      <c r="O953" s="174">
        <v>1040</v>
      </c>
      <c r="P953" s="330">
        <v>6000</v>
      </c>
      <c r="Q953" s="173">
        <v>1</v>
      </c>
      <c r="R953" s="173">
        <v>1</v>
      </c>
      <c r="S953" s="173" t="s">
        <v>354</v>
      </c>
      <c r="T953" s="175">
        <v>44855</v>
      </c>
      <c r="U953" s="175">
        <v>44875</v>
      </c>
      <c r="V953" s="173" t="s">
        <v>355</v>
      </c>
      <c r="W953" s="173"/>
      <c r="X953" s="173"/>
      <c r="Y953" s="141"/>
    </row>
    <row r="954" spans="1:25" s="239" customFormat="1" ht="13.15" customHeight="1" x14ac:dyDescent="0.15">
      <c r="A954" s="173">
        <v>3684731</v>
      </c>
      <c r="B954" s="173" t="s">
        <v>351</v>
      </c>
      <c r="C954" s="173" t="s">
        <v>364</v>
      </c>
      <c r="D954" s="173" t="s">
        <v>353</v>
      </c>
      <c r="E954" s="173" t="s">
        <v>371</v>
      </c>
      <c r="F954" s="173">
        <v>3</v>
      </c>
      <c r="G954" s="173" t="s">
        <v>19</v>
      </c>
      <c r="H954" s="173" t="s">
        <v>20</v>
      </c>
      <c r="I954" s="173" t="s">
        <v>21</v>
      </c>
      <c r="J954" s="173"/>
      <c r="K954" s="173" t="s">
        <v>56</v>
      </c>
      <c r="L954" s="173">
        <v>75</v>
      </c>
      <c r="M954" s="173" t="s">
        <v>376</v>
      </c>
      <c r="N954" s="174">
        <v>1110</v>
      </c>
      <c r="O954" s="174">
        <v>1100</v>
      </c>
      <c r="P954" s="330">
        <v>6000</v>
      </c>
      <c r="Q954" s="173">
        <v>2</v>
      </c>
      <c r="R954" s="173">
        <v>2</v>
      </c>
      <c r="S954" s="173" t="s">
        <v>354</v>
      </c>
      <c r="T954" s="175">
        <v>44855</v>
      </c>
      <c r="U954" s="175">
        <v>44875</v>
      </c>
      <c r="V954" s="173" t="s">
        <v>355</v>
      </c>
      <c r="W954" s="173"/>
      <c r="X954" s="173"/>
      <c r="Y954" s="141"/>
    </row>
    <row r="955" spans="1:25" s="239" customFormat="1" ht="13.15" customHeight="1" x14ac:dyDescent="0.15">
      <c r="A955" s="173">
        <v>3684732</v>
      </c>
      <c r="B955" s="173" t="s">
        <v>351</v>
      </c>
      <c r="C955" s="173" t="s">
        <v>364</v>
      </c>
      <c r="D955" s="173" t="s">
        <v>353</v>
      </c>
      <c r="E955" s="173" t="s">
        <v>371</v>
      </c>
      <c r="F955" s="173">
        <v>3</v>
      </c>
      <c r="G955" s="173" t="s">
        <v>19</v>
      </c>
      <c r="H955" s="173" t="s">
        <v>28</v>
      </c>
      <c r="I955" s="173" t="s">
        <v>21</v>
      </c>
      <c r="J955" s="173"/>
      <c r="K955" s="173" t="s">
        <v>60</v>
      </c>
      <c r="L955" s="173">
        <v>75</v>
      </c>
      <c r="M955" s="173" t="s">
        <v>372</v>
      </c>
      <c r="N955" s="174">
        <v>1040</v>
      </c>
      <c r="O955" s="174">
        <v>1040</v>
      </c>
      <c r="P955" s="330">
        <v>6000</v>
      </c>
      <c r="Q955" s="173">
        <v>1</v>
      </c>
      <c r="R955" s="173">
        <v>2</v>
      </c>
      <c r="S955" s="173" t="s">
        <v>354</v>
      </c>
      <c r="T955" s="175">
        <v>44855</v>
      </c>
      <c r="U955" s="175">
        <v>44875</v>
      </c>
      <c r="V955" s="173" t="s">
        <v>355</v>
      </c>
      <c r="W955" s="173"/>
      <c r="X955" s="173"/>
      <c r="Y955" s="141"/>
    </row>
    <row r="956" spans="1:25" s="239" customFormat="1" ht="13.15" customHeight="1" x14ac:dyDescent="0.15">
      <c r="A956" s="173">
        <v>3684733</v>
      </c>
      <c r="B956" s="173" t="s">
        <v>351</v>
      </c>
      <c r="C956" s="173" t="s">
        <v>356</v>
      </c>
      <c r="D956" s="173" t="s">
        <v>353</v>
      </c>
      <c r="E956" s="173" t="s">
        <v>377</v>
      </c>
      <c r="F956" s="173">
        <v>3</v>
      </c>
      <c r="G956" s="173" t="s">
        <v>19</v>
      </c>
      <c r="H956" s="173" t="s">
        <v>20</v>
      </c>
      <c r="I956" s="173" t="s">
        <v>21</v>
      </c>
      <c r="J956" s="173"/>
      <c r="K956" s="173" t="s">
        <v>36</v>
      </c>
      <c r="L956" s="173">
        <v>25</v>
      </c>
      <c r="M956" s="173" t="s">
        <v>37</v>
      </c>
      <c r="N956" s="174">
        <v>890</v>
      </c>
      <c r="O956" s="174">
        <v>890</v>
      </c>
      <c r="P956" s="330">
        <v>6000</v>
      </c>
      <c r="Q956" s="173">
        <v>2</v>
      </c>
      <c r="R956" s="173">
        <v>6</v>
      </c>
      <c r="S956" s="173" t="s">
        <v>354</v>
      </c>
      <c r="T956" s="175">
        <v>44855</v>
      </c>
      <c r="U956" s="175">
        <v>44875</v>
      </c>
      <c r="V956" s="173" t="s">
        <v>355</v>
      </c>
      <c r="W956" s="173"/>
      <c r="X956" s="173"/>
      <c r="Y956" s="141"/>
    </row>
    <row r="957" spans="1:25" s="239" customFormat="1" ht="13.15" customHeight="1" x14ac:dyDescent="0.15">
      <c r="A957" s="173">
        <v>3684734</v>
      </c>
      <c r="B957" s="173" t="s">
        <v>351</v>
      </c>
      <c r="C957" s="173" t="s">
        <v>356</v>
      </c>
      <c r="D957" s="173" t="s">
        <v>353</v>
      </c>
      <c r="E957" s="173" t="s">
        <v>17</v>
      </c>
      <c r="F957" s="173">
        <v>3</v>
      </c>
      <c r="G957" s="173" t="s">
        <v>19</v>
      </c>
      <c r="H957" s="173" t="s">
        <v>20</v>
      </c>
      <c r="I957" s="173" t="s">
        <v>21</v>
      </c>
      <c r="J957" s="173"/>
      <c r="K957" s="173" t="s">
        <v>22</v>
      </c>
      <c r="L957" s="173">
        <v>38</v>
      </c>
      <c r="M957" s="173" t="s">
        <v>23</v>
      </c>
      <c r="N957" s="174">
        <v>1037</v>
      </c>
      <c r="O957" s="174">
        <v>1030</v>
      </c>
      <c r="P957" s="330">
        <v>6000</v>
      </c>
      <c r="Q957" s="173">
        <v>2</v>
      </c>
      <c r="R957" s="173">
        <v>18</v>
      </c>
      <c r="S957" s="173" t="s">
        <v>354</v>
      </c>
      <c r="T957" s="175">
        <v>44855</v>
      </c>
      <c r="U957" s="175">
        <v>44875</v>
      </c>
      <c r="V957" s="173" t="s">
        <v>355</v>
      </c>
      <c r="W957" s="173"/>
      <c r="X957" s="173"/>
      <c r="Y957" s="141"/>
    </row>
    <row r="958" spans="1:25" s="239" customFormat="1" ht="13.15" customHeight="1" x14ac:dyDescent="0.15">
      <c r="A958" s="173">
        <v>3684735</v>
      </c>
      <c r="B958" s="173" t="s">
        <v>351</v>
      </c>
      <c r="C958" s="173" t="s">
        <v>356</v>
      </c>
      <c r="D958" s="173" t="s">
        <v>353</v>
      </c>
      <c r="E958" s="173" t="s">
        <v>17</v>
      </c>
      <c r="F958" s="173">
        <v>3</v>
      </c>
      <c r="G958" s="173" t="s">
        <v>19</v>
      </c>
      <c r="H958" s="173" t="s">
        <v>20</v>
      </c>
      <c r="I958" s="173" t="s">
        <v>21</v>
      </c>
      <c r="J958" s="173"/>
      <c r="K958" s="173" t="s">
        <v>22</v>
      </c>
      <c r="L958" s="173">
        <v>38</v>
      </c>
      <c r="M958" s="173" t="s">
        <v>23</v>
      </c>
      <c r="N958" s="174">
        <v>1037</v>
      </c>
      <c r="O958" s="174">
        <v>1030</v>
      </c>
      <c r="P958" s="330">
        <v>6000</v>
      </c>
      <c r="Q958" s="173">
        <v>2</v>
      </c>
      <c r="R958" s="173">
        <v>50</v>
      </c>
      <c r="S958" s="173" t="s">
        <v>354</v>
      </c>
      <c r="T958" s="175">
        <v>44855</v>
      </c>
      <c r="U958" s="175">
        <v>44875</v>
      </c>
      <c r="V958" s="173" t="s">
        <v>355</v>
      </c>
      <c r="W958" s="173"/>
      <c r="X958" s="173"/>
      <c r="Y958" s="141"/>
    </row>
    <row r="959" spans="1:25" ht="13.5" x14ac:dyDescent="0.15">
      <c r="A959" s="173">
        <v>3684736</v>
      </c>
      <c r="B959" s="173" t="s">
        <v>351</v>
      </c>
      <c r="C959" s="173" t="s">
        <v>356</v>
      </c>
      <c r="D959" s="173" t="s">
        <v>353</v>
      </c>
      <c r="E959" s="173" t="s">
        <v>17</v>
      </c>
      <c r="F959" s="173">
        <v>3</v>
      </c>
      <c r="G959" s="173" t="s">
        <v>19</v>
      </c>
      <c r="H959" s="173" t="s">
        <v>20</v>
      </c>
      <c r="I959" s="173" t="s">
        <v>21</v>
      </c>
      <c r="J959" s="173"/>
      <c r="K959" s="173" t="s">
        <v>22</v>
      </c>
      <c r="L959" s="173">
        <v>38</v>
      </c>
      <c r="M959" s="173" t="s">
        <v>23</v>
      </c>
      <c r="N959" s="174">
        <v>1057</v>
      </c>
      <c r="O959" s="174">
        <v>1050</v>
      </c>
      <c r="P959" s="330">
        <v>6000</v>
      </c>
      <c r="Q959" s="173">
        <v>2</v>
      </c>
      <c r="R959" s="173">
        <v>20</v>
      </c>
      <c r="S959" s="173" t="s">
        <v>354</v>
      </c>
      <c r="T959" s="175">
        <v>44855</v>
      </c>
      <c r="U959" s="175">
        <v>44875</v>
      </c>
      <c r="V959" s="173" t="s">
        <v>355</v>
      </c>
      <c r="W959" s="173"/>
      <c r="X959" s="173"/>
      <c r="Y959" s="141"/>
    </row>
    <row r="960" spans="1:25" ht="13.5" x14ac:dyDescent="0.15">
      <c r="A960" s="173">
        <v>3684737</v>
      </c>
      <c r="B960" s="173" t="s">
        <v>351</v>
      </c>
      <c r="C960" s="173" t="s">
        <v>356</v>
      </c>
      <c r="D960" s="173" t="s">
        <v>353</v>
      </c>
      <c r="E960" s="173" t="s">
        <v>17</v>
      </c>
      <c r="F960" s="173">
        <v>331</v>
      </c>
      <c r="G960" s="173" t="s">
        <v>19</v>
      </c>
      <c r="H960" s="173" t="s">
        <v>20</v>
      </c>
      <c r="I960" s="173" t="s">
        <v>21</v>
      </c>
      <c r="J960" s="173"/>
      <c r="K960" s="173" t="s">
        <v>29</v>
      </c>
      <c r="L960" s="173">
        <v>38</v>
      </c>
      <c r="M960" s="173" t="s">
        <v>30</v>
      </c>
      <c r="N960" s="174">
        <v>1330</v>
      </c>
      <c r="O960" s="174">
        <v>1330</v>
      </c>
      <c r="P960" s="330">
        <v>6000</v>
      </c>
      <c r="Q960" s="173">
        <v>2</v>
      </c>
      <c r="R960" s="173">
        <v>24</v>
      </c>
      <c r="S960" s="173" t="s">
        <v>354</v>
      </c>
      <c r="T960" s="175">
        <v>44855</v>
      </c>
      <c r="U960" s="175">
        <v>44875</v>
      </c>
      <c r="V960" s="173" t="s">
        <v>355</v>
      </c>
      <c r="W960" s="173"/>
      <c r="X960" s="173"/>
      <c r="Y960" s="141"/>
    </row>
    <row r="961" spans="1:25" ht="13.5" x14ac:dyDescent="0.15">
      <c r="A961" s="173">
        <v>3684738</v>
      </c>
      <c r="B961" s="173" t="s">
        <v>351</v>
      </c>
      <c r="C961" s="173" t="s">
        <v>356</v>
      </c>
      <c r="D961" s="173" t="s">
        <v>353</v>
      </c>
      <c r="E961" s="173" t="s">
        <v>32</v>
      </c>
      <c r="F961" s="173">
        <v>331</v>
      </c>
      <c r="G961" s="173" t="s">
        <v>19</v>
      </c>
      <c r="H961" s="173" t="s">
        <v>20</v>
      </c>
      <c r="I961" s="173" t="s">
        <v>21</v>
      </c>
      <c r="J961" s="173"/>
      <c r="K961" s="173" t="s">
        <v>33</v>
      </c>
      <c r="L961" s="173">
        <v>25</v>
      </c>
      <c r="M961" s="173" t="s">
        <v>30</v>
      </c>
      <c r="N961" s="174">
        <v>1330</v>
      </c>
      <c r="O961" s="174">
        <v>1330</v>
      </c>
      <c r="P961" s="330">
        <v>6000</v>
      </c>
      <c r="Q961" s="173">
        <v>2</v>
      </c>
      <c r="R961" s="173">
        <v>6</v>
      </c>
      <c r="S961" s="173" t="s">
        <v>354</v>
      </c>
      <c r="T961" s="175">
        <v>44855</v>
      </c>
      <c r="U961" s="175">
        <v>44875</v>
      </c>
      <c r="V961" s="173" t="s">
        <v>355</v>
      </c>
      <c r="W961" s="173"/>
      <c r="X961" s="173"/>
      <c r="Y961" s="141"/>
    </row>
    <row r="962" spans="1:25" ht="13.5" x14ac:dyDescent="0.15">
      <c r="A962" s="173">
        <v>3684739</v>
      </c>
      <c r="B962" s="173" t="s">
        <v>431</v>
      </c>
      <c r="C962" s="173" t="s">
        <v>364</v>
      </c>
      <c r="D962" s="173" t="s">
        <v>353</v>
      </c>
      <c r="E962" s="173" t="s">
        <v>371</v>
      </c>
      <c r="F962" s="173">
        <v>331</v>
      </c>
      <c r="G962" s="173" t="s">
        <v>265</v>
      </c>
      <c r="H962" s="173" t="s">
        <v>20</v>
      </c>
      <c r="I962" s="173" t="s">
        <v>21</v>
      </c>
      <c r="J962" s="173"/>
      <c r="K962" s="173" t="s">
        <v>118</v>
      </c>
      <c r="L962" s="173">
        <v>25</v>
      </c>
      <c r="M962" s="173" t="s">
        <v>119</v>
      </c>
      <c r="N962" s="174">
        <v>1425</v>
      </c>
      <c r="O962" s="174">
        <v>1420</v>
      </c>
      <c r="P962" s="330">
        <v>6000</v>
      </c>
      <c r="Q962" s="173">
        <v>2</v>
      </c>
      <c r="R962" s="173">
        <v>8</v>
      </c>
      <c r="S962" s="173" t="s">
        <v>354</v>
      </c>
      <c r="T962" s="175">
        <v>44855</v>
      </c>
      <c r="U962" s="175">
        <v>44888</v>
      </c>
      <c r="V962" s="173" t="s">
        <v>355</v>
      </c>
      <c r="W962" s="173"/>
      <c r="X962" s="173"/>
      <c r="Y962" s="141"/>
    </row>
    <row r="963" spans="1:25" ht="13.5" x14ac:dyDescent="0.15">
      <c r="A963" s="173">
        <v>3684740</v>
      </c>
      <c r="B963" s="173" t="s">
        <v>351</v>
      </c>
      <c r="C963" s="173" t="s">
        <v>352</v>
      </c>
      <c r="D963" s="173" t="s">
        <v>353</v>
      </c>
      <c r="E963" s="173" t="s">
        <v>116</v>
      </c>
      <c r="F963" s="173">
        <v>3</v>
      </c>
      <c r="G963" s="173" t="s">
        <v>19</v>
      </c>
      <c r="H963" s="173" t="s">
        <v>20</v>
      </c>
      <c r="I963" s="173" t="s">
        <v>21</v>
      </c>
      <c r="J963" s="173"/>
      <c r="K963" s="173" t="s">
        <v>118</v>
      </c>
      <c r="L963" s="173">
        <v>38</v>
      </c>
      <c r="M963" s="173" t="s">
        <v>368</v>
      </c>
      <c r="N963" s="174">
        <v>1415</v>
      </c>
      <c r="O963" s="174">
        <v>1410</v>
      </c>
      <c r="P963" s="330">
        <v>6000</v>
      </c>
      <c r="Q963" s="173">
        <v>2</v>
      </c>
      <c r="R963" s="173">
        <v>15</v>
      </c>
      <c r="S963" s="173" t="s">
        <v>354</v>
      </c>
      <c r="T963" s="175">
        <v>44855</v>
      </c>
      <c r="U963" s="175">
        <v>44895</v>
      </c>
      <c r="V963" s="173" t="s">
        <v>355</v>
      </c>
      <c r="W963" s="173"/>
      <c r="X963" s="173"/>
      <c r="Y963" s="141"/>
    </row>
    <row r="964" spans="1:25" ht="13.5" x14ac:dyDescent="0.15">
      <c r="A964" s="173">
        <v>3684741</v>
      </c>
      <c r="B964" s="173" t="s">
        <v>351</v>
      </c>
      <c r="C964" s="173" t="s">
        <v>356</v>
      </c>
      <c r="D964" s="173" t="s">
        <v>353</v>
      </c>
      <c r="E964" s="173" t="s">
        <v>114</v>
      </c>
      <c r="F964" s="173">
        <v>3</v>
      </c>
      <c r="G964" s="173" t="s">
        <v>19</v>
      </c>
      <c r="H964" s="173" t="s">
        <v>20</v>
      </c>
      <c r="I964" s="173" t="s">
        <v>21</v>
      </c>
      <c r="J964" s="173"/>
      <c r="K964" s="173" t="s">
        <v>112</v>
      </c>
      <c r="L964" s="173">
        <v>25</v>
      </c>
      <c r="M964" s="173" t="s">
        <v>357</v>
      </c>
      <c r="N964" s="174">
        <v>540</v>
      </c>
      <c r="O964" s="174">
        <v>540</v>
      </c>
      <c r="P964" s="330">
        <v>6000</v>
      </c>
      <c r="Q964" s="173">
        <v>2</v>
      </c>
      <c r="R964" s="173">
        <v>6</v>
      </c>
      <c r="S964" s="173" t="s">
        <v>354</v>
      </c>
      <c r="T964" s="175">
        <v>44855</v>
      </c>
      <c r="U964" s="175">
        <v>44888</v>
      </c>
      <c r="V964" s="173" t="s">
        <v>355</v>
      </c>
      <c r="W964" s="173"/>
      <c r="X964" s="173"/>
      <c r="Y964" s="141"/>
    </row>
    <row r="965" spans="1:25" ht="13.5" x14ac:dyDescent="0.15">
      <c r="A965" s="173">
        <v>3684741</v>
      </c>
      <c r="B965" s="173" t="s">
        <v>351</v>
      </c>
      <c r="C965" s="173" t="s">
        <v>356</v>
      </c>
      <c r="D965" s="173" t="s">
        <v>353</v>
      </c>
      <c r="E965" s="173" t="s">
        <v>114</v>
      </c>
      <c r="F965" s="173">
        <v>3</v>
      </c>
      <c r="G965" s="173" t="s">
        <v>19</v>
      </c>
      <c r="H965" s="173" t="s">
        <v>20</v>
      </c>
      <c r="I965" s="173" t="s">
        <v>21</v>
      </c>
      <c r="J965" s="173"/>
      <c r="K965" s="173" t="s">
        <v>112</v>
      </c>
      <c r="L965" s="173">
        <v>25</v>
      </c>
      <c r="M965" s="173" t="s">
        <v>357</v>
      </c>
      <c r="N965" s="174">
        <v>640</v>
      </c>
      <c r="O965" s="174">
        <v>640</v>
      </c>
      <c r="P965" s="330">
        <v>6000</v>
      </c>
      <c r="Q965" s="173">
        <v>2</v>
      </c>
      <c r="R965" s="173">
        <v>6</v>
      </c>
      <c r="S965" s="173" t="s">
        <v>354</v>
      </c>
      <c r="T965" s="175">
        <v>44855</v>
      </c>
      <c r="U965" s="175">
        <v>44888</v>
      </c>
      <c r="V965" s="173" t="s">
        <v>355</v>
      </c>
      <c r="W965" s="173"/>
      <c r="X965" s="173"/>
      <c r="Y965" s="141"/>
    </row>
    <row r="966" spans="1:25" ht="13.5" x14ac:dyDescent="0.15">
      <c r="A966" s="173">
        <v>3684742</v>
      </c>
      <c r="B966" s="173" t="s">
        <v>351</v>
      </c>
      <c r="C966" s="173" t="s">
        <v>356</v>
      </c>
      <c r="D966" s="173" t="s">
        <v>353</v>
      </c>
      <c r="E966" s="173" t="s">
        <v>114</v>
      </c>
      <c r="F966" s="173">
        <v>3</v>
      </c>
      <c r="G966" s="173" t="s">
        <v>19</v>
      </c>
      <c r="H966" s="173" t="s">
        <v>20</v>
      </c>
      <c r="I966" s="173" t="s">
        <v>21</v>
      </c>
      <c r="J966" s="173"/>
      <c r="K966" s="173" t="s">
        <v>112</v>
      </c>
      <c r="L966" s="173">
        <v>25</v>
      </c>
      <c r="M966" s="173" t="s">
        <v>357</v>
      </c>
      <c r="N966" s="174">
        <v>640</v>
      </c>
      <c r="O966" s="174">
        <v>640</v>
      </c>
      <c r="P966" s="330">
        <v>6000</v>
      </c>
      <c r="Q966" s="173">
        <v>2</v>
      </c>
      <c r="R966" s="173">
        <v>12</v>
      </c>
      <c r="S966" s="173" t="s">
        <v>354</v>
      </c>
      <c r="T966" s="175">
        <v>44855</v>
      </c>
      <c r="U966" s="175">
        <v>44888</v>
      </c>
      <c r="V966" s="173" t="s">
        <v>355</v>
      </c>
      <c r="W966" s="173"/>
      <c r="X966" s="173"/>
      <c r="Y966" s="141"/>
    </row>
    <row r="967" spans="1:25" ht="13.5" x14ac:dyDescent="0.15">
      <c r="A967" s="173">
        <v>3684743</v>
      </c>
      <c r="B967" s="173" t="s">
        <v>351</v>
      </c>
      <c r="C967" s="173" t="s">
        <v>356</v>
      </c>
      <c r="D967" s="173" t="s">
        <v>353</v>
      </c>
      <c r="E967" s="173" t="s">
        <v>106</v>
      </c>
      <c r="F967" s="173">
        <v>3</v>
      </c>
      <c r="G967" s="173" t="s">
        <v>19</v>
      </c>
      <c r="H967" s="173" t="s">
        <v>20</v>
      </c>
      <c r="I967" s="173" t="s">
        <v>21</v>
      </c>
      <c r="J967" s="173"/>
      <c r="K967" s="173" t="s">
        <v>107</v>
      </c>
      <c r="L967" s="173">
        <v>38</v>
      </c>
      <c r="M967" s="173" t="s">
        <v>367</v>
      </c>
      <c r="N967" s="174">
        <v>1240</v>
      </c>
      <c r="O967" s="174">
        <v>1240</v>
      </c>
      <c r="P967" s="330">
        <v>6000</v>
      </c>
      <c r="Q967" s="173">
        <v>2</v>
      </c>
      <c r="R967" s="173">
        <v>5</v>
      </c>
      <c r="S967" s="173" t="s">
        <v>354</v>
      </c>
      <c r="T967" s="175">
        <v>44855</v>
      </c>
      <c r="U967" s="175">
        <v>44888</v>
      </c>
      <c r="V967" s="173" t="s">
        <v>355</v>
      </c>
      <c r="W967" s="173"/>
      <c r="X967" s="173"/>
      <c r="Y967" s="141"/>
    </row>
    <row r="968" spans="1:25" ht="13.5" x14ac:dyDescent="0.15">
      <c r="A968" s="173">
        <v>3684744</v>
      </c>
      <c r="B968" s="173" t="s">
        <v>351</v>
      </c>
      <c r="C968" s="173" t="s">
        <v>352</v>
      </c>
      <c r="D968" s="173" t="s">
        <v>353</v>
      </c>
      <c r="E968" s="173" t="s">
        <v>116</v>
      </c>
      <c r="F968" s="173">
        <v>3</v>
      </c>
      <c r="G968" s="173" t="s">
        <v>19</v>
      </c>
      <c r="H968" s="173" t="s">
        <v>20</v>
      </c>
      <c r="I968" s="173" t="s">
        <v>21</v>
      </c>
      <c r="J968" s="173"/>
      <c r="K968" s="173" t="s">
        <v>118</v>
      </c>
      <c r="L968" s="173">
        <v>38</v>
      </c>
      <c r="M968" s="173" t="s">
        <v>368</v>
      </c>
      <c r="N968" s="174">
        <v>1005</v>
      </c>
      <c r="O968" s="174">
        <v>1000</v>
      </c>
      <c r="P968" s="330">
        <v>6000</v>
      </c>
      <c r="Q968" s="173">
        <v>2</v>
      </c>
      <c r="R968" s="173">
        <v>10</v>
      </c>
      <c r="S968" s="173" t="s">
        <v>354</v>
      </c>
      <c r="T968" s="175">
        <v>44855</v>
      </c>
      <c r="U968" s="175">
        <v>44904</v>
      </c>
      <c r="V968" s="173" t="s">
        <v>355</v>
      </c>
      <c r="W968" s="173"/>
      <c r="X968" s="173"/>
      <c r="Y968" s="141"/>
    </row>
    <row r="969" spans="1:25" ht="13.5" x14ac:dyDescent="0.15">
      <c r="A969" s="173">
        <v>3684745</v>
      </c>
      <c r="B969" s="173" t="s">
        <v>351</v>
      </c>
      <c r="C969" s="173" t="s">
        <v>356</v>
      </c>
      <c r="D969" s="173" t="s">
        <v>353</v>
      </c>
      <c r="E969" s="173" t="s">
        <v>115</v>
      </c>
      <c r="F969" s="173">
        <v>3</v>
      </c>
      <c r="G969" s="173" t="s">
        <v>19</v>
      </c>
      <c r="H969" s="173" t="s">
        <v>20</v>
      </c>
      <c r="I969" s="173" t="s">
        <v>21</v>
      </c>
      <c r="J969" s="173"/>
      <c r="K969" s="173" t="s">
        <v>112</v>
      </c>
      <c r="L969" s="173">
        <v>38</v>
      </c>
      <c r="M969" s="173" t="s">
        <v>357</v>
      </c>
      <c r="N969" s="174">
        <v>1135</v>
      </c>
      <c r="O969" s="174">
        <v>1130</v>
      </c>
      <c r="P969" s="330">
        <v>6000</v>
      </c>
      <c r="Q969" s="173">
        <v>2</v>
      </c>
      <c r="R969" s="173">
        <v>2</v>
      </c>
      <c r="S969" s="173" t="s">
        <v>354</v>
      </c>
      <c r="T969" s="175">
        <v>44855</v>
      </c>
      <c r="U969" s="175">
        <v>44888</v>
      </c>
      <c r="V969" s="173" t="s">
        <v>355</v>
      </c>
      <c r="W969" s="173"/>
      <c r="X969" s="173"/>
      <c r="Y969" s="141"/>
    </row>
    <row r="970" spans="1:25" ht="13.5" x14ac:dyDescent="0.15">
      <c r="A970" s="173">
        <v>3684746</v>
      </c>
      <c r="B970" s="173" t="s">
        <v>351</v>
      </c>
      <c r="C970" s="173" t="s">
        <v>356</v>
      </c>
      <c r="D970" s="173" t="s">
        <v>353</v>
      </c>
      <c r="E970" s="173" t="s">
        <v>17</v>
      </c>
      <c r="F970" s="173">
        <v>331</v>
      </c>
      <c r="G970" s="173" t="s">
        <v>19</v>
      </c>
      <c r="H970" s="173" t="s">
        <v>20</v>
      </c>
      <c r="I970" s="173" t="s">
        <v>21</v>
      </c>
      <c r="J970" s="173"/>
      <c r="K970" s="173" t="s">
        <v>52</v>
      </c>
      <c r="L970" s="173">
        <v>38</v>
      </c>
      <c r="M970" s="173" t="s">
        <v>53</v>
      </c>
      <c r="N970" s="174">
        <v>1330</v>
      </c>
      <c r="O970" s="174">
        <v>1330</v>
      </c>
      <c r="P970" s="330">
        <v>6000</v>
      </c>
      <c r="Q970" s="173">
        <v>2</v>
      </c>
      <c r="R970" s="173">
        <v>70</v>
      </c>
      <c r="S970" s="173" t="s">
        <v>354</v>
      </c>
      <c r="T970" s="175">
        <v>44855</v>
      </c>
      <c r="U970" s="175">
        <v>44890</v>
      </c>
      <c r="V970" s="173" t="s">
        <v>355</v>
      </c>
      <c r="W970" s="173"/>
      <c r="X970" s="173"/>
      <c r="Y970" s="141"/>
    </row>
    <row r="971" spans="1:25" ht="13.5" x14ac:dyDescent="0.15">
      <c r="A971" s="173">
        <v>3684747</v>
      </c>
      <c r="B971" s="173" t="s">
        <v>351</v>
      </c>
      <c r="C971" s="173" t="s">
        <v>356</v>
      </c>
      <c r="D971" s="173" t="s">
        <v>353</v>
      </c>
      <c r="E971" s="173" t="s">
        <v>32</v>
      </c>
      <c r="F971" s="173">
        <v>3</v>
      </c>
      <c r="G971" s="173" t="s">
        <v>19</v>
      </c>
      <c r="H971" s="173" t="s">
        <v>20</v>
      </c>
      <c r="I971" s="173" t="s">
        <v>21</v>
      </c>
      <c r="J971" s="173"/>
      <c r="K971" s="173" t="s">
        <v>56</v>
      </c>
      <c r="L971" s="173">
        <v>75</v>
      </c>
      <c r="M971" s="173" t="s">
        <v>376</v>
      </c>
      <c r="N971" s="174">
        <v>1330</v>
      </c>
      <c r="O971" s="174">
        <v>1330</v>
      </c>
      <c r="P971" s="330">
        <v>6000</v>
      </c>
      <c r="Q971" s="173">
        <v>2</v>
      </c>
      <c r="R971" s="173">
        <v>30</v>
      </c>
      <c r="S971" s="173" t="s">
        <v>354</v>
      </c>
      <c r="T971" s="175">
        <v>44855</v>
      </c>
      <c r="U971" s="175">
        <v>44890</v>
      </c>
      <c r="V971" s="173" t="s">
        <v>355</v>
      </c>
      <c r="W971" s="173"/>
      <c r="X971" s="173"/>
      <c r="Y971" s="141"/>
    </row>
    <row r="972" spans="1:25" ht="13.5" x14ac:dyDescent="0.15">
      <c r="A972" s="173">
        <v>3684748</v>
      </c>
      <c r="B972" s="173" t="s">
        <v>431</v>
      </c>
      <c r="C972" s="173" t="s">
        <v>356</v>
      </c>
      <c r="D972" s="173" t="s">
        <v>353</v>
      </c>
      <c r="E972" s="173" t="s">
        <v>130</v>
      </c>
      <c r="F972" s="173">
        <v>3</v>
      </c>
      <c r="G972" s="173" t="s">
        <v>265</v>
      </c>
      <c r="H972" s="173" t="s">
        <v>20</v>
      </c>
      <c r="I972" s="173" t="s">
        <v>21</v>
      </c>
      <c r="J972" s="173"/>
      <c r="K972" s="173" t="s">
        <v>435</v>
      </c>
      <c r="L972" s="173">
        <v>25</v>
      </c>
      <c r="M972" s="173" t="s">
        <v>436</v>
      </c>
      <c r="N972" s="174">
        <v>1410</v>
      </c>
      <c r="O972" s="174">
        <v>1410</v>
      </c>
      <c r="P972" s="330">
        <v>6000</v>
      </c>
      <c r="Q972" s="173">
        <v>2</v>
      </c>
      <c r="R972" s="173">
        <v>18</v>
      </c>
      <c r="S972" s="173" t="s">
        <v>354</v>
      </c>
      <c r="T972" s="175">
        <v>44855</v>
      </c>
      <c r="U972" s="175">
        <v>44895</v>
      </c>
      <c r="V972" s="173" t="s">
        <v>355</v>
      </c>
      <c r="W972" s="173"/>
      <c r="X972" s="173"/>
      <c r="Y972" s="141"/>
    </row>
    <row r="973" spans="1:25" ht="13.5" x14ac:dyDescent="0.15">
      <c r="A973" s="173">
        <v>3684749</v>
      </c>
      <c r="B973" s="173" t="s">
        <v>351</v>
      </c>
      <c r="C973" s="173" t="s">
        <v>358</v>
      </c>
      <c r="D973" s="173" t="s">
        <v>353</v>
      </c>
      <c r="E973" s="173" t="s">
        <v>61</v>
      </c>
      <c r="F973" s="173">
        <v>3313</v>
      </c>
      <c r="G973" s="173" t="s">
        <v>19</v>
      </c>
      <c r="H973" s="173" t="s">
        <v>20</v>
      </c>
      <c r="I973" s="173" t="s">
        <v>21</v>
      </c>
      <c r="J973" s="173"/>
      <c r="K973" s="173" t="s">
        <v>62</v>
      </c>
      <c r="L973" s="173">
        <v>38</v>
      </c>
      <c r="M973" s="173" t="s">
        <v>63</v>
      </c>
      <c r="N973" s="174">
        <v>750</v>
      </c>
      <c r="O973" s="174">
        <v>750</v>
      </c>
      <c r="P973" s="330">
        <v>6000</v>
      </c>
      <c r="Q973" s="173">
        <v>2</v>
      </c>
      <c r="R973" s="173">
        <v>8</v>
      </c>
      <c r="S973" s="173" t="s">
        <v>354</v>
      </c>
      <c r="T973" s="175">
        <v>44855</v>
      </c>
      <c r="U973" s="175">
        <v>44890</v>
      </c>
      <c r="V973" s="173" t="s">
        <v>355</v>
      </c>
      <c r="W973" s="173"/>
      <c r="X973" s="173"/>
      <c r="Y973" s="141"/>
    </row>
    <row r="974" spans="1:25" ht="13.5" x14ac:dyDescent="0.15">
      <c r="A974" s="173">
        <v>3684750</v>
      </c>
      <c r="B974" s="173" t="s">
        <v>351</v>
      </c>
      <c r="C974" s="173" t="s">
        <v>358</v>
      </c>
      <c r="D974" s="173" t="s">
        <v>353</v>
      </c>
      <c r="E974" s="173" t="s">
        <v>61</v>
      </c>
      <c r="F974" s="173">
        <v>331</v>
      </c>
      <c r="G974" s="173" t="s">
        <v>19</v>
      </c>
      <c r="H974" s="173" t="s">
        <v>20</v>
      </c>
      <c r="I974" s="173" t="s">
        <v>21</v>
      </c>
      <c r="J974" s="173"/>
      <c r="K974" s="173" t="s">
        <v>62</v>
      </c>
      <c r="L974" s="173">
        <v>38</v>
      </c>
      <c r="M974" s="173" t="s">
        <v>63</v>
      </c>
      <c r="N974" s="174">
        <v>1025</v>
      </c>
      <c r="O974" s="174">
        <v>1020</v>
      </c>
      <c r="P974" s="330">
        <v>6000</v>
      </c>
      <c r="Q974" s="173">
        <v>2</v>
      </c>
      <c r="R974" s="173">
        <v>2</v>
      </c>
      <c r="S974" s="173" t="s">
        <v>354</v>
      </c>
      <c r="T974" s="175">
        <v>44855</v>
      </c>
      <c r="U974" s="175">
        <v>44890</v>
      </c>
      <c r="V974" s="173" t="s">
        <v>355</v>
      </c>
      <c r="W974" s="173"/>
      <c r="X974" s="173"/>
      <c r="Y974" s="141"/>
    </row>
    <row r="975" spans="1:25" ht="13.5" x14ac:dyDescent="0.15">
      <c r="A975" s="173">
        <v>3684751</v>
      </c>
      <c r="B975" s="173" t="s">
        <v>351</v>
      </c>
      <c r="C975" s="173" t="s">
        <v>363</v>
      </c>
      <c r="D975" s="173" t="s">
        <v>353</v>
      </c>
      <c r="E975" s="173" t="s">
        <v>65</v>
      </c>
      <c r="F975" s="173">
        <v>3321</v>
      </c>
      <c r="G975" s="173" t="s">
        <v>19</v>
      </c>
      <c r="H975" s="173" t="s">
        <v>20</v>
      </c>
      <c r="I975" s="173" t="s">
        <v>21</v>
      </c>
      <c r="J975" s="173"/>
      <c r="K975" s="173" t="s">
        <v>67</v>
      </c>
      <c r="L975" s="173">
        <v>38</v>
      </c>
      <c r="M975" s="173" t="s">
        <v>68</v>
      </c>
      <c r="N975" s="174">
        <v>1336</v>
      </c>
      <c r="O975" s="174">
        <v>1325</v>
      </c>
      <c r="P975" s="330">
        <v>6000</v>
      </c>
      <c r="Q975" s="173">
        <v>2</v>
      </c>
      <c r="R975" s="173">
        <v>50</v>
      </c>
      <c r="S975" s="173" t="s">
        <v>354</v>
      </c>
      <c r="T975" s="175">
        <v>44855</v>
      </c>
      <c r="U975" s="175">
        <v>44890</v>
      </c>
      <c r="V975" s="173" t="s">
        <v>355</v>
      </c>
      <c r="W975" s="173"/>
      <c r="X975" s="173"/>
      <c r="Y975" s="141"/>
    </row>
    <row r="976" spans="1:25" ht="13.5" x14ac:dyDescent="0.15">
      <c r="A976" s="173">
        <v>3684752</v>
      </c>
      <c r="B976" s="173" t="s">
        <v>351</v>
      </c>
      <c r="C976" s="173" t="s">
        <v>363</v>
      </c>
      <c r="D976" s="173" t="s">
        <v>353</v>
      </c>
      <c r="E976" s="173" t="s">
        <v>65</v>
      </c>
      <c r="F976" s="173">
        <v>3321</v>
      </c>
      <c r="G976" s="173" t="s">
        <v>19</v>
      </c>
      <c r="H976" s="173" t="s">
        <v>20</v>
      </c>
      <c r="I976" s="173" t="s">
        <v>21</v>
      </c>
      <c r="J976" s="173"/>
      <c r="K976" s="173" t="s">
        <v>70</v>
      </c>
      <c r="L976" s="173">
        <v>38</v>
      </c>
      <c r="M976" s="173" t="s">
        <v>71</v>
      </c>
      <c r="N976" s="174">
        <v>1336</v>
      </c>
      <c r="O976" s="174">
        <v>1325</v>
      </c>
      <c r="P976" s="330">
        <v>6000</v>
      </c>
      <c r="Q976" s="173">
        <v>2</v>
      </c>
      <c r="R976" s="173">
        <v>50</v>
      </c>
      <c r="S976" s="173" t="s">
        <v>354</v>
      </c>
      <c r="T976" s="175">
        <v>44855</v>
      </c>
      <c r="U976" s="175">
        <v>44890</v>
      </c>
      <c r="V976" s="173" t="s">
        <v>355</v>
      </c>
      <c r="W976" s="173"/>
      <c r="X976" s="173"/>
      <c r="Y976" s="141"/>
    </row>
    <row r="977" spans="1:25" ht="13.5" x14ac:dyDescent="0.15">
      <c r="A977" s="173">
        <v>3684753</v>
      </c>
      <c r="B977" s="173" t="s">
        <v>351</v>
      </c>
      <c r="C977" s="173" t="s">
        <v>356</v>
      </c>
      <c r="D977" s="173" t="s">
        <v>353</v>
      </c>
      <c r="E977" s="173" t="s">
        <v>255</v>
      </c>
      <c r="F977" s="173">
        <v>3</v>
      </c>
      <c r="G977" s="173" t="s">
        <v>19</v>
      </c>
      <c r="H977" s="173" t="s">
        <v>20</v>
      </c>
      <c r="I977" s="173" t="s">
        <v>256</v>
      </c>
      <c r="J977" s="173"/>
      <c r="K977" s="173" t="s">
        <v>257</v>
      </c>
      <c r="L977" s="173">
        <v>100</v>
      </c>
      <c r="M977" s="173" t="s">
        <v>258</v>
      </c>
      <c r="N977" s="174">
        <v>1000</v>
      </c>
      <c r="O977" s="174">
        <v>1000</v>
      </c>
      <c r="P977" s="330">
        <v>6000</v>
      </c>
      <c r="Q977" s="173">
        <v>2</v>
      </c>
      <c r="R977" s="173">
        <v>6</v>
      </c>
      <c r="S977" s="173" t="s">
        <v>354</v>
      </c>
      <c r="T977" s="175">
        <v>44855</v>
      </c>
      <c r="U977" s="175">
        <v>44880</v>
      </c>
      <c r="V977" s="173" t="s">
        <v>355</v>
      </c>
      <c r="W977" s="173"/>
      <c r="X977" s="173"/>
      <c r="Y977" s="141"/>
    </row>
    <row r="978" spans="1:25" ht="13.5" x14ac:dyDescent="0.15">
      <c r="A978" s="173">
        <v>3684754</v>
      </c>
      <c r="B978" s="173" t="s">
        <v>351</v>
      </c>
      <c r="C978" s="173" t="s">
        <v>356</v>
      </c>
      <c r="D978" s="173" t="s">
        <v>353</v>
      </c>
      <c r="E978" s="173" t="s">
        <v>255</v>
      </c>
      <c r="F978" s="173">
        <v>3</v>
      </c>
      <c r="G978" s="173" t="s">
        <v>19</v>
      </c>
      <c r="H978" s="173" t="s">
        <v>20</v>
      </c>
      <c r="I978" s="173" t="s">
        <v>256</v>
      </c>
      <c r="J978" s="173"/>
      <c r="K978" s="173" t="s">
        <v>257</v>
      </c>
      <c r="L978" s="173">
        <v>125</v>
      </c>
      <c r="M978" s="173" t="s">
        <v>258</v>
      </c>
      <c r="N978" s="174">
        <v>1000</v>
      </c>
      <c r="O978" s="174">
        <v>1000</v>
      </c>
      <c r="P978" s="330">
        <v>6000</v>
      </c>
      <c r="Q978" s="173">
        <v>2</v>
      </c>
      <c r="R978" s="173">
        <v>6</v>
      </c>
      <c r="S978" s="173" t="s">
        <v>354</v>
      </c>
      <c r="T978" s="175">
        <v>44855</v>
      </c>
      <c r="U978" s="175">
        <v>44880</v>
      </c>
      <c r="V978" s="173" t="s">
        <v>355</v>
      </c>
      <c r="W978" s="173"/>
      <c r="X978" s="173"/>
      <c r="Y978" s="141"/>
    </row>
    <row r="979" spans="1:25" ht="13.5" x14ac:dyDescent="0.15">
      <c r="A979" s="173">
        <v>3684755</v>
      </c>
      <c r="B979" s="173" t="s">
        <v>351</v>
      </c>
      <c r="C979" s="173" t="s">
        <v>356</v>
      </c>
      <c r="D979" s="173" t="s">
        <v>353</v>
      </c>
      <c r="E979" s="173" t="s">
        <v>255</v>
      </c>
      <c r="F979" s="173">
        <v>3</v>
      </c>
      <c r="G979" s="173" t="s">
        <v>19</v>
      </c>
      <c r="H979" s="173" t="s">
        <v>20</v>
      </c>
      <c r="I979" s="173" t="s">
        <v>256</v>
      </c>
      <c r="J979" s="173"/>
      <c r="K979" s="173" t="s">
        <v>257</v>
      </c>
      <c r="L979" s="173">
        <v>188</v>
      </c>
      <c r="M979" s="173" t="s">
        <v>258</v>
      </c>
      <c r="N979" s="174">
        <v>1000</v>
      </c>
      <c r="O979" s="174">
        <v>1000</v>
      </c>
      <c r="P979" s="330">
        <v>6000</v>
      </c>
      <c r="Q979" s="173">
        <v>2</v>
      </c>
      <c r="R979" s="173">
        <v>6</v>
      </c>
      <c r="S979" s="173" t="s">
        <v>354</v>
      </c>
      <c r="T979" s="175">
        <v>44855</v>
      </c>
      <c r="U979" s="175">
        <v>44880</v>
      </c>
      <c r="V979" s="173" t="s">
        <v>355</v>
      </c>
      <c r="W979" s="173"/>
      <c r="X979" s="173"/>
      <c r="Y979" s="141"/>
    </row>
    <row r="980" spans="1:25" ht="13.5" x14ac:dyDescent="0.15">
      <c r="A980" s="173">
        <v>3684756</v>
      </c>
      <c r="B980" s="173" t="s">
        <v>351</v>
      </c>
      <c r="C980" s="173" t="s">
        <v>358</v>
      </c>
      <c r="D980" s="173" t="s">
        <v>353</v>
      </c>
      <c r="E980" s="173" t="s">
        <v>131</v>
      </c>
      <c r="F980" s="173">
        <v>3</v>
      </c>
      <c r="G980" s="173" t="s">
        <v>19</v>
      </c>
      <c r="H980" s="173" t="s">
        <v>20</v>
      </c>
      <c r="I980" s="173" t="s">
        <v>132</v>
      </c>
      <c r="J980" s="173"/>
      <c r="K980" s="173" t="s">
        <v>133</v>
      </c>
      <c r="L980" s="173">
        <v>75</v>
      </c>
      <c r="M980" s="173" t="s">
        <v>134</v>
      </c>
      <c r="N980" s="174">
        <v>600</v>
      </c>
      <c r="O980" s="174">
        <v>600</v>
      </c>
      <c r="P980" s="330">
        <v>6000</v>
      </c>
      <c r="Q980" s="173">
        <v>2</v>
      </c>
      <c r="R980" s="173">
        <v>48</v>
      </c>
      <c r="S980" s="173" t="s">
        <v>354</v>
      </c>
      <c r="T980" s="175">
        <v>44855</v>
      </c>
      <c r="U980" s="175">
        <v>44880</v>
      </c>
      <c r="V980" s="173" t="s">
        <v>355</v>
      </c>
      <c r="W980" s="173"/>
      <c r="X980" s="173"/>
      <c r="Y980" s="141"/>
    </row>
    <row r="981" spans="1:25" ht="13.5" x14ac:dyDescent="0.15">
      <c r="A981" s="173">
        <v>3684761</v>
      </c>
      <c r="B981" s="173" t="s">
        <v>351</v>
      </c>
      <c r="C981" s="173" t="s">
        <v>364</v>
      </c>
      <c r="D981" s="173" t="s">
        <v>353</v>
      </c>
      <c r="E981" s="173" t="s">
        <v>162</v>
      </c>
      <c r="F981" s="173">
        <v>3</v>
      </c>
      <c r="G981" s="173" t="s">
        <v>19</v>
      </c>
      <c r="H981" s="173" t="s">
        <v>20</v>
      </c>
      <c r="I981" s="173" t="s">
        <v>143</v>
      </c>
      <c r="J981" s="173"/>
      <c r="K981" s="173" t="s">
        <v>163</v>
      </c>
      <c r="L981" s="173">
        <v>38</v>
      </c>
      <c r="M981" s="173" t="s">
        <v>164</v>
      </c>
      <c r="N981" s="174">
        <v>1320</v>
      </c>
      <c r="O981" s="174">
        <v>1320</v>
      </c>
      <c r="P981" s="330">
        <v>6000</v>
      </c>
      <c r="Q981" s="173">
        <v>2</v>
      </c>
      <c r="R981" s="173">
        <v>6</v>
      </c>
      <c r="S981" s="173" t="s">
        <v>354</v>
      </c>
      <c r="T981" s="175">
        <v>44855</v>
      </c>
      <c r="U981" s="175">
        <v>44880</v>
      </c>
      <c r="V981" s="173" t="s">
        <v>355</v>
      </c>
      <c r="W981" s="173"/>
      <c r="X981" s="173"/>
      <c r="Y981" s="141"/>
    </row>
    <row r="982" spans="1:25" ht="13.5" x14ac:dyDescent="0.15">
      <c r="A982" s="173">
        <v>3684762</v>
      </c>
      <c r="B982" s="173" t="s">
        <v>351</v>
      </c>
      <c r="C982" s="173" t="s">
        <v>364</v>
      </c>
      <c r="D982" s="173" t="s">
        <v>353</v>
      </c>
      <c r="E982" s="173" t="s">
        <v>162</v>
      </c>
      <c r="F982" s="173">
        <v>3</v>
      </c>
      <c r="G982" s="173" t="s">
        <v>19</v>
      </c>
      <c r="H982" s="173" t="s">
        <v>20</v>
      </c>
      <c r="I982" s="173" t="s">
        <v>143</v>
      </c>
      <c r="J982" s="173"/>
      <c r="K982" s="173" t="s">
        <v>163</v>
      </c>
      <c r="L982" s="173">
        <v>50</v>
      </c>
      <c r="M982" s="173" t="s">
        <v>164</v>
      </c>
      <c r="N982" s="174">
        <v>1320</v>
      </c>
      <c r="O982" s="174">
        <v>1320</v>
      </c>
      <c r="P982" s="330">
        <v>6000</v>
      </c>
      <c r="Q982" s="173">
        <v>2</v>
      </c>
      <c r="R982" s="173">
        <v>1</v>
      </c>
      <c r="S982" s="173" t="s">
        <v>354</v>
      </c>
      <c r="T982" s="175">
        <v>44855</v>
      </c>
      <c r="U982" s="175">
        <v>44880</v>
      </c>
      <c r="V982" s="173" t="s">
        <v>355</v>
      </c>
      <c r="W982" s="173"/>
      <c r="X982" s="173"/>
      <c r="Y982" s="141"/>
    </row>
    <row r="983" spans="1:25" ht="13.5" x14ac:dyDescent="0.15">
      <c r="A983" s="173">
        <v>3684777</v>
      </c>
      <c r="B983" s="173" t="s">
        <v>351</v>
      </c>
      <c r="C983" s="173" t="s">
        <v>352</v>
      </c>
      <c r="D983" s="173" t="s">
        <v>353</v>
      </c>
      <c r="E983" s="173" t="s">
        <v>116</v>
      </c>
      <c r="F983" s="173">
        <v>3</v>
      </c>
      <c r="G983" s="173" t="s">
        <v>19</v>
      </c>
      <c r="H983" s="173" t="s">
        <v>20</v>
      </c>
      <c r="I983" s="173" t="s">
        <v>143</v>
      </c>
      <c r="J983" s="173"/>
      <c r="K983" s="173" t="s">
        <v>159</v>
      </c>
      <c r="L983" s="173">
        <v>25</v>
      </c>
      <c r="M983" s="173" t="s">
        <v>160</v>
      </c>
      <c r="N983" s="174">
        <v>1005</v>
      </c>
      <c r="O983" s="174">
        <v>1000</v>
      </c>
      <c r="P983" s="330">
        <v>6000</v>
      </c>
      <c r="Q983" s="173">
        <v>2</v>
      </c>
      <c r="R983" s="173">
        <v>3</v>
      </c>
      <c r="S983" s="173" t="s">
        <v>354</v>
      </c>
      <c r="T983" s="175">
        <v>44855</v>
      </c>
      <c r="U983" s="175">
        <v>44886</v>
      </c>
      <c r="V983" s="173" t="s">
        <v>355</v>
      </c>
      <c r="W983" s="173"/>
      <c r="X983" s="173"/>
      <c r="Y983" s="141"/>
    </row>
    <row r="984" spans="1:25" ht="13.5" x14ac:dyDescent="0.15">
      <c r="A984" s="173">
        <v>3684789</v>
      </c>
      <c r="B984" s="173" t="s">
        <v>351</v>
      </c>
      <c r="C984" s="173" t="s">
        <v>352</v>
      </c>
      <c r="D984" s="173" t="s">
        <v>353</v>
      </c>
      <c r="E984" s="173" t="s">
        <v>116</v>
      </c>
      <c r="F984" s="173">
        <v>3</v>
      </c>
      <c r="G984" s="173" t="s">
        <v>19</v>
      </c>
      <c r="H984" s="173" t="s">
        <v>20</v>
      </c>
      <c r="I984" s="173" t="s">
        <v>143</v>
      </c>
      <c r="J984" s="173"/>
      <c r="K984" s="173" t="s">
        <v>144</v>
      </c>
      <c r="L984" s="173">
        <v>50</v>
      </c>
      <c r="M984" s="173" t="s">
        <v>145</v>
      </c>
      <c r="N984" s="174">
        <v>1002</v>
      </c>
      <c r="O984" s="174">
        <v>1000</v>
      </c>
      <c r="P984" s="330">
        <v>6000</v>
      </c>
      <c r="Q984" s="173">
        <v>2</v>
      </c>
      <c r="R984" s="173">
        <v>5</v>
      </c>
      <c r="S984" s="173" t="s">
        <v>354</v>
      </c>
      <c r="T984" s="175">
        <v>44855</v>
      </c>
      <c r="U984" s="175">
        <v>44904</v>
      </c>
      <c r="V984" s="173" t="s">
        <v>355</v>
      </c>
      <c r="W984" s="173"/>
      <c r="X984" s="173"/>
      <c r="Y984" s="141"/>
    </row>
    <row r="985" spans="1:25" ht="13.5" x14ac:dyDescent="0.15">
      <c r="A985" s="173">
        <v>3688943</v>
      </c>
      <c r="B985" s="173" t="s">
        <v>351</v>
      </c>
      <c r="C985" s="173" t="s">
        <v>358</v>
      </c>
      <c r="D985" s="173" t="s">
        <v>353</v>
      </c>
      <c r="E985" s="173" t="s">
        <v>90</v>
      </c>
      <c r="F985" s="173">
        <v>3</v>
      </c>
      <c r="G985" s="173" t="s">
        <v>19</v>
      </c>
      <c r="H985" s="173" t="s">
        <v>20</v>
      </c>
      <c r="I985" s="173" t="s">
        <v>21</v>
      </c>
      <c r="J985" s="173"/>
      <c r="K985" s="173" t="s">
        <v>88</v>
      </c>
      <c r="L985" s="173">
        <v>75</v>
      </c>
      <c r="M985" s="173" t="s">
        <v>361</v>
      </c>
      <c r="N985" s="174">
        <v>620</v>
      </c>
      <c r="O985" s="174">
        <v>620</v>
      </c>
      <c r="P985" s="330">
        <v>6000</v>
      </c>
      <c r="Q985" s="173">
        <v>2</v>
      </c>
      <c r="R985" s="173">
        <v>20</v>
      </c>
      <c r="S985" s="173" t="s">
        <v>354</v>
      </c>
      <c r="T985" s="175">
        <v>44886</v>
      </c>
      <c r="U985" s="175">
        <v>44900</v>
      </c>
      <c r="V985" s="173" t="s">
        <v>355</v>
      </c>
      <c r="W985" s="173"/>
      <c r="X985" s="173"/>
      <c r="Y985" s="141"/>
    </row>
    <row r="986" spans="1:25" ht="13.5" x14ac:dyDescent="0.15">
      <c r="A986" s="173">
        <v>3688944</v>
      </c>
      <c r="B986" s="173" t="s">
        <v>351</v>
      </c>
      <c r="C986" s="173" t="s">
        <v>356</v>
      </c>
      <c r="D986" s="173" t="s">
        <v>353</v>
      </c>
      <c r="E986" s="173" t="s">
        <v>87</v>
      </c>
      <c r="F986" s="173">
        <v>3</v>
      </c>
      <c r="G986" s="173" t="s">
        <v>19</v>
      </c>
      <c r="H986" s="173" t="s">
        <v>20</v>
      </c>
      <c r="I986" s="173" t="s">
        <v>21</v>
      </c>
      <c r="J986" s="173"/>
      <c r="K986" s="173" t="s">
        <v>88</v>
      </c>
      <c r="L986" s="173">
        <v>75</v>
      </c>
      <c r="M986" s="173" t="s">
        <v>361</v>
      </c>
      <c r="N986" s="174">
        <v>220</v>
      </c>
      <c r="O986" s="174">
        <v>220</v>
      </c>
      <c r="P986" s="330">
        <v>6000</v>
      </c>
      <c r="Q986" s="173">
        <v>1</v>
      </c>
      <c r="R986" s="173">
        <v>45</v>
      </c>
      <c r="S986" s="173" t="s">
        <v>354</v>
      </c>
      <c r="T986" s="175">
        <v>44886</v>
      </c>
      <c r="U986" s="175">
        <v>44900</v>
      </c>
      <c r="V986" s="173" t="s">
        <v>355</v>
      </c>
      <c r="W986" s="173"/>
      <c r="X986" s="173"/>
      <c r="Y986" s="141"/>
    </row>
    <row r="987" spans="1:25" ht="13.5" x14ac:dyDescent="0.15">
      <c r="A987" s="173">
        <v>3688946</v>
      </c>
      <c r="B987" s="173" t="s">
        <v>351</v>
      </c>
      <c r="C987" s="173" t="s">
        <v>356</v>
      </c>
      <c r="D987" s="173" t="s">
        <v>353</v>
      </c>
      <c r="E987" s="173"/>
      <c r="F987" s="173">
        <v>3</v>
      </c>
      <c r="G987" s="173" t="s">
        <v>19</v>
      </c>
      <c r="H987" s="173" t="s">
        <v>20</v>
      </c>
      <c r="I987" s="173" t="s">
        <v>21</v>
      </c>
      <c r="J987" s="173"/>
      <c r="K987" s="173" t="s">
        <v>88</v>
      </c>
      <c r="L987" s="173">
        <v>125</v>
      </c>
      <c r="M987" s="173" t="s">
        <v>361</v>
      </c>
      <c r="N987" s="174">
        <v>200</v>
      </c>
      <c r="O987" s="174">
        <v>200</v>
      </c>
      <c r="P987" s="330">
        <v>6000</v>
      </c>
      <c r="Q987" s="173">
        <v>1</v>
      </c>
      <c r="R987" s="173">
        <v>30</v>
      </c>
      <c r="S987" s="173" t="s">
        <v>354</v>
      </c>
      <c r="T987" s="175">
        <v>44886</v>
      </c>
      <c r="U987" s="175">
        <v>44900</v>
      </c>
      <c r="V987" s="173" t="s">
        <v>355</v>
      </c>
      <c r="W987" s="173"/>
      <c r="X987" s="173"/>
      <c r="Y987" s="141"/>
    </row>
    <row r="988" spans="1:25" ht="13.5" x14ac:dyDescent="0.15">
      <c r="A988" s="173">
        <v>3688949</v>
      </c>
      <c r="B988" s="173" t="s">
        <v>351</v>
      </c>
      <c r="C988" s="173" t="s">
        <v>358</v>
      </c>
      <c r="D988" s="173" t="s">
        <v>353</v>
      </c>
      <c r="E988" s="173" t="s">
        <v>95</v>
      </c>
      <c r="F988" s="173" t="s">
        <v>96</v>
      </c>
      <c r="G988" s="173" t="s">
        <v>19</v>
      </c>
      <c r="H988" s="173" t="s">
        <v>20</v>
      </c>
      <c r="I988" s="173" t="s">
        <v>21</v>
      </c>
      <c r="J988" s="173"/>
      <c r="K988" s="173" t="s">
        <v>88</v>
      </c>
      <c r="L988" s="173">
        <v>188</v>
      </c>
      <c r="M988" s="173" t="s">
        <v>361</v>
      </c>
      <c r="N988" s="174">
        <v>360</v>
      </c>
      <c r="O988" s="174">
        <v>360</v>
      </c>
      <c r="P988" s="330">
        <v>6000</v>
      </c>
      <c r="Q988" s="173">
        <v>2</v>
      </c>
      <c r="R988" s="173">
        <v>72</v>
      </c>
      <c r="S988" s="173" t="s">
        <v>354</v>
      </c>
      <c r="T988" s="175">
        <v>44886</v>
      </c>
      <c r="U988" s="175">
        <v>44900</v>
      </c>
      <c r="V988" s="173" t="s">
        <v>355</v>
      </c>
      <c r="W988" s="173"/>
      <c r="X988" s="173"/>
      <c r="Y988" s="141"/>
    </row>
    <row r="989" spans="1:25" ht="13.5" x14ac:dyDescent="0.15">
      <c r="A989" s="173">
        <v>3688951</v>
      </c>
      <c r="B989" s="173" t="s">
        <v>351</v>
      </c>
      <c r="C989" s="173" t="s">
        <v>358</v>
      </c>
      <c r="D989" s="173" t="s">
        <v>353</v>
      </c>
      <c r="E989" s="173" t="s">
        <v>362</v>
      </c>
      <c r="F989" s="173">
        <v>3</v>
      </c>
      <c r="G989" s="173" t="s">
        <v>19</v>
      </c>
      <c r="H989" s="173" t="s">
        <v>20</v>
      </c>
      <c r="I989" s="173" t="s">
        <v>21</v>
      </c>
      <c r="J989" s="173"/>
      <c r="K989" s="173" t="s">
        <v>88</v>
      </c>
      <c r="L989" s="173">
        <v>188</v>
      </c>
      <c r="M989" s="173" t="s">
        <v>361</v>
      </c>
      <c r="N989" s="174">
        <v>1130</v>
      </c>
      <c r="O989" s="174">
        <v>1130</v>
      </c>
      <c r="P989" s="330">
        <v>6000</v>
      </c>
      <c r="Q989" s="173">
        <v>2</v>
      </c>
      <c r="R989" s="173">
        <v>17</v>
      </c>
      <c r="S989" s="173" t="s">
        <v>354</v>
      </c>
      <c r="T989" s="175">
        <v>44886</v>
      </c>
      <c r="U989" s="175">
        <v>44900</v>
      </c>
      <c r="V989" s="173" t="s">
        <v>355</v>
      </c>
      <c r="W989" s="173"/>
      <c r="X989" s="173"/>
      <c r="Y989" s="141"/>
    </row>
    <row r="990" spans="1:25" ht="13.5" x14ac:dyDescent="0.15">
      <c r="A990" s="173">
        <v>3688953</v>
      </c>
      <c r="B990" s="173" t="s">
        <v>351</v>
      </c>
      <c r="C990" s="173" t="s">
        <v>358</v>
      </c>
      <c r="D990" s="173" t="s">
        <v>353</v>
      </c>
      <c r="E990" s="173" t="s">
        <v>362</v>
      </c>
      <c r="F990" s="173">
        <v>3</v>
      </c>
      <c r="G990" s="173" t="s">
        <v>19</v>
      </c>
      <c r="H990" s="173" t="s">
        <v>20</v>
      </c>
      <c r="I990" s="173" t="s">
        <v>21</v>
      </c>
      <c r="J990" s="173"/>
      <c r="K990" s="173" t="s">
        <v>88</v>
      </c>
      <c r="L990" s="173">
        <v>100</v>
      </c>
      <c r="M990" s="173" t="s">
        <v>361</v>
      </c>
      <c r="N990" s="174">
        <v>330</v>
      </c>
      <c r="O990" s="174">
        <v>330</v>
      </c>
      <c r="P990" s="330">
        <v>6000</v>
      </c>
      <c r="Q990" s="173">
        <v>1</v>
      </c>
      <c r="R990" s="173">
        <v>72</v>
      </c>
      <c r="S990" s="173" t="s">
        <v>354</v>
      </c>
      <c r="T990" s="175">
        <v>44886</v>
      </c>
      <c r="U990" s="175">
        <v>44900</v>
      </c>
      <c r="V990" s="173" t="s">
        <v>355</v>
      </c>
      <c r="W990" s="173"/>
      <c r="X990" s="173"/>
      <c r="Y990" s="141"/>
    </row>
    <row r="991" spans="1:25" ht="13.5" x14ac:dyDescent="0.15">
      <c r="A991" s="173">
        <v>3688954</v>
      </c>
      <c r="B991" s="173" t="s">
        <v>351</v>
      </c>
      <c r="C991" s="173" t="s">
        <v>364</v>
      </c>
      <c r="D991" s="173" t="s">
        <v>353</v>
      </c>
      <c r="E991" s="173" t="s">
        <v>93</v>
      </c>
      <c r="F991" s="173">
        <v>331</v>
      </c>
      <c r="G991" s="173" t="s">
        <v>19</v>
      </c>
      <c r="H991" s="173" t="s">
        <v>20</v>
      </c>
      <c r="I991" s="173" t="s">
        <v>21</v>
      </c>
      <c r="J991" s="173"/>
      <c r="K991" s="173" t="s">
        <v>88</v>
      </c>
      <c r="L991" s="173">
        <v>100</v>
      </c>
      <c r="M991" s="173" t="s">
        <v>361</v>
      </c>
      <c r="N991" s="174">
        <v>450</v>
      </c>
      <c r="O991" s="174">
        <v>450</v>
      </c>
      <c r="P991" s="330">
        <v>6000</v>
      </c>
      <c r="Q991" s="173">
        <v>2</v>
      </c>
      <c r="R991" s="173">
        <v>48</v>
      </c>
      <c r="S991" s="173" t="s">
        <v>354</v>
      </c>
      <c r="T991" s="175">
        <v>44886</v>
      </c>
      <c r="U991" s="175">
        <v>44900</v>
      </c>
      <c r="V991" s="173" t="s">
        <v>355</v>
      </c>
      <c r="W991" s="173"/>
      <c r="X991" s="173"/>
      <c r="Y991" s="141"/>
    </row>
    <row r="992" spans="1:25" ht="13.5" x14ac:dyDescent="0.15">
      <c r="A992" s="173">
        <v>3688957</v>
      </c>
      <c r="B992" s="173" t="s">
        <v>351</v>
      </c>
      <c r="C992" s="173" t="s">
        <v>356</v>
      </c>
      <c r="D992" s="173" t="s">
        <v>353</v>
      </c>
      <c r="E992" s="173" t="s">
        <v>668</v>
      </c>
      <c r="F992" s="173">
        <v>3</v>
      </c>
      <c r="G992" s="173" t="s">
        <v>19</v>
      </c>
      <c r="H992" s="173" t="s">
        <v>28</v>
      </c>
      <c r="I992" s="173" t="s">
        <v>21</v>
      </c>
      <c r="J992" s="173"/>
      <c r="K992" s="173" t="s">
        <v>102</v>
      </c>
      <c r="L992" s="173">
        <v>50</v>
      </c>
      <c r="M992" s="173" t="s">
        <v>103</v>
      </c>
      <c r="N992" s="174">
        <v>1050</v>
      </c>
      <c r="O992" s="174">
        <v>1040</v>
      </c>
      <c r="P992" s="330">
        <v>6000</v>
      </c>
      <c r="Q992" s="173">
        <v>2</v>
      </c>
      <c r="R992" s="173">
        <v>8</v>
      </c>
      <c r="S992" s="173" t="s">
        <v>354</v>
      </c>
      <c r="T992" s="175">
        <v>44886</v>
      </c>
      <c r="U992" s="175">
        <v>44900</v>
      </c>
      <c r="V992" s="173" t="s">
        <v>355</v>
      </c>
      <c r="W992" s="173"/>
      <c r="X992" s="173"/>
      <c r="Y992" s="141"/>
    </row>
    <row r="993" spans="1:25" ht="13.5" x14ac:dyDescent="0.15">
      <c r="A993" s="173">
        <v>3688959</v>
      </c>
      <c r="B993" s="173" t="s">
        <v>431</v>
      </c>
      <c r="C993" s="173" t="s">
        <v>364</v>
      </c>
      <c r="D993" s="173" t="s">
        <v>353</v>
      </c>
      <c r="E993" s="173" t="s">
        <v>371</v>
      </c>
      <c r="F993" s="173">
        <v>331</v>
      </c>
      <c r="G993" s="173" t="s">
        <v>265</v>
      </c>
      <c r="H993" s="173" t="s">
        <v>20</v>
      </c>
      <c r="I993" s="173" t="s">
        <v>21</v>
      </c>
      <c r="J993" s="173"/>
      <c r="K993" s="173" t="s">
        <v>118</v>
      </c>
      <c r="L993" s="173">
        <v>25</v>
      </c>
      <c r="M993" s="173" t="s">
        <v>119</v>
      </c>
      <c r="N993" s="174">
        <v>1425</v>
      </c>
      <c r="O993" s="174">
        <v>1420</v>
      </c>
      <c r="P993" s="330">
        <v>6000</v>
      </c>
      <c r="Q993" s="173">
        <v>2</v>
      </c>
      <c r="R993" s="173">
        <v>11</v>
      </c>
      <c r="S993" s="173" t="s">
        <v>354</v>
      </c>
      <c r="T993" s="175">
        <v>44886</v>
      </c>
      <c r="U993" s="175">
        <v>44904</v>
      </c>
      <c r="V993" s="173" t="s">
        <v>355</v>
      </c>
      <c r="W993" s="173"/>
      <c r="X993" s="173"/>
      <c r="Y993" s="141"/>
    </row>
    <row r="994" spans="1:25" ht="13.5" x14ac:dyDescent="0.15">
      <c r="A994" s="173">
        <v>3688961</v>
      </c>
      <c r="B994" s="173" t="s">
        <v>431</v>
      </c>
      <c r="C994" s="173" t="s">
        <v>356</v>
      </c>
      <c r="D994" s="173" t="s">
        <v>353</v>
      </c>
      <c r="E994" s="173" t="s">
        <v>130</v>
      </c>
      <c r="F994" s="173">
        <v>3</v>
      </c>
      <c r="G994" s="173" t="s">
        <v>265</v>
      </c>
      <c r="H994" s="173" t="s">
        <v>20</v>
      </c>
      <c r="I994" s="173" t="s">
        <v>21</v>
      </c>
      <c r="J994" s="173"/>
      <c r="K994" s="173" t="s">
        <v>435</v>
      </c>
      <c r="L994" s="173">
        <v>25</v>
      </c>
      <c r="M994" s="173" t="s">
        <v>436</v>
      </c>
      <c r="N994" s="174">
        <v>1410</v>
      </c>
      <c r="O994" s="174">
        <v>1410</v>
      </c>
      <c r="P994" s="330">
        <v>6000</v>
      </c>
      <c r="Q994" s="173">
        <v>2</v>
      </c>
      <c r="R994" s="173">
        <v>18</v>
      </c>
      <c r="S994" s="173" t="s">
        <v>354</v>
      </c>
      <c r="T994" s="175">
        <v>44886</v>
      </c>
      <c r="U994" s="175">
        <v>44904</v>
      </c>
      <c r="V994" s="173" t="s">
        <v>355</v>
      </c>
      <c r="W994" s="173"/>
      <c r="X994" s="173"/>
      <c r="Y994" s="141"/>
    </row>
    <row r="995" spans="1:25" ht="13.5" x14ac:dyDescent="0.15">
      <c r="A995" s="173">
        <v>3688963</v>
      </c>
      <c r="B995" s="173" t="s">
        <v>351</v>
      </c>
      <c r="C995" s="173" t="s">
        <v>352</v>
      </c>
      <c r="D995" s="173" t="s">
        <v>353</v>
      </c>
      <c r="E995" s="173" t="s">
        <v>116</v>
      </c>
      <c r="F995" s="173">
        <v>3</v>
      </c>
      <c r="G995" s="173" t="s">
        <v>19</v>
      </c>
      <c r="H995" s="173" t="s">
        <v>20</v>
      </c>
      <c r="I995" s="173" t="s">
        <v>21</v>
      </c>
      <c r="J995" s="173"/>
      <c r="K995" s="173" t="s">
        <v>118</v>
      </c>
      <c r="L995" s="173">
        <v>38</v>
      </c>
      <c r="M995" s="173" t="s">
        <v>368</v>
      </c>
      <c r="N995" s="174">
        <v>1415</v>
      </c>
      <c r="O995" s="174">
        <v>1410</v>
      </c>
      <c r="P995" s="330">
        <v>6000</v>
      </c>
      <c r="Q995" s="173">
        <v>2</v>
      </c>
      <c r="R995" s="173">
        <v>3</v>
      </c>
      <c r="S995" s="173" t="s">
        <v>354</v>
      </c>
      <c r="T995" s="175">
        <v>44886</v>
      </c>
      <c r="U995" s="175">
        <v>44918</v>
      </c>
      <c r="V995" s="173" t="s">
        <v>355</v>
      </c>
      <c r="W995" s="173"/>
      <c r="X995" s="173"/>
      <c r="Y995" s="141"/>
    </row>
    <row r="996" spans="1:25" ht="13.5" x14ac:dyDescent="0.15">
      <c r="A996" s="173">
        <v>3688965</v>
      </c>
      <c r="B996" s="173" t="s">
        <v>351</v>
      </c>
      <c r="C996" s="173" t="s">
        <v>356</v>
      </c>
      <c r="D996" s="173" t="s">
        <v>353</v>
      </c>
      <c r="E996" s="173" t="s">
        <v>106</v>
      </c>
      <c r="F996" s="173">
        <v>3</v>
      </c>
      <c r="G996" s="173" t="s">
        <v>19</v>
      </c>
      <c r="H996" s="173" t="s">
        <v>20</v>
      </c>
      <c r="I996" s="173" t="s">
        <v>21</v>
      </c>
      <c r="J996" s="173"/>
      <c r="K996" s="173" t="s">
        <v>107</v>
      </c>
      <c r="L996" s="173">
        <v>25</v>
      </c>
      <c r="M996" s="173" t="s">
        <v>367</v>
      </c>
      <c r="N996" s="174">
        <v>1240</v>
      </c>
      <c r="O996" s="174">
        <v>1240</v>
      </c>
      <c r="P996" s="330">
        <v>6000</v>
      </c>
      <c r="Q996" s="173">
        <v>2</v>
      </c>
      <c r="R996" s="173">
        <v>20</v>
      </c>
      <c r="S996" s="173" t="s">
        <v>354</v>
      </c>
      <c r="T996" s="175">
        <v>44886</v>
      </c>
      <c r="U996" s="175">
        <v>44904</v>
      </c>
      <c r="V996" s="173" t="s">
        <v>355</v>
      </c>
      <c r="W996" s="173"/>
      <c r="X996" s="173"/>
      <c r="Y996" s="141"/>
    </row>
    <row r="997" spans="1:25" ht="13.5" x14ac:dyDescent="0.15">
      <c r="A997" s="173">
        <v>3688967</v>
      </c>
      <c r="B997" s="173" t="s">
        <v>431</v>
      </c>
      <c r="C997" s="173" t="s">
        <v>364</v>
      </c>
      <c r="D997" s="173" t="s">
        <v>353</v>
      </c>
      <c r="E997" s="173" t="s">
        <v>371</v>
      </c>
      <c r="F997" s="173">
        <v>3</v>
      </c>
      <c r="G997" s="173" t="s">
        <v>265</v>
      </c>
      <c r="H997" s="173" t="s">
        <v>20</v>
      </c>
      <c r="I997" s="173" t="s">
        <v>21</v>
      </c>
      <c r="J997" s="173"/>
      <c r="K997" s="173" t="s">
        <v>118</v>
      </c>
      <c r="L997" s="173">
        <v>25</v>
      </c>
      <c r="M997" s="173" t="s">
        <v>119</v>
      </c>
      <c r="N997" s="174">
        <v>1155</v>
      </c>
      <c r="O997" s="174">
        <v>1150</v>
      </c>
      <c r="P997" s="330">
        <v>6000</v>
      </c>
      <c r="Q997" s="173">
        <v>2</v>
      </c>
      <c r="R997" s="173">
        <v>3</v>
      </c>
      <c r="S997" s="173" t="s">
        <v>354</v>
      </c>
      <c r="T997" s="175">
        <v>44886</v>
      </c>
      <c r="U997" s="175">
        <v>44904</v>
      </c>
      <c r="V997" s="173" t="s">
        <v>355</v>
      </c>
      <c r="W997" s="173"/>
      <c r="X997" s="173"/>
      <c r="Y997" s="141"/>
    </row>
    <row r="998" spans="1:25" ht="13.5" x14ac:dyDescent="0.15">
      <c r="A998" s="173">
        <v>3688969</v>
      </c>
      <c r="B998" s="173" t="s">
        <v>351</v>
      </c>
      <c r="C998" s="173" t="s">
        <v>356</v>
      </c>
      <c r="D998" s="173" t="s">
        <v>353</v>
      </c>
      <c r="E998" s="173" t="s">
        <v>115</v>
      </c>
      <c r="F998" s="173">
        <v>3</v>
      </c>
      <c r="G998" s="173" t="s">
        <v>19</v>
      </c>
      <c r="H998" s="173" t="s">
        <v>20</v>
      </c>
      <c r="I998" s="173" t="s">
        <v>21</v>
      </c>
      <c r="J998" s="173"/>
      <c r="K998" s="173" t="s">
        <v>112</v>
      </c>
      <c r="L998" s="173">
        <v>38</v>
      </c>
      <c r="M998" s="173" t="s">
        <v>357</v>
      </c>
      <c r="N998" s="174">
        <v>1135</v>
      </c>
      <c r="O998" s="174">
        <v>1130</v>
      </c>
      <c r="P998" s="330">
        <v>6000</v>
      </c>
      <c r="Q998" s="173">
        <v>2</v>
      </c>
      <c r="R998" s="173">
        <v>4</v>
      </c>
      <c r="S998" s="173" t="s">
        <v>354</v>
      </c>
      <c r="T998" s="175">
        <v>44886</v>
      </c>
      <c r="U998" s="175">
        <v>44904</v>
      </c>
      <c r="V998" s="173" t="s">
        <v>355</v>
      </c>
      <c r="W998" s="173"/>
      <c r="X998" s="173"/>
      <c r="Y998" s="141"/>
    </row>
    <row r="999" spans="1:25" ht="13.5" x14ac:dyDescent="0.15">
      <c r="A999" s="173">
        <v>3688971</v>
      </c>
      <c r="B999" s="173" t="s">
        <v>351</v>
      </c>
      <c r="C999" s="173" t="s">
        <v>356</v>
      </c>
      <c r="D999" s="173" t="s">
        <v>353</v>
      </c>
      <c r="E999" s="173" t="s">
        <v>17</v>
      </c>
      <c r="F999" s="173">
        <v>3</v>
      </c>
      <c r="G999" s="173" t="s">
        <v>19</v>
      </c>
      <c r="H999" s="173" t="s">
        <v>20</v>
      </c>
      <c r="I999" s="173" t="s">
        <v>21</v>
      </c>
      <c r="J999" s="173"/>
      <c r="K999" s="173" t="s">
        <v>104</v>
      </c>
      <c r="L999" s="173">
        <v>25</v>
      </c>
      <c r="M999" s="173" t="s">
        <v>375</v>
      </c>
      <c r="N999" s="174">
        <v>1100</v>
      </c>
      <c r="O999" s="174">
        <v>1100</v>
      </c>
      <c r="P999" s="330">
        <v>6000</v>
      </c>
      <c r="Q999" s="173">
        <v>2</v>
      </c>
      <c r="R999" s="173">
        <v>3</v>
      </c>
      <c r="S999" s="173" t="s">
        <v>354</v>
      </c>
      <c r="T999" s="175">
        <v>44886</v>
      </c>
      <c r="U999" s="175">
        <v>44904</v>
      </c>
      <c r="V999" s="173" t="s">
        <v>355</v>
      </c>
      <c r="W999" s="173"/>
      <c r="X999" s="173"/>
      <c r="Y999" s="141"/>
    </row>
    <row r="1000" spans="1:25" ht="13.5" x14ac:dyDescent="0.15">
      <c r="A1000" s="173">
        <v>3688973</v>
      </c>
      <c r="B1000" s="173" t="s">
        <v>351</v>
      </c>
      <c r="C1000" s="173" t="s">
        <v>358</v>
      </c>
      <c r="D1000" s="173" t="s">
        <v>353</v>
      </c>
      <c r="E1000" s="173" t="s">
        <v>110</v>
      </c>
      <c r="F1000" s="173">
        <v>3</v>
      </c>
      <c r="G1000" s="173" t="s">
        <v>19</v>
      </c>
      <c r="H1000" s="173" t="s">
        <v>20</v>
      </c>
      <c r="I1000" s="173" t="s">
        <v>21</v>
      </c>
      <c r="J1000" s="173"/>
      <c r="K1000" s="173" t="s">
        <v>112</v>
      </c>
      <c r="L1000" s="173">
        <v>25</v>
      </c>
      <c r="M1000" s="173" t="s">
        <v>357</v>
      </c>
      <c r="N1000" s="174">
        <v>450</v>
      </c>
      <c r="O1000" s="174">
        <v>450</v>
      </c>
      <c r="P1000" s="330">
        <v>6000</v>
      </c>
      <c r="Q1000" s="173">
        <v>2</v>
      </c>
      <c r="R1000" s="173">
        <v>12</v>
      </c>
      <c r="S1000" s="173" t="s">
        <v>354</v>
      </c>
      <c r="T1000" s="175">
        <v>44886</v>
      </c>
      <c r="U1000" s="175">
        <v>44904</v>
      </c>
      <c r="V1000" s="173" t="s">
        <v>355</v>
      </c>
      <c r="W1000" s="173"/>
      <c r="X1000" s="173"/>
      <c r="Y1000" s="141"/>
    </row>
    <row r="1001" spans="1:25" ht="13.5" x14ac:dyDescent="0.15">
      <c r="A1001" s="173">
        <v>3688975</v>
      </c>
      <c r="B1001" s="173" t="s">
        <v>351</v>
      </c>
      <c r="C1001" s="173" t="s">
        <v>356</v>
      </c>
      <c r="D1001" s="173" t="s">
        <v>353</v>
      </c>
      <c r="E1001" s="173" t="s">
        <v>106</v>
      </c>
      <c r="F1001" s="173">
        <v>3</v>
      </c>
      <c r="G1001" s="173" t="s">
        <v>19</v>
      </c>
      <c r="H1001" s="173" t="s">
        <v>20</v>
      </c>
      <c r="I1001" s="173" t="s">
        <v>21</v>
      </c>
      <c r="J1001" s="173"/>
      <c r="K1001" s="173" t="s">
        <v>107</v>
      </c>
      <c r="L1001" s="173">
        <v>38</v>
      </c>
      <c r="M1001" s="173" t="s">
        <v>367</v>
      </c>
      <c r="N1001" s="174">
        <v>1040</v>
      </c>
      <c r="O1001" s="174">
        <v>1040</v>
      </c>
      <c r="P1001" s="330">
        <v>6000</v>
      </c>
      <c r="Q1001" s="173">
        <v>2</v>
      </c>
      <c r="R1001" s="173">
        <v>2</v>
      </c>
      <c r="S1001" s="173" t="s">
        <v>354</v>
      </c>
      <c r="T1001" s="175">
        <v>44886</v>
      </c>
      <c r="U1001" s="175">
        <v>44904</v>
      </c>
      <c r="V1001" s="173" t="s">
        <v>355</v>
      </c>
      <c r="W1001" s="173"/>
      <c r="X1001" s="173"/>
      <c r="Y1001" s="141"/>
    </row>
    <row r="1002" spans="1:25" ht="13.5" x14ac:dyDescent="0.15">
      <c r="A1002" s="173">
        <v>3688977</v>
      </c>
      <c r="B1002" s="173" t="s">
        <v>351</v>
      </c>
      <c r="C1002" s="173" t="s">
        <v>352</v>
      </c>
      <c r="D1002" s="173" t="s">
        <v>353</v>
      </c>
      <c r="E1002" s="173" t="s">
        <v>116</v>
      </c>
      <c r="F1002" s="173">
        <v>3</v>
      </c>
      <c r="G1002" s="173" t="s">
        <v>19</v>
      </c>
      <c r="H1002" s="173" t="s">
        <v>20</v>
      </c>
      <c r="I1002" s="173" t="s">
        <v>21</v>
      </c>
      <c r="J1002" s="173"/>
      <c r="K1002" s="173" t="s">
        <v>118</v>
      </c>
      <c r="L1002" s="173">
        <v>38</v>
      </c>
      <c r="M1002" s="173" t="s">
        <v>368</v>
      </c>
      <c r="N1002" s="174">
        <v>1005</v>
      </c>
      <c r="O1002" s="174">
        <v>1000</v>
      </c>
      <c r="P1002" s="330">
        <v>6000</v>
      </c>
      <c r="Q1002" s="173">
        <v>2</v>
      </c>
      <c r="R1002" s="173">
        <v>2</v>
      </c>
      <c r="S1002" s="173" t="s">
        <v>354</v>
      </c>
      <c r="T1002" s="175">
        <v>44886</v>
      </c>
      <c r="U1002" s="175">
        <v>44918</v>
      </c>
      <c r="V1002" s="173" t="s">
        <v>355</v>
      </c>
      <c r="W1002" s="173"/>
      <c r="X1002" s="173"/>
      <c r="Y1002" s="141"/>
    </row>
    <row r="1003" spans="1:25" ht="13.5" x14ac:dyDescent="0.15">
      <c r="A1003" s="173">
        <v>3688979</v>
      </c>
      <c r="B1003" s="173" t="s">
        <v>351</v>
      </c>
      <c r="C1003" s="173" t="s">
        <v>356</v>
      </c>
      <c r="D1003" s="173" t="s">
        <v>353</v>
      </c>
      <c r="E1003" s="173" t="s">
        <v>17</v>
      </c>
      <c r="F1003" s="173">
        <v>3</v>
      </c>
      <c r="G1003" s="173" t="s">
        <v>19</v>
      </c>
      <c r="H1003" s="173" t="s">
        <v>20</v>
      </c>
      <c r="I1003" s="173" t="s">
        <v>21</v>
      </c>
      <c r="J1003" s="173"/>
      <c r="K1003" s="173" t="s">
        <v>22</v>
      </c>
      <c r="L1003" s="173">
        <v>38</v>
      </c>
      <c r="M1003" s="173" t="s">
        <v>23</v>
      </c>
      <c r="N1003" s="174">
        <v>1037</v>
      </c>
      <c r="O1003" s="174">
        <v>1030</v>
      </c>
      <c r="P1003" s="330">
        <v>6000</v>
      </c>
      <c r="Q1003" s="173">
        <v>2</v>
      </c>
      <c r="R1003" s="173">
        <v>65</v>
      </c>
      <c r="S1003" s="173" t="s">
        <v>354</v>
      </c>
      <c r="T1003" s="175">
        <v>44886</v>
      </c>
      <c r="U1003" s="175">
        <v>44904</v>
      </c>
      <c r="V1003" s="173" t="s">
        <v>355</v>
      </c>
      <c r="W1003" s="173"/>
      <c r="X1003" s="173"/>
      <c r="Y1003" s="141"/>
    </row>
    <row r="1004" spans="1:25" ht="13.5" x14ac:dyDescent="0.15">
      <c r="A1004" s="173">
        <v>3688981</v>
      </c>
      <c r="B1004" s="173" t="s">
        <v>351</v>
      </c>
      <c r="C1004" s="173" t="s">
        <v>356</v>
      </c>
      <c r="D1004" s="173" t="s">
        <v>353</v>
      </c>
      <c r="E1004" s="173" t="s">
        <v>17</v>
      </c>
      <c r="F1004" s="173">
        <v>3</v>
      </c>
      <c r="G1004" s="173" t="s">
        <v>19</v>
      </c>
      <c r="H1004" s="173" t="s">
        <v>20</v>
      </c>
      <c r="I1004" s="173" t="s">
        <v>21</v>
      </c>
      <c r="J1004" s="173"/>
      <c r="K1004" s="173" t="s">
        <v>22</v>
      </c>
      <c r="L1004" s="173">
        <v>38</v>
      </c>
      <c r="M1004" s="173" t="s">
        <v>23</v>
      </c>
      <c r="N1004" s="174">
        <v>1057</v>
      </c>
      <c r="O1004" s="174">
        <v>1050</v>
      </c>
      <c r="P1004" s="330">
        <v>6000</v>
      </c>
      <c r="Q1004" s="173">
        <v>2</v>
      </c>
      <c r="R1004" s="173">
        <v>9</v>
      </c>
      <c r="S1004" s="173" t="s">
        <v>354</v>
      </c>
      <c r="T1004" s="175">
        <v>44886</v>
      </c>
      <c r="U1004" s="175">
        <v>44904</v>
      </c>
      <c r="V1004" s="173" t="s">
        <v>355</v>
      </c>
      <c r="W1004" s="173"/>
      <c r="X1004" s="173"/>
      <c r="Y1004" s="141"/>
    </row>
    <row r="1005" spans="1:25" ht="13.5" x14ac:dyDescent="0.15">
      <c r="A1005" s="173">
        <v>3688983</v>
      </c>
      <c r="B1005" s="173" t="s">
        <v>351</v>
      </c>
      <c r="C1005" s="173" t="s">
        <v>356</v>
      </c>
      <c r="D1005" s="173" t="s">
        <v>353</v>
      </c>
      <c r="E1005" s="173" t="s">
        <v>17</v>
      </c>
      <c r="F1005" s="173">
        <v>331</v>
      </c>
      <c r="G1005" s="173" t="s">
        <v>19</v>
      </c>
      <c r="H1005" s="173" t="s">
        <v>20</v>
      </c>
      <c r="I1005" s="173" t="s">
        <v>21</v>
      </c>
      <c r="J1005" s="173"/>
      <c r="K1005" s="173" t="s">
        <v>29</v>
      </c>
      <c r="L1005" s="173">
        <v>38</v>
      </c>
      <c r="M1005" s="173" t="s">
        <v>30</v>
      </c>
      <c r="N1005" s="174">
        <v>1330</v>
      </c>
      <c r="O1005" s="174">
        <v>1330</v>
      </c>
      <c r="P1005" s="330">
        <v>6000</v>
      </c>
      <c r="Q1005" s="173">
        <v>2</v>
      </c>
      <c r="R1005" s="173">
        <v>10</v>
      </c>
      <c r="S1005" s="173" t="s">
        <v>354</v>
      </c>
      <c r="T1005" s="175">
        <v>44886</v>
      </c>
      <c r="U1005" s="175">
        <v>44904</v>
      </c>
      <c r="V1005" s="173" t="s">
        <v>355</v>
      </c>
      <c r="W1005" s="173"/>
      <c r="X1005" s="173"/>
      <c r="Y1005" s="141"/>
    </row>
    <row r="1006" spans="1:25" ht="13.5" x14ac:dyDescent="0.15">
      <c r="A1006" s="173">
        <v>3688986</v>
      </c>
      <c r="B1006" s="173" t="s">
        <v>351</v>
      </c>
      <c r="C1006" s="173" t="s">
        <v>356</v>
      </c>
      <c r="D1006" s="173" t="s">
        <v>353</v>
      </c>
      <c r="E1006" s="173" t="s">
        <v>32</v>
      </c>
      <c r="F1006" s="173">
        <v>331</v>
      </c>
      <c r="G1006" s="173" t="s">
        <v>19</v>
      </c>
      <c r="H1006" s="173" t="s">
        <v>20</v>
      </c>
      <c r="I1006" s="173" t="s">
        <v>21</v>
      </c>
      <c r="J1006" s="173"/>
      <c r="K1006" s="173" t="s">
        <v>33</v>
      </c>
      <c r="L1006" s="173">
        <v>25</v>
      </c>
      <c r="M1006" s="173" t="s">
        <v>30</v>
      </c>
      <c r="N1006" s="174">
        <v>1330</v>
      </c>
      <c r="O1006" s="174">
        <v>1330</v>
      </c>
      <c r="P1006" s="330">
        <v>6000</v>
      </c>
      <c r="Q1006" s="173">
        <v>2</v>
      </c>
      <c r="R1006" s="173">
        <v>2</v>
      </c>
      <c r="S1006" s="173" t="s">
        <v>354</v>
      </c>
      <c r="T1006" s="175">
        <v>44886</v>
      </c>
      <c r="U1006" s="175">
        <v>44904</v>
      </c>
      <c r="V1006" s="173" t="s">
        <v>355</v>
      </c>
      <c r="W1006" s="173"/>
      <c r="X1006" s="173"/>
      <c r="Y1006" s="141"/>
    </row>
    <row r="1007" spans="1:25" ht="13.5" x14ac:dyDescent="0.15">
      <c r="A1007" s="173">
        <v>3688988</v>
      </c>
      <c r="B1007" s="173" t="s">
        <v>351</v>
      </c>
      <c r="C1007" s="173" t="s">
        <v>356</v>
      </c>
      <c r="D1007" s="173" t="s">
        <v>353</v>
      </c>
      <c r="E1007" s="173" t="s">
        <v>32</v>
      </c>
      <c r="F1007" s="173">
        <v>331</v>
      </c>
      <c r="G1007" s="173" t="s">
        <v>19</v>
      </c>
      <c r="H1007" s="173" t="s">
        <v>20</v>
      </c>
      <c r="I1007" s="173" t="s">
        <v>21</v>
      </c>
      <c r="J1007" s="173"/>
      <c r="K1007" s="173" t="s">
        <v>33</v>
      </c>
      <c r="L1007" s="173">
        <v>38</v>
      </c>
      <c r="M1007" s="173" t="s">
        <v>30</v>
      </c>
      <c r="N1007" s="174">
        <v>1330</v>
      </c>
      <c r="O1007" s="174">
        <v>1330</v>
      </c>
      <c r="P1007" s="330">
        <v>6000</v>
      </c>
      <c r="Q1007" s="173">
        <v>2</v>
      </c>
      <c r="R1007" s="173">
        <v>8</v>
      </c>
      <c r="S1007" s="173" t="s">
        <v>354</v>
      </c>
      <c r="T1007" s="175">
        <v>44886</v>
      </c>
      <c r="U1007" s="175">
        <v>44904</v>
      </c>
      <c r="V1007" s="173" t="s">
        <v>355</v>
      </c>
      <c r="W1007" s="173"/>
      <c r="X1007" s="173"/>
      <c r="Y1007" s="141"/>
    </row>
    <row r="1008" spans="1:25" ht="13.5" x14ac:dyDescent="0.15">
      <c r="A1008" s="173">
        <v>3688989</v>
      </c>
      <c r="B1008" s="173" t="s">
        <v>351</v>
      </c>
      <c r="C1008" s="173" t="s">
        <v>356</v>
      </c>
      <c r="D1008" s="173" t="s">
        <v>353</v>
      </c>
      <c r="E1008" s="173" t="s">
        <v>32</v>
      </c>
      <c r="F1008" s="173">
        <v>331</v>
      </c>
      <c r="G1008" s="173" t="s">
        <v>19</v>
      </c>
      <c r="H1008" s="173" t="s">
        <v>20</v>
      </c>
      <c r="I1008" s="173" t="s">
        <v>21</v>
      </c>
      <c r="J1008" s="173"/>
      <c r="K1008" s="173" t="s">
        <v>33</v>
      </c>
      <c r="L1008" s="173">
        <v>38</v>
      </c>
      <c r="M1008" s="173" t="s">
        <v>30</v>
      </c>
      <c r="N1008" s="174">
        <v>1580</v>
      </c>
      <c r="O1008" s="174">
        <v>1580</v>
      </c>
      <c r="P1008" s="330">
        <v>6000</v>
      </c>
      <c r="Q1008" s="173">
        <v>2</v>
      </c>
      <c r="R1008" s="173">
        <v>2</v>
      </c>
      <c r="S1008" s="173" t="s">
        <v>354</v>
      </c>
      <c r="T1008" s="175">
        <v>44886</v>
      </c>
      <c r="U1008" s="175">
        <v>44904</v>
      </c>
      <c r="V1008" s="173" t="s">
        <v>355</v>
      </c>
      <c r="W1008" s="173"/>
      <c r="X1008" s="173"/>
      <c r="Y1008" s="141"/>
    </row>
    <row r="1009" spans="1:25" ht="13.5" x14ac:dyDescent="0.15">
      <c r="A1009" s="173">
        <v>3688991</v>
      </c>
      <c r="B1009" s="173" t="s">
        <v>351</v>
      </c>
      <c r="C1009" s="173" t="s">
        <v>358</v>
      </c>
      <c r="D1009" s="173" t="s">
        <v>353</v>
      </c>
      <c r="E1009" s="173" t="s">
        <v>61</v>
      </c>
      <c r="F1009" s="173">
        <v>3313</v>
      </c>
      <c r="G1009" s="173" t="s">
        <v>19</v>
      </c>
      <c r="H1009" s="173" t="s">
        <v>20</v>
      </c>
      <c r="I1009" s="173" t="s">
        <v>21</v>
      </c>
      <c r="J1009" s="173"/>
      <c r="K1009" s="173" t="s">
        <v>62</v>
      </c>
      <c r="L1009" s="173">
        <v>38</v>
      </c>
      <c r="M1009" s="173" t="s">
        <v>63</v>
      </c>
      <c r="N1009" s="174">
        <v>750</v>
      </c>
      <c r="O1009" s="174">
        <v>750</v>
      </c>
      <c r="P1009" s="330">
        <v>6000</v>
      </c>
      <c r="Q1009" s="173">
        <v>2</v>
      </c>
      <c r="R1009" s="173">
        <v>28</v>
      </c>
      <c r="S1009" s="173" t="s">
        <v>354</v>
      </c>
      <c r="T1009" s="175">
        <v>44886</v>
      </c>
      <c r="U1009" s="175">
        <v>44909</v>
      </c>
      <c r="V1009" s="173" t="s">
        <v>355</v>
      </c>
      <c r="W1009" s="173"/>
      <c r="X1009" s="173"/>
      <c r="Y1009" s="141"/>
    </row>
    <row r="1010" spans="1:25" ht="13.5" x14ac:dyDescent="0.15">
      <c r="A1010" s="173">
        <v>3688994</v>
      </c>
      <c r="B1010" s="173" t="s">
        <v>351</v>
      </c>
      <c r="C1010" s="173" t="s">
        <v>363</v>
      </c>
      <c r="D1010" s="173" t="s">
        <v>353</v>
      </c>
      <c r="E1010" s="173" t="s">
        <v>65</v>
      </c>
      <c r="F1010" s="173">
        <v>3321</v>
      </c>
      <c r="G1010" s="173" t="s">
        <v>19</v>
      </c>
      <c r="H1010" s="173" t="s">
        <v>20</v>
      </c>
      <c r="I1010" s="173" t="s">
        <v>21</v>
      </c>
      <c r="J1010" s="173"/>
      <c r="K1010" s="173" t="s">
        <v>67</v>
      </c>
      <c r="L1010" s="173">
        <v>38</v>
      </c>
      <c r="M1010" s="173" t="s">
        <v>68</v>
      </c>
      <c r="N1010" s="174">
        <v>1336</v>
      </c>
      <c r="O1010" s="174">
        <v>1325</v>
      </c>
      <c r="P1010" s="330">
        <v>6000</v>
      </c>
      <c r="Q1010" s="173">
        <v>2</v>
      </c>
      <c r="R1010" s="173">
        <v>12</v>
      </c>
      <c r="S1010" s="173" t="s">
        <v>354</v>
      </c>
      <c r="T1010" s="175">
        <v>44886</v>
      </c>
      <c r="U1010" s="175">
        <v>44909</v>
      </c>
      <c r="V1010" s="173" t="s">
        <v>355</v>
      </c>
      <c r="W1010" s="173"/>
      <c r="X1010" s="173"/>
      <c r="Y1010" s="141"/>
    </row>
    <row r="1011" spans="1:25" ht="13.5" x14ac:dyDescent="0.15">
      <c r="A1011" s="173">
        <v>3688996</v>
      </c>
      <c r="B1011" s="173" t="s">
        <v>351</v>
      </c>
      <c r="C1011" s="173" t="s">
        <v>363</v>
      </c>
      <c r="D1011" s="173" t="s">
        <v>353</v>
      </c>
      <c r="E1011" s="173" t="s">
        <v>65</v>
      </c>
      <c r="F1011" s="173">
        <v>3321</v>
      </c>
      <c r="G1011" s="173" t="s">
        <v>19</v>
      </c>
      <c r="H1011" s="173" t="s">
        <v>20</v>
      </c>
      <c r="I1011" s="173" t="s">
        <v>21</v>
      </c>
      <c r="J1011" s="173"/>
      <c r="K1011" s="173" t="s">
        <v>70</v>
      </c>
      <c r="L1011" s="173">
        <v>38</v>
      </c>
      <c r="M1011" s="173" t="s">
        <v>71</v>
      </c>
      <c r="N1011" s="174">
        <v>1336</v>
      </c>
      <c r="O1011" s="174">
        <v>1325</v>
      </c>
      <c r="P1011" s="330">
        <v>6000</v>
      </c>
      <c r="Q1011" s="173">
        <v>2</v>
      </c>
      <c r="R1011" s="173">
        <v>12</v>
      </c>
      <c r="S1011" s="173" t="s">
        <v>354</v>
      </c>
      <c r="T1011" s="175">
        <v>44886</v>
      </c>
      <c r="U1011" s="175">
        <v>44909</v>
      </c>
      <c r="V1011" s="173" t="s">
        <v>355</v>
      </c>
      <c r="W1011" s="173"/>
      <c r="X1011" s="173"/>
      <c r="Y1011" s="141"/>
    </row>
    <row r="1012" spans="1:25" ht="13.5" x14ac:dyDescent="0.15">
      <c r="A1012" s="173">
        <v>3688998</v>
      </c>
      <c r="B1012" s="173" t="s">
        <v>351</v>
      </c>
      <c r="C1012" s="173" t="s">
        <v>363</v>
      </c>
      <c r="D1012" s="173" t="s">
        <v>353</v>
      </c>
      <c r="E1012" s="173" t="s">
        <v>65</v>
      </c>
      <c r="F1012" s="173">
        <v>3321</v>
      </c>
      <c r="G1012" s="173" t="s">
        <v>19</v>
      </c>
      <c r="H1012" s="173" t="s">
        <v>20</v>
      </c>
      <c r="I1012" s="173" t="s">
        <v>21</v>
      </c>
      <c r="J1012" s="173"/>
      <c r="K1012" s="173" t="s">
        <v>67</v>
      </c>
      <c r="L1012" s="173">
        <v>38</v>
      </c>
      <c r="M1012" s="173" t="s">
        <v>68</v>
      </c>
      <c r="N1012" s="174">
        <v>1336</v>
      </c>
      <c r="O1012" s="174">
        <v>1325</v>
      </c>
      <c r="P1012" s="330">
        <v>6000</v>
      </c>
      <c r="Q1012" s="173">
        <v>2</v>
      </c>
      <c r="R1012" s="173">
        <v>30</v>
      </c>
      <c r="S1012" s="173" t="s">
        <v>354</v>
      </c>
      <c r="T1012" s="175">
        <v>44886</v>
      </c>
      <c r="U1012" s="175">
        <v>44911</v>
      </c>
      <c r="V1012" s="173" t="s">
        <v>355</v>
      </c>
      <c r="W1012" s="173"/>
      <c r="X1012" s="173"/>
      <c r="Y1012" s="141"/>
    </row>
    <row r="1013" spans="1:25" ht="13.5" x14ac:dyDescent="0.15">
      <c r="A1013" s="173">
        <v>3688999</v>
      </c>
      <c r="B1013" s="173" t="s">
        <v>351</v>
      </c>
      <c r="C1013" s="173" t="s">
        <v>363</v>
      </c>
      <c r="D1013" s="173" t="s">
        <v>353</v>
      </c>
      <c r="E1013" s="173" t="s">
        <v>65</v>
      </c>
      <c r="F1013" s="173">
        <v>3321</v>
      </c>
      <c r="G1013" s="173" t="s">
        <v>19</v>
      </c>
      <c r="H1013" s="173" t="s">
        <v>20</v>
      </c>
      <c r="I1013" s="173" t="s">
        <v>21</v>
      </c>
      <c r="J1013" s="173"/>
      <c r="K1013" s="173" t="s">
        <v>70</v>
      </c>
      <c r="L1013" s="173">
        <v>38</v>
      </c>
      <c r="M1013" s="173" t="s">
        <v>71</v>
      </c>
      <c r="N1013" s="174">
        <v>1336</v>
      </c>
      <c r="O1013" s="174">
        <v>1325</v>
      </c>
      <c r="P1013" s="330">
        <v>6000</v>
      </c>
      <c r="Q1013" s="173">
        <v>2</v>
      </c>
      <c r="R1013" s="173">
        <v>30</v>
      </c>
      <c r="S1013" s="173" t="s">
        <v>354</v>
      </c>
      <c r="T1013" s="175">
        <v>44886</v>
      </c>
      <c r="U1013" s="175">
        <v>44911</v>
      </c>
      <c r="V1013" s="173" t="s">
        <v>355</v>
      </c>
      <c r="W1013" s="173"/>
      <c r="X1013" s="173"/>
      <c r="Y1013" s="141"/>
    </row>
    <row r="1014" spans="1:25" ht="13.5" x14ac:dyDescent="0.15">
      <c r="A1014" s="173">
        <v>3689001</v>
      </c>
      <c r="B1014" s="173" t="s">
        <v>351</v>
      </c>
      <c r="C1014" s="173" t="s">
        <v>356</v>
      </c>
      <c r="D1014" s="173" t="s">
        <v>353</v>
      </c>
      <c r="E1014" s="173" t="s">
        <v>17</v>
      </c>
      <c r="F1014" s="173">
        <v>3</v>
      </c>
      <c r="G1014" s="173" t="s">
        <v>19</v>
      </c>
      <c r="H1014" s="173" t="s">
        <v>20</v>
      </c>
      <c r="I1014" s="173" t="s">
        <v>21</v>
      </c>
      <c r="J1014" s="173"/>
      <c r="K1014" s="173" t="s">
        <v>437</v>
      </c>
      <c r="L1014" s="173">
        <v>75</v>
      </c>
      <c r="M1014" s="173" t="s">
        <v>438</v>
      </c>
      <c r="N1014" s="174">
        <v>1330</v>
      </c>
      <c r="O1014" s="174">
        <v>1330</v>
      </c>
      <c r="P1014" s="330">
        <v>6000</v>
      </c>
      <c r="Q1014" s="173">
        <v>2</v>
      </c>
      <c r="R1014" s="173">
        <v>3</v>
      </c>
      <c r="S1014" s="173" t="s">
        <v>354</v>
      </c>
      <c r="T1014" s="175">
        <v>44886</v>
      </c>
      <c r="U1014" s="175">
        <v>44918</v>
      </c>
      <c r="V1014" s="173" t="s">
        <v>355</v>
      </c>
      <c r="W1014" s="173"/>
      <c r="X1014" s="173"/>
      <c r="Y1014" s="141"/>
    </row>
    <row r="1015" spans="1:25" ht="13.5" x14ac:dyDescent="0.15">
      <c r="A1015" s="173">
        <v>3689004</v>
      </c>
      <c r="B1015" s="173" t="s">
        <v>351</v>
      </c>
      <c r="C1015" s="173" t="s">
        <v>356</v>
      </c>
      <c r="D1015" s="173" t="s">
        <v>353</v>
      </c>
      <c r="E1015" s="173" t="s">
        <v>17</v>
      </c>
      <c r="F1015" s="173">
        <v>331</v>
      </c>
      <c r="G1015" s="173" t="s">
        <v>19</v>
      </c>
      <c r="H1015" s="173" t="s">
        <v>20</v>
      </c>
      <c r="I1015" s="173" t="s">
        <v>21</v>
      </c>
      <c r="J1015" s="173"/>
      <c r="K1015" s="173" t="s">
        <v>52</v>
      </c>
      <c r="L1015" s="173">
        <v>38</v>
      </c>
      <c r="M1015" s="173" t="s">
        <v>53</v>
      </c>
      <c r="N1015" s="174">
        <v>1330</v>
      </c>
      <c r="O1015" s="174">
        <v>1330</v>
      </c>
      <c r="P1015" s="330">
        <v>6000</v>
      </c>
      <c r="Q1015" s="173">
        <v>2</v>
      </c>
      <c r="R1015" s="173">
        <v>30</v>
      </c>
      <c r="S1015" s="173" t="s">
        <v>354</v>
      </c>
      <c r="T1015" s="175">
        <v>44886</v>
      </c>
      <c r="U1015" s="175">
        <v>44918</v>
      </c>
      <c r="V1015" s="173" t="s">
        <v>355</v>
      </c>
      <c r="W1015" s="173"/>
      <c r="X1015" s="173"/>
      <c r="Y1015" s="141"/>
    </row>
    <row r="1016" spans="1:25" ht="13.5" x14ac:dyDescent="0.15">
      <c r="A1016" s="173">
        <v>3689005</v>
      </c>
      <c r="B1016" s="173" t="s">
        <v>351</v>
      </c>
      <c r="C1016" s="173" t="s">
        <v>356</v>
      </c>
      <c r="D1016" s="173" t="s">
        <v>353</v>
      </c>
      <c r="E1016" s="173" t="s">
        <v>32</v>
      </c>
      <c r="F1016" s="173">
        <v>331</v>
      </c>
      <c r="G1016" s="173" t="s">
        <v>19</v>
      </c>
      <c r="H1016" s="173" t="s">
        <v>20</v>
      </c>
      <c r="I1016" s="173" t="s">
        <v>21</v>
      </c>
      <c r="J1016" s="173"/>
      <c r="K1016" s="173" t="s">
        <v>54</v>
      </c>
      <c r="L1016" s="173">
        <v>38</v>
      </c>
      <c r="M1016" s="173" t="s">
        <v>53</v>
      </c>
      <c r="N1016" s="174">
        <v>1580</v>
      </c>
      <c r="O1016" s="174">
        <v>1580</v>
      </c>
      <c r="P1016" s="330">
        <v>6000</v>
      </c>
      <c r="Q1016" s="173">
        <v>2</v>
      </c>
      <c r="R1016" s="173">
        <v>6</v>
      </c>
      <c r="S1016" s="173" t="s">
        <v>354</v>
      </c>
      <c r="T1016" s="175">
        <v>44886</v>
      </c>
      <c r="U1016" s="175">
        <v>44918</v>
      </c>
      <c r="V1016" s="173" t="s">
        <v>355</v>
      </c>
      <c r="W1016" s="173"/>
      <c r="X1016" s="173"/>
      <c r="Y1016" s="141"/>
    </row>
    <row r="1017" spans="1:25" ht="13.5" x14ac:dyDescent="0.15">
      <c r="A1017" s="173">
        <v>3689007</v>
      </c>
      <c r="B1017" s="173" t="s">
        <v>351</v>
      </c>
      <c r="C1017" s="173" t="s">
        <v>356</v>
      </c>
      <c r="D1017" s="173" t="s">
        <v>353</v>
      </c>
      <c r="E1017" s="173" t="s">
        <v>32</v>
      </c>
      <c r="F1017" s="173">
        <v>3</v>
      </c>
      <c r="G1017" s="173" t="s">
        <v>19</v>
      </c>
      <c r="H1017" s="173" t="s">
        <v>20</v>
      </c>
      <c r="I1017" s="173" t="s">
        <v>21</v>
      </c>
      <c r="J1017" s="173"/>
      <c r="K1017" s="173" t="s">
        <v>56</v>
      </c>
      <c r="L1017" s="173">
        <v>75</v>
      </c>
      <c r="M1017" s="173" t="s">
        <v>376</v>
      </c>
      <c r="N1017" s="174">
        <v>1330</v>
      </c>
      <c r="O1017" s="174">
        <v>1330</v>
      </c>
      <c r="P1017" s="330">
        <v>6000</v>
      </c>
      <c r="Q1017" s="173">
        <v>2</v>
      </c>
      <c r="R1017" s="173">
        <v>20</v>
      </c>
      <c r="S1017" s="173" t="s">
        <v>354</v>
      </c>
      <c r="T1017" s="175">
        <v>44886</v>
      </c>
      <c r="U1017" s="175">
        <v>44918</v>
      </c>
      <c r="V1017" s="173" t="s">
        <v>355</v>
      </c>
      <c r="W1017" s="173"/>
      <c r="X1017" s="173"/>
      <c r="Y1017" s="141"/>
    </row>
    <row r="1018" spans="1:25" ht="13.5" x14ac:dyDescent="0.15">
      <c r="A1018" s="173">
        <v>3689009</v>
      </c>
      <c r="B1018" s="173" t="s">
        <v>351</v>
      </c>
      <c r="C1018" s="173" t="s">
        <v>363</v>
      </c>
      <c r="D1018" s="173" t="s">
        <v>353</v>
      </c>
      <c r="E1018" s="173" t="s">
        <v>65</v>
      </c>
      <c r="F1018" s="173">
        <v>3321</v>
      </c>
      <c r="G1018" s="173" t="s">
        <v>19</v>
      </c>
      <c r="H1018" s="173" t="s">
        <v>20</v>
      </c>
      <c r="I1018" s="173" t="s">
        <v>21</v>
      </c>
      <c r="J1018" s="173"/>
      <c r="K1018" s="173" t="s">
        <v>67</v>
      </c>
      <c r="L1018" s="173">
        <v>38</v>
      </c>
      <c r="M1018" s="173" t="s">
        <v>68</v>
      </c>
      <c r="N1018" s="174">
        <v>1336</v>
      </c>
      <c r="O1018" s="174">
        <v>1325</v>
      </c>
      <c r="P1018" s="330">
        <v>6000</v>
      </c>
      <c r="Q1018" s="173">
        <v>2</v>
      </c>
      <c r="R1018" s="173">
        <v>23</v>
      </c>
      <c r="S1018" s="173" t="s">
        <v>354</v>
      </c>
      <c r="T1018" s="175">
        <v>44886</v>
      </c>
      <c r="U1018" s="175">
        <v>44918</v>
      </c>
      <c r="V1018" s="173" t="s">
        <v>355</v>
      </c>
      <c r="W1018" s="173"/>
      <c r="X1018" s="173"/>
      <c r="Y1018" s="141"/>
    </row>
    <row r="1019" spans="1:25" ht="13.5" x14ac:dyDescent="0.15">
      <c r="A1019" s="173">
        <v>3689012</v>
      </c>
      <c r="B1019" s="173" t="s">
        <v>351</v>
      </c>
      <c r="C1019" s="173" t="s">
        <v>363</v>
      </c>
      <c r="D1019" s="173" t="s">
        <v>353</v>
      </c>
      <c r="E1019" s="173" t="s">
        <v>65</v>
      </c>
      <c r="F1019" s="173">
        <v>3321</v>
      </c>
      <c r="G1019" s="173" t="s">
        <v>19</v>
      </c>
      <c r="H1019" s="173" t="s">
        <v>20</v>
      </c>
      <c r="I1019" s="173" t="s">
        <v>21</v>
      </c>
      <c r="J1019" s="173"/>
      <c r="K1019" s="173" t="s">
        <v>70</v>
      </c>
      <c r="L1019" s="173">
        <v>38</v>
      </c>
      <c r="M1019" s="173" t="s">
        <v>71</v>
      </c>
      <c r="N1019" s="174">
        <v>1336</v>
      </c>
      <c r="O1019" s="174">
        <v>1325</v>
      </c>
      <c r="P1019" s="330">
        <v>6000</v>
      </c>
      <c r="Q1019" s="173">
        <v>2</v>
      </c>
      <c r="R1019" s="173">
        <v>23</v>
      </c>
      <c r="S1019" s="173" t="s">
        <v>354</v>
      </c>
      <c r="T1019" s="175">
        <v>44886</v>
      </c>
      <c r="U1019" s="175">
        <v>44918</v>
      </c>
      <c r="V1019" s="173" t="s">
        <v>355</v>
      </c>
      <c r="W1019" s="173"/>
      <c r="X1019" s="173"/>
      <c r="Y1019" s="141"/>
    </row>
    <row r="1020" spans="1:25" ht="13.5" x14ac:dyDescent="0.15">
      <c r="A1020" s="173">
        <v>3689013</v>
      </c>
      <c r="B1020" s="173" t="s">
        <v>351</v>
      </c>
      <c r="C1020" s="173" t="s">
        <v>358</v>
      </c>
      <c r="D1020" s="173" t="s">
        <v>353</v>
      </c>
      <c r="E1020" s="173" t="s">
        <v>373</v>
      </c>
      <c r="F1020" s="173">
        <v>3</v>
      </c>
      <c r="G1020" s="173" t="s">
        <v>19</v>
      </c>
      <c r="H1020" s="173" t="s">
        <v>20</v>
      </c>
      <c r="I1020" s="173" t="s">
        <v>21</v>
      </c>
      <c r="J1020" s="173"/>
      <c r="K1020" s="173" t="s">
        <v>80</v>
      </c>
      <c r="L1020" s="173">
        <v>31</v>
      </c>
      <c r="M1020" s="173" t="s">
        <v>374</v>
      </c>
      <c r="N1020" s="174">
        <v>440</v>
      </c>
      <c r="O1020" s="174">
        <v>440</v>
      </c>
      <c r="P1020" s="330">
        <v>6000</v>
      </c>
      <c r="Q1020" s="173">
        <v>1</v>
      </c>
      <c r="R1020" s="173">
        <v>54</v>
      </c>
      <c r="S1020" s="173" t="s">
        <v>354</v>
      </c>
      <c r="T1020" s="175">
        <v>44886</v>
      </c>
      <c r="U1020" s="175">
        <v>44918</v>
      </c>
      <c r="V1020" s="173" t="s">
        <v>355</v>
      </c>
      <c r="W1020" s="173"/>
      <c r="X1020" s="173"/>
      <c r="Y1020" s="141"/>
    </row>
    <row r="1021" spans="1:25" ht="13.5" x14ac:dyDescent="0.15">
      <c r="A1021" s="173">
        <v>3689015</v>
      </c>
      <c r="B1021" s="173" t="s">
        <v>351</v>
      </c>
      <c r="C1021" s="173" t="s">
        <v>358</v>
      </c>
      <c r="D1021" s="173" t="s">
        <v>353</v>
      </c>
      <c r="E1021" s="173" t="s">
        <v>131</v>
      </c>
      <c r="F1021" s="173">
        <v>3</v>
      </c>
      <c r="G1021" s="173" t="s">
        <v>19</v>
      </c>
      <c r="H1021" s="173" t="s">
        <v>20</v>
      </c>
      <c r="I1021" s="173" t="s">
        <v>132</v>
      </c>
      <c r="J1021" s="173"/>
      <c r="K1021" s="173" t="s">
        <v>133</v>
      </c>
      <c r="L1021" s="173">
        <v>75</v>
      </c>
      <c r="M1021" s="173" t="s">
        <v>134</v>
      </c>
      <c r="N1021" s="174">
        <v>600</v>
      </c>
      <c r="O1021" s="174">
        <v>600</v>
      </c>
      <c r="P1021" s="330">
        <v>6000</v>
      </c>
      <c r="Q1021" s="173">
        <v>2</v>
      </c>
      <c r="R1021" s="173">
        <v>18</v>
      </c>
      <c r="S1021" s="173" t="s">
        <v>354</v>
      </c>
      <c r="T1021" s="175">
        <v>44886</v>
      </c>
      <c r="U1021" s="175">
        <v>44918</v>
      </c>
      <c r="V1021" s="173" t="s">
        <v>355</v>
      </c>
      <c r="W1021" s="173"/>
      <c r="X1021" s="173"/>
      <c r="Y1021" s="141"/>
    </row>
    <row r="1022" spans="1:25" ht="13.5" x14ac:dyDescent="0.15">
      <c r="A1022" s="173">
        <v>3689018</v>
      </c>
      <c r="B1022" s="173" t="s">
        <v>351</v>
      </c>
      <c r="C1022" s="173" t="s">
        <v>352</v>
      </c>
      <c r="D1022" s="173" t="s">
        <v>353</v>
      </c>
      <c r="E1022" s="173" t="s">
        <v>155</v>
      </c>
      <c r="F1022" s="173" t="s">
        <v>158</v>
      </c>
      <c r="G1022" s="173" t="s">
        <v>19</v>
      </c>
      <c r="H1022" s="173" t="s">
        <v>20</v>
      </c>
      <c r="I1022" s="173" t="s">
        <v>143</v>
      </c>
      <c r="J1022" s="173"/>
      <c r="K1022" s="173" t="s">
        <v>156</v>
      </c>
      <c r="L1022" s="173">
        <v>25</v>
      </c>
      <c r="M1022" s="173" t="s">
        <v>157</v>
      </c>
      <c r="N1022" s="174">
        <v>1120</v>
      </c>
      <c r="O1022" s="174">
        <v>1120</v>
      </c>
      <c r="P1022" s="330">
        <v>6000</v>
      </c>
      <c r="Q1022" s="173">
        <v>2</v>
      </c>
      <c r="R1022" s="173">
        <v>4</v>
      </c>
      <c r="S1022" s="173" t="s">
        <v>354</v>
      </c>
      <c r="T1022" s="175">
        <v>44886</v>
      </c>
      <c r="U1022" s="175">
        <v>44918</v>
      </c>
      <c r="V1022" s="173" t="s">
        <v>355</v>
      </c>
      <c r="W1022" s="173"/>
      <c r="X1022" s="173"/>
      <c r="Y1022" s="141"/>
    </row>
    <row r="1023" spans="1:25" ht="13.5" x14ac:dyDescent="0.15">
      <c r="A1023" s="173">
        <v>3689020</v>
      </c>
      <c r="B1023" s="173" t="s">
        <v>351</v>
      </c>
      <c r="C1023" s="173" t="s">
        <v>364</v>
      </c>
      <c r="D1023" s="173" t="s">
        <v>353</v>
      </c>
      <c r="E1023" s="173" t="s">
        <v>162</v>
      </c>
      <c r="F1023" s="173">
        <v>3</v>
      </c>
      <c r="G1023" s="173" t="s">
        <v>19</v>
      </c>
      <c r="H1023" s="173" t="s">
        <v>20</v>
      </c>
      <c r="I1023" s="173" t="s">
        <v>143</v>
      </c>
      <c r="J1023" s="173"/>
      <c r="K1023" s="173" t="s">
        <v>163</v>
      </c>
      <c r="L1023" s="173">
        <v>38</v>
      </c>
      <c r="M1023" s="173" t="s">
        <v>164</v>
      </c>
      <c r="N1023" s="174">
        <v>1320</v>
      </c>
      <c r="O1023" s="174">
        <v>1320</v>
      </c>
      <c r="P1023" s="330">
        <v>6000</v>
      </c>
      <c r="Q1023" s="173">
        <v>2</v>
      </c>
      <c r="R1023" s="173">
        <v>5</v>
      </c>
      <c r="S1023" s="173" t="s">
        <v>354</v>
      </c>
      <c r="T1023" s="175">
        <v>44886</v>
      </c>
      <c r="U1023" s="175">
        <v>44918</v>
      </c>
      <c r="V1023" s="173" t="s">
        <v>355</v>
      </c>
      <c r="W1023" s="173"/>
      <c r="X1023" s="173"/>
      <c r="Y1023" s="141"/>
    </row>
    <row r="1024" spans="1:25" ht="13.5" x14ac:dyDescent="0.15">
      <c r="A1024" s="173">
        <v>3689021</v>
      </c>
      <c r="B1024" s="173" t="s">
        <v>351</v>
      </c>
      <c r="C1024" s="173" t="s">
        <v>364</v>
      </c>
      <c r="D1024" s="173" t="s">
        <v>353</v>
      </c>
      <c r="E1024" s="173" t="s">
        <v>162</v>
      </c>
      <c r="F1024" s="173">
        <v>3</v>
      </c>
      <c r="G1024" s="173" t="s">
        <v>19</v>
      </c>
      <c r="H1024" s="173" t="s">
        <v>20</v>
      </c>
      <c r="I1024" s="173" t="s">
        <v>143</v>
      </c>
      <c r="J1024" s="173"/>
      <c r="K1024" s="173" t="s">
        <v>163</v>
      </c>
      <c r="L1024" s="173">
        <v>50</v>
      </c>
      <c r="M1024" s="173" t="s">
        <v>164</v>
      </c>
      <c r="N1024" s="174">
        <v>1320</v>
      </c>
      <c r="O1024" s="174">
        <v>1320</v>
      </c>
      <c r="P1024" s="330">
        <v>6000</v>
      </c>
      <c r="Q1024" s="173">
        <v>2</v>
      </c>
      <c r="R1024" s="173">
        <v>1</v>
      </c>
      <c r="S1024" s="173" t="s">
        <v>354</v>
      </c>
      <c r="T1024" s="175">
        <v>44886</v>
      </c>
      <c r="U1024" s="175">
        <v>44918</v>
      </c>
      <c r="V1024" s="173" t="s">
        <v>355</v>
      </c>
      <c r="W1024" s="173"/>
      <c r="X1024" s="173"/>
      <c r="Y1024" s="141"/>
    </row>
    <row r="1025" spans="1:25" ht="13.5" x14ac:dyDescent="0.15">
      <c r="A1025" s="173">
        <v>3689043</v>
      </c>
      <c r="B1025" s="173" t="s">
        <v>351</v>
      </c>
      <c r="C1025" s="173" t="s">
        <v>352</v>
      </c>
      <c r="D1025" s="173" t="s">
        <v>353</v>
      </c>
      <c r="E1025" s="173" t="s">
        <v>116</v>
      </c>
      <c r="F1025" s="173">
        <v>3</v>
      </c>
      <c r="G1025" s="173" t="s">
        <v>19</v>
      </c>
      <c r="H1025" s="173" t="s">
        <v>20</v>
      </c>
      <c r="I1025" s="173" t="s">
        <v>143</v>
      </c>
      <c r="J1025" s="173"/>
      <c r="K1025" s="173" t="s">
        <v>159</v>
      </c>
      <c r="L1025" s="173">
        <v>25</v>
      </c>
      <c r="M1025" s="173" t="s">
        <v>160</v>
      </c>
      <c r="N1025" s="174">
        <v>1005</v>
      </c>
      <c r="O1025" s="174">
        <v>1000</v>
      </c>
      <c r="P1025" s="330">
        <v>6000</v>
      </c>
      <c r="Q1025" s="173">
        <v>2</v>
      </c>
      <c r="R1025" s="173">
        <v>6</v>
      </c>
      <c r="S1025" s="173" t="s">
        <v>354</v>
      </c>
      <c r="T1025" s="175">
        <v>44886</v>
      </c>
      <c r="U1025" s="175">
        <v>44910</v>
      </c>
      <c r="V1025" s="173" t="s">
        <v>355</v>
      </c>
      <c r="W1025" s="173"/>
      <c r="X1025" s="173"/>
      <c r="Y1025" s="141"/>
    </row>
    <row r="1026" spans="1:25" ht="13.5" x14ac:dyDescent="0.15">
      <c r="A1026" s="173">
        <v>3689057</v>
      </c>
      <c r="B1026" s="173" t="s">
        <v>423</v>
      </c>
      <c r="C1026" s="173" t="s">
        <v>352</v>
      </c>
      <c r="D1026" s="173" t="s">
        <v>353</v>
      </c>
      <c r="E1026" s="173" t="s">
        <v>116</v>
      </c>
      <c r="F1026" s="173">
        <v>3</v>
      </c>
      <c r="G1026" s="173" t="s">
        <v>265</v>
      </c>
      <c r="H1026" s="173" t="s">
        <v>20</v>
      </c>
      <c r="I1026" s="173" t="s">
        <v>143</v>
      </c>
      <c r="J1026" s="173"/>
      <c r="K1026" s="173" t="s">
        <v>666</v>
      </c>
      <c r="L1026" s="173">
        <v>16</v>
      </c>
      <c r="M1026" s="173" t="s">
        <v>667</v>
      </c>
      <c r="N1026" s="174">
        <v>1120</v>
      </c>
      <c r="O1026" s="174">
        <v>1000</v>
      </c>
      <c r="P1026" s="330">
        <v>6000</v>
      </c>
      <c r="Q1026" s="173">
        <v>2</v>
      </c>
      <c r="R1026" s="173">
        <v>1</v>
      </c>
      <c r="S1026" s="173" t="s">
        <v>354</v>
      </c>
      <c r="T1026" s="175">
        <v>44886</v>
      </c>
      <c r="U1026" s="175">
        <v>44910</v>
      </c>
      <c r="V1026" s="173" t="s">
        <v>428</v>
      </c>
      <c r="W1026" s="173"/>
      <c r="X1026" s="173"/>
      <c r="Y1026" s="141"/>
    </row>
    <row r="1027" spans="1:25" ht="13.5" x14ac:dyDescent="0.15">
      <c r="A1027" s="173">
        <v>3694076</v>
      </c>
      <c r="B1027" s="173" t="s">
        <v>351</v>
      </c>
      <c r="C1027" s="173" t="s">
        <v>356</v>
      </c>
      <c r="D1027" s="173" t="s">
        <v>353</v>
      </c>
      <c r="E1027" s="173" t="s">
        <v>32</v>
      </c>
      <c r="F1027" s="173">
        <v>331</v>
      </c>
      <c r="G1027" s="173" t="s">
        <v>19</v>
      </c>
      <c r="H1027" s="173" t="s">
        <v>20</v>
      </c>
      <c r="I1027" s="173" t="s">
        <v>21</v>
      </c>
      <c r="J1027" s="173"/>
      <c r="K1027" s="173" t="s">
        <v>54</v>
      </c>
      <c r="L1027" s="173">
        <v>38</v>
      </c>
      <c r="M1027" s="173" t="s">
        <v>53</v>
      </c>
      <c r="N1027" s="174">
        <v>1580</v>
      </c>
      <c r="O1027" s="174">
        <v>1580</v>
      </c>
      <c r="P1027" s="330">
        <v>6000</v>
      </c>
      <c r="Q1027" s="173">
        <v>2</v>
      </c>
      <c r="R1027" s="173">
        <v>2</v>
      </c>
      <c r="S1027" s="173" t="s">
        <v>354</v>
      </c>
      <c r="T1027" s="175">
        <v>44916</v>
      </c>
      <c r="U1027" s="175">
        <v>44938</v>
      </c>
      <c r="V1027" s="173" t="s">
        <v>355</v>
      </c>
      <c r="W1027" s="173"/>
      <c r="X1027" s="173"/>
      <c r="Y1027" s="141"/>
    </row>
    <row r="1028" spans="1:25" ht="13.5" x14ac:dyDescent="0.15">
      <c r="A1028" s="173">
        <v>3694077</v>
      </c>
      <c r="B1028" s="173" t="s">
        <v>351</v>
      </c>
      <c r="C1028" s="173" t="s">
        <v>356</v>
      </c>
      <c r="D1028" s="173" t="s">
        <v>353</v>
      </c>
      <c r="E1028" s="173" t="s">
        <v>17</v>
      </c>
      <c r="F1028" s="173">
        <v>3</v>
      </c>
      <c r="G1028" s="173" t="s">
        <v>19</v>
      </c>
      <c r="H1028" s="173" t="s">
        <v>20</v>
      </c>
      <c r="I1028" s="173" t="s">
        <v>21</v>
      </c>
      <c r="J1028" s="173"/>
      <c r="K1028" s="173" t="s">
        <v>437</v>
      </c>
      <c r="L1028" s="173">
        <v>75</v>
      </c>
      <c r="M1028" s="173" t="s">
        <v>438</v>
      </c>
      <c r="N1028" s="174">
        <v>1330</v>
      </c>
      <c r="O1028" s="174">
        <v>1330</v>
      </c>
      <c r="P1028" s="330">
        <v>6000</v>
      </c>
      <c r="Q1028" s="173">
        <v>2</v>
      </c>
      <c r="R1028" s="173">
        <v>4</v>
      </c>
      <c r="S1028" s="173" t="s">
        <v>354</v>
      </c>
      <c r="T1028" s="175">
        <v>44916</v>
      </c>
      <c r="U1028" s="175">
        <v>44938</v>
      </c>
      <c r="V1028" s="173" t="s">
        <v>355</v>
      </c>
      <c r="W1028" s="173"/>
      <c r="X1028" s="173"/>
      <c r="Y1028" s="141"/>
    </row>
    <row r="1029" spans="1:25" ht="13.5" x14ac:dyDescent="0.15">
      <c r="A1029" s="173">
        <v>3694078</v>
      </c>
      <c r="B1029" s="173" t="s">
        <v>351</v>
      </c>
      <c r="C1029" s="173" t="s">
        <v>356</v>
      </c>
      <c r="D1029" s="173" t="s">
        <v>353</v>
      </c>
      <c r="E1029" s="173" t="s">
        <v>32</v>
      </c>
      <c r="F1029" s="173">
        <v>331</v>
      </c>
      <c r="G1029" s="173" t="s">
        <v>19</v>
      </c>
      <c r="H1029" s="173" t="s">
        <v>20</v>
      </c>
      <c r="I1029" s="173" t="s">
        <v>21</v>
      </c>
      <c r="J1029" s="173"/>
      <c r="K1029" s="173" t="s">
        <v>54</v>
      </c>
      <c r="L1029" s="173">
        <v>38</v>
      </c>
      <c r="M1029" s="173" t="s">
        <v>53</v>
      </c>
      <c r="N1029" s="174">
        <v>1330</v>
      </c>
      <c r="O1029" s="174">
        <v>1330</v>
      </c>
      <c r="P1029" s="330">
        <v>6000</v>
      </c>
      <c r="Q1029" s="173">
        <v>2</v>
      </c>
      <c r="R1029" s="173">
        <v>6</v>
      </c>
      <c r="S1029" s="173" t="s">
        <v>354</v>
      </c>
      <c r="T1029" s="175">
        <v>44916</v>
      </c>
      <c r="U1029" s="175">
        <v>44938</v>
      </c>
      <c r="V1029" s="173" t="s">
        <v>355</v>
      </c>
      <c r="W1029" s="173"/>
      <c r="X1029" s="173"/>
      <c r="Y1029" s="141"/>
    </row>
    <row r="1030" spans="1:25" ht="13.5" x14ac:dyDescent="0.15">
      <c r="A1030" s="173">
        <v>3694079</v>
      </c>
      <c r="B1030" s="173" t="s">
        <v>351</v>
      </c>
      <c r="C1030" s="173" t="s">
        <v>356</v>
      </c>
      <c r="D1030" s="173" t="s">
        <v>353</v>
      </c>
      <c r="E1030" s="173" t="s">
        <v>17</v>
      </c>
      <c r="F1030" s="173">
        <v>331</v>
      </c>
      <c r="G1030" s="173" t="s">
        <v>19</v>
      </c>
      <c r="H1030" s="173" t="s">
        <v>20</v>
      </c>
      <c r="I1030" s="173" t="s">
        <v>21</v>
      </c>
      <c r="J1030" s="173"/>
      <c r="K1030" s="173" t="s">
        <v>52</v>
      </c>
      <c r="L1030" s="173">
        <v>38</v>
      </c>
      <c r="M1030" s="173" t="s">
        <v>53</v>
      </c>
      <c r="N1030" s="174">
        <v>1330</v>
      </c>
      <c r="O1030" s="174">
        <v>1330</v>
      </c>
      <c r="P1030" s="330">
        <v>6000</v>
      </c>
      <c r="Q1030" s="173">
        <v>2</v>
      </c>
      <c r="R1030" s="173">
        <v>30</v>
      </c>
      <c r="S1030" s="173" t="s">
        <v>354</v>
      </c>
      <c r="T1030" s="175">
        <v>44916</v>
      </c>
      <c r="U1030" s="175">
        <v>44943</v>
      </c>
      <c r="V1030" s="173" t="s">
        <v>355</v>
      </c>
      <c r="W1030" s="173"/>
      <c r="X1030" s="173"/>
      <c r="Y1030" s="141"/>
    </row>
    <row r="1031" spans="1:25" ht="13.5" x14ac:dyDescent="0.15">
      <c r="A1031" s="173">
        <v>3694080</v>
      </c>
      <c r="B1031" s="173" t="s">
        <v>431</v>
      </c>
      <c r="C1031" s="173" t="s">
        <v>364</v>
      </c>
      <c r="D1031" s="173" t="s">
        <v>353</v>
      </c>
      <c r="E1031" s="173" t="s">
        <v>371</v>
      </c>
      <c r="F1031" s="173">
        <v>331</v>
      </c>
      <c r="G1031" s="173" t="s">
        <v>265</v>
      </c>
      <c r="H1031" s="173" t="s">
        <v>20</v>
      </c>
      <c r="I1031" s="173" t="s">
        <v>21</v>
      </c>
      <c r="J1031" s="173"/>
      <c r="K1031" s="173" t="s">
        <v>118</v>
      </c>
      <c r="L1031" s="173">
        <v>25</v>
      </c>
      <c r="M1031" s="173" t="s">
        <v>119</v>
      </c>
      <c r="N1031" s="174">
        <v>1425</v>
      </c>
      <c r="O1031" s="174">
        <v>1420</v>
      </c>
      <c r="P1031" s="330">
        <v>6000</v>
      </c>
      <c r="Q1031" s="173">
        <v>2</v>
      </c>
      <c r="R1031" s="173">
        <v>10</v>
      </c>
      <c r="S1031" s="173" t="s">
        <v>354</v>
      </c>
      <c r="T1031" s="175">
        <v>44916</v>
      </c>
      <c r="U1031" s="175">
        <v>44942</v>
      </c>
      <c r="V1031" s="173" t="s">
        <v>355</v>
      </c>
      <c r="W1031" s="173"/>
      <c r="X1031" s="173"/>
      <c r="Y1031" s="141"/>
    </row>
    <row r="1032" spans="1:25" ht="13.5" x14ac:dyDescent="0.15">
      <c r="A1032" s="173">
        <v>3694081</v>
      </c>
      <c r="B1032" s="173" t="s">
        <v>431</v>
      </c>
      <c r="C1032" s="173" t="s">
        <v>356</v>
      </c>
      <c r="D1032" s="173" t="s">
        <v>353</v>
      </c>
      <c r="E1032" s="173" t="s">
        <v>130</v>
      </c>
      <c r="F1032" s="173">
        <v>3</v>
      </c>
      <c r="G1032" s="173" t="s">
        <v>265</v>
      </c>
      <c r="H1032" s="173" t="s">
        <v>20</v>
      </c>
      <c r="I1032" s="173" t="s">
        <v>21</v>
      </c>
      <c r="J1032" s="173"/>
      <c r="K1032" s="173" t="s">
        <v>435</v>
      </c>
      <c r="L1032" s="173">
        <v>25</v>
      </c>
      <c r="M1032" s="173" t="s">
        <v>436</v>
      </c>
      <c r="N1032" s="174">
        <v>1410</v>
      </c>
      <c r="O1032" s="174">
        <v>1410</v>
      </c>
      <c r="P1032" s="330">
        <v>6000</v>
      </c>
      <c r="Q1032" s="173">
        <v>2</v>
      </c>
      <c r="R1032" s="173">
        <v>18</v>
      </c>
      <c r="S1032" s="173" t="s">
        <v>354</v>
      </c>
      <c r="T1032" s="175">
        <v>44916</v>
      </c>
      <c r="U1032" s="175">
        <v>44942</v>
      </c>
      <c r="V1032" s="173" t="s">
        <v>355</v>
      </c>
      <c r="W1032" s="173"/>
      <c r="X1032" s="173"/>
      <c r="Y1032" s="141"/>
    </row>
    <row r="1033" spans="1:25" ht="13.5" x14ac:dyDescent="0.15">
      <c r="A1033" s="173">
        <v>3694082</v>
      </c>
      <c r="B1033" s="173" t="s">
        <v>351</v>
      </c>
      <c r="C1033" s="173" t="s">
        <v>352</v>
      </c>
      <c r="D1033" s="173" t="s">
        <v>353</v>
      </c>
      <c r="E1033" s="173" t="s">
        <v>116</v>
      </c>
      <c r="F1033" s="173">
        <v>3</v>
      </c>
      <c r="G1033" s="173" t="s">
        <v>19</v>
      </c>
      <c r="H1033" s="173" t="s">
        <v>20</v>
      </c>
      <c r="I1033" s="173" t="s">
        <v>21</v>
      </c>
      <c r="J1033" s="173"/>
      <c r="K1033" s="173" t="s">
        <v>118</v>
      </c>
      <c r="L1033" s="173">
        <v>38</v>
      </c>
      <c r="M1033" s="173" t="s">
        <v>368</v>
      </c>
      <c r="N1033" s="174">
        <v>1415</v>
      </c>
      <c r="O1033" s="174">
        <v>1410</v>
      </c>
      <c r="P1033" s="330">
        <v>6000</v>
      </c>
      <c r="Q1033" s="173">
        <v>2</v>
      </c>
      <c r="R1033" s="173">
        <v>6</v>
      </c>
      <c r="S1033" s="173" t="s">
        <v>354</v>
      </c>
      <c r="T1033" s="175">
        <v>44916</v>
      </c>
      <c r="U1033" s="175">
        <v>44942</v>
      </c>
      <c r="V1033" s="173" t="s">
        <v>355</v>
      </c>
      <c r="W1033" s="173"/>
      <c r="X1033" s="173"/>
      <c r="Y1033" s="141"/>
    </row>
    <row r="1034" spans="1:25" ht="13.5" x14ac:dyDescent="0.15">
      <c r="A1034" s="173">
        <v>3694083</v>
      </c>
      <c r="B1034" s="173" t="s">
        <v>351</v>
      </c>
      <c r="C1034" s="173" t="s">
        <v>356</v>
      </c>
      <c r="D1034" s="173" t="s">
        <v>353</v>
      </c>
      <c r="E1034" s="173" t="s">
        <v>17</v>
      </c>
      <c r="F1034" s="173">
        <v>3</v>
      </c>
      <c r="G1034" s="173" t="s">
        <v>19</v>
      </c>
      <c r="H1034" s="173" t="s">
        <v>20</v>
      </c>
      <c r="I1034" s="173" t="s">
        <v>21</v>
      </c>
      <c r="J1034" s="173"/>
      <c r="K1034" s="173" t="s">
        <v>104</v>
      </c>
      <c r="L1034" s="173">
        <v>25</v>
      </c>
      <c r="M1034" s="173" t="s">
        <v>375</v>
      </c>
      <c r="N1034" s="174">
        <v>1325</v>
      </c>
      <c r="O1034" s="174">
        <v>1320</v>
      </c>
      <c r="P1034" s="330">
        <v>6000</v>
      </c>
      <c r="Q1034" s="173">
        <v>2</v>
      </c>
      <c r="R1034" s="173">
        <v>14</v>
      </c>
      <c r="S1034" s="173" t="s">
        <v>354</v>
      </c>
      <c r="T1034" s="175">
        <v>44916</v>
      </c>
      <c r="U1034" s="175">
        <v>44942</v>
      </c>
      <c r="V1034" s="173" t="s">
        <v>355</v>
      </c>
      <c r="W1034" s="173"/>
      <c r="X1034" s="173"/>
      <c r="Y1034" s="141"/>
    </row>
    <row r="1035" spans="1:25" ht="13.5" x14ac:dyDescent="0.15">
      <c r="A1035" s="173">
        <v>3694084</v>
      </c>
      <c r="B1035" s="173" t="s">
        <v>351</v>
      </c>
      <c r="C1035" s="173" t="s">
        <v>358</v>
      </c>
      <c r="D1035" s="173" t="s">
        <v>353</v>
      </c>
      <c r="E1035" s="173" t="s">
        <v>120</v>
      </c>
      <c r="F1035" s="173">
        <v>3</v>
      </c>
      <c r="G1035" s="173" t="s">
        <v>19</v>
      </c>
      <c r="H1035" s="173" t="s">
        <v>20</v>
      </c>
      <c r="I1035" s="173" t="s">
        <v>21</v>
      </c>
      <c r="J1035" s="173"/>
      <c r="K1035" s="173" t="s">
        <v>118</v>
      </c>
      <c r="L1035" s="173">
        <v>125</v>
      </c>
      <c r="M1035" s="173" t="s">
        <v>121</v>
      </c>
      <c r="N1035" s="174">
        <v>1230</v>
      </c>
      <c r="O1035" s="174">
        <v>1225</v>
      </c>
      <c r="P1035" s="330">
        <v>6000</v>
      </c>
      <c r="Q1035" s="173">
        <v>2</v>
      </c>
      <c r="R1035" s="173">
        <v>2</v>
      </c>
      <c r="S1035" s="173" t="s">
        <v>354</v>
      </c>
      <c r="T1035" s="175">
        <v>44916</v>
      </c>
      <c r="U1035" s="175">
        <v>44942</v>
      </c>
      <c r="V1035" s="173" t="s">
        <v>355</v>
      </c>
      <c r="W1035" s="173"/>
      <c r="X1035" s="173"/>
      <c r="Y1035" s="141"/>
    </row>
    <row r="1036" spans="1:25" ht="13.5" x14ac:dyDescent="0.15">
      <c r="A1036" s="173">
        <v>3694085</v>
      </c>
      <c r="B1036" s="173" t="s">
        <v>431</v>
      </c>
      <c r="C1036" s="173" t="s">
        <v>364</v>
      </c>
      <c r="D1036" s="173" t="s">
        <v>353</v>
      </c>
      <c r="E1036" s="173" t="s">
        <v>371</v>
      </c>
      <c r="F1036" s="173">
        <v>3</v>
      </c>
      <c r="G1036" s="173" t="s">
        <v>265</v>
      </c>
      <c r="H1036" s="173" t="s">
        <v>20</v>
      </c>
      <c r="I1036" s="173" t="s">
        <v>21</v>
      </c>
      <c r="J1036" s="173"/>
      <c r="K1036" s="173" t="s">
        <v>118</v>
      </c>
      <c r="L1036" s="173">
        <v>25</v>
      </c>
      <c r="M1036" s="173" t="s">
        <v>119</v>
      </c>
      <c r="N1036" s="174">
        <v>1155</v>
      </c>
      <c r="O1036" s="174">
        <v>1150</v>
      </c>
      <c r="P1036" s="330">
        <v>6000</v>
      </c>
      <c r="Q1036" s="173">
        <v>2</v>
      </c>
      <c r="R1036" s="173">
        <v>3</v>
      </c>
      <c r="S1036" s="173" t="s">
        <v>354</v>
      </c>
      <c r="T1036" s="175">
        <v>44916</v>
      </c>
      <c r="U1036" s="175">
        <v>44942</v>
      </c>
      <c r="V1036" s="173" t="s">
        <v>355</v>
      </c>
      <c r="W1036" s="173"/>
      <c r="X1036" s="173"/>
      <c r="Y1036" s="141"/>
    </row>
    <row r="1037" spans="1:25" ht="13.5" x14ac:dyDescent="0.15">
      <c r="A1037" s="173">
        <v>3694086</v>
      </c>
      <c r="B1037" s="173" t="s">
        <v>351</v>
      </c>
      <c r="C1037" s="173" t="s">
        <v>754</v>
      </c>
      <c r="D1037" s="173" t="s">
        <v>353</v>
      </c>
      <c r="E1037" s="173" t="s">
        <v>755</v>
      </c>
      <c r="F1037" s="173">
        <v>3</v>
      </c>
      <c r="G1037" s="173" t="s">
        <v>19</v>
      </c>
      <c r="H1037" s="173" t="s">
        <v>20</v>
      </c>
      <c r="I1037" s="173" t="s">
        <v>21</v>
      </c>
      <c r="J1037" s="173"/>
      <c r="K1037" s="173" t="s">
        <v>128</v>
      </c>
      <c r="L1037" s="173">
        <v>25</v>
      </c>
      <c r="M1037" s="173" t="s">
        <v>756</v>
      </c>
      <c r="N1037" s="174">
        <v>1155</v>
      </c>
      <c r="O1037" s="174">
        <v>1150</v>
      </c>
      <c r="P1037" s="330">
        <v>6000</v>
      </c>
      <c r="Q1037" s="173">
        <v>2</v>
      </c>
      <c r="R1037" s="173">
        <v>2</v>
      </c>
      <c r="S1037" s="173" t="s">
        <v>354</v>
      </c>
      <c r="T1037" s="175">
        <v>44916</v>
      </c>
      <c r="U1037" s="175">
        <v>44942</v>
      </c>
      <c r="V1037" s="173" t="s">
        <v>355</v>
      </c>
      <c r="W1037" s="173"/>
      <c r="X1037" s="173"/>
      <c r="Y1037" s="141"/>
    </row>
    <row r="1038" spans="1:25" ht="13.5" x14ac:dyDescent="0.15">
      <c r="A1038" s="173">
        <v>3694087</v>
      </c>
      <c r="B1038" s="173" t="s">
        <v>351</v>
      </c>
      <c r="C1038" s="173" t="s">
        <v>358</v>
      </c>
      <c r="D1038" s="173" t="s">
        <v>353</v>
      </c>
      <c r="E1038" s="173" t="s">
        <v>61</v>
      </c>
      <c r="F1038" s="173">
        <v>3313</v>
      </c>
      <c r="G1038" s="173" t="s">
        <v>19</v>
      </c>
      <c r="H1038" s="173" t="s">
        <v>20</v>
      </c>
      <c r="I1038" s="173" t="s">
        <v>21</v>
      </c>
      <c r="J1038" s="173"/>
      <c r="K1038" s="173" t="s">
        <v>62</v>
      </c>
      <c r="L1038" s="173">
        <v>38</v>
      </c>
      <c r="M1038" s="173" t="s">
        <v>63</v>
      </c>
      <c r="N1038" s="174">
        <v>750</v>
      </c>
      <c r="O1038" s="174">
        <v>750</v>
      </c>
      <c r="P1038" s="330">
        <v>6000</v>
      </c>
      <c r="Q1038" s="173">
        <v>2</v>
      </c>
      <c r="R1038" s="173">
        <v>40</v>
      </c>
      <c r="S1038" s="173" t="s">
        <v>354</v>
      </c>
      <c r="T1038" s="175">
        <v>44916</v>
      </c>
      <c r="U1038" s="175">
        <v>44942</v>
      </c>
      <c r="V1038" s="173" t="s">
        <v>355</v>
      </c>
      <c r="W1038" s="173"/>
      <c r="X1038" s="173"/>
      <c r="Y1038" s="141"/>
    </row>
    <row r="1039" spans="1:25" ht="13.5" x14ac:dyDescent="0.15">
      <c r="A1039" s="173">
        <v>3694088</v>
      </c>
      <c r="B1039" s="173" t="s">
        <v>351</v>
      </c>
      <c r="C1039" s="173" t="s">
        <v>363</v>
      </c>
      <c r="D1039" s="173" t="s">
        <v>353</v>
      </c>
      <c r="E1039" s="173" t="s">
        <v>65</v>
      </c>
      <c r="F1039" s="173">
        <v>3321</v>
      </c>
      <c r="G1039" s="173" t="s">
        <v>19</v>
      </c>
      <c r="H1039" s="173" t="s">
        <v>20</v>
      </c>
      <c r="I1039" s="173" t="s">
        <v>21</v>
      </c>
      <c r="J1039" s="173"/>
      <c r="K1039" s="173" t="s">
        <v>70</v>
      </c>
      <c r="L1039" s="173">
        <v>38</v>
      </c>
      <c r="M1039" s="173" t="s">
        <v>71</v>
      </c>
      <c r="N1039" s="174">
        <v>1336</v>
      </c>
      <c r="O1039" s="174">
        <v>1325</v>
      </c>
      <c r="P1039" s="330">
        <v>6000</v>
      </c>
      <c r="Q1039" s="173">
        <v>2</v>
      </c>
      <c r="R1039" s="173">
        <v>30</v>
      </c>
      <c r="S1039" s="173" t="s">
        <v>354</v>
      </c>
      <c r="T1039" s="175">
        <v>44916</v>
      </c>
      <c r="U1039" s="175">
        <v>44942</v>
      </c>
      <c r="V1039" s="173" t="s">
        <v>355</v>
      </c>
      <c r="W1039" s="173"/>
      <c r="X1039" s="173"/>
      <c r="Y1039" s="141"/>
    </row>
    <row r="1040" spans="1:25" ht="13.5" x14ac:dyDescent="0.15">
      <c r="A1040" s="173">
        <v>3694089</v>
      </c>
      <c r="B1040" s="173" t="s">
        <v>351</v>
      </c>
      <c r="C1040" s="173" t="s">
        <v>363</v>
      </c>
      <c r="D1040" s="173" t="s">
        <v>353</v>
      </c>
      <c r="E1040" s="173" t="s">
        <v>65</v>
      </c>
      <c r="F1040" s="173">
        <v>3321</v>
      </c>
      <c r="G1040" s="173" t="s">
        <v>19</v>
      </c>
      <c r="H1040" s="173" t="s">
        <v>20</v>
      </c>
      <c r="I1040" s="173" t="s">
        <v>21</v>
      </c>
      <c r="J1040" s="173"/>
      <c r="K1040" s="173" t="s">
        <v>70</v>
      </c>
      <c r="L1040" s="173">
        <v>38</v>
      </c>
      <c r="M1040" s="173" t="s">
        <v>71</v>
      </c>
      <c r="N1040" s="174">
        <v>1336</v>
      </c>
      <c r="O1040" s="174">
        <v>1325</v>
      </c>
      <c r="P1040" s="330">
        <v>6000</v>
      </c>
      <c r="Q1040" s="173">
        <v>2</v>
      </c>
      <c r="R1040" s="173">
        <v>9</v>
      </c>
      <c r="S1040" s="173" t="s">
        <v>354</v>
      </c>
      <c r="T1040" s="175">
        <v>44916</v>
      </c>
      <c r="U1040" s="175">
        <v>44945</v>
      </c>
      <c r="V1040" s="173" t="s">
        <v>355</v>
      </c>
      <c r="W1040" s="173"/>
      <c r="X1040" s="173"/>
      <c r="Y1040" s="141"/>
    </row>
    <row r="1041" spans="1:25" ht="13.5" x14ac:dyDescent="0.15">
      <c r="A1041" s="173">
        <v>3694090</v>
      </c>
      <c r="B1041" s="173" t="s">
        <v>351</v>
      </c>
      <c r="C1041" s="173" t="s">
        <v>363</v>
      </c>
      <c r="D1041" s="173" t="s">
        <v>353</v>
      </c>
      <c r="E1041" s="173" t="s">
        <v>65</v>
      </c>
      <c r="F1041" s="173">
        <v>3321</v>
      </c>
      <c r="G1041" s="173" t="s">
        <v>19</v>
      </c>
      <c r="H1041" s="173" t="s">
        <v>20</v>
      </c>
      <c r="I1041" s="173" t="s">
        <v>21</v>
      </c>
      <c r="J1041" s="173"/>
      <c r="K1041" s="173" t="s">
        <v>67</v>
      </c>
      <c r="L1041" s="173">
        <v>38</v>
      </c>
      <c r="M1041" s="173" t="s">
        <v>68</v>
      </c>
      <c r="N1041" s="174">
        <v>1336</v>
      </c>
      <c r="O1041" s="174">
        <v>1325</v>
      </c>
      <c r="P1041" s="330">
        <v>6000</v>
      </c>
      <c r="Q1041" s="173">
        <v>2</v>
      </c>
      <c r="R1041" s="173">
        <v>70</v>
      </c>
      <c r="S1041" s="173" t="s">
        <v>354</v>
      </c>
      <c r="T1041" s="175">
        <v>44916</v>
      </c>
      <c r="U1041" s="175">
        <v>44945</v>
      </c>
      <c r="V1041" s="173" t="s">
        <v>355</v>
      </c>
      <c r="W1041" s="173"/>
      <c r="X1041" s="173"/>
      <c r="Y1041" s="141"/>
    </row>
    <row r="1042" spans="1:25" ht="13.5" x14ac:dyDescent="0.15">
      <c r="A1042" s="173">
        <v>3694091</v>
      </c>
      <c r="B1042" s="173" t="s">
        <v>351</v>
      </c>
      <c r="C1042" s="173" t="s">
        <v>358</v>
      </c>
      <c r="D1042" s="173" t="s">
        <v>353</v>
      </c>
      <c r="E1042" s="173" t="s">
        <v>61</v>
      </c>
      <c r="F1042" s="173">
        <v>331</v>
      </c>
      <c r="G1042" s="173" t="s">
        <v>19</v>
      </c>
      <c r="H1042" s="173" t="s">
        <v>20</v>
      </c>
      <c r="I1042" s="173" t="s">
        <v>21</v>
      </c>
      <c r="J1042" s="173"/>
      <c r="K1042" s="173" t="s">
        <v>62</v>
      </c>
      <c r="L1042" s="173">
        <v>38</v>
      </c>
      <c r="M1042" s="173" t="s">
        <v>63</v>
      </c>
      <c r="N1042" s="174">
        <v>1255</v>
      </c>
      <c r="O1042" s="174">
        <v>1250</v>
      </c>
      <c r="P1042" s="330">
        <v>6000</v>
      </c>
      <c r="Q1042" s="173">
        <v>2</v>
      </c>
      <c r="R1042" s="173">
        <v>2</v>
      </c>
      <c r="S1042" s="173" t="s">
        <v>354</v>
      </c>
      <c r="T1042" s="175">
        <v>44916</v>
      </c>
      <c r="U1042" s="175">
        <v>44945</v>
      </c>
      <c r="V1042" s="173" t="s">
        <v>355</v>
      </c>
      <c r="W1042" s="173"/>
      <c r="X1042" s="173"/>
      <c r="Y1042" s="141"/>
    </row>
    <row r="1043" spans="1:25" ht="13.5" x14ac:dyDescent="0.15">
      <c r="A1043" s="173">
        <v>3694092</v>
      </c>
      <c r="B1043" s="173" t="s">
        <v>351</v>
      </c>
      <c r="C1043" s="173" t="s">
        <v>356</v>
      </c>
      <c r="D1043" s="173" t="s">
        <v>353</v>
      </c>
      <c r="E1043" s="173" t="s">
        <v>17</v>
      </c>
      <c r="F1043" s="173">
        <v>331</v>
      </c>
      <c r="G1043" s="173" t="s">
        <v>19</v>
      </c>
      <c r="H1043" s="173" t="s">
        <v>20</v>
      </c>
      <c r="I1043" s="173" t="s">
        <v>21</v>
      </c>
      <c r="J1043" s="173"/>
      <c r="K1043" s="173" t="s">
        <v>22</v>
      </c>
      <c r="L1043" s="173">
        <v>38</v>
      </c>
      <c r="M1043" s="173" t="s">
        <v>23</v>
      </c>
      <c r="N1043" s="174">
        <v>1337</v>
      </c>
      <c r="O1043" s="174">
        <v>1330</v>
      </c>
      <c r="P1043" s="330">
        <v>6000</v>
      </c>
      <c r="Q1043" s="173">
        <v>2</v>
      </c>
      <c r="R1043" s="173">
        <v>16</v>
      </c>
      <c r="S1043" s="173" t="s">
        <v>354</v>
      </c>
      <c r="T1043" s="175">
        <v>44916</v>
      </c>
      <c r="U1043" s="175">
        <v>44949</v>
      </c>
      <c r="V1043" s="173" t="s">
        <v>355</v>
      </c>
      <c r="W1043" s="173"/>
      <c r="X1043" s="173"/>
      <c r="Y1043" s="141"/>
    </row>
    <row r="1044" spans="1:25" ht="13.5" x14ac:dyDescent="0.15">
      <c r="A1044" s="173">
        <v>3694093</v>
      </c>
      <c r="B1044" s="173" t="s">
        <v>351</v>
      </c>
      <c r="C1044" s="173" t="s">
        <v>356</v>
      </c>
      <c r="D1044" s="173" t="s">
        <v>353</v>
      </c>
      <c r="E1044" s="173" t="s">
        <v>32</v>
      </c>
      <c r="F1044" s="173">
        <v>331</v>
      </c>
      <c r="G1044" s="173" t="s">
        <v>19</v>
      </c>
      <c r="H1044" s="173" t="s">
        <v>20</v>
      </c>
      <c r="I1044" s="173" t="s">
        <v>21</v>
      </c>
      <c r="J1044" s="173"/>
      <c r="K1044" s="173" t="s">
        <v>33</v>
      </c>
      <c r="L1044" s="173">
        <v>25</v>
      </c>
      <c r="M1044" s="173" t="s">
        <v>30</v>
      </c>
      <c r="N1044" s="174">
        <v>1330</v>
      </c>
      <c r="O1044" s="174">
        <v>1330</v>
      </c>
      <c r="P1044" s="330">
        <v>6000</v>
      </c>
      <c r="Q1044" s="173">
        <v>2</v>
      </c>
      <c r="R1044" s="173">
        <v>2</v>
      </c>
      <c r="S1044" s="173" t="s">
        <v>354</v>
      </c>
      <c r="T1044" s="175">
        <v>44916</v>
      </c>
      <c r="U1044" s="175">
        <v>44949</v>
      </c>
      <c r="V1044" s="173" t="s">
        <v>355</v>
      </c>
      <c r="W1044" s="173"/>
      <c r="X1044" s="173"/>
      <c r="Y1044" s="141"/>
    </row>
    <row r="1045" spans="1:25" ht="13.5" x14ac:dyDescent="0.15">
      <c r="A1045" s="173">
        <v>3694094</v>
      </c>
      <c r="B1045" s="173" t="s">
        <v>351</v>
      </c>
      <c r="C1045" s="173" t="s">
        <v>356</v>
      </c>
      <c r="D1045" s="173" t="s">
        <v>353</v>
      </c>
      <c r="E1045" s="173" t="s">
        <v>32</v>
      </c>
      <c r="F1045" s="173">
        <v>331</v>
      </c>
      <c r="G1045" s="173" t="s">
        <v>19</v>
      </c>
      <c r="H1045" s="173" t="s">
        <v>20</v>
      </c>
      <c r="I1045" s="173" t="s">
        <v>21</v>
      </c>
      <c r="J1045" s="173"/>
      <c r="K1045" s="173" t="s">
        <v>33</v>
      </c>
      <c r="L1045" s="173">
        <v>38</v>
      </c>
      <c r="M1045" s="173" t="s">
        <v>30</v>
      </c>
      <c r="N1045" s="174">
        <v>1330</v>
      </c>
      <c r="O1045" s="174">
        <v>1330</v>
      </c>
      <c r="P1045" s="330">
        <v>6000</v>
      </c>
      <c r="Q1045" s="173">
        <v>2</v>
      </c>
      <c r="R1045" s="173">
        <v>2</v>
      </c>
      <c r="S1045" s="173" t="s">
        <v>354</v>
      </c>
      <c r="T1045" s="175">
        <v>44916</v>
      </c>
      <c r="U1045" s="175">
        <v>44949</v>
      </c>
      <c r="V1045" s="173" t="s">
        <v>355</v>
      </c>
      <c r="W1045" s="173"/>
      <c r="X1045" s="173"/>
      <c r="Y1045" s="141"/>
    </row>
    <row r="1046" spans="1:25" ht="13.5" x14ac:dyDescent="0.15">
      <c r="A1046" s="173">
        <v>3694095</v>
      </c>
      <c r="B1046" s="173" t="s">
        <v>351</v>
      </c>
      <c r="C1046" s="173" t="s">
        <v>356</v>
      </c>
      <c r="D1046" s="173" t="s">
        <v>353</v>
      </c>
      <c r="E1046" s="173" t="s">
        <v>377</v>
      </c>
      <c r="F1046" s="173">
        <v>3</v>
      </c>
      <c r="G1046" s="173" t="s">
        <v>19</v>
      </c>
      <c r="H1046" s="173" t="s">
        <v>20</v>
      </c>
      <c r="I1046" s="173" t="s">
        <v>21</v>
      </c>
      <c r="J1046" s="173"/>
      <c r="K1046" s="173" t="s">
        <v>36</v>
      </c>
      <c r="L1046" s="173">
        <v>25</v>
      </c>
      <c r="M1046" s="173" t="s">
        <v>37</v>
      </c>
      <c r="N1046" s="174">
        <v>890</v>
      </c>
      <c r="O1046" s="174">
        <v>890</v>
      </c>
      <c r="P1046" s="330">
        <v>6000</v>
      </c>
      <c r="Q1046" s="173">
        <v>2</v>
      </c>
      <c r="R1046" s="173">
        <v>6</v>
      </c>
      <c r="S1046" s="173" t="s">
        <v>354</v>
      </c>
      <c r="T1046" s="175">
        <v>44916</v>
      </c>
      <c r="U1046" s="175">
        <v>44949</v>
      </c>
      <c r="V1046" s="173" t="s">
        <v>355</v>
      </c>
      <c r="W1046" s="173"/>
      <c r="X1046" s="173"/>
      <c r="Y1046" s="141"/>
    </row>
    <row r="1047" spans="1:25" ht="13.5" x14ac:dyDescent="0.15">
      <c r="A1047" s="173">
        <v>3694101</v>
      </c>
      <c r="B1047" s="173" t="s">
        <v>351</v>
      </c>
      <c r="C1047" s="173" t="s">
        <v>434</v>
      </c>
      <c r="D1047" s="173" t="s">
        <v>353</v>
      </c>
      <c r="E1047" s="173" t="s">
        <v>439</v>
      </c>
      <c r="F1047" s="173">
        <v>3</v>
      </c>
      <c r="G1047" s="173" t="s">
        <v>19</v>
      </c>
      <c r="H1047" s="173" t="s">
        <v>20</v>
      </c>
      <c r="I1047" s="173" t="s">
        <v>132</v>
      </c>
      <c r="J1047" s="173"/>
      <c r="K1047" s="173" t="s">
        <v>139</v>
      </c>
      <c r="L1047" s="173">
        <v>25</v>
      </c>
      <c r="M1047" s="173" t="s">
        <v>140</v>
      </c>
      <c r="N1047" s="174">
        <v>1575</v>
      </c>
      <c r="O1047" s="174">
        <v>1575</v>
      </c>
      <c r="P1047" s="330">
        <v>6000</v>
      </c>
      <c r="Q1047" s="173">
        <v>2</v>
      </c>
      <c r="R1047" s="173">
        <v>3</v>
      </c>
      <c r="S1047" s="173" t="s">
        <v>354</v>
      </c>
      <c r="T1047" s="175">
        <v>44916</v>
      </c>
      <c r="U1047" s="175">
        <v>44949</v>
      </c>
      <c r="V1047" s="173" t="s">
        <v>355</v>
      </c>
      <c r="W1047" s="173"/>
      <c r="X1047" s="173"/>
      <c r="Y1047" s="141"/>
    </row>
    <row r="1048" spans="1:25" ht="13.5" x14ac:dyDescent="0.15">
      <c r="A1048" s="173">
        <v>3694108</v>
      </c>
      <c r="B1048" s="173" t="s">
        <v>351</v>
      </c>
      <c r="C1048" s="173" t="s">
        <v>352</v>
      </c>
      <c r="D1048" s="173" t="s">
        <v>353</v>
      </c>
      <c r="E1048" s="173" t="s">
        <v>116</v>
      </c>
      <c r="F1048" s="173">
        <v>3</v>
      </c>
      <c r="G1048" s="173" t="s">
        <v>19</v>
      </c>
      <c r="H1048" s="173" t="s">
        <v>20</v>
      </c>
      <c r="I1048" s="173" t="s">
        <v>143</v>
      </c>
      <c r="J1048" s="173"/>
      <c r="K1048" s="173" t="s">
        <v>159</v>
      </c>
      <c r="L1048" s="173">
        <v>25</v>
      </c>
      <c r="M1048" s="173" t="s">
        <v>160</v>
      </c>
      <c r="N1048" s="174">
        <v>1005</v>
      </c>
      <c r="O1048" s="174">
        <v>1000</v>
      </c>
      <c r="P1048" s="330">
        <v>6000</v>
      </c>
      <c r="Q1048" s="173">
        <v>2</v>
      </c>
      <c r="R1048" s="173">
        <v>9</v>
      </c>
      <c r="S1048" s="173" t="s">
        <v>354</v>
      </c>
      <c r="T1048" s="175">
        <v>44916</v>
      </c>
      <c r="U1048" s="175">
        <v>44942</v>
      </c>
      <c r="V1048" s="173" t="s">
        <v>355</v>
      </c>
      <c r="W1048" s="173"/>
      <c r="X1048" s="173"/>
      <c r="Y1048" s="141"/>
    </row>
    <row r="1049" spans="1:25" ht="13.5" x14ac:dyDescent="0.15">
      <c r="A1049" s="173">
        <v>3694118</v>
      </c>
      <c r="B1049" s="173" t="s">
        <v>351</v>
      </c>
      <c r="C1049" s="173" t="s">
        <v>352</v>
      </c>
      <c r="D1049" s="173" t="s">
        <v>353</v>
      </c>
      <c r="E1049" s="173" t="s">
        <v>116</v>
      </c>
      <c r="F1049" s="173">
        <v>3</v>
      </c>
      <c r="G1049" s="173" t="s">
        <v>19</v>
      </c>
      <c r="H1049" s="173" t="s">
        <v>20</v>
      </c>
      <c r="I1049" s="173" t="s">
        <v>143</v>
      </c>
      <c r="J1049" s="173"/>
      <c r="K1049" s="173" t="s">
        <v>144</v>
      </c>
      <c r="L1049" s="173">
        <v>75</v>
      </c>
      <c r="M1049" s="173" t="s">
        <v>145</v>
      </c>
      <c r="N1049" s="174">
        <v>1002</v>
      </c>
      <c r="O1049" s="174">
        <v>1000</v>
      </c>
      <c r="P1049" s="330">
        <v>6000</v>
      </c>
      <c r="Q1049" s="173">
        <v>2</v>
      </c>
      <c r="R1049" s="173">
        <v>8</v>
      </c>
      <c r="S1049" s="173" t="s">
        <v>354</v>
      </c>
      <c r="T1049" s="175">
        <v>44916</v>
      </c>
      <c r="U1049" s="175">
        <v>44942</v>
      </c>
      <c r="V1049" s="173" t="s">
        <v>355</v>
      </c>
      <c r="W1049" s="173"/>
      <c r="X1049" s="173"/>
      <c r="Y1049" s="141"/>
    </row>
    <row r="1050" spans="1:25" ht="13.5" x14ac:dyDescent="0.15">
      <c r="A1050" s="173">
        <v>3697622</v>
      </c>
      <c r="B1050" s="173" t="s">
        <v>351</v>
      </c>
      <c r="C1050" s="173" t="s">
        <v>356</v>
      </c>
      <c r="D1050" s="173" t="s">
        <v>353</v>
      </c>
      <c r="E1050" s="173" t="s">
        <v>377</v>
      </c>
      <c r="F1050" s="173">
        <v>3</v>
      </c>
      <c r="G1050" s="173" t="s">
        <v>19</v>
      </c>
      <c r="H1050" s="173" t="s">
        <v>20</v>
      </c>
      <c r="I1050" s="173" t="s">
        <v>21</v>
      </c>
      <c r="J1050" s="173"/>
      <c r="K1050" s="173" t="s">
        <v>36</v>
      </c>
      <c r="L1050" s="173">
        <v>25</v>
      </c>
      <c r="M1050" s="173" t="s">
        <v>37</v>
      </c>
      <c r="N1050" s="174">
        <v>890</v>
      </c>
      <c r="O1050" s="174">
        <v>890</v>
      </c>
      <c r="P1050" s="330">
        <v>6000</v>
      </c>
      <c r="Q1050" s="173">
        <v>2</v>
      </c>
      <c r="R1050" s="173">
        <v>3</v>
      </c>
      <c r="S1050" s="173" t="s">
        <v>354</v>
      </c>
      <c r="T1050" s="175">
        <v>44949</v>
      </c>
      <c r="U1050" s="175">
        <v>44963</v>
      </c>
      <c r="V1050" s="173" t="s">
        <v>355</v>
      </c>
      <c r="W1050" s="173"/>
      <c r="X1050" s="173"/>
      <c r="Y1050" s="141"/>
    </row>
    <row r="1051" spans="1:25" ht="13.5" x14ac:dyDescent="0.15">
      <c r="A1051" s="173">
        <v>3697623</v>
      </c>
      <c r="B1051" s="173" t="s">
        <v>351</v>
      </c>
      <c r="C1051" s="173" t="s">
        <v>356</v>
      </c>
      <c r="D1051" s="173" t="s">
        <v>353</v>
      </c>
      <c r="E1051" s="173" t="s">
        <v>17</v>
      </c>
      <c r="F1051" s="173">
        <v>3</v>
      </c>
      <c r="G1051" s="173" t="s">
        <v>19</v>
      </c>
      <c r="H1051" s="173" t="s">
        <v>20</v>
      </c>
      <c r="I1051" s="173" t="s">
        <v>21</v>
      </c>
      <c r="J1051" s="173"/>
      <c r="K1051" s="173" t="s">
        <v>22</v>
      </c>
      <c r="L1051" s="173">
        <v>38</v>
      </c>
      <c r="M1051" s="173" t="s">
        <v>23</v>
      </c>
      <c r="N1051" s="174">
        <v>1037</v>
      </c>
      <c r="O1051" s="174">
        <v>1030</v>
      </c>
      <c r="P1051" s="330">
        <v>6000</v>
      </c>
      <c r="Q1051" s="173">
        <v>2</v>
      </c>
      <c r="R1051" s="173">
        <v>50</v>
      </c>
      <c r="S1051" s="173" t="s">
        <v>354</v>
      </c>
      <c r="T1051" s="175">
        <v>44949</v>
      </c>
      <c r="U1051" s="175">
        <v>44963</v>
      </c>
      <c r="V1051" s="173" t="s">
        <v>355</v>
      </c>
      <c r="W1051" s="173"/>
      <c r="X1051" s="173"/>
      <c r="Y1051" s="141"/>
    </row>
    <row r="1052" spans="1:25" ht="13.5" x14ac:dyDescent="0.15">
      <c r="A1052" s="173">
        <v>3697624</v>
      </c>
      <c r="B1052" s="173" t="s">
        <v>351</v>
      </c>
      <c r="C1052" s="173" t="s">
        <v>356</v>
      </c>
      <c r="D1052" s="173" t="s">
        <v>353</v>
      </c>
      <c r="E1052" s="173" t="s">
        <v>17</v>
      </c>
      <c r="F1052" s="173">
        <v>3</v>
      </c>
      <c r="G1052" s="173" t="s">
        <v>19</v>
      </c>
      <c r="H1052" s="173" t="s">
        <v>20</v>
      </c>
      <c r="I1052" s="173" t="s">
        <v>21</v>
      </c>
      <c r="J1052" s="173"/>
      <c r="K1052" s="173" t="s">
        <v>22</v>
      </c>
      <c r="L1052" s="173">
        <v>38</v>
      </c>
      <c r="M1052" s="173" t="s">
        <v>23</v>
      </c>
      <c r="N1052" s="174">
        <v>1057</v>
      </c>
      <c r="O1052" s="174">
        <v>1050</v>
      </c>
      <c r="P1052" s="330">
        <v>6000</v>
      </c>
      <c r="Q1052" s="173">
        <v>2</v>
      </c>
      <c r="R1052" s="173">
        <v>5</v>
      </c>
      <c r="S1052" s="173" t="s">
        <v>354</v>
      </c>
      <c r="T1052" s="175">
        <v>44949</v>
      </c>
      <c r="U1052" s="175">
        <v>44963</v>
      </c>
      <c r="V1052" s="173" t="s">
        <v>355</v>
      </c>
      <c r="W1052" s="173"/>
      <c r="X1052" s="173"/>
      <c r="Y1052" s="141"/>
    </row>
    <row r="1053" spans="1:25" ht="13.5" x14ac:dyDescent="0.15">
      <c r="A1053" s="173">
        <v>3697625</v>
      </c>
      <c r="B1053" s="173" t="s">
        <v>351</v>
      </c>
      <c r="C1053" s="173" t="s">
        <v>356</v>
      </c>
      <c r="D1053" s="173" t="s">
        <v>353</v>
      </c>
      <c r="E1053" s="173" t="s">
        <v>17</v>
      </c>
      <c r="F1053" s="173">
        <v>331</v>
      </c>
      <c r="G1053" s="173" t="s">
        <v>19</v>
      </c>
      <c r="H1053" s="173" t="s">
        <v>20</v>
      </c>
      <c r="I1053" s="173" t="s">
        <v>21</v>
      </c>
      <c r="J1053" s="173"/>
      <c r="K1053" s="173" t="s">
        <v>29</v>
      </c>
      <c r="L1053" s="173">
        <v>38</v>
      </c>
      <c r="M1053" s="173" t="s">
        <v>30</v>
      </c>
      <c r="N1053" s="174">
        <v>1330</v>
      </c>
      <c r="O1053" s="174">
        <v>1330</v>
      </c>
      <c r="P1053" s="330">
        <v>6000</v>
      </c>
      <c r="Q1053" s="173">
        <v>2</v>
      </c>
      <c r="R1053" s="173">
        <v>20</v>
      </c>
      <c r="S1053" s="173" t="s">
        <v>354</v>
      </c>
      <c r="T1053" s="175">
        <v>44949</v>
      </c>
      <c r="U1053" s="175">
        <v>44963</v>
      </c>
      <c r="V1053" s="173" t="s">
        <v>355</v>
      </c>
      <c r="W1053" s="173"/>
      <c r="X1053" s="173"/>
      <c r="Y1053" s="141"/>
    </row>
    <row r="1054" spans="1:25" ht="13.5" x14ac:dyDescent="0.15">
      <c r="A1054" s="173">
        <v>3697626</v>
      </c>
      <c r="B1054" s="173" t="s">
        <v>351</v>
      </c>
      <c r="C1054" s="173" t="s">
        <v>356</v>
      </c>
      <c r="D1054" s="173" t="s">
        <v>353</v>
      </c>
      <c r="E1054" s="173" t="s">
        <v>32</v>
      </c>
      <c r="F1054" s="173">
        <v>331</v>
      </c>
      <c r="G1054" s="173" t="s">
        <v>19</v>
      </c>
      <c r="H1054" s="173" t="s">
        <v>20</v>
      </c>
      <c r="I1054" s="173" t="s">
        <v>21</v>
      </c>
      <c r="J1054" s="173"/>
      <c r="K1054" s="173" t="s">
        <v>33</v>
      </c>
      <c r="L1054" s="173">
        <v>25</v>
      </c>
      <c r="M1054" s="173" t="s">
        <v>30</v>
      </c>
      <c r="N1054" s="174">
        <v>1330</v>
      </c>
      <c r="O1054" s="174">
        <v>1330</v>
      </c>
      <c r="P1054" s="330">
        <v>6000</v>
      </c>
      <c r="Q1054" s="173">
        <v>2</v>
      </c>
      <c r="R1054" s="173">
        <v>2</v>
      </c>
      <c r="S1054" s="173" t="s">
        <v>354</v>
      </c>
      <c r="T1054" s="175">
        <v>44949</v>
      </c>
      <c r="U1054" s="175">
        <v>44963</v>
      </c>
      <c r="V1054" s="173" t="s">
        <v>355</v>
      </c>
      <c r="W1054" s="173"/>
      <c r="X1054" s="173"/>
      <c r="Y1054" s="141"/>
    </row>
    <row r="1055" spans="1:25" ht="13.5" x14ac:dyDescent="0.15">
      <c r="A1055" s="173">
        <v>3697627</v>
      </c>
      <c r="B1055" s="173" t="s">
        <v>351</v>
      </c>
      <c r="C1055" s="173" t="s">
        <v>356</v>
      </c>
      <c r="D1055" s="173" t="s">
        <v>353</v>
      </c>
      <c r="E1055" s="173" t="s">
        <v>32</v>
      </c>
      <c r="F1055" s="173">
        <v>331</v>
      </c>
      <c r="G1055" s="173" t="s">
        <v>19</v>
      </c>
      <c r="H1055" s="173" t="s">
        <v>20</v>
      </c>
      <c r="I1055" s="173" t="s">
        <v>21</v>
      </c>
      <c r="J1055" s="173"/>
      <c r="K1055" s="173" t="s">
        <v>33</v>
      </c>
      <c r="L1055" s="173">
        <v>38</v>
      </c>
      <c r="M1055" s="173" t="s">
        <v>30</v>
      </c>
      <c r="N1055" s="174">
        <v>1330</v>
      </c>
      <c r="O1055" s="174">
        <v>1330</v>
      </c>
      <c r="P1055" s="330">
        <v>6000</v>
      </c>
      <c r="Q1055" s="173">
        <v>2</v>
      </c>
      <c r="R1055" s="173">
        <v>16</v>
      </c>
      <c r="S1055" s="173" t="s">
        <v>354</v>
      </c>
      <c r="T1055" s="175">
        <v>44949</v>
      </c>
      <c r="U1055" s="175">
        <v>44963</v>
      </c>
      <c r="V1055" s="173" t="s">
        <v>355</v>
      </c>
      <c r="W1055" s="173"/>
      <c r="X1055" s="173"/>
      <c r="Y1055" s="141"/>
    </row>
    <row r="1056" spans="1:25" ht="13.5" x14ac:dyDescent="0.15">
      <c r="A1056" s="173">
        <v>3697628</v>
      </c>
      <c r="B1056" s="173" t="s">
        <v>351</v>
      </c>
      <c r="C1056" s="173" t="s">
        <v>358</v>
      </c>
      <c r="D1056" s="173" t="s">
        <v>353</v>
      </c>
      <c r="E1056" s="173" t="s">
        <v>44</v>
      </c>
      <c r="F1056" s="173">
        <v>3</v>
      </c>
      <c r="G1056" s="173" t="s">
        <v>19</v>
      </c>
      <c r="H1056" s="173" t="s">
        <v>20</v>
      </c>
      <c r="I1056" s="173" t="s">
        <v>21</v>
      </c>
      <c r="J1056" s="173"/>
      <c r="K1056" s="173" t="s">
        <v>47</v>
      </c>
      <c r="L1056" s="173">
        <v>25</v>
      </c>
      <c r="M1056" s="173" t="s">
        <v>48</v>
      </c>
      <c r="N1056" s="174">
        <v>740</v>
      </c>
      <c r="O1056" s="174">
        <v>740</v>
      </c>
      <c r="P1056" s="330">
        <v>6000</v>
      </c>
      <c r="Q1056" s="173">
        <v>1</v>
      </c>
      <c r="R1056" s="173">
        <v>24</v>
      </c>
      <c r="S1056" s="173" t="s">
        <v>354</v>
      </c>
      <c r="T1056" s="175">
        <v>44949</v>
      </c>
      <c r="U1056" s="175">
        <v>44972</v>
      </c>
      <c r="V1056" s="173" t="s">
        <v>355</v>
      </c>
      <c r="W1056" s="173"/>
      <c r="X1056" s="173"/>
      <c r="Y1056" s="141"/>
    </row>
    <row r="1057" spans="1:25" ht="13.5" x14ac:dyDescent="0.15">
      <c r="A1057" s="173">
        <v>3697629</v>
      </c>
      <c r="B1057" s="173" t="s">
        <v>351</v>
      </c>
      <c r="C1057" s="173" t="s">
        <v>356</v>
      </c>
      <c r="D1057" s="173" t="s">
        <v>353</v>
      </c>
      <c r="E1057" s="173" t="s">
        <v>32</v>
      </c>
      <c r="F1057" s="173">
        <v>331</v>
      </c>
      <c r="G1057" s="173" t="s">
        <v>19</v>
      </c>
      <c r="H1057" s="173" t="s">
        <v>20</v>
      </c>
      <c r="I1057" s="173" t="s">
        <v>21</v>
      </c>
      <c r="J1057" s="173"/>
      <c r="K1057" s="173" t="s">
        <v>54</v>
      </c>
      <c r="L1057" s="173">
        <v>38</v>
      </c>
      <c r="M1057" s="173" t="s">
        <v>53</v>
      </c>
      <c r="N1057" s="174">
        <v>1330</v>
      </c>
      <c r="O1057" s="174">
        <v>1330</v>
      </c>
      <c r="P1057" s="330">
        <v>6000</v>
      </c>
      <c r="Q1057" s="173">
        <v>2</v>
      </c>
      <c r="R1057" s="173">
        <v>8</v>
      </c>
      <c r="S1057" s="173" t="s">
        <v>354</v>
      </c>
      <c r="T1057" s="175">
        <v>44949</v>
      </c>
      <c r="U1057" s="175">
        <v>44972</v>
      </c>
      <c r="V1057" s="173" t="s">
        <v>355</v>
      </c>
      <c r="W1057" s="173"/>
      <c r="X1057" s="173"/>
      <c r="Y1057" s="141"/>
    </row>
    <row r="1058" spans="1:25" ht="13.5" x14ac:dyDescent="0.15">
      <c r="A1058" s="173">
        <v>3697630</v>
      </c>
      <c r="B1058" s="173" t="s">
        <v>351</v>
      </c>
      <c r="C1058" s="173" t="s">
        <v>356</v>
      </c>
      <c r="D1058" s="173" t="s">
        <v>353</v>
      </c>
      <c r="E1058" s="173" t="s">
        <v>32</v>
      </c>
      <c r="F1058" s="173">
        <v>3</v>
      </c>
      <c r="G1058" s="173" t="s">
        <v>19</v>
      </c>
      <c r="H1058" s="173" t="s">
        <v>20</v>
      </c>
      <c r="I1058" s="173" t="s">
        <v>21</v>
      </c>
      <c r="J1058" s="173"/>
      <c r="K1058" s="173" t="s">
        <v>56</v>
      </c>
      <c r="L1058" s="173">
        <v>75</v>
      </c>
      <c r="M1058" s="173" t="s">
        <v>376</v>
      </c>
      <c r="N1058" s="174">
        <v>1330</v>
      </c>
      <c r="O1058" s="174">
        <v>1330</v>
      </c>
      <c r="P1058" s="330">
        <v>6000</v>
      </c>
      <c r="Q1058" s="173">
        <v>2</v>
      </c>
      <c r="R1058" s="173">
        <v>30</v>
      </c>
      <c r="S1058" s="173" t="s">
        <v>354</v>
      </c>
      <c r="T1058" s="175">
        <v>44949</v>
      </c>
      <c r="U1058" s="175">
        <v>44972</v>
      </c>
      <c r="V1058" s="173" t="s">
        <v>355</v>
      </c>
      <c r="W1058" s="173"/>
      <c r="X1058" s="173"/>
      <c r="Y1058" s="141"/>
    </row>
    <row r="1059" spans="1:25" ht="13.5" x14ac:dyDescent="0.15">
      <c r="A1059" s="173">
        <v>3697631</v>
      </c>
      <c r="B1059" s="173" t="s">
        <v>351</v>
      </c>
      <c r="C1059" s="173" t="s">
        <v>356</v>
      </c>
      <c r="D1059" s="173" t="s">
        <v>353</v>
      </c>
      <c r="E1059" s="173" t="s">
        <v>17</v>
      </c>
      <c r="F1059" s="173">
        <v>331</v>
      </c>
      <c r="G1059" s="173" t="s">
        <v>19</v>
      </c>
      <c r="H1059" s="173" t="s">
        <v>20</v>
      </c>
      <c r="I1059" s="173" t="s">
        <v>21</v>
      </c>
      <c r="J1059" s="173"/>
      <c r="K1059" s="173" t="s">
        <v>52</v>
      </c>
      <c r="L1059" s="173">
        <v>38</v>
      </c>
      <c r="M1059" s="173" t="s">
        <v>53</v>
      </c>
      <c r="N1059" s="174">
        <v>1330</v>
      </c>
      <c r="O1059" s="174">
        <v>1330</v>
      </c>
      <c r="P1059" s="330">
        <v>6000</v>
      </c>
      <c r="Q1059" s="173">
        <v>2</v>
      </c>
      <c r="R1059" s="173">
        <v>8</v>
      </c>
      <c r="S1059" s="173" t="s">
        <v>354</v>
      </c>
      <c r="T1059" s="175">
        <v>44949</v>
      </c>
      <c r="U1059" s="175">
        <v>44972</v>
      </c>
      <c r="V1059" s="173" t="s">
        <v>355</v>
      </c>
      <c r="W1059" s="173"/>
      <c r="X1059" s="173"/>
      <c r="Y1059" s="141"/>
    </row>
    <row r="1060" spans="1:25" ht="13.5" x14ac:dyDescent="0.15">
      <c r="A1060" s="173">
        <v>3697632</v>
      </c>
      <c r="B1060" s="173" t="s">
        <v>351</v>
      </c>
      <c r="C1060" s="173" t="s">
        <v>356</v>
      </c>
      <c r="D1060" s="173" t="s">
        <v>353</v>
      </c>
      <c r="E1060" s="173" t="s">
        <v>17</v>
      </c>
      <c r="F1060" s="173">
        <v>331</v>
      </c>
      <c r="G1060" s="173" t="s">
        <v>19</v>
      </c>
      <c r="H1060" s="173" t="s">
        <v>20</v>
      </c>
      <c r="I1060" s="173" t="s">
        <v>21</v>
      </c>
      <c r="J1060" s="173"/>
      <c r="K1060" s="173" t="s">
        <v>52</v>
      </c>
      <c r="L1060" s="173">
        <v>38</v>
      </c>
      <c r="M1060" s="173" t="s">
        <v>53</v>
      </c>
      <c r="N1060" s="174">
        <v>1330</v>
      </c>
      <c r="O1060" s="174">
        <v>1330</v>
      </c>
      <c r="P1060" s="330">
        <v>6000</v>
      </c>
      <c r="Q1060" s="173">
        <v>2</v>
      </c>
      <c r="R1060" s="173">
        <v>42</v>
      </c>
      <c r="S1060" s="173" t="s">
        <v>354</v>
      </c>
      <c r="T1060" s="175">
        <v>44949</v>
      </c>
      <c r="U1060" s="175">
        <v>44972</v>
      </c>
      <c r="V1060" s="173" t="s">
        <v>355</v>
      </c>
      <c r="W1060" s="173"/>
      <c r="X1060" s="173"/>
      <c r="Y1060" s="141"/>
    </row>
    <row r="1061" spans="1:25" ht="13.5" x14ac:dyDescent="0.15">
      <c r="A1061" s="173">
        <v>3697633</v>
      </c>
      <c r="B1061" s="173" t="s">
        <v>431</v>
      </c>
      <c r="C1061" s="173" t="s">
        <v>364</v>
      </c>
      <c r="D1061" s="173" t="s">
        <v>353</v>
      </c>
      <c r="E1061" s="173" t="s">
        <v>371</v>
      </c>
      <c r="F1061" s="173">
        <v>331</v>
      </c>
      <c r="G1061" s="173" t="s">
        <v>265</v>
      </c>
      <c r="H1061" s="173" t="s">
        <v>20</v>
      </c>
      <c r="I1061" s="173" t="s">
        <v>21</v>
      </c>
      <c r="J1061" s="173"/>
      <c r="K1061" s="173" t="s">
        <v>118</v>
      </c>
      <c r="L1061" s="173">
        <v>25</v>
      </c>
      <c r="M1061" s="173" t="s">
        <v>119</v>
      </c>
      <c r="N1061" s="174">
        <v>1425</v>
      </c>
      <c r="O1061" s="174">
        <v>1420</v>
      </c>
      <c r="P1061" s="330">
        <v>6000</v>
      </c>
      <c r="Q1061" s="173">
        <v>2</v>
      </c>
      <c r="R1061" s="173">
        <v>8</v>
      </c>
      <c r="S1061" s="173" t="s">
        <v>354</v>
      </c>
      <c r="T1061" s="175">
        <v>44949</v>
      </c>
      <c r="U1061" s="175">
        <v>44977</v>
      </c>
      <c r="V1061" s="173" t="s">
        <v>355</v>
      </c>
      <c r="W1061" s="173"/>
      <c r="X1061" s="173"/>
      <c r="Y1061" s="141"/>
    </row>
    <row r="1062" spans="1:25" ht="13.5" x14ac:dyDescent="0.15">
      <c r="A1062" s="173">
        <v>3697634</v>
      </c>
      <c r="B1062" s="173" t="s">
        <v>431</v>
      </c>
      <c r="C1062" s="173" t="s">
        <v>356</v>
      </c>
      <c r="D1062" s="173" t="s">
        <v>353</v>
      </c>
      <c r="E1062" s="173" t="s">
        <v>130</v>
      </c>
      <c r="F1062" s="173">
        <v>3</v>
      </c>
      <c r="G1062" s="173" t="s">
        <v>265</v>
      </c>
      <c r="H1062" s="173" t="s">
        <v>20</v>
      </c>
      <c r="I1062" s="173" t="s">
        <v>21</v>
      </c>
      <c r="J1062" s="173"/>
      <c r="K1062" s="173" t="s">
        <v>435</v>
      </c>
      <c r="L1062" s="173">
        <v>25</v>
      </c>
      <c r="M1062" s="173" t="s">
        <v>436</v>
      </c>
      <c r="N1062" s="174">
        <v>1410</v>
      </c>
      <c r="O1062" s="174">
        <v>1410</v>
      </c>
      <c r="P1062" s="330">
        <v>6000</v>
      </c>
      <c r="Q1062" s="173">
        <v>2</v>
      </c>
      <c r="R1062" s="173">
        <v>20</v>
      </c>
      <c r="S1062" s="173" t="s">
        <v>354</v>
      </c>
      <c r="T1062" s="175">
        <v>44949</v>
      </c>
      <c r="U1062" s="175">
        <v>44977</v>
      </c>
      <c r="V1062" s="173" t="s">
        <v>355</v>
      </c>
      <c r="W1062" s="173"/>
      <c r="X1062" s="173"/>
      <c r="Y1062" s="141"/>
    </row>
    <row r="1063" spans="1:25" ht="13.5" x14ac:dyDescent="0.15">
      <c r="A1063" s="173">
        <v>3697635</v>
      </c>
      <c r="B1063" s="173" t="s">
        <v>351</v>
      </c>
      <c r="C1063" s="173" t="s">
        <v>352</v>
      </c>
      <c r="D1063" s="173" t="s">
        <v>353</v>
      </c>
      <c r="E1063" s="173" t="s">
        <v>116</v>
      </c>
      <c r="F1063" s="173">
        <v>3</v>
      </c>
      <c r="G1063" s="173" t="s">
        <v>19</v>
      </c>
      <c r="H1063" s="173" t="s">
        <v>20</v>
      </c>
      <c r="I1063" s="173" t="s">
        <v>21</v>
      </c>
      <c r="J1063" s="173"/>
      <c r="K1063" s="173" t="s">
        <v>118</v>
      </c>
      <c r="L1063" s="173">
        <v>38</v>
      </c>
      <c r="M1063" s="173" t="s">
        <v>368</v>
      </c>
      <c r="N1063" s="174">
        <v>1415</v>
      </c>
      <c r="O1063" s="174">
        <v>1410</v>
      </c>
      <c r="P1063" s="330">
        <v>6000</v>
      </c>
      <c r="Q1063" s="173">
        <v>2</v>
      </c>
      <c r="R1063" s="173">
        <v>12</v>
      </c>
      <c r="S1063" s="173" t="s">
        <v>354</v>
      </c>
      <c r="T1063" s="175">
        <v>44949</v>
      </c>
      <c r="U1063" s="175">
        <v>44977</v>
      </c>
      <c r="V1063" s="173" t="s">
        <v>355</v>
      </c>
      <c r="W1063" s="173"/>
      <c r="X1063" s="173"/>
      <c r="Y1063" s="141"/>
    </row>
    <row r="1064" spans="1:25" ht="13.5" x14ac:dyDescent="0.15">
      <c r="A1064" s="173">
        <v>3697636</v>
      </c>
      <c r="B1064" s="173" t="s">
        <v>351</v>
      </c>
      <c r="C1064" s="173" t="s">
        <v>356</v>
      </c>
      <c r="D1064" s="173" t="s">
        <v>353</v>
      </c>
      <c r="E1064" s="173" t="s">
        <v>106</v>
      </c>
      <c r="F1064" s="173">
        <v>3</v>
      </c>
      <c r="G1064" s="173" t="s">
        <v>19</v>
      </c>
      <c r="H1064" s="173" t="s">
        <v>20</v>
      </c>
      <c r="I1064" s="173" t="s">
        <v>21</v>
      </c>
      <c r="J1064" s="173"/>
      <c r="K1064" s="173" t="s">
        <v>107</v>
      </c>
      <c r="L1064" s="173">
        <v>38</v>
      </c>
      <c r="M1064" s="173" t="s">
        <v>367</v>
      </c>
      <c r="N1064" s="174">
        <v>1240</v>
      </c>
      <c r="O1064" s="174">
        <v>1240</v>
      </c>
      <c r="P1064" s="330">
        <v>6000</v>
      </c>
      <c r="Q1064" s="173">
        <v>2</v>
      </c>
      <c r="R1064" s="173">
        <v>8</v>
      </c>
      <c r="S1064" s="173" t="s">
        <v>354</v>
      </c>
      <c r="T1064" s="175">
        <v>44949</v>
      </c>
      <c r="U1064" s="175">
        <v>44979</v>
      </c>
      <c r="V1064" s="173" t="s">
        <v>355</v>
      </c>
      <c r="W1064" s="173"/>
      <c r="X1064" s="173"/>
      <c r="Y1064" s="141"/>
    </row>
    <row r="1065" spans="1:25" ht="13.5" x14ac:dyDescent="0.15">
      <c r="A1065" s="173">
        <v>3697637</v>
      </c>
      <c r="B1065" s="173" t="s">
        <v>431</v>
      </c>
      <c r="C1065" s="173" t="s">
        <v>364</v>
      </c>
      <c r="D1065" s="173" t="s">
        <v>353</v>
      </c>
      <c r="E1065" s="173" t="s">
        <v>371</v>
      </c>
      <c r="F1065" s="173">
        <v>3</v>
      </c>
      <c r="G1065" s="173" t="s">
        <v>265</v>
      </c>
      <c r="H1065" s="173" t="s">
        <v>20</v>
      </c>
      <c r="I1065" s="173" t="s">
        <v>21</v>
      </c>
      <c r="J1065" s="173"/>
      <c r="K1065" s="173" t="s">
        <v>118</v>
      </c>
      <c r="L1065" s="173">
        <v>25</v>
      </c>
      <c r="M1065" s="173" t="s">
        <v>119</v>
      </c>
      <c r="N1065" s="174">
        <v>1155</v>
      </c>
      <c r="O1065" s="174">
        <v>1150</v>
      </c>
      <c r="P1065" s="330">
        <v>6000</v>
      </c>
      <c r="Q1065" s="173">
        <v>2</v>
      </c>
      <c r="R1065" s="173">
        <v>3</v>
      </c>
      <c r="S1065" s="173" t="s">
        <v>354</v>
      </c>
      <c r="T1065" s="175">
        <v>44949</v>
      </c>
      <c r="U1065" s="175">
        <v>44979</v>
      </c>
      <c r="V1065" s="173" t="s">
        <v>355</v>
      </c>
      <c r="W1065" s="173"/>
      <c r="X1065" s="173"/>
      <c r="Y1065" s="141"/>
    </row>
    <row r="1066" spans="1:25" ht="13.5" x14ac:dyDescent="0.15">
      <c r="A1066" s="173">
        <v>3697638</v>
      </c>
      <c r="B1066" s="173" t="s">
        <v>351</v>
      </c>
      <c r="C1066" s="173" t="s">
        <v>356</v>
      </c>
      <c r="D1066" s="173" t="s">
        <v>353</v>
      </c>
      <c r="E1066" s="173" t="s">
        <v>115</v>
      </c>
      <c r="F1066" s="173">
        <v>3</v>
      </c>
      <c r="G1066" s="173" t="s">
        <v>19</v>
      </c>
      <c r="H1066" s="173" t="s">
        <v>20</v>
      </c>
      <c r="I1066" s="173" t="s">
        <v>21</v>
      </c>
      <c r="J1066" s="173"/>
      <c r="K1066" s="173" t="s">
        <v>112</v>
      </c>
      <c r="L1066" s="173">
        <v>38</v>
      </c>
      <c r="M1066" s="173" t="s">
        <v>357</v>
      </c>
      <c r="N1066" s="174">
        <v>1135</v>
      </c>
      <c r="O1066" s="174">
        <v>1130</v>
      </c>
      <c r="P1066" s="330">
        <v>6000</v>
      </c>
      <c r="Q1066" s="173">
        <v>2</v>
      </c>
      <c r="R1066" s="173">
        <v>2</v>
      </c>
      <c r="S1066" s="173" t="s">
        <v>354</v>
      </c>
      <c r="T1066" s="175">
        <v>44949</v>
      </c>
      <c r="U1066" s="175">
        <v>44979</v>
      </c>
      <c r="V1066" s="173" t="s">
        <v>355</v>
      </c>
      <c r="W1066" s="173"/>
      <c r="X1066" s="173"/>
      <c r="Y1066" s="141"/>
    </row>
    <row r="1067" spans="1:25" ht="13.5" x14ac:dyDescent="0.15">
      <c r="A1067" s="173">
        <v>3697639</v>
      </c>
      <c r="B1067" s="173" t="s">
        <v>351</v>
      </c>
      <c r="C1067" s="173" t="s">
        <v>356</v>
      </c>
      <c r="D1067" s="173" t="s">
        <v>353</v>
      </c>
      <c r="E1067" s="173" t="s">
        <v>17</v>
      </c>
      <c r="F1067" s="173">
        <v>3</v>
      </c>
      <c r="G1067" s="173" t="s">
        <v>19</v>
      </c>
      <c r="H1067" s="173" t="s">
        <v>20</v>
      </c>
      <c r="I1067" s="173" t="s">
        <v>21</v>
      </c>
      <c r="J1067" s="173"/>
      <c r="K1067" s="173" t="s">
        <v>104</v>
      </c>
      <c r="L1067" s="173">
        <v>25</v>
      </c>
      <c r="M1067" s="173" t="s">
        <v>375</v>
      </c>
      <c r="N1067" s="174">
        <v>1100</v>
      </c>
      <c r="O1067" s="174">
        <v>1100</v>
      </c>
      <c r="P1067" s="330">
        <v>6000</v>
      </c>
      <c r="Q1067" s="173">
        <v>2</v>
      </c>
      <c r="R1067" s="173">
        <v>4</v>
      </c>
      <c r="S1067" s="173" t="s">
        <v>354</v>
      </c>
      <c r="T1067" s="175">
        <v>44949</v>
      </c>
      <c r="U1067" s="175">
        <v>44979</v>
      </c>
      <c r="V1067" s="173" t="s">
        <v>355</v>
      </c>
      <c r="W1067" s="173"/>
      <c r="X1067" s="173"/>
      <c r="Y1067" s="141"/>
    </row>
    <row r="1068" spans="1:25" ht="13.5" x14ac:dyDescent="0.15">
      <c r="A1068" s="173">
        <v>3697640</v>
      </c>
      <c r="B1068" s="173" t="s">
        <v>351</v>
      </c>
      <c r="C1068" s="173" t="s">
        <v>356</v>
      </c>
      <c r="D1068" s="173" t="s">
        <v>353</v>
      </c>
      <c r="E1068" s="173" t="s">
        <v>106</v>
      </c>
      <c r="F1068" s="173">
        <v>3</v>
      </c>
      <c r="G1068" s="173" t="s">
        <v>19</v>
      </c>
      <c r="H1068" s="173" t="s">
        <v>20</v>
      </c>
      <c r="I1068" s="173" t="s">
        <v>21</v>
      </c>
      <c r="J1068" s="173"/>
      <c r="K1068" s="173" t="s">
        <v>107</v>
      </c>
      <c r="L1068" s="173">
        <v>25</v>
      </c>
      <c r="M1068" s="173" t="s">
        <v>367</v>
      </c>
      <c r="N1068" s="174">
        <v>1040</v>
      </c>
      <c r="O1068" s="174">
        <v>1040</v>
      </c>
      <c r="P1068" s="330">
        <v>6000</v>
      </c>
      <c r="Q1068" s="173">
        <v>2</v>
      </c>
      <c r="R1068" s="173">
        <v>12</v>
      </c>
      <c r="S1068" s="173" t="s">
        <v>354</v>
      </c>
      <c r="T1068" s="175">
        <v>44949</v>
      </c>
      <c r="U1068" s="175">
        <v>44979</v>
      </c>
      <c r="V1068" s="173" t="s">
        <v>355</v>
      </c>
      <c r="W1068" s="173"/>
      <c r="X1068" s="173"/>
      <c r="Y1068" s="141"/>
    </row>
    <row r="1069" spans="1:25" ht="13.5" x14ac:dyDescent="0.15">
      <c r="A1069" s="173">
        <v>3697641</v>
      </c>
      <c r="B1069" s="173" t="s">
        <v>351</v>
      </c>
      <c r="C1069" s="173" t="s">
        <v>358</v>
      </c>
      <c r="D1069" s="173" t="s">
        <v>353</v>
      </c>
      <c r="E1069" s="173" t="s">
        <v>61</v>
      </c>
      <c r="F1069" s="173">
        <v>3313</v>
      </c>
      <c r="G1069" s="173" t="s">
        <v>19</v>
      </c>
      <c r="H1069" s="173" t="s">
        <v>20</v>
      </c>
      <c r="I1069" s="173" t="s">
        <v>21</v>
      </c>
      <c r="J1069" s="173"/>
      <c r="K1069" s="173" t="s">
        <v>62</v>
      </c>
      <c r="L1069" s="173">
        <v>38</v>
      </c>
      <c r="M1069" s="173" t="s">
        <v>63</v>
      </c>
      <c r="N1069" s="174">
        <v>750</v>
      </c>
      <c r="O1069" s="174">
        <v>750</v>
      </c>
      <c r="P1069" s="330">
        <v>6000</v>
      </c>
      <c r="Q1069" s="173">
        <v>2</v>
      </c>
      <c r="R1069" s="173">
        <v>8</v>
      </c>
      <c r="S1069" s="173" t="s">
        <v>354</v>
      </c>
      <c r="T1069" s="175">
        <v>44949</v>
      </c>
      <c r="U1069" s="175">
        <v>44977</v>
      </c>
      <c r="V1069" s="173" t="s">
        <v>355</v>
      </c>
      <c r="W1069" s="173"/>
      <c r="X1069" s="173"/>
      <c r="Y1069" s="141"/>
    </row>
    <row r="1070" spans="1:25" ht="13.5" x14ac:dyDescent="0.15">
      <c r="A1070" s="173">
        <v>3697642</v>
      </c>
      <c r="B1070" s="173" t="s">
        <v>351</v>
      </c>
      <c r="C1070" s="173" t="s">
        <v>363</v>
      </c>
      <c r="D1070" s="173" t="s">
        <v>353</v>
      </c>
      <c r="E1070" s="173" t="s">
        <v>65</v>
      </c>
      <c r="F1070" s="173">
        <v>3321</v>
      </c>
      <c r="G1070" s="173" t="s">
        <v>19</v>
      </c>
      <c r="H1070" s="173" t="s">
        <v>20</v>
      </c>
      <c r="I1070" s="173" t="s">
        <v>21</v>
      </c>
      <c r="J1070" s="173"/>
      <c r="K1070" s="173" t="s">
        <v>70</v>
      </c>
      <c r="L1070" s="173">
        <v>38</v>
      </c>
      <c r="M1070" s="173" t="s">
        <v>71</v>
      </c>
      <c r="N1070" s="174">
        <v>1336</v>
      </c>
      <c r="O1070" s="174">
        <v>1325</v>
      </c>
      <c r="P1070" s="330">
        <v>6000</v>
      </c>
      <c r="Q1070" s="173">
        <v>2</v>
      </c>
      <c r="R1070" s="173">
        <v>1</v>
      </c>
      <c r="S1070" s="173" t="s">
        <v>354</v>
      </c>
      <c r="T1070" s="175">
        <v>44949</v>
      </c>
      <c r="U1070" s="175">
        <v>44977</v>
      </c>
      <c r="V1070" s="173" t="s">
        <v>355</v>
      </c>
      <c r="W1070" s="173"/>
      <c r="X1070" s="173"/>
      <c r="Y1070" s="141"/>
    </row>
    <row r="1071" spans="1:25" ht="13.5" x14ac:dyDescent="0.15">
      <c r="A1071" s="173">
        <v>3697643</v>
      </c>
      <c r="B1071" s="173" t="s">
        <v>351</v>
      </c>
      <c r="C1071" s="173" t="s">
        <v>363</v>
      </c>
      <c r="D1071" s="173" t="s">
        <v>353</v>
      </c>
      <c r="E1071" s="173" t="s">
        <v>65</v>
      </c>
      <c r="F1071" s="173">
        <v>3321</v>
      </c>
      <c r="G1071" s="173" t="s">
        <v>19</v>
      </c>
      <c r="H1071" s="173" t="s">
        <v>20</v>
      </c>
      <c r="I1071" s="173" t="s">
        <v>21</v>
      </c>
      <c r="J1071" s="173"/>
      <c r="K1071" s="173" t="s">
        <v>67</v>
      </c>
      <c r="L1071" s="173">
        <v>38</v>
      </c>
      <c r="M1071" s="173" t="s">
        <v>68</v>
      </c>
      <c r="N1071" s="174">
        <v>1336</v>
      </c>
      <c r="O1071" s="174">
        <v>1325</v>
      </c>
      <c r="P1071" s="330">
        <v>6000</v>
      </c>
      <c r="Q1071" s="173">
        <v>2</v>
      </c>
      <c r="R1071" s="173">
        <v>42</v>
      </c>
      <c r="S1071" s="173" t="s">
        <v>354</v>
      </c>
      <c r="T1071" s="175">
        <v>44949</v>
      </c>
      <c r="U1071" s="175">
        <v>44977</v>
      </c>
      <c r="V1071" s="173" t="s">
        <v>355</v>
      </c>
      <c r="W1071" s="173"/>
      <c r="X1071" s="173"/>
      <c r="Y1071" s="141"/>
    </row>
    <row r="1072" spans="1:25" ht="13.5" x14ac:dyDescent="0.15">
      <c r="A1072" s="173">
        <v>3697644</v>
      </c>
      <c r="B1072" s="173" t="s">
        <v>351</v>
      </c>
      <c r="C1072" s="173" t="s">
        <v>363</v>
      </c>
      <c r="D1072" s="173" t="s">
        <v>353</v>
      </c>
      <c r="E1072" s="173" t="s">
        <v>65</v>
      </c>
      <c r="F1072" s="173">
        <v>3321</v>
      </c>
      <c r="G1072" s="173" t="s">
        <v>19</v>
      </c>
      <c r="H1072" s="173" t="s">
        <v>20</v>
      </c>
      <c r="I1072" s="173" t="s">
        <v>21</v>
      </c>
      <c r="J1072" s="173"/>
      <c r="K1072" s="173" t="s">
        <v>67</v>
      </c>
      <c r="L1072" s="173">
        <v>38</v>
      </c>
      <c r="M1072" s="173" t="s">
        <v>68</v>
      </c>
      <c r="N1072" s="174">
        <v>1336</v>
      </c>
      <c r="O1072" s="174">
        <v>1325</v>
      </c>
      <c r="P1072" s="330">
        <v>6000</v>
      </c>
      <c r="Q1072" s="173">
        <v>2</v>
      </c>
      <c r="R1072" s="173">
        <v>23</v>
      </c>
      <c r="S1072" s="173" t="s">
        <v>354</v>
      </c>
      <c r="T1072" s="175">
        <v>44949</v>
      </c>
      <c r="U1072" s="175">
        <v>44979</v>
      </c>
      <c r="V1072" s="173" t="s">
        <v>355</v>
      </c>
      <c r="W1072" s="173"/>
      <c r="X1072" s="173"/>
      <c r="Y1072" s="141"/>
    </row>
    <row r="1073" spans="1:25" ht="13.5" x14ac:dyDescent="0.15">
      <c r="A1073" s="173">
        <v>3697645</v>
      </c>
      <c r="B1073" s="173" t="s">
        <v>351</v>
      </c>
      <c r="C1073" s="173" t="s">
        <v>363</v>
      </c>
      <c r="D1073" s="173" t="s">
        <v>353</v>
      </c>
      <c r="E1073" s="173" t="s">
        <v>65</v>
      </c>
      <c r="F1073" s="173">
        <v>3321</v>
      </c>
      <c r="G1073" s="173" t="s">
        <v>19</v>
      </c>
      <c r="H1073" s="173" t="s">
        <v>20</v>
      </c>
      <c r="I1073" s="173" t="s">
        <v>21</v>
      </c>
      <c r="J1073" s="173"/>
      <c r="K1073" s="173" t="s">
        <v>70</v>
      </c>
      <c r="L1073" s="173">
        <v>38</v>
      </c>
      <c r="M1073" s="173" t="s">
        <v>71</v>
      </c>
      <c r="N1073" s="174">
        <v>1336</v>
      </c>
      <c r="O1073" s="174">
        <v>1325</v>
      </c>
      <c r="P1073" s="330">
        <v>6000</v>
      </c>
      <c r="Q1073" s="173">
        <v>2</v>
      </c>
      <c r="R1073" s="173">
        <v>31</v>
      </c>
      <c r="S1073" s="173" t="s">
        <v>354</v>
      </c>
      <c r="T1073" s="175">
        <v>44949</v>
      </c>
      <c r="U1073" s="175">
        <v>44979</v>
      </c>
      <c r="V1073" s="173" t="s">
        <v>355</v>
      </c>
      <c r="W1073" s="173"/>
      <c r="X1073" s="173"/>
      <c r="Y1073" s="141"/>
    </row>
    <row r="1074" spans="1:25" ht="13.5" x14ac:dyDescent="0.15">
      <c r="A1074" s="173">
        <v>3697646</v>
      </c>
      <c r="B1074" s="173" t="s">
        <v>351</v>
      </c>
      <c r="C1074" s="173" t="s">
        <v>358</v>
      </c>
      <c r="D1074" s="173" t="s">
        <v>353</v>
      </c>
      <c r="E1074" s="173" t="s">
        <v>61</v>
      </c>
      <c r="F1074" s="173">
        <v>331</v>
      </c>
      <c r="G1074" s="173" t="s">
        <v>19</v>
      </c>
      <c r="H1074" s="173" t="s">
        <v>20</v>
      </c>
      <c r="I1074" s="173" t="s">
        <v>21</v>
      </c>
      <c r="J1074" s="173"/>
      <c r="K1074" s="173" t="s">
        <v>62</v>
      </c>
      <c r="L1074" s="173">
        <v>38</v>
      </c>
      <c r="M1074" s="173" t="s">
        <v>63</v>
      </c>
      <c r="N1074" s="174">
        <v>1255</v>
      </c>
      <c r="O1074" s="174">
        <v>1250</v>
      </c>
      <c r="P1074" s="330">
        <v>6000</v>
      </c>
      <c r="Q1074" s="173">
        <v>2</v>
      </c>
      <c r="R1074" s="173">
        <v>16</v>
      </c>
      <c r="S1074" s="173" t="s">
        <v>354</v>
      </c>
      <c r="T1074" s="175">
        <v>44949</v>
      </c>
      <c r="U1074" s="175">
        <v>44979</v>
      </c>
      <c r="V1074" s="173" t="s">
        <v>355</v>
      </c>
      <c r="W1074" s="173"/>
      <c r="X1074" s="173"/>
      <c r="Y1074" s="141"/>
    </row>
    <row r="1075" spans="1:25" ht="13.5" x14ac:dyDescent="0.15">
      <c r="A1075" s="173">
        <v>3697648</v>
      </c>
      <c r="B1075" s="173" t="s">
        <v>351</v>
      </c>
      <c r="C1075" s="173" t="s">
        <v>356</v>
      </c>
      <c r="D1075" s="173" t="s">
        <v>353</v>
      </c>
      <c r="E1075" s="173" t="s">
        <v>255</v>
      </c>
      <c r="F1075" s="173">
        <v>3</v>
      </c>
      <c r="G1075" s="173" t="s">
        <v>19</v>
      </c>
      <c r="H1075" s="173" t="s">
        <v>20</v>
      </c>
      <c r="I1075" s="173" t="s">
        <v>256</v>
      </c>
      <c r="J1075" s="173"/>
      <c r="K1075" s="173" t="s">
        <v>257</v>
      </c>
      <c r="L1075" s="173">
        <v>100</v>
      </c>
      <c r="M1075" s="173" t="s">
        <v>258</v>
      </c>
      <c r="N1075" s="174">
        <v>1000</v>
      </c>
      <c r="O1075" s="174">
        <v>1000</v>
      </c>
      <c r="P1075" s="330">
        <v>6000</v>
      </c>
      <c r="Q1075" s="173">
        <v>2</v>
      </c>
      <c r="R1075" s="173">
        <v>4</v>
      </c>
      <c r="S1075" s="173" t="s">
        <v>354</v>
      </c>
      <c r="T1075" s="175">
        <v>44949</v>
      </c>
      <c r="U1075" s="175">
        <v>44977</v>
      </c>
      <c r="V1075" s="173" t="s">
        <v>355</v>
      </c>
      <c r="W1075" s="173"/>
      <c r="X1075" s="173"/>
      <c r="Y1075" s="141"/>
    </row>
    <row r="1076" spans="1:25" ht="13.5" x14ac:dyDescent="0.15">
      <c r="A1076" s="173">
        <v>3697649</v>
      </c>
      <c r="B1076" s="173" t="s">
        <v>351</v>
      </c>
      <c r="C1076" s="173" t="s">
        <v>356</v>
      </c>
      <c r="D1076" s="173" t="s">
        <v>353</v>
      </c>
      <c r="E1076" s="173" t="s">
        <v>255</v>
      </c>
      <c r="F1076" s="173">
        <v>3</v>
      </c>
      <c r="G1076" s="173" t="s">
        <v>19</v>
      </c>
      <c r="H1076" s="173" t="s">
        <v>20</v>
      </c>
      <c r="I1076" s="173" t="s">
        <v>256</v>
      </c>
      <c r="J1076" s="173"/>
      <c r="K1076" s="173" t="s">
        <v>257</v>
      </c>
      <c r="L1076" s="173">
        <v>125</v>
      </c>
      <c r="M1076" s="173" t="s">
        <v>258</v>
      </c>
      <c r="N1076" s="174">
        <v>1000</v>
      </c>
      <c r="O1076" s="174">
        <v>1000</v>
      </c>
      <c r="P1076" s="330">
        <v>6000</v>
      </c>
      <c r="Q1076" s="173">
        <v>2</v>
      </c>
      <c r="R1076" s="173">
        <v>8</v>
      </c>
      <c r="S1076" s="173" t="s">
        <v>354</v>
      </c>
      <c r="T1076" s="175">
        <v>44949</v>
      </c>
      <c r="U1076" s="175">
        <v>44977</v>
      </c>
      <c r="V1076" s="173" t="s">
        <v>355</v>
      </c>
      <c r="W1076" s="173"/>
      <c r="X1076" s="173"/>
      <c r="Y1076" s="141"/>
    </row>
    <row r="1077" spans="1:25" ht="13.5" x14ac:dyDescent="0.15">
      <c r="A1077" s="173">
        <v>3697650</v>
      </c>
      <c r="B1077" s="173" t="s">
        <v>351</v>
      </c>
      <c r="C1077" s="173" t="s">
        <v>356</v>
      </c>
      <c r="D1077" s="173" t="s">
        <v>353</v>
      </c>
      <c r="E1077" s="173" t="s">
        <v>255</v>
      </c>
      <c r="F1077" s="173">
        <v>3</v>
      </c>
      <c r="G1077" s="173" t="s">
        <v>19</v>
      </c>
      <c r="H1077" s="173" t="s">
        <v>20</v>
      </c>
      <c r="I1077" s="173" t="s">
        <v>256</v>
      </c>
      <c r="J1077" s="173"/>
      <c r="K1077" s="173" t="s">
        <v>257</v>
      </c>
      <c r="L1077" s="173">
        <v>188</v>
      </c>
      <c r="M1077" s="173" t="s">
        <v>258</v>
      </c>
      <c r="N1077" s="174">
        <v>1000</v>
      </c>
      <c r="O1077" s="174">
        <v>1000</v>
      </c>
      <c r="P1077" s="330">
        <v>6000</v>
      </c>
      <c r="Q1077" s="173">
        <v>2</v>
      </c>
      <c r="R1077" s="173">
        <v>4</v>
      </c>
      <c r="S1077" s="173" t="s">
        <v>354</v>
      </c>
      <c r="T1077" s="175">
        <v>44949</v>
      </c>
      <c r="U1077" s="175">
        <v>44977</v>
      </c>
      <c r="V1077" s="173" t="s">
        <v>355</v>
      </c>
      <c r="W1077" s="173"/>
      <c r="X1077" s="173"/>
      <c r="Y1077" s="141"/>
    </row>
    <row r="1078" spans="1:25" ht="13.5" x14ac:dyDescent="0.15">
      <c r="A1078" s="173">
        <v>3697652</v>
      </c>
      <c r="B1078" s="173" t="s">
        <v>351</v>
      </c>
      <c r="C1078" s="173" t="s">
        <v>352</v>
      </c>
      <c r="D1078" s="173" t="s">
        <v>353</v>
      </c>
      <c r="E1078" s="173" t="s">
        <v>155</v>
      </c>
      <c r="F1078" s="173" t="s">
        <v>158</v>
      </c>
      <c r="G1078" s="173" t="s">
        <v>19</v>
      </c>
      <c r="H1078" s="173" t="s">
        <v>20</v>
      </c>
      <c r="I1078" s="173" t="s">
        <v>143</v>
      </c>
      <c r="J1078" s="173"/>
      <c r="K1078" s="173" t="s">
        <v>156</v>
      </c>
      <c r="L1078" s="173">
        <v>25</v>
      </c>
      <c r="M1078" s="173" t="s">
        <v>157</v>
      </c>
      <c r="N1078" s="174">
        <v>1120</v>
      </c>
      <c r="O1078" s="174">
        <v>1120</v>
      </c>
      <c r="P1078" s="330">
        <v>6000</v>
      </c>
      <c r="Q1078" s="173">
        <v>2</v>
      </c>
      <c r="R1078" s="173">
        <v>6</v>
      </c>
      <c r="S1078" s="173" t="s">
        <v>354</v>
      </c>
      <c r="T1078" s="175">
        <v>44949</v>
      </c>
      <c r="U1078" s="175">
        <v>44977</v>
      </c>
      <c r="V1078" s="173" t="s">
        <v>355</v>
      </c>
      <c r="W1078" s="173"/>
      <c r="X1078" s="173"/>
      <c r="Y1078" s="141"/>
    </row>
    <row r="1079" spans="1:25" ht="13.5" x14ac:dyDescent="0.15">
      <c r="A1079" s="173">
        <v>3697661</v>
      </c>
      <c r="B1079" s="173" t="s">
        <v>351</v>
      </c>
      <c r="C1079" s="173" t="s">
        <v>352</v>
      </c>
      <c r="D1079" s="173" t="s">
        <v>353</v>
      </c>
      <c r="E1079" s="173" t="s">
        <v>116</v>
      </c>
      <c r="F1079" s="173">
        <v>3</v>
      </c>
      <c r="G1079" s="173" t="s">
        <v>19</v>
      </c>
      <c r="H1079" s="173" t="s">
        <v>20</v>
      </c>
      <c r="I1079" s="173" t="s">
        <v>143</v>
      </c>
      <c r="J1079" s="173"/>
      <c r="K1079" s="173" t="s">
        <v>159</v>
      </c>
      <c r="L1079" s="173">
        <v>25</v>
      </c>
      <c r="M1079" s="173" t="s">
        <v>160</v>
      </c>
      <c r="N1079" s="174">
        <v>1005</v>
      </c>
      <c r="O1079" s="174">
        <v>1000</v>
      </c>
      <c r="P1079" s="330">
        <v>6000</v>
      </c>
      <c r="Q1079" s="173">
        <v>2</v>
      </c>
      <c r="R1079" s="173">
        <v>12</v>
      </c>
      <c r="S1079" s="173" t="s">
        <v>354</v>
      </c>
      <c r="T1079" s="175">
        <v>44949</v>
      </c>
      <c r="U1079" s="175">
        <v>44977</v>
      </c>
      <c r="V1079" s="173" t="s">
        <v>355</v>
      </c>
      <c r="W1079" s="173"/>
      <c r="X1079" s="173"/>
      <c r="Y1079" s="141"/>
    </row>
    <row r="1080" spans="1:25" ht="13.5" x14ac:dyDescent="0.15">
      <c r="A1080" s="274">
        <v>3700898</v>
      </c>
      <c r="B1080" s="274" t="s">
        <v>351</v>
      </c>
      <c r="C1080" s="274" t="s">
        <v>356</v>
      </c>
      <c r="D1080" s="274" t="s">
        <v>353</v>
      </c>
      <c r="E1080" s="274" t="s">
        <v>17</v>
      </c>
      <c r="F1080" s="274">
        <v>3303</v>
      </c>
      <c r="G1080" s="274" t="s">
        <v>19</v>
      </c>
      <c r="H1080" s="274" t="s">
        <v>20</v>
      </c>
      <c r="I1080" s="274" t="s">
        <v>21</v>
      </c>
      <c r="J1080" s="274"/>
      <c r="K1080" s="274" t="s">
        <v>52</v>
      </c>
      <c r="L1080" s="274">
        <v>38</v>
      </c>
      <c r="M1080" s="274" t="s">
        <v>53</v>
      </c>
      <c r="N1080" s="275">
        <v>1330</v>
      </c>
      <c r="O1080" s="275">
        <v>1330</v>
      </c>
      <c r="P1080" s="330">
        <v>6000</v>
      </c>
      <c r="Q1080" s="274">
        <v>2</v>
      </c>
      <c r="R1080" s="274">
        <v>2</v>
      </c>
      <c r="S1080" s="274" t="s">
        <v>354</v>
      </c>
      <c r="T1080" s="276">
        <v>44978</v>
      </c>
      <c r="U1080" s="276">
        <v>44985</v>
      </c>
      <c r="V1080" s="274" t="s">
        <v>355</v>
      </c>
      <c r="W1080" s="274"/>
      <c r="X1080" s="274"/>
      <c r="Y1080" s="239"/>
    </row>
    <row r="1081" spans="1:25" ht="13.5" x14ac:dyDescent="0.15">
      <c r="A1081" s="274">
        <v>3700904</v>
      </c>
      <c r="B1081" s="274" t="s">
        <v>351</v>
      </c>
      <c r="C1081" s="274" t="s">
        <v>356</v>
      </c>
      <c r="D1081" s="274" t="s">
        <v>353</v>
      </c>
      <c r="E1081" s="274" t="s">
        <v>32</v>
      </c>
      <c r="F1081" s="274">
        <v>331</v>
      </c>
      <c r="G1081" s="274" t="s">
        <v>19</v>
      </c>
      <c r="H1081" s="274" t="s">
        <v>20</v>
      </c>
      <c r="I1081" s="274" t="s">
        <v>21</v>
      </c>
      <c r="J1081" s="274"/>
      <c r="K1081" s="274" t="s">
        <v>33</v>
      </c>
      <c r="L1081" s="274">
        <v>38</v>
      </c>
      <c r="M1081" s="274" t="s">
        <v>30</v>
      </c>
      <c r="N1081" s="275">
        <v>1580</v>
      </c>
      <c r="O1081" s="275">
        <v>1580</v>
      </c>
      <c r="P1081" s="330">
        <v>6000</v>
      </c>
      <c r="Q1081" s="274">
        <v>2</v>
      </c>
      <c r="R1081" s="274">
        <v>8</v>
      </c>
      <c r="S1081" s="274" t="s">
        <v>354</v>
      </c>
      <c r="T1081" s="276">
        <v>44978</v>
      </c>
      <c r="U1081" s="276">
        <v>44988</v>
      </c>
      <c r="V1081" s="274" t="s">
        <v>355</v>
      </c>
      <c r="W1081" s="274"/>
      <c r="X1081" s="274"/>
      <c r="Y1081" s="239"/>
    </row>
    <row r="1082" spans="1:25" ht="13.5" x14ac:dyDescent="0.15">
      <c r="A1082" s="274">
        <v>3700905</v>
      </c>
      <c r="B1082" s="274" t="s">
        <v>351</v>
      </c>
      <c r="C1082" s="274" t="s">
        <v>356</v>
      </c>
      <c r="D1082" s="274" t="s">
        <v>353</v>
      </c>
      <c r="E1082" s="274" t="s">
        <v>17</v>
      </c>
      <c r="F1082" s="274">
        <v>3</v>
      </c>
      <c r="G1082" s="274" t="s">
        <v>19</v>
      </c>
      <c r="H1082" s="274" t="s">
        <v>20</v>
      </c>
      <c r="I1082" s="274" t="s">
        <v>21</v>
      </c>
      <c r="J1082" s="274"/>
      <c r="K1082" s="274" t="s">
        <v>22</v>
      </c>
      <c r="L1082" s="274">
        <v>38</v>
      </c>
      <c r="M1082" s="274" t="s">
        <v>23</v>
      </c>
      <c r="N1082" s="275">
        <v>1367</v>
      </c>
      <c r="O1082" s="275">
        <v>1360</v>
      </c>
      <c r="P1082" s="330">
        <v>6000</v>
      </c>
      <c r="Q1082" s="274">
        <v>2</v>
      </c>
      <c r="R1082" s="274">
        <v>4</v>
      </c>
      <c r="S1082" s="274" t="s">
        <v>354</v>
      </c>
      <c r="T1082" s="276">
        <v>44978</v>
      </c>
      <c r="U1082" s="276">
        <v>44988</v>
      </c>
      <c r="V1082" s="274" t="s">
        <v>355</v>
      </c>
      <c r="W1082" s="274"/>
      <c r="X1082" s="274"/>
      <c r="Y1082" s="239"/>
    </row>
    <row r="1083" spans="1:25" ht="13.5" x14ac:dyDescent="0.15">
      <c r="A1083" s="274">
        <v>3700906</v>
      </c>
      <c r="B1083" s="274" t="s">
        <v>351</v>
      </c>
      <c r="C1083" s="274" t="s">
        <v>356</v>
      </c>
      <c r="D1083" s="274" t="s">
        <v>353</v>
      </c>
      <c r="E1083" s="274" t="s">
        <v>32</v>
      </c>
      <c r="F1083" s="274">
        <v>331</v>
      </c>
      <c r="G1083" s="274" t="s">
        <v>19</v>
      </c>
      <c r="H1083" s="274" t="s">
        <v>20</v>
      </c>
      <c r="I1083" s="274" t="s">
        <v>21</v>
      </c>
      <c r="J1083" s="274"/>
      <c r="K1083" s="274" t="s">
        <v>33</v>
      </c>
      <c r="L1083" s="274">
        <v>25</v>
      </c>
      <c r="M1083" s="274" t="s">
        <v>30</v>
      </c>
      <c r="N1083" s="275">
        <v>1330</v>
      </c>
      <c r="O1083" s="275">
        <v>1330</v>
      </c>
      <c r="P1083" s="330">
        <v>6000</v>
      </c>
      <c r="Q1083" s="274">
        <v>2</v>
      </c>
      <c r="R1083" s="274">
        <v>4</v>
      </c>
      <c r="S1083" s="274" t="s">
        <v>354</v>
      </c>
      <c r="T1083" s="276">
        <v>44978</v>
      </c>
      <c r="U1083" s="276">
        <v>44988</v>
      </c>
      <c r="V1083" s="274" t="s">
        <v>355</v>
      </c>
      <c r="W1083" s="274"/>
      <c r="X1083" s="274"/>
      <c r="Y1083" s="239"/>
    </row>
    <row r="1084" spans="1:25" ht="13.5" x14ac:dyDescent="0.15">
      <c r="A1084" s="274">
        <v>3700907</v>
      </c>
      <c r="B1084" s="274" t="s">
        <v>351</v>
      </c>
      <c r="C1084" s="274" t="s">
        <v>356</v>
      </c>
      <c r="D1084" s="274" t="s">
        <v>353</v>
      </c>
      <c r="E1084" s="274" t="s">
        <v>17</v>
      </c>
      <c r="F1084" s="274">
        <v>331</v>
      </c>
      <c r="G1084" s="274" t="s">
        <v>19</v>
      </c>
      <c r="H1084" s="274" t="s">
        <v>20</v>
      </c>
      <c r="I1084" s="274" t="s">
        <v>21</v>
      </c>
      <c r="J1084" s="274"/>
      <c r="K1084" s="274" t="s">
        <v>29</v>
      </c>
      <c r="L1084" s="274">
        <v>38</v>
      </c>
      <c r="M1084" s="274" t="s">
        <v>30</v>
      </c>
      <c r="N1084" s="275">
        <v>1330</v>
      </c>
      <c r="O1084" s="275">
        <v>1330</v>
      </c>
      <c r="P1084" s="330">
        <v>6000</v>
      </c>
      <c r="Q1084" s="274">
        <v>2</v>
      </c>
      <c r="R1084" s="274">
        <v>14</v>
      </c>
      <c r="S1084" s="274" t="s">
        <v>354</v>
      </c>
      <c r="T1084" s="276">
        <v>44978</v>
      </c>
      <c r="U1084" s="276">
        <v>44988</v>
      </c>
      <c r="V1084" s="274" t="s">
        <v>355</v>
      </c>
      <c r="W1084" s="274"/>
      <c r="X1084" s="274"/>
      <c r="Y1084" s="239"/>
    </row>
    <row r="1085" spans="1:25" ht="13.5" x14ac:dyDescent="0.15">
      <c r="A1085" s="274">
        <v>3700908</v>
      </c>
      <c r="B1085" s="274" t="s">
        <v>351</v>
      </c>
      <c r="C1085" s="274" t="s">
        <v>356</v>
      </c>
      <c r="D1085" s="274" t="s">
        <v>353</v>
      </c>
      <c r="E1085" s="274" t="s">
        <v>32</v>
      </c>
      <c r="F1085" s="274">
        <v>331</v>
      </c>
      <c r="G1085" s="274" t="s">
        <v>19</v>
      </c>
      <c r="H1085" s="274" t="s">
        <v>20</v>
      </c>
      <c r="I1085" s="274" t="s">
        <v>21</v>
      </c>
      <c r="J1085" s="274"/>
      <c r="K1085" s="274" t="s">
        <v>33</v>
      </c>
      <c r="L1085" s="274">
        <v>38</v>
      </c>
      <c r="M1085" s="274" t="s">
        <v>30</v>
      </c>
      <c r="N1085" s="275">
        <v>1330</v>
      </c>
      <c r="O1085" s="275">
        <v>1330</v>
      </c>
      <c r="P1085" s="330">
        <v>6000</v>
      </c>
      <c r="Q1085" s="274">
        <v>2</v>
      </c>
      <c r="R1085" s="274">
        <v>16</v>
      </c>
      <c r="S1085" s="274" t="s">
        <v>354</v>
      </c>
      <c r="T1085" s="276">
        <v>44978</v>
      </c>
      <c r="U1085" s="276">
        <v>44988</v>
      </c>
      <c r="V1085" s="274" t="s">
        <v>355</v>
      </c>
      <c r="W1085" s="274"/>
      <c r="X1085" s="274"/>
      <c r="Y1085" s="239"/>
    </row>
    <row r="1086" spans="1:25" ht="13.5" x14ac:dyDescent="0.15">
      <c r="A1086" s="274">
        <v>3700909</v>
      </c>
      <c r="B1086" s="274" t="s">
        <v>351</v>
      </c>
      <c r="C1086" s="274" t="s">
        <v>356</v>
      </c>
      <c r="D1086" s="274" t="s">
        <v>353</v>
      </c>
      <c r="E1086" s="274" t="s">
        <v>17</v>
      </c>
      <c r="F1086" s="274">
        <v>331</v>
      </c>
      <c r="G1086" s="274" t="s">
        <v>19</v>
      </c>
      <c r="H1086" s="274" t="s">
        <v>20</v>
      </c>
      <c r="I1086" s="274" t="s">
        <v>21</v>
      </c>
      <c r="J1086" s="274"/>
      <c r="K1086" s="274" t="s">
        <v>29</v>
      </c>
      <c r="L1086" s="274">
        <v>38</v>
      </c>
      <c r="M1086" s="274" t="s">
        <v>30</v>
      </c>
      <c r="N1086" s="275">
        <v>1330</v>
      </c>
      <c r="O1086" s="275">
        <v>1330</v>
      </c>
      <c r="P1086" s="330">
        <v>6000</v>
      </c>
      <c r="Q1086" s="274">
        <v>2</v>
      </c>
      <c r="R1086" s="274">
        <v>18</v>
      </c>
      <c r="S1086" s="274" t="s">
        <v>354</v>
      </c>
      <c r="T1086" s="276">
        <v>44978</v>
      </c>
      <c r="U1086" s="276">
        <v>44988</v>
      </c>
      <c r="V1086" s="274" t="s">
        <v>355</v>
      </c>
      <c r="W1086" s="274"/>
      <c r="X1086" s="274"/>
      <c r="Y1086" s="239"/>
    </row>
    <row r="1087" spans="1:25" ht="13.5" x14ac:dyDescent="0.15">
      <c r="A1087" s="274">
        <v>3700910</v>
      </c>
      <c r="B1087" s="274" t="s">
        <v>351</v>
      </c>
      <c r="C1087" s="274" t="s">
        <v>356</v>
      </c>
      <c r="D1087" s="274" t="s">
        <v>353</v>
      </c>
      <c r="E1087" s="274" t="s">
        <v>17</v>
      </c>
      <c r="F1087" s="274">
        <v>3</v>
      </c>
      <c r="G1087" s="274" t="s">
        <v>19</v>
      </c>
      <c r="H1087" s="274" t="s">
        <v>20</v>
      </c>
      <c r="I1087" s="274" t="s">
        <v>21</v>
      </c>
      <c r="J1087" s="274"/>
      <c r="K1087" s="274" t="s">
        <v>22</v>
      </c>
      <c r="L1087" s="274">
        <v>38</v>
      </c>
      <c r="M1087" s="274" t="s">
        <v>23</v>
      </c>
      <c r="N1087" s="275">
        <v>1057</v>
      </c>
      <c r="O1087" s="275">
        <v>1050</v>
      </c>
      <c r="P1087" s="330">
        <v>6000</v>
      </c>
      <c r="Q1087" s="274">
        <v>2</v>
      </c>
      <c r="R1087" s="274">
        <v>15</v>
      </c>
      <c r="S1087" s="274" t="s">
        <v>354</v>
      </c>
      <c r="T1087" s="276">
        <v>44978</v>
      </c>
      <c r="U1087" s="276">
        <v>44993</v>
      </c>
      <c r="V1087" s="274" t="s">
        <v>355</v>
      </c>
      <c r="W1087" s="274"/>
      <c r="X1087" s="274"/>
      <c r="Y1087" s="239"/>
    </row>
    <row r="1088" spans="1:25" ht="13.5" x14ac:dyDescent="0.15">
      <c r="A1088" s="274">
        <v>3700911</v>
      </c>
      <c r="B1088" s="274" t="s">
        <v>351</v>
      </c>
      <c r="C1088" s="274" t="s">
        <v>356</v>
      </c>
      <c r="D1088" s="274" t="s">
        <v>353</v>
      </c>
      <c r="E1088" s="274" t="s">
        <v>17</v>
      </c>
      <c r="F1088" s="274">
        <v>3</v>
      </c>
      <c r="G1088" s="274" t="s">
        <v>19</v>
      </c>
      <c r="H1088" s="274" t="s">
        <v>20</v>
      </c>
      <c r="I1088" s="274" t="s">
        <v>21</v>
      </c>
      <c r="J1088" s="274"/>
      <c r="K1088" s="274" t="s">
        <v>22</v>
      </c>
      <c r="L1088" s="274">
        <v>38</v>
      </c>
      <c r="M1088" s="274" t="s">
        <v>23</v>
      </c>
      <c r="N1088" s="275">
        <v>1037</v>
      </c>
      <c r="O1088" s="275">
        <v>1030</v>
      </c>
      <c r="P1088" s="330">
        <v>6000</v>
      </c>
      <c r="Q1088" s="274">
        <v>2</v>
      </c>
      <c r="R1088" s="274">
        <v>20</v>
      </c>
      <c r="S1088" s="274" t="s">
        <v>354</v>
      </c>
      <c r="T1088" s="276">
        <v>44978</v>
      </c>
      <c r="U1088" s="276">
        <v>44993</v>
      </c>
      <c r="V1088" s="274" t="s">
        <v>355</v>
      </c>
      <c r="W1088" s="274"/>
      <c r="X1088" s="274"/>
      <c r="Y1088" s="239"/>
    </row>
    <row r="1089" spans="1:25" ht="13.5" x14ac:dyDescent="0.15">
      <c r="A1089" s="274">
        <v>3700912</v>
      </c>
      <c r="B1089" s="274" t="s">
        <v>351</v>
      </c>
      <c r="C1089" s="274" t="s">
        <v>356</v>
      </c>
      <c r="D1089" s="274" t="s">
        <v>353</v>
      </c>
      <c r="E1089" s="274" t="s">
        <v>377</v>
      </c>
      <c r="F1089" s="274">
        <v>3</v>
      </c>
      <c r="G1089" s="274" t="s">
        <v>19</v>
      </c>
      <c r="H1089" s="274" t="s">
        <v>20</v>
      </c>
      <c r="I1089" s="274" t="s">
        <v>21</v>
      </c>
      <c r="J1089" s="274"/>
      <c r="K1089" s="274" t="s">
        <v>36</v>
      </c>
      <c r="L1089" s="274">
        <v>25</v>
      </c>
      <c r="M1089" s="274" t="s">
        <v>37</v>
      </c>
      <c r="N1089" s="274">
        <v>890</v>
      </c>
      <c r="O1089" s="274">
        <v>890</v>
      </c>
      <c r="P1089" s="330">
        <v>6000</v>
      </c>
      <c r="Q1089" s="274">
        <v>2</v>
      </c>
      <c r="R1089" s="274">
        <v>3</v>
      </c>
      <c r="S1089" s="274" t="s">
        <v>354</v>
      </c>
      <c r="T1089" s="276">
        <v>44978</v>
      </c>
      <c r="U1089" s="276">
        <v>44993</v>
      </c>
      <c r="V1089" s="274" t="s">
        <v>355</v>
      </c>
      <c r="W1089" s="274"/>
      <c r="X1089" s="274"/>
      <c r="Y1089" s="239"/>
    </row>
    <row r="1090" spans="1:25" ht="13.5" x14ac:dyDescent="0.15">
      <c r="A1090" s="274">
        <v>3700914</v>
      </c>
      <c r="B1090" s="274" t="s">
        <v>351</v>
      </c>
      <c r="C1090" s="274" t="s">
        <v>358</v>
      </c>
      <c r="D1090" s="274" t="s">
        <v>353</v>
      </c>
      <c r="E1090" s="274" t="s">
        <v>61</v>
      </c>
      <c r="F1090" s="274">
        <v>3313</v>
      </c>
      <c r="G1090" s="274" t="s">
        <v>19</v>
      </c>
      <c r="H1090" s="274" t="s">
        <v>20</v>
      </c>
      <c r="I1090" s="274" t="s">
        <v>21</v>
      </c>
      <c r="J1090" s="274"/>
      <c r="K1090" s="274" t="s">
        <v>62</v>
      </c>
      <c r="L1090" s="274">
        <v>38</v>
      </c>
      <c r="M1090" s="274" t="s">
        <v>63</v>
      </c>
      <c r="N1090" s="274">
        <v>750</v>
      </c>
      <c r="O1090" s="274">
        <v>750</v>
      </c>
      <c r="P1090" s="330">
        <v>6000</v>
      </c>
      <c r="Q1090" s="274">
        <v>2</v>
      </c>
      <c r="R1090" s="274">
        <v>12</v>
      </c>
      <c r="S1090" s="274" t="s">
        <v>354</v>
      </c>
      <c r="T1090" s="276">
        <v>44978</v>
      </c>
      <c r="U1090" s="276">
        <v>44993</v>
      </c>
      <c r="V1090" s="274" t="s">
        <v>355</v>
      </c>
      <c r="W1090" s="274"/>
      <c r="X1090" s="274"/>
      <c r="Y1090" s="239"/>
    </row>
    <row r="1091" spans="1:25" ht="13.5" x14ac:dyDescent="0.15">
      <c r="A1091" s="274">
        <v>3700916</v>
      </c>
      <c r="B1091" s="274" t="s">
        <v>351</v>
      </c>
      <c r="C1091" s="274" t="s">
        <v>363</v>
      </c>
      <c r="D1091" s="274" t="s">
        <v>353</v>
      </c>
      <c r="E1091" s="274" t="s">
        <v>65</v>
      </c>
      <c r="F1091" s="274">
        <v>3321</v>
      </c>
      <c r="G1091" s="274" t="s">
        <v>19</v>
      </c>
      <c r="H1091" s="274" t="s">
        <v>20</v>
      </c>
      <c r="I1091" s="274" t="s">
        <v>21</v>
      </c>
      <c r="J1091" s="274"/>
      <c r="K1091" s="274" t="s">
        <v>70</v>
      </c>
      <c r="L1091" s="274">
        <v>38</v>
      </c>
      <c r="M1091" s="274" t="s">
        <v>71</v>
      </c>
      <c r="N1091" s="275">
        <v>1336</v>
      </c>
      <c r="O1091" s="275">
        <v>1325</v>
      </c>
      <c r="P1091" s="330">
        <v>6000</v>
      </c>
      <c r="Q1091" s="274">
        <v>2</v>
      </c>
      <c r="R1091" s="274">
        <v>4</v>
      </c>
      <c r="S1091" s="274" t="s">
        <v>354</v>
      </c>
      <c r="T1091" s="276">
        <v>44978</v>
      </c>
      <c r="U1091" s="276">
        <v>44993</v>
      </c>
      <c r="V1091" s="274" t="s">
        <v>355</v>
      </c>
      <c r="W1091" s="274"/>
      <c r="X1091" s="274"/>
      <c r="Y1091" s="239"/>
    </row>
    <row r="1092" spans="1:25" ht="13.5" x14ac:dyDescent="0.15">
      <c r="A1092" s="274">
        <v>3700917</v>
      </c>
      <c r="B1092" s="274" t="s">
        <v>431</v>
      </c>
      <c r="C1092" s="274" t="s">
        <v>358</v>
      </c>
      <c r="D1092" s="274" t="s">
        <v>353</v>
      </c>
      <c r="E1092" s="274" t="s">
        <v>61</v>
      </c>
      <c r="F1092" s="274">
        <v>3</v>
      </c>
      <c r="G1092" s="274" t="s">
        <v>265</v>
      </c>
      <c r="H1092" s="274" t="s">
        <v>20</v>
      </c>
      <c r="I1092" s="274" t="s">
        <v>21</v>
      </c>
      <c r="J1092" s="274"/>
      <c r="K1092" s="274" t="s">
        <v>263</v>
      </c>
      <c r="L1092" s="274">
        <v>75</v>
      </c>
      <c r="M1092" s="274" t="s">
        <v>264</v>
      </c>
      <c r="N1092" s="275">
        <v>1050</v>
      </c>
      <c r="O1092" s="275">
        <v>1050</v>
      </c>
      <c r="P1092" s="330">
        <v>6000</v>
      </c>
      <c r="Q1092" s="274">
        <v>2</v>
      </c>
      <c r="R1092" s="274">
        <v>30</v>
      </c>
      <c r="S1092" s="274" t="s">
        <v>354</v>
      </c>
      <c r="T1092" s="276">
        <v>44978</v>
      </c>
      <c r="U1092" s="276">
        <v>45001</v>
      </c>
      <c r="V1092" s="274" t="s">
        <v>355</v>
      </c>
      <c r="W1092" s="274"/>
      <c r="X1092" s="274"/>
      <c r="Y1092" s="239"/>
    </row>
    <row r="1093" spans="1:25" ht="13.5" x14ac:dyDescent="0.15">
      <c r="A1093" s="274">
        <v>3700918</v>
      </c>
      <c r="B1093" s="274" t="s">
        <v>351</v>
      </c>
      <c r="C1093" s="274" t="s">
        <v>356</v>
      </c>
      <c r="D1093" s="274" t="s">
        <v>353</v>
      </c>
      <c r="E1093" s="274" t="s">
        <v>32</v>
      </c>
      <c r="F1093" s="274">
        <v>331</v>
      </c>
      <c r="G1093" s="274" t="s">
        <v>19</v>
      </c>
      <c r="H1093" s="274" t="s">
        <v>20</v>
      </c>
      <c r="I1093" s="274" t="s">
        <v>21</v>
      </c>
      <c r="J1093" s="274"/>
      <c r="K1093" s="274" t="s">
        <v>54</v>
      </c>
      <c r="L1093" s="274">
        <v>38</v>
      </c>
      <c r="M1093" s="274" t="s">
        <v>53</v>
      </c>
      <c r="N1093" s="275">
        <v>1580</v>
      </c>
      <c r="O1093" s="275">
        <v>1580</v>
      </c>
      <c r="P1093" s="330">
        <v>6000</v>
      </c>
      <c r="Q1093" s="274">
        <v>2</v>
      </c>
      <c r="R1093" s="274">
        <v>2</v>
      </c>
      <c r="S1093" s="274" t="s">
        <v>354</v>
      </c>
      <c r="T1093" s="276">
        <v>44978</v>
      </c>
      <c r="U1093" s="276">
        <v>45001</v>
      </c>
      <c r="V1093" s="274" t="s">
        <v>355</v>
      </c>
      <c r="W1093" s="274"/>
      <c r="X1093" s="274"/>
      <c r="Y1093" s="239"/>
    </row>
    <row r="1094" spans="1:25" ht="13.5" x14ac:dyDescent="0.15">
      <c r="A1094" s="274">
        <v>3700919</v>
      </c>
      <c r="B1094" s="274" t="s">
        <v>351</v>
      </c>
      <c r="C1094" s="274" t="s">
        <v>358</v>
      </c>
      <c r="D1094" s="274" t="s">
        <v>353</v>
      </c>
      <c r="E1094" s="274" t="s">
        <v>44</v>
      </c>
      <c r="F1094" s="274">
        <v>3</v>
      </c>
      <c r="G1094" s="274" t="s">
        <v>19</v>
      </c>
      <c r="H1094" s="274" t="s">
        <v>20</v>
      </c>
      <c r="I1094" s="274" t="s">
        <v>21</v>
      </c>
      <c r="J1094" s="274"/>
      <c r="K1094" s="274" t="s">
        <v>47</v>
      </c>
      <c r="L1094" s="274">
        <v>25</v>
      </c>
      <c r="M1094" s="274" t="s">
        <v>48</v>
      </c>
      <c r="N1094" s="274">
        <v>740</v>
      </c>
      <c r="O1094" s="274">
        <v>740</v>
      </c>
      <c r="P1094" s="330">
        <v>6000</v>
      </c>
      <c r="Q1094" s="274">
        <v>1</v>
      </c>
      <c r="R1094" s="274">
        <v>48</v>
      </c>
      <c r="S1094" s="274" t="s">
        <v>354</v>
      </c>
      <c r="T1094" s="276">
        <v>44978</v>
      </c>
      <c r="U1094" s="276">
        <v>45001</v>
      </c>
      <c r="V1094" s="274" t="s">
        <v>355</v>
      </c>
      <c r="W1094" s="274"/>
      <c r="X1094" s="274"/>
      <c r="Y1094" s="239"/>
    </row>
    <row r="1095" spans="1:25" ht="13.5" x14ac:dyDescent="0.15">
      <c r="A1095" s="274">
        <v>3700920</v>
      </c>
      <c r="B1095" s="274" t="s">
        <v>351</v>
      </c>
      <c r="C1095" s="274" t="s">
        <v>356</v>
      </c>
      <c r="D1095" s="274" t="s">
        <v>353</v>
      </c>
      <c r="E1095" s="274" t="s">
        <v>17</v>
      </c>
      <c r="F1095" s="274">
        <v>331</v>
      </c>
      <c r="G1095" s="274" t="s">
        <v>19</v>
      </c>
      <c r="H1095" s="274" t="s">
        <v>20</v>
      </c>
      <c r="I1095" s="274" t="s">
        <v>21</v>
      </c>
      <c r="J1095" s="274"/>
      <c r="K1095" s="274" t="s">
        <v>52</v>
      </c>
      <c r="L1095" s="274">
        <v>38</v>
      </c>
      <c r="M1095" s="274" t="s">
        <v>53</v>
      </c>
      <c r="N1095" s="275">
        <v>1330</v>
      </c>
      <c r="O1095" s="275">
        <v>1330</v>
      </c>
      <c r="P1095" s="330">
        <v>6000</v>
      </c>
      <c r="Q1095" s="274">
        <v>2</v>
      </c>
      <c r="R1095" s="274">
        <v>28</v>
      </c>
      <c r="S1095" s="274" t="s">
        <v>354</v>
      </c>
      <c r="T1095" s="276">
        <v>44978</v>
      </c>
      <c r="U1095" s="276">
        <v>45001</v>
      </c>
      <c r="V1095" s="274" t="s">
        <v>355</v>
      </c>
      <c r="W1095" s="274"/>
      <c r="X1095" s="274"/>
      <c r="Y1095" s="239"/>
    </row>
    <row r="1096" spans="1:25" ht="13.5" x14ac:dyDescent="0.15">
      <c r="A1096" s="274">
        <v>3700921</v>
      </c>
      <c r="B1096" s="274" t="s">
        <v>351</v>
      </c>
      <c r="C1096" s="274" t="s">
        <v>356</v>
      </c>
      <c r="D1096" s="274" t="s">
        <v>353</v>
      </c>
      <c r="E1096" s="274" t="s">
        <v>17</v>
      </c>
      <c r="F1096" s="274">
        <v>331</v>
      </c>
      <c r="G1096" s="274" t="s">
        <v>19</v>
      </c>
      <c r="H1096" s="274" t="s">
        <v>20</v>
      </c>
      <c r="I1096" s="274" t="s">
        <v>21</v>
      </c>
      <c r="J1096" s="274"/>
      <c r="K1096" s="274" t="s">
        <v>52</v>
      </c>
      <c r="L1096" s="274">
        <v>38</v>
      </c>
      <c r="M1096" s="274" t="s">
        <v>53</v>
      </c>
      <c r="N1096" s="275">
        <v>1330</v>
      </c>
      <c r="O1096" s="275">
        <v>1330</v>
      </c>
      <c r="P1096" s="330">
        <v>6000</v>
      </c>
      <c r="Q1096" s="274">
        <v>2</v>
      </c>
      <c r="R1096" s="274">
        <v>28</v>
      </c>
      <c r="S1096" s="274" t="s">
        <v>354</v>
      </c>
      <c r="T1096" s="276">
        <v>44978</v>
      </c>
      <c r="U1096" s="276">
        <v>45001</v>
      </c>
      <c r="V1096" s="274" t="s">
        <v>355</v>
      </c>
      <c r="W1096" s="274"/>
      <c r="X1096" s="274"/>
      <c r="Y1096" s="239"/>
    </row>
    <row r="1097" spans="1:25" ht="13.5" x14ac:dyDescent="0.15">
      <c r="A1097" s="274">
        <v>3700922</v>
      </c>
      <c r="B1097" s="274" t="s">
        <v>351</v>
      </c>
      <c r="C1097" s="274" t="s">
        <v>356</v>
      </c>
      <c r="D1097" s="274" t="s">
        <v>353</v>
      </c>
      <c r="E1097" s="274" t="s">
        <v>32</v>
      </c>
      <c r="F1097" s="274">
        <v>331</v>
      </c>
      <c r="G1097" s="274" t="s">
        <v>19</v>
      </c>
      <c r="H1097" s="274" t="s">
        <v>20</v>
      </c>
      <c r="I1097" s="274" t="s">
        <v>21</v>
      </c>
      <c r="J1097" s="274"/>
      <c r="K1097" s="274" t="s">
        <v>54</v>
      </c>
      <c r="L1097" s="274">
        <v>38</v>
      </c>
      <c r="M1097" s="274" t="s">
        <v>53</v>
      </c>
      <c r="N1097" s="275">
        <v>1330</v>
      </c>
      <c r="O1097" s="275">
        <v>1330</v>
      </c>
      <c r="P1097" s="330">
        <v>6000</v>
      </c>
      <c r="Q1097" s="274">
        <v>2</v>
      </c>
      <c r="R1097" s="274">
        <v>12</v>
      </c>
      <c r="S1097" s="274" t="s">
        <v>354</v>
      </c>
      <c r="T1097" s="276">
        <v>44978</v>
      </c>
      <c r="U1097" s="276">
        <v>45001</v>
      </c>
      <c r="V1097" s="274" t="s">
        <v>355</v>
      </c>
      <c r="W1097" s="274"/>
      <c r="X1097" s="274"/>
      <c r="Y1097" s="239"/>
    </row>
    <row r="1098" spans="1:25" ht="13.5" x14ac:dyDescent="0.15">
      <c r="A1098" s="274">
        <v>3700923</v>
      </c>
      <c r="B1098" s="274" t="s">
        <v>351</v>
      </c>
      <c r="C1098" s="274" t="s">
        <v>356</v>
      </c>
      <c r="D1098" s="274" t="s">
        <v>353</v>
      </c>
      <c r="E1098" s="274" t="s">
        <v>32</v>
      </c>
      <c r="F1098" s="274">
        <v>3</v>
      </c>
      <c r="G1098" s="274" t="s">
        <v>19</v>
      </c>
      <c r="H1098" s="274" t="s">
        <v>20</v>
      </c>
      <c r="I1098" s="274" t="s">
        <v>21</v>
      </c>
      <c r="J1098" s="274"/>
      <c r="K1098" s="274" t="s">
        <v>56</v>
      </c>
      <c r="L1098" s="274">
        <v>75</v>
      </c>
      <c r="M1098" s="274" t="s">
        <v>376</v>
      </c>
      <c r="N1098" s="275">
        <v>1330</v>
      </c>
      <c r="O1098" s="275">
        <v>1330</v>
      </c>
      <c r="P1098" s="330">
        <v>6000</v>
      </c>
      <c r="Q1098" s="274">
        <v>2</v>
      </c>
      <c r="R1098" s="274">
        <v>10</v>
      </c>
      <c r="S1098" s="274" t="s">
        <v>354</v>
      </c>
      <c r="T1098" s="276">
        <v>44978</v>
      </c>
      <c r="U1098" s="276">
        <v>45001</v>
      </c>
      <c r="V1098" s="274" t="s">
        <v>355</v>
      </c>
      <c r="W1098" s="274"/>
      <c r="X1098" s="274"/>
      <c r="Y1098" s="239"/>
    </row>
    <row r="1099" spans="1:25" ht="13.5" x14ac:dyDescent="0.15">
      <c r="A1099" s="274">
        <v>3700924</v>
      </c>
      <c r="B1099" s="274" t="s">
        <v>351</v>
      </c>
      <c r="C1099" s="274" t="s">
        <v>356</v>
      </c>
      <c r="D1099" s="274" t="s">
        <v>353</v>
      </c>
      <c r="E1099" s="274" t="s">
        <v>87</v>
      </c>
      <c r="F1099" s="274">
        <v>3</v>
      </c>
      <c r="G1099" s="274" t="s">
        <v>19</v>
      </c>
      <c r="H1099" s="274" t="s">
        <v>20</v>
      </c>
      <c r="I1099" s="274" t="s">
        <v>21</v>
      </c>
      <c r="J1099" s="274"/>
      <c r="K1099" s="274" t="s">
        <v>88</v>
      </c>
      <c r="L1099" s="274">
        <v>75</v>
      </c>
      <c r="M1099" s="274" t="s">
        <v>361</v>
      </c>
      <c r="N1099" s="274">
        <v>220</v>
      </c>
      <c r="O1099" s="274">
        <v>220</v>
      </c>
      <c r="P1099" s="330">
        <v>6000</v>
      </c>
      <c r="Q1099" s="274">
        <v>1</v>
      </c>
      <c r="R1099" s="274">
        <v>45</v>
      </c>
      <c r="S1099" s="274" t="s">
        <v>354</v>
      </c>
      <c r="T1099" s="276">
        <v>44978</v>
      </c>
      <c r="U1099" s="276">
        <v>45002</v>
      </c>
      <c r="V1099" s="274" t="s">
        <v>355</v>
      </c>
      <c r="W1099" s="274"/>
      <c r="X1099" s="274"/>
      <c r="Y1099" s="239"/>
    </row>
    <row r="1100" spans="1:25" ht="13.5" x14ac:dyDescent="0.15">
      <c r="A1100" s="274">
        <v>3700925</v>
      </c>
      <c r="B1100" s="274" t="s">
        <v>351</v>
      </c>
      <c r="C1100" s="274" t="s">
        <v>358</v>
      </c>
      <c r="D1100" s="274" t="s">
        <v>353</v>
      </c>
      <c r="E1100" s="274" t="s">
        <v>90</v>
      </c>
      <c r="F1100" s="274">
        <v>3</v>
      </c>
      <c r="G1100" s="274" t="s">
        <v>19</v>
      </c>
      <c r="H1100" s="274" t="s">
        <v>20</v>
      </c>
      <c r="I1100" s="274" t="s">
        <v>21</v>
      </c>
      <c r="J1100" s="274"/>
      <c r="K1100" s="274" t="s">
        <v>88</v>
      </c>
      <c r="L1100" s="274">
        <v>75</v>
      </c>
      <c r="M1100" s="274" t="s">
        <v>361</v>
      </c>
      <c r="N1100" s="274">
        <v>620</v>
      </c>
      <c r="O1100" s="274">
        <v>620</v>
      </c>
      <c r="P1100" s="330">
        <v>6000</v>
      </c>
      <c r="Q1100" s="274">
        <v>2</v>
      </c>
      <c r="R1100" s="274">
        <v>18</v>
      </c>
      <c r="S1100" s="274" t="s">
        <v>354</v>
      </c>
      <c r="T1100" s="276">
        <v>44978</v>
      </c>
      <c r="U1100" s="276">
        <v>45002</v>
      </c>
      <c r="V1100" s="274" t="s">
        <v>355</v>
      </c>
      <c r="W1100" s="274"/>
      <c r="X1100" s="274"/>
      <c r="Y1100" s="239"/>
    </row>
    <row r="1101" spans="1:25" ht="13.5" x14ac:dyDescent="0.15">
      <c r="A1101" s="274">
        <v>3700926</v>
      </c>
      <c r="B1101" s="274" t="s">
        <v>351</v>
      </c>
      <c r="C1101" s="274" t="s">
        <v>358</v>
      </c>
      <c r="D1101" s="274" t="s">
        <v>353</v>
      </c>
      <c r="E1101" s="274" t="s">
        <v>90</v>
      </c>
      <c r="F1101" s="274">
        <v>3</v>
      </c>
      <c r="G1101" s="274" t="s">
        <v>19</v>
      </c>
      <c r="H1101" s="274" t="s">
        <v>20</v>
      </c>
      <c r="I1101" s="274" t="s">
        <v>21</v>
      </c>
      <c r="J1101" s="274"/>
      <c r="K1101" s="274" t="s">
        <v>88</v>
      </c>
      <c r="L1101" s="274">
        <v>75</v>
      </c>
      <c r="M1101" s="274" t="s">
        <v>361</v>
      </c>
      <c r="N1101" s="275">
        <v>1130</v>
      </c>
      <c r="O1101" s="275">
        <v>1130</v>
      </c>
      <c r="P1101" s="330">
        <v>6000</v>
      </c>
      <c r="Q1101" s="274">
        <v>2</v>
      </c>
      <c r="R1101" s="274">
        <v>8</v>
      </c>
      <c r="S1101" s="274" t="s">
        <v>354</v>
      </c>
      <c r="T1101" s="276">
        <v>44978</v>
      </c>
      <c r="U1101" s="276">
        <v>45002</v>
      </c>
      <c r="V1101" s="274" t="s">
        <v>355</v>
      </c>
      <c r="W1101" s="274"/>
      <c r="X1101" s="274"/>
      <c r="Y1101" s="239"/>
    </row>
    <row r="1102" spans="1:25" ht="13.5" x14ac:dyDescent="0.15">
      <c r="A1102" s="274">
        <v>3700927</v>
      </c>
      <c r="B1102" s="274" t="s">
        <v>351</v>
      </c>
      <c r="C1102" s="274" t="s">
        <v>358</v>
      </c>
      <c r="D1102" s="274" t="s">
        <v>353</v>
      </c>
      <c r="E1102" s="274" t="s">
        <v>362</v>
      </c>
      <c r="F1102" s="274">
        <v>3</v>
      </c>
      <c r="G1102" s="274" t="s">
        <v>19</v>
      </c>
      <c r="H1102" s="274" t="s">
        <v>20</v>
      </c>
      <c r="I1102" s="274" t="s">
        <v>21</v>
      </c>
      <c r="J1102" s="274"/>
      <c r="K1102" s="274" t="s">
        <v>88</v>
      </c>
      <c r="L1102" s="274">
        <v>188</v>
      </c>
      <c r="M1102" s="274" t="s">
        <v>361</v>
      </c>
      <c r="N1102" s="275">
        <v>1130</v>
      </c>
      <c r="O1102" s="275">
        <v>1130</v>
      </c>
      <c r="P1102" s="330">
        <v>6000</v>
      </c>
      <c r="Q1102" s="274">
        <v>2</v>
      </c>
      <c r="R1102" s="274">
        <v>14</v>
      </c>
      <c r="S1102" s="274" t="s">
        <v>354</v>
      </c>
      <c r="T1102" s="276">
        <v>44978</v>
      </c>
      <c r="U1102" s="276">
        <v>45002</v>
      </c>
      <c r="V1102" s="274" t="s">
        <v>355</v>
      </c>
      <c r="W1102" s="274"/>
      <c r="X1102" s="274"/>
      <c r="Y1102" s="239"/>
    </row>
    <row r="1103" spans="1:25" ht="13.5" x14ac:dyDescent="0.15">
      <c r="A1103" s="274">
        <v>3700928</v>
      </c>
      <c r="B1103" s="274" t="s">
        <v>351</v>
      </c>
      <c r="C1103" s="274" t="s">
        <v>358</v>
      </c>
      <c r="D1103" s="274" t="s">
        <v>353</v>
      </c>
      <c r="E1103" s="274" t="s">
        <v>362</v>
      </c>
      <c r="F1103" s="274">
        <v>3</v>
      </c>
      <c r="G1103" s="274" t="s">
        <v>19</v>
      </c>
      <c r="H1103" s="274" t="s">
        <v>20</v>
      </c>
      <c r="I1103" s="274" t="s">
        <v>21</v>
      </c>
      <c r="J1103" s="274"/>
      <c r="K1103" s="274" t="s">
        <v>88</v>
      </c>
      <c r="L1103" s="274">
        <v>100</v>
      </c>
      <c r="M1103" s="274" t="s">
        <v>361</v>
      </c>
      <c r="N1103" s="274">
        <v>330</v>
      </c>
      <c r="O1103" s="274">
        <v>330</v>
      </c>
      <c r="P1103" s="330">
        <v>6000</v>
      </c>
      <c r="Q1103" s="274">
        <v>1</v>
      </c>
      <c r="R1103" s="274">
        <v>24</v>
      </c>
      <c r="S1103" s="274" t="s">
        <v>354</v>
      </c>
      <c r="T1103" s="276">
        <v>44978</v>
      </c>
      <c r="U1103" s="276">
        <v>45002</v>
      </c>
      <c r="V1103" s="274" t="s">
        <v>355</v>
      </c>
      <c r="W1103" s="274"/>
      <c r="X1103" s="274"/>
      <c r="Y1103" s="239"/>
    </row>
    <row r="1104" spans="1:25" ht="13.5" x14ac:dyDescent="0.15">
      <c r="A1104" s="274">
        <v>3700929</v>
      </c>
      <c r="B1104" s="274" t="s">
        <v>351</v>
      </c>
      <c r="C1104" s="274" t="s">
        <v>358</v>
      </c>
      <c r="D1104" s="274" t="s">
        <v>353</v>
      </c>
      <c r="E1104" s="274" t="s">
        <v>362</v>
      </c>
      <c r="F1104" s="274">
        <v>3</v>
      </c>
      <c r="G1104" s="274" t="s">
        <v>19</v>
      </c>
      <c r="H1104" s="274" t="s">
        <v>20</v>
      </c>
      <c r="I1104" s="274" t="s">
        <v>21</v>
      </c>
      <c r="J1104" s="274"/>
      <c r="K1104" s="274" t="s">
        <v>88</v>
      </c>
      <c r="L1104" s="274">
        <v>100</v>
      </c>
      <c r="M1104" s="274" t="s">
        <v>361</v>
      </c>
      <c r="N1104" s="274">
        <v>330</v>
      </c>
      <c r="O1104" s="274">
        <v>330</v>
      </c>
      <c r="P1104" s="330">
        <v>6000</v>
      </c>
      <c r="Q1104" s="274">
        <v>1</v>
      </c>
      <c r="R1104" s="274">
        <v>48</v>
      </c>
      <c r="S1104" s="274" t="s">
        <v>354</v>
      </c>
      <c r="T1104" s="276">
        <v>44978</v>
      </c>
      <c r="U1104" s="276">
        <v>45002</v>
      </c>
      <c r="V1104" s="274" t="s">
        <v>355</v>
      </c>
      <c r="W1104" s="274"/>
      <c r="X1104" s="274"/>
      <c r="Y1104" s="239"/>
    </row>
    <row r="1105" spans="1:25" ht="13.5" x14ac:dyDescent="0.15">
      <c r="A1105" s="274">
        <v>3700930</v>
      </c>
      <c r="B1105" s="274" t="s">
        <v>351</v>
      </c>
      <c r="C1105" s="274" t="s">
        <v>364</v>
      </c>
      <c r="D1105" s="274" t="s">
        <v>353</v>
      </c>
      <c r="E1105" s="274" t="s">
        <v>93</v>
      </c>
      <c r="F1105" s="274">
        <v>331</v>
      </c>
      <c r="G1105" s="274" t="s">
        <v>19</v>
      </c>
      <c r="H1105" s="274" t="s">
        <v>20</v>
      </c>
      <c r="I1105" s="274" t="s">
        <v>21</v>
      </c>
      <c r="J1105" s="274"/>
      <c r="K1105" s="274" t="s">
        <v>88</v>
      </c>
      <c r="L1105" s="274">
        <v>100</v>
      </c>
      <c r="M1105" s="274" t="s">
        <v>361</v>
      </c>
      <c r="N1105" s="274">
        <v>450</v>
      </c>
      <c r="O1105" s="274">
        <v>450</v>
      </c>
      <c r="P1105" s="330">
        <v>6000</v>
      </c>
      <c r="Q1105" s="274">
        <v>2</v>
      </c>
      <c r="R1105" s="274">
        <v>48</v>
      </c>
      <c r="S1105" s="274" t="s">
        <v>354</v>
      </c>
      <c r="T1105" s="276">
        <v>44978</v>
      </c>
      <c r="U1105" s="276">
        <v>45002</v>
      </c>
      <c r="V1105" s="274" t="s">
        <v>355</v>
      </c>
      <c r="W1105" s="274"/>
      <c r="X1105" s="274"/>
      <c r="Y1105" s="239"/>
    </row>
    <row r="1106" spans="1:25" ht="13.5" x14ac:dyDescent="0.15">
      <c r="A1106" s="274">
        <v>3700931</v>
      </c>
      <c r="B1106" s="274" t="s">
        <v>351</v>
      </c>
      <c r="C1106" s="274" t="s">
        <v>356</v>
      </c>
      <c r="D1106" s="274" t="s">
        <v>353</v>
      </c>
      <c r="E1106" s="274" t="s">
        <v>114</v>
      </c>
      <c r="F1106" s="274">
        <v>3</v>
      </c>
      <c r="G1106" s="274" t="s">
        <v>19</v>
      </c>
      <c r="H1106" s="274" t="s">
        <v>20</v>
      </c>
      <c r="I1106" s="274" t="s">
        <v>21</v>
      </c>
      <c r="J1106" s="274"/>
      <c r="K1106" s="274" t="s">
        <v>112</v>
      </c>
      <c r="L1106" s="274">
        <v>25</v>
      </c>
      <c r="M1106" s="274" t="s">
        <v>357</v>
      </c>
      <c r="N1106" s="274">
        <v>640</v>
      </c>
      <c r="O1106" s="274">
        <v>640</v>
      </c>
      <c r="P1106" s="330">
        <v>6000</v>
      </c>
      <c r="Q1106" s="274">
        <v>2</v>
      </c>
      <c r="R1106" s="274">
        <v>24</v>
      </c>
      <c r="S1106" s="274" t="s">
        <v>354</v>
      </c>
      <c r="T1106" s="276">
        <v>44978</v>
      </c>
      <c r="U1106" s="276">
        <v>45007</v>
      </c>
      <c r="V1106" s="274" t="s">
        <v>355</v>
      </c>
      <c r="W1106" s="274"/>
      <c r="X1106" s="274"/>
      <c r="Y1106" s="239"/>
    </row>
    <row r="1107" spans="1:25" ht="13.5" x14ac:dyDescent="0.15">
      <c r="A1107" s="274">
        <v>3700932</v>
      </c>
      <c r="B1107" s="274" t="s">
        <v>431</v>
      </c>
      <c r="C1107" s="274" t="s">
        <v>364</v>
      </c>
      <c r="D1107" s="274" t="s">
        <v>353</v>
      </c>
      <c r="E1107" s="274" t="s">
        <v>371</v>
      </c>
      <c r="F1107" s="274">
        <v>331</v>
      </c>
      <c r="G1107" s="274" t="s">
        <v>265</v>
      </c>
      <c r="H1107" s="274" t="s">
        <v>20</v>
      </c>
      <c r="I1107" s="274" t="s">
        <v>21</v>
      </c>
      <c r="J1107" s="274"/>
      <c r="K1107" s="274" t="s">
        <v>118</v>
      </c>
      <c r="L1107" s="274">
        <v>25</v>
      </c>
      <c r="M1107" s="274" t="s">
        <v>119</v>
      </c>
      <c r="N1107" s="275">
        <v>1425</v>
      </c>
      <c r="O1107" s="275">
        <v>1420</v>
      </c>
      <c r="P1107" s="330">
        <v>6000</v>
      </c>
      <c r="Q1107" s="274">
        <v>2</v>
      </c>
      <c r="R1107" s="274">
        <v>5</v>
      </c>
      <c r="S1107" s="274" t="s">
        <v>354</v>
      </c>
      <c r="T1107" s="276">
        <v>44978</v>
      </c>
      <c r="U1107" s="276">
        <v>45007</v>
      </c>
      <c r="V1107" s="274" t="s">
        <v>355</v>
      </c>
      <c r="W1107" s="274"/>
      <c r="X1107" s="274"/>
      <c r="Y1107" s="239"/>
    </row>
    <row r="1108" spans="1:25" ht="13.5" x14ac:dyDescent="0.15">
      <c r="A1108" s="274">
        <v>3700933</v>
      </c>
      <c r="B1108" s="274" t="s">
        <v>431</v>
      </c>
      <c r="C1108" s="274" t="s">
        <v>356</v>
      </c>
      <c r="D1108" s="274" t="s">
        <v>353</v>
      </c>
      <c r="E1108" s="274" t="s">
        <v>130</v>
      </c>
      <c r="F1108" s="274">
        <v>3</v>
      </c>
      <c r="G1108" s="274" t="s">
        <v>265</v>
      </c>
      <c r="H1108" s="274" t="s">
        <v>20</v>
      </c>
      <c r="I1108" s="274" t="s">
        <v>21</v>
      </c>
      <c r="J1108" s="274"/>
      <c r="K1108" s="274" t="s">
        <v>435</v>
      </c>
      <c r="L1108" s="274">
        <v>25</v>
      </c>
      <c r="M1108" s="274" t="s">
        <v>436</v>
      </c>
      <c r="N1108" s="275">
        <v>1410</v>
      </c>
      <c r="O1108" s="275">
        <v>1410</v>
      </c>
      <c r="P1108" s="330">
        <v>6000</v>
      </c>
      <c r="Q1108" s="274">
        <v>2</v>
      </c>
      <c r="R1108" s="274">
        <v>18</v>
      </c>
      <c r="S1108" s="274" t="s">
        <v>354</v>
      </c>
      <c r="T1108" s="276">
        <v>44978</v>
      </c>
      <c r="U1108" s="276">
        <v>45007</v>
      </c>
      <c r="V1108" s="274" t="s">
        <v>355</v>
      </c>
      <c r="W1108" s="274"/>
      <c r="X1108" s="274"/>
      <c r="Y1108" s="239"/>
    </row>
    <row r="1109" spans="1:25" ht="13.5" x14ac:dyDescent="0.15">
      <c r="A1109" s="274">
        <v>3700934</v>
      </c>
      <c r="B1109" s="274" t="s">
        <v>351</v>
      </c>
      <c r="C1109" s="274" t="s">
        <v>352</v>
      </c>
      <c r="D1109" s="274" t="s">
        <v>353</v>
      </c>
      <c r="E1109" s="274" t="s">
        <v>116</v>
      </c>
      <c r="F1109" s="274">
        <v>3</v>
      </c>
      <c r="G1109" s="274" t="s">
        <v>19</v>
      </c>
      <c r="H1109" s="274" t="s">
        <v>20</v>
      </c>
      <c r="I1109" s="274" t="s">
        <v>21</v>
      </c>
      <c r="J1109" s="274"/>
      <c r="K1109" s="274" t="s">
        <v>118</v>
      </c>
      <c r="L1109" s="274">
        <v>38</v>
      </c>
      <c r="M1109" s="274" t="s">
        <v>368</v>
      </c>
      <c r="N1109" s="275">
        <v>1415</v>
      </c>
      <c r="O1109" s="275">
        <v>1410</v>
      </c>
      <c r="P1109" s="330">
        <v>6000</v>
      </c>
      <c r="Q1109" s="274">
        <v>2</v>
      </c>
      <c r="R1109" s="274">
        <v>8</v>
      </c>
      <c r="S1109" s="274" t="s">
        <v>354</v>
      </c>
      <c r="T1109" s="276">
        <v>44978</v>
      </c>
      <c r="U1109" s="276">
        <v>45007</v>
      </c>
      <c r="V1109" s="274" t="s">
        <v>355</v>
      </c>
      <c r="W1109" s="274"/>
      <c r="X1109" s="274"/>
      <c r="Y1109" s="239"/>
    </row>
    <row r="1110" spans="1:25" ht="13.5" x14ac:dyDescent="0.15">
      <c r="A1110" s="274">
        <v>3700935</v>
      </c>
      <c r="B1110" s="274" t="s">
        <v>351</v>
      </c>
      <c r="C1110" s="274" t="s">
        <v>356</v>
      </c>
      <c r="D1110" s="274" t="s">
        <v>353</v>
      </c>
      <c r="E1110" s="274" t="s">
        <v>106</v>
      </c>
      <c r="F1110" s="274">
        <v>3</v>
      </c>
      <c r="G1110" s="274" t="s">
        <v>19</v>
      </c>
      <c r="H1110" s="274" t="s">
        <v>20</v>
      </c>
      <c r="I1110" s="274" t="s">
        <v>21</v>
      </c>
      <c r="J1110" s="274"/>
      <c r="K1110" s="274" t="s">
        <v>107</v>
      </c>
      <c r="L1110" s="274">
        <v>25</v>
      </c>
      <c r="M1110" s="274" t="s">
        <v>367</v>
      </c>
      <c r="N1110" s="275">
        <v>1240</v>
      </c>
      <c r="O1110" s="275">
        <v>1240</v>
      </c>
      <c r="P1110" s="330">
        <v>6000</v>
      </c>
      <c r="Q1110" s="274">
        <v>2</v>
      </c>
      <c r="R1110" s="274">
        <v>5</v>
      </c>
      <c r="S1110" s="274" t="s">
        <v>354</v>
      </c>
      <c r="T1110" s="276">
        <v>44978</v>
      </c>
      <c r="U1110" s="276">
        <v>45007</v>
      </c>
      <c r="V1110" s="274" t="s">
        <v>355</v>
      </c>
      <c r="W1110" s="274"/>
      <c r="X1110" s="274"/>
      <c r="Y1110" s="239"/>
    </row>
    <row r="1111" spans="1:25" ht="13.5" x14ac:dyDescent="0.15">
      <c r="A1111" s="274">
        <v>3700936</v>
      </c>
      <c r="B1111" s="274" t="s">
        <v>351</v>
      </c>
      <c r="C1111" s="274" t="s">
        <v>358</v>
      </c>
      <c r="D1111" s="274" t="s">
        <v>353</v>
      </c>
      <c r="E1111" s="274" t="s">
        <v>120</v>
      </c>
      <c r="F1111" s="274">
        <v>3</v>
      </c>
      <c r="G1111" s="274" t="s">
        <v>19</v>
      </c>
      <c r="H1111" s="274" t="s">
        <v>20</v>
      </c>
      <c r="I1111" s="274" t="s">
        <v>21</v>
      </c>
      <c r="J1111" s="274"/>
      <c r="K1111" s="274" t="s">
        <v>118</v>
      </c>
      <c r="L1111" s="274">
        <v>125</v>
      </c>
      <c r="M1111" s="274" t="s">
        <v>121</v>
      </c>
      <c r="N1111" s="275">
        <v>1230</v>
      </c>
      <c r="O1111" s="275">
        <v>1225</v>
      </c>
      <c r="P1111" s="330">
        <v>6000</v>
      </c>
      <c r="Q1111" s="274">
        <v>2</v>
      </c>
      <c r="R1111" s="274">
        <v>2</v>
      </c>
      <c r="S1111" s="274" t="s">
        <v>354</v>
      </c>
      <c r="T1111" s="276">
        <v>44978</v>
      </c>
      <c r="U1111" s="276">
        <v>45007</v>
      </c>
      <c r="V1111" s="274" t="s">
        <v>355</v>
      </c>
      <c r="W1111" s="274"/>
      <c r="X1111" s="274"/>
      <c r="Y1111" s="239"/>
    </row>
    <row r="1112" spans="1:25" ht="13.5" x14ac:dyDescent="0.15">
      <c r="A1112" s="274">
        <v>3700937</v>
      </c>
      <c r="B1112" s="274" t="s">
        <v>431</v>
      </c>
      <c r="C1112" s="274" t="s">
        <v>364</v>
      </c>
      <c r="D1112" s="274" t="s">
        <v>353</v>
      </c>
      <c r="E1112" s="274" t="s">
        <v>371</v>
      </c>
      <c r="F1112" s="274">
        <v>3</v>
      </c>
      <c r="G1112" s="274" t="s">
        <v>265</v>
      </c>
      <c r="H1112" s="274" t="s">
        <v>20</v>
      </c>
      <c r="I1112" s="274" t="s">
        <v>21</v>
      </c>
      <c r="J1112" s="274"/>
      <c r="K1112" s="274" t="s">
        <v>118</v>
      </c>
      <c r="L1112" s="274">
        <v>25</v>
      </c>
      <c r="M1112" s="274" t="s">
        <v>119</v>
      </c>
      <c r="N1112" s="275">
        <v>1155</v>
      </c>
      <c r="O1112" s="275">
        <v>1150</v>
      </c>
      <c r="P1112" s="330">
        <v>6000</v>
      </c>
      <c r="Q1112" s="274">
        <v>2</v>
      </c>
      <c r="R1112" s="274">
        <v>3</v>
      </c>
      <c r="S1112" s="274" t="s">
        <v>354</v>
      </c>
      <c r="T1112" s="276">
        <v>44978</v>
      </c>
      <c r="U1112" s="276">
        <v>45007</v>
      </c>
      <c r="V1112" s="274" t="s">
        <v>355</v>
      </c>
      <c r="W1112" s="274"/>
      <c r="X1112" s="274"/>
      <c r="Y1112" s="239"/>
    </row>
    <row r="1113" spans="1:25" ht="13.5" x14ac:dyDescent="0.15">
      <c r="A1113" s="274">
        <v>3700939</v>
      </c>
      <c r="B1113" s="274" t="s">
        <v>351</v>
      </c>
      <c r="C1113" s="274" t="s">
        <v>356</v>
      </c>
      <c r="D1113" s="274" t="s">
        <v>353</v>
      </c>
      <c r="E1113" s="274" t="s">
        <v>17</v>
      </c>
      <c r="F1113" s="274">
        <v>3</v>
      </c>
      <c r="G1113" s="274" t="s">
        <v>19</v>
      </c>
      <c r="H1113" s="274" t="s">
        <v>20</v>
      </c>
      <c r="I1113" s="274" t="s">
        <v>21</v>
      </c>
      <c r="J1113" s="274"/>
      <c r="K1113" s="274" t="s">
        <v>104</v>
      </c>
      <c r="L1113" s="274">
        <v>25</v>
      </c>
      <c r="M1113" s="274" t="s">
        <v>375</v>
      </c>
      <c r="N1113" s="275">
        <v>1100</v>
      </c>
      <c r="O1113" s="275">
        <v>1100</v>
      </c>
      <c r="P1113" s="330">
        <v>6000</v>
      </c>
      <c r="Q1113" s="274">
        <v>2</v>
      </c>
      <c r="R1113" s="274">
        <v>6</v>
      </c>
      <c r="S1113" s="274" t="s">
        <v>354</v>
      </c>
      <c r="T1113" s="276">
        <v>44978</v>
      </c>
      <c r="U1113" s="276">
        <v>45012</v>
      </c>
      <c r="V1113" s="274" t="s">
        <v>355</v>
      </c>
      <c r="W1113" s="274"/>
      <c r="X1113" s="274"/>
      <c r="Y1113" s="239"/>
    </row>
    <row r="1114" spans="1:25" ht="13.5" x14ac:dyDescent="0.15">
      <c r="A1114" s="274">
        <v>3700940</v>
      </c>
      <c r="B1114" s="274" t="s">
        <v>351</v>
      </c>
      <c r="C1114" s="274" t="s">
        <v>356</v>
      </c>
      <c r="D1114" s="274" t="s">
        <v>353</v>
      </c>
      <c r="E1114" s="274" t="s">
        <v>106</v>
      </c>
      <c r="F1114" s="274">
        <v>3</v>
      </c>
      <c r="G1114" s="274" t="s">
        <v>19</v>
      </c>
      <c r="H1114" s="274" t="s">
        <v>20</v>
      </c>
      <c r="I1114" s="274" t="s">
        <v>21</v>
      </c>
      <c r="J1114" s="274"/>
      <c r="K1114" s="274" t="s">
        <v>107</v>
      </c>
      <c r="L1114" s="274">
        <v>25</v>
      </c>
      <c r="M1114" s="274" t="s">
        <v>367</v>
      </c>
      <c r="N1114" s="275">
        <v>1040</v>
      </c>
      <c r="O1114" s="275">
        <v>1040</v>
      </c>
      <c r="P1114" s="330">
        <v>6000</v>
      </c>
      <c r="Q1114" s="274">
        <v>2</v>
      </c>
      <c r="R1114" s="274">
        <v>8</v>
      </c>
      <c r="S1114" s="274" t="s">
        <v>354</v>
      </c>
      <c r="T1114" s="276">
        <v>44978</v>
      </c>
      <c r="U1114" s="276">
        <v>45012</v>
      </c>
      <c r="V1114" s="274" t="s">
        <v>355</v>
      </c>
      <c r="W1114" s="274"/>
      <c r="X1114" s="274"/>
      <c r="Y1114" s="239"/>
    </row>
    <row r="1115" spans="1:25" ht="13.5" x14ac:dyDescent="0.15">
      <c r="A1115" s="274">
        <v>3700941</v>
      </c>
      <c r="B1115" s="274" t="s">
        <v>351</v>
      </c>
      <c r="C1115" s="274" t="s">
        <v>352</v>
      </c>
      <c r="D1115" s="274" t="s">
        <v>353</v>
      </c>
      <c r="E1115" s="274" t="s">
        <v>116</v>
      </c>
      <c r="F1115" s="274">
        <v>3</v>
      </c>
      <c r="G1115" s="274" t="s">
        <v>19</v>
      </c>
      <c r="H1115" s="274" t="s">
        <v>20</v>
      </c>
      <c r="I1115" s="274" t="s">
        <v>21</v>
      </c>
      <c r="J1115" s="274"/>
      <c r="K1115" s="274" t="s">
        <v>118</v>
      </c>
      <c r="L1115" s="274">
        <v>38</v>
      </c>
      <c r="M1115" s="274" t="s">
        <v>368</v>
      </c>
      <c r="N1115" s="275">
        <v>1005</v>
      </c>
      <c r="O1115" s="275">
        <v>1000</v>
      </c>
      <c r="P1115" s="330">
        <v>6000</v>
      </c>
      <c r="Q1115" s="274">
        <v>2</v>
      </c>
      <c r="R1115" s="274">
        <v>10</v>
      </c>
      <c r="S1115" s="274" t="s">
        <v>354</v>
      </c>
      <c r="T1115" s="276">
        <v>44978</v>
      </c>
      <c r="U1115" s="276">
        <v>45012</v>
      </c>
      <c r="V1115" s="274" t="s">
        <v>355</v>
      </c>
      <c r="W1115" s="274"/>
      <c r="X1115" s="274"/>
      <c r="Y1115" s="239"/>
    </row>
    <row r="1116" spans="1:25" ht="13.5" x14ac:dyDescent="0.15">
      <c r="A1116" s="274">
        <v>3700943</v>
      </c>
      <c r="B1116" s="274" t="s">
        <v>351</v>
      </c>
      <c r="C1116" s="274" t="s">
        <v>352</v>
      </c>
      <c r="D1116" s="274" t="s">
        <v>353</v>
      </c>
      <c r="E1116" s="274" t="s">
        <v>155</v>
      </c>
      <c r="F1116" s="274" t="s">
        <v>158</v>
      </c>
      <c r="G1116" s="274" t="s">
        <v>19</v>
      </c>
      <c r="H1116" s="274" t="s">
        <v>20</v>
      </c>
      <c r="I1116" s="274" t="s">
        <v>143</v>
      </c>
      <c r="J1116" s="274"/>
      <c r="K1116" s="274" t="s">
        <v>156</v>
      </c>
      <c r="L1116" s="274">
        <v>25</v>
      </c>
      <c r="M1116" s="274" t="s">
        <v>157</v>
      </c>
      <c r="N1116" s="275">
        <v>1120</v>
      </c>
      <c r="O1116" s="275">
        <v>1120</v>
      </c>
      <c r="P1116" s="330">
        <v>6000</v>
      </c>
      <c r="Q1116" s="274">
        <v>2</v>
      </c>
      <c r="R1116" s="274">
        <v>2</v>
      </c>
      <c r="S1116" s="274" t="s">
        <v>354</v>
      </c>
      <c r="T1116" s="276">
        <v>44978</v>
      </c>
      <c r="U1116" s="276">
        <v>45012</v>
      </c>
      <c r="V1116" s="274" t="s">
        <v>355</v>
      </c>
      <c r="W1116" s="274"/>
      <c r="X1116" s="274"/>
      <c r="Y1116" s="239"/>
    </row>
    <row r="1117" spans="1:25" ht="13.5" x14ac:dyDescent="0.15">
      <c r="A1117" s="274">
        <v>3700945</v>
      </c>
      <c r="B1117" s="274" t="s">
        <v>351</v>
      </c>
      <c r="C1117" s="274" t="s">
        <v>364</v>
      </c>
      <c r="D1117" s="274" t="s">
        <v>353</v>
      </c>
      <c r="E1117" s="274" t="s">
        <v>162</v>
      </c>
      <c r="F1117" s="274">
        <v>3</v>
      </c>
      <c r="G1117" s="274" t="s">
        <v>19</v>
      </c>
      <c r="H1117" s="274" t="s">
        <v>20</v>
      </c>
      <c r="I1117" s="274" t="s">
        <v>143</v>
      </c>
      <c r="J1117" s="274"/>
      <c r="K1117" s="274" t="s">
        <v>163</v>
      </c>
      <c r="L1117" s="274">
        <v>50</v>
      </c>
      <c r="M1117" s="274" t="s">
        <v>164</v>
      </c>
      <c r="N1117" s="275">
        <v>1320</v>
      </c>
      <c r="O1117" s="275">
        <v>1320</v>
      </c>
      <c r="P1117" s="330">
        <v>6000</v>
      </c>
      <c r="Q1117" s="274">
        <v>2</v>
      </c>
      <c r="R1117" s="274">
        <v>1</v>
      </c>
      <c r="S1117" s="274" t="s">
        <v>354</v>
      </c>
      <c r="T1117" s="276">
        <v>44978</v>
      </c>
      <c r="U1117" s="276">
        <v>45012</v>
      </c>
      <c r="V1117" s="274" t="s">
        <v>355</v>
      </c>
      <c r="W1117" s="274"/>
      <c r="X1117" s="274"/>
      <c r="Y1117" s="239"/>
    </row>
    <row r="1118" spans="1:25" ht="13.5" x14ac:dyDescent="0.15">
      <c r="A1118" s="274">
        <v>3700949</v>
      </c>
      <c r="B1118" s="274" t="s">
        <v>351</v>
      </c>
      <c r="C1118" s="274" t="s">
        <v>434</v>
      </c>
      <c r="D1118" s="274" t="s">
        <v>353</v>
      </c>
      <c r="E1118" s="274" t="s">
        <v>439</v>
      </c>
      <c r="F1118" s="274">
        <v>3</v>
      </c>
      <c r="G1118" s="274" t="s">
        <v>19</v>
      </c>
      <c r="H1118" s="274" t="s">
        <v>20</v>
      </c>
      <c r="I1118" s="274" t="s">
        <v>132</v>
      </c>
      <c r="J1118" s="274"/>
      <c r="K1118" s="274" t="s">
        <v>139</v>
      </c>
      <c r="L1118" s="274">
        <v>25</v>
      </c>
      <c r="M1118" s="274" t="s">
        <v>140</v>
      </c>
      <c r="N1118" s="275">
        <v>1575</v>
      </c>
      <c r="O1118" s="275">
        <v>1575</v>
      </c>
      <c r="P1118" s="330">
        <v>6000</v>
      </c>
      <c r="Q1118" s="274">
        <v>2</v>
      </c>
      <c r="R1118" s="274">
        <v>3</v>
      </c>
      <c r="S1118" s="274" t="s">
        <v>354</v>
      </c>
      <c r="T1118" s="276">
        <v>44978</v>
      </c>
      <c r="U1118" s="276">
        <v>44988</v>
      </c>
      <c r="V1118" s="274" t="s">
        <v>355</v>
      </c>
      <c r="W1118" s="274"/>
      <c r="X1118" s="274"/>
      <c r="Y1118" s="239"/>
    </row>
    <row r="1119" spans="1:25" ht="13.5" x14ac:dyDescent="0.15">
      <c r="A1119" s="274">
        <v>3700954</v>
      </c>
      <c r="B1119" s="274" t="s">
        <v>351</v>
      </c>
      <c r="C1119" s="274" t="s">
        <v>352</v>
      </c>
      <c r="D1119" s="274" t="s">
        <v>353</v>
      </c>
      <c r="E1119" s="274" t="s">
        <v>116</v>
      </c>
      <c r="F1119" s="274">
        <v>3</v>
      </c>
      <c r="G1119" s="274" t="s">
        <v>19</v>
      </c>
      <c r="H1119" s="274" t="s">
        <v>20</v>
      </c>
      <c r="I1119" s="274" t="s">
        <v>143</v>
      </c>
      <c r="J1119" s="274"/>
      <c r="K1119" s="274" t="s">
        <v>159</v>
      </c>
      <c r="L1119" s="274">
        <v>25</v>
      </c>
      <c r="M1119" s="274" t="s">
        <v>160</v>
      </c>
      <c r="N1119" s="275">
        <v>1005</v>
      </c>
      <c r="O1119" s="275">
        <v>1000</v>
      </c>
      <c r="P1119" s="330">
        <v>6000</v>
      </c>
      <c r="Q1119" s="274">
        <v>2</v>
      </c>
      <c r="R1119" s="274">
        <v>6</v>
      </c>
      <c r="S1119" s="274" t="s">
        <v>354</v>
      </c>
      <c r="T1119" s="276">
        <v>44978</v>
      </c>
      <c r="U1119" s="276">
        <v>45007</v>
      </c>
      <c r="V1119" s="274" t="s">
        <v>355</v>
      </c>
      <c r="W1119" s="274"/>
      <c r="X1119" s="274"/>
      <c r="Y1119" s="239"/>
    </row>
    <row r="1120" spans="1:25" ht="13.5" x14ac:dyDescent="0.15">
      <c r="A1120" s="274">
        <v>3703956</v>
      </c>
      <c r="B1120" s="274" t="s">
        <v>351</v>
      </c>
      <c r="C1120" s="274" t="s">
        <v>356</v>
      </c>
      <c r="D1120" s="274" t="s">
        <v>353</v>
      </c>
      <c r="E1120" s="274" t="s">
        <v>32</v>
      </c>
      <c r="F1120" s="274">
        <v>331</v>
      </c>
      <c r="G1120" s="274" t="s">
        <v>19</v>
      </c>
      <c r="H1120" s="274" t="s">
        <v>20</v>
      </c>
      <c r="I1120" s="274" t="s">
        <v>21</v>
      </c>
      <c r="J1120" s="274"/>
      <c r="K1120" s="274" t="s">
        <v>54</v>
      </c>
      <c r="L1120" s="274">
        <v>38</v>
      </c>
      <c r="M1120" s="274" t="s">
        <v>53</v>
      </c>
      <c r="N1120" s="275">
        <v>1580</v>
      </c>
      <c r="O1120" s="275">
        <v>1580</v>
      </c>
      <c r="P1120" s="330">
        <v>6000</v>
      </c>
      <c r="Q1120" s="274">
        <v>2</v>
      </c>
      <c r="R1120" s="274">
        <v>12</v>
      </c>
      <c r="S1120" s="274" t="s">
        <v>354</v>
      </c>
      <c r="T1120" s="276">
        <v>45005</v>
      </c>
      <c r="U1120" s="276">
        <v>45028</v>
      </c>
      <c r="V1120" s="274" t="s">
        <v>355</v>
      </c>
      <c r="W1120" s="274"/>
      <c r="X1120" s="274"/>
      <c r="Y1120" s="141"/>
    </row>
    <row r="1121" spans="1:25" ht="13.5" x14ac:dyDescent="0.15">
      <c r="A1121" s="274">
        <v>3703957</v>
      </c>
      <c r="B1121" s="274" t="s">
        <v>351</v>
      </c>
      <c r="C1121" s="274" t="s">
        <v>356</v>
      </c>
      <c r="D1121" s="274" t="s">
        <v>353</v>
      </c>
      <c r="E1121" s="274" t="s">
        <v>32</v>
      </c>
      <c r="F1121" s="274">
        <v>3</v>
      </c>
      <c r="G1121" s="274" t="s">
        <v>19</v>
      </c>
      <c r="H1121" s="274" t="s">
        <v>20</v>
      </c>
      <c r="I1121" s="274" t="s">
        <v>21</v>
      </c>
      <c r="J1121" s="274"/>
      <c r="K1121" s="274" t="s">
        <v>56</v>
      </c>
      <c r="L1121" s="274">
        <v>75</v>
      </c>
      <c r="M1121" s="274" t="s">
        <v>376</v>
      </c>
      <c r="N1121" s="275">
        <v>1330</v>
      </c>
      <c r="O1121" s="275">
        <v>1330</v>
      </c>
      <c r="P1121" s="330">
        <v>6000</v>
      </c>
      <c r="Q1121" s="274">
        <v>2</v>
      </c>
      <c r="R1121" s="274">
        <v>3</v>
      </c>
      <c r="S1121" s="274" t="s">
        <v>354</v>
      </c>
      <c r="T1121" s="276">
        <v>45005</v>
      </c>
      <c r="U1121" s="276">
        <v>45028</v>
      </c>
      <c r="V1121" s="274" t="s">
        <v>355</v>
      </c>
      <c r="W1121" s="274"/>
      <c r="X1121" s="274"/>
      <c r="Y1121" s="141"/>
    </row>
    <row r="1122" spans="1:25" ht="13.5" x14ac:dyDescent="0.15">
      <c r="A1122" s="274">
        <v>3703958</v>
      </c>
      <c r="B1122" s="274" t="s">
        <v>351</v>
      </c>
      <c r="C1122" s="274" t="s">
        <v>356</v>
      </c>
      <c r="D1122" s="274" t="s">
        <v>353</v>
      </c>
      <c r="E1122" s="274" t="s">
        <v>17</v>
      </c>
      <c r="F1122" s="274">
        <v>331</v>
      </c>
      <c r="G1122" s="274" t="s">
        <v>19</v>
      </c>
      <c r="H1122" s="274" t="s">
        <v>20</v>
      </c>
      <c r="I1122" s="274" t="s">
        <v>21</v>
      </c>
      <c r="J1122" s="274"/>
      <c r="K1122" s="274" t="s">
        <v>52</v>
      </c>
      <c r="L1122" s="274">
        <v>38</v>
      </c>
      <c r="M1122" s="274" t="s">
        <v>53</v>
      </c>
      <c r="N1122" s="275">
        <v>1330</v>
      </c>
      <c r="O1122" s="275">
        <v>1330</v>
      </c>
      <c r="P1122" s="330">
        <v>6000</v>
      </c>
      <c r="Q1122" s="274">
        <v>2</v>
      </c>
      <c r="R1122" s="274">
        <v>10</v>
      </c>
      <c r="S1122" s="274" t="s">
        <v>354</v>
      </c>
      <c r="T1122" s="276">
        <v>45005</v>
      </c>
      <c r="U1122" s="276">
        <v>45028</v>
      </c>
      <c r="V1122" s="274" t="s">
        <v>355</v>
      </c>
      <c r="W1122" s="274"/>
      <c r="X1122" s="274"/>
      <c r="Y1122" s="141"/>
    </row>
    <row r="1123" spans="1:25" ht="13.5" x14ac:dyDescent="0.15">
      <c r="A1123" s="274">
        <v>3703959</v>
      </c>
      <c r="B1123" s="274" t="s">
        <v>351</v>
      </c>
      <c r="C1123" s="274" t="s">
        <v>356</v>
      </c>
      <c r="D1123" s="274" t="s">
        <v>353</v>
      </c>
      <c r="E1123" s="274" t="s">
        <v>32</v>
      </c>
      <c r="F1123" s="274">
        <v>331</v>
      </c>
      <c r="G1123" s="274" t="s">
        <v>19</v>
      </c>
      <c r="H1123" s="274" t="s">
        <v>20</v>
      </c>
      <c r="I1123" s="274" t="s">
        <v>21</v>
      </c>
      <c r="J1123" s="274"/>
      <c r="K1123" s="274" t="s">
        <v>54</v>
      </c>
      <c r="L1123" s="274">
        <v>38</v>
      </c>
      <c r="M1123" s="274" t="s">
        <v>53</v>
      </c>
      <c r="N1123" s="275">
        <v>1330</v>
      </c>
      <c r="O1123" s="275">
        <v>1330</v>
      </c>
      <c r="P1123" s="330">
        <v>6000</v>
      </c>
      <c r="Q1123" s="274">
        <v>2</v>
      </c>
      <c r="R1123" s="274">
        <v>32</v>
      </c>
      <c r="S1123" s="274" t="s">
        <v>354</v>
      </c>
      <c r="T1123" s="276">
        <v>45005</v>
      </c>
      <c r="U1123" s="276">
        <v>45028</v>
      </c>
      <c r="V1123" s="274" t="s">
        <v>355</v>
      </c>
      <c r="W1123" s="274"/>
      <c r="X1123" s="274"/>
      <c r="Y1123" s="141"/>
    </row>
    <row r="1124" spans="1:25" ht="13.5" x14ac:dyDescent="0.15">
      <c r="A1124" s="274">
        <v>3703960</v>
      </c>
      <c r="B1124" s="274" t="s">
        <v>351</v>
      </c>
      <c r="C1124" s="274" t="s">
        <v>364</v>
      </c>
      <c r="D1124" s="274" t="s">
        <v>353</v>
      </c>
      <c r="E1124" s="274" t="s">
        <v>371</v>
      </c>
      <c r="F1124" s="274">
        <v>3</v>
      </c>
      <c r="G1124" s="274" t="s">
        <v>19</v>
      </c>
      <c r="H1124" s="274" t="s">
        <v>20</v>
      </c>
      <c r="I1124" s="274" t="s">
        <v>21</v>
      </c>
      <c r="J1124" s="274"/>
      <c r="K1124" s="274" t="s">
        <v>56</v>
      </c>
      <c r="L1124" s="274">
        <v>75</v>
      </c>
      <c r="M1124" s="274" t="s">
        <v>376</v>
      </c>
      <c r="N1124" s="275">
        <v>1110</v>
      </c>
      <c r="O1124" s="275">
        <v>1100</v>
      </c>
      <c r="P1124" s="330">
        <v>6000</v>
      </c>
      <c r="Q1124" s="274">
        <v>2</v>
      </c>
      <c r="R1124" s="274">
        <v>2</v>
      </c>
      <c r="S1124" s="274" t="s">
        <v>354</v>
      </c>
      <c r="T1124" s="276">
        <v>45005</v>
      </c>
      <c r="U1124" s="276">
        <v>45028</v>
      </c>
      <c r="V1124" s="274" t="s">
        <v>355</v>
      </c>
      <c r="W1124" s="274"/>
      <c r="X1124" s="274"/>
      <c r="Y1124" s="141"/>
    </row>
    <row r="1125" spans="1:25" ht="13.5" x14ac:dyDescent="0.15">
      <c r="A1125" s="274">
        <v>3703961</v>
      </c>
      <c r="B1125" s="274" t="s">
        <v>431</v>
      </c>
      <c r="C1125" s="274" t="s">
        <v>358</v>
      </c>
      <c r="D1125" s="274" t="s">
        <v>353</v>
      </c>
      <c r="E1125" s="274" t="s">
        <v>61</v>
      </c>
      <c r="F1125" s="274">
        <v>3</v>
      </c>
      <c r="G1125" s="274" t="s">
        <v>265</v>
      </c>
      <c r="H1125" s="274" t="s">
        <v>20</v>
      </c>
      <c r="I1125" s="274" t="s">
        <v>21</v>
      </c>
      <c r="J1125" s="274"/>
      <c r="K1125" s="274" t="s">
        <v>263</v>
      </c>
      <c r="L1125" s="274">
        <v>75</v>
      </c>
      <c r="M1125" s="274" t="s">
        <v>264</v>
      </c>
      <c r="N1125" s="275">
        <v>1050</v>
      </c>
      <c r="O1125" s="275">
        <v>1050</v>
      </c>
      <c r="P1125" s="330">
        <v>6000</v>
      </c>
      <c r="Q1125" s="274">
        <v>2</v>
      </c>
      <c r="R1125" s="274">
        <v>30</v>
      </c>
      <c r="S1125" s="274" t="s">
        <v>354</v>
      </c>
      <c r="T1125" s="276">
        <v>45005</v>
      </c>
      <c r="U1125" s="276">
        <v>45028</v>
      </c>
      <c r="V1125" s="274" t="s">
        <v>355</v>
      </c>
      <c r="W1125" s="274"/>
      <c r="X1125" s="274"/>
      <c r="Y1125" s="141"/>
    </row>
    <row r="1126" spans="1:25" ht="13.5" x14ac:dyDescent="0.15">
      <c r="A1126" s="274">
        <v>3703962</v>
      </c>
      <c r="B1126" s="274" t="s">
        <v>351</v>
      </c>
      <c r="C1126" s="274" t="s">
        <v>364</v>
      </c>
      <c r="D1126" s="274" t="s">
        <v>353</v>
      </c>
      <c r="E1126" s="274" t="s">
        <v>371</v>
      </c>
      <c r="F1126" s="274">
        <v>3</v>
      </c>
      <c r="G1126" s="274" t="s">
        <v>19</v>
      </c>
      <c r="H1126" s="274" t="s">
        <v>28</v>
      </c>
      <c r="I1126" s="274" t="s">
        <v>21</v>
      </c>
      <c r="J1126" s="274"/>
      <c r="K1126" s="274" t="s">
        <v>465</v>
      </c>
      <c r="L1126" s="274">
        <v>75</v>
      </c>
      <c r="M1126" s="274" t="s">
        <v>466</v>
      </c>
      <c r="N1126" s="275">
        <v>1040</v>
      </c>
      <c r="O1126" s="275">
        <v>1040</v>
      </c>
      <c r="P1126" s="330">
        <v>6000</v>
      </c>
      <c r="Q1126" s="274">
        <v>1</v>
      </c>
      <c r="R1126" s="274">
        <v>2</v>
      </c>
      <c r="S1126" s="274" t="s">
        <v>354</v>
      </c>
      <c r="T1126" s="276">
        <v>45005</v>
      </c>
      <c r="U1126" s="276">
        <v>45028</v>
      </c>
      <c r="V1126" s="274" t="s">
        <v>355</v>
      </c>
      <c r="W1126" s="274"/>
      <c r="X1126" s="274"/>
      <c r="Y1126" s="141"/>
    </row>
    <row r="1127" spans="1:25" ht="13.5" x14ac:dyDescent="0.15">
      <c r="A1127" s="274">
        <v>3703963</v>
      </c>
      <c r="B1127" s="274" t="s">
        <v>351</v>
      </c>
      <c r="C1127" s="274" t="s">
        <v>364</v>
      </c>
      <c r="D1127" s="274" t="s">
        <v>353</v>
      </c>
      <c r="E1127" s="274" t="s">
        <v>371</v>
      </c>
      <c r="F1127" s="274">
        <v>3</v>
      </c>
      <c r="G1127" s="274" t="s">
        <v>19</v>
      </c>
      <c r="H1127" s="274" t="s">
        <v>28</v>
      </c>
      <c r="I1127" s="274" t="s">
        <v>21</v>
      </c>
      <c r="J1127" s="274"/>
      <c r="K1127" s="274" t="s">
        <v>60</v>
      </c>
      <c r="L1127" s="274">
        <v>75</v>
      </c>
      <c r="M1127" s="274" t="s">
        <v>372</v>
      </c>
      <c r="N1127" s="275">
        <v>1040</v>
      </c>
      <c r="O1127" s="275">
        <v>1040</v>
      </c>
      <c r="P1127" s="330">
        <v>6000</v>
      </c>
      <c r="Q1127" s="274">
        <v>1</v>
      </c>
      <c r="R1127" s="274">
        <v>2</v>
      </c>
      <c r="S1127" s="274" t="s">
        <v>354</v>
      </c>
      <c r="T1127" s="276">
        <v>45005</v>
      </c>
      <c r="U1127" s="276">
        <v>45028</v>
      </c>
      <c r="V1127" s="274" t="s">
        <v>355</v>
      </c>
      <c r="W1127" s="274"/>
      <c r="X1127" s="274"/>
      <c r="Y1127" s="141"/>
    </row>
    <row r="1128" spans="1:25" ht="13.5" x14ac:dyDescent="0.15">
      <c r="A1128" s="274">
        <v>3703964</v>
      </c>
      <c r="B1128" s="274" t="s">
        <v>431</v>
      </c>
      <c r="C1128" s="274" t="s">
        <v>356</v>
      </c>
      <c r="D1128" s="274" t="s">
        <v>353</v>
      </c>
      <c r="E1128" s="274" t="s">
        <v>130</v>
      </c>
      <c r="F1128" s="274">
        <v>3</v>
      </c>
      <c r="G1128" s="274" t="s">
        <v>265</v>
      </c>
      <c r="H1128" s="274" t="s">
        <v>20</v>
      </c>
      <c r="I1128" s="274" t="s">
        <v>21</v>
      </c>
      <c r="J1128" s="274"/>
      <c r="K1128" s="274" t="s">
        <v>435</v>
      </c>
      <c r="L1128" s="274">
        <v>25</v>
      </c>
      <c r="M1128" s="274" t="s">
        <v>436</v>
      </c>
      <c r="N1128" s="275">
        <v>1410</v>
      </c>
      <c r="O1128" s="275">
        <v>1410</v>
      </c>
      <c r="P1128" s="330">
        <v>6000</v>
      </c>
      <c r="Q1128" s="274">
        <v>2</v>
      </c>
      <c r="R1128" s="274">
        <v>10</v>
      </c>
      <c r="S1128" s="274" t="s">
        <v>354</v>
      </c>
      <c r="T1128" s="276">
        <v>45005</v>
      </c>
      <c r="U1128" s="276">
        <v>45030</v>
      </c>
      <c r="V1128" s="274" t="s">
        <v>355</v>
      </c>
      <c r="W1128" s="274"/>
      <c r="X1128" s="274"/>
      <c r="Y1128" s="141"/>
    </row>
    <row r="1129" spans="1:25" ht="13.5" x14ac:dyDescent="0.15">
      <c r="A1129" s="274">
        <v>3703965</v>
      </c>
      <c r="B1129" s="274" t="s">
        <v>431</v>
      </c>
      <c r="C1129" s="274" t="s">
        <v>356</v>
      </c>
      <c r="D1129" s="274" t="s">
        <v>353</v>
      </c>
      <c r="E1129" s="274" t="s">
        <v>130</v>
      </c>
      <c r="F1129" s="274">
        <v>3</v>
      </c>
      <c r="G1129" s="274" t="s">
        <v>265</v>
      </c>
      <c r="H1129" s="274" t="s">
        <v>20</v>
      </c>
      <c r="I1129" s="274" t="s">
        <v>21</v>
      </c>
      <c r="J1129" s="274"/>
      <c r="K1129" s="274" t="s">
        <v>435</v>
      </c>
      <c r="L1129" s="274">
        <v>25</v>
      </c>
      <c r="M1129" s="274" t="s">
        <v>436</v>
      </c>
      <c r="N1129" s="275">
        <v>1410</v>
      </c>
      <c r="O1129" s="275">
        <v>1410</v>
      </c>
      <c r="P1129" s="330">
        <v>6000</v>
      </c>
      <c r="Q1129" s="274">
        <v>2</v>
      </c>
      <c r="R1129" s="274">
        <v>8</v>
      </c>
      <c r="S1129" s="274" t="s">
        <v>354</v>
      </c>
      <c r="T1129" s="276">
        <v>45005</v>
      </c>
      <c r="U1129" s="276">
        <v>45030</v>
      </c>
      <c r="V1129" s="274" t="s">
        <v>355</v>
      </c>
      <c r="W1129" s="274"/>
      <c r="X1129" s="274"/>
      <c r="Y1129" s="141"/>
    </row>
    <row r="1130" spans="1:25" ht="13.5" x14ac:dyDescent="0.15">
      <c r="A1130" s="274">
        <v>3703966</v>
      </c>
      <c r="B1130" s="274" t="s">
        <v>351</v>
      </c>
      <c r="C1130" s="274" t="s">
        <v>352</v>
      </c>
      <c r="D1130" s="274" t="s">
        <v>353</v>
      </c>
      <c r="E1130" s="274" t="s">
        <v>116</v>
      </c>
      <c r="F1130" s="274">
        <v>3</v>
      </c>
      <c r="G1130" s="274" t="s">
        <v>19</v>
      </c>
      <c r="H1130" s="274" t="s">
        <v>20</v>
      </c>
      <c r="I1130" s="274" t="s">
        <v>21</v>
      </c>
      <c r="J1130" s="274"/>
      <c r="K1130" s="274" t="s">
        <v>118</v>
      </c>
      <c r="L1130" s="274">
        <v>38</v>
      </c>
      <c r="M1130" s="274" t="s">
        <v>368</v>
      </c>
      <c r="N1130" s="275">
        <v>1415</v>
      </c>
      <c r="O1130" s="275">
        <v>1410</v>
      </c>
      <c r="P1130" s="330">
        <v>6000</v>
      </c>
      <c r="Q1130" s="274">
        <v>2</v>
      </c>
      <c r="R1130" s="274">
        <v>8</v>
      </c>
      <c r="S1130" s="274" t="s">
        <v>354</v>
      </c>
      <c r="T1130" s="276">
        <v>45005</v>
      </c>
      <c r="U1130" s="276">
        <v>45037</v>
      </c>
      <c r="V1130" s="274" t="s">
        <v>355</v>
      </c>
      <c r="W1130" s="274"/>
      <c r="X1130" s="274"/>
      <c r="Y1130" s="141"/>
    </row>
    <row r="1131" spans="1:25" ht="13.5" x14ac:dyDescent="0.15">
      <c r="A1131" s="274">
        <v>3703967</v>
      </c>
      <c r="B1131" s="274" t="s">
        <v>351</v>
      </c>
      <c r="C1131" s="274" t="s">
        <v>356</v>
      </c>
      <c r="D1131" s="274" t="s">
        <v>353</v>
      </c>
      <c r="E1131" s="274" t="s">
        <v>106</v>
      </c>
      <c r="F1131" s="274">
        <v>3</v>
      </c>
      <c r="G1131" s="274" t="s">
        <v>19</v>
      </c>
      <c r="H1131" s="274" t="s">
        <v>20</v>
      </c>
      <c r="I1131" s="274" t="s">
        <v>21</v>
      </c>
      <c r="J1131" s="274"/>
      <c r="K1131" s="274" t="s">
        <v>107</v>
      </c>
      <c r="L1131" s="274">
        <v>25</v>
      </c>
      <c r="M1131" s="274" t="s">
        <v>367</v>
      </c>
      <c r="N1131" s="275">
        <v>1240</v>
      </c>
      <c r="O1131" s="275">
        <v>1240</v>
      </c>
      <c r="P1131" s="330">
        <v>6000</v>
      </c>
      <c r="Q1131" s="274">
        <v>2</v>
      </c>
      <c r="R1131" s="274">
        <v>26</v>
      </c>
      <c r="S1131" s="274" t="s">
        <v>354</v>
      </c>
      <c r="T1131" s="276">
        <v>45005</v>
      </c>
      <c r="U1131" s="276">
        <v>45030</v>
      </c>
      <c r="V1131" s="274" t="s">
        <v>355</v>
      </c>
      <c r="W1131" s="274"/>
      <c r="X1131" s="274"/>
      <c r="Y1131" s="141"/>
    </row>
    <row r="1132" spans="1:25" ht="13.5" x14ac:dyDescent="0.15">
      <c r="A1132" s="274">
        <v>3703968</v>
      </c>
      <c r="B1132" s="274" t="s">
        <v>351</v>
      </c>
      <c r="C1132" s="274" t="s">
        <v>356</v>
      </c>
      <c r="D1132" s="274" t="s">
        <v>353</v>
      </c>
      <c r="E1132" s="274" t="s">
        <v>106</v>
      </c>
      <c r="F1132" s="274">
        <v>3</v>
      </c>
      <c r="G1132" s="274" t="s">
        <v>19</v>
      </c>
      <c r="H1132" s="274" t="s">
        <v>20</v>
      </c>
      <c r="I1132" s="274" t="s">
        <v>21</v>
      </c>
      <c r="J1132" s="274"/>
      <c r="K1132" s="274" t="s">
        <v>107</v>
      </c>
      <c r="L1132" s="274">
        <v>38</v>
      </c>
      <c r="M1132" s="274" t="s">
        <v>367</v>
      </c>
      <c r="N1132" s="275">
        <v>1240</v>
      </c>
      <c r="O1132" s="275">
        <v>1240</v>
      </c>
      <c r="P1132" s="330">
        <v>6000</v>
      </c>
      <c r="Q1132" s="274">
        <v>2</v>
      </c>
      <c r="R1132" s="274">
        <v>10</v>
      </c>
      <c r="S1132" s="274" t="s">
        <v>354</v>
      </c>
      <c r="T1132" s="276">
        <v>45005</v>
      </c>
      <c r="U1132" s="276">
        <v>45034</v>
      </c>
      <c r="V1132" s="274" t="s">
        <v>355</v>
      </c>
      <c r="W1132" s="274"/>
      <c r="X1132" s="274"/>
      <c r="Y1132" s="141"/>
    </row>
    <row r="1133" spans="1:25" ht="13.5" x14ac:dyDescent="0.15">
      <c r="A1133" s="274">
        <v>3703969</v>
      </c>
      <c r="B1133" s="274" t="s">
        <v>351</v>
      </c>
      <c r="C1133" s="274" t="s">
        <v>356</v>
      </c>
      <c r="D1133" s="274" t="s">
        <v>353</v>
      </c>
      <c r="E1133" s="274" t="s">
        <v>115</v>
      </c>
      <c r="F1133" s="274">
        <v>3</v>
      </c>
      <c r="G1133" s="274" t="s">
        <v>19</v>
      </c>
      <c r="H1133" s="274" t="s">
        <v>20</v>
      </c>
      <c r="I1133" s="274" t="s">
        <v>21</v>
      </c>
      <c r="J1133" s="274"/>
      <c r="K1133" s="274" t="s">
        <v>112</v>
      </c>
      <c r="L1133" s="274">
        <v>38</v>
      </c>
      <c r="M1133" s="274" t="s">
        <v>357</v>
      </c>
      <c r="N1133" s="275">
        <v>1135</v>
      </c>
      <c r="O1133" s="275">
        <v>1130</v>
      </c>
      <c r="P1133" s="330">
        <v>6000</v>
      </c>
      <c r="Q1133" s="274">
        <v>2</v>
      </c>
      <c r="R1133" s="274">
        <v>4</v>
      </c>
      <c r="S1133" s="274" t="s">
        <v>354</v>
      </c>
      <c r="T1133" s="276">
        <v>45005</v>
      </c>
      <c r="U1133" s="276">
        <v>45034</v>
      </c>
      <c r="V1133" s="274" t="s">
        <v>355</v>
      </c>
      <c r="W1133" s="274"/>
      <c r="X1133" s="274"/>
      <c r="Y1133" s="141"/>
    </row>
    <row r="1134" spans="1:25" ht="13.5" x14ac:dyDescent="0.15">
      <c r="A1134" s="274">
        <v>3703970</v>
      </c>
      <c r="B1134" s="274" t="s">
        <v>351</v>
      </c>
      <c r="C1134" s="274" t="s">
        <v>356</v>
      </c>
      <c r="D1134" s="274" t="s">
        <v>353</v>
      </c>
      <c r="E1134" s="274" t="s">
        <v>17</v>
      </c>
      <c r="F1134" s="274">
        <v>3</v>
      </c>
      <c r="G1134" s="274" t="s">
        <v>19</v>
      </c>
      <c r="H1134" s="274" t="s">
        <v>20</v>
      </c>
      <c r="I1134" s="274" t="s">
        <v>21</v>
      </c>
      <c r="J1134" s="274"/>
      <c r="K1134" s="274" t="s">
        <v>104</v>
      </c>
      <c r="L1134" s="274">
        <v>25</v>
      </c>
      <c r="M1134" s="274" t="s">
        <v>375</v>
      </c>
      <c r="N1134" s="275">
        <v>1100</v>
      </c>
      <c r="O1134" s="275">
        <v>1100</v>
      </c>
      <c r="P1134" s="330">
        <v>6000</v>
      </c>
      <c r="Q1134" s="274">
        <v>2</v>
      </c>
      <c r="R1134" s="274">
        <v>5</v>
      </c>
      <c r="S1134" s="274" t="s">
        <v>354</v>
      </c>
      <c r="T1134" s="276">
        <v>45005</v>
      </c>
      <c r="U1134" s="276">
        <v>45034</v>
      </c>
      <c r="V1134" s="274" t="s">
        <v>355</v>
      </c>
      <c r="W1134" s="274"/>
      <c r="X1134" s="274"/>
      <c r="Y1134" s="141"/>
    </row>
    <row r="1135" spans="1:25" ht="13.5" x14ac:dyDescent="0.15">
      <c r="A1135" s="274">
        <v>3703971</v>
      </c>
      <c r="B1135" s="274" t="s">
        <v>351</v>
      </c>
      <c r="C1135" s="274" t="s">
        <v>356</v>
      </c>
      <c r="D1135" s="274" t="s">
        <v>353</v>
      </c>
      <c r="E1135" s="274" t="s">
        <v>106</v>
      </c>
      <c r="F1135" s="274">
        <v>3</v>
      </c>
      <c r="G1135" s="274" t="s">
        <v>19</v>
      </c>
      <c r="H1135" s="274" t="s">
        <v>20</v>
      </c>
      <c r="I1135" s="274" t="s">
        <v>21</v>
      </c>
      <c r="J1135" s="274"/>
      <c r="K1135" s="274" t="s">
        <v>107</v>
      </c>
      <c r="L1135" s="274">
        <v>25</v>
      </c>
      <c r="M1135" s="274" t="s">
        <v>367</v>
      </c>
      <c r="N1135" s="275">
        <v>1040</v>
      </c>
      <c r="O1135" s="275">
        <v>1040</v>
      </c>
      <c r="P1135" s="330">
        <v>6000</v>
      </c>
      <c r="Q1135" s="274">
        <v>2</v>
      </c>
      <c r="R1135" s="274">
        <v>50</v>
      </c>
      <c r="S1135" s="274" t="s">
        <v>354</v>
      </c>
      <c r="T1135" s="276">
        <v>45005</v>
      </c>
      <c r="U1135" s="276">
        <v>45034</v>
      </c>
      <c r="V1135" s="274" t="s">
        <v>355</v>
      </c>
      <c r="W1135" s="274"/>
      <c r="X1135" s="274"/>
      <c r="Y1135" s="141"/>
    </row>
    <row r="1136" spans="1:25" ht="13.5" x14ac:dyDescent="0.15">
      <c r="A1136" s="274">
        <v>3703972</v>
      </c>
      <c r="B1136" s="274" t="s">
        <v>351</v>
      </c>
      <c r="C1136" s="274" t="s">
        <v>356</v>
      </c>
      <c r="D1136" s="274" t="s">
        <v>353</v>
      </c>
      <c r="E1136" s="274" t="s">
        <v>32</v>
      </c>
      <c r="F1136" s="274">
        <v>331</v>
      </c>
      <c r="G1136" s="274" t="s">
        <v>19</v>
      </c>
      <c r="H1136" s="274" t="s">
        <v>20</v>
      </c>
      <c r="I1136" s="274" t="s">
        <v>21</v>
      </c>
      <c r="J1136" s="274"/>
      <c r="K1136" s="274" t="s">
        <v>33</v>
      </c>
      <c r="L1136" s="274">
        <v>38</v>
      </c>
      <c r="M1136" s="274" t="s">
        <v>30</v>
      </c>
      <c r="N1136" s="275">
        <v>1580</v>
      </c>
      <c r="O1136" s="275">
        <v>1580</v>
      </c>
      <c r="P1136" s="330">
        <v>6000</v>
      </c>
      <c r="Q1136" s="274">
        <v>2</v>
      </c>
      <c r="R1136" s="274">
        <v>12</v>
      </c>
      <c r="S1136" s="274" t="s">
        <v>354</v>
      </c>
      <c r="T1136" s="276">
        <v>45005</v>
      </c>
      <c r="U1136" s="276">
        <v>45030</v>
      </c>
      <c r="V1136" s="274" t="s">
        <v>355</v>
      </c>
      <c r="W1136" s="274"/>
      <c r="X1136" s="274"/>
      <c r="Y1136" s="141"/>
    </row>
    <row r="1137" spans="1:25" ht="13.5" x14ac:dyDescent="0.15">
      <c r="A1137" s="274">
        <v>3703973</v>
      </c>
      <c r="B1137" s="274" t="s">
        <v>351</v>
      </c>
      <c r="C1137" s="274" t="s">
        <v>356</v>
      </c>
      <c r="D1137" s="274" t="s">
        <v>353</v>
      </c>
      <c r="E1137" s="274" t="s">
        <v>32</v>
      </c>
      <c r="F1137" s="274">
        <v>331</v>
      </c>
      <c r="G1137" s="274" t="s">
        <v>19</v>
      </c>
      <c r="H1137" s="274" t="s">
        <v>20</v>
      </c>
      <c r="I1137" s="274" t="s">
        <v>21</v>
      </c>
      <c r="J1137" s="274"/>
      <c r="K1137" s="274" t="s">
        <v>33</v>
      </c>
      <c r="L1137" s="274">
        <v>25</v>
      </c>
      <c r="M1137" s="274" t="s">
        <v>30</v>
      </c>
      <c r="N1137" s="275">
        <v>1330</v>
      </c>
      <c r="O1137" s="275">
        <v>1330</v>
      </c>
      <c r="P1137" s="330">
        <v>6000</v>
      </c>
      <c r="Q1137" s="274">
        <v>2</v>
      </c>
      <c r="R1137" s="274">
        <v>16</v>
      </c>
      <c r="S1137" s="274" t="s">
        <v>354</v>
      </c>
      <c r="T1137" s="276">
        <v>45005</v>
      </c>
      <c r="U1137" s="276">
        <v>45030</v>
      </c>
      <c r="V1137" s="274" t="s">
        <v>355</v>
      </c>
      <c r="W1137" s="274"/>
      <c r="X1137" s="274"/>
      <c r="Y1137" s="141"/>
    </row>
    <row r="1138" spans="1:25" ht="13.5" x14ac:dyDescent="0.15">
      <c r="A1138" s="274">
        <v>3703974</v>
      </c>
      <c r="B1138" s="274" t="s">
        <v>351</v>
      </c>
      <c r="C1138" s="274" t="s">
        <v>356</v>
      </c>
      <c r="D1138" s="274" t="s">
        <v>353</v>
      </c>
      <c r="E1138" s="274" t="s">
        <v>17</v>
      </c>
      <c r="F1138" s="274">
        <v>331</v>
      </c>
      <c r="G1138" s="274" t="s">
        <v>19</v>
      </c>
      <c r="H1138" s="274" t="s">
        <v>20</v>
      </c>
      <c r="I1138" s="274" t="s">
        <v>21</v>
      </c>
      <c r="J1138" s="274"/>
      <c r="K1138" s="274" t="s">
        <v>29</v>
      </c>
      <c r="L1138" s="274">
        <v>38</v>
      </c>
      <c r="M1138" s="274" t="s">
        <v>30</v>
      </c>
      <c r="N1138" s="275">
        <v>1330</v>
      </c>
      <c r="O1138" s="275">
        <v>1330</v>
      </c>
      <c r="P1138" s="330">
        <v>6000</v>
      </c>
      <c r="Q1138" s="274">
        <v>2</v>
      </c>
      <c r="R1138" s="274">
        <v>28</v>
      </c>
      <c r="S1138" s="274" t="s">
        <v>354</v>
      </c>
      <c r="T1138" s="276">
        <v>45005</v>
      </c>
      <c r="U1138" s="276">
        <v>45030</v>
      </c>
      <c r="V1138" s="274" t="s">
        <v>355</v>
      </c>
      <c r="W1138" s="274"/>
      <c r="X1138" s="274"/>
      <c r="Y1138" s="141"/>
    </row>
    <row r="1139" spans="1:25" ht="13.5" x14ac:dyDescent="0.15">
      <c r="A1139" s="274">
        <v>3703975</v>
      </c>
      <c r="B1139" s="274" t="s">
        <v>351</v>
      </c>
      <c r="C1139" s="274" t="s">
        <v>356</v>
      </c>
      <c r="D1139" s="274" t="s">
        <v>353</v>
      </c>
      <c r="E1139" s="274" t="s">
        <v>32</v>
      </c>
      <c r="F1139" s="274">
        <v>331</v>
      </c>
      <c r="G1139" s="274" t="s">
        <v>19</v>
      </c>
      <c r="H1139" s="274" t="s">
        <v>20</v>
      </c>
      <c r="I1139" s="274" t="s">
        <v>21</v>
      </c>
      <c r="J1139" s="274"/>
      <c r="K1139" s="274" t="s">
        <v>33</v>
      </c>
      <c r="L1139" s="274">
        <v>38</v>
      </c>
      <c r="M1139" s="274" t="s">
        <v>30</v>
      </c>
      <c r="N1139" s="275">
        <v>1330</v>
      </c>
      <c r="O1139" s="275">
        <v>1330</v>
      </c>
      <c r="P1139" s="330">
        <v>6000</v>
      </c>
      <c r="Q1139" s="274">
        <v>2</v>
      </c>
      <c r="R1139" s="274">
        <v>20</v>
      </c>
      <c r="S1139" s="274" t="s">
        <v>354</v>
      </c>
      <c r="T1139" s="276">
        <v>45005</v>
      </c>
      <c r="U1139" s="276">
        <v>45030</v>
      </c>
      <c r="V1139" s="274" t="s">
        <v>355</v>
      </c>
      <c r="W1139" s="274"/>
      <c r="X1139" s="274"/>
      <c r="Y1139" s="141"/>
    </row>
    <row r="1140" spans="1:25" ht="13.5" x14ac:dyDescent="0.15">
      <c r="A1140" s="274">
        <v>3703976</v>
      </c>
      <c r="B1140" s="274" t="s">
        <v>351</v>
      </c>
      <c r="C1140" s="274" t="s">
        <v>356</v>
      </c>
      <c r="D1140" s="274" t="s">
        <v>353</v>
      </c>
      <c r="E1140" s="274" t="s">
        <v>17</v>
      </c>
      <c r="F1140" s="274">
        <v>3</v>
      </c>
      <c r="G1140" s="274" t="s">
        <v>19</v>
      </c>
      <c r="H1140" s="274" t="s">
        <v>20</v>
      </c>
      <c r="I1140" s="274" t="s">
        <v>21</v>
      </c>
      <c r="J1140" s="274"/>
      <c r="K1140" s="274" t="s">
        <v>22</v>
      </c>
      <c r="L1140" s="274">
        <v>38</v>
      </c>
      <c r="M1140" s="274" t="s">
        <v>23</v>
      </c>
      <c r="N1140" s="275">
        <v>1057</v>
      </c>
      <c r="O1140" s="275">
        <v>1050</v>
      </c>
      <c r="P1140" s="330">
        <v>6000</v>
      </c>
      <c r="Q1140" s="274">
        <v>2</v>
      </c>
      <c r="R1140" s="274">
        <v>5</v>
      </c>
      <c r="S1140" s="274" t="s">
        <v>354</v>
      </c>
      <c r="T1140" s="276">
        <v>45005</v>
      </c>
      <c r="U1140" s="276">
        <v>45030</v>
      </c>
      <c r="V1140" s="274" t="s">
        <v>355</v>
      </c>
      <c r="W1140" s="274"/>
      <c r="X1140" s="274"/>
      <c r="Y1140" s="141"/>
    </row>
    <row r="1141" spans="1:25" ht="13.5" x14ac:dyDescent="0.15">
      <c r="A1141" s="274">
        <v>3703977</v>
      </c>
      <c r="B1141" s="274" t="s">
        <v>351</v>
      </c>
      <c r="C1141" s="274" t="s">
        <v>356</v>
      </c>
      <c r="D1141" s="274" t="s">
        <v>353</v>
      </c>
      <c r="E1141" s="274" t="s">
        <v>17</v>
      </c>
      <c r="F1141" s="274">
        <v>3</v>
      </c>
      <c r="G1141" s="274" t="s">
        <v>19</v>
      </c>
      <c r="H1141" s="274" t="s">
        <v>20</v>
      </c>
      <c r="I1141" s="274" t="s">
        <v>21</v>
      </c>
      <c r="J1141" s="274"/>
      <c r="K1141" s="274" t="s">
        <v>22</v>
      </c>
      <c r="L1141" s="274">
        <v>38</v>
      </c>
      <c r="M1141" s="274" t="s">
        <v>23</v>
      </c>
      <c r="N1141" s="275">
        <v>1037</v>
      </c>
      <c r="O1141" s="275">
        <v>1030</v>
      </c>
      <c r="P1141" s="330">
        <v>6000</v>
      </c>
      <c r="Q1141" s="274">
        <v>2</v>
      </c>
      <c r="R1141" s="274">
        <v>22</v>
      </c>
      <c r="S1141" s="274" t="s">
        <v>354</v>
      </c>
      <c r="T1141" s="276">
        <v>45005</v>
      </c>
      <c r="U1141" s="276">
        <v>45034</v>
      </c>
      <c r="V1141" s="274" t="s">
        <v>355</v>
      </c>
      <c r="W1141" s="274"/>
      <c r="X1141" s="274"/>
      <c r="Y1141" s="141"/>
    </row>
    <row r="1142" spans="1:25" ht="13.5" x14ac:dyDescent="0.15">
      <c r="A1142" s="274">
        <v>3703978</v>
      </c>
      <c r="B1142" s="274" t="s">
        <v>351</v>
      </c>
      <c r="C1142" s="274" t="s">
        <v>356</v>
      </c>
      <c r="D1142" s="274" t="s">
        <v>353</v>
      </c>
      <c r="E1142" s="274" t="s">
        <v>377</v>
      </c>
      <c r="F1142" s="274">
        <v>3</v>
      </c>
      <c r="G1142" s="274" t="s">
        <v>19</v>
      </c>
      <c r="H1142" s="274" t="s">
        <v>20</v>
      </c>
      <c r="I1142" s="274" t="s">
        <v>21</v>
      </c>
      <c r="J1142" s="274"/>
      <c r="K1142" s="274" t="s">
        <v>36</v>
      </c>
      <c r="L1142" s="274">
        <v>25</v>
      </c>
      <c r="M1142" s="274" t="s">
        <v>37</v>
      </c>
      <c r="N1142" s="274">
        <v>890</v>
      </c>
      <c r="O1142" s="274">
        <v>890</v>
      </c>
      <c r="P1142" s="330">
        <v>6000</v>
      </c>
      <c r="Q1142" s="274">
        <v>2</v>
      </c>
      <c r="R1142" s="274">
        <v>9</v>
      </c>
      <c r="S1142" s="274" t="s">
        <v>354</v>
      </c>
      <c r="T1142" s="276">
        <v>45005</v>
      </c>
      <c r="U1142" s="276">
        <v>45034</v>
      </c>
      <c r="V1142" s="274" t="s">
        <v>355</v>
      </c>
      <c r="W1142" s="274"/>
      <c r="X1142" s="274"/>
      <c r="Y1142" s="141"/>
    </row>
    <row r="1143" spans="1:25" ht="13.5" x14ac:dyDescent="0.15">
      <c r="A1143" s="274">
        <v>3703979</v>
      </c>
      <c r="B1143" s="274" t="s">
        <v>351</v>
      </c>
      <c r="C1143" s="274" t="s">
        <v>363</v>
      </c>
      <c r="D1143" s="274" t="s">
        <v>353</v>
      </c>
      <c r="E1143" s="274" t="s">
        <v>65</v>
      </c>
      <c r="F1143" s="274">
        <v>3321</v>
      </c>
      <c r="G1143" s="274" t="s">
        <v>19</v>
      </c>
      <c r="H1143" s="274" t="s">
        <v>20</v>
      </c>
      <c r="I1143" s="274" t="s">
        <v>21</v>
      </c>
      <c r="J1143" s="274"/>
      <c r="K1143" s="274" t="s">
        <v>67</v>
      </c>
      <c r="L1143" s="274">
        <v>38</v>
      </c>
      <c r="M1143" s="274" t="s">
        <v>68</v>
      </c>
      <c r="N1143" s="275">
        <v>1336</v>
      </c>
      <c r="O1143" s="275">
        <v>1325</v>
      </c>
      <c r="P1143" s="330">
        <v>6000</v>
      </c>
      <c r="Q1143" s="274">
        <v>2</v>
      </c>
      <c r="R1143" s="274">
        <v>10</v>
      </c>
      <c r="S1143" s="274" t="s">
        <v>354</v>
      </c>
      <c r="T1143" s="276">
        <v>45005</v>
      </c>
      <c r="U1143" s="276">
        <v>45037</v>
      </c>
      <c r="V1143" s="274" t="s">
        <v>355</v>
      </c>
      <c r="W1143" s="274"/>
      <c r="X1143" s="274"/>
      <c r="Y1143" s="141"/>
    </row>
    <row r="1144" spans="1:25" ht="13.5" x14ac:dyDescent="0.15">
      <c r="A1144" s="274">
        <v>3703980</v>
      </c>
      <c r="B1144" s="274" t="s">
        <v>351</v>
      </c>
      <c r="C1144" s="274" t="s">
        <v>363</v>
      </c>
      <c r="D1144" s="274" t="s">
        <v>353</v>
      </c>
      <c r="E1144" s="274" t="s">
        <v>65</v>
      </c>
      <c r="F1144" s="274">
        <v>3321</v>
      </c>
      <c r="G1144" s="274" t="s">
        <v>19</v>
      </c>
      <c r="H1144" s="274" t="s">
        <v>20</v>
      </c>
      <c r="I1144" s="274" t="s">
        <v>21</v>
      </c>
      <c r="J1144" s="274"/>
      <c r="K1144" s="274" t="s">
        <v>70</v>
      </c>
      <c r="L1144" s="274">
        <v>38</v>
      </c>
      <c r="M1144" s="274" t="s">
        <v>71</v>
      </c>
      <c r="N1144" s="275">
        <v>1336</v>
      </c>
      <c r="O1144" s="275">
        <v>1325</v>
      </c>
      <c r="P1144" s="330">
        <v>6000</v>
      </c>
      <c r="Q1144" s="274">
        <v>2</v>
      </c>
      <c r="R1144" s="274">
        <v>10</v>
      </c>
      <c r="S1144" s="274" t="s">
        <v>354</v>
      </c>
      <c r="T1144" s="276">
        <v>45005</v>
      </c>
      <c r="U1144" s="276">
        <v>45037</v>
      </c>
      <c r="V1144" s="274" t="s">
        <v>355</v>
      </c>
      <c r="W1144" s="274"/>
      <c r="X1144" s="274"/>
      <c r="Y1144" s="141"/>
    </row>
    <row r="1145" spans="1:25" ht="13.5" x14ac:dyDescent="0.15">
      <c r="A1145" s="274">
        <v>3703981</v>
      </c>
      <c r="B1145" s="274" t="s">
        <v>351</v>
      </c>
      <c r="C1145" s="274" t="s">
        <v>358</v>
      </c>
      <c r="D1145" s="274" t="s">
        <v>353</v>
      </c>
      <c r="E1145" s="274" t="s">
        <v>61</v>
      </c>
      <c r="F1145" s="274">
        <v>331</v>
      </c>
      <c r="G1145" s="274" t="s">
        <v>19</v>
      </c>
      <c r="H1145" s="274" t="s">
        <v>20</v>
      </c>
      <c r="I1145" s="274" t="s">
        <v>21</v>
      </c>
      <c r="J1145" s="274"/>
      <c r="K1145" s="274" t="s">
        <v>62</v>
      </c>
      <c r="L1145" s="274">
        <v>38</v>
      </c>
      <c r="M1145" s="274" t="s">
        <v>63</v>
      </c>
      <c r="N1145" s="275">
        <v>1255</v>
      </c>
      <c r="O1145" s="275">
        <v>1250</v>
      </c>
      <c r="P1145" s="330">
        <v>6000</v>
      </c>
      <c r="Q1145" s="274">
        <v>2</v>
      </c>
      <c r="R1145" s="274">
        <v>12</v>
      </c>
      <c r="S1145" s="274" t="s">
        <v>354</v>
      </c>
      <c r="T1145" s="276">
        <v>45005</v>
      </c>
      <c r="U1145" s="276">
        <v>45037</v>
      </c>
      <c r="V1145" s="274" t="s">
        <v>355</v>
      </c>
      <c r="W1145" s="274"/>
      <c r="X1145" s="274"/>
      <c r="Y1145" s="141"/>
    </row>
    <row r="1146" spans="1:25" ht="13.5" x14ac:dyDescent="0.15">
      <c r="A1146" s="274">
        <v>3703982</v>
      </c>
      <c r="B1146" s="274" t="s">
        <v>351</v>
      </c>
      <c r="C1146" s="274" t="s">
        <v>356</v>
      </c>
      <c r="D1146" s="274" t="s">
        <v>353</v>
      </c>
      <c r="E1146" s="274" t="s">
        <v>17</v>
      </c>
      <c r="F1146" s="274">
        <v>331</v>
      </c>
      <c r="G1146" s="274" t="s">
        <v>19</v>
      </c>
      <c r="H1146" s="274" t="s">
        <v>20</v>
      </c>
      <c r="I1146" s="274" t="s">
        <v>21</v>
      </c>
      <c r="J1146" s="274"/>
      <c r="K1146" s="274" t="s">
        <v>52</v>
      </c>
      <c r="L1146" s="274">
        <v>38</v>
      </c>
      <c r="M1146" s="274" t="s">
        <v>53</v>
      </c>
      <c r="N1146" s="275">
        <v>1330</v>
      </c>
      <c r="O1146" s="275">
        <v>1330</v>
      </c>
      <c r="P1146" s="330">
        <v>6000</v>
      </c>
      <c r="Q1146" s="274">
        <v>2</v>
      </c>
      <c r="R1146" s="274">
        <v>26</v>
      </c>
      <c r="S1146" s="274" t="s">
        <v>354</v>
      </c>
      <c r="T1146" s="276">
        <v>45005</v>
      </c>
      <c r="U1146" s="276">
        <v>45044</v>
      </c>
      <c r="V1146" s="274" t="s">
        <v>355</v>
      </c>
      <c r="W1146" s="274"/>
      <c r="X1146" s="274"/>
      <c r="Y1146" s="141"/>
    </row>
    <row r="1147" spans="1:25" ht="13.5" x14ac:dyDescent="0.15">
      <c r="A1147" s="274">
        <v>3703983</v>
      </c>
      <c r="B1147" s="274" t="s">
        <v>351</v>
      </c>
      <c r="C1147" s="274" t="s">
        <v>356</v>
      </c>
      <c r="D1147" s="274" t="s">
        <v>353</v>
      </c>
      <c r="E1147" s="274" t="s">
        <v>32</v>
      </c>
      <c r="F1147" s="274">
        <v>331</v>
      </c>
      <c r="G1147" s="274" t="s">
        <v>19</v>
      </c>
      <c r="H1147" s="274" t="s">
        <v>20</v>
      </c>
      <c r="I1147" s="274" t="s">
        <v>21</v>
      </c>
      <c r="J1147" s="274"/>
      <c r="K1147" s="274" t="s">
        <v>54</v>
      </c>
      <c r="L1147" s="274">
        <v>38</v>
      </c>
      <c r="M1147" s="274" t="s">
        <v>53</v>
      </c>
      <c r="N1147" s="275">
        <v>1330</v>
      </c>
      <c r="O1147" s="275">
        <v>1330</v>
      </c>
      <c r="P1147" s="330">
        <v>6000</v>
      </c>
      <c r="Q1147" s="274">
        <v>2</v>
      </c>
      <c r="R1147" s="274">
        <v>30</v>
      </c>
      <c r="S1147" s="274" t="s">
        <v>354</v>
      </c>
      <c r="T1147" s="276">
        <v>45005</v>
      </c>
      <c r="U1147" s="276">
        <v>45044</v>
      </c>
      <c r="V1147" s="274" t="s">
        <v>355</v>
      </c>
      <c r="W1147" s="274"/>
      <c r="X1147" s="274"/>
      <c r="Y1147" s="141"/>
    </row>
    <row r="1148" spans="1:25" ht="13.5" x14ac:dyDescent="0.15">
      <c r="A1148" s="274">
        <v>3703984</v>
      </c>
      <c r="B1148" s="274" t="s">
        <v>351</v>
      </c>
      <c r="C1148" s="274" t="s">
        <v>356</v>
      </c>
      <c r="D1148" s="274" t="s">
        <v>353</v>
      </c>
      <c r="E1148" s="274" t="s">
        <v>32</v>
      </c>
      <c r="F1148" s="274">
        <v>3</v>
      </c>
      <c r="G1148" s="274" t="s">
        <v>19</v>
      </c>
      <c r="H1148" s="274" t="s">
        <v>20</v>
      </c>
      <c r="I1148" s="274" t="s">
        <v>21</v>
      </c>
      <c r="J1148" s="274"/>
      <c r="K1148" s="274" t="s">
        <v>56</v>
      </c>
      <c r="L1148" s="274">
        <v>75</v>
      </c>
      <c r="M1148" s="274" t="s">
        <v>376</v>
      </c>
      <c r="N1148" s="275">
        <v>1330</v>
      </c>
      <c r="O1148" s="275">
        <v>1330</v>
      </c>
      <c r="P1148" s="330">
        <v>6000</v>
      </c>
      <c r="Q1148" s="274">
        <v>2</v>
      </c>
      <c r="R1148" s="274">
        <v>17</v>
      </c>
      <c r="S1148" s="274" t="s">
        <v>354</v>
      </c>
      <c r="T1148" s="276">
        <v>45005</v>
      </c>
      <c r="U1148" s="276">
        <v>45044</v>
      </c>
      <c r="V1148" s="274" t="s">
        <v>355</v>
      </c>
      <c r="W1148" s="274"/>
      <c r="X1148" s="274"/>
      <c r="Y1148" s="141"/>
    </row>
    <row r="1149" spans="1:25" ht="13.5" x14ac:dyDescent="0.15">
      <c r="A1149" s="274">
        <v>3703985</v>
      </c>
      <c r="B1149" s="274" t="s">
        <v>351</v>
      </c>
      <c r="C1149" s="274" t="s">
        <v>352</v>
      </c>
      <c r="D1149" s="274" t="s">
        <v>353</v>
      </c>
      <c r="E1149" s="274" t="s">
        <v>116</v>
      </c>
      <c r="F1149" s="274">
        <v>3</v>
      </c>
      <c r="G1149" s="274" t="s">
        <v>19</v>
      </c>
      <c r="H1149" s="274" t="s">
        <v>20</v>
      </c>
      <c r="I1149" s="274" t="s">
        <v>143</v>
      </c>
      <c r="J1149" s="274"/>
      <c r="K1149" s="274" t="s">
        <v>144</v>
      </c>
      <c r="L1149" s="274">
        <v>75</v>
      </c>
      <c r="M1149" s="274" t="s">
        <v>145</v>
      </c>
      <c r="N1149" s="275">
        <v>1002</v>
      </c>
      <c r="O1149" s="275">
        <v>1000</v>
      </c>
      <c r="P1149" s="330">
        <v>6000</v>
      </c>
      <c r="Q1149" s="274">
        <v>2</v>
      </c>
      <c r="R1149" s="274">
        <v>2</v>
      </c>
      <c r="S1149" s="274" t="s">
        <v>354</v>
      </c>
      <c r="T1149" s="276">
        <v>45005</v>
      </c>
      <c r="U1149" s="276">
        <v>45037</v>
      </c>
      <c r="V1149" s="274" t="s">
        <v>355</v>
      </c>
      <c r="W1149" s="274"/>
      <c r="X1149" s="274"/>
      <c r="Y1149" s="141"/>
    </row>
    <row r="1150" spans="1:25" ht="13.5" x14ac:dyDescent="0.15">
      <c r="A1150" s="274">
        <v>3704006</v>
      </c>
      <c r="B1150" s="274" t="s">
        <v>351</v>
      </c>
      <c r="C1150" s="274" t="s">
        <v>364</v>
      </c>
      <c r="D1150" s="274" t="s">
        <v>353</v>
      </c>
      <c r="E1150" s="274" t="s">
        <v>162</v>
      </c>
      <c r="F1150" s="274">
        <v>3</v>
      </c>
      <c r="G1150" s="274" t="s">
        <v>19</v>
      </c>
      <c r="H1150" s="274" t="s">
        <v>20</v>
      </c>
      <c r="I1150" s="274" t="s">
        <v>143</v>
      </c>
      <c r="J1150" s="274"/>
      <c r="K1150" s="274" t="s">
        <v>163</v>
      </c>
      <c r="L1150" s="274">
        <v>38</v>
      </c>
      <c r="M1150" s="274" t="s">
        <v>164</v>
      </c>
      <c r="N1150" s="275">
        <v>1320</v>
      </c>
      <c r="O1150" s="275">
        <v>1320</v>
      </c>
      <c r="P1150" s="330">
        <v>6000</v>
      </c>
      <c r="Q1150" s="274">
        <v>2</v>
      </c>
      <c r="R1150" s="274">
        <v>5</v>
      </c>
      <c r="S1150" s="274" t="s">
        <v>354</v>
      </c>
      <c r="T1150" s="276">
        <v>45005</v>
      </c>
      <c r="U1150" s="276">
        <v>45031</v>
      </c>
      <c r="V1150" s="274" t="s">
        <v>355</v>
      </c>
      <c r="W1150" s="274"/>
      <c r="X1150" s="274"/>
      <c r="Y1150" s="141"/>
    </row>
    <row r="1151" spans="1:25" ht="13.5" x14ac:dyDescent="0.15">
      <c r="A1151" s="274">
        <v>3704007</v>
      </c>
      <c r="B1151" s="274" t="s">
        <v>351</v>
      </c>
      <c r="C1151" s="274" t="s">
        <v>364</v>
      </c>
      <c r="D1151" s="274" t="s">
        <v>353</v>
      </c>
      <c r="E1151" s="274" t="s">
        <v>162</v>
      </c>
      <c r="F1151" s="274">
        <v>3</v>
      </c>
      <c r="G1151" s="274" t="s">
        <v>19</v>
      </c>
      <c r="H1151" s="274" t="s">
        <v>20</v>
      </c>
      <c r="I1151" s="274" t="s">
        <v>143</v>
      </c>
      <c r="J1151" s="274"/>
      <c r="K1151" s="274" t="s">
        <v>163</v>
      </c>
      <c r="L1151" s="274">
        <v>50</v>
      </c>
      <c r="M1151" s="274" t="s">
        <v>164</v>
      </c>
      <c r="N1151" s="275">
        <v>1320</v>
      </c>
      <c r="O1151" s="275">
        <v>1320</v>
      </c>
      <c r="P1151" s="330">
        <v>6000</v>
      </c>
      <c r="Q1151" s="274">
        <v>2</v>
      </c>
      <c r="R1151" s="274">
        <v>1</v>
      </c>
      <c r="S1151" s="274" t="s">
        <v>354</v>
      </c>
      <c r="T1151" s="276">
        <v>45005</v>
      </c>
      <c r="U1151" s="276">
        <v>45031</v>
      </c>
      <c r="V1151" s="274" t="s">
        <v>355</v>
      </c>
      <c r="W1151" s="274"/>
      <c r="X1151" s="274"/>
      <c r="Y1151" s="141"/>
    </row>
    <row r="1152" spans="1:25" ht="13.5" x14ac:dyDescent="0.15">
      <c r="A1152" s="274">
        <v>3708649</v>
      </c>
      <c r="B1152" s="274" t="s">
        <v>351</v>
      </c>
      <c r="C1152" s="274" t="s">
        <v>356</v>
      </c>
      <c r="D1152" s="274" t="s">
        <v>353</v>
      </c>
      <c r="E1152" s="274" t="s">
        <v>106</v>
      </c>
      <c r="F1152" s="274">
        <v>3303</v>
      </c>
      <c r="G1152" s="274" t="s">
        <v>19</v>
      </c>
      <c r="H1152" s="274" t="s">
        <v>20</v>
      </c>
      <c r="I1152" s="274" t="s">
        <v>21</v>
      </c>
      <c r="J1152" s="274"/>
      <c r="K1152" s="274" t="s">
        <v>107</v>
      </c>
      <c r="L1152" s="274">
        <v>25</v>
      </c>
      <c r="M1152" s="274" t="s">
        <v>367</v>
      </c>
      <c r="N1152" s="275">
        <v>1240</v>
      </c>
      <c r="O1152" s="275">
        <v>1240</v>
      </c>
      <c r="P1152" s="330">
        <v>6000</v>
      </c>
      <c r="Q1152" s="274">
        <v>2</v>
      </c>
      <c r="R1152" s="274">
        <v>4</v>
      </c>
      <c r="S1152" s="274" t="s">
        <v>354</v>
      </c>
      <c r="T1152" s="276">
        <v>45037</v>
      </c>
      <c r="U1152" s="276">
        <v>45046</v>
      </c>
      <c r="V1152" s="274" t="s">
        <v>355</v>
      </c>
      <c r="W1152" s="274"/>
      <c r="X1152" s="274"/>
      <c r="Y1152" s="239"/>
    </row>
    <row r="1153" spans="1:25" ht="13.5" x14ac:dyDescent="0.15">
      <c r="A1153" s="274">
        <v>3708657</v>
      </c>
      <c r="B1153" s="274" t="s">
        <v>351</v>
      </c>
      <c r="C1153" s="274" t="s">
        <v>358</v>
      </c>
      <c r="D1153" s="274" t="s">
        <v>353</v>
      </c>
      <c r="E1153" s="274" t="s">
        <v>61</v>
      </c>
      <c r="F1153" s="274">
        <v>3313</v>
      </c>
      <c r="G1153" s="274" t="s">
        <v>19</v>
      </c>
      <c r="H1153" s="274" t="s">
        <v>20</v>
      </c>
      <c r="I1153" s="274" t="s">
        <v>21</v>
      </c>
      <c r="J1153" s="274"/>
      <c r="K1153" s="274" t="s">
        <v>62</v>
      </c>
      <c r="L1153" s="274">
        <v>38</v>
      </c>
      <c r="M1153" s="274" t="s">
        <v>63</v>
      </c>
      <c r="N1153" s="274">
        <v>750</v>
      </c>
      <c r="O1153" s="274">
        <v>750</v>
      </c>
      <c r="P1153" s="330">
        <v>6000</v>
      </c>
      <c r="Q1153" s="274">
        <v>2</v>
      </c>
      <c r="R1153" s="274">
        <v>40</v>
      </c>
      <c r="S1153" s="274" t="s">
        <v>354</v>
      </c>
      <c r="T1153" s="276">
        <v>45037</v>
      </c>
      <c r="U1153" s="276">
        <v>45054</v>
      </c>
      <c r="V1153" s="274" t="s">
        <v>355</v>
      </c>
      <c r="W1153" s="274"/>
      <c r="X1153" s="274"/>
      <c r="Y1153" s="239"/>
    </row>
    <row r="1154" spans="1:25" ht="13.5" x14ac:dyDescent="0.15">
      <c r="A1154" s="274">
        <v>3708658</v>
      </c>
      <c r="B1154" s="274" t="s">
        <v>351</v>
      </c>
      <c r="C1154" s="274" t="s">
        <v>358</v>
      </c>
      <c r="D1154" s="274" t="s">
        <v>353</v>
      </c>
      <c r="E1154" s="274" t="s">
        <v>61</v>
      </c>
      <c r="F1154" s="274">
        <v>331</v>
      </c>
      <c r="G1154" s="274" t="s">
        <v>19</v>
      </c>
      <c r="H1154" s="274" t="s">
        <v>20</v>
      </c>
      <c r="I1154" s="274" t="s">
        <v>21</v>
      </c>
      <c r="J1154" s="274"/>
      <c r="K1154" s="274" t="s">
        <v>62</v>
      </c>
      <c r="L1154" s="274">
        <v>38</v>
      </c>
      <c r="M1154" s="274" t="s">
        <v>63</v>
      </c>
      <c r="N1154" s="275">
        <v>1255</v>
      </c>
      <c r="O1154" s="275">
        <v>1250</v>
      </c>
      <c r="P1154" s="330">
        <v>6000</v>
      </c>
      <c r="Q1154" s="274">
        <v>2</v>
      </c>
      <c r="R1154" s="274">
        <v>10</v>
      </c>
      <c r="S1154" s="274" t="s">
        <v>354</v>
      </c>
      <c r="T1154" s="276">
        <v>45037</v>
      </c>
      <c r="U1154" s="276">
        <v>45054</v>
      </c>
      <c r="V1154" s="274" t="s">
        <v>355</v>
      </c>
      <c r="W1154" s="274"/>
      <c r="X1154" s="274"/>
      <c r="Y1154" s="239"/>
    </row>
    <row r="1155" spans="1:25" ht="13.5" x14ac:dyDescent="0.15">
      <c r="A1155" s="274">
        <v>3708659</v>
      </c>
      <c r="B1155" s="274" t="s">
        <v>351</v>
      </c>
      <c r="C1155" s="274" t="s">
        <v>363</v>
      </c>
      <c r="D1155" s="274" t="s">
        <v>353</v>
      </c>
      <c r="E1155" s="274" t="s">
        <v>65</v>
      </c>
      <c r="F1155" s="274">
        <v>3321</v>
      </c>
      <c r="G1155" s="274" t="s">
        <v>19</v>
      </c>
      <c r="H1155" s="274" t="s">
        <v>20</v>
      </c>
      <c r="I1155" s="274" t="s">
        <v>21</v>
      </c>
      <c r="J1155" s="274"/>
      <c r="K1155" s="274" t="s">
        <v>67</v>
      </c>
      <c r="L1155" s="274">
        <v>38</v>
      </c>
      <c r="M1155" s="274" t="s">
        <v>68</v>
      </c>
      <c r="N1155" s="275">
        <v>1336</v>
      </c>
      <c r="O1155" s="275">
        <v>1325</v>
      </c>
      <c r="P1155" s="330">
        <v>6000</v>
      </c>
      <c r="Q1155" s="274">
        <v>2</v>
      </c>
      <c r="R1155" s="274">
        <v>8</v>
      </c>
      <c r="S1155" s="274" t="s">
        <v>354</v>
      </c>
      <c r="T1155" s="276">
        <v>45037</v>
      </c>
      <c r="U1155" s="276">
        <v>45054</v>
      </c>
      <c r="V1155" s="274" t="s">
        <v>355</v>
      </c>
      <c r="W1155" s="274"/>
      <c r="X1155" s="274"/>
      <c r="Y1155" s="239"/>
    </row>
    <row r="1156" spans="1:25" ht="13.5" x14ac:dyDescent="0.15">
      <c r="A1156" s="274">
        <v>3708660</v>
      </c>
      <c r="B1156" s="274" t="s">
        <v>351</v>
      </c>
      <c r="C1156" s="274" t="s">
        <v>363</v>
      </c>
      <c r="D1156" s="274" t="s">
        <v>353</v>
      </c>
      <c r="E1156" s="274" t="s">
        <v>65</v>
      </c>
      <c r="F1156" s="274">
        <v>3321</v>
      </c>
      <c r="G1156" s="274" t="s">
        <v>19</v>
      </c>
      <c r="H1156" s="274" t="s">
        <v>20</v>
      </c>
      <c r="I1156" s="274" t="s">
        <v>21</v>
      </c>
      <c r="J1156" s="274"/>
      <c r="K1156" s="274" t="s">
        <v>70</v>
      </c>
      <c r="L1156" s="274">
        <v>38</v>
      </c>
      <c r="M1156" s="274" t="s">
        <v>71</v>
      </c>
      <c r="N1156" s="275">
        <v>1336</v>
      </c>
      <c r="O1156" s="275">
        <v>1325</v>
      </c>
      <c r="P1156" s="330">
        <v>6000</v>
      </c>
      <c r="Q1156" s="274">
        <v>2</v>
      </c>
      <c r="R1156" s="274">
        <v>8</v>
      </c>
      <c r="S1156" s="274" t="s">
        <v>354</v>
      </c>
      <c r="T1156" s="276">
        <v>45037</v>
      </c>
      <c r="U1156" s="276">
        <v>45054</v>
      </c>
      <c r="V1156" s="274" t="s">
        <v>355</v>
      </c>
      <c r="W1156" s="274"/>
      <c r="X1156" s="274"/>
      <c r="Y1156" s="239"/>
    </row>
    <row r="1157" spans="1:25" ht="13.5" x14ac:dyDescent="0.15">
      <c r="A1157" s="274">
        <v>3708661</v>
      </c>
      <c r="B1157" s="274" t="s">
        <v>351</v>
      </c>
      <c r="C1157" s="274" t="s">
        <v>356</v>
      </c>
      <c r="D1157" s="274" t="s">
        <v>353</v>
      </c>
      <c r="E1157" s="274" t="s">
        <v>32</v>
      </c>
      <c r="F1157" s="274">
        <v>331</v>
      </c>
      <c r="G1157" s="274" t="s">
        <v>19</v>
      </c>
      <c r="H1157" s="274" t="s">
        <v>20</v>
      </c>
      <c r="I1157" s="274" t="s">
        <v>21</v>
      </c>
      <c r="J1157" s="274"/>
      <c r="K1157" s="274" t="s">
        <v>33</v>
      </c>
      <c r="L1157" s="274">
        <v>38</v>
      </c>
      <c r="M1157" s="274" t="s">
        <v>30</v>
      </c>
      <c r="N1157" s="275">
        <v>1580</v>
      </c>
      <c r="O1157" s="275">
        <v>1580</v>
      </c>
      <c r="P1157" s="330">
        <v>6000</v>
      </c>
      <c r="Q1157" s="274">
        <v>2</v>
      </c>
      <c r="R1157" s="274">
        <v>12</v>
      </c>
      <c r="S1157" s="274" t="s">
        <v>354</v>
      </c>
      <c r="T1157" s="276">
        <v>45037</v>
      </c>
      <c r="U1157" s="276">
        <v>45058</v>
      </c>
      <c r="V1157" s="274" t="s">
        <v>355</v>
      </c>
      <c r="W1157" s="274"/>
      <c r="X1157" s="274"/>
      <c r="Y1157" s="239"/>
    </row>
    <row r="1158" spans="1:25" ht="13.5" x14ac:dyDescent="0.15">
      <c r="A1158" s="274">
        <v>3708662</v>
      </c>
      <c r="B1158" s="274" t="s">
        <v>351</v>
      </c>
      <c r="C1158" s="274" t="s">
        <v>356</v>
      </c>
      <c r="D1158" s="274" t="s">
        <v>353</v>
      </c>
      <c r="E1158" s="274" t="s">
        <v>17</v>
      </c>
      <c r="F1158" s="274">
        <v>331</v>
      </c>
      <c r="G1158" s="274" t="s">
        <v>19</v>
      </c>
      <c r="H1158" s="274" t="s">
        <v>20</v>
      </c>
      <c r="I1158" s="274" t="s">
        <v>21</v>
      </c>
      <c r="J1158" s="274"/>
      <c r="K1158" s="274" t="s">
        <v>22</v>
      </c>
      <c r="L1158" s="274">
        <v>38</v>
      </c>
      <c r="M1158" s="274" t="s">
        <v>23</v>
      </c>
      <c r="N1158" s="275">
        <v>1367</v>
      </c>
      <c r="O1158" s="275">
        <v>1360</v>
      </c>
      <c r="P1158" s="330">
        <v>6000</v>
      </c>
      <c r="Q1158" s="274">
        <v>2</v>
      </c>
      <c r="R1158" s="274">
        <v>10</v>
      </c>
      <c r="S1158" s="274" t="s">
        <v>354</v>
      </c>
      <c r="T1158" s="276">
        <v>45037</v>
      </c>
      <c r="U1158" s="276">
        <v>45058</v>
      </c>
      <c r="V1158" s="274" t="s">
        <v>355</v>
      </c>
      <c r="W1158" s="274"/>
      <c r="X1158" s="274"/>
      <c r="Y1158" s="239"/>
    </row>
    <row r="1159" spans="1:25" ht="13.5" x14ac:dyDescent="0.15">
      <c r="A1159" s="274">
        <v>3708663</v>
      </c>
      <c r="B1159" s="274" t="s">
        <v>351</v>
      </c>
      <c r="C1159" s="274" t="s">
        <v>356</v>
      </c>
      <c r="D1159" s="274" t="s">
        <v>353</v>
      </c>
      <c r="E1159" s="274" t="s">
        <v>17</v>
      </c>
      <c r="F1159" s="274">
        <v>331</v>
      </c>
      <c r="G1159" s="274" t="s">
        <v>19</v>
      </c>
      <c r="H1159" s="274" t="s">
        <v>20</v>
      </c>
      <c r="I1159" s="274" t="s">
        <v>21</v>
      </c>
      <c r="J1159" s="274"/>
      <c r="K1159" s="274" t="s">
        <v>29</v>
      </c>
      <c r="L1159" s="274">
        <v>38</v>
      </c>
      <c r="M1159" s="274" t="s">
        <v>30</v>
      </c>
      <c r="N1159" s="275">
        <v>1330</v>
      </c>
      <c r="O1159" s="275">
        <v>1330</v>
      </c>
      <c r="P1159" s="330">
        <v>6000</v>
      </c>
      <c r="Q1159" s="274">
        <v>2</v>
      </c>
      <c r="R1159" s="274">
        <v>10</v>
      </c>
      <c r="S1159" s="274" t="s">
        <v>354</v>
      </c>
      <c r="T1159" s="276">
        <v>45037</v>
      </c>
      <c r="U1159" s="276">
        <v>45058</v>
      </c>
      <c r="V1159" s="274" t="s">
        <v>355</v>
      </c>
      <c r="W1159" s="274"/>
      <c r="X1159" s="274"/>
      <c r="Y1159" s="239"/>
    </row>
    <row r="1160" spans="1:25" ht="13.5" x14ac:dyDescent="0.15">
      <c r="A1160" s="274">
        <v>3708664</v>
      </c>
      <c r="B1160" s="274" t="s">
        <v>351</v>
      </c>
      <c r="C1160" s="274" t="s">
        <v>359</v>
      </c>
      <c r="D1160" s="274" t="s">
        <v>353</v>
      </c>
      <c r="E1160" s="274" t="s">
        <v>40</v>
      </c>
      <c r="F1160" s="274">
        <v>3</v>
      </c>
      <c r="G1160" s="274" t="s">
        <v>19</v>
      </c>
      <c r="H1160" s="274" t="s">
        <v>20</v>
      </c>
      <c r="I1160" s="274" t="s">
        <v>21</v>
      </c>
      <c r="J1160" s="274"/>
      <c r="K1160" s="274" t="s">
        <v>42</v>
      </c>
      <c r="L1160" s="274">
        <v>25</v>
      </c>
      <c r="M1160" s="274" t="s">
        <v>43</v>
      </c>
      <c r="N1160" s="275">
        <v>1085</v>
      </c>
      <c r="O1160" s="275">
        <v>1080</v>
      </c>
      <c r="P1160" s="330">
        <v>6000</v>
      </c>
      <c r="Q1160" s="274">
        <v>2</v>
      </c>
      <c r="R1160" s="274">
        <v>6</v>
      </c>
      <c r="S1160" s="274" t="s">
        <v>354</v>
      </c>
      <c r="T1160" s="276">
        <v>45037</v>
      </c>
      <c r="U1160" s="276">
        <v>45058</v>
      </c>
      <c r="V1160" s="274" t="s">
        <v>355</v>
      </c>
      <c r="W1160" s="274"/>
      <c r="X1160" s="274"/>
      <c r="Y1160" s="239"/>
    </row>
    <row r="1161" spans="1:25" ht="13.5" x14ac:dyDescent="0.15">
      <c r="A1161" s="274">
        <v>3708665</v>
      </c>
      <c r="B1161" s="274" t="s">
        <v>351</v>
      </c>
      <c r="C1161" s="274" t="s">
        <v>356</v>
      </c>
      <c r="D1161" s="274" t="s">
        <v>353</v>
      </c>
      <c r="E1161" s="274" t="s">
        <v>17</v>
      </c>
      <c r="F1161" s="274">
        <v>3</v>
      </c>
      <c r="G1161" s="274" t="s">
        <v>19</v>
      </c>
      <c r="H1161" s="274" t="s">
        <v>20</v>
      </c>
      <c r="I1161" s="274" t="s">
        <v>21</v>
      </c>
      <c r="J1161" s="274"/>
      <c r="K1161" s="274" t="s">
        <v>22</v>
      </c>
      <c r="L1161" s="274">
        <v>38</v>
      </c>
      <c r="M1161" s="274" t="s">
        <v>23</v>
      </c>
      <c r="N1161" s="275">
        <v>1057</v>
      </c>
      <c r="O1161" s="275">
        <v>1050</v>
      </c>
      <c r="P1161" s="330">
        <v>6000</v>
      </c>
      <c r="Q1161" s="274">
        <v>2</v>
      </c>
      <c r="R1161" s="274">
        <v>9</v>
      </c>
      <c r="S1161" s="274" t="s">
        <v>354</v>
      </c>
      <c r="T1161" s="276">
        <v>45037</v>
      </c>
      <c r="U1161" s="276">
        <v>45058</v>
      </c>
      <c r="V1161" s="274" t="s">
        <v>355</v>
      </c>
      <c r="W1161" s="274"/>
      <c r="X1161" s="274"/>
      <c r="Y1161" s="239"/>
    </row>
    <row r="1162" spans="1:25" ht="13.5" x14ac:dyDescent="0.15">
      <c r="A1162" s="274">
        <v>3708666</v>
      </c>
      <c r="B1162" s="274" t="s">
        <v>351</v>
      </c>
      <c r="C1162" s="274" t="s">
        <v>356</v>
      </c>
      <c r="D1162" s="274" t="s">
        <v>353</v>
      </c>
      <c r="E1162" s="274" t="s">
        <v>17</v>
      </c>
      <c r="F1162" s="274">
        <v>3</v>
      </c>
      <c r="G1162" s="274" t="s">
        <v>19</v>
      </c>
      <c r="H1162" s="274" t="s">
        <v>20</v>
      </c>
      <c r="I1162" s="274" t="s">
        <v>21</v>
      </c>
      <c r="J1162" s="274"/>
      <c r="K1162" s="274" t="s">
        <v>22</v>
      </c>
      <c r="L1162" s="274">
        <v>38</v>
      </c>
      <c r="M1162" s="274" t="s">
        <v>23</v>
      </c>
      <c r="N1162" s="275">
        <v>1037</v>
      </c>
      <c r="O1162" s="275">
        <v>1030</v>
      </c>
      <c r="P1162" s="330">
        <v>6000</v>
      </c>
      <c r="Q1162" s="274">
        <v>2</v>
      </c>
      <c r="R1162" s="274">
        <v>30</v>
      </c>
      <c r="S1162" s="274" t="s">
        <v>354</v>
      </c>
      <c r="T1162" s="276">
        <v>45037</v>
      </c>
      <c r="U1162" s="276">
        <v>45058</v>
      </c>
      <c r="V1162" s="274" t="s">
        <v>355</v>
      </c>
      <c r="W1162" s="274"/>
      <c r="X1162" s="274"/>
      <c r="Y1162" s="239"/>
    </row>
    <row r="1163" spans="1:25" ht="13.5" x14ac:dyDescent="0.15">
      <c r="A1163" s="274">
        <v>3708667</v>
      </c>
      <c r="B1163" s="274" t="s">
        <v>431</v>
      </c>
      <c r="C1163" s="274" t="s">
        <v>358</v>
      </c>
      <c r="D1163" s="274" t="s">
        <v>353</v>
      </c>
      <c r="E1163" s="274"/>
      <c r="F1163" s="274">
        <v>3</v>
      </c>
      <c r="G1163" s="274" t="s">
        <v>265</v>
      </c>
      <c r="H1163" s="274" t="s">
        <v>20</v>
      </c>
      <c r="I1163" s="274" t="s">
        <v>21</v>
      </c>
      <c r="J1163" s="274"/>
      <c r="K1163" s="274" t="s">
        <v>118</v>
      </c>
      <c r="L1163" s="274">
        <v>25</v>
      </c>
      <c r="M1163" s="274" t="s">
        <v>119</v>
      </c>
      <c r="N1163" s="275">
        <v>1100</v>
      </c>
      <c r="O1163" s="275">
        <v>1100</v>
      </c>
      <c r="P1163" s="330">
        <v>6000</v>
      </c>
      <c r="Q1163" s="274">
        <v>2</v>
      </c>
      <c r="R1163" s="274">
        <v>50</v>
      </c>
      <c r="S1163" s="274" t="s">
        <v>354</v>
      </c>
      <c r="T1163" s="276">
        <v>45037</v>
      </c>
      <c r="U1163" s="276">
        <v>45065</v>
      </c>
      <c r="V1163" s="274" t="s">
        <v>355</v>
      </c>
      <c r="W1163" s="274"/>
      <c r="X1163" s="274"/>
      <c r="Y1163" s="239"/>
    </row>
    <row r="1164" spans="1:25" ht="13.5" x14ac:dyDescent="0.15">
      <c r="A1164" s="274">
        <v>3708668</v>
      </c>
      <c r="B1164" s="274" t="s">
        <v>431</v>
      </c>
      <c r="C1164" s="274" t="s">
        <v>364</v>
      </c>
      <c r="D1164" s="274" t="s">
        <v>353</v>
      </c>
      <c r="E1164" s="274" t="s">
        <v>371</v>
      </c>
      <c r="F1164" s="274">
        <v>3</v>
      </c>
      <c r="G1164" s="274" t="s">
        <v>265</v>
      </c>
      <c r="H1164" s="274" t="s">
        <v>20</v>
      </c>
      <c r="I1164" s="274" t="s">
        <v>21</v>
      </c>
      <c r="J1164" s="274"/>
      <c r="K1164" s="274" t="s">
        <v>118</v>
      </c>
      <c r="L1164" s="274">
        <v>25</v>
      </c>
      <c r="M1164" s="274" t="s">
        <v>119</v>
      </c>
      <c r="N1164" s="275">
        <v>1425</v>
      </c>
      <c r="O1164" s="275">
        <v>1420</v>
      </c>
      <c r="P1164" s="330">
        <v>6000</v>
      </c>
      <c r="Q1164" s="274">
        <v>2</v>
      </c>
      <c r="R1164" s="274">
        <v>3</v>
      </c>
      <c r="S1164" s="274" t="s">
        <v>354</v>
      </c>
      <c r="T1164" s="276">
        <v>45037</v>
      </c>
      <c r="U1164" s="276">
        <v>45069</v>
      </c>
      <c r="V1164" s="274" t="s">
        <v>355</v>
      </c>
      <c r="W1164" s="274"/>
      <c r="X1164" s="274"/>
      <c r="Y1164" s="239"/>
    </row>
    <row r="1165" spans="1:25" ht="13.5" x14ac:dyDescent="0.15">
      <c r="A1165" s="274">
        <v>3708669</v>
      </c>
      <c r="B1165" s="274" t="s">
        <v>431</v>
      </c>
      <c r="C1165" s="274" t="s">
        <v>356</v>
      </c>
      <c r="D1165" s="274" t="s">
        <v>353</v>
      </c>
      <c r="E1165" s="274" t="s">
        <v>130</v>
      </c>
      <c r="F1165" s="274">
        <v>3</v>
      </c>
      <c r="G1165" s="274" t="s">
        <v>265</v>
      </c>
      <c r="H1165" s="274" t="s">
        <v>20</v>
      </c>
      <c r="I1165" s="274" t="s">
        <v>21</v>
      </c>
      <c r="J1165" s="274"/>
      <c r="K1165" s="274" t="s">
        <v>435</v>
      </c>
      <c r="L1165" s="274">
        <v>25</v>
      </c>
      <c r="M1165" s="274" t="s">
        <v>436</v>
      </c>
      <c r="N1165" s="275">
        <v>1410</v>
      </c>
      <c r="O1165" s="275">
        <v>1410</v>
      </c>
      <c r="P1165" s="330">
        <v>6000</v>
      </c>
      <c r="Q1165" s="274">
        <v>2</v>
      </c>
      <c r="R1165" s="274">
        <v>10</v>
      </c>
      <c r="S1165" s="274" t="s">
        <v>354</v>
      </c>
      <c r="T1165" s="276">
        <v>45037</v>
      </c>
      <c r="U1165" s="276">
        <v>45069</v>
      </c>
      <c r="V1165" s="274" t="s">
        <v>355</v>
      </c>
      <c r="W1165" s="274"/>
      <c r="X1165" s="274"/>
      <c r="Y1165" s="239"/>
    </row>
    <row r="1166" spans="1:25" ht="13.5" x14ac:dyDescent="0.15">
      <c r="A1166" s="274">
        <v>3708670</v>
      </c>
      <c r="B1166" s="274" t="s">
        <v>431</v>
      </c>
      <c r="C1166" s="274" t="s">
        <v>356</v>
      </c>
      <c r="D1166" s="274" t="s">
        <v>353</v>
      </c>
      <c r="E1166" s="274" t="s">
        <v>130</v>
      </c>
      <c r="F1166" s="274">
        <v>3</v>
      </c>
      <c r="G1166" s="274" t="s">
        <v>265</v>
      </c>
      <c r="H1166" s="274" t="s">
        <v>20</v>
      </c>
      <c r="I1166" s="274" t="s">
        <v>21</v>
      </c>
      <c r="J1166" s="274"/>
      <c r="K1166" s="274" t="s">
        <v>435</v>
      </c>
      <c r="L1166" s="274">
        <v>25</v>
      </c>
      <c r="M1166" s="274" t="s">
        <v>436</v>
      </c>
      <c r="N1166" s="275">
        <v>1410</v>
      </c>
      <c r="O1166" s="275">
        <v>1410</v>
      </c>
      <c r="P1166" s="330">
        <v>6000</v>
      </c>
      <c r="Q1166" s="274">
        <v>2</v>
      </c>
      <c r="R1166" s="274">
        <v>12</v>
      </c>
      <c r="S1166" s="274" t="s">
        <v>354</v>
      </c>
      <c r="T1166" s="276">
        <v>45037</v>
      </c>
      <c r="U1166" s="276">
        <v>45069</v>
      </c>
      <c r="V1166" s="274" t="s">
        <v>355</v>
      </c>
      <c r="W1166" s="274"/>
      <c r="X1166" s="274"/>
      <c r="Y1166" s="239"/>
    </row>
    <row r="1167" spans="1:25" ht="13.5" x14ac:dyDescent="0.15">
      <c r="A1167" s="274">
        <v>3708671</v>
      </c>
      <c r="B1167" s="274" t="s">
        <v>351</v>
      </c>
      <c r="C1167" s="274" t="s">
        <v>352</v>
      </c>
      <c r="D1167" s="274" t="s">
        <v>353</v>
      </c>
      <c r="E1167" s="274" t="s">
        <v>116</v>
      </c>
      <c r="F1167" s="274">
        <v>3</v>
      </c>
      <c r="G1167" s="274" t="s">
        <v>19</v>
      </c>
      <c r="H1167" s="274" t="s">
        <v>20</v>
      </c>
      <c r="I1167" s="274" t="s">
        <v>21</v>
      </c>
      <c r="J1167" s="274"/>
      <c r="K1167" s="274" t="s">
        <v>118</v>
      </c>
      <c r="L1167" s="274">
        <v>38</v>
      </c>
      <c r="M1167" s="274" t="s">
        <v>368</v>
      </c>
      <c r="N1167" s="275">
        <v>1415</v>
      </c>
      <c r="O1167" s="275">
        <v>1410</v>
      </c>
      <c r="P1167" s="330">
        <v>6000</v>
      </c>
      <c r="Q1167" s="274">
        <v>2</v>
      </c>
      <c r="R1167" s="274">
        <v>10</v>
      </c>
      <c r="S1167" s="274" t="s">
        <v>354</v>
      </c>
      <c r="T1167" s="276">
        <v>45037</v>
      </c>
      <c r="U1167" s="276">
        <v>45069</v>
      </c>
      <c r="V1167" s="274" t="s">
        <v>355</v>
      </c>
      <c r="W1167" s="274"/>
      <c r="X1167" s="274"/>
      <c r="Y1167" s="239"/>
    </row>
    <row r="1168" spans="1:25" ht="13.5" x14ac:dyDescent="0.15">
      <c r="A1168" s="274">
        <v>3708672</v>
      </c>
      <c r="B1168" s="274" t="s">
        <v>351</v>
      </c>
      <c r="C1168" s="274" t="s">
        <v>356</v>
      </c>
      <c r="D1168" s="274" t="s">
        <v>353</v>
      </c>
      <c r="E1168" s="274" t="s">
        <v>106</v>
      </c>
      <c r="F1168" s="274">
        <v>3</v>
      </c>
      <c r="G1168" s="274" t="s">
        <v>19</v>
      </c>
      <c r="H1168" s="274" t="s">
        <v>20</v>
      </c>
      <c r="I1168" s="274" t="s">
        <v>21</v>
      </c>
      <c r="J1168" s="274"/>
      <c r="K1168" s="274" t="s">
        <v>107</v>
      </c>
      <c r="L1168" s="274">
        <v>25</v>
      </c>
      <c r="M1168" s="274" t="s">
        <v>367</v>
      </c>
      <c r="N1168" s="275">
        <v>1240</v>
      </c>
      <c r="O1168" s="275">
        <v>1240</v>
      </c>
      <c r="P1168" s="330">
        <v>6000</v>
      </c>
      <c r="Q1168" s="274">
        <v>2</v>
      </c>
      <c r="R1168" s="274">
        <v>16</v>
      </c>
      <c r="S1168" s="274" t="s">
        <v>354</v>
      </c>
      <c r="T1168" s="276">
        <v>45037</v>
      </c>
      <c r="U1168" s="276">
        <v>45069</v>
      </c>
      <c r="V1168" s="274" t="s">
        <v>355</v>
      </c>
      <c r="W1168" s="274"/>
      <c r="X1168" s="274"/>
      <c r="Y1168" s="239"/>
    </row>
    <row r="1169" spans="1:25" ht="13.5" x14ac:dyDescent="0.15">
      <c r="A1169" s="274">
        <v>3708673</v>
      </c>
      <c r="B1169" s="274" t="s">
        <v>431</v>
      </c>
      <c r="C1169" s="274" t="s">
        <v>364</v>
      </c>
      <c r="D1169" s="274" t="s">
        <v>353</v>
      </c>
      <c r="E1169" s="274" t="s">
        <v>371</v>
      </c>
      <c r="F1169" s="274">
        <v>3</v>
      </c>
      <c r="G1169" s="274" t="s">
        <v>265</v>
      </c>
      <c r="H1169" s="274" t="s">
        <v>20</v>
      </c>
      <c r="I1169" s="274" t="s">
        <v>21</v>
      </c>
      <c r="J1169" s="274"/>
      <c r="K1169" s="274" t="s">
        <v>118</v>
      </c>
      <c r="L1169" s="274">
        <v>25</v>
      </c>
      <c r="M1169" s="274" t="s">
        <v>119</v>
      </c>
      <c r="N1169" s="275">
        <v>1155</v>
      </c>
      <c r="O1169" s="275">
        <v>1150</v>
      </c>
      <c r="P1169" s="330">
        <v>6000</v>
      </c>
      <c r="Q1169" s="274">
        <v>2</v>
      </c>
      <c r="R1169" s="274">
        <v>3</v>
      </c>
      <c r="S1169" s="274" t="s">
        <v>354</v>
      </c>
      <c r="T1169" s="276">
        <v>45037</v>
      </c>
      <c r="U1169" s="276">
        <v>45069</v>
      </c>
      <c r="V1169" s="274" t="s">
        <v>355</v>
      </c>
      <c r="W1169" s="274"/>
      <c r="X1169" s="274"/>
      <c r="Y1169" s="239"/>
    </row>
    <row r="1170" spans="1:25" ht="13.5" x14ac:dyDescent="0.15">
      <c r="A1170" s="274">
        <v>3708674</v>
      </c>
      <c r="B1170" s="274" t="s">
        <v>351</v>
      </c>
      <c r="C1170" s="274" t="s">
        <v>356</v>
      </c>
      <c r="D1170" s="274" t="s">
        <v>353</v>
      </c>
      <c r="E1170" s="274" t="s">
        <v>115</v>
      </c>
      <c r="F1170" s="274">
        <v>3</v>
      </c>
      <c r="G1170" s="274" t="s">
        <v>19</v>
      </c>
      <c r="H1170" s="274" t="s">
        <v>20</v>
      </c>
      <c r="I1170" s="274" t="s">
        <v>21</v>
      </c>
      <c r="J1170" s="274"/>
      <c r="K1170" s="274" t="s">
        <v>112</v>
      </c>
      <c r="L1170" s="274">
        <v>38</v>
      </c>
      <c r="M1170" s="274" t="s">
        <v>357</v>
      </c>
      <c r="N1170" s="275">
        <v>1135</v>
      </c>
      <c r="O1170" s="275">
        <v>1130</v>
      </c>
      <c r="P1170" s="330">
        <v>6000</v>
      </c>
      <c r="Q1170" s="274">
        <v>2</v>
      </c>
      <c r="R1170" s="274">
        <v>4</v>
      </c>
      <c r="S1170" s="274" t="s">
        <v>354</v>
      </c>
      <c r="T1170" s="276">
        <v>45037</v>
      </c>
      <c r="U1170" s="276">
        <v>45069</v>
      </c>
      <c r="V1170" s="274" t="s">
        <v>355</v>
      </c>
      <c r="W1170" s="274"/>
      <c r="X1170" s="274"/>
      <c r="Y1170" s="239"/>
    </row>
    <row r="1171" spans="1:25" ht="13.5" x14ac:dyDescent="0.15">
      <c r="A1171" s="274">
        <v>3708675</v>
      </c>
      <c r="B1171" s="274" t="s">
        <v>351</v>
      </c>
      <c r="C1171" s="274" t="s">
        <v>356</v>
      </c>
      <c r="D1171" s="274" t="s">
        <v>353</v>
      </c>
      <c r="E1171" s="274" t="s">
        <v>17</v>
      </c>
      <c r="F1171" s="274">
        <v>3</v>
      </c>
      <c r="G1171" s="274" t="s">
        <v>19</v>
      </c>
      <c r="H1171" s="274" t="s">
        <v>20</v>
      </c>
      <c r="I1171" s="274" t="s">
        <v>21</v>
      </c>
      <c r="J1171" s="274"/>
      <c r="K1171" s="274" t="s">
        <v>104</v>
      </c>
      <c r="L1171" s="274">
        <v>25</v>
      </c>
      <c r="M1171" s="274" t="s">
        <v>375</v>
      </c>
      <c r="N1171" s="275">
        <v>1100</v>
      </c>
      <c r="O1171" s="275">
        <v>1100</v>
      </c>
      <c r="P1171" s="330">
        <v>6000</v>
      </c>
      <c r="Q1171" s="274">
        <v>2</v>
      </c>
      <c r="R1171" s="274">
        <v>11</v>
      </c>
      <c r="S1171" s="274" t="s">
        <v>354</v>
      </c>
      <c r="T1171" s="276">
        <v>45037</v>
      </c>
      <c r="U1171" s="276">
        <v>45069</v>
      </c>
      <c r="V1171" s="274" t="s">
        <v>355</v>
      </c>
      <c r="W1171" s="274"/>
      <c r="X1171" s="274"/>
      <c r="Y1171" s="239"/>
    </row>
    <row r="1172" spans="1:25" ht="13.5" x14ac:dyDescent="0.15">
      <c r="A1172" s="274">
        <v>3708676</v>
      </c>
      <c r="B1172" s="274" t="s">
        <v>351</v>
      </c>
      <c r="C1172" s="274" t="s">
        <v>356</v>
      </c>
      <c r="D1172" s="274" t="s">
        <v>353</v>
      </c>
      <c r="E1172" s="274" t="s">
        <v>106</v>
      </c>
      <c r="F1172" s="274">
        <v>3</v>
      </c>
      <c r="G1172" s="274" t="s">
        <v>19</v>
      </c>
      <c r="H1172" s="274" t="s">
        <v>20</v>
      </c>
      <c r="I1172" s="274" t="s">
        <v>21</v>
      </c>
      <c r="J1172" s="274"/>
      <c r="K1172" s="274" t="s">
        <v>107</v>
      </c>
      <c r="L1172" s="274">
        <v>25</v>
      </c>
      <c r="M1172" s="274" t="s">
        <v>367</v>
      </c>
      <c r="N1172" s="275">
        <v>1040</v>
      </c>
      <c r="O1172" s="275">
        <v>1040</v>
      </c>
      <c r="P1172" s="330">
        <v>6000</v>
      </c>
      <c r="Q1172" s="274">
        <v>2</v>
      </c>
      <c r="R1172" s="274">
        <v>40</v>
      </c>
      <c r="S1172" s="274" t="s">
        <v>354</v>
      </c>
      <c r="T1172" s="276">
        <v>45037</v>
      </c>
      <c r="U1172" s="276">
        <v>45069</v>
      </c>
      <c r="V1172" s="274" t="s">
        <v>355</v>
      </c>
      <c r="W1172" s="274"/>
      <c r="X1172" s="274"/>
      <c r="Y1172" s="239"/>
    </row>
    <row r="1173" spans="1:25" ht="13.5" x14ac:dyDescent="0.15">
      <c r="A1173" s="274">
        <v>3708677</v>
      </c>
      <c r="B1173" s="274" t="s">
        <v>351</v>
      </c>
      <c r="C1173" s="274" t="s">
        <v>352</v>
      </c>
      <c r="D1173" s="274" t="s">
        <v>353</v>
      </c>
      <c r="E1173" s="274" t="s">
        <v>116</v>
      </c>
      <c r="F1173" s="274">
        <v>3</v>
      </c>
      <c r="G1173" s="274" t="s">
        <v>19</v>
      </c>
      <c r="H1173" s="274" t="s">
        <v>20</v>
      </c>
      <c r="I1173" s="274" t="s">
        <v>21</v>
      </c>
      <c r="J1173" s="274"/>
      <c r="K1173" s="274" t="s">
        <v>118</v>
      </c>
      <c r="L1173" s="274">
        <v>38</v>
      </c>
      <c r="M1173" s="274" t="s">
        <v>368</v>
      </c>
      <c r="N1173" s="275">
        <v>1005</v>
      </c>
      <c r="O1173" s="275">
        <v>1000</v>
      </c>
      <c r="P1173" s="330">
        <v>6000</v>
      </c>
      <c r="Q1173" s="274">
        <v>2</v>
      </c>
      <c r="R1173" s="274">
        <v>10</v>
      </c>
      <c r="S1173" s="274" t="s">
        <v>354</v>
      </c>
      <c r="T1173" s="276">
        <v>45037</v>
      </c>
      <c r="U1173" s="276">
        <v>45069</v>
      </c>
      <c r="V1173" s="274" t="s">
        <v>355</v>
      </c>
      <c r="W1173" s="274"/>
      <c r="X1173" s="274"/>
      <c r="Y1173" s="239"/>
    </row>
    <row r="1174" spans="1:25" ht="13.5" x14ac:dyDescent="0.15">
      <c r="A1174" s="274">
        <v>3708678</v>
      </c>
      <c r="B1174" s="274" t="s">
        <v>351</v>
      </c>
      <c r="C1174" s="274" t="s">
        <v>356</v>
      </c>
      <c r="D1174" s="274" t="s">
        <v>353</v>
      </c>
      <c r="E1174" s="274" t="s">
        <v>32</v>
      </c>
      <c r="F1174" s="274">
        <v>331</v>
      </c>
      <c r="G1174" s="274" t="s">
        <v>19</v>
      </c>
      <c r="H1174" s="274" t="s">
        <v>20</v>
      </c>
      <c r="I1174" s="274" t="s">
        <v>21</v>
      </c>
      <c r="J1174" s="274"/>
      <c r="K1174" s="274" t="s">
        <v>54</v>
      </c>
      <c r="L1174" s="274">
        <v>38</v>
      </c>
      <c r="M1174" s="274" t="s">
        <v>53</v>
      </c>
      <c r="N1174" s="275">
        <v>1580</v>
      </c>
      <c r="O1174" s="275">
        <v>1580</v>
      </c>
      <c r="P1174" s="330">
        <v>6000</v>
      </c>
      <c r="Q1174" s="274">
        <v>2</v>
      </c>
      <c r="R1174" s="274">
        <v>12</v>
      </c>
      <c r="S1174" s="274" t="s">
        <v>354</v>
      </c>
      <c r="T1174" s="276">
        <v>45037</v>
      </c>
      <c r="U1174" s="276">
        <v>45072</v>
      </c>
      <c r="V1174" s="274" t="s">
        <v>355</v>
      </c>
      <c r="W1174" s="274"/>
      <c r="X1174" s="274"/>
      <c r="Y1174" s="239"/>
    </row>
    <row r="1175" spans="1:25" ht="13.5" x14ac:dyDescent="0.15">
      <c r="A1175" s="274">
        <v>3708679</v>
      </c>
      <c r="B1175" s="274" t="s">
        <v>351</v>
      </c>
      <c r="C1175" s="274" t="s">
        <v>358</v>
      </c>
      <c r="D1175" s="274" t="s">
        <v>353</v>
      </c>
      <c r="E1175" s="274" t="s">
        <v>44</v>
      </c>
      <c r="F1175" s="274">
        <v>3</v>
      </c>
      <c r="G1175" s="274" t="s">
        <v>19</v>
      </c>
      <c r="H1175" s="274" t="s">
        <v>20</v>
      </c>
      <c r="I1175" s="274" t="s">
        <v>21</v>
      </c>
      <c r="J1175" s="274"/>
      <c r="K1175" s="274" t="s">
        <v>47</v>
      </c>
      <c r="L1175" s="274">
        <v>25</v>
      </c>
      <c r="M1175" s="274" t="s">
        <v>48</v>
      </c>
      <c r="N1175" s="274">
        <v>740</v>
      </c>
      <c r="O1175" s="274">
        <v>740</v>
      </c>
      <c r="P1175" s="330">
        <v>6000</v>
      </c>
      <c r="Q1175" s="274">
        <v>1</v>
      </c>
      <c r="R1175" s="274">
        <v>36</v>
      </c>
      <c r="S1175" s="274" t="s">
        <v>354</v>
      </c>
      <c r="T1175" s="276">
        <v>45037</v>
      </c>
      <c r="U1175" s="276">
        <v>45072</v>
      </c>
      <c r="V1175" s="274" t="s">
        <v>355</v>
      </c>
      <c r="W1175" s="274"/>
      <c r="X1175" s="274"/>
      <c r="Y1175" s="239"/>
    </row>
    <row r="1176" spans="1:25" ht="13.5" x14ac:dyDescent="0.15">
      <c r="A1176" s="274">
        <v>3708680</v>
      </c>
      <c r="B1176" s="274" t="s">
        <v>351</v>
      </c>
      <c r="C1176" s="274" t="s">
        <v>356</v>
      </c>
      <c r="D1176" s="274" t="s">
        <v>353</v>
      </c>
      <c r="E1176" s="274" t="s">
        <v>32</v>
      </c>
      <c r="F1176" s="274">
        <v>331</v>
      </c>
      <c r="G1176" s="274" t="s">
        <v>19</v>
      </c>
      <c r="H1176" s="274" t="s">
        <v>20</v>
      </c>
      <c r="I1176" s="274" t="s">
        <v>21</v>
      </c>
      <c r="J1176" s="274"/>
      <c r="K1176" s="274" t="s">
        <v>54</v>
      </c>
      <c r="L1176" s="274">
        <v>38</v>
      </c>
      <c r="M1176" s="274" t="s">
        <v>53</v>
      </c>
      <c r="N1176" s="275">
        <v>1330</v>
      </c>
      <c r="O1176" s="275">
        <v>1330</v>
      </c>
      <c r="P1176" s="330">
        <v>6000</v>
      </c>
      <c r="Q1176" s="274">
        <v>2</v>
      </c>
      <c r="R1176" s="274">
        <v>30</v>
      </c>
      <c r="S1176" s="274" t="s">
        <v>354</v>
      </c>
      <c r="T1176" s="276">
        <v>45037</v>
      </c>
      <c r="U1176" s="276">
        <v>45072</v>
      </c>
      <c r="V1176" s="274" t="s">
        <v>355</v>
      </c>
      <c r="W1176" s="274"/>
      <c r="X1176" s="274"/>
      <c r="Y1176" s="239"/>
    </row>
    <row r="1177" spans="1:25" ht="13.5" x14ac:dyDescent="0.15">
      <c r="A1177" s="274">
        <v>3708681</v>
      </c>
      <c r="B1177" s="274" t="s">
        <v>351</v>
      </c>
      <c r="C1177" s="274" t="s">
        <v>356</v>
      </c>
      <c r="D1177" s="274" t="s">
        <v>353</v>
      </c>
      <c r="E1177" s="274" t="s">
        <v>32</v>
      </c>
      <c r="F1177" s="274">
        <v>3</v>
      </c>
      <c r="G1177" s="274" t="s">
        <v>19</v>
      </c>
      <c r="H1177" s="274" t="s">
        <v>20</v>
      </c>
      <c r="I1177" s="274" t="s">
        <v>21</v>
      </c>
      <c r="J1177" s="274"/>
      <c r="K1177" s="274" t="s">
        <v>56</v>
      </c>
      <c r="L1177" s="274">
        <v>75</v>
      </c>
      <c r="M1177" s="274" t="s">
        <v>376</v>
      </c>
      <c r="N1177" s="275">
        <v>1330</v>
      </c>
      <c r="O1177" s="275">
        <v>1330</v>
      </c>
      <c r="P1177" s="330">
        <v>6000</v>
      </c>
      <c r="Q1177" s="274">
        <v>2</v>
      </c>
      <c r="R1177" s="274">
        <v>12</v>
      </c>
      <c r="S1177" s="274" t="s">
        <v>354</v>
      </c>
      <c r="T1177" s="276">
        <v>45037</v>
      </c>
      <c r="U1177" s="276">
        <v>45072</v>
      </c>
      <c r="V1177" s="274" t="s">
        <v>355</v>
      </c>
      <c r="W1177" s="274"/>
      <c r="X1177" s="274"/>
      <c r="Y1177" s="239"/>
    </row>
    <row r="1178" spans="1:25" ht="13.5" x14ac:dyDescent="0.15">
      <c r="A1178" s="274">
        <v>3708682</v>
      </c>
      <c r="B1178" s="274" t="s">
        <v>351</v>
      </c>
      <c r="C1178" s="274" t="s">
        <v>356</v>
      </c>
      <c r="D1178" s="274" t="s">
        <v>353</v>
      </c>
      <c r="E1178" s="274" t="s">
        <v>32</v>
      </c>
      <c r="F1178" s="274">
        <v>3</v>
      </c>
      <c r="G1178" s="274" t="s">
        <v>19</v>
      </c>
      <c r="H1178" s="274" t="s">
        <v>20</v>
      </c>
      <c r="I1178" s="274" t="s">
        <v>21</v>
      </c>
      <c r="J1178" s="274"/>
      <c r="K1178" s="274" t="s">
        <v>56</v>
      </c>
      <c r="L1178" s="274">
        <v>75</v>
      </c>
      <c r="M1178" s="274" t="s">
        <v>376</v>
      </c>
      <c r="N1178" s="275">
        <v>1330</v>
      </c>
      <c r="O1178" s="275">
        <v>1330</v>
      </c>
      <c r="P1178" s="330">
        <v>6000</v>
      </c>
      <c r="Q1178" s="274">
        <v>2</v>
      </c>
      <c r="R1178" s="274">
        <v>18</v>
      </c>
      <c r="S1178" s="274" t="s">
        <v>354</v>
      </c>
      <c r="T1178" s="276">
        <v>45037</v>
      </c>
      <c r="U1178" s="276">
        <v>45075</v>
      </c>
      <c r="V1178" s="274" t="s">
        <v>355</v>
      </c>
      <c r="W1178" s="274"/>
      <c r="X1178" s="274"/>
      <c r="Y1178" s="239"/>
    </row>
    <row r="1179" spans="1:25" ht="13.5" x14ac:dyDescent="0.15">
      <c r="A1179" s="274">
        <v>3708683</v>
      </c>
      <c r="B1179" s="274" t="s">
        <v>351</v>
      </c>
      <c r="C1179" s="274" t="s">
        <v>364</v>
      </c>
      <c r="D1179" s="274" t="s">
        <v>353</v>
      </c>
      <c r="E1179" s="274" t="s">
        <v>371</v>
      </c>
      <c r="F1179" s="274">
        <v>3</v>
      </c>
      <c r="G1179" s="274" t="s">
        <v>19</v>
      </c>
      <c r="H1179" s="274" t="s">
        <v>20</v>
      </c>
      <c r="I1179" s="274" t="s">
        <v>21</v>
      </c>
      <c r="J1179" s="274"/>
      <c r="K1179" s="274" t="s">
        <v>56</v>
      </c>
      <c r="L1179" s="274">
        <v>75</v>
      </c>
      <c r="M1179" s="274" t="s">
        <v>376</v>
      </c>
      <c r="N1179" s="275">
        <v>1110</v>
      </c>
      <c r="O1179" s="275">
        <v>1100</v>
      </c>
      <c r="P1179" s="330">
        <v>6000</v>
      </c>
      <c r="Q1179" s="274">
        <v>2</v>
      </c>
      <c r="R1179" s="274">
        <v>1</v>
      </c>
      <c r="S1179" s="274" t="s">
        <v>354</v>
      </c>
      <c r="T1179" s="276">
        <v>45037</v>
      </c>
      <c r="U1179" s="276">
        <v>45075</v>
      </c>
      <c r="V1179" s="274" t="s">
        <v>355</v>
      </c>
      <c r="W1179" s="274"/>
      <c r="X1179" s="274"/>
      <c r="Y1179" s="239"/>
    </row>
    <row r="1180" spans="1:25" ht="13.5" x14ac:dyDescent="0.15">
      <c r="A1180" s="274">
        <v>3708684</v>
      </c>
      <c r="B1180" s="274" t="s">
        <v>351</v>
      </c>
      <c r="C1180" s="274" t="s">
        <v>364</v>
      </c>
      <c r="D1180" s="274" t="s">
        <v>353</v>
      </c>
      <c r="E1180" s="274" t="s">
        <v>371</v>
      </c>
      <c r="F1180" s="274">
        <v>3</v>
      </c>
      <c r="G1180" s="274" t="s">
        <v>19</v>
      </c>
      <c r="H1180" s="274" t="s">
        <v>28</v>
      </c>
      <c r="I1180" s="274" t="s">
        <v>21</v>
      </c>
      <c r="J1180" s="274"/>
      <c r="K1180" s="274" t="s">
        <v>60</v>
      </c>
      <c r="L1180" s="274">
        <v>75</v>
      </c>
      <c r="M1180" s="274" t="s">
        <v>372</v>
      </c>
      <c r="N1180" s="275">
        <v>1040</v>
      </c>
      <c r="O1180" s="275">
        <v>1040</v>
      </c>
      <c r="P1180" s="330">
        <v>6000</v>
      </c>
      <c r="Q1180" s="274">
        <v>1</v>
      </c>
      <c r="R1180" s="274">
        <v>4</v>
      </c>
      <c r="S1180" s="274" t="s">
        <v>354</v>
      </c>
      <c r="T1180" s="276">
        <v>45037</v>
      </c>
      <c r="U1180" s="276">
        <v>45075</v>
      </c>
      <c r="V1180" s="274" t="s">
        <v>355</v>
      </c>
      <c r="W1180" s="274"/>
      <c r="X1180" s="274"/>
      <c r="Y1180" s="239"/>
    </row>
    <row r="1181" spans="1:25" ht="13.5" x14ac:dyDescent="0.15">
      <c r="A1181" s="274">
        <v>3708685</v>
      </c>
      <c r="B1181" s="274" t="s">
        <v>351</v>
      </c>
      <c r="C1181" s="274" t="s">
        <v>356</v>
      </c>
      <c r="D1181" s="274" t="s">
        <v>353</v>
      </c>
      <c r="E1181" s="274" t="s">
        <v>32</v>
      </c>
      <c r="F1181" s="274">
        <v>331</v>
      </c>
      <c r="G1181" s="274" t="s">
        <v>19</v>
      </c>
      <c r="H1181" s="274" t="s">
        <v>20</v>
      </c>
      <c r="I1181" s="274" t="s">
        <v>21</v>
      </c>
      <c r="J1181" s="274"/>
      <c r="K1181" s="274" t="s">
        <v>33</v>
      </c>
      <c r="L1181" s="274">
        <v>25</v>
      </c>
      <c r="M1181" s="274" t="s">
        <v>30</v>
      </c>
      <c r="N1181" s="275">
        <v>1330</v>
      </c>
      <c r="O1181" s="275">
        <v>1330</v>
      </c>
      <c r="P1181" s="330">
        <v>6000</v>
      </c>
      <c r="Q1181" s="274">
        <v>2</v>
      </c>
      <c r="R1181" s="274">
        <v>20</v>
      </c>
      <c r="S1181" s="274" t="s">
        <v>354</v>
      </c>
      <c r="T1181" s="276">
        <v>45037</v>
      </c>
      <c r="U1181" s="276">
        <v>45072</v>
      </c>
      <c r="V1181" s="274" t="s">
        <v>355</v>
      </c>
      <c r="W1181" s="274"/>
      <c r="X1181" s="274"/>
      <c r="Y1181" s="239"/>
    </row>
    <row r="1182" spans="1:25" ht="13.5" x14ac:dyDescent="0.15">
      <c r="A1182" s="274">
        <v>3708686</v>
      </c>
      <c r="B1182" s="274" t="s">
        <v>351</v>
      </c>
      <c r="C1182" s="274" t="s">
        <v>356</v>
      </c>
      <c r="D1182" s="274" t="s">
        <v>353</v>
      </c>
      <c r="E1182" s="274" t="s">
        <v>32</v>
      </c>
      <c r="F1182" s="274">
        <v>331</v>
      </c>
      <c r="G1182" s="274" t="s">
        <v>19</v>
      </c>
      <c r="H1182" s="274" t="s">
        <v>20</v>
      </c>
      <c r="I1182" s="274" t="s">
        <v>21</v>
      </c>
      <c r="J1182" s="274"/>
      <c r="K1182" s="274" t="s">
        <v>33</v>
      </c>
      <c r="L1182" s="274">
        <v>38</v>
      </c>
      <c r="M1182" s="274" t="s">
        <v>30</v>
      </c>
      <c r="N1182" s="275">
        <v>1330</v>
      </c>
      <c r="O1182" s="275">
        <v>1330</v>
      </c>
      <c r="P1182" s="330">
        <v>6000</v>
      </c>
      <c r="Q1182" s="274">
        <v>2</v>
      </c>
      <c r="R1182" s="274">
        <v>30</v>
      </c>
      <c r="S1182" s="274" t="s">
        <v>354</v>
      </c>
      <c r="T1182" s="276">
        <v>45037</v>
      </c>
      <c r="U1182" s="276">
        <v>45072</v>
      </c>
      <c r="V1182" s="274" t="s">
        <v>355</v>
      </c>
      <c r="W1182" s="274"/>
      <c r="X1182" s="274"/>
      <c r="Y1182" s="239"/>
    </row>
    <row r="1183" spans="1:25" ht="13.5" x14ac:dyDescent="0.15">
      <c r="A1183" s="274">
        <v>3708687</v>
      </c>
      <c r="B1183" s="274" t="s">
        <v>351</v>
      </c>
      <c r="C1183" s="274" t="s">
        <v>356</v>
      </c>
      <c r="D1183" s="274" t="s">
        <v>353</v>
      </c>
      <c r="E1183" s="274" t="s">
        <v>17</v>
      </c>
      <c r="F1183" s="274">
        <v>3</v>
      </c>
      <c r="G1183" s="274" t="s">
        <v>19</v>
      </c>
      <c r="H1183" s="274" t="s">
        <v>20</v>
      </c>
      <c r="I1183" s="274" t="s">
        <v>21</v>
      </c>
      <c r="J1183" s="274"/>
      <c r="K1183" s="274" t="s">
        <v>22</v>
      </c>
      <c r="L1183" s="274">
        <v>38</v>
      </c>
      <c r="M1183" s="274" t="s">
        <v>23</v>
      </c>
      <c r="N1183" s="275">
        <v>1037</v>
      </c>
      <c r="O1183" s="275">
        <v>1030</v>
      </c>
      <c r="P1183" s="330">
        <v>6000</v>
      </c>
      <c r="Q1183" s="274">
        <v>2</v>
      </c>
      <c r="R1183" s="274">
        <v>29</v>
      </c>
      <c r="S1183" s="274" t="s">
        <v>354</v>
      </c>
      <c r="T1183" s="276">
        <v>45037</v>
      </c>
      <c r="U1183" s="276">
        <v>45072</v>
      </c>
      <c r="V1183" s="274" t="s">
        <v>355</v>
      </c>
      <c r="W1183" s="274"/>
      <c r="X1183" s="274"/>
      <c r="Y1183" s="239"/>
    </row>
    <row r="1184" spans="1:25" ht="13.5" x14ac:dyDescent="0.15">
      <c r="A1184" s="274">
        <v>3708688</v>
      </c>
      <c r="B1184" s="274" t="s">
        <v>351</v>
      </c>
      <c r="C1184" s="274" t="s">
        <v>359</v>
      </c>
      <c r="D1184" s="274" t="s">
        <v>353</v>
      </c>
      <c r="E1184" s="274" t="s">
        <v>40</v>
      </c>
      <c r="F1184" s="274">
        <v>3</v>
      </c>
      <c r="G1184" s="274" t="s">
        <v>19</v>
      </c>
      <c r="H1184" s="274" t="s">
        <v>20</v>
      </c>
      <c r="I1184" s="274" t="s">
        <v>21</v>
      </c>
      <c r="J1184" s="274"/>
      <c r="K1184" s="274" t="s">
        <v>42</v>
      </c>
      <c r="L1184" s="274">
        <v>25</v>
      </c>
      <c r="M1184" s="274" t="s">
        <v>43</v>
      </c>
      <c r="N1184" s="275">
        <v>1045</v>
      </c>
      <c r="O1184" s="275">
        <v>1040</v>
      </c>
      <c r="P1184" s="330">
        <v>6000</v>
      </c>
      <c r="Q1184" s="274">
        <v>2</v>
      </c>
      <c r="R1184" s="274">
        <v>6</v>
      </c>
      <c r="S1184" s="274" t="s">
        <v>354</v>
      </c>
      <c r="T1184" s="276">
        <v>45037</v>
      </c>
      <c r="U1184" s="276">
        <v>45072</v>
      </c>
      <c r="V1184" s="274" t="s">
        <v>355</v>
      </c>
      <c r="W1184" s="274"/>
      <c r="X1184" s="274"/>
      <c r="Y1184" s="239"/>
    </row>
    <row r="1185" spans="1:25" ht="13.5" x14ac:dyDescent="0.15">
      <c r="A1185" s="274">
        <v>3708689</v>
      </c>
      <c r="B1185" s="274" t="s">
        <v>351</v>
      </c>
      <c r="C1185" s="274" t="s">
        <v>356</v>
      </c>
      <c r="D1185" s="274" t="s">
        <v>353</v>
      </c>
      <c r="E1185" s="274" t="s">
        <v>377</v>
      </c>
      <c r="F1185" s="274">
        <v>3</v>
      </c>
      <c r="G1185" s="274" t="s">
        <v>19</v>
      </c>
      <c r="H1185" s="274" t="s">
        <v>20</v>
      </c>
      <c r="I1185" s="274" t="s">
        <v>21</v>
      </c>
      <c r="J1185" s="274"/>
      <c r="K1185" s="274" t="s">
        <v>36</v>
      </c>
      <c r="L1185" s="274">
        <v>25</v>
      </c>
      <c r="M1185" s="274" t="s">
        <v>37</v>
      </c>
      <c r="N1185" s="274">
        <v>890</v>
      </c>
      <c r="O1185" s="274">
        <v>890</v>
      </c>
      <c r="P1185" s="330">
        <v>6000</v>
      </c>
      <c r="Q1185" s="274">
        <v>2</v>
      </c>
      <c r="R1185" s="274">
        <v>9</v>
      </c>
      <c r="S1185" s="274" t="s">
        <v>354</v>
      </c>
      <c r="T1185" s="276">
        <v>45037</v>
      </c>
      <c r="U1185" s="276">
        <v>45072</v>
      </c>
      <c r="V1185" s="274" t="s">
        <v>355</v>
      </c>
      <c r="W1185" s="274"/>
      <c r="X1185" s="274"/>
      <c r="Y1185" s="239"/>
    </row>
    <row r="1186" spans="1:25" ht="13.5" x14ac:dyDescent="0.15">
      <c r="A1186" s="274">
        <v>3708690</v>
      </c>
      <c r="B1186" s="274" t="s">
        <v>351</v>
      </c>
      <c r="C1186" s="274" t="s">
        <v>358</v>
      </c>
      <c r="D1186" s="274" t="s">
        <v>353</v>
      </c>
      <c r="E1186" s="274" t="s">
        <v>61</v>
      </c>
      <c r="F1186" s="274">
        <v>3313</v>
      </c>
      <c r="G1186" s="274" t="s">
        <v>19</v>
      </c>
      <c r="H1186" s="274" t="s">
        <v>20</v>
      </c>
      <c r="I1186" s="274" t="s">
        <v>21</v>
      </c>
      <c r="J1186" s="274"/>
      <c r="K1186" s="274" t="s">
        <v>62</v>
      </c>
      <c r="L1186" s="274">
        <v>38</v>
      </c>
      <c r="M1186" s="274" t="s">
        <v>63</v>
      </c>
      <c r="N1186" s="274">
        <v>750</v>
      </c>
      <c r="O1186" s="274">
        <v>750</v>
      </c>
      <c r="P1186" s="330">
        <v>6000</v>
      </c>
      <c r="Q1186" s="274">
        <v>2</v>
      </c>
      <c r="R1186" s="274">
        <v>40</v>
      </c>
      <c r="S1186" s="274" t="s">
        <v>354</v>
      </c>
      <c r="T1186" s="276">
        <v>45037</v>
      </c>
      <c r="U1186" s="276">
        <v>45077</v>
      </c>
      <c r="V1186" s="274" t="s">
        <v>355</v>
      </c>
      <c r="W1186" s="274"/>
      <c r="X1186" s="274"/>
      <c r="Y1186" s="239"/>
    </row>
    <row r="1187" spans="1:25" ht="13.5" x14ac:dyDescent="0.15">
      <c r="A1187" s="274">
        <v>3708691</v>
      </c>
      <c r="B1187" s="274" t="s">
        <v>351</v>
      </c>
      <c r="C1187" s="274" t="s">
        <v>363</v>
      </c>
      <c r="D1187" s="274" t="s">
        <v>353</v>
      </c>
      <c r="E1187" s="274" t="s">
        <v>65</v>
      </c>
      <c r="F1187" s="274">
        <v>3321</v>
      </c>
      <c r="G1187" s="274" t="s">
        <v>19</v>
      </c>
      <c r="H1187" s="274" t="s">
        <v>20</v>
      </c>
      <c r="I1187" s="274" t="s">
        <v>21</v>
      </c>
      <c r="J1187" s="274"/>
      <c r="K1187" s="274" t="s">
        <v>67</v>
      </c>
      <c r="L1187" s="274">
        <v>38</v>
      </c>
      <c r="M1187" s="274" t="s">
        <v>68</v>
      </c>
      <c r="N1187" s="275">
        <v>1336</v>
      </c>
      <c r="O1187" s="275">
        <v>1325</v>
      </c>
      <c r="P1187" s="330">
        <v>6000</v>
      </c>
      <c r="Q1187" s="274">
        <v>2</v>
      </c>
      <c r="R1187" s="274">
        <v>42</v>
      </c>
      <c r="S1187" s="274" t="s">
        <v>354</v>
      </c>
      <c r="T1187" s="276">
        <v>45037</v>
      </c>
      <c r="U1187" s="276">
        <v>45077</v>
      </c>
      <c r="V1187" s="274" t="s">
        <v>355</v>
      </c>
      <c r="W1187" s="274"/>
      <c r="X1187" s="274"/>
      <c r="Y1187" s="239"/>
    </row>
    <row r="1188" spans="1:25" ht="13.5" x14ac:dyDescent="0.15">
      <c r="A1188" s="274">
        <v>3708692</v>
      </c>
      <c r="B1188" s="274" t="s">
        <v>351</v>
      </c>
      <c r="C1188" s="274" t="s">
        <v>363</v>
      </c>
      <c r="D1188" s="274" t="s">
        <v>353</v>
      </c>
      <c r="E1188" s="274" t="s">
        <v>65</v>
      </c>
      <c r="F1188" s="274">
        <v>3321</v>
      </c>
      <c r="G1188" s="274" t="s">
        <v>19</v>
      </c>
      <c r="H1188" s="274" t="s">
        <v>20</v>
      </c>
      <c r="I1188" s="274" t="s">
        <v>21</v>
      </c>
      <c r="J1188" s="274"/>
      <c r="K1188" s="274" t="s">
        <v>70</v>
      </c>
      <c r="L1188" s="274">
        <v>38</v>
      </c>
      <c r="M1188" s="274" t="s">
        <v>71</v>
      </c>
      <c r="N1188" s="275">
        <v>1336</v>
      </c>
      <c r="O1188" s="275">
        <v>1325</v>
      </c>
      <c r="P1188" s="330">
        <v>6000</v>
      </c>
      <c r="Q1188" s="274">
        <v>2</v>
      </c>
      <c r="R1188" s="274">
        <v>42</v>
      </c>
      <c r="S1188" s="274" t="s">
        <v>354</v>
      </c>
      <c r="T1188" s="276">
        <v>45037</v>
      </c>
      <c r="U1188" s="276">
        <v>45077</v>
      </c>
      <c r="V1188" s="274" t="s">
        <v>355</v>
      </c>
      <c r="W1188" s="274"/>
      <c r="X1188" s="274"/>
      <c r="Y1188" s="239"/>
    </row>
    <row r="1189" spans="1:25" ht="13.5" x14ac:dyDescent="0.15">
      <c r="A1189" s="274">
        <v>3708693</v>
      </c>
      <c r="B1189" s="274" t="s">
        <v>351</v>
      </c>
      <c r="C1189" s="274" t="s">
        <v>352</v>
      </c>
      <c r="D1189" s="274" t="s">
        <v>353</v>
      </c>
      <c r="E1189" s="274" t="s">
        <v>155</v>
      </c>
      <c r="F1189" s="274" t="s">
        <v>158</v>
      </c>
      <c r="G1189" s="274" t="s">
        <v>19</v>
      </c>
      <c r="H1189" s="274" t="s">
        <v>20</v>
      </c>
      <c r="I1189" s="274" t="s">
        <v>143</v>
      </c>
      <c r="J1189" s="274"/>
      <c r="K1189" s="274" t="s">
        <v>156</v>
      </c>
      <c r="L1189" s="274">
        <v>25</v>
      </c>
      <c r="M1189" s="274" t="s">
        <v>157</v>
      </c>
      <c r="N1189" s="275">
        <v>1120</v>
      </c>
      <c r="O1189" s="275">
        <v>1120</v>
      </c>
      <c r="P1189" s="330">
        <v>6000</v>
      </c>
      <c r="Q1189" s="274">
        <v>2</v>
      </c>
      <c r="R1189" s="274">
        <v>6</v>
      </c>
      <c r="S1189" s="274" t="s">
        <v>354</v>
      </c>
      <c r="T1189" s="276">
        <v>45037</v>
      </c>
      <c r="U1189" s="276">
        <v>45061</v>
      </c>
      <c r="V1189" s="274" t="s">
        <v>355</v>
      </c>
      <c r="W1189" s="274"/>
      <c r="X1189" s="274"/>
      <c r="Y1189" s="239"/>
    </row>
    <row r="1190" spans="1:25" ht="13.5" x14ac:dyDescent="0.15">
      <c r="A1190" s="274">
        <v>3708698</v>
      </c>
      <c r="B1190" s="274" t="s">
        <v>351</v>
      </c>
      <c r="C1190" s="274" t="s">
        <v>356</v>
      </c>
      <c r="D1190" s="274" t="s">
        <v>353</v>
      </c>
      <c r="E1190" s="274" t="s">
        <v>255</v>
      </c>
      <c r="F1190" s="274">
        <v>3</v>
      </c>
      <c r="G1190" s="274" t="s">
        <v>19</v>
      </c>
      <c r="H1190" s="274" t="s">
        <v>20</v>
      </c>
      <c r="I1190" s="274" t="s">
        <v>256</v>
      </c>
      <c r="J1190" s="274"/>
      <c r="K1190" s="274" t="s">
        <v>257</v>
      </c>
      <c r="L1190" s="274">
        <v>100</v>
      </c>
      <c r="M1190" s="274" t="s">
        <v>258</v>
      </c>
      <c r="N1190" s="275">
        <v>1000</v>
      </c>
      <c r="O1190" s="275">
        <v>1000</v>
      </c>
      <c r="P1190" s="330">
        <v>6000</v>
      </c>
      <c r="Q1190" s="274">
        <v>2</v>
      </c>
      <c r="R1190" s="274">
        <v>6</v>
      </c>
      <c r="S1190" s="274" t="s">
        <v>354</v>
      </c>
      <c r="T1190" s="276">
        <v>45037</v>
      </c>
      <c r="U1190" s="276">
        <v>45061</v>
      </c>
      <c r="V1190" s="274" t="s">
        <v>355</v>
      </c>
      <c r="W1190" s="274"/>
      <c r="X1190" s="274"/>
      <c r="Y1190" s="239"/>
    </row>
    <row r="1191" spans="1:25" ht="13.5" x14ac:dyDescent="0.15">
      <c r="A1191" s="274">
        <v>3708699</v>
      </c>
      <c r="B1191" s="274" t="s">
        <v>351</v>
      </c>
      <c r="C1191" s="274" t="s">
        <v>356</v>
      </c>
      <c r="D1191" s="274" t="s">
        <v>353</v>
      </c>
      <c r="E1191" s="274" t="s">
        <v>255</v>
      </c>
      <c r="F1191" s="274">
        <v>3</v>
      </c>
      <c r="G1191" s="274" t="s">
        <v>19</v>
      </c>
      <c r="H1191" s="274" t="s">
        <v>20</v>
      </c>
      <c r="I1191" s="274" t="s">
        <v>256</v>
      </c>
      <c r="J1191" s="274"/>
      <c r="K1191" s="274" t="s">
        <v>257</v>
      </c>
      <c r="L1191" s="274">
        <v>125</v>
      </c>
      <c r="M1191" s="274" t="s">
        <v>258</v>
      </c>
      <c r="N1191" s="275">
        <v>1000</v>
      </c>
      <c r="O1191" s="275">
        <v>1000</v>
      </c>
      <c r="P1191" s="330">
        <v>6000</v>
      </c>
      <c r="Q1191" s="274">
        <v>2</v>
      </c>
      <c r="R1191" s="274">
        <v>6</v>
      </c>
      <c r="S1191" s="274" t="s">
        <v>354</v>
      </c>
      <c r="T1191" s="276">
        <v>45037</v>
      </c>
      <c r="U1191" s="276">
        <v>45061</v>
      </c>
      <c r="V1191" s="274" t="s">
        <v>355</v>
      </c>
      <c r="W1191" s="274"/>
      <c r="X1191" s="274"/>
      <c r="Y1191" s="239"/>
    </row>
    <row r="1192" spans="1:25" ht="13.5" x14ac:dyDescent="0.15">
      <c r="A1192" s="274">
        <v>3708700</v>
      </c>
      <c r="B1192" s="274" t="s">
        <v>351</v>
      </c>
      <c r="C1192" s="274" t="s">
        <v>356</v>
      </c>
      <c r="D1192" s="274" t="s">
        <v>353</v>
      </c>
      <c r="E1192" s="274" t="s">
        <v>255</v>
      </c>
      <c r="F1192" s="274">
        <v>3</v>
      </c>
      <c r="G1192" s="274" t="s">
        <v>19</v>
      </c>
      <c r="H1192" s="274" t="s">
        <v>20</v>
      </c>
      <c r="I1192" s="274" t="s">
        <v>256</v>
      </c>
      <c r="J1192" s="274"/>
      <c r="K1192" s="274" t="s">
        <v>257</v>
      </c>
      <c r="L1192" s="274">
        <v>188</v>
      </c>
      <c r="M1192" s="274" t="s">
        <v>258</v>
      </c>
      <c r="N1192" s="275">
        <v>1000</v>
      </c>
      <c r="O1192" s="275">
        <v>1000</v>
      </c>
      <c r="P1192" s="330">
        <v>6000</v>
      </c>
      <c r="Q1192" s="274">
        <v>2</v>
      </c>
      <c r="R1192" s="274">
        <v>6</v>
      </c>
      <c r="S1192" s="274" t="s">
        <v>354</v>
      </c>
      <c r="T1192" s="276">
        <v>45037</v>
      </c>
      <c r="U1192" s="276">
        <v>45061</v>
      </c>
      <c r="V1192" s="274" t="s">
        <v>355</v>
      </c>
      <c r="W1192" s="274"/>
      <c r="X1192" s="274"/>
      <c r="Y1192" s="239"/>
    </row>
    <row r="1193" spans="1:25" ht="13.5" x14ac:dyDescent="0.15">
      <c r="A1193" s="274">
        <v>3708701</v>
      </c>
      <c r="B1193" s="274" t="s">
        <v>351</v>
      </c>
      <c r="C1193" s="274" t="s">
        <v>364</v>
      </c>
      <c r="D1193" s="274" t="s">
        <v>353</v>
      </c>
      <c r="E1193" s="274" t="s">
        <v>162</v>
      </c>
      <c r="F1193" s="274">
        <v>3</v>
      </c>
      <c r="G1193" s="274" t="s">
        <v>19</v>
      </c>
      <c r="H1193" s="274" t="s">
        <v>20</v>
      </c>
      <c r="I1193" s="274" t="s">
        <v>143</v>
      </c>
      <c r="J1193" s="274"/>
      <c r="K1193" s="274" t="s">
        <v>163</v>
      </c>
      <c r="L1193" s="274">
        <v>38</v>
      </c>
      <c r="M1193" s="274" t="s">
        <v>164</v>
      </c>
      <c r="N1193" s="275">
        <v>1320</v>
      </c>
      <c r="O1193" s="275">
        <v>1320</v>
      </c>
      <c r="P1193" s="330">
        <v>6000</v>
      </c>
      <c r="Q1193" s="274">
        <v>2</v>
      </c>
      <c r="R1193" s="274">
        <v>5</v>
      </c>
      <c r="S1193" s="274" t="s">
        <v>354</v>
      </c>
      <c r="T1193" s="276">
        <v>45037</v>
      </c>
      <c r="U1193" s="276">
        <v>45061</v>
      </c>
      <c r="V1193" s="274" t="s">
        <v>355</v>
      </c>
      <c r="W1193" s="274"/>
      <c r="X1193" s="274"/>
      <c r="Y1193" s="239"/>
    </row>
    <row r="1194" spans="1:25" ht="13.5" x14ac:dyDescent="0.15">
      <c r="A1194" s="274">
        <v>3708702</v>
      </c>
      <c r="B1194" s="274" t="s">
        <v>351</v>
      </c>
      <c r="C1194" s="274" t="s">
        <v>364</v>
      </c>
      <c r="D1194" s="274" t="s">
        <v>353</v>
      </c>
      <c r="E1194" s="274" t="s">
        <v>162</v>
      </c>
      <c r="F1194" s="274">
        <v>3</v>
      </c>
      <c r="G1194" s="274" t="s">
        <v>19</v>
      </c>
      <c r="H1194" s="274" t="s">
        <v>20</v>
      </c>
      <c r="I1194" s="274" t="s">
        <v>143</v>
      </c>
      <c r="J1194" s="274"/>
      <c r="K1194" s="274" t="s">
        <v>163</v>
      </c>
      <c r="L1194" s="274">
        <v>50</v>
      </c>
      <c r="M1194" s="274" t="s">
        <v>164</v>
      </c>
      <c r="N1194" s="275">
        <v>1320</v>
      </c>
      <c r="O1194" s="275">
        <v>1320</v>
      </c>
      <c r="P1194" s="330">
        <v>6000</v>
      </c>
      <c r="Q1194" s="274">
        <v>2</v>
      </c>
      <c r="R1194" s="274">
        <v>2</v>
      </c>
      <c r="S1194" s="274" t="s">
        <v>354</v>
      </c>
      <c r="T1194" s="276">
        <v>45037</v>
      </c>
      <c r="U1194" s="276">
        <v>45061</v>
      </c>
      <c r="V1194" s="274" t="s">
        <v>355</v>
      </c>
      <c r="W1194" s="274"/>
      <c r="X1194" s="274"/>
      <c r="Y1194" s="239"/>
    </row>
    <row r="1195" spans="1:25" ht="13.5" x14ac:dyDescent="0.15">
      <c r="A1195" s="274">
        <v>3708718</v>
      </c>
      <c r="B1195" s="274" t="s">
        <v>351</v>
      </c>
      <c r="C1195" s="274" t="s">
        <v>352</v>
      </c>
      <c r="D1195" s="274" t="s">
        <v>353</v>
      </c>
      <c r="E1195" s="274" t="s">
        <v>116</v>
      </c>
      <c r="F1195" s="274">
        <v>3</v>
      </c>
      <c r="G1195" s="274" t="s">
        <v>19</v>
      </c>
      <c r="H1195" s="274" t="s">
        <v>20</v>
      </c>
      <c r="I1195" s="274" t="s">
        <v>143</v>
      </c>
      <c r="J1195" s="274"/>
      <c r="K1195" s="274" t="s">
        <v>144</v>
      </c>
      <c r="L1195" s="274">
        <v>75</v>
      </c>
      <c r="M1195" s="274" t="s">
        <v>145</v>
      </c>
      <c r="N1195" s="275">
        <v>1002</v>
      </c>
      <c r="O1195" s="275">
        <v>1000</v>
      </c>
      <c r="P1195" s="330">
        <v>6000</v>
      </c>
      <c r="Q1195" s="274">
        <v>2</v>
      </c>
      <c r="R1195" s="274">
        <v>2</v>
      </c>
      <c r="S1195" s="274" t="s">
        <v>354</v>
      </c>
      <c r="T1195" s="276">
        <v>45037</v>
      </c>
      <c r="U1195" s="276">
        <v>45069</v>
      </c>
      <c r="V1195" s="274" t="s">
        <v>355</v>
      </c>
      <c r="W1195" s="274"/>
      <c r="X1195" s="274"/>
      <c r="Y1195" s="239"/>
    </row>
    <row r="1196" spans="1:25" ht="13.5" x14ac:dyDescent="0.15">
      <c r="A1196" s="274">
        <v>3708723</v>
      </c>
      <c r="B1196" s="274" t="s">
        <v>351</v>
      </c>
      <c r="C1196" s="274" t="s">
        <v>352</v>
      </c>
      <c r="D1196" s="274" t="s">
        <v>353</v>
      </c>
      <c r="E1196" s="274" t="s">
        <v>116</v>
      </c>
      <c r="F1196" s="274">
        <v>3</v>
      </c>
      <c r="G1196" s="274" t="s">
        <v>19</v>
      </c>
      <c r="H1196" s="274" t="s">
        <v>20</v>
      </c>
      <c r="I1196" s="274" t="s">
        <v>143</v>
      </c>
      <c r="J1196" s="274"/>
      <c r="K1196" s="274" t="s">
        <v>1095</v>
      </c>
      <c r="L1196" s="274">
        <v>50</v>
      </c>
      <c r="M1196" s="274" t="s">
        <v>1096</v>
      </c>
      <c r="N1196" s="275">
        <v>1005</v>
      </c>
      <c r="O1196" s="275">
        <v>1000</v>
      </c>
      <c r="P1196" s="330">
        <v>6000</v>
      </c>
      <c r="Q1196" s="274">
        <v>2</v>
      </c>
      <c r="R1196" s="274">
        <v>1</v>
      </c>
      <c r="S1196" s="274" t="s">
        <v>354</v>
      </c>
      <c r="T1196" s="276">
        <v>45037</v>
      </c>
      <c r="U1196" s="276">
        <v>45065</v>
      </c>
      <c r="V1196" s="274" t="s">
        <v>355</v>
      </c>
      <c r="W1196" s="274"/>
      <c r="X1196" s="274"/>
      <c r="Y1196" s="239"/>
    </row>
    <row r="1197" spans="1:25" ht="13.5" x14ac:dyDescent="0.15">
      <c r="A1197" s="274">
        <v>3712044</v>
      </c>
      <c r="B1197" s="274" t="s">
        <v>351</v>
      </c>
      <c r="C1197" s="274" t="s">
        <v>352</v>
      </c>
      <c r="D1197" s="274" t="s">
        <v>353</v>
      </c>
      <c r="E1197" s="274" t="s">
        <v>116</v>
      </c>
      <c r="F1197" s="274">
        <v>3</v>
      </c>
      <c r="G1197" s="274" t="s">
        <v>19</v>
      </c>
      <c r="H1197" s="274" t="s">
        <v>20</v>
      </c>
      <c r="I1197" s="274" t="s">
        <v>21</v>
      </c>
      <c r="J1197" s="274"/>
      <c r="K1197" s="274" t="s">
        <v>118</v>
      </c>
      <c r="L1197" s="274">
        <v>38</v>
      </c>
      <c r="M1197" s="274" t="s">
        <v>368</v>
      </c>
      <c r="N1197" s="275">
        <v>1415</v>
      </c>
      <c r="O1197" s="275">
        <v>1410</v>
      </c>
      <c r="P1197" s="330">
        <v>6000</v>
      </c>
      <c r="Q1197" s="274">
        <v>2</v>
      </c>
      <c r="R1197" s="274">
        <v>10</v>
      </c>
      <c r="S1197" s="274" t="s">
        <v>354</v>
      </c>
      <c r="T1197" s="276">
        <v>45068</v>
      </c>
      <c r="U1197" s="276">
        <v>45103</v>
      </c>
      <c r="V1197" s="274" t="s">
        <v>355</v>
      </c>
      <c r="W1197" s="274"/>
      <c r="X1197" s="274"/>
    </row>
    <row r="1198" spans="1:25" ht="13.5" x14ac:dyDescent="0.15">
      <c r="A1198" s="274">
        <v>3712045</v>
      </c>
      <c r="B1198" s="274" t="s">
        <v>351</v>
      </c>
      <c r="C1198" s="274" t="s">
        <v>356</v>
      </c>
      <c r="D1198" s="274" t="s">
        <v>353</v>
      </c>
      <c r="E1198" s="274" t="s">
        <v>106</v>
      </c>
      <c r="F1198" s="274">
        <v>3</v>
      </c>
      <c r="G1198" s="274" t="s">
        <v>19</v>
      </c>
      <c r="H1198" s="274" t="s">
        <v>20</v>
      </c>
      <c r="I1198" s="274" t="s">
        <v>21</v>
      </c>
      <c r="J1198" s="274"/>
      <c r="K1198" s="274" t="s">
        <v>107</v>
      </c>
      <c r="L1198" s="274">
        <v>25</v>
      </c>
      <c r="M1198" s="274" t="s">
        <v>367</v>
      </c>
      <c r="N1198" s="275">
        <v>1240</v>
      </c>
      <c r="O1198" s="275">
        <v>1240</v>
      </c>
      <c r="P1198" s="330">
        <v>6000</v>
      </c>
      <c r="Q1198" s="274">
        <v>2</v>
      </c>
      <c r="R1198" s="274">
        <v>30</v>
      </c>
      <c r="S1198" s="274" t="s">
        <v>354</v>
      </c>
      <c r="T1198" s="276">
        <v>45068</v>
      </c>
      <c r="U1198" s="276">
        <v>45085</v>
      </c>
      <c r="V1198" s="274" t="s">
        <v>355</v>
      </c>
      <c r="W1198" s="274"/>
      <c r="X1198" s="274"/>
    </row>
    <row r="1199" spans="1:25" ht="13.5" x14ac:dyDescent="0.15">
      <c r="A1199" s="274">
        <v>3712046</v>
      </c>
      <c r="B1199" s="274" t="s">
        <v>351</v>
      </c>
      <c r="C1199" s="274" t="s">
        <v>356</v>
      </c>
      <c r="D1199" s="274" t="s">
        <v>353</v>
      </c>
      <c r="E1199" s="274" t="s">
        <v>106</v>
      </c>
      <c r="F1199" s="274">
        <v>3</v>
      </c>
      <c r="G1199" s="274" t="s">
        <v>19</v>
      </c>
      <c r="H1199" s="274" t="s">
        <v>20</v>
      </c>
      <c r="I1199" s="274" t="s">
        <v>21</v>
      </c>
      <c r="J1199" s="274"/>
      <c r="K1199" s="274" t="s">
        <v>107</v>
      </c>
      <c r="L1199" s="274">
        <v>38</v>
      </c>
      <c r="M1199" s="274" t="s">
        <v>367</v>
      </c>
      <c r="N1199" s="275">
        <v>1240</v>
      </c>
      <c r="O1199" s="275">
        <v>1240</v>
      </c>
      <c r="P1199" s="330">
        <v>6000</v>
      </c>
      <c r="Q1199" s="274">
        <v>2</v>
      </c>
      <c r="R1199" s="274">
        <v>3</v>
      </c>
      <c r="S1199" s="274" t="s">
        <v>354</v>
      </c>
      <c r="T1199" s="276">
        <v>45068</v>
      </c>
      <c r="U1199" s="276">
        <v>45085</v>
      </c>
      <c r="V1199" s="274" t="s">
        <v>355</v>
      </c>
      <c r="W1199" s="274"/>
      <c r="X1199" s="274"/>
    </row>
    <row r="1200" spans="1:25" ht="13.5" x14ac:dyDescent="0.15">
      <c r="A1200" s="274">
        <v>3712047</v>
      </c>
      <c r="B1200" s="274" t="s">
        <v>351</v>
      </c>
      <c r="C1200" s="274" t="s">
        <v>356</v>
      </c>
      <c r="D1200" s="274" t="s">
        <v>353</v>
      </c>
      <c r="E1200" s="274" t="s">
        <v>17</v>
      </c>
      <c r="F1200" s="274">
        <v>3</v>
      </c>
      <c r="G1200" s="274" t="s">
        <v>19</v>
      </c>
      <c r="H1200" s="274" t="s">
        <v>20</v>
      </c>
      <c r="I1200" s="274" t="s">
        <v>21</v>
      </c>
      <c r="J1200" s="274"/>
      <c r="K1200" s="274" t="s">
        <v>104</v>
      </c>
      <c r="L1200" s="274">
        <v>25</v>
      </c>
      <c r="M1200" s="274" t="s">
        <v>375</v>
      </c>
      <c r="N1200" s="275">
        <v>1050</v>
      </c>
      <c r="O1200" s="275">
        <v>1050</v>
      </c>
      <c r="P1200" s="330">
        <v>6000</v>
      </c>
      <c r="Q1200" s="274">
        <v>2</v>
      </c>
      <c r="R1200" s="274">
        <v>18</v>
      </c>
      <c r="S1200" s="274" t="s">
        <v>354</v>
      </c>
      <c r="T1200" s="276">
        <v>45068</v>
      </c>
      <c r="U1200" s="276">
        <v>45085</v>
      </c>
      <c r="V1200" s="274" t="s">
        <v>355</v>
      </c>
      <c r="W1200" s="274"/>
      <c r="X1200" s="274"/>
    </row>
    <row r="1201" spans="1:24" ht="13.5" x14ac:dyDescent="0.15">
      <c r="A1201" s="274">
        <v>3712048</v>
      </c>
      <c r="B1201" s="274" t="s">
        <v>351</v>
      </c>
      <c r="C1201" s="274" t="s">
        <v>356</v>
      </c>
      <c r="D1201" s="274" t="s">
        <v>353</v>
      </c>
      <c r="E1201" s="274" t="s">
        <v>106</v>
      </c>
      <c r="F1201" s="274">
        <v>3</v>
      </c>
      <c r="G1201" s="274" t="s">
        <v>19</v>
      </c>
      <c r="H1201" s="274" t="s">
        <v>20</v>
      </c>
      <c r="I1201" s="274" t="s">
        <v>21</v>
      </c>
      <c r="J1201" s="274"/>
      <c r="K1201" s="274" t="s">
        <v>107</v>
      </c>
      <c r="L1201" s="274">
        <v>25</v>
      </c>
      <c r="M1201" s="274" t="s">
        <v>367</v>
      </c>
      <c r="N1201" s="275">
        <v>1040</v>
      </c>
      <c r="O1201" s="275">
        <v>1040</v>
      </c>
      <c r="P1201" s="330">
        <v>6000</v>
      </c>
      <c r="Q1201" s="274">
        <v>2</v>
      </c>
      <c r="R1201" s="274">
        <v>30</v>
      </c>
      <c r="S1201" s="274" t="s">
        <v>354</v>
      </c>
      <c r="T1201" s="276">
        <v>45068</v>
      </c>
      <c r="U1201" s="276">
        <v>45089</v>
      </c>
      <c r="V1201" s="274" t="s">
        <v>355</v>
      </c>
      <c r="W1201" s="274"/>
      <c r="X1201" s="274"/>
    </row>
    <row r="1202" spans="1:24" ht="13.5" x14ac:dyDescent="0.15">
      <c r="A1202" s="274">
        <v>3712049</v>
      </c>
      <c r="B1202" s="274" t="s">
        <v>351</v>
      </c>
      <c r="C1202" s="274" t="s">
        <v>356</v>
      </c>
      <c r="D1202" s="274" t="s">
        <v>353</v>
      </c>
      <c r="E1202" s="274" t="s">
        <v>106</v>
      </c>
      <c r="F1202" s="274">
        <v>3</v>
      </c>
      <c r="G1202" s="274" t="s">
        <v>19</v>
      </c>
      <c r="H1202" s="274" t="s">
        <v>20</v>
      </c>
      <c r="I1202" s="274" t="s">
        <v>21</v>
      </c>
      <c r="J1202" s="274"/>
      <c r="K1202" s="274" t="s">
        <v>107</v>
      </c>
      <c r="L1202" s="274">
        <v>38</v>
      </c>
      <c r="M1202" s="274" t="s">
        <v>367</v>
      </c>
      <c r="N1202" s="275">
        <v>1040</v>
      </c>
      <c r="O1202" s="275">
        <v>1040</v>
      </c>
      <c r="P1202" s="330">
        <v>6000</v>
      </c>
      <c r="Q1202" s="274">
        <v>2</v>
      </c>
      <c r="R1202" s="274">
        <v>2</v>
      </c>
      <c r="S1202" s="274" t="s">
        <v>354</v>
      </c>
      <c r="T1202" s="276">
        <v>45068</v>
      </c>
      <c r="U1202" s="276">
        <v>45089</v>
      </c>
      <c r="V1202" s="274" t="s">
        <v>355</v>
      </c>
      <c r="W1202" s="274"/>
      <c r="X1202" s="274"/>
    </row>
    <row r="1203" spans="1:24" ht="13.5" x14ac:dyDescent="0.15">
      <c r="A1203" s="274">
        <v>3712050</v>
      </c>
      <c r="B1203" s="274" t="s">
        <v>431</v>
      </c>
      <c r="C1203" s="274" t="s">
        <v>356</v>
      </c>
      <c r="D1203" s="274" t="s">
        <v>353</v>
      </c>
      <c r="E1203" s="274" t="s">
        <v>130</v>
      </c>
      <c r="F1203" s="274">
        <v>3</v>
      </c>
      <c r="G1203" s="274" t="s">
        <v>265</v>
      </c>
      <c r="H1203" s="274" t="s">
        <v>20</v>
      </c>
      <c r="I1203" s="274" t="s">
        <v>21</v>
      </c>
      <c r="J1203" s="274"/>
      <c r="K1203" s="274" t="s">
        <v>435</v>
      </c>
      <c r="L1203" s="274">
        <v>25</v>
      </c>
      <c r="M1203" s="274" t="s">
        <v>436</v>
      </c>
      <c r="N1203" s="275">
        <v>1410</v>
      </c>
      <c r="O1203" s="275">
        <v>1410</v>
      </c>
      <c r="P1203" s="330">
        <v>6000</v>
      </c>
      <c r="Q1203" s="274">
        <v>2</v>
      </c>
      <c r="R1203" s="274">
        <v>10</v>
      </c>
      <c r="S1203" s="274" t="s">
        <v>354</v>
      </c>
      <c r="T1203" s="276">
        <v>45068</v>
      </c>
      <c r="U1203" s="276">
        <v>45089</v>
      </c>
      <c r="V1203" s="274" t="s">
        <v>355</v>
      </c>
      <c r="W1203" s="274"/>
      <c r="X1203" s="274"/>
    </row>
    <row r="1204" spans="1:24" ht="13.5" x14ac:dyDescent="0.15">
      <c r="A1204" s="274">
        <v>3712051</v>
      </c>
      <c r="B1204" s="274" t="s">
        <v>431</v>
      </c>
      <c r="C1204" s="274" t="s">
        <v>356</v>
      </c>
      <c r="D1204" s="274" t="s">
        <v>353</v>
      </c>
      <c r="E1204" s="274" t="s">
        <v>130</v>
      </c>
      <c r="F1204" s="274">
        <v>3</v>
      </c>
      <c r="G1204" s="274" t="s">
        <v>265</v>
      </c>
      <c r="H1204" s="274" t="s">
        <v>20</v>
      </c>
      <c r="I1204" s="274" t="s">
        <v>21</v>
      </c>
      <c r="J1204" s="274"/>
      <c r="K1204" s="274" t="s">
        <v>435</v>
      </c>
      <c r="L1204" s="274">
        <v>25</v>
      </c>
      <c r="M1204" s="274" t="s">
        <v>436</v>
      </c>
      <c r="N1204" s="275">
        <v>1410</v>
      </c>
      <c r="O1204" s="275">
        <v>1410</v>
      </c>
      <c r="P1204" s="330">
        <v>6000</v>
      </c>
      <c r="Q1204" s="274">
        <v>2</v>
      </c>
      <c r="R1204" s="274">
        <v>10</v>
      </c>
      <c r="S1204" s="274" t="s">
        <v>354</v>
      </c>
      <c r="T1204" s="276">
        <v>45068</v>
      </c>
      <c r="U1204" s="276">
        <v>45089</v>
      </c>
      <c r="V1204" s="274" t="s">
        <v>355</v>
      </c>
      <c r="W1204" s="274"/>
      <c r="X1204" s="274"/>
    </row>
    <row r="1205" spans="1:24" ht="13.5" x14ac:dyDescent="0.15">
      <c r="A1205" s="274">
        <v>3712052</v>
      </c>
      <c r="B1205" s="274" t="s">
        <v>351</v>
      </c>
      <c r="C1205" s="274" t="s">
        <v>358</v>
      </c>
      <c r="D1205" s="274" t="s">
        <v>353</v>
      </c>
      <c r="E1205" s="274" t="s">
        <v>120</v>
      </c>
      <c r="F1205" s="274">
        <v>3</v>
      </c>
      <c r="G1205" s="274" t="s">
        <v>19</v>
      </c>
      <c r="H1205" s="274" t="s">
        <v>20</v>
      </c>
      <c r="I1205" s="274" t="s">
        <v>21</v>
      </c>
      <c r="J1205" s="274"/>
      <c r="K1205" s="274" t="s">
        <v>118</v>
      </c>
      <c r="L1205" s="274">
        <v>125</v>
      </c>
      <c r="M1205" s="274" t="s">
        <v>121</v>
      </c>
      <c r="N1205" s="275">
        <v>1230</v>
      </c>
      <c r="O1205" s="275">
        <v>1225</v>
      </c>
      <c r="P1205" s="330">
        <v>6000</v>
      </c>
      <c r="Q1205" s="274">
        <v>2</v>
      </c>
      <c r="R1205" s="274">
        <v>2</v>
      </c>
      <c r="S1205" s="274" t="s">
        <v>354</v>
      </c>
      <c r="T1205" s="276">
        <v>45068</v>
      </c>
      <c r="U1205" s="276">
        <v>45089</v>
      </c>
      <c r="V1205" s="274" t="s">
        <v>355</v>
      </c>
      <c r="W1205" s="274"/>
      <c r="X1205" s="274"/>
    </row>
    <row r="1206" spans="1:24" ht="13.5" x14ac:dyDescent="0.15">
      <c r="A1206" s="274">
        <v>3712053</v>
      </c>
      <c r="B1206" s="274" t="s">
        <v>351</v>
      </c>
      <c r="C1206" s="274" t="s">
        <v>754</v>
      </c>
      <c r="D1206" s="274" t="s">
        <v>353</v>
      </c>
      <c r="E1206" s="274" t="s">
        <v>755</v>
      </c>
      <c r="F1206" s="274">
        <v>3</v>
      </c>
      <c r="G1206" s="274" t="s">
        <v>19</v>
      </c>
      <c r="H1206" s="274" t="s">
        <v>20</v>
      </c>
      <c r="I1206" s="274" t="s">
        <v>21</v>
      </c>
      <c r="J1206" s="274"/>
      <c r="K1206" s="274" t="s">
        <v>128</v>
      </c>
      <c r="L1206" s="274">
        <v>25</v>
      </c>
      <c r="M1206" s="274" t="s">
        <v>756</v>
      </c>
      <c r="N1206" s="275">
        <v>1155</v>
      </c>
      <c r="O1206" s="275">
        <v>1150</v>
      </c>
      <c r="P1206" s="330">
        <v>6000</v>
      </c>
      <c r="Q1206" s="274">
        <v>2</v>
      </c>
      <c r="R1206" s="274">
        <v>2</v>
      </c>
      <c r="S1206" s="274" t="s">
        <v>354</v>
      </c>
      <c r="T1206" s="276">
        <v>45068</v>
      </c>
      <c r="U1206" s="276">
        <v>45089</v>
      </c>
      <c r="V1206" s="274" t="s">
        <v>355</v>
      </c>
      <c r="W1206" s="274"/>
      <c r="X1206" s="274"/>
    </row>
    <row r="1207" spans="1:24" ht="13.5" x14ac:dyDescent="0.15">
      <c r="A1207" s="274">
        <v>3712054</v>
      </c>
      <c r="B1207" s="274" t="s">
        <v>351</v>
      </c>
      <c r="C1207" s="274" t="s">
        <v>356</v>
      </c>
      <c r="D1207" s="274" t="s">
        <v>353</v>
      </c>
      <c r="E1207" s="274" t="s">
        <v>115</v>
      </c>
      <c r="F1207" s="274">
        <v>3</v>
      </c>
      <c r="G1207" s="274" t="s">
        <v>19</v>
      </c>
      <c r="H1207" s="274" t="s">
        <v>20</v>
      </c>
      <c r="I1207" s="274" t="s">
        <v>21</v>
      </c>
      <c r="J1207" s="274"/>
      <c r="K1207" s="274" t="s">
        <v>112</v>
      </c>
      <c r="L1207" s="274">
        <v>38</v>
      </c>
      <c r="M1207" s="274" t="s">
        <v>357</v>
      </c>
      <c r="N1207" s="275">
        <v>1135</v>
      </c>
      <c r="O1207" s="275">
        <v>1130</v>
      </c>
      <c r="P1207" s="330">
        <v>6000</v>
      </c>
      <c r="Q1207" s="274">
        <v>2</v>
      </c>
      <c r="R1207" s="274">
        <v>2</v>
      </c>
      <c r="S1207" s="274" t="s">
        <v>354</v>
      </c>
      <c r="T1207" s="276">
        <v>45068</v>
      </c>
      <c r="U1207" s="276">
        <v>45093</v>
      </c>
      <c r="V1207" s="274" t="s">
        <v>355</v>
      </c>
      <c r="W1207" s="274"/>
      <c r="X1207" s="274"/>
    </row>
    <row r="1208" spans="1:24" ht="13.5" x14ac:dyDescent="0.15">
      <c r="A1208" s="274">
        <v>3712055</v>
      </c>
      <c r="B1208" s="274" t="s">
        <v>431</v>
      </c>
      <c r="C1208" s="274" t="s">
        <v>358</v>
      </c>
      <c r="D1208" s="274" t="s">
        <v>353</v>
      </c>
      <c r="E1208" s="274"/>
      <c r="F1208" s="274">
        <v>3</v>
      </c>
      <c r="G1208" s="274" t="s">
        <v>265</v>
      </c>
      <c r="H1208" s="274" t="s">
        <v>20</v>
      </c>
      <c r="I1208" s="274" t="s">
        <v>21</v>
      </c>
      <c r="J1208" s="274"/>
      <c r="K1208" s="274" t="s">
        <v>118</v>
      </c>
      <c r="L1208" s="274">
        <v>25</v>
      </c>
      <c r="M1208" s="274" t="s">
        <v>119</v>
      </c>
      <c r="N1208" s="275">
        <v>1100</v>
      </c>
      <c r="O1208" s="275">
        <v>1100</v>
      </c>
      <c r="P1208" s="330">
        <v>6000</v>
      </c>
      <c r="Q1208" s="274">
        <v>2</v>
      </c>
      <c r="R1208" s="274">
        <v>45</v>
      </c>
      <c r="S1208" s="274" t="s">
        <v>354</v>
      </c>
      <c r="T1208" s="276">
        <v>45068</v>
      </c>
      <c r="U1208" s="276">
        <v>45093</v>
      </c>
      <c r="V1208" s="274" t="s">
        <v>355</v>
      </c>
      <c r="W1208" s="274"/>
      <c r="X1208" s="274"/>
    </row>
    <row r="1209" spans="1:24" ht="13.5" x14ac:dyDescent="0.15">
      <c r="A1209" s="274">
        <v>3712056</v>
      </c>
      <c r="B1209" s="274" t="s">
        <v>351</v>
      </c>
      <c r="C1209" s="274" t="s">
        <v>352</v>
      </c>
      <c r="D1209" s="274" t="s">
        <v>353</v>
      </c>
      <c r="E1209" s="274" t="s">
        <v>116</v>
      </c>
      <c r="F1209" s="274">
        <v>3</v>
      </c>
      <c r="G1209" s="274" t="s">
        <v>19</v>
      </c>
      <c r="H1209" s="274" t="s">
        <v>20</v>
      </c>
      <c r="I1209" s="274" t="s">
        <v>21</v>
      </c>
      <c r="J1209" s="274"/>
      <c r="K1209" s="274" t="s">
        <v>118</v>
      </c>
      <c r="L1209" s="274">
        <v>38</v>
      </c>
      <c r="M1209" s="274" t="s">
        <v>368</v>
      </c>
      <c r="N1209" s="275">
        <v>1005</v>
      </c>
      <c r="O1209" s="275">
        <v>1000</v>
      </c>
      <c r="P1209" s="330">
        <v>6000</v>
      </c>
      <c r="Q1209" s="274">
        <v>2</v>
      </c>
      <c r="R1209" s="274">
        <v>10</v>
      </c>
      <c r="S1209" s="274" t="s">
        <v>354</v>
      </c>
      <c r="T1209" s="276">
        <v>45068</v>
      </c>
      <c r="U1209" s="276">
        <v>45093</v>
      </c>
      <c r="V1209" s="274" t="s">
        <v>355</v>
      </c>
      <c r="W1209" s="274"/>
      <c r="X1209" s="274"/>
    </row>
    <row r="1210" spans="1:24" ht="13.5" x14ac:dyDescent="0.15">
      <c r="A1210" s="274">
        <v>3712057</v>
      </c>
      <c r="B1210" s="274" t="s">
        <v>351</v>
      </c>
      <c r="C1210" s="274" t="s">
        <v>356</v>
      </c>
      <c r="D1210" s="274" t="s">
        <v>353</v>
      </c>
      <c r="E1210" s="274" t="s">
        <v>114</v>
      </c>
      <c r="F1210" s="274">
        <v>3</v>
      </c>
      <c r="G1210" s="274" t="s">
        <v>19</v>
      </c>
      <c r="H1210" s="274" t="s">
        <v>20</v>
      </c>
      <c r="I1210" s="274" t="s">
        <v>21</v>
      </c>
      <c r="J1210" s="274"/>
      <c r="K1210" s="274" t="s">
        <v>112</v>
      </c>
      <c r="L1210" s="274">
        <v>25</v>
      </c>
      <c r="M1210" s="274" t="s">
        <v>357</v>
      </c>
      <c r="N1210" s="274">
        <v>640</v>
      </c>
      <c r="O1210" s="274">
        <v>640</v>
      </c>
      <c r="P1210" s="330">
        <v>6000</v>
      </c>
      <c r="Q1210" s="274">
        <v>2</v>
      </c>
      <c r="R1210" s="274">
        <v>12</v>
      </c>
      <c r="S1210" s="274" t="s">
        <v>354</v>
      </c>
      <c r="T1210" s="276">
        <v>45068</v>
      </c>
      <c r="U1210" s="276">
        <v>45093</v>
      </c>
      <c r="V1210" s="274" t="s">
        <v>355</v>
      </c>
      <c r="W1210" s="274"/>
      <c r="X1210" s="274"/>
    </row>
    <row r="1211" spans="1:24" ht="13.5" x14ac:dyDescent="0.15">
      <c r="A1211" s="274">
        <v>3712059</v>
      </c>
      <c r="B1211" s="274" t="s">
        <v>351</v>
      </c>
      <c r="C1211" s="274" t="s">
        <v>358</v>
      </c>
      <c r="D1211" s="274" t="s">
        <v>353</v>
      </c>
      <c r="E1211" s="274" t="s">
        <v>90</v>
      </c>
      <c r="F1211" s="274">
        <v>3</v>
      </c>
      <c r="G1211" s="274" t="s">
        <v>19</v>
      </c>
      <c r="H1211" s="274" t="s">
        <v>20</v>
      </c>
      <c r="I1211" s="274" t="s">
        <v>21</v>
      </c>
      <c r="J1211" s="274"/>
      <c r="K1211" s="274" t="s">
        <v>88</v>
      </c>
      <c r="L1211" s="274">
        <v>75</v>
      </c>
      <c r="M1211" s="274" t="s">
        <v>361</v>
      </c>
      <c r="N1211" s="274">
        <v>620</v>
      </c>
      <c r="O1211" s="274">
        <v>620</v>
      </c>
      <c r="P1211" s="330">
        <v>6000</v>
      </c>
      <c r="Q1211" s="274">
        <v>2</v>
      </c>
      <c r="R1211" s="274">
        <v>20</v>
      </c>
      <c r="S1211" s="274" t="s">
        <v>354</v>
      </c>
      <c r="T1211" s="276">
        <v>45068</v>
      </c>
      <c r="U1211" s="276">
        <v>45093</v>
      </c>
      <c r="V1211" s="274" t="s">
        <v>355</v>
      </c>
      <c r="W1211" s="274"/>
      <c r="X1211" s="274"/>
    </row>
    <row r="1212" spans="1:24" ht="13.5" x14ac:dyDescent="0.15">
      <c r="A1212" s="274">
        <v>3712060</v>
      </c>
      <c r="B1212" s="274" t="s">
        <v>351</v>
      </c>
      <c r="C1212" s="274" t="s">
        <v>356</v>
      </c>
      <c r="D1212" s="274" t="s">
        <v>353</v>
      </c>
      <c r="E1212" s="274" t="s">
        <v>83</v>
      </c>
      <c r="F1212" s="274" t="s">
        <v>86</v>
      </c>
      <c r="G1212" s="274" t="s">
        <v>19</v>
      </c>
      <c r="H1212" s="274" t="s">
        <v>20</v>
      </c>
      <c r="I1212" s="274" t="s">
        <v>21</v>
      </c>
      <c r="J1212" s="274"/>
      <c r="K1212" s="274" t="s">
        <v>84</v>
      </c>
      <c r="L1212" s="274">
        <v>38</v>
      </c>
      <c r="M1212" s="274" t="s">
        <v>85</v>
      </c>
      <c r="N1212" s="275">
        <v>1265</v>
      </c>
      <c r="O1212" s="275">
        <v>1265</v>
      </c>
      <c r="P1212" s="330">
        <v>6000</v>
      </c>
      <c r="Q1212" s="274">
        <v>2</v>
      </c>
      <c r="R1212" s="274">
        <v>36</v>
      </c>
      <c r="S1212" s="274" t="s">
        <v>354</v>
      </c>
      <c r="T1212" s="276">
        <v>45068</v>
      </c>
      <c r="U1212" s="276">
        <v>45093</v>
      </c>
      <c r="V1212" s="274" t="s">
        <v>355</v>
      </c>
      <c r="W1212" s="274"/>
      <c r="X1212" s="274"/>
    </row>
    <row r="1213" spans="1:24" ht="13.5" x14ac:dyDescent="0.15">
      <c r="A1213" s="274">
        <v>3712061</v>
      </c>
      <c r="B1213" s="274" t="s">
        <v>351</v>
      </c>
      <c r="C1213" s="274" t="s">
        <v>356</v>
      </c>
      <c r="D1213" s="274" t="s">
        <v>353</v>
      </c>
      <c r="E1213" s="274" t="s">
        <v>87</v>
      </c>
      <c r="F1213" s="274">
        <v>3</v>
      </c>
      <c r="G1213" s="274" t="s">
        <v>19</v>
      </c>
      <c r="H1213" s="274" t="s">
        <v>20</v>
      </c>
      <c r="I1213" s="274" t="s">
        <v>21</v>
      </c>
      <c r="J1213" s="274"/>
      <c r="K1213" s="274" t="s">
        <v>88</v>
      </c>
      <c r="L1213" s="274">
        <v>75</v>
      </c>
      <c r="M1213" s="274" t="s">
        <v>361</v>
      </c>
      <c r="N1213" s="274">
        <v>220</v>
      </c>
      <c r="O1213" s="274">
        <v>220</v>
      </c>
      <c r="P1213" s="330">
        <v>6000</v>
      </c>
      <c r="Q1213" s="274">
        <v>1</v>
      </c>
      <c r="R1213" s="274">
        <v>60</v>
      </c>
      <c r="S1213" s="274" t="s">
        <v>354</v>
      </c>
      <c r="T1213" s="276">
        <v>45068</v>
      </c>
      <c r="U1213" s="276">
        <v>45093</v>
      </c>
      <c r="V1213" s="274" t="s">
        <v>355</v>
      </c>
      <c r="W1213" s="274"/>
      <c r="X1213" s="274"/>
    </row>
    <row r="1214" spans="1:24" ht="13.5" x14ac:dyDescent="0.15">
      <c r="A1214" s="274">
        <v>3712062</v>
      </c>
      <c r="B1214" s="274" t="s">
        <v>351</v>
      </c>
      <c r="C1214" s="274" t="s">
        <v>358</v>
      </c>
      <c r="D1214" s="274" t="s">
        <v>353</v>
      </c>
      <c r="E1214" s="274" t="s">
        <v>362</v>
      </c>
      <c r="F1214" s="274">
        <v>3</v>
      </c>
      <c r="G1214" s="274" t="s">
        <v>19</v>
      </c>
      <c r="H1214" s="274" t="s">
        <v>20</v>
      </c>
      <c r="I1214" s="274" t="s">
        <v>21</v>
      </c>
      <c r="J1214" s="274"/>
      <c r="K1214" s="274" t="s">
        <v>88</v>
      </c>
      <c r="L1214" s="274">
        <v>125</v>
      </c>
      <c r="M1214" s="274" t="s">
        <v>361</v>
      </c>
      <c r="N1214" s="274">
        <v>150</v>
      </c>
      <c r="O1214" s="274">
        <v>150</v>
      </c>
      <c r="P1214" s="330">
        <v>6000</v>
      </c>
      <c r="Q1214" s="274">
        <v>1</v>
      </c>
      <c r="R1214" s="274">
        <v>76</v>
      </c>
      <c r="S1214" s="274" t="s">
        <v>354</v>
      </c>
      <c r="T1214" s="276">
        <v>45068</v>
      </c>
      <c r="U1214" s="276">
        <v>45093</v>
      </c>
      <c r="V1214" s="274" t="s">
        <v>355</v>
      </c>
      <c r="W1214" s="274"/>
      <c r="X1214" s="274"/>
    </row>
    <row r="1215" spans="1:24" ht="13.5" x14ac:dyDescent="0.15">
      <c r="A1215" s="274">
        <v>3712063</v>
      </c>
      <c r="B1215" s="274" t="s">
        <v>351</v>
      </c>
      <c r="C1215" s="274" t="s">
        <v>358</v>
      </c>
      <c r="D1215" s="274" t="s">
        <v>353</v>
      </c>
      <c r="E1215" s="274" t="s">
        <v>362</v>
      </c>
      <c r="F1215" s="274">
        <v>3</v>
      </c>
      <c r="G1215" s="274" t="s">
        <v>19</v>
      </c>
      <c r="H1215" s="274" t="s">
        <v>20</v>
      </c>
      <c r="I1215" s="274" t="s">
        <v>21</v>
      </c>
      <c r="J1215" s="274"/>
      <c r="K1215" s="274" t="s">
        <v>88</v>
      </c>
      <c r="L1215" s="274">
        <v>188</v>
      </c>
      <c r="M1215" s="274" t="s">
        <v>361</v>
      </c>
      <c r="N1215" s="275">
        <v>1130</v>
      </c>
      <c r="O1215" s="275">
        <v>1130</v>
      </c>
      <c r="P1215" s="330">
        <v>6000</v>
      </c>
      <c r="Q1215" s="274">
        <v>2</v>
      </c>
      <c r="R1215" s="274">
        <v>16</v>
      </c>
      <c r="S1215" s="274" t="s">
        <v>354</v>
      </c>
      <c r="T1215" s="276">
        <v>45068</v>
      </c>
      <c r="U1215" s="276">
        <v>45093</v>
      </c>
      <c r="V1215" s="274" t="s">
        <v>355</v>
      </c>
      <c r="W1215" s="274"/>
      <c r="X1215" s="274"/>
    </row>
    <row r="1216" spans="1:24" ht="13.5" x14ac:dyDescent="0.15">
      <c r="A1216" s="274">
        <v>3712064</v>
      </c>
      <c r="B1216" s="274" t="s">
        <v>351</v>
      </c>
      <c r="C1216" s="274" t="s">
        <v>358</v>
      </c>
      <c r="D1216" s="274" t="s">
        <v>353</v>
      </c>
      <c r="E1216" s="274" t="s">
        <v>362</v>
      </c>
      <c r="F1216" s="274">
        <v>3</v>
      </c>
      <c r="G1216" s="274" t="s">
        <v>19</v>
      </c>
      <c r="H1216" s="274" t="s">
        <v>20</v>
      </c>
      <c r="I1216" s="274" t="s">
        <v>21</v>
      </c>
      <c r="J1216" s="274"/>
      <c r="K1216" s="274" t="s">
        <v>88</v>
      </c>
      <c r="L1216" s="274">
        <v>100</v>
      </c>
      <c r="M1216" s="274" t="s">
        <v>361</v>
      </c>
      <c r="N1216" s="274">
        <v>330</v>
      </c>
      <c r="O1216" s="274">
        <v>330</v>
      </c>
      <c r="P1216" s="330">
        <v>6000</v>
      </c>
      <c r="Q1216" s="274">
        <v>1</v>
      </c>
      <c r="R1216" s="274">
        <v>72</v>
      </c>
      <c r="S1216" s="274" t="s">
        <v>354</v>
      </c>
      <c r="T1216" s="276">
        <v>45068</v>
      </c>
      <c r="U1216" s="276">
        <v>45093</v>
      </c>
      <c r="V1216" s="274" t="s">
        <v>355</v>
      </c>
      <c r="W1216" s="274"/>
      <c r="X1216" s="274"/>
    </row>
    <row r="1217" spans="1:24" ht="13.5" x14ac:dyDescent="0.15">
      <c r="A1217" s="274">
        <v>3712065</v>
      </c>
      <c r="B1217" s="274" t="s">
        <v>351</v>
      </c>
      <c r="C1217" s="274" t="s">
        <v>364</v>
      </c>
      <c r="D1217" s="274" t="s">
        <v>353</v>
      </c>
      <c r="E1217" s="274" t="s">
        <v>93</v>
      </c>
      <c r="F1217" s="274">
        <v>331</v>
      </c>
      <c r="G1217" s="274" t="s">
        <v>19</v>
      </c>
      <c r="H1217" s="274" t="s">
        <v>20</v>
      </c>
      <c r="I1217" s="274" t="s">
        <v>21</v>
      </c>
      <c r="J1217" s="274"/>
      <c r="K1217" s="274" t="s">
        <v>88</v>
      </c>
      <c r="L1217" s="274">
        <v>100</v>
      </c>
      <c r="M1217" s="274" t="s">
        <v>361</v>
      </c>
      <c r="N1217" s="274">
        <v>450</v>
      </c>
      <c r="O1217" s="274">
        <v>450</v>
      </c>
      <c r="P1217" s="330">
        <v>6000</v>
      </c>
      <c r="Q1217" s="274">
        <v>2</v>
      </c>
      <c r="R1217" s="274">
        <v>6</v>
      </c>
      <c r="S1217" s="274" t="s">
        <v>354</v>
      </c>
      <c r="T1217" s="276">
        <v>45068</v>
      </c>
      <c r="U1217" s="276">
        <v>45093</v>
      </c>
      <c r="V1217" s="274" t="s">
        <v>355</v>
      </c>
      <c r="W1217" s="274"/>
      <c r="X1217" s="274"/>
    </row>
    <row r="1218" spans="1:24" ht="13.5" x14ac:dyDescent="0.15">
      <c r="A1218" s="274">
        <v>3712066</v>
      </c>
      <c r="B1218" s="274" t="s">
        <v>351</v>
      </c>
      <c r="C1218" s="274" t="s">
        <v>364</v>
      </c>
      <c r="D1218" s="274" t="s">
        <v>353</v>
      </c>
      <c r="E1218" s="274" t="s">
        <v>93</v>
      </c>
      <c r="F1218" s="274">
        <v>331</v>
      </c>
      <c r="G1218" s="274" t="s">
        <v>19</v>
      </c>
      <c r="H1218" s="274" t="s">
        <v>20</v>
      </c>
      <c r="I1218" s="274" t="s">
        <v>21</v>
      </c>
      <c r="J1218" s="274"/>
      <c r="K1218" s="274" t="s">
        <v>88</v>
      </c>
      <c r="L1218" s="274">
        <v>100</v>
      </c>
      <c r="M1218" s="274" t="s">
        <v>361</v>
      </c>
      <c r="N1218" s="274">
        <v>450</v>
      </c>
      <c r="O1218" s="274">
        <v>450</v>
      </c>
      <c r="P1218" s="330">
        <v>6000</v>
      </c>
      <c r="Q1218" s="274">
        <v>2</v>
      </c>
      <c r="R1218" s="274">
        <v>48</v>
      </c>
      <c r="S1218" s="274" t="s">
        <v>354</v>
      </c>
      <c r="T1218" s="276">
        <v>45068</v>
      </c>
      <c r="U1218" s="276">
        <v>45093</v>
      </c>
      <c r="V1218" s="274" t="s">
        <v>355</v>
      </c>
      <c r="W1218" s="274"/>
      <c r="X1218" s="274"/>
    </row>
    <row r="1219" spans="1:24" ht="13.5" x14ac:dyDescent="0.15">
      <c r="A1219" s="274">
        <v>3712067</v>
      </c>
      <c r="B1219" s="274" t="s">
        <v>351</v>
      </c>
      <c r="C1219" s="274" t="s">
        <v>356</v>
      </c>
      <c r="D1219" s="274" t="s">
        <v>353</v>
      </c>
      <c r="E1219" s="274" t="s">
        <v>32</v>
      </c>
      <c r="F1219" s="274">
        <v>331</v>
      </c>
      <c r="G1219" s="274" t="s">
        <v>19</v>
      </c>
      <c r="H1219" s="274" t="s">
        <v>20</v>
      </c>
      <c r="I1219" s="274" t="s">
        <v>21</v>
      </c>
      <c r="J1219" s="274"/>
      <c r="K1219" s="274" t="s">
        <v>54</v>
      </c>
      <c r="L1219" s="274">
        <v>38</v>
      </c>
      <c r="M1219" s="274" t="s">
        <v>53</v>
      </c>
      <c r="N1219" s="275">
        <v>1580</v>
      </c>
      <c r="O1219" s="275">
        <v>1580</v>
      </c>
      <c r="P1219" s="330">
        <v>6000</v>
      </c>
      <c r="Q1219" s="274">
        <v>2</v>
      </c>
      <c r="R1219" s="274">
        <v>8</v>
      </c>
      <c r="S1219" s="274" t="s">
        <v>354</v>
      </c>
      <c r="T1219" s="276">
        <v>45068</v>
      </c>
      <c r="U1219" s="276">
        <v>45100</v>
      </c>
      <c r="V1219" s="274" t="s">
        <v>355</v>
      </c>
      <c r="W1219" s="274"/>
      <c r="X1219" s="274"/>
    </row>
    <row r="1220" spans="1:24" ht="13.5" x14ac:dyDescent="0.15">
      <c r="A1220" s="274">
        <v>3712068</v>
      </c>
      <c r="B1220" s="274" t="s">
        <v>351</v>
      </c>
      <c r="C1220" s="274" t="s">
        <v>358</v>
      </c>
      <c r="D1220" s="274" t="s">
        <v>353</v>
      </c>
      <c r="E1220" s="274" t="s">
        <v>44</v>
      </c>
      <c r="F1220" s="274">
        <v>3</v>
      </c>
      <c r="G1220" s="274" t="s">
        <v>19</v>
      </c>
      <c r="H1220" s="274" t="s">
        <v>20</v>
      </c>
      <c r="I1220" s="274" t="s">
        <v>21</v>
      </c>
      <c r="J1220" s="274"/>
      <c r="K1220" s="274" t="s">
        <v>47</v>
      </c>
      <c r="L1220" s="274">
        <v>25</v>
      </c>
      <c r="M1220" s="274" t="s">
        <v>48</v>
      </c>
      <c r="N1220" s="274">
        <v>740</v>
      </c>
      <c r="O1220" s="274">
        <v>740</v>
      </c>
      <c r="P1220" s="330">
        <v>6000</v>
      </c>
      <c r="Q1220" s="274">
        <v>1</v>
      </c>
      <c r="R1220" s="274">
        <v>30</v>
      </c>
      <c r="S1220" s="274" t="s">
        <v>354</v>
      </c>
      <c r="T1220" s="276">
        <v>45068</v>
      </c>
      <c r="U1220" s="276">
        <v>45100</v>
      </c>
      <c r="V1220" s="274" t="s">
        <v>355</v>
      </c>
      <c r="W1220" s="274"/>
      <c r="X1220" s="274"/>
    </row>
    <row r="1221" spans="1:24" ht="13.5" x14ac:dyDescent="0.15">
      <c r="A1221" s="274">
        <v>3712069</v>
      </c>
      <c r="B1221" s="274" t="s">
        <v>351</v>
      </c>
      <c r="C1221" s="274" t="s">
        <v>356</v>
      </c>
      <c r="D1221" s="274" t="s">
        <v>353</v>
      </c>
      <c r="E1221" s="274" t="s">
        <v>32</v>
      </c>
      <c r="F1221" s="274">
        <v>331</v>
      </c>
      <c r="G1221" s="274" t="s">
        <v>19</v>
      </c>
      <c r="H1221" s="274" t="s">
        <v>20</v>
      </c>
      <c r="I1221" s="274" t="s">
        <v>21</v>
      </c>
      <c r="J1221" s="274"/>
      <c r="K1221" s="274" t="s">
        <v>54</v>
      </c>
      <c r="L1221" s="274">
        <v>38</v>
      </c>
      <c r="M1221" s="274" t="s">
        <v>53</v>
      </c>
      <c r="N1221" s="275">
        <v>1330</v>
      </c>
      <c r="O1221" s="275">
        <v>1330</v>
      </c>
      <c r="P1221" s="330">
        <v>6000</v>
      </c>
      <c r="Q1221" s="274">
        <v>2</v>
      </c>
      <c r="R1221" s="274">
        <v>30</v>
      </c>
      <c r="S1221" s="274" t="s">
        <v>354</v>
      </c>
      <c r="T1221" s="276">
        <v>45068</v>
      </c>
      <c r="U1221" s="276">
        <v>45100</v>
      </c>
      <c r="V1221" s="274" t="s">
        <v>355</v>
      </c>
      <c r="W1221" s="274"/>
      <c r="X1221" s="274"/>
    </row>
    <row r="1222" spans="1:24" ht="13.5" x14ac:dyDescent="0.15">
      <c r="A1222" s="274">
        <v>3712070</v>
      </c>
      <c r="B1222" s="274" t="s">
        <v>351</v>
      </c>
      <c r="C1222" s="274" t="s">
        <v>356</v>
      </c>
      <c r="D1222" s="274" t="s">
        <v>353</v>
      </c>
      <c r="E1222" s="274" t="s">
        <v>32</v>
      </c>
      <c r="F1222" s="274">
        <v>3</v>
      </c>
      <c r="G1222" s="274" t="s">
        <v>19</v>
      </c>
      <c r="H1222" s="274" t="s">
        <v>20</v>
      </c>
      <c r="I1222" s="274" t="s">
        <v>21</v>
      </c>
      <c r="J1222" s="274"/>
      <c r="K1222" s="274" t="s">
        <v>56</v>
      </c>
      <c r="L1222" s="274">
        <v>75</v>
      </c>
      <c r="M1222" s="274" t="s">
        <v>376</v>
      </c>
      <c r="N1222" s="275">
        <v>1330</v>
      </c>
      <c r="O1222" s="275">
        <v>1330</v>
      </c>
      <c r="P1222" s="330">
        <v>6000</v>
      </c>
      <c r="Q1222" s="274">
        <v>2</v>
      </c>
      <c r="R1222" s="274">
        <v>15</v>
      </c>
      <c r="S1222" s="274" t="s">
        <v>354</v>
      </c>
      <c r="T1222" s="276">
        <v>45068</v>
      </c>
      <c r="U1222" s="276">
        <v>45100</v>
      </c>
      <c r="V1222" s="274" t="s">
        <v>355</v>
      </c>
      <c r="W1222" s="274"/>
      <c r="X1222" s="274"/>
    </row>
    <row r="1223" spans="1:24" ht="13.5" x14ac:dyDescent="0.15">
      <c r="A1223" s="274">
        <v>3712071</v>
      </c>
      <c r="B1223" s="274" t="s">
        <v>431</v>
      </c>
      <c r="C1223" s="274" t="s">
        <v>358</v>
      </c>
      <c r="D1223" s="274" t="s">
        <v>353</v>
      </c>
      <c r="E1223" s="274" t="s">
        <v>1162</v>
      </c>
      <c r="F1223" s="274">
        <v>3</v>
      </c>
      <c r="G1223" s="274" t="s">
        <v>265</v>
      </c>
      <c r="H1223" s="274" t="s">
        <v>20</v>
      </c>
      <c r="I1223" s="274" t="s">
        <v>21</v>
      </c>
      <c r="J1223" s="274"/>
      <c r="K1223" s="274" t="s">
        <v>632</v>
      </c>
      <c r="L1223" s="274">
        <v>25</v>
      </c>
      <c r="M1223" s="274" t="s">
        <v>633</v>
      </c>
      <c r="N1223" s="275">
        <v>1100</v>
      </c>
      <c r="O1223" s="275">
        <v>1100</v>
      </c>
      <c r="P1223" s="330">
        <v>6000</v>
      </c>
      <c r="Q1223" s="274">
        <v>2</v>
      </c>
      <c r="R1223" s="274">
        <v>24</v>
      </c>
      <c r="S1223" s="274" t="s">
        <v>354</v>
      </c>
      <c r="T1223" s="276">
        <v>45068</v>
      </c>
      <c r="U1223" s="276">
        <v>45100</v>
      </c>
      <c r="V1223" s="274" t="s">
        <v>355</v>
      </c>
      <c r="W1223" s="274"/>
      <c r="X1223" s="274"/>
    </row>
    <row r="1224" spans="1:24" ht="13.5" x14ac:dyDescent="0.15">
      <c r="A1224" s="274">
        <v>3712072</v>
      </c>
      <c r="B1224" s="274" t="s">
        <v>351</v>
      </c>
      <c r="C1224" s="274" t="s">
        <v>356</v>
      </c>
      <c r="D1224" s="274" t="s">
        <v>353</v>
      </c>
      <c r="E1224" s="274" t="s">
        <v>32</v>
      </c>
      <c r="F1224" s="274">
        <v>331</v>
      </c>
      <c r="G1224" s="274" t="s">
        <v>19</v>
      </c>
      <c r="H1224" s="274" t="s">
        <v>20</v>
      </c>
      <c r="I1224" s="274" t="s">
        <v>21</v>
      </c>
      <c r="J1224" s="274"/>
      <c r="K1224" s="274" t="s">
        <v>33</v>
      </c>
      <c r="L1224" s="274">
        <v>38</v>
      </c>
      <c r="M1224" s="274" t="s">
        <v>30</v>
      </c>
      <c r="N1224" s="275">
        <v>1580</v>
      </c>
      <c r="O1224" s="275">
        <v>1580</v>
      </c>
      <c r="P1224" s="330">
        <v>6000</v>
      </c>
      <c r="Q1224" s="274">
        <v>2</v>
      </c>
      <c r="R1224" s="274">
        <v>8</v>
      </c>
      <c r="S1224" s="274" t="s">
        <v>354</v>
      </c>
      <c r="T1224" s="276">
        <v>45068</v>
      </c>
      <c r="U1224" s="276">
        <v>45098</v>
      </c>
      <c r="V1224" s="274" t="s">
        <v>355</v>
      </c>
      <c r="W1224" s="274"/>
      <c r="X1224" s="274"/>
    </row>
    <row r="1225" spans="1:24" ht="13.5" x14ac:dyDescent="0.15">
      <c r="A1225" s="274">
        <v>3712073</v>
      </c>
      <c r="B1225" s="274" t="s">
        <v>351</v>
      </c>
      <c r="C1225" s="274" t="s">
        <v>356</v>
      </c>
      <c r="D1225" s="274" t="s">
        <v>353</v>
      </c>
      <c r="E1225" s="274" t="s">
        <v>32</v>
      </c>
      <c r="F1225" s="274">
        <v>331</v>
      </c>
      <c r="G1225" s="274" t="s">
        <v>19</v>
      </c>
      <c r="H1225" s="274" t="s">
        <v>20</v>
      </c>
      <c r="I1225" s="274" t="s">
        <v>21</v>
      </c>
      <c r="J1225" s="274"/>
      <c r="K1225" s="274" t="s">
        <v>33</v>
      </c>
      <c r="L1225" s="274">
        <v>25</v>
      </c>
      <c r="M1225" s="274" t="s">
        <v>30</v>
      </c>
      <c r="N1225" s="275">
        <v>1330</v>
      </c>
      <c r="O1225" s="275">
        <v>1330</v>
      </c>
      <c r="P1225" s="330">
        <v>6000</v>
      </c>
      <c r="Q1225" s="274">
        <v>2</v>
      </c>
      <c r="R1225" s="274">
        <v>56</v>
      </c>
      <c r="S1225" s="274" t="s">
        <v>354</v>
      </c>
      <c r="T1225" s="276">
        <v>45068</v>
      </c>
      <c r="U1225" s="276">
        <v>45098</v>
      </c>
      <c r="V1225" s="274" t="s">
        <v>355</v>
      </c>
      <c r="W1225" s="274"/>
      <c r="X1225" s="274"/>
    </row>
    <row r="1226" spans="1:24" ht="13.5" x14ac:dyDescent="0.15">
      <c r="A1226" s="274">
        <v>3712074</v>
      </c>
      <c r="B1226" s="274" t="s">
        <v>351</v>
      </c>
      <c r="C1226" s="274" t="s">
        <v>356</v>
      </c>
      <c r="D1226" s="274" t="s">
        <v>353</v>
      </c>
      <c r="E1226" s="274" t="s">
        <v>17</v>
      </c>
      <c r="F1226" s="274">
        <v>331</v>
      </c>
      <c r="G1226" s="274" t="s">
        <v>19</v>
      </c>
      <c r="H1226" s="274" t="s">
        <v>20</v>
      </c>
      <c r="I1226" s="274" t="s">
        <v>21</v>
      </c>
      <c r="J1226" s="274"/>
      <c r="K1226" s="274" t="s">
        <v>29</v>
      </c>
      <c r="L1226" s="274">
        <v>38</v>
      </c>
      <c r="M1226" s="274" t="s">
        <v>30</v>
      </c>
      <c r="N1226" s="275">
        <v>1330</v>
      </c>
      <c r="O1226" s="275">
        <v>1330</v>
      </c>
      <c r="P1226" s="330">
        <v>6000</v>
      </c>
      <c r="Q1226" s="274">
        <v>2</v>
      </c>
      <c r="R1226" s="274">
        <v>4</v>
      </c>
      <c r="S1226" s="274" t="s">
        <v>354</v>
      </c>
      <c r="T1226" s="276">
        <v>45068</v>
      </c>
      <c r="U1226" s="276">
        <v>45098</v>
      </c>
      <c r="V1226" s="274" t="s">
        <v>355</v>
      </c>
      <c r="W1226" s="274"/>
      <c r="X1226" s="274"/>
    </row>
    <row r="1227" spans="1:24" ht="13.5" x14ac:dyDescent="0.15">
      <c r="A1227" s="274">
        <v>3712075</v>
      </c>
      <c r="B1227" s="274" t="s">
        <v>351</v>
      </c>
      <c r="C1227" s="274" t="s">
        <v>356</v>
      </c>
      <c r="D1227" s="274" t="s">
        <v>353</v>
      </c>
      <c r="E1227" s="274" t="s">
        <v>32</v>
      </c>
      <c r="F1227" s="274">
        <v>331</v>
      </c>
      <c r="G1227" s="274" t="s">
        <v>19</v>
      </c>
      <c r="H1227" s="274" t="s">
        <v>20</v>
      </c>
      <c r="I1227" s="274" t="s">
        <v>21</v>
      </c>
      <c r="J1227" s="274"/>
      <c r="K1227" s="274" t="s">
        <v>33</v>
      </c>
      <c r="L1227" s="274">
        <v>38</v>
      </c>
      <c r="M1227" s="274" t="s">
        <v>30</v>
      </c>
      <c r="N1227" s="275">
        <v>1330</v>
      </c>
      <c r="O1227" s="275">
        <v>1330</v>
      </c>
      <c r="P1227" s="330">
        <v>6000</v>
      </c>
      <c r="Q1227" s="274">
        <v>2</v>
      </c>
      <c r="R1227" s="274">
        <v>20</v>
      </c>
      <c r="S1227" s="274" t="s">
        <v>354</v>
      </c>
      <c r="T1227" s="276">
        <v>45068</v>
      </c>
      <c r="U1227" s="276">
        <v>45098</v>
      </c>
      <c r="V1227" s="274" t="s">
        <v>355</v>
      </c>
      <c r="W1227" s="274"/>
      <c r="X1227" s="274"/>
    </row>
    <row r="1228" spans="1:24" ht="13.5" x14ac:dyDescent="0.15">
      <c r="A1228" s="274">
        <v>3712076</v>
      </c>
      <c r="B1228" s="274" t="s">
        <v>351</v>
      </c>
      <c r="C1228" s="274" t="s">
        <v>359</v>
      </c>
      <c r="D1228" s="274" t="s">
        <v>353</v>
      </c>
      <c r="E1228" s="274" t="s">
        <v>40</v>
      </c>
      <c r="F1228" s="274">
        <v>3</v>
      </c>
      <c r="G1228" s="274" t="s">
        <v>19</v>
      </c>
      <c r="H1228" s="274" t="s">
        <v>20</v>
      </c>
      <c r="I1228" s="274" t="s">
        <v>21</v>
      </c>
      <c r="J1228" s="274"/>
      <c r="K1228" s="274" t="s">
        <v>42</v>
      </c>
      <c r="L1228" s="274">
        <v>25</v>
      </c>
      <c r="M1228" s="274" t="s">
        <v>43</v>
      </c>
      <c r="N1228" s="275">
        <v>1085</v>
      </c>
      <c r="O1228" s="275">
        <v>1080</v>
      </c>
      <c r="P1228" s="330">
        <v>6000</v>
      </c>
      <c r="Q1228" s="274">
        <v>2</v>
      </c>
      <c r="R1228" s="274">
        <v>4</v>
      </c>
      <c r="S1228" s="274" t="s">
        <v>354</v>
      </c>
      <c r="T1228" s="276">
        <v>45068</v>
      </c>
      <c r="U1228" s="276">
        <v>45100</v>
      </c>
      <c r="V1228" s="274" t="s">
        <v>355</v>
      </c>
      <c r="W1228" s="274"/>
      <c r="X1228" s="274"/>
    </row>
    <row r="1229" spans="1:24" ht="13.5" x14ac:dyDescent="0.15">
      <c r="A1229" s="274">
        <v>3712077</v>
      </c>
      <c r="B1229" s="274" t="s">
        <v>351</v>
      </c>
      <c r="C1229" s="274" t="s">
        <v>356</v>
      </c>
      <c r="D1229" s="274" t="s">
        <v>353</v>
      </c>
      <c r="E1229" s="274" t="s">
        <v>17</v>
      </c>
      <c r="F1229" s="274">
        <v>3</v>
      </c>
      <c r="G1229" s="274" t="s">
        <v>19</v>
      </c>
      <c r="H1229" s="274" t="s">
        <v>20</v>
      </c>
      <c r="I1229" s="274" t="s">
        <v>21</v>
      </c>
      <c r="J1229" s="274"/>
      <c r="K1229" s="274" t="s">
        <v>22</v>
      </c>
      <c r="L1229" s="274">
        <v>38</v>
      </c>
      <c r="M1229" s="274" t="s">
        <v>23</v>
      </c>
      <c r="N1229" s="275">
        <v>1057</v>
      </c>
      <c r="O1229" s="275">
        <v>1050</v>
      </c>
      <c r="P1229" s="330">
        <v>6000</v>
      </c>
      <c r="Q1229" s="274">
        <v>2</v>
      </c>
      <c r="R1229" s="274">
        <v>9</v>
      </c>
      <c r="S1229" s="274" t="s">
        <v>354</v>
      </c>
      <c r="T1229" s="276">
        <v>45068</v>
      </c>
      <c r="U1229" s="276">
        <v>45100</v>
      </c>
      <c r="V1229" s="274" t="s">
        <v>355</v>
      </c>
      <c r="W1229" s="274"/>
      <c r="X1229" s="274"/>
    </row>
    <row r="1230" spans="1:24" ht="13.5" x14ac:dyDescent="0.15">
      <c r="A1230" s="274">
        <v>3712078</v>
      </c>
      <c r="B1230" s="274" t="s">
        <v>351</v>
      </c>
      <c r="C1230" s="274" t="s">
        <v>359</v>
      </c>
      <c r="D1230" s="274" t="s">
        <v>353</v>
      </c>
      <c r="E1230" s="274" t="s">
        <v>40</v>
      </c>
      <c r="F1230" s="274">
        <v>3</v>
      </c>
      <c r="G1230" s="274" t="s">
        <v>19</v>
      </c>
      <c r="H1230" s="274" t="s">
        <v>20</v>
      </c>
      <c r="I1230" s="274" t="s">
        <v>21</v>
      </c>
      <c r="J1230" s="274"/>
      <c r="K1230" s="274" t="s">
        <v>42</v>
      </c>
      <c r="L1230" s="274">
        <v>25</v>
      </c>
      <c r="M1230" s="274" t="s">
        <v>43</v>
      </c>
      <c r="N1230" s="275">
        <v>1045</v>
      </c>
      <c r="O1230" s="275">
        <v>1040</v>
      </c>
      <c r="P1230" s="330">
        <v>6000</v>
      </c>
      <c r="Q1230" s="274">
        <v>2</v>
      </c>
      <c r="R1230" s="274">
        <v>20</v>
      </c>
      <c r="S1230" s="274" t="s">
        <v>354</v>
      </c>
      <c r="T1230" s="276">
        <v>45068</v>
      </c>
      <c r="U1230" s="276">
        <v>45100</v>
      </c>
      <c r="V1230" s="274" t="s">
        <v>355</v>
      </c>
      <c r="W1230" s="274"/>
      <c r="X1230" s="274"/>
    </row>
    <row r="1231" spans="1:24" ht="13.5" x14ac:dyDescent="0.15">
      <c r="A1231" s="274">
        <v>3712079</v>
      </c>
      <c r="B1231" s="274" t="s">
        <v>351</v>
      </c>
      <c r="C1231" s="274" t="s">
        <v>356</v>
      </c>
      <c r="D1231" s="274" t="s">
        <v>353</v>
      </c>
      <c r="E1231" s="274" t="s">
        <v>17</v>
      </c>
      <c r="F1231" s="274">
        <v>3</v>
      </c>
      <c r="G1231" s="274" t="s">
        <v>19</v>
      </c>
      <c r="H1231" s="274" t="s">
        <v>20</v>
      </c>
      <c r="I1231" s="274" t="s">
        <v>21</v>
      </c>
      <c r="J1231" s="274"/>
      <c r="K1231" s="274" t="s">
        <v>22</v>
      </c>
      <c r="L1231" s="274">
        <v>38</v>
      </c>
      <c r="M1231" s="274" t="s">
        <v>23</v>
      </c>
      <c r="N1231" s="275">
        <v>1037</v>
      </c>
      <c r="O1231" s="275">
        <v>1030</v>
      </c>
      <c r="P1231" s="330">
        <v>6000</v>
      </c>
      <c r="Q1231" s="274">
        <v>2</v>
      </c>
      <c r="R1231" s="274">
        <v>50</v>
      </c>
      <c r="S1231" s="274" t="s">
        <v>354</v>
      </c>
      <c r="T1231" s="276">
        <v>45068</v>
      </c>
      <c r="U1231" s="276">
        <v>45100</v>
      </c>
      <c r="V1231" s="274" t="s">
        <v>355</v>
      </c>
      <c r="W1231" s="274"/>
      <c r="X1231" s="274"/>
    </row>
    <row r="1232" spans="1:24" ht="13.5" x14ac:dyDescent="0.15">
      <c r="A1232" s="274">
        <v>3712080</v>
      </c>
      <c r="B1232" s="274" t="s">
        <v>351</v>
      </c>
      <c r="C1232" s="274" t="s">
        <v>356</v>
      </c>
      <c r="D1232" s="274" t="s">
        <v>353</v>
      </c>
      <c r="E1232" s="274" t="s">
        <v>17</v>
      </c>
      <c r="F1232" s="274">
        <v>3</v>
      </c>
      <c r="G1232" s="274" t="s">
        <v>19</v>
      </c>
      <c r="H1232" s="274" t="s">
        <v>20</v>
      </c>
      <c r="I1232" s="274" t="s">
        <v>21</v>
      </c>
      <c r="J1232" s="274"/>
      <c r="K1232" s="274" t="s">
        <v>22</v>
      </c>
      <c r="L1232" s="274">
        <v>38</v>
      </c>
      <c r="M1232" s="274" t="s">
        <v>23</v>
      </c>
      <c r="N1232" s="275">
        <v>1037</v>
      </c>
      <c r="O1232" s="275">
        <v>1030</v>
      </c>
      <c r="P1232" s="330">
        <v>6000</v>
      </c>
      <c r="Q1232" s="274">
        <v>2</v>
      </c>
      <c r="R1232" s="274">
        <v>50</v>
      </c>
      <c r="S1232" s="274" t="s">
        <v>354</v>
      </c>
      <c r="T1232" s="276">
        <v>45068</v>
      </c>
      <c r="U1232" s="276">
        <v>45105</v>
      </c>
      <c r="V1232" s="274" t="s">
        <v>355</v>
      </c>
      <c r="W1232" s="274"/>
      <c r="X1232" s="274"/>
    </row>
    <row r="1233" spans="1:25" ht="13.5" x14ac:dyDescent="0.15">
      <c r="A1233" s="274">
        <v>3712081</v>
      </c>
      <c r="B1233" s="274" t="s">
        <v>351</v>
      </c>
      <c r="C1233" s="274" t="s">
        <v>356</v>
      </c>
      <c r="D1233" s="274" t="s">
        <v>353</v>
      </c>
      <c r="E1233" s="274" t="s">
        <v>377</v>
      </c>
      <c r="F1233" s="274">
        <v>3</v>
      </c>
      <c r="G1233" s="274" t="s">
        <v>19</v>
      </c>
      <c r="H1233" s="274" t="s">
        <v>20</v>
      </c>
      <c r="I1233" s="274" t="s">
        <v>21</v>
      </c>
      <c r="J1233" s="274"/>
      <c r="K1233" s="274" t="s">
        <v>36</v>
      </c>
      <c r="L1233" s="274">
        <v>25</v>
      </c>
      <c r="M1233" s="274" t="s">
        <v>37</v>
      </c>
      <c r="N1233" s="274">
        <v>890</v>
      </c>
      <c r="O1233" s="274">
        <v>890</v>
      </c>
      <c r="P1233" s="330">
        <v>6000</v>
      </c>
      <c r="Q1233" s="274">
        <v>2</v>
      </c>
      <c r="R1233" s="274">
        <v>3</v>
      </c>
      <c r="S1233" s="274" t="s">
        <v>354</v>
      </c>
      <c r="T1233" s="276">
        <v>45068</v>
      </c>
      <c r="U1233" s="276">
        <v>45105</v>
      </c>
      <c r="V1233" s="274" t="s">
        <v>355</v>
      </c>
      <c r="W1233" s="274"/>
      <c r="X1233" s="274"/>
    </row>
    <row r="1234" spans="1:25" ht="13.5" x14ac:dyDescent="0.15">
      <c r="A1234" s="274">
        <v>3712082</v>
      </c>
      <c r="B1234" s="274" t="s">
        <v>351</v>
      </c>
      <c r="C1234" s="274" t="s">
        <v>358</v>
      </c>
      <c r="D1234" s="274" t="s">
        <v>353</v>
      </c>
      <c r="E1234" s="274" t="s">
        <v>61</v>
      </c>
      <c r="F1234" s="274">
        <v>3313</v>
      </c>
      <c r="G1234" s="274" t="s">
        <v>19</v>
      </c>
      <c r="H1234" s="274" t="s">
        <v>20</v>
      </c>
      <c r="I1234" s="274" t="s">
        <v>21</v>
      </c>
      <c r="J1234" s="274"/>
      <c r="K1234" s="274" t="s">
        <v>62</v>
      </c>
      <c r="L1234" s="274">
        <v>38</v>
      </c>
      <c r="M1234" s="274" t="s">
        <v>63</v>
      </c>
      <c r="N1234" s="274">
        <v>750</v>
      </c>
      <c r="O1234" s="274">
        <v>750</v>
      </c>
      <c r="P1234" s="330">
        <v>6000</v>
      </c>
      <c r="Q1234" s="274">
        <v>2</v>
      </c>
      <c r="R1234" s="274">
        <v>20</v>
      </c>
      <c r="S1234" s="274" t="s">
        <v>354</v>
      </c>
      <c r="T1234" s="276">
        <v>45068</v>
      </c>
      <c r="U1234" s="276">
        <v>45105</v>
      </c>
      <c r="V1234" s="274" t="s">
        <v>355</v>
      </c>
      <c r="W1234" s="274"/>
      <c r="X1234" s="274"/>
    </row>
    <row r="1235" spans="1:25" ht="13.5" x14ac:dyDescent="0.15">
      <c r="A1235" s="274">
        <v>3712083</v>
      </c>
      <c r="B1235" s="274" t="s">
        <v>351</v>
      </c>
      <c r="C1235" s="274" t="s">
        <v>358</v>
      </c>
      <c r="D1235" s="274" t="s">
        <v>353</v>
      </c>
      <c r="E1235" s="274" t="s">
        <v>61</v>
      </c>
      <c r="F1235" s="274">
        <v>331</v>
      </c>
      <c r="G1235" s="274" t="s">
        <v>19</v>
      </c>
      <c r="H1235" s="274" t="s">
        <v>20</v>
      </c>
      <c r="I1235" s="274" t="s">
        <v>21</v>
      </c>
      <c r="J1235" s="274"/>
      <c r="K1235" s="274" t="s">
        <v>62</v>
      </c>
      <c r="L1235" s="274">
        <v>38</v>
      </c>
      <c r="M1235" s="274" t="s">
        <v>63</v>
      </c>
      <c r="N1235" s="275">
        <v>1025</v>
      </c>
      <c r="O1235" s="275">
        <v>1020</v>
      </c>
      <c r="P1235" s="330">
        <v>6000</v>
      </c>
      <c r="Q1235" s="274">
        <v>2</v>
      </c>
      <c r="R1235" s="274">
        <v>8</v>
      </c>
      <c r="S1235" s="274" t="s">
        <v>354</v>
      </c>
      <c r="T1235" s="276">
        <v>45068</v>
      </c>
      <c r="U1235" s="276">
        <v>45105</v>
      </c>
      <c r="V1235" s="274" t="s">
        <v>355</v>
      </c>
      <c r="W1235" s="274"/>
      <c r="X1235" s="274"/>
    </row>
    <row r="1236" spans="1:25" ht="13.5" x14ac:dyDescent="0.15">
      <c r="A1236" s="274">
        <v>3712084</v>
      </c>
      <c r="B1236" s="274" t="s">
        <v>351</v>
      </c>
      <c r="C1236" s="274" t="s">
        <v>363</v>
      </c>
      <c r="D1236" s="274" t="s">
        <v>353</v>
      </c>
      <c r="E1236" s="274" t="s">
        <v>65</v>
      </c>
      <c r="F1236" s="274">
        <v>3321</v>
      </c>
      <c r="G1236" s="274" t="s">
        <v>19</v>
      </c>
      <c r="H1236" s="274" t="s">
        <v>20</v>
      </c>
      <c r="I1236" s="274" t="s">
        <v>21</v>
      </c>
      <c r="J1236" s="274"/>
      <c r="K1236" s="274" t="s">
        <v>67</v>
      </c>
      <c r="L1236" s="274">
        <v>38</v>
      </c>
      <c r="M1236" s="274" t="s">
        <v>68</v>
      </c>
      <c r="N1236" s="275">
        <v>1336</v>
      </c>
      <c r="O1236" s="275">
        <v>1325</v>
      </c>
      <c r="P1236" s="330">
        <v>6000</v>
      </c>
      <c r="Q1236" s="274">
        <v>2</v>
      </c>
      <c r="R1236" s="274">
        <v>50</v>
      </c>
      <c r="S1236" s="274" t="s">
        <v>354</v>
      </c>
      <c r="T1236" s="276">
        <v>45068</v>
      </c>
      <c r="U1236" s="276">
        <v>45105</v>
      </c>
      <c r="V1236" s="274" t="s">
        <v>355</v>
      </c>
      <c r="W1236" s="274"/>
      <c r="X1236" s="274"/>
    </row>
    <row r="1237" spans="1:25" ht="13.5" x14ac:dyDescent="0.15">
      <c r="A1237" s="274">
        <v>3712085</v>
      </c>
      <c r="B1237" s="274" t="s">
        <v>351</v>
      </c>
      <c r="C1237" s="274" t="s">
        <v>363</v>
      </c>
      <c r="D1237" s="274" t="s">
        <v>353</v>
      </c>
      <c r="E1237" s="274" t="s">
        <v>65</v>
      </c>
      <c r="F1237" s="274">
        <v>3321</v>
      </c>
      <c r="G1237" s="274" t="s">
        <v>19</v>
      </c>
      <c r="H1237" s="274" t="s">
        <v>20</v>
      </c>
      <c r="I1237" s="274" t="s">
        <v>21</v>
      </c>
      <c r="J1237" s="274"/>
      <c r="K1237" s="274" t="s">
        <v>70</v>
      </c>
      <c r="L1237" s="274">
        <v>38</v>
      </c>
      <c r="M1237" s="274" t="s">
        <v>71</v>
      </c>
      <c r="N1237" s="275">
        <v>1336</v>
      </c>
      <c r="O1237" s="275">
        <v>1325</v>
      </c>
      <c r="P1237" s="330">
        <v>6000</v>
      </c>
      <c r="Q1237" s="274">
        <v>2</v>
      </c>
      <c r="R1237" s="274">
        <v>50</v>
      </c>
      <c r="S1237" s="274" t="s">
        <v>354</v>
      </c>
      <c r="T1237" s="276">
        <v>45068</v>
      </c>
      <c r="U1237" s="276">
        <v>45105</v>
      </c>
      <c r="V1237" s="274" t="s">
        <v>355</v>
      </c>
      <c r="W1237" s="274"/>
      <c r="X1237" s="274"/>
    </row>
    <row r="1238" spans="1:25" ht="13.5" x14ac:dyDescent="0.15">
      <c r="A1238" s="274">
        <v>3712086</v>
      </c>
      <c r="B1238" s="274" t="s">
        <v>351</v>
      </c>
      <c r="C1238" s="274" t="s">
        <v>356</v>
      </c>
      <c r="D1238" s="274" t="s">
        <v>353</v>
      </c>
      <c r="E1238" s="274" t="s">
        <v>668</v>
      </c>
      <c r="F1238" s="274">
        <v>3</v>
      </c>
      <c r="G1238" s="274" t="s">
        <v>19</v>
      </c>
      <c r="H1238" s="274" t="s">
        <v>28</v>
      </c>
      <c r="I1238" s="274" t="s">
        <v>21</v>
      </c>
      <c r="J1238" s="274"/>
      <c r="K1238" s="274" t="s">
        <v>102</v>
      </c>
      <c r="L1238" s="274">
        <v>50</v>
      </c>
      <c r="M1238" s="274" t="s">
        <v>103</v>
      </c>
      <c r="N1238" s="275">
        <v>1050</v>
      </c>
      <c r="O1238" s="275">
        <v>1040</v>
      </c>
      <c r="P1238" s="330">
        <v>6000</v>
      </c>
      <c r="Q1238" s="274">
        <v>2</v>
      </c>
      <c r="R1238" s="274">
        <v>7</v>
      </c>
      <c r="S1238" s="274" t="s">
        <v>354</v>
      </c>
      <c r="T1238" s="276">
        <v>45068</v>
      </c>
      <c r="U1238" s="276">
        <v>45105</v>
      </c>
      <c r="V1238" s="274" t="s">
        <v>355</v>
      </c>
      <c r="W1238" s="274"/>
      <c r="X1238" s="274"/>
    </row>
    <row r="1239" spans="1:25" ht="13.5" x14ac:dyDescent="0.15">
      <c r="A1239" s="274">
        <v>3712087</v>
      </c>
      <c r="B1239" s="274" t="s">
        <v>351</v>
      </c>
      <c r="C1239" s="274" t="s">
        <v>356</v>
      </c>
      <c r="D1239" s="274" t="s">
        <v>353</v>
      </c>
      <c r="E1239" s="274" t="s">
        <v>106</v>
      </c>
      <c r="F1239" s="274">
        <v>3</v>
      </c>
      <c r="G1239" s="274" t="s">
        <v>19</v>
      </c>
      <c r="H1239" s="274" t="s">
        <v>20</v>
      </c>
      <c r="I1239" s="274" t="s">
        <v>21</v>
      </c>
      <c r="J1239" s="274"/>
      <c r="K1239" s="274" t="s">
        <v>107</v>
      </c>
      <c r="L1239" s="274">
        <v>25</v>
      </c>
      <c r="M1239" s="274" t="s">
        <v>367</v>
      </c>
      <c r="N1239" s="275">
        <v>1240</v>
      </c>
      <c r="O1239" s="275">
        <v>1240</v>
      </c>
      <c r="P1239" s="330">
        <v>6000</v>
      </c>
      <c r="Q1239" s="274">
        <v>2</v>
      </c>
      <c r="R1239" s="274">
        <v>30</v>
      </c>
      <c r="S1239" s="274" t="s">
        <v>354</v>
      </c>
      <c r="T1239" s="276">
        <v>45068</v>
      </c>
      <c r="U1239" s="276">
        <v>45105</v>
      </c>
      <c r="V1239" s="274" t="s">
        <v>355</v>
      </c>
      <c r="W1239" s="274"/>
      <c r="X1239" s="274"/>
    </row>
    <row r="1240" spans="1:25" ht="13.5" x14ac:dyDescent="0.15">
      <c r="A1240" s="274">
        <v>3712088</v>
      </c>
      <c r="B1240" s="274" t="s">
        <v>351</v>
      </c>
      <c r="C1240" s="274" t="s">
        <v>356</v>
      </c>
      <c r="D1240" s="274" t="s">
        <v>353</v>
      </c>
      <c r="E1240" s="274" t="s">
        <v>106</v>
      </c>
      <c r="F1240" s="274">
        <v>3</v>
      </c>
      <c r="G1240" s="274" t="s">
        <v>19</v>
      </c>
      <c r="H1240" s="274" t="s">
        <v>20</v>
      </c>
      <c r="I1240" s="274" t="s">
        <v>21</v>
      </c>
      <c r="J1240" s="274"/>
      <c r="K1240" s="274" t="s">
        <v>107</v>
      </c>
      <c r="L1240" s="274">
        <v>25</v>
      </c>
      <c r="M1240" s="274" t="s">
        <v>367</v>
      </c>
      <c r="N1240" s="275">
        <v>1040</v>
      </c>
      <c r="O1240" s="275">
        <v>1040</v>
      </c>
      <c r="P1240" s="330">
        <v>6000</v>
      </c>
      <c r="Q1240" s="274">
        <v>2</v>
      </c>
      <c r="R1240" s="274">
        <v>30</v>
      </c>
      <c r="S1240" s="274" t="s">
        <v>354</v>
      </c>
      <c r="T1240" s="276">
        <v>45068</v>
      </c>
      <c r="U1240" s="276">
        <v>45105</v>
      </c>
      <c r="V1240" s="274" t="s">
        <v>355</v>
      </c>
      <c r="W1240" s="274"/>
      <c r="X1240" s="274"/>
    </row>
    <row r="1241" spans="1:25" ht="13.5" x14ac:dyDescent="0.15">
      <c r="A1241" s="274">
        <v>3712091</v>
      </c>
      <c r="B1241" s="274" t="s">
        <v>351</v>
      </c>
      <c r="C1241" s="274" t="s">
        <v>364</v>
      </c>
      <c r="D1241" s="274" t="s">
        <v>353</v>
      </c>
      <c r="E1241" s="274" t="s">
        <v>162</v>
      </c>
      <c r="F1241" s="274">
        <v>3</v>
      </c>
      <c r="G1241" s="274" t="s">
        <v>19</v>
      </c>
      <c r="H1241" s="274" t="s">
        <v>20</v>
      </c>
      <c r="I1241" s="274" t="s">
        <v>143</v>
      </c>
      <c r="J1241" s="274"/>
      <c r="K1241" s="274" t="s">
        <v>163</v>
      </c>
      <c r="L1241" s="274">
        <v>38</v>
      </c>
      <c r="M1241" s="274" t="s">
        <v>164</v>
      </c>
      <c r="N1241" s="275">
        <v>1320</v>
      </c>
      <c r="O1241" s="275">
        <v>1320</v>
      </c>
      <c r="P1241" s="330">
        <v>6000</v>
      </c>
      <c r="Q1241" s="274">
        <v>2</v>
      </c>
      <c r="R1241" s="274">
        <v>5</v>
      </c>
      <c r="S1241" s="274" t="s">
        <v>354</v>
      </c>
      <c r="T1241" s="276">
        <v>45068</v>
      </c>
      <c r="U1241" s="276">
        <v>45100</v>
      </c>
      <c r="V1241" s="274" t="s">
        <v>355</v>
      </c>
      <c r="W1241" s="274"/>
      <c r="X1241" s="274"/>
    </row>
    <row r="1242" spans="1:25" ht="13.5" x14ac:dyDescent="0.15">
      <c r="A1242" s="274">
        <v>3712092</v>
      </c>
      <c r="B1242" s="274" t="s">
        <v>351</v>
      </c>
      <c r="C1242" s="274" t="s">
        <v>364</v>
      </c>
      <c r="D1242" s="274" t="s">
        <v>353</v>
      </c>
      <c r="E1242" s="274" t="s">
        <v>162</v>
      </c>
      <c r="F1242" s="274">
        <v>3</v>
      </c>
      <c r="G1242" s="274" t="s">
        <v>19</v>
      </c>
      <c r="H1242" s="274" t="s">
        <v>20</v>
      </c>
      <c r="I1242" s="274" t="s">
        <v>143</v>
      </c>
      <c r="J1242" s="274"/>
      <c r="K1242" s="274" t="s">
        <v>163</v>
      </c>
      <c r="L1242" s="274">
        <v>50</v>
      </c>
      <c r="M1242" s="274" t="s">
        <v>164</v>
      </c>
      <c r="N1242" s="275">
        <v>1320</v>
      </c>
      <c r="O1242" s="275">
        <v>1320</v>
      </c>
      <c r="P1242" s="330">
        <v>6000</v>
      </c>
      <c r="Q1242" s="274">
        <v>2</v>
      </c>
      <c r="R1242" s="274">
        <v>2</v>
      </c>
      <c r="S1242" s="274" t="s">
        <v>354</v>
      </c>
      <c r="T1242" s="276">
        <v>45068</v>
      </c>
      <c r="U1242" s="276">
        <v>45100</v>
      </c>
      <c r="V1242" s="274" t="s">
        <v>355</v>
      </c>
      <c r="W1242" s="274"/>
      <c r="X1242" s="274"/>
    </row>
    <row r="1243" spans="1:25" ht="13.5" x14ac:dyDescent="0.15">
      <c r="A1243" s="274">
        <v>3712098</v>
      </c>
      <c r="B1243" s="274" t="s">
        <v>351</v>
      </c>
      <c r="C1243" s="274" t="s">
        <v>434</v>
      </c>
      <c r="D1243" s="274" t="s">
        <v>353</v>
      </c>
      <c r="E1243" s="274" t="s">
        <v>1163</v>
      </c>
      <c r="F1243" s="274">
        <v>3</v>
      </c>
      <c r="G1243" s="274" t="s">
        <v>19</v>
      </c>
      <c r="H1243" s="274" t="s">
        <v>20</v>
      </c>
      <c r="I1243" s="274" t="s">
        <v>132</v>
      </c>
      <c r="J1243" s="274"/>
      <c r="K1243" s="274" t="s">
        <v>139</v>
      </c>
      <c r="L1243" s="274">
        <v>25</v>
      </c>
      <c r="M1243" s="274" t="s">
        <v>140</v>
      </c>
      <c r="N1243" s="275">
        <v>1575</v>
      </c>
      <c r="O1243" s="275">
        <v>1575</v>
      </c>
      <c r="P1243" s="330">
        <v>6000</v>
      </c>
      <c r="Q1243" s="274">
        <v>2</v>
      </c>
      <c r="R1243" s="274">
        <v>3</v>
      </c>
      <c r="S1243" s="274" t="s">
        <v>354</v>
      </c>
      <c r="T1243" s="276">
        <v>45068</v>
      </c>
      <c r="U1243" s="276">
        <v>45100</v>
      </c>
      <c r="V1243" s="274" t="s">
        <v>355</v>
      </c>
      <c r="W1243" s="274"/>
      <c r="X1243" s="274"/>
    </row>
    <row r="1244" spans="1:25" ht="13.5" x14ac:dyDescent="0.15">
      <c r="A1244" s="274">
        <v>3712112</v>
      </c>
      <c r="B1244" s="274" t="s">
        <v>351</v>
      </c>
      <c r="C1244" s="274" t="s">
        <v>352</v>
      </c>
      <c r="D1244" s="274" t="s">
        <v>353</v>
      </c>
      <c r="E1244" s="274" t="s">
        <v>116</v>
      </c>
      <c r="F1244" s="274">
        <v>3</v>
      </c>
      <c r="G1244" s="274" t="s">
        <v>19</v>
      </c>
      <c r="H1244" s="274" t="s">
        <v>20</v>
      </c>
      <c r="I1244" s="274" t="s">
        <v>143</v>
      </c>
      <c r="J1244" s="274"/>
      <c r="K1244" s="274" t="s">
        <v>144</v>
      </c>
      <c r="L1244" s="274">
        <v>75</v>
      </c>
      <c r="M1244" s="274" t="s">
        <v>145</v>
      </c>
      <c r="N1244" s="275">
        <v>1005</v>
      </c>
      <c r="O1244" s="275">
        <v>1000</v>
      </c>
      <c r="P1244" s="330">
        <v>6000</v>
      </c>
      <c r="Q1244" s="274">
        <v>2</v>
      </c>
      <c r="R1244" s="274">
        <v>3</v>
      </c>
      <c r="S1244" s="274" t="s">
        <v>354</v>
      </c>
      <c r="T1244" s="276">
        <v>45068</v>
      </c>
      <c r="U1244" s="276">
        <v>45096</v>
      </c>
      <c r="V1244" s="274" t="s">
        <v>355</v>
      </c>
      <c r="W1244" s="274"/>
      <c r="X1244" s="274"/>
    </row>
    <row r="1245" spans="1:25" ht="13.5" x14ac:dyDescent="0.15">
      <c r="A1245" s="274">
        <v>3712116</v>
      </c>
      <c r="B1245" s="274" t="s">
        <v>351</v>
      </c>
      <c r="C1245" s="274" t="s">
        <v>352</v>
      </c>
      <c r="D1245" s="274" t="s">
        <v>353</v>
      </c>
      <c r="E1245" s="274" t="s">
        <v>116</v>
      </c>
      <c r="F1245" s="274">
        <v>3</v>
      </c>
      <c r="G1245" s="274" t="s">
        <v>19</v>
      </c>
      <c r="H1245" s="274" t="s">
        <v>20</v>
      </c>
      <c r="I1245" s="274" t="s">
        <v>143</v>
      </c>
      <c r="J1245" s="274"/>
      <c r="K1245" s="274" t="s">
        <v>144</v>
      </c>
      <c r="L1245" s="274">
        <v>50</v>
      </c>
      <c r="M1245" s="274" t="s">
        <v>145</v>
      </c>
      <c r="N1245" s="275">
        <v>1005</v>
      </c>
      <c r="O1245" s="275">
        <v>1000</v>
      </c>
      <c r="P1245" s="330">
        <v>6000</v>
      </c>
      <c r="Q1245" s="274">
        <v>2</v>
      </c>
      <c r="R1245" s="274">
        <v>14</v>
      </c>
      <c r="S1245" s="274" t="s">
        <v>354</v>
      </c>
      <c r="T1245" s="276">
        <v>45068</v>
      </c>
      <c r="U1245" s="276">
        <v>45100</v>
      </c>
      <c r="V1245" s="274" t="s">
        <v>355</v>
      </c>
      <c r="W1245" s="274"/>
      <c r="X1245" s="274"/>
    </row>
    <row r="1246" spans="1:25" ht="13.5" x14ac:dyDescent="0.15">
      <c r="A1246" s="274">
        <v>3712127</v>
      </c>
      <c r="B1246" s="274" t="s">
        <v>351</v>
      </c>
      <c r="C1246" s="274" t="s">
        <v>356</v>
      </c>
      <c r="D1246" s="274" t="s">
        <v>353</v>
      </c>
      <c r="E1246" s="274" t="s">
        <v>114</v>
      </c>
      <c r="F1246" s="274">
        <v>3</v>
      </c>
      <c r="G1246" s="274" t="s">
        <v>19</v>
      </c>
      <c r="H1246" s="274" t="s">
        <v>20</v>
      </c>
      <c r="I1246" s="274" t="s">
        <v>21</v>
      </c>
      <c r="J1246" s="274"/>
      <c r="K1246" s="274" t="s">
        <v>112</v>
      </c>
      <c r="L1246" s="274">
        <v>25</v>
      </c>
      <c r="M1246" s="274" t="s">
        <v>357</v>
      </c>
      <c r="N1246" s="274">
        <v>640</v>
      </c>
      <c r="O1246" s="274">
        <v>640</v>
      </c>
      <c r="P1246" s="330">
        <v>6000</v>
      </c>
      <c r="Q1246" s="274">
        <v>2</v>
      </c>
      <c r="R1246" s="274">
        <v>6</v>
      </c>
      <c r="S1246" s="274" t="s">
        <v>354</v>
      </c>
      <c r="T1246" s="276">
        <v>45068</v>
      </c>
      <c r="U1246" s="276">
        <v>45093</v>
      </c>
      <c r="V1246" s="274" t="s">
        <v>355</v>
      </c>
      <c r="W1246" s="274"/>
      <c r="X1246" s="274"/>
    </row>
    <row r="1247" spans="1:25" ht="13.5" x14ac:dyDescent="0.15">
      <c r="A1247" s="274">
        <v>3712127</v>
      </c>
      <c r="B1247" s="274" t="s">
        <v>351</v>
      </c>
      <c r="C1247" s="274" t="s">
        <v>356</v>
      </c>
      <c r="D1247" s="274" t="s">
        <v>353</v>
      </c>
      <c r="E1247" s="274" t="s">
        <v>114</v>
      </c>
      <c r="F1247" s="274">
        <v>3</v>
      </c>
      <c r="G1247" s="274" t="s">
        <v>19</v>
      </c>
      <c r="H1247" s="274" t="s">
        <v>20</v>
      </c>
      <c r="I1247" s="274" t="s">
        <v>21</v>
      </c>
      <c r="J1247" s="274"/>
      <c r="K1247" s="274" t="s">
        <v>112</v>
      </c>
      <c r="L1247" s="274">
        <v>25</v>
      </c>
      <c r="M1247" s="274" t="s">
        <v>357</v>
      </c>
      <c r="N1247" s="274">
        <v>540</v>
      </c>
      <c r="O1247" s="274">
        <v>540</v>
      </c>
      <c r="P1247" s="330">
        <v>6000</v>
      </c>
      <c r="Q1247" s="274">
        <v>2</v>
      </c>
      <c r="R1247" s="274">
        <v>6</v>
      </c>
      <c r="S1247" s="274" t="s">
        <v>354</v>
      </c>
      <c r="T1247" s="276">
        <v>45068</v>
      </c>
      <c r="U1247" s="276">
        <v>45093</v>
      </c>
      <c r="V1247" s="274" t="s">
        <v>355</v>
      </c>
      <c r="W1247" s="274"/>
      <c r="X1247" s="274"/>
    </row>
    <row r="1248" spans="1:25" ht="13.5" x14ac:dyDescent="0.15">
      <c r="A1248" s="274">
        <v>3716206</v>
      </c>
      <c r="B1248" s="274" t="s">
        <v>351</v>
      </c>
      <c r="C1248" s="274" t="s">
        <v>358</v>
      </c>
      <c r="D1248" s="274" t="s">
        <v>353</v>
      </c>
      <c r="E1248" s="274" t="s">
        <v>110</v>
      </c>
      <c r="F1248" s="274">
        <v>331</v>
      </c>
      <c r="G1248" s="274" t="s">
        <v>19</v>
      </c>
      <c r="H1248" s="274" t="s">
        <v>20</v>
      </c>
      <c r="I1248" s="274" t="s">
        <v>21</v>
      </c>
      <c r="J1248" s="274"/>
      <c r="K1248" s="274" t="s">
        <v>112</v>
      </c>
      <c r="L1248" s="274">
        <v>25</v>
      </c>
      <c r="M1248" s="274" t="s">
        <v>357</v>
      </c>
      <c r="N1248" s="274">
        <v>450</v>
      </c>
      <c r="O1248" s="274">
        <v>450</v>
      </c>
      <c r="P1248" s="330">
        <v>6000</v>
      </c>
      <c r="Q1248" s="274">
        <v>2</v>
      </c>
      <c r="R1248" s="274">
        <v>12</v>
      </c>
      <c r="S1248" s="274" t="s">
        <v>354</v>
      </c>
      <c r="T1248" s="276">
        <v>45097</v>
      </c>
      <c r="U1248" s="276">
        <v>45121</v>
      </c>
      <c r="V1248" s="274" t="s">
        <v>355</v>
      </c>
      <c r="W1248" s="274"/>
      <c r="X1248" s="274"/>
      <c r="Y1248" s="239"/>
    </row>
    <row r="1249" spans="1:25" ht="13.5" x14ac:dyDescent="0.15">
      <c r="A1249" s="274">
        <v>3716207</v>
      </c>
      <c r="B1249" s="274" t="s">
        <v>351</v>
      </c>
      <c r="C1249" s="274" t="s">
        <v>356</v>
      </c>
      <c r="D1249" s="274" t="s">
        <v>353</v>
      </c>
      <c r="E1249" s="274" t="s">
        <v>32</v>
      </c>
      <c r="F1249" s="274">
        <v>331</v>
      </c>
      <c r="G1249" s="274" t="s">
        <v>19</v>
      </c>
      <c r="H1249" s="274" t="s">
        <v>20</v>
      </c>
      <c r="I1249" s="274" t="s">
        <v>21</v>
      </c>
      <c r="J1249" s="274"/>
      <c r="K1249" s="274" t="s">
        <v>54</v>
      </c>
      <c r="L1249" s="274">
        <v>38</v>
      </c>
      <c r="M1249" s="274" t="s">
        <v>53</v>
      </c>
      <c r="N1249" s="275">
        <v>1580</v>
      </c>
      <c r="O1249" s="275">
        <v>1580</v>
      </c>
      <c r="P1249" s="330">
        <v>6000</v>
      </c>
      <c r="Q1249" s="274">
        <v>2</v>
      </c>
      <c r="R1249" s="274">
        <v>4</v>
      </c>
      <c r="S1249" s="274" t="s">
        <v>354</v>
      </c>
      <c r="T1249" s="276">
        <v>45097</v>
      </c>
      <c r="U1249" s="276">
        <v>45121</v>
      </c>
      <c r="V1249" s="274" t="s">
        <v>355</v>
      </c>
      <c r="W1249" s="274"/>
      <c r="X1249" s="274"/>
      <c r="Y1249" s="239"/>
    </row>
    <row r="1250" spans="1:25" ht="13.5" x14ac:dyDescent="0.15">
      <c r="A1250" s="274">
        <v>3716208</v>
      </c>
      <c r="B1250" s="274" t="s">
        <v>351</v>
      </c>
      <c r="C1250" s="274" t="s">
        <v>356</v>
      </c>
      <c r="D1250" s="274" t="s">
        <v>353</v>
      </c>
      <c r="E1250" s="274" t="s">
        <v>32</v>
      </c>
      <c r="F1250" s="274">
        <v>331</v>
      </c>
      <c r="G1250" s="274" t="s">
        <v>19</v>
      </c>
      <c r="H1250" s="274" t="s">
        <v>20</v>
      </c>
      <c r="I1250" s="274" t="s">
        <v>21</v>
      </c>
      <c r="J1250" s="274"/>
      <c r="K1250" s="274" t="s">
        <v>54</v>
      </c>
      <c r="L1250" s="274">
        <v>38</v>
      </c>
      <c r="M1250" s="274" t="s">
        <v>53</v>
      </c>
      <c r="N1250" s="275">
        <v>1330</v>
      </c>
      <c r="O1250" s="275">
        <v>1330</v>
      </c>
      <c r="P1250" s="330">
        <v>6000</v>
      </c>
      <c r="Q1250" s="274">
        <v>2</v>
      </c>
      <c r="R1250" s="274">
        <v>16</v>
      </c>
      <c r="S1250" s="274" t="s">
        <v>354</v>
      </c>
      <c r="T1250" s="276">
        <v>45097</v>
      </c>
      <c r="U1250" s="276">
        <v>45121</v>
      </c>
      <c r="V1250" s="274" t="s">
        <v>355</v>
      </c>
      <c r="W1250" s="274"/>
      <c r="X1250" s="274"/>
      <c r="Y1250" s="239"/>
    </row>
    <row r="1251" spans="1:25" ht="13.5" x14ac:dyDescent="0.15">
      <c r="A1251" s="274">
        <v>3716209</v>
      </c>
      <c r="B1251" s="274" t="s">
        <v>351</v>
      </c>
      <c r="C1251" s="274" t="s">
        <v>356</v>
      </c>
      <c r="D1251" s="274" t="s">
        <v>353</v>
      </c>
      <c r="E1251" s="274" t="s">
        <v>668</v>
      </c>
      <c r="F1251" s="274">
        <v>3</v>
      </c>
      <c r="G1251" s="274" t="s">
        <v>19</v>
      </c>
      <c r="H1251" s="274" t="s">
        <v>28</v>
      </c>
      <c r="I1251" s="274" t="s">
        <v>21</v>
      </c>
      <c r="J1251" s="274"/>
      <c r="K1251" s="274" t="s">
        <v>102</v>
      </c>
      <c r="L1251" s="274">
        <v>50</v>
      </c>
      <c r="M1251" s="274" t="s">
        <v>103</v>
      </c>
      <c r="N1251" s="275">
        <v>1050</v>
      </c>
      <c r="O1251" s="275">
        <v>1040</v>
      </c>
      <c r="P1251" s="330">
        <v>6000</v>
      </c>
      <c r="Q1251" s="274">
        <v>2</v>
      </c>
      <c r="R1251" s="274">
        <v>9</v>
      </c>
      <c r="S1251" s="274" t="s">
        <v>354</v>
      </c>
      <c r="T1251" s="276">
        <v>45097</v>
      </c>
      <c r="U1251" s="276">
        <v>45121</v>
      </c>
      <c r="V1251" s="274" t="s">
        <v>355</v>
      </c>
      <c r="W1251" s="274"/>
      <c r="X1251" s="274"/>
      <c r="Y1251" s="239"/>
    </row>
    <row r="1252" spans="1:25" ht="13.5" x14ac:dyDescent="0.15">
      <c r="A1252" s="274">
        <v>3716210</v>
      </c>
      <c r="B1252" s="274" t="s">
        <v>351</v>
      </c>
      <c r="C1252" s="274" t="s">
        <v>358</v>
      </c>
      <c r="D1252" s="274" t="s">
        <v>353</v>
      </c>
      <c r="E1252" s="274" t="s">
        <v>61</v>
      </c>
      <c r="F1252" s="274">
        <v>3313</v>
      </c>
      <c r="G1252" s="274" t="s">
        <v>19</v>
      </c>
      <c r="H1252" s="274" t="s">
        <v>20</v>
      </c>
      <c r="I1252" s="274" t="s">
        <v>21</v>
      </c>
      <c r="J1252" s="274"/>
      <c r="K1252" s="274" t="s">
        <v>62</v>
      </c>
      <c r="L1252" s="274">
        <v>38</v>
      </c>
      <c r="M1252" s="274" t="s">
        <v>63</v>
      </c>
      <c r="N1252" s="274">
        <v>750</v>
      </c>
      <c r="O1252" s="274">
        <v>750</v>
      </c>
      <c r="P1252" s="330">
        <v>6000</v>
      </c>
      <c r="Q1252" s="274">
        <v>2</v>
      </c>
      <c r="R1252" s="274">
        <v>20</v>
      </c>
      <c r="S1252" s="274" t="s">
        <v>354</v>
      </c>
      <c r="T1252" s="276">
        <v>45097</v>
      </c>
      <c r="U1252" s="276">
        <v>45121</v>
      </c>
      <c r="V1252" s="274" t="s">
        <v>355</v>
      </c>
      <c r="W1252" s="274"/>
      <c r="X1252" s="274"/>
      <c r="Y1252" s="239"/>
    </row>
    <row r="1253" spans="1:25" ht="13.5" x14ac:dyDescent="0.15">
      <c r="A1253" s="274">
        <v>3716212</v>
      </c>
      <c r="B1253" s="274" t="s">
        <v>351</v>
      </c>
      <c r="C1253" s="274" t="s">
        <v>363</v>
      </c>
      <c r="D1253" s="274" t="s">
        <v>353</v>
      </c>
      <c r="E1253" s="274" t="s">
        <v>65</v>
      </c>
      <c r="F1253" s="274">
        <v>3321</v>
      </c>
      <c r="G1253" s="274" t="s">
        <v>19</v>
      </c>
      <c r="H1253" s="274" t="s">
        <v>20</v>
      </c>
      <c r="I1253" s="274" t="s">
        <v>21</v>
      </c>
      <c r="J1253" s="274"/>
      <c r="K1253" s="274" t="s">
        <v>67</v>
      </c>
      <c r="L1253" s="274">
        <v>38</v>
      </c>
      <c r="M1253" s="274" t="s">
        <v>68</v>
      </c>
      <c r="N1253" s="275">
        <v>1336</v>
      </c>
      <c r="O1253" s="275">
        <v>1325</v>
      </c>
      <c r="P1253" s="330">
        <v>6000</v>
      </c>
      <c r="Q1253" s="274">
        <v>2</v>
      </c>
      <c r="R1253" s="274">
        <v>45</v>
      </c>
      <c r="S1253" s="274" t="s">
        <v>354</v>
      </c>
      <c r="T1253" s="276">
        <v>45097</v>
      </c>
      <c r="U1253" s="276">
        <v>45121</v>
      </c>
      <c r="V1253" s="274" t="s">
        <v>355</v>
      </c>
      <c r="W1253" s="274"/>
      <c r="X1253" s="274"/>
      <c r="Y1253" s="239"/>
    </row>
    <row r="1254" spans="1:25" ht="13.5" x14ac:dyDescent="0.15">
      <c r="A1254" s="274">
        <v>3716213</v>
      </c>
      <c r="B1254" s="274" t="s">
        <v>351</v>
      </c>
      <c r="C1254" s="274" t="s">
        <v>363</v>
      </c>
      <c r="D1254" s="274" t="s">
        <v>353</v>
      </c>
      <c r="E1254" s="274" t="s">
        <v>65</v>
      </c>
      <c r="F1254" s="274">
        <v>3321</v>
      </c>
      <c r="G1254" s="274" t="s">
        <v>19</v>
      </c>
      <c r="H1254" s="274" t="s">
        <v>20</v>
      </c>
      <c r="I1254" s="274" t="s">
        <v>21</v>
      </c>
      <c r="J1254" s="274"/>
      <c r="K1254" s="274" t="s">
        <v>70</v>
      </c>
      <c r="L1254" s="274">
        <v>38</v>
      </c>
      <c r="M1254" s="274" t="s">
        <v>71</v>
      </c>
      <c r="N1254" s="275">
        <v>1336</v>
      </c>
      <c r="O1254" s="275">
        <v>1325</v>
      </c>
      <c r="P1254" s="330">
        <v>6000</v>
      </c>
      <c r="Q1254" s="274">
        <v>2</v>
      </c>
      <c r="R1254" s="274">
        <v>15</v>
      </c>
      <c r="S1254" s="274" t="s">
        <v>354</v>
      </c>
      <c r="T1254" s="276">
        <v>45097</v>
      </c>
      <c r="U1254" s="276">
        <v>45121</v>
      </c>
      <c r="V1254" s="274" t="s">
        <v>355</v>
      </c>
      <c r="W1254" s="274"/>
      <c r="X1254" s="274"/>
      <c r="Y1254" s="239"/>
    </row>
    <row r="1255" spans="1:25" ht="13.5" x14ac:dyDescent="0.15">
      <c r="A1255" s="274">
        <v>3716214</v>
      </c>
      <c r="B1255" s="274" t="s">
        <v>351</v>
      </c>
      <c r="C1255" s="274" t="s">
        <v>363</v>
      </c>
      <c r="D1255" s="274" t="s">
        <v>353</v>
      </c>
      <c r="E1255" s="274" t="s">
        <v>65</v>
      </c>
      <c r="F1255" s="274">
        <v>3321</v>
      </c>
      <c r="G1255" s="274" t="s">
        <v>19</v>
      </c>
      <c r="H1255" s="274" t="s">
        <v>20</v>
      </c>
      <c r="I1255" s="274" t="s">
        <v>21</v>
      </c>
      <c r="J1255" s="274"/>
      <c r="K1255" s="274" t="s">
        <v>70</v>
      </c>
      <c r="L1255" s="274">
        <v>38</v>
      </c>
      <c r="M1255" s="274" t="s">
        <v>71</v>
      </c>
      <c r="N1255" s="275">
        <v>1336</v>
      </c>
      <c r="O1255" s="275">
        <v>1325</v>
      </c>
      <c r="P1255" s="330">
        <v>6000</v>
      </c>
      <c r="Q1255" s="274">
        <v>2</v>
      </c>
      <c r="R1255" s="274">
        <v>30</v>
      </c>
      <c r="S1255" s="274" t="s">
        <v>354</v>
      </c>
      <c r="T1255" s="276">
        <v>45097</v>
      </c>
      <c r="U1255" s="276">
        <v>45126</v>
      </c>
      <c r="V1255" s="274" t="s">
        <v>355</v>
      </c>
      <c r="W1255" s="274"/>
      <c r="X1255" s="274"/>
      <c r="Y1255" s="239"/>
    </row>
    <row r="1256" spans="1:25" ht="13.5" x14ac:dyDescent="0.15">
      <c r="A1256" s="274">
        <v>3716215</v>
      </c>
      <c r="B1256" s="274" t="s">
        <v>351</v>
      </c>
      <c r="C1256" s="274" t="s">
        <v>356</v>
      </c>
      <c r="D1256" s="274" t="s">
        <v>353</v>
      </c>
      <c r="E1256" s="274" t="s">
        <v>32</v>
      </c>
      <c r="F1256" s="274">
        <v>331</v>
      </c>
      <c r="G1256" s="274" t="s">
        <v>19</v>
      </c>
      <c r="H1256" s="274" t="s">
        <v>20</v>
      </c>
      <c r="I1256" s="274" t="s">
        <v>21</v>
      </c>
      <c r="J1256" s="274"/>
      <c r="K1256" s="274" t="s">
        <v>54</v>
      </c>
      <c r="L1256" s="274">
        <v>38</v>
      </c>
      <c r="M1256" s="274" t="s">
        <v>53</v>
      </c>
      <c r="N1256" s="275">
        <v>1580</v>
      </c>
      <c r="O1256" s="275">
        <v>1580</v>
      </c>
      <c r="P1256" s="330">
        <v>6000</v>
      </c>
      <c r="Q1256" s="274">
        <v>2</v>
      </c>
      <c r="R1256" s="274">
        <v>20</v>
      </c>
      <c r="S1256" s="274" t="s">
        <v>354</v>
      </c>
      <c r="T1256" s="276">
        <v>45097</v>
      </c>
      <c r="U1256" s="276">
        <v>45132</v>
      </c>
      <c r="V1256" s="274" t="s">
        <v>355</v>
      </c>
      <c r="W1256" s="274"/>
      <c r="X1256" s="274"/>
      <c r="Y1256" s="239"/>
    </row>
    <row r="1257" spans="1:25" ht="13.5" x14ac:dyDescent="0.15">
      <c r="A1257" s="274">
        <v>3716216</v>
      </c>
      <c r="B1257" s="274" t="s">
        <v>351</v>
      </c>
      <c r="C1257" s="274" t="s">
        <v>358</v>
      </c>
      <c r="D1257" s="274" t="s">
        <v>353</v>
      </c>
      <c r="E1257" s="274" t="s">
        <v>44</v>
      </c>
      <c r="F1257" s="274">
        <v>3</v>
      </c>
      <c r="G1257" s="274" t="s">
        <v>19</v>
      </c>
      <c r="H1257" s="274" t="s">
        <v>20</v>
      </c>
      <c r="I1257" s="274" t="s">
        <v>21</v>
      </c>
      <c r="J1257" s="274"/>
      <c r="K1257" s="274" t="s">
        <v>47</v>
      </c>
      <c r="L1257" s="274">
        <v>25</v>
      </c>
      <c r="M1257" s="274" t="s">
        <v>48</v>
      </c>
      <c r="N1257" s="274">
        <v>740</v>
      </c>
      <c r="O1257" s="274">
        <v>740</v>
      </c>
      <c r="P1257" s="330">
        <v>6000</v>
      </c>
      <c r="Q1257" s="274">
        <v>1</v>
      </c>
      <c r="R1257" s="274">
        <v>20</v>
      </c>
      <c r="S1257" s="274" t="s">
        <v>354</v>
      </c>
      <c r="T1257" s="276">
        <v>45097</v>
      </c>
      <c r="U1257" s="276">
        <v>45132</v>
      </c>
      <c r="V1257" s="274" t="s">
        <v>355</v>
      </c>
      <c r="W1257" s="274"/>
      <c r="X1257" s="274"/>
      <c r="Y1257" s="239"/>
    </row>
    <row r="1258" spans="1:25" ht="13.5" x14ac:dyDescent="0.15">
      <c r="A1258" s="274">
        <v>3716217</v>
      </c>
      <c r="B1258" s="274" t="s">
        <v>351</v>
      </c>
      <c r="C1258" s="274" t="s">
        <v>356</v>
      </c>
      <c r="D1258" s="274" t="s">
        <v>353</v>
      </c>
      <c r="E1258" s="274" t="s">
        <v>17</v>
      </c>
      <c r="F1258" s="274">
        <v>331</v>
      </c>
      <c r="G1258" s="274" t="s">
        <v>19</v>
      </c>
      <c r="H1258" s="274" t="s">
        <v>20</v>
      </c>
      <c r="I1258" s="274" t="s">
        <v>21</v>
      </c>
      <c r="J1258" s="274"/>
      <c r="K1258" s="274" t="s">
        <v>52</v>
      </c>
      <c r="L1258" s="274">
        <v>38</v>
      </c>
      <c r="M1258" s="274" t="s">
        <v>53</v>
      </c>
      <c r="N1258" s="275">
        <v>1330</v>
      </c>
      <c r="O1258" s="275">
        <v>1330</v>
      </c>
      <c r="P1258" s="330">
        <v>6000</v>
      </c>
      <c r="Q1258" s="274">
        <v>2</v>
      </c>
      <c r="R1258" s="274">
        <v>14</v>
      </c>
      <c r="S1258" s="274" t="s">
        <v>354</v>
      </c>
      <c r="T1258" s="276">
        <v>45097</v>
      </c>
      <c r="U1258" s="276">
        <v>45132</v>
      </c>
      <c r="V1258" s="274" t="s">
        <v>355</v>
      </c>
      <c r="W1258" s="274"/>
      <c r="X1258" s="274"/>
      <c r="Y1258" s="239"/>
    </row>
    <row r="1259" spans="1:25" ht="13.5" x14ac:dyDescent="0.15">
      <c r="A1259" s="274">
        <v>3716218</v>
      </c>
      <c r="B1259" s="274" t="s">
        <v>351</v>
      </c>
      <c r="C1259" s="274" t="s">
        <v>356</v>
      </c>
      <c r="D1259" s="274" t="s">
        <v>353</v>
      </c>
      <c r="E1259" s="274" t="s">
        <v>17</v>
      </c>
      <c r="F1259" s="274">
        <v>331</v>
      </c>
      <c r="G1259" s="274" t="s">
        <v>19</v>
      </c>
      <c r="H1259" s="274" t="s">
        <v>20</v>
      </c>
      <c r="I1259" s="274" t="s">
        <v>21</v>
      </c>
      <c r="J1259" s="274"/>
      <c r="K1259" s="274" t="s">
        <v>52</v>
      </c>
      <c r="L1259" s="274">
        <v>38</v>
      </c>
      <c r="M1259" s="274" t="s">
        <v>53</v>
      </c>
      <c r="N1259" s="275">
        <v>1330</v>
      </c>
      <c r="O1259" s="275">
        <v>1330</v>
      </c>
      <c r="P1259" s="330">
        <v>6000</v>
      </c>
      <c r="Q1259" s="274">
        <v>2</v>
      </c>
      <c r="R1259" s="274">
        <v>1</v>
      </c>
      <c r="S1259" s="274" t="s">
        <v>354</v>
      </c>
      <c r="T1259" s="276">
        <v>45097</v>
      </c>
      <c r="U1259" s="276">
        <v>45132</v>
      </c>
      <c r="V1259" s="274" t="s">
        <v>355</v>
      </c>
      <c r="W1259" s="274"/>
      <c r="X1259" s="274"/>
      <c r="Y1259" s="239"/>
    </row>
    <row r="1260" spans="1:25" ht="13.5" x14ac:dyDescent="0.15">
      <c r="A1260" s="274">
        <v>3716219</v>
      </c>
      <c r="B1260" s="274" t="s">
        <v>351</v>
      </c>
      <c r="C1260" s="274" t="s">
        <v>356</v>
      </c>
      <c r="D1260" s="274" t="s">
        <v>353</v>
      </c>
      <c r="E1260" s="274" t="s">
        <v>32</v>
      </c>
      <c r="F1260" s="274">
        <v>331</v>
      </c>
      <c r="G1260" s="274" t="s">
        <v>19</v>
      </c>
      <c r="H1260" s="274" t="s">
        <v>20</v>
      </c>
      <c r="I1260" s="274" t="s">
        <v>21</v>
      </c>
      <c r="J1260" s="274"/>
      <c r="K1260" s="274" t="s">
        <v>54</v>
      </c>
      <c r="L1260" s="274">
        <v>38</v>
      </c>
      <c r="M1260" s="274" t="s">
        <v>53</v>
      </c>
      <c r="N1260" s="275">
        <v>1330</v>
      </c>
      <c r="O1260" s="275">
        <v>1330</v>
      </c>
      <c r="P1260" s="330">
        <v>6000</v>
      </c>
      <c r="Q1260" s="274">
        <v>2</v>
      </c>
      <c r="R1260" s="274">
        <v>32</v>
      </c>
      <c r="S1260" s="274" t="s">
        <v>354</v>
      </c>
      <c r="T1260" s="276">
        <v>45097</v>
      </c>
      <c r="U1260" s="276">
        <v>45132</v>
      </c>
      <c r="V1260" s="274" t="s">
        <v>355</v>
      </c>
      <c r="W1260" s="274"/>
      <c r="X1260" s="274"/>
      <c r="Y1260" s="239"/>
    </row>
    <row r="1261" spans="1:25" ht="13.5" x14ac:dyDescent="0.15">
      <c r="A1261" s="274">
        <v>3716220</v>
      </c>
      <c r="B1261" s="274" t="s">
        <v>351</v>
      </c>
      <c r="C1261" s="274" t="s">
        <v>356</v>
      </c>
      <c r="D1261" s="274" t="s">
        <v>353</v>
      </c>
      <c r="E1261" s="274" t="s">
        <v>32</v>
      </c>
      <c r="F1261" s="274">
        <v>3</v>
      </c>
      <c r="G1261" s="274" t="s">
        <v>19</v>
      </c>
      <c r="H1261" s="274" t="s">
        <v>20</v>
      </c>
      <c r="I1261" s="274" t="s">
        <v>21</v>
      </c>
      <c r="J1261" s="274"/>
      <c r="K1261" s="274" t="s">
        <v>56</v>
      </c>
      <c r="L1261" s="274">
        <v>75</v>
      </c>
      <c r="M1261" s="274" t="s">
        <v>376</v>
      </c>
      <c r="N1261" s="275">
        <v>1330</v>
      </c>
      <c r="O1261" s="275">
        <v>1330</v>
      </c>
      <c r="P1261" s="330">
        <v>6000</v>
      </c>
      <c r="Q1261" s="274">
        <v>2</v>
      </c>
      <c r="R1261" s="274">
        <v>18</v>
      </c>
      <c r="S1261" s="274" t="s">
        <v>354</v>
      </c>
      <c r="T1261" s="276">
        <v>45097</v>
      </c>
      <c r="U1261" s="276">
        <v>45132</v>
      </c>
      <c r="V1261" s="274" t="s">
        <v>355</v>
      </c>
      <c r="W1261" s="274"/>
      <c r="X1261" s="274"/>
      <c r="Y1261" s="239"/>
    </row>
    <row r="1262" spans="1:25" ht="13.5" x14ac:dyDescent="0.15">
      <c r="A1262" s="274">
        <v>3716221</v>
      </c>
      <c r="B1262" s="274" t="s">
        <v>431</v>
      </c>
      <c r="C1262" s="274" t="s">
        <v>358</v>
      </c>
      <c r="D1262" s="274" t="s">
        <v>353</v>
      </c>
      <c r="E1262" s="274" t="s">
        <v>1162</v>
      </c>
      <c r="F1262" s="274">
        <v>3</v>
      </c>
      <c r="G1262" s="274" t="s">
        <v>265</v>
      </c>
      <c r="H1262" s="274" t="s">
        <v>20</v>
      </c>
      <c r="I1262" s="274" t="s">
        <v>21</v>
      </c>
      <c r="J1262" s="274"/>
      <c r="K1262" s="274" t="s">
        <v>632</v>
      </c>
      <c r="L1262" s="274">
        <v>25</v>
      </c>
      <c r="M1262" s="274" t="s">
        <v>633</v>
      </c>
      <c r="N1262" s="275">
        <v>1100</v>
      </c>
      <c r="O1262" s="275">
        <v>1100</v>
      </c>
      <c r="P1262" s="330">
        <v>6000</v>
      </c>
      <c r="Q1262" s="274">
        <v>2</v>
      </c>
      <c r="R1262" s="274">
        <v>12</v>
      </c>
      <c r="S1262" s="274" t="s">
        <v>354</v>
      </c>
      <c r="T1262" s="276">
        <v>45097</v>
      </c>
      <c r="U1262" s="276">
        <v>45132</v>
      </c>
      <c r="V1262" s="274" t="s">
        <v>355</v>
      </c>
      <c r="W1262" s="274"/>
      <c r="X1262" s="274"/>
      <c r="Y1262" s="239"/>
    </row>
    <row r="1263" spans="1:25" ht="13.5" x14ac:dyDescent="0.15">
      <c r="A1263" s="274">
        <v>3716222</v>
      </c>
      <c r="B1263" s="274" t="s">
        <v>351</v>
      </c>
      <c r="C1263" s="274" t="s">
        <v>364</v>
      </c>
      <c r="D1263" s="274" t="s">
        <v>353</v>
      </c>
      <c r="E1263" s="274" t="s">
        <v>371</v>
      </c>
      <c r="F1263" s="274">
        <v>3</v>
      </c>
      <c r="G1263" s="274" t="s">
        <v>19</v>
      </c>
      <c r="H1263" s="274" t="s">
        <v>28</v>
      </c>
      <c r="I1263" s="274" t="s">
        <v>21</v>
      </c>
      <c r="J1263" s="274"/>
      <c r="K1263" s="274" t="s">
        <v>60</v>
      </c>
      <c r="L1263" s="274">
        <v>75</v>
      </c>
      <c r="M1263" s="274" t="s">
        <v>372</v>
      </c>
      <c r="N1263" s="275">
        <v>1040</v>
      </c>
      <c r="O1263" s="275">
        <v>1040</v>
      </c>
      <c r="P1263" s="330">
        <v>6000</v>
      </c>
      <c r="Q1263" s="274">
        <v>1</v>
      </c>
      <c r="R1263" s="274">
        <v>1</v>
      </c>
      <c r="S1263" s="274" t="s">
        <v>354</v>
      </c>
      <c r="T1263" s="276">
        <v>45097</v>
      </c>
      <c r="U1263" s="276">
        <v>45132</v>
      </c>
      <c r="V1263" s="274" t="s">
        <v>355</v>
      </c>
      <c r="W1263" s="274"/>
      <c r="X1263" s="274"/>
      <c r="Y1263" s="239"/>
    </row>
    <row r="1264" spans="1:25" ht="13.5" x14ac:dyDescent="0.15">
      <c r="A1264" s="274">
        <v>3716223</v>
      </c>
      <c r="B1264" s="274" t="s">
        <v>351</v>
      </c>
      <c r="C1264" s="274" t="s">
        <v>356</v>
      </c>
      <c r="D1264" s="274" t="s">
        <v>353</v>
      </c>
      <c r="E1264" s="274" t="s">
        <v>130</v>
      </c>
      <c r="F1264" s="274">
        <v>331</v>
      </c>
      <c r="G1264" s="274" t="s">
        <v>19</v>
      </c>
      <c r="H1264" s="274" t="s">
        <v>20</v>
      </c>
      <c r="I1264" s="274" t="s">
        <v>21</v>
      </c>
      <c r="J1264" s="274"/>
      <c r="K1264" s="274" t="s">
        <v>435</v>
      </c>
      <c r="L1264" s="274">
        <v>25</v>
      </c>
      <c r="M1264" s="274" t="s">
        <v>436</v>
      </c>
      <c r="N1264" s="275">
        <v>1410</v>
      </c>
      <c r="O1264" s="275">
        <v>1410</v>
      </c>
      <c r="P1264" s="330">
        <v>6000</v>
      </c>
      <c r="Q1264" s="274">
        <v>2</v>
      </c>
      <c r="R1264" s="274">
        <v>2</v>
      </c>
      <c r="S1264" s="274" t="s">
        <v>354</v>
      </c>
      <c r="T1264" s="276">
        <v>45097</v>
      </c>
      <c r="U1264" s="276">
        <v>45132</v>
      </c>
      <c r="V1264" s="274" t="s">
        <v>355</v>
      </c>
      <c r="W1264" s="274"/>
      <c r="X1264" s="274"/>
      <c r="Y1264" s="239"/>
    </row>
    <row r="1265" spans="1:25" ht="13.5" x14ac:dyDescent="0.15">
      <c r="A1265" s="274">
        <v>3716224</v>
      </c>
      <c r="B1265" s="274" t="s">
        <v>351</v>
      </c>
      <c r="C1265" s="274" t="s">
        <v>356</v>
      </c>
      <c r="D1265" s="274" t="s">
        <v>353</v>
      </c>
      <c r="E1265" s="274" t="s">
        <v>130</v>
      </c>
      <c r="F1265" s="274">
        <v>331</v>
      </c>
      <c r="G1265" s="274" t="s">
        <v>19</v>
      </c>
      <c r="H1265" s="274" t="s">
        <v>20</v>
      </c>
      <c r="I1265" s="274" t="s">
        <v>21</v>
      </c>
      <c r="J1265" s="274"/>
      <c r="K1265" s="274" t="s">
        <v>435</v>
      </c>
      <c r="L1265" s="274">
        <v>25</v>
      </c>
      <c r="M1265" s="274" t="s">
        <v>436</v>
      </c>
      <c r="N1265" s="275">
        <v>1410</v>
      </c>
      <c r="O1265" s="275">
        <v>1410</v>
      </c>
      <c r="P1265" s="330">
        <v>6000</v>
      </c>
      <c r="Q1265" s="274">
        <v>2</v>
      </c>
      <c r="R1265" s="274">
        <v>2</v>
      </c>
      <c r="S1265" s="274" t="s">
        <v>354</v>
      </c>
      <c r="T1265" s="276">
        <v>45097</v>
      </c>
      <c r="U1265" s="276">
        <v>45132</v>
      </c>
      <c r="V1265" s="274" t="s">
        <v>355</v>
      </c>
      <c r="W1265" s="274"/>
      <c r="X1265" s="274"/>
      <c r="Y1265" s="239"/>
    </row>
    <row r="1266" spans="1:25" ht="13.5" x14ac:dyDescent="0.15">
      <c r="A1266" s="274">
        <v>3716225</v>
      </c>
      <c r="B1266" s="274" t="s">
        <v>351</v>
      </c>
      <c r="C1266" s="274" t="s">
        <v>352</v>
      </c>
      <c r="D1266" s="274" t="s">
        <v>353</v>
      </c>
      <c r="E1266" s="274" t="s">
        <v>116</v>
      </c>
      <c r="F1266" s="274">
        <v>3</v>
      </c>
      <c r="G1266" s="274" t="s">
        <v>19</v>
      </c>
      <c r="H1266" s="274" t="s">
        <v>20</v>
      </c>
      <c r="I1266" s="274" t="s">
        <v>21</v>
      </c>
      <c r="J1266" s="274"/>
      <c r="K1266" s="274" t="s">
        <v>118</v>
      </c>
      <c r="L1266" s="274">
        <v>38</v>
      </c>
      <c r="M1266" s="274" t="s">
        <v>368</v>
      </c>
      <c r="N1266" s="275">
        <v>1415</v>
      </c>
      <c r="O1266" s="275">
        <v>1410</v>
      </c>
      <c r="P1266" s="330">
        <v>6000</v>
      </c>
      <c r="Q1266" s="274">
        <v>2</v>
      </c>
      <c r="R1266" s="274">
        <v>8</v>
      </c>
      <c r="S1266" s="274" t="s">
        <v>354</v>
      </c>
      <c r="T1266" s="276">
        <v>45097</v>
      </c>
      <c r="U1266" s="276">
        <v>45132</v>
      </c>
      <c r="V1266" s="274" t="s">
        <v>355</v>
      </c>
      <c r="W1266" s="274"/>
      <c r="X1266" s="274"/>
      <c r="Y1266" s="239"/>
    </row>
    <row r="1267" spans="1:25" ht="13.5" x14ac:dyDescent="0.15">
      <c r="A1267" s="274">
        <v>3716226</v>
      </c>
      <c r="B1267" s="274" t="s">
        <v>351</v>
      </c>
      <c r="C1267" s="274" t="s">
        <v>356</v>
      </c>
      <c r="D1267" s="274" t="s">
        <v>353</v>
      </c>
      <c r="E1267" s="274" t="s">
        <v>17</v>
      </c>
      <c r="F1267" s="274">
        <v>3</v>
      </c>
      <c r="G1267" s="274" t="s">
        <v>19</v>
      </c>
      <c r="H1267" s="274" t="s">
        <v>20</v>
      </c>
      <c r="I1267" s="274" t="s">
        <v>21</v>
      </c>
      <c r="J1267" s="274"/>
      <c r="K1267" s="274" t="s">
        <v>104</v>
      </c>
      <c r="L1267" s="274">
        <v>25</v>
      </c>
      <c r="M1267" s="274" t="s">
        <v>375</v>
      </c>
      <c r="N1267" s="275">
        <v>1325</v>
      </c>
      <c r="O1267" s="275">
        <v>1320</v>
      </c>
      <c r="P1267" s="330">
        <v>6000</v>
      </c>
      <c r="Q1267" s="274">
        <v>2</v>
      </c>
      <c r="R1267" s="274">
        <v>2</v>
      </c>
      <c r="S1267" s="274" t="s">
        <v>354</v>
      </c>
      <c r="T1267" s="276">
        <v>45097</v>
      </c>
      <c r="U1267" s="276">
        <v>45132</v>
      </c>
      <c r="V1267" s="274" t="s">
        <v>355</v>
      </c>
      <c r="W1267" s="274"/>
      <c r="X1267" s="274"/>
      <c r="Y1267" s="239"/>
    </row>
    <row r="1268" spans="1:25" ht="13.5" x14ac:dyDescent="0.15">
      <c r="A1268" s="274">
        <v>3716227</v>
      </c>
      <c r="B1268" s="274" t="s">
        <v>351</v>
      </c>
      <c r="C1268" s="274" t="s">
        <v>356</v>
      </c>
      <c r="D1268" s="274" t="s">
        <v>353</v>
      </c>
      <c r="E1268" s="274" t="s">
        <v>106</v>
      </c>
      <c r="F1268" s="274">
        <v>3</v>
      </c>
      <c r="G1268" s="274" t="s">
        <v>19</v>
      </c>
      <c r="H1268" s="274" t="s">
        <v>20</v>
      </c>
      <c r="I1268" s="274" t="s">
        <v>21</v>
      </c>
      <c r="J1268" s="274"/>
      <c r="K1268" s="274" t="s">
        <v>107</v>
      </c>
      <c r="L1268" s="274">
        <v>25</v>
      </c>
      <c r="M1268" s="274" t="s">
        <v>367</v>
      </c>
      <c r="N1268" s="275">
        <v>1240</v>
      </c>
      <c r="O1268" s="275">
        <v>1240</v>
      </c>
      <c r="P1268" s="330">
        <v>6000</v>
      </c>
      <c r="Q1268" s="274">
        <v>2</v>
      </c>
      <c r="R1268" s="274">
        <v>6</v>
      </c>
      <c r="S1268" s="274" t="s">
        <v>354</v>
      </c>
      <c r="T1268" s="276">
        <v>45097</v>
      </c>
      <c r="U1268" s="276">
        <v>45138</v>
      </c>
      <c r="V1268" s="274" t="s">
        <v>355</v>
      </c>
      <c r="W1268" s="274"/>
      <c r="X1268" s="274"/>
      <c r="Y1268" s="239"/>
    </row>
    <row r="1269" spans="1:25" ht="13.5" x14ac:dyDescent="0.15">
      <c r="A1269" s="274">
        <v>3716228</v>
      </c>
      <c r="B1269" s="274" t="s">
        <v>351</v>
      </c>
      <c r="C1269" s="274" t="s">
        <v>356</v>
      </c>
      <c r="D1269" s="274" t="s">
        <v>353</v>
      </c>
      <c r="E1269" s="274" t="s">
        <v>106</v>
      </c>
      <c r="F1269" s="274">
        <v>3</v>
      </c>
      <c r="G1269" s="274" t="s">
        <v>19</v>
      </c>
      <c r="H1269" s="274" t="s">
        <v>20</v>
      </c>
      <c r="I1269" s="274" t="s">
        <v>21</v>
      </c>
      <c r="J1269" s="274"/>
      <c r="K1269" s="274" t="s">
        <v>107</v>
      </c>
      <c r="L1269" s="274">
        <v>38</v>
      </c>
      <c r="M1269" s="274" t="s">
        <v>367</v>
      </c>
      <c r="N1269" s="275">
        <v>1240</v>
      </c>
      <c r="O1269" s="275">
        <v>1240</v>
      </c>
      <c r="P1269" s="330">
        <v>6000</v>
      </c>
      <c r="Q1269" s="274">
        <v>2</v>
      </c>
      <c r="R1269" s="274">
        <v>9</v>
      </c>
      <c r="S1269" s="274" t="s">
        <v>354</v>
      </c>
      <c r="T1269" s="276">
        <v>45097</v>
      </c>
      <c r="U1269" s="276">
        <v>45138</v>
      </c>
      <c r="V1269" s="274" t="s">
        <v>355</v>
      </c>
      <c r="W1269" s="274"/>
      <c r="X1269" s="274"/>
      <c r="Y1269" s="239"/>
    </row>
    <row r="1270" spans="1:25" ht="13.5" x14ac:dyDescent="0.15">
      <c r="A1270" s="274">
        <v>3716229</v>
      </c>
      <c r="B1270" s="274" t="s">
        <v>431</v>
      </c>
      <c r="C1270" s="274" t="s">
        <v>358</v>
      </c>
      <c r="D1270" s="274" t="s">
        <v>353</v>
      </c>
      <c r="E1270" s="274"/>
      <c r="F1270" s="274">
        <v>3</v>
      </c>
      <c r="G1270" s="274" t="s">
        <v>265</v>
      </c>
      <c r="H1270" s="274" t="s">
        <v>20</v>
      </c>
      <c r="I1270" s="274" t="s">
        <v>21</v>
      </c>
      <c r="J1270" s="274"/>
      <c r="K1270" s="274" t="s">
        <v>118</v>
      </c>
      <c r="L1270" s="274">
        <v>25</v>
      </c>
      <c r="M1270" s="274" t="s">
        <v>119</v>
      </c>
      <c r="N1270" s="275">
        <v>1100</v>
      </c>
      <c r="O1270" s="275">
        <v>1100</v>
      </c>
      <c r="P1270" s="330">
        <v>6000</v>
      </c>
      <c r="Q1270" s="274">
        <v>2</v>
      </c>
      <c r="R1270" s="274">
        <v>5</v>
      </c>
      <c r="S1270" s="274" t="s">
        <v>354</v>
      </c>
      <c r="T1270" s="276">
        <v>45097</v>
      </c>
      <c r="U1270" s="276">
        <v>45138</v>
      </c>
      <c r="V1270" s="274" t="s">
        <v>355</v>
      </c>
      <c r="W1270" s="274"/>
      <c r="X1270" s="274"/>
      <c r="Y1270" s="239"/>
    </row>
    <row r="1271" spans="1:25" ht="13.5" x14ac:dyDescent="0.15">
      <c r="A1271" s="274">
        <v>3716230</v>
      </c>
      <c r="B1271" s="274" t="s">
        <v>351</v>
      </c>
      <c r="C1271" s="274" t="s">
        <v>356</v>
      </c>
      <c r="D1271" s="274" t="s">
        <v>353</v>
      </c>
      <c r="E1271" s="274" t="s">
        <v>17</v>
      </c>
      <c r="F1271" s="274">
        <v>3</v>
      </c>
      <c r="G1271" s="274" t="s">
        <v>19</v>
      </c>
      <c r="H1271" s="274" t="s">
        <v>20</v>
      </c>
      <c r="I1271" s="274" t="s">
        <v>21</v>
      </c>
      <c r="J1271" s="274"/>
      <c r="K1271" s="274" t="s">
        <v>104</v>
      </c>
      <c r="L1271" s="274">
        <v>25</v>
      </c>
      <c r="M1271" s="274" t="s">
        <v>375</v>
      </c>
      <c r="N1271" s="275">
        <v>1100</v>
      </c>
      <c r="O1271" s="275">
        <v>1100</v>
      </c>
      <c r="P1271" s="330">
        <v>6000</v>
      </c>
      <c r="Q1271" s="274">
        <v>2</v>
      </c>
      <c r="R1271" s="274">
        <v>2</v>
      </c>
      <c r="S1271" s="274" t="s">
        <v>354</v>
      </c>
      <c r="T1271" s="276">
        <v>45097</v>
      </c>
      <c r="U1271" s="276">
        <v>45138</v>
      </c>
      <c r="V1271" s="274" t="s">
        <v>355</v>
      </c>
      <c r="W1271" s="274"/>
      <c r="X1271" s="274"/>
      <c r="Y1271" s="239"/>
    </row>
    <row r="1272" spans="1:25" ht="13.5" x14ac:dyDescent="0.15">
      <c r="A1272" s="274">
        <v>3716231</v>
      </c>
      <c r="B1272" s="274" t="s">
        <v>351</v>
      </c>
      <c r="C1272" s="274" t="s">
        <v>356</v>
      </c>
      <c r="D1272" s="274" t="s">
        <v>353</v>
      </c>
      <c r="E1272" s="274" t="s">
        <v>17</v>
      </c>
      <c r="F1272" s="274">
        <v>3</v>
      </c>
      <c r="G1272" s="274" t="s">
        <v>19</v>
      </c>
      <c r="H1272" s="274" t="s">
        <v>20</v>
      </c>
      <c r="I1272" s="274" t="s">
        <v>21</v>
      </c>
      <c r="J1272" s="274"/>
      <c r="K1272" s="274" t="s">
        <v>104</v>
      </c>
      <c r="L1272" s="274">
        <v>25</v>
      </c>
      <c r="M1272" s="274" t="s">
        <v>375</v>
      </c>
      <c r="N1272" s="275">
        <v>1050</v>
      </c>
      <c r="O1272" s="275">
        <v>1050</v>
      </c>
      <c r="P1272" s="330">
        <v>6000</v>
      </c>
      <c r="Q1272" s="274">
        <v>2</v>
      </c>
      <c r="R1272" s="274">
        <v>5</v>
      </c>
      <c r="S1272" s="274" t="s">
        <v>354</v>
      </c>
      <c r="T1272" s="276">
        <v>45097</v>
      </c>
      <c r="U1272" s="276">
        <v>45138</v>
      </c>
      <c r="V1272" s="274" t="s">
        <v>355</v>
      </c>
      <c r="W1272" s="274"/>
      <c r="X1272" s="274"/>
      <c r="Y1272" s="239"/>
    </row>
    <row r="1273" spans="1:25" ht="13.5" x14ac:dyDescent="0.15">
      <c r="A1273" s="274">
        <v>3716232</v>
      </c>
      <c r="B1273" s="274" t="s">
        <v>351</v>
      </c>
      <c r="C1273" s="274" t="s">
        <v>356</v>
      </c>
      <c r="D1273" s="274" t="s">
        <v>353</v>
      </c>
      <c r="E1273" s="274" t="s">
        <v>106</v>
      </c>
      <c r="F1273" s="274">
        <v>3</v>
      </c>
      <c r="G1273" s="274" t="s">
        <v>19</v>
      </c>
      <c r="H1273" s="274" t="s">
        <v>20</v>
      </c>
      <c r="I1273" s="274" t="s">
        <v>21</v>
      </c>
      <c r="J1273" s="274"/>
      <c r="K1273" s="274" t="s">
        <v>107</v>
      </c>
      <c r="L1273" s="274">
        <v>25</v>
      </c>
      <c r="M1273" s="274" t="s">
        <v>367</v>
      </c>
      <c r="N1273" s="275">
        <v>1040</v>
      </c>
      <c r="O1273" s="275">
        <v>1040</v>
      </c>
      <c r="P1273" s="330">
        <v>6000</v>
      </c>
      <c r="Q1273" s="274">
        <v>2</v>
      </c>
      <c r="R1273" s="274">
        <v>30</v>
      </c>
      <c r="S1273" s="274" t="s">
        <v>354</v>
      </c>
      <c r="T1273" s="276">
        <v>45097</v>
      </c>
      <c r="U1273" s="276">
        <v>45138</v>
      </c>
      <c r="V1273" s="274" t="s">
        <v>355</v>
      </c>
      <c r="W1273" s="274"/>
      <c r="X1273" s="274"/>
      <c r="Y1273" s="239"/>
    </row>
    <row r="1274" spans="1:25" ht="13.5" x14ac:dyDescent="0.15">
      <c r="A1274" s="274">
        <v>3716233</v>
      </c>
      <c r="B1274" s="274" t="s">
        <v>351</v>
      </c>
      <c r="C1274" s="274" t="s">
        <v>356</v>
      </c>
      <c r="D1274" s="274" t="s">
        <v>353</v>
      </c>
      <c r="E1274" s="274" t="s">
        <v>106</v>
      </c>
      <c r="F1274" s="274">
        <v>3</v>
      </c>
      <c r="G1274" s="274" t="s">
        <v>19</v>
      </c>
      <c r="H1274" s="274" t="s">
        <v>20</v>
      </c>
      <c r="I1274" s="274" t="s">
        <v>21</v>
      </c>
      <c r="J1274" s="274"/>
      <c r="K1274" s="274" t="s">
        <v>107</v>
      </c>
      <c r="L1274" s="274">
        <v>38</v>
      </c>
      <c r="M1274" s="274" t="s">
        <v>367</v>
      </c>
      <c r="N1274" s="275">
        <v>1040</v>
      </c>
      <c r="O1274" s="275">
        <v>1040</v>
      </c>
      <c r="P1274" s="330">
        <v>6000</v>
      </c>
      <c r="Q1274" s="274">
        <v>2</v>
      </c>
      <c r="R1274" s="274">
        <v>2</v>
      </c>
      <c r="S1274" s="274" t="s">
        <v>354</v>
      </c>
      <c r="T1274" s="276">
        <v>45097</v>
      </c>
      <c r="U1274" s="276">
        <v>45138</v>
      </c>
      <c r="V1274" s="274" t="s">
        <v>355</v>
      </c>
      <c r="W1274" s="274"/>
      <c r="X1274" s="274"/>
      <c r="Y1274" s="239"/>
    </row>
    <row r="1275" spans="1:25" ht="13.5" x14ac:dyDescent="0.15">
      <c r="A1275" s="274">
        <v>3716234</v>
      </c>
      <c r="B1275" s="274" t="s">
        <v>351</v>
      </c>
      <c r="C1275" s="274" t="s">
        <v>352</v>
      </c>
      <c r="D1275" s="274" t="s">
        <v>353</v>
      </c>
      <c r="E1275" s="274" t="s">
        <v>116</v>
      </c>
      <c r="F1275" s="274">
        <v>3</v>
      </c>
      <c r="G1275" s="274" t="s">
        <v>19</v>
      </c>
      <c r="H1275" s="274" t="s">
        <v>20</v>
      </c>
      <c r="I1275" s="274" t="s">
        <v>21</v>
      </c>
      <c r="J1275" s="274"/>
      <c r="K1275" s="274" t="s">
        <v>118</v>
      </c>
      <c r="L1275" s="274">
        <v>38</v>
      </c>
      <c r="M1275" s="274" t="s">
        <v>368</v>
      </c>
      <c r="N1275" s="275">
        <v>1005</v>
      </c>
      <c r="O1275" s="275">
        <v>1000</v>
      </c>
      <c r="P1275" s="330">
        <v>6000</v>
      </c>
      <c r="Q1275" s="274">
        <v>2</v>
      </c>
      <c r="R1275" s="274">
        <v>4</v>
      </c>
      <c r="S1275" s="274" t="s">
        <v>354</v>
      </c>
      <c r="T1275" s="276">
        <v>45097</v>
      </c>
      <c r="U1275" s="276">
        <v>45128</v>
      </c>
      <c r="V1275" s="274" t="s">
        <v>355</v>
      </c>
      <c r="W1275" s="274"/>
      <c r="X1275" s="274"/>
      <c r="Y1275" s="239"/>
    </row>
    <row r="1276" spans="1:25" ht="13.5" x14ac:dyDescent="0.15">
      <c r="A1276" s="274">
        <v>3716235</v>
      </c>
      <c r="B1276" s="274" t="s">
        <v>351</v>
      </c>
      <c r="C1276" s="274" t="s">
        <v>356</v>
      </c>
      <c r="D1276" s="274" t="s">
        <v>353</v>
      </c>
      <c r="E1276" s="274" t="s">
        <v>32</v>
      </c>
      <c r="F1276" s="274">
        <v>331</v>
      </c>
      <c r="G1276" s="274" t="s">
        <v>19</v>
      </c>
      <c r="H1276" s="274" t="s">
        <v>20</v>
      </c>
      <c r="I1276" s="274" t="s">
        <v>21</v>
      </c>
      <c r="J1276" s="274"/>
      <c r="K1276" s="274" t="s">
        <v>33</v>
      </c>
      <c r="L1276" s="274">
        <v>38</v>
      </c>
      <c r="M1276" s="274" t="s">
        <v>30</v>
      </c>
      <c r="N1276" s="275">
        <v>1580</v>
      </c>
      <c r="O1276" s="275">
        <v>1580</v>
      </c>
      <c r="P1276" s="330">
        <v>6000</v>
      </c>
      <c r="Q1276" s="274">
        <v>2</v>
      </c>
      <c r="R1276" s="274">
        <v>18</v>
      </c>
      <c r="S1276" s="274" t="s">
        <v>354</v>
      </c>
      <c r="T1276" s="276">
        <v>45097</v>
      </c>
      <c r="U1276" s="276">
        <v>45138</v>
      </c>
      <c r="V1276" s="274" t="s">
        <v>355</v>
      </c>
      <c r="W1276" s="274"/>
      <c r="X1276" s="274"/>
      <c r="Y1276" s="239"/>
    </row>
    <row r="1277" spans="1:25" ht="13.5" x14ac:dyDescent="0.15">
      <c r="A1277" s="274">
        <v>3716236</v>
      </c>
      <c r="B1277" s="274" t="s">
        <v>351</v>
      </c>
      <c r="C1277" s="274" t="s">
        <v>356</v>
      </c>
      <c r="D1277" s="274" t="s">
        <v>353</v>
      </c>
      <c r="E1277" s="274" t="s">
        <v>17</v>
      </c>
      <c r="F1277" s="274">
        <v>3</v>
      </c>
      <c r="G1277" s="274" t="s">
        <v>19</v>
      </c>
      <c r="H1277" s="274" t="s">
        <v>20</v>
      </c>
      <c r="I1277" s="274" t="s">
        <v>21</v>
      </c>
      <c r="J1277" s="274"/>
      <c r="K1277" s="274" t="s">
        <v>22</v>
      </c>
      <c r="L1277" s="274">
        <v>38</v>
      </c>
      <c r="M1277" s="274" t="s">
        <v>23</v>
      </c>
      <c r="N1277" s="275">
        <v>1057</v>
      </c>
      <c r="O1277" s="275">
        <v>1050</v>
      </c>
      <c r="P1277" s="330">
        <v>6000</v>
      </c>
      <c r="Q1277" s="274">
        <v>2</v>
      </c>
      <c r="R1277" s="274">
        <v>4</v>
      </c>
      <c r="S1277" s="274" t="s">
        <v>354</v>
      </c>
      <c r="T1277" s="276">
        <v>45097</v>
      </c>
      <c r="U1277" s="276">
        <v>45138</v>
      </c>
      <c r="V1277" s="274" t="s">
        <v>355</v>
      </c>
      <c r="W1277" s="274"/>
      <c r="X1277" s="274"/>
      <c r="Y1277" s="239"/>
    </row>
    <row r="1278" spans="1:25" ht="13.5" x14ac:dyDescent="0.15">
      <c r="A1278" s="274">
        <v>3716237</v>
      </c>
      <c r="B1278" s="274" t="s">
        <v>351</v>
      </c>
      <c r="C1278" s="274" t="s">
        <v>359</v>
      </c>
      <c r="D1278" s="274" t="s">
        <v>353</v>
      </c>
      <c r="E1278" s="274" t="s">
        <v>40</v>
      </c>
      <c r="F1278" s="274">
        <v>3</v>
      </c>
      <c r="G1278" s="274" t="s">
        <v>19</v>
      </c>
      <c r="H1278" s="274" t="s">
        <v>20</v>
      </c>
      <c r="I1278" s="274" t="s">
        <v>21</v>
      </c>
      <c r="J1278" s="274"/>
      <c r="K1278" s="274" t="s">
        <v>42</v>
      </c>
      <c r="L1278" s="274">
        <v>25</v>
      </c>
      <c r="M1278" s="274" t="s">
        <v>43</v>
      </c>
      <c r="N1278" s="275">
        <v>1045</v>
      </c>
      <c r="O1278" s="275">
        <v>1040</v>
      </c>
      <c r="P1278" s="330">
        <v>6000</v>
      </c>
      <c r="Q1278" s="274">
        <v>2</v>
      </c>
      <c r="R1278" s="274">
        <v>10</v>
      </c>
      <c r="S1278" s="274" t="s">
        <v>354</v>
      </c>
      <c r="T1278" s="276">
        <v>45097</v>
      </c>
      <c r="U1278" s="276">
        <v>45138</v>
      </c>
      <c r="V1278" s="274" t="s">
        <v>355</v>
      </c>
      <c r="W1278" s="274"/>
      <c r="X1278" s="274"/>
      <c r="Y1278" s="239"/>
    </row>
    <row r="1279" spans="1:25" ht="13.5" x14ac:dyDescent="0.15">
      <c r="A1279" s="274">
        <v>3716238</v>
      </c>
      <c r="B1279" s="274" t="s">
        <v>351</v>
      </c>
      <c r="C1279" s="274" t="s">
        <v>356</v>
      </c>
      <c r="D1279" s="274" t="s">
        <v>353</v>
      </c>
      <c r="E1279" s="274" t="s">
        <v>17</v>
      </c>
      <c r="F1279" s="274">
        <v>3</v>
      </c>
      <c r="G1279" s="274" t="s">
        <v>19</v>
      </c>
      <c r="H1279" s="274" t="s">
        <v>20</v>
      </c>
      <c r="I1279" s="274" t="s">
        <v>21</v>
      </c>
      <c r="J1279" s="274"/>
      <c r="K1279" s="274" t="s">
        <v>22</v>
      </c>
      <c r="L1279" s="274">
        <v>38</v>
      </c>
      <c r="M1279" s="274" t="s">
        <v>23</v>
      </c>
      <c r="N1279" s="275">
        <v>1037</v>
      </c>
      <c r="O1279" s="275">
        <v>1030</v>
      </c>
      <c r="P1279" s="330">
        <v>6000</v>
      </c>
      <c r="Q1279" s="274">
        <v>2</v>
      </c>
      <c r="R1279" s="274">
        <v>19</v>
      </c>
      <c r="S1279" s="274" t="s">
        <v>354</v>
      </c>
      <c r="T1279" s="276">
        <v>45097</v>
      </c>
      <c r="U1279" s="276">
        <v>45138</v>
      </c>
      <c r="V1279" s="274" t="s">
        <v>355</v>
      </c>
      <c r="W1279" s="274"/>
      <c r="X1279" s="274"/>
      <c r="Y1279" s="239"/>
    </row>
    <row r="1280" spans="1:25" ht="13.5" x14ac:dyDescent="0.15">
      <c r="A1280" s="274">
        <v>3716239</v>
      </c>
      <c r="B1280" s="274" t="s">
        <v>351</v>
      </c>
      <c r="C1280" s="274" t="s">
        <v>356</v>
      </c>
      <c r="D1280" s="274" t="s">
        <v>353</v>
      </c>
      <c r="E1280" s="274" t="s">
        <v>377</v>
      </c>
      <c r="F1280" s="274">
        <v>3</v>
      </c>
      <c r="G1280" s="274" t="s">
        <v>19</v>
      </c>
      <c r="H1280" s="274" t="s">
        <v>20</v>
      </c>
      <c r="I1280" s="274" t="s">
        <v>21</v>
      </c>
      <c r="J1280" s="274"/>
      <c r="K1280" s="274" t="s">
        <v>36</v>
      </c>
      <c r="L1280" s="274">
        <v>25</v>
      </c>
      <c r="M1280" s="274" t="s">
        <v>37</v>
      </c>
      <c r="N1280" s="274">
        <v>890</v>
      </c>
      <c r="O1280" s="274">
        <v>890</v>
      </c>
      <c r="P1280" s="330">
        <v>6000</v>
      </c>
      <c r="Q1280" s="274">
        <v>2</v>
      </c>
      <c r="R1280" s="274">
        <v>9</v>
      </c>
      <c r="S1280" s="274" t="s">
        <v>354</v>
      </c>
      <c r="T1280" s="276">
        <v>45097</v>
      </c>
      <c r="U1280" s="276">
        <v>45138</v>
      </c>
      <c r="V1280" s="274" t="s">
        <v>355</v>
      </c>
      <c r="W1280" s="274"/>
      <c r="X1280" s="274"/>
      <c r="Y1280" s="239"/>
    </row>
    <row r="1281" spans="1:25" ht="13.5" x14ac:dyDescent="0.15">
      <c r="A1281" s="274">
        <v>3716241</v>
      </c>
      <c r="B1281" s="274" t="s">
        <v>351</v>
      </c>
      <c r="C1281" s="274" t="s">
        <v>352</v>
      </c>
      <c r="D1281" s="274" t="s">
        <v>353</v>
      </c>
      <c r="E1281" s="274" t="s">
        <v>155</v>
      </c>
      <c r="F1281" s="274" t="s">
        <v>158</v>
      </c>
      <c r="G1281" s="274" t="s">
        <v>19</v>
      </c>
      <c r="H1281" s="274" t="s">
        <v>20</v>
      </c>
      <c r="I1281" s="274" t="s">
        <v>143</v>
      </c>
      <c r="J1281" s="274"/>
      <c r="K1281" s="274" t="s">
        <v>156</v>
      </c>
      <c r="L1281" s="274">
        <v>25</v>
      </c>
      <c r="M1281" s="274" t="s">
        <v>157</v>
      </c>
      <c r="N1281" s="275">
        <v>1120</v>
      </c>
      <c r="O1281" s="275">
        <v>1120</v>
      </c>
      <c r="P1281" s="330">
        <v>6000</v>
      </c>
      <c r="Q1281" s="274">
        <v>2</v>
      </c>
      <c r="R1281" s="274">
        <v>5</v>
      </c>
      <c r="S1281" s="274" t="s">
        <v>354</v>
      </c>
      <c r="T1281" s="276">
        <v>45097</v>
      </c>
      <c r="U1281" s="276">
        <v>45122</v>
      </c>
      <c r="V1281" s="274" t="s">
        <v>355</v>
      </c>
      <c r="W1281" s="274"/>
      <c r="X1281" s="274"/>
      <c r="Y1281" s="239"/>
    </row>
    <row r="1282" spans="1:25" ht="13.5" x14ac:dyDescent="0.15">
      <c r="A1282" s="274">
        <v>3716242</v>
      </c>
      <c r="B1282" s="274" t="s">
        <v>351</v>
      </c>
      <c r="C1282" s="274" t="s">
        <v>364</v>
      </c>
      <c r="D1282" s="274" t="s">
        <v>353</v>
      </c>
      <c r="E1282" s="274" t="s">
        <v>162</v>
      </c>
      <c r="F1282" s="274">
        <v>3</v>
      </c>
      <c r="G1282" s="274" t="s">
        <v>19</v>
      </c>
      <c r="H1282" s="274" t="s">
        <v>20</v>
      </c>
      <c r="I1282" s="274" t="s">
        <v>143</v>
      </c>
      <c r="J1282" s="274"/>
      <c r="K1282" s="274" t="s">
        <v>163</v>
      </c>
      <c r="L1282" s="274">
        <v>38</v>
      </c>
      <c r="M1282" s="274" t="s">
        <v>164</v>
      </c>
      <c r="N1282" s="275">
        <v>1320</v>
      </c>
      <c r="O1282" s="275">
        <v>1320</v>
      </c>
      <c r="P1282" s="330">
        <v>6000</v>
      </c>
      <c r="Q1282" s="274">
        <v>2</v>
      </c>
      <c r="R1282" s="274">
        <v>5</v>
      </c>
      <c r="S1282" s="274" t="s">
        <v>354</v>
      </c>
      <c r="T1282" s="276">
        <v>45097</v>
      </c>
      <c r="U1282" s="276">
        <v>45122</v>
      </c>
      <c r="V1282" s="274" t="s">
        <v>355</v>
      </c>
      <c r="W1282" s="274"/>
      <c r="X1282" s="274"/>
      <c r="Y1282" s="239"/>
    </row>
    <row r="1283" spans="1:25" ht="13.5" x14ac:dyDescent="0.15">
      <c r="A1283" s="274">
        <v>3716266</v>
      </c>
      <c r="B1283" s="274" t="s">
        <v>351</v>
      </c>
      <c r="C1283" s="274" t="s">
        <v>352</v>
      </c>
      <c r="D1283" s="274" t="s">
        <v>353</v>
      </c>
      <c r="E1283" s="274" t="s">
        <v>116</v>
      </c>
      <c r="F1283" s="274">
        <v>3</v>
      </c>
      <c r="G1283" s="274" t="s">
        <v>19</v>
      </c>
      <c r="H1283" s="274" t="s">
        <v>20</v>
      </c>
      <c r="I1283" s="274" t="s">
        <v>143</v>
      </c>
      <c r="J1283" s="274"/>
      <c r="K1283" s="274" t="s">
        <v>144</v>
      </c>
      <c r="L1283" s="274">
        <v>75</v>
      </c>
      <c r="M1283" s="274" t="s">
        <v>145</v>
      </c>
      <c r="N1283" s="275">
        <v>1005</v>
      </c>
      <c r="O1283" s="275">
        <v>1000</v>
      </c>
      <c r="P1283" s="330">
        <v>6000</v>
      </c>
      <c r="Q1283" s="274">
        <v>2</v>
      </c>
      <c r="R1283" s="274">
        <v>2</v>
      </c>
      <c r="S1283" s="274" t="s">
        <v>354</v>
      </c>
      <c r="T1283" s="276">
        <v>45097</v>
      </c>
      <c r="U1283" s="276">
        <v>45128</v>
      </c>
      <c r="V1283" s="274" t="s">
        <v>355</v>
      </c>
      <c r="W1283" s="274"/>
      <c r="X1283" s="274"/>
      <c r="Y1283" s="239"/>
    </row>
    <row r="1284" spans="1:25" ht="13.5" x14ac:dyDescent="0.15">
      <c r="A1284" s="274">
        <v>3721156</v>
      </c>
      <c r="B1284" s="274" t="s">
        <v>351</v>
      </c>
      <c r="C1284" s="274" t="s">
        <v>356</v>
      </c>
      <c r="D1284" s="274" t="s">
        <v>353</v>
      </c>
      <c r="E1284" s="274" t="s">
        <v>114</v>
      </c>
      <c r="F1284" s="274">
        <v>331</v>
      </c>
      <c r="G1284" s="274" t="s">
        <v>19</v>
      </c>
      <c r="H1284" s="274" t="s">
        <v>20</v>
      </c>
      <c r="I1284" s="274" t="s">
        <v>21</v>
      </c>
      <c r="J1284" s="274"/>
      <c r="K1284" s="274" t="s">
        <v>112</v>
      </c>
      <c r="L1284" s="274">
        <v>25</v>
      </c>
      <c r="M1284" s="274" t="s">
        <v>357</v>
      </c>
      <c r="N1284" s="274">
        <v>640</v>
      </c>
      <c r="O1284" s="274">
        <v>640</v>
      </c>
      <c r="P1284" s="330">
        <v>6000</v>
      </c>
      <c r="Q1284" s="274">
        <v>2</v>
      </c>
      <c r="R1284" s="274">
        <v>12</v>
      </c>
      <c r="S1284" s="274" t="s">
        <v>354</v>
      </c>
      <c r="T1284" s="276">
        <v>45128</v>
      </c>
      <c r="U1284" s="276">
        <v>45148</v>
      </c>
      <c r="V1284" s="274" t="s">
        <v>355</v>
      </c>
      <c r="W1284" s="274"/>
      <c r="X1284" s="274"/>
    </row>
    <row r="1285" spans="1:25" ht="13.5" x14ac:dyDescent="0.15">
      <c r="A1285" s="274">
        <v>3721157</v>
      </c>
      <c r="B1285" s="274" t="s">
        <v>351</v>
      </c>
      <c r="C1285" s="274" t="s">
        <v>364</v>
      </c>
      <c r="D1285" s="274" t="s">
        <v>353</v>
      </c>
      <c r="E1285" s="274" t="s">
        <v>371</v>
      </c>
      <c r="F1285" s="274">
        <v>331</v>
      </c>
      <c r="G1285" s="274" t="s">
        <v>19</v>
      </c>
      <c r="H1285" s="274" t="s">
        <v>20</v>
      </c>
      <c r="I1285" s="274" t="s">
        <v>21</v>
      </c>
      <c r="J1285" s="274"/>
      <c r="K1285" s="274" t="s">
        <v>118</v>
      </c>
      <c r="L1285" s="274">
        <v>25</v>
      </c>
      <c r="M1285" s="274" t="s">
        <v>119</v>
      </c>
      <c r="N1285" s="275">
        <v>1425</v>
      </c>
      <c r="O1285" s="275">
        <v>1420</v>
      </c>
      <c r="P1285" s="330">
        <v>6000</v>
      </c>
      <c r="Q1285" s="274">
        <v>2</v>
      </c>
      <c r="R1285" s="274">
        <v>7</v>
      </c>
      <c r="S1285" s="274" t="s">
        <v>354</v>
      </c>
      <c r="T1285" s="276">
        <v>45128</v>
      </c>
      <c r="U1285" s="276">
        <v>45148</v>
      </c>
      <c r="V1285" s="274" t="s">
        <v>355</v>
      </c>
      <c r="W1285" s="274"/>
      <c r="X1285" s="274"/>
    </row>
    <row r="1286" spans="1:25" ht="13.5" x14ac:dyDescent="0.15">
      <c r="A1286" s="274">
        <v>3721158</v>
      </c>
      <c r="B1286" s="274" t="s">
        <v>351</v>
      </c>
      <c r="C1286" s="274" t="s">
        <v>352</v>
      </c>
      <c r="D1286" s="274" t="s">
        <v>353</v>
      </c>
      <c r="E1286" s="274" t="s">
        <v>116</v>
      </c>
      <c r="F1286" s="274">
        <v>3</v>
      </c>
      <c r="G1286" s="274" t="s">
        <v>19</v>
      </c>
      <c r="H1286" s="274" t="s">
        <v>20</v>
      </c>
      <c r="I1286" s="274" t="s">
        <v>21</v>
      </c>
      <c r="J1286" s="274"/>
      <c r="K1286" s="274" t="s">
        <v>118</v>
      </c>
      <c r="L1286" s="274">
        <v>38</v>
      </c>
      <c r="M1286" s="274" t="s">
        <v>368</v>
      </c>
      <c r="N1286" s="275">
        <v>1415</v>
      </c>
      <c r="O1286" s="275">
        <v>1410</v>
      </c>
      <c r="P1286" s="330">
        <v>6000</v>
      </c>
      <c r="Q1286" s="274">
        <v>2</v>
      </c>
      <c r="R1286" s="274">
        <v>10</v>
      </c>
      <c r="S1286" s="274" t="s">
        <v>354</v>
      </c>
      <c r="T1286" s="276">
        <v>45128</v>
      </c>
      <c r="U1286" s="276">
        <v>45163</v>
      </c>
      <c r="V1286" s="274" t="s">
        <v>355</v>
      </c>
      <c r="W1286" s="274"/>
      <c r="X1286" s="274"/>
    </row>
    <row r="1287" spans="1:25" ht="13.5" x14ac:dyDescent="0.15">
      <c r="A1287" s="274">
        <v>3721159</v>
      </c>
      <c r="B1287" s="274" t="s">
        <v>351</v>
      </c>
      <c r="C1287" s="274" t="s">
        <v>356</v>
      </c>
      <c r="D1287" s="274" t="s">
        <v>353</v>
      </c>
      <c r="E1287" s="274" t="s">
        <v>115</v>
      </c>
      <c r="F1287" s="274">
        <v>3</v>
      </c>
      <c r="G1287" s="274" t="s">
        <v>19</v>
      </c>
      <c r="H1287" s="274" t="s">
        <v>20</v>
      </c>
      <c r="I1287" s="274" t="s">
        <v>21</v>
      </c>
      <c r="J1287" s="274"/>
      <c r="K1287" s="274" t="s">
        <v>122</v>
      </c>
      <c r="L1287" s="274">
        <v>25</v>
      </c>
      <c r="M1287" s="274" t="s">
        <v>123</v>
      </c>
      <c r="N1287" s="275">
        <v>1325</v>
      </c>
      <c r="O1287" s="275">
        <v>1320</v>
      </c>
      <c r="P1287" s="330">
        <v>6000</v>
      </c>
      <c r="Q1287" s="274">
        <v>2</v>
      </c>
      <c r="R1287" s="274">
        <v>2</v>
      </c>
      <c r="S1287" s="274" t="s">
        <v>354</v>
      </c>
      <c r="T1287" s="276">
        <v>45128</v>
      </c>
      <c r="U1287" s="276">
        <v>45148</v>
      </c>
      <c r="V1287" s="274" t="s">
        <v>355</v>
      </c>
      <c r="W1287" s="274"/>
      <c r="X1287" s="274"/>
    </row>
    <row r="1288" spans="1:25" ht="13.5" x14ac:dyDescent="0.15">
      <c r="A1288" s="274">
        <v>3721160</v>
      </c>
      <c r="B1288" s="274" t="s">
        <v>351</v>
      </c>
      <c r="C1288" s="274" t="s">
        <v>358</v>
      </c>
      <c r="D1288" s="274" t="s">
        <v>353</v>
      </c>
      <c r="E1288" s="274" t="s">
        <v>120</v>
      </c>
      <c r="F1288" s="274">
        <v>3</v>
      </c>
      <c r="G1288" s="274" t="s">
        <v>19</v>
      </c>
      <c r="H1288" s="274" t="s">
        <v>20</v>
      </c>
      <c r="I1288" s="274" t="s">
        <v>21</v>
      </c>
      <c r="J1288" s="274"/>
      <c r="K1288" s="274" t="s">
        <v>118</v>
      </c>
      <c r="L1288" s="274">
        <v>125</v>
      </c>
      <c r="M1288" s="274" t="s">
        <v>121</v>
      </c>
      <c r="N1288" s="275">
        <v>1230</v>
      </c>
      <c r="O1288" s="275">
        <v>1225</v>
      </c>
      <c r="P1288" s="330">
        <v>6000</v>
      </c>
      <c r="Q1288" s="274">
        <v>2</v>
      </c>
      <c r="R1288" s="274">
        <v>2</v>
      </c>
      <c r="S1288" s="274" t="s">
        <v>354</v>
      </c>
      <c r="T1288" s="276">
        <v>45128</v>
      </c>
      <c r="U1288" s="276">
        <v>45148</v>
      </c>
      <c r="V1288" s="274" t="s">
        <v>355</v>
      </c>
      <c r="W1288" s="274"/>
      <c r="X1288" s="274"/>
    </row>
    <row r="1289" spans="1:25" ht="13.5" x14ac:dyDescent="0.15">
      <c r="A1289" s="274">
        <v>3721161</v>
      </c>
      <c r="B1289" s="274" t="s">
        <v>351</v>
      </c>
      <c r="C1289" s="274" t="s">
        <v>356</v>
      </c>
      <c r="D1289" s="274" t="s">
        <v>353</v>
      </c>
      <c r="E1289" s="274" t="s">
        <v>106</v>
      </c>
      <c r="F1289" s="274">
        <v>3</v>
      </c>
      <c r="G1289" s="274" t="s">
        <v>19</v>
      </c>
      <c r="H1289" s="274" t="s">
        <v>20</v>
      </c>
      <c r="I1289" s="274" t="s">
        <v>21</v>
      </c>
      <c r="J1289" s="274"/>
      <c r="K1289" s="274" t="s">
        <v>107</v>
      </c>
      <c r="L1289" s="274">
        <v>25</v>
      </c>
      <c r="M1289" s="274" t="s">
        <v>367</v>
      </c>
      <c r="N1289" s="275">
        <v>1240</v>
      </c>
      <c r="O1289" s="275">
        <v>1240</v>
      </c>
      <c r="P1289" s="330">
        <v>6000</v>
      </c>
      <c r="Q1289" s="274">
        <v>2</v>
      </c>
      <c r="R1289" s="274">
        <v>40</v>
      </c>
      <c r="S1289" s="274" t="s">
        <v>354</v>
      </c>
      <c r="T1289" s="276">
        <v>45128</v>
      </c>
      <c r="U1289" s="276">
        <v>45148</v>
      </c>
      <c r="V1289" s="274" t="s">
        <v>355</v>
      </c>
      <c r="W1289" s="274"/>
      <c r="X1289" s="274"/>
    </row>
    <row r="1290" spans="1:25" ht="13.5" x14ac:dyDescent="0.15">
      <c r="A1290" s="274">
        <v>3721162</v>
      </c>
      <c r="B1290" s="274" t="s">
        <v>351</v>
      </c>
      <c r="C1290" s="274" t="s">
        <v>356</v>
      </c>
      <c r="D1290" s="274" t="s">
        <v>353</v>
      </c>
      <c r="E1290" s="274" t="s">
        <v>106</v>
      </c>
      <c r="F1290" s="274">
        <v>3</v>
      </c>
      <c r="G1290" s="274" t="s">
        <v>19</v>
      </c>
      <c r="H1290" s="274" t="s">
        <v>20</v>
      </c>
      <c r="I1290" s="274" t="s">
        <v>21</v>
      </c>
      <c r="J1290" s="274"/>
      <c r="K1290" s="274" t="s">
        <v>107</v>
      </c>
      <c r="L1290" s="274">
        <v>38</v>
      </c>
      <c r="M1290" s="274" t="s">
        <v>367</v>
      </c>
      <c r="N1290" s="275">
        <v>1240</v>
      </c>
      <c r="O1290" s="275">
        <v>1240</v>
      </c>
      <c r="P1290" s="330">
        <v>6000</v>
      </c>
      <c r="Q1290" s="274">
        <v>2</v>
      </c>
      <c r="R1290" s="274">
        <v>8</v>
      </c>
      <c r="S1290" s="274" t="s">
        <v>354</v>
      </c>
      <c r="T1290" s="276">
        <v>45128</v>
      </c>
      <c r="U1290" s="276">
        <v>45148</v>
      </c>
      <c r="V1290" s="274" t="s">
        <v>355</v>
      </c>
      <c r="W1290" s="274"/>
      <c r="X1290" s="274"/>
    </row>
    <row r="1291" spans="1:25" ht="13.5" x14ac:dyDescent="0.15">
      <c r="A1291" s="274">
        <v>3721163</v>
      </c>
      <c r="B1291" s="274" t="s">
        <v>351</v>
      </c>
      <c r="C1291" s="274" t="s">
        <v>364</v>
      </c>
      <c r="D1291" s="274" t="s">
        <v>353</v>
      </c>
      <c r="E1291" s="274" t="s">
        <v>371</v>
      </c>
      <c r="F1291" s="274">
        <v>330</v>
      </c>
      <c r="G1291" s="274" t="s">
        <v>19</v>
      </c>
      <c r="H1291" s="274" t="s">
        <v>20</v>
      </c>
      <c r="I1291" s="274" t="s">
        <v>21</v>
      </c>
      <c r="J1291" s="274"/>
      <c r="K1291" s="274" t="s">
        <v>118</v>
      </c>
      <c r="L1291" s="274">
        <v>25</v>
      </c>
      <c r="M1291" s="274" t="s">
        <v>119</v>
      </c>
      <c r="N1291" s="275">
        <v>1155</v>
      </c>
      <c r="O1291" s="275">
        <v>1150</v>
      </c>
      <c r="P1291" s="330">
        <v>6000</v>
      </c>
      <c r="Q1291" s="274">
        <v>2</v>
      </c>
      <c r="R1291" s="274">
        <v>3</v>
      </c>
      <c r="S1291" s="274" t="s">
        <v>354</v>
      </c>
      <c r="T1291" s="276">
        <v>45128</v>
      </c>
      <c r="U1291" s="276">
        <v>45148</v>
      </c>
      <c r="V1291" s="274" t="s">
        <v>355</v>
      </c>
      <c r="W1291" s="274"/>
      <c r="X1291" s="274"/>
    </row>
    <row r="1292" spans="1:25" ht="13.5" x14ac:dyDescent="0.15">
      <c r="A1292" s="274">
        <v>3721164</v>
      </c>
      <c r="B1292" s="274" t="s">
        <v>351</v>
      </c>
      <c r="C1292" s="274" t="s">
        <v>356</v>
      </c>
      <c r="D1292" s="274" t="s">
        <v>353</v>
      </c>
      <c r="E1292" s="274" t="s">
        <v>115</v>
      </c>
      <c r="F1292" s="274">
        <v>3</v>
      </c>
      <c r="G1292" s="274" t="s">
        <v>19</v>
      </c>
      <c r="H1292" s="274" t="s">
        <v>20</v>
      </c>
      <c r="I1292" s="274" t="s">
        <v>21</v>
      </c>
      <c r="J1292" s="274"/>
      <c r="K1292" s="274" t="s">
        <v>112</v>
      </c>
      <c r="L1292" s="274">
        <v>38</v>
      </c>
      <c r="M1292" s="274" t="s">
        <v>357</v>
      </c>
      <c r="N1292" s="275">
        <v>1135</v>
      </c>
      <c r="O1292" s="275">
        <v>1130</v>
      </c>
      <c r="P1292" s="330">
        <v>6000</v>
      </c>
      <c r="Q1292" s="274">
        <v>2</v>
      </c>
      <c r="R1292" s="274">
        <v>8</v>
      </c>
      <c r="S1292" s="274" t="s">
        <v>354</v>
      </c>
      <c r="T1292" s="276">
        <v>45128</v>
      </c>
      <c r="U1292" s="276">
        <v>45148</v>
      </c>
      <c r="V1292" s="274" t="s">
        <v>355</v>
      </c>
      <c r="W1292" s="274"/>
      <c r="X1292" s="274"/>
    </row>
    <row r="1293" spans="1:25" ht="13.5" x14ac:dyDescent="0.15">
      <c r="A1293" s="274">
        <v>3721165</v>
      </c>
      <c r="B1293" s="274" t="s">
        <v>431</v>
      </c>
      <c r="C1293" s="274" t="s">
        <v>358</v>
      </c>
      <c r="D1293" s="274" t="s">
        <v>353</v>
      </c>
      <c r="E1293" s="274"/>
      <c r="F1293" s="274">
        <v>3</v>
      </c>
      <c r="G1293" s="274" t="s">
        <v>265</v>
      </c>
      <c r="H1293" s="274" t="s">
        <v>20</v>
      </c>
      <c r="I1293" s="274" t="s">
        <v>21</v>
      </c>
      <c r="J1293" s="274"/>
      <c r="K1293" s="274" t="s">
        <v>118</v>
      </c>
      <c r="L1293" s="274">
        <v>25</v>
      </c>
      <c r="M1293" s="274" t="s">
        <v>119</v>
      </c>
      <c r="N1293" s="275">
        <v>1100</v>
      </c>
      <c r="O1293" s="275">
        <v>1100</v>
      </c>
      <c r="P1293" s="330">
        <v>6000</v>
      </c>
      <c r="Q1293" s="274">
        <v>2</v>
      </c>
      <c r="R1293" s="274">
        <v>10</v>
      </c>
      <c r="S1293" s="274" t="s">
        <v>354</v>
      </c>
      <c r="T1293" s="276">
        <v>45128</v>
      </c>
      <c r="U1293" s="276">
        <v>45148</v>
      </c>
      <c r="V1293" s="274" t="s">
        <v>355</v>
      </c>
      <c r="W1293" s="274"/>
      <c r="X1293" s="274"/>
    </row>
    <row r="1294" spans="1:25" ht="13.5" x14ac:dyDescent="0.15">
      <c r="A1294" s="274">
        <v>3721166</v>
      </c>
      <c r="B1294" s="274" t="s">
        <v>351</v>
      </c>
      <c r="C1294" s="274" t="s">
        <v>358</v>
      </c>
      <c r="D1294" s="274" t="s">
        <v>353</v>
      </c>
      <c r="E1294" s="274" t="s">
        <v>110</v>
      </c>
      <c r="F1294" s="274">
        <v>331</v>
      </c>
      <c r="G1294" s="274" t="s">
        <v>19</v>
      </c>
      <c r="H1294" s="274" t="s">
        <v>20</v>
      </c>
      <c r="I1294" s="274" t="s">
        <v>21</v>
      </c>
      <c r="J1294" s="274"/>
      <c r="K1294" s="274" t="s">
        <v>112</v>
      </c>
      <c r="L1294" s="274">
        <v>25</v>
      </c>
      <c r="M1294" s="274" t="s">
        <v>357</v>
      </c>
      <c r="N1294" s="274">
        <v>450</v>
      </c>
      <c r="O1294" s="274">
        <v>450</v>
      </c>
      <c r="P1294" s="330">
        <v>6000</v>
      </c>
      <c r="Q1294" s="274">
        <v>2</v>
      </c>
      <c r="R1294" s="274">
        <v>12</v>
      </c>
      <c r="S1294" s="274" t="s">
        <v>354</v>
      </c>
      <c r="T1294" s="276">
        <v>45128</v>
      </c>
      <c r="U1294" s="276">
        <v>45148</v>
      </c>
      <c r="V1294" s="274" t="s">
        <v>355</v>
      </c>
      <c r="W1294" s="274"/>
      <c r="X1294" s="274"/>
    </row>
    <row r="1295" spans="1:25" ht="13.5" x14ac:dyDescent="0.15">
      <c r="A1295" s="274">
        <v>3721167</v>
      </c>
      <c r="B1295" s="274" t="s">
        <v>351</v>
      </c>
      <c r="C1295" s="274" t="s">
        <v>363</v>
      </c>
      <c r="D1295" s="274" t="s">
        <v>353</v>
      </c>
      <c r="E1295" s="274" t="s">
        <v>65</v>
      </c>
      <c r="F1295" s="274">
        <v>3321</v>
      </c>
      <c r="G1295" s="274" t="s">
        <v>19</v>
      </c>
      <c r="H1295" s="274" t="s">
        <v>20</v>
      </c>
      <c r="I1295" s="274" t="s">
        <v>21</v>
      </c>
      <c r="J1295" s="274"/>
      <c r="K1295" s="274" t="s">
        <v>67</v>
      </c>
      <c r="L1295" s="274">
        <v>38</v>
      </c>
      <c r="M1295" s="274" t="s">
        <v>68</v>
      </c>
      <c r="N1295" s="275">
        <v>1336</v>
      </c>
      <c r="O1295" s="275">
        <v>1325</v>
      </c>
      <c r="P1295" s="330">
        <v>6000</v>
      </c>
      <c r="Q1295" s="274">
        <v>2</v>
      </c>
      <c r="R1295" s="274">
        <v>20</v>
      </c>
      <c r="S1295" s="274" t="s">
        <v>354</v>
      </c>
      <c r="T1295" s="276">
        <v>45128</v>
      </c>
      <c r="U1295" s="276">
        <v>45147</v>
      </c>
      <c r="V1295" s="274" t="s">
        <v>355</v>
      </c>
      <c r="W1295" s="274"/>
      <c r="X1295" s="274"/>
    </row>
    <row r="1296" spans="1:25" ht="13.5" x14ac:dyDescent="0.15">
      <c r="A1296" s="274">
        <v>3721168</v>
      </c>
      <c r="B1296" s="274" t="s">
        <v>351</v>
      </c>
      <c r="C1296" s="274" t="s">
        <v>363</v>
      </c>
      <c r="D1296" s="274" t="s">
        <v>353</v>
      </c>
      <c r="E1296" s="274" t="s">
        <v>65</v>
      </c>
      <c r="F1296" s="274">
        <v>3321</v>
      </c>
      <c r="G1296" s="274" t="s">
        <v>19</v>
      </c>
      <c r="H1296" s="274" t="s">
        <v>20</v>
      </c>
      <c r="I1296" s="274" t="s">
        <v>21</v>
      </c>
      <c r="J1296" s="274"/>
      <c r="K1296" s="274" t="s">
        <v>70</v>
      </c>
      <c r="L1296" s="274">
        <v>38</v>
      </c>
      <c r="M1296" s="274" t="s">
        <v>71</v>
      </c>
      <c r="N1296" s="275">
        <v>1336</v>
      </c>
      <c r="O1296" s="275">
        <v>1325</v>
      </c>
      <c r="P1296" s="330">
        <v>6000</v>
      </c>
      <c r="Q1296" s="274">
        <v>2</v>
      </c>
      <c r="R1296" s="274">
        <v>20</v>
      </c>
      <c r="S1296" s="274" t="s">
        <v>354</v>
      </c>
      <c r="T1296" s="276">
        <v>45128</v>
      </c>
      <c r="U1296" s="276">
        <v>45147</v>
      </c>
      <c r="V1296" s="274" t="s">
        <v>355</v>
      </c>
      <c r="W1296" s="274"/>
      <c r="X1296" s="274"/>
    </row>
    <row r="1297" spans="1:24" ht="13.5" x14ac:dyDescent="0.15">
      <c r="A1297" s="274">
        <v>3721169</v>
      </c>
      <c r="B1297" s="274" t="s">
        <v>351</v>
      </c>
      <c r="C1297" s="274" t="s">
        <v>358</v>
      </c>
      <c r="D1297" s="274" t="s">
        <v>353</v>
      </c>
      <c r="E1297" s="274" t="s">
        <v>44</v>
      </c>
      <c r="F1297" s="274">
        <v>3</v>
      </c>
      <c r="G1297" s="274" t="s">
        <v>19</v>
      </c>
      <c r="H1297" s="274" t="s">
        <v>20</v>
      </c>
      <c r="I1297" s="274" t="s">
        <v>21</v>
      </c>
      <c r="J1297" s="274"/>
      <c r="K1297" s="274" t="s">
        <v>47</v>
      </c>
      <c r="L1297" s="274">
        <v>25</v>
      </c>
      <c r="M1297" s="274" t="s">
        <v>48</v>
      </c>
      <c r="N1297" s="274">
        <v>740</v>
      </c>
      <c r="O1297" s="274">
        <v>740</v>
      </c>
      <c r="P1297" s="330">
        <v>6000</v>
      </c>
      <c r="Q1297" s="274">
        <v>1</v>
      </c>
      <c r="R1297" s="274">
        <v>20</v>
      </c>
      <c r="S1297" s="274" t="s">
        <v>354</v>
      </c>
      <c r="T1297" s="276">
        <v>45128</v>
      </c>
      <c r="U1297" s="276">
        <v>45155</v>
      </c>
      <c r="V1297" s="274" t="s">
        <v>355</v>
      </c>
      <c r="W1297" s="274"/>
      <c r="X1297" s="274"/>
    </row>
    <row r="1298" spans="1:24" ht="13.5" x14ac:dyDescent="0.15">
      <c r="A1298" s="274">
        <v>3721170</v>
      </c>
      <c r="B1298" s="274" t="s">
        <v>351</v>
      </c>
      <c r="C1298" s="274" t="s">
        <v>356</v>
      </c>
      <c r="D1298" s="274" t="s">
        <v>353</v>
      </c>
      <c r="E1298" s="274" t="s">
        <v>17</v>
      </c>
      <c r="F1298" s="274">
        <v>331</v>
      </c>
      <c r="G1298" s="274" t="s">
        <v>19</v>
      </c>
      <c r="H1298" s="274" t="s">
        <v>20</v>
      </c>
      <c r="I1298" s="274" t="s">
        <v>21</v>
      </c>
      <c r="J1298" s="274"/>
      <c r="K1298" s="274" t="s">
        <v>52</v>
      </c>
      <c r="L1298" s="274">
        <v>38</v>
      </c>
      <c r="M1298" s="274" t="s">
        <v>53</v>
      </c>
      <c r="N1298" s="275">
        <v>1330</v>
      </c>
      <c r="O1298" s="275">
        <v>1330</v>
      </c>
      <c r="P1298" s="330">
        <v>6000</v>
      </c>
      <c r="Q1298" s="274">
        <v>2</v>
      </c>
      <c r="R1298" s="274">
        <v>60</v>
      </c>
      <c r="S1298" s="274" t="s">
        <v>354</v>
      </c>
      <c r="T1298" s="276">
        <v>45128</v>
      </c>
      <c r="U1298" s="276">
        <v>45155</v>
      </c>
      <c r="V1298" s="274" t="s">
        <v>355</v>
      </c>
      <c r="W1298" s="274"/>
      <c r="X1298" s="274"/>
    </row>
    <row r="1299" spans="1:24" ht="13.5" x14ac:dyDescent="0.15">
      <c r="A1299" s="274">
        <v>3721171</v>
      </c>
      <c r="B1299" s="274" t="s">
        <v>351</v>
      </c>
      <c r="C1299" s="274" t="s">
        <v>356</v>
      </c>
      <c r="D1299" s="274" t="s">
        <v>353</v>
      </c>
      <c r="E1299" s="274" t="s">
        <v>32</v>
      </c>
      <c r="F1299" s="274">
        <v>331</v>
      </c>
      <c r="G1299" s="274" t="s">
        <v>19</v>
      </c>
      <c r="H1299" s="274" t="s">
        <v>20</v>
      </c>
      <c r="I1299" s="274" t="s">
        <v>21</v>
      </c>
      <c r="J1299" s="274"/>
      <c r="K1299" s="274" t="s">
        <v>54</v>
      </c>
      <c r="L1299" s="274">
        <v>38</v>
      </c>
      <c r="M1299" s="274" t="s">
        <v>53</v>
      </c>
      <c r="N1299" s="275">
        <v>1330</v>
      </c>
      <c r="O1299" s="275">
        <v>1330</v>
      </c>
      <c r="P1299" s="330">
        <v>6000</v>
      </c>
      <c r="Q1299" s="274">
        <v>2</v>
      </c>
      <c r="R1299" s="274">
        <v>34</v>
      </c>
      <c r="S1299" s="274" t="s">
        <v>354</v>
      </c>
      <c r="T1299" s="276">
        <v>45128</v>
      </c>
      <c r="U1299" s="276">
        <v>45155</v>
      </c>
      <c r="V1299" s="274" t="s">
        <v>355</v>
      </c>
      <c r="W1299" s="274"/>
      <c r="X1299" s="274"/>
    </row>
    <row r="1300" spans="1:24" ht="13.5" x14ac:dyDescent="0.15">
      <c r="A1300" s="274">
        <v>3721172</v>
      </c>
      <c r="B1300" s="274" t="s">
        <v>351</v>
      </c>
      <c r="C1300" s="274" t="s">
        <v>356</v>
      </c>
      <c r="D1300" s="274" t="s">
        <v>353</v>
      </c>
      <c r="E1300" s="274" t="s">
        <v>32</v>
      </c>
      <c r="F1300" s="274">
        <v>331</v>
      </c>
      <c r="G1300" s="274" t="s">
        <v>19</v>
      </c>
      <c r="H1300" s="274" t="s">
        <v>20</v>
      </c>
      <c r="I1300" s="274" t="s">
        <v>21</v>
      </c>
      <c r="J1300" s="274"/>
      <c r="K1300" s="274" t="s">
        <v>54</v>
      </c>
      <c r="L1300" s="274">
        <v>38</v>
      </c>
      <c r="M1300" s="274" t="s">
        <v>53</v>
      </c>
      <c r="N1300" s="275">
        <v>1330</v>
      </c>
      <c r="O1300" s="275">
        <v>1330</v>
      </c>
      <c r="P1300" s="330">
        <v>6000</v>
      </c>
      <c r="Q1300" s="274">
        <v>2</v>
      </c>
      <c r="R1300" s="274">
        <v>6</v>
      </c>
      <c r="S1300" s="274" t="s">
        <v>354</v>
      </c>
      <c r="T1300" s="276">
        <v>45128</v>
      </c>
      <c r="U1300" s="276">
        <v>45162</v>
      </c>
      <c r="V1300" s="274" t="s">
        <v>355</v>
      </c>
      <c r="W1300" s="274"/>
      <c r="X1300" s="274"/>
    </row>
    <row r="1301" spans="1:24" ht="13.5" x14ac:dyDescent="0.15">
      <c r="A1301" s="274">
        <v>3721174</v>
      </c>
      <c r="B1301" s="274" t="s">
        <v>351</v>
      </c>
      <c r="C1301" s="274" t="s">
        <v>356</v>
      </c>
      <c r="D1301" s="274" t="s">
        <v>353</v>
      </c>
      <c r="E1301" s="274" t="s">
        <v>32</v>
      </c>
      <c r="F1301" s="274">
        <v>3</v>
      </c>
      <c r="G1301" s="274" t="s">
        <v>19</v>
      </c>
      <c r="H1301" s="274" t="s">
        <v>20</v>
      </c>
      <c r="I1301" s="274" t="s">
        <v>21</v>
      </c>
      <c r="J1301" s="274"/>
      <c r="K1301" s="274" t="s">
        <v>56</v>
      </c>
      <c r="L1301" s="274">
        <v>75</v>
      </c>
      <c r="M1301" s="274" t="s">
        <v>376</v>
      </c>
      <c r="N1301" s="275">
        <v>1330</v>
      </c>
      <c r="O1301" s="275">
        <v>1330</v>
      </c>
      <c r="P1301" s="330">
        <v>6000</v>
      </c>
      <c r="Q1301" s="274">
        <v>2</v>
      </c>
      <c r="R1301" s="274">
        <v>30</v>
      </c>
      <c r="S1301" s="274" t="s">
        <v>354</v>
      </c>
      <c r="T1301" s="276">
        <v>45128</v>
      </c>
      <c r="U1301" s="276">
        <v>45162</v>
      </c>
      <c r="V1301" s="274" t="s">
        <v>355</v>
      </c>
      <c r="W1301" s="274"/>
      <c r="X1301" s="274"/>
    </row>
    <row r="1302" spans="1:24" ht="13.5" x14ac:dyDescent="0.15">
      <c r="A1302" s="274">
        <v>3721175</v>
      </c>
      <c r="B1302" s="274" t="s">
        <v>351</v>
      </c>
      <c r="C1302" s="274" t="s">
        <v>358</v>
      </c>
      <c r="D1302" s="274" t="s">
        <v>353</v>
      </c>
      <c r="E1302" s="274" t="s">
        <v>369</v>
      </c>
      <c r="F1302" s="274">
        <v>3</v>
      </c>
      <c r="G1302" s="274" t="s">
        <v>19</v>
      </c>
      <c r="H1302" s="274" t="s">
        <v>20</v>
      </c>
      <c r="I1302" s="274" t="s">
        <v>21</v>
      </c>
      <c r="J1302" s="274"/>
      <c r="K1302" s="274" t="s">
        <v>47</v>
      </c>
      <c r="L1302" s="274">
        <v>38</v>
      </c>
      <c r="M1302" s="274" t="s">
        <v>53</v>
      </c>
      <c r="N1302" s="274">
        <v>535</v>
      </c>
      <c r="O1302" s="274">
        <v>535</v>
      </c>
      <c r="P1302" s="330">
        <v>6000</v>
      </c>
      <c r="Q1302" s="274">
        <v>2</v>
      </c>
      <c r="R1302" s="274">
        <v>4</v>
      </c>
      <c r="S1302" s="274" t="s">
        <v>354</v>
      </c>
      <c r="T1302" s="276">
        <v>45128</v>
      </c>
      <c r="U1302" s="276">
        <v>45162</v>
      </c>
      <c r="V1302" s="274" t="s">
        <v>355</v>
      </c>
      <c r="W1302" s="274"/>
      <c r="X1302" s="274"/>
    </row>
    <row r="1303" spans="1:24" ht="13.5" x14ac:dyDescent="0.15">
      <c r="A1303" s="274">
        <v>3721176</v>
      </c>
      <c r="B1303" s="274" t="s">
        <v>351</v>
      </c>
      <c r="C1303" s="274" t="s">
        <v>364</v>
      </c>
      <c r="D1303" s="274" t="s">
        <v>353</v>
      </c>
      <c r="E1303" s="274" t="s">
        <v>371</v>
      </c>
      <c r="F1303" s="274">
        <v>3</v>
      </c>
      <c r="G1303" s="274" t="s">
        <v>19</v>
      </c>
      <c r="H1303" s="274" t="s">
        <v>28</v>
      </c>
      <c r="I1303" s="274" t="s">
        <v>21</v>
      </c>
      <c r="J1303" s="274"/>
      <c r="K1303" s="274" t="s">
        <v>465</v>
      </c>
      <c r="L1303" s="274">
        <v>75</v>
      </c>
      <c r="M1303" s="274" t="s">
        <v>466</v>
      </c>
      <c r="N1303" s="275">
        <v>1040</v>
      </c>
      <c r="O1303" s="275">
        <v>1040</v>
      </c>
      <c r="P1303" s="330">
        <v>6000</v>
      </c>
      <c r="Q1303" s="274">
        <v>1</v>
      </c>
      <c r="R1303" s="274">
        <v>2</v>
      </c>
      <c r="S1303" s="274" t="s">
        <v>354</v>
      </c>
      <c r="T1303" s="276">
        <v>45128</v>
      </c>
      <c r="U1303" s="276">
        <v>45162</v>
      </c>
      <c r="V1303" s="274" t="s">
        <v>355</v>
      </c>
      <c r="W1303" s="274"/>
      <c r="X1303" s="274"/>
    </row>
    <row r="1304" spans="1:24" ht="13.5" x14ac:dyDescent="0.15">
      <c r="A1304" s="274">
        <v>3721177</v>
      </c>
      <c r="B1304" s="274" t="s">
        <v>351</v>
      </c>
      <c r="C1304" s="274" t="s">
        <v>364</v>
      </c>
      <c r="D1304" s="274" t="s">
        <v>353</v>
      </c>
      <c r="E1304" s="274" t="s">
        <v>371</v>
      </c>
      <c r="F1304" s="274">
        <v>3</v>
      </c>
      <c r="G1304" s="274" t="s">
        <v>19</v>
      </c>
      <c r="H1304" s="274" t="s">
        <v>28</v>
      </c>
      <c r="I1304" s="274" t="s">
        <v>21</v>
      </c>
      <c r="J1304" s="274"/>
      <c r="K1304" s="274" t="s">
        <v>60</v>
      </c>
      <c r="L1304" s="274">
        <v>75</v>
      </c>
      <c r="M1304" s="274" t="s">
        <v>372</v>
      </c>
      <c r="N1304" s="275">
        <v>1040</v>
      </c>
      <c r="O1304" s="275">
        <v>1040</v>
      </c>
      <c r="P1304" s="330">
        <v>6000</v>
      </c>
      <c r="Q1304" s="274">
        <v>1</v>
      </c>
      <c r="R1304" s="274">
        <v>2</v>
      </c>
      <c r="S1304" s="274" t="s">
        <v>354</v>
      </c>
      <c r="T1304" s="276">
        <v>45128</v>
      </c>
      <c r="U1304" s="276">
        <v>45162</v>
      </c>
      <c r="V1304" s="274" t="s">
        <v>355</v>
      </c>
      <c r="W1304" s="274"/>
      <c r="X1304" s="274"/>
    </row>
    <row r="1305" spans="1:24" ht="13.5" x14ac:dyDescent="0.15">
      <c r="A1305" s="274">
        <v>3721178</v>
      </c>
      <c r="B1305" s="274" t="s">
        <v>351</v>
      </c>
      <c r="C1305" s="274" t="s">
        <v>352</v>
      </c>
      <c r="D1305" s="274" t="s">
        <v>353</v>
      </c>
      <c r="E1305" s="274" t="s">
        <v>116</v>
      </c>
      <c r="F1305" s="274">
        <v>3</v>
      </c>
      <c r="G1305" s="274" t="s">
        <v>19</v>
      </c>
      <c r="H1305" s="274" t="s">
        <v>20</v>
      </c>
      <c r="I1305" s="274" t="s">
        <v>21</v>
      </c>
      <c r="J1305" s="274"/>
      <c r="K1305" s="274" t="s">
        <v>118</v>
      </c>
      <c r="L1305" s="274">
        <v>38</v>
      </c>
      <c r="M1305" s="274" t="s">
        <v>368</v>
      </c>
      <c r="N1305" s="275">
        <v>1005</v>
      </c>
      <c r="O1305" s="275">
        <v>1000</v>
      </c>
      <c r="P1305" s="330">
        <v>6000</v>
      </c>
      <c r="Q1305" s="274">
        <v>2</v>
      </c>
      <c r="R1305" s="274">
        <v>12</v>
      </c>
      <c r="S1305" s="274" t="s">
        <v>354</v>
      </c>
      <c r="T1305" s="276">
        <v>45128</v>
      </c>
      <c r="U1305" s="276">
        <v>45163</v>
      </c>
      <c r="V1305" s="274" t="s">
        <v>355</v>
      </c>
      <c r="W1305" s="274"/>
      <c r="X1305" s="274"/>
    </row>
    <row r="1306" spans="1:24" ht="13.5" x14ac:dyDescent="0.15">
      <c r="A1306" s="274">
        <v>3721179</v>
      </c>
      <c r="B1306" s="274" t="s">
        <v>351</v>
      </c>
      <c r="C1306" s="274" t="s">
        <v>356</v>
      </c>
      <c r="D1306" s="274" t="s">
        <v>353</v>
      </c>
      <c r="E1306" s="274" t="s">
        <v>106</v>
      </c>
      <c r="F1306" s="274">
        <v>3</v>
      </c>
      <c r="G1306" s="274" t="s">
        <v>19</v>
      </c>
      <c r="H1306" s="274" t="s">
        <v>20</v>
      </c>
      <c r="I1306" s="274" t="s">
        <v>21</v>
      </c>
      <c r="J1306" s="274"/>
      <c r="K1306" s="274" t="s">
        <v>107</v>
      </c>
      <c r="L1306" s="274">
        <v>25</v>
      </c>
      <c r="M1306" s="274" t="s">
        <v>367</v>
      </c>
      <c r="N1306" s="275">
        <v>1040</v>
      </c>
      <c r="O1306" s="275">
        <v>1040</v>
      </c>
      <c r="P1306" s="330">
        <v>6000</v>
      </c>
      <c r="Q1306" s="274">
        <v>2</v>
      </c>
      <c r="R1306" s="274">
        <v>10</v>
      </c>
      <c r="S1306" s="274" t="s">
        <v>354</v>
      </c>
      <c r="T1306" s="276">
        <v>45128</v>
      </c>
      <c r="U1306" s="276">
        <v>45166</v>
      </c>
      <c r="V1306" s="274" t="s">
        <v>355</v>
      </c>
      <c r="W1306" s="274"/>
      <c r="X1306" s="274"/>
    </row>
    <row r="1307" spans="1:24" ht="13.5" x14ac:dyDescent="0.15">
      <c r="A1307" s="274">
        <v>3721180</v>
      </c>
      <c r="B1307" s="274" t="s">
        <v>351</v>
      </c>
      <c r="C1307" s="274" t="s">
        <v>356</v>
      </c>
      <c r="D1307" s="274" t="s">
        <v>353</v>
      </c>
      <c r="E1307" s="274" t="s">
        <v>130</v>
      </c>
      <c r="F1307" s="274">
        <v>331</v>
      </c>
      <c r="G1307" s="274" t="s">
        <v>19</v>
      </c>
      <c r="H1307" s="274" t="s">
        <v>20</v>
      </c>
      <c r="I1307" s="274" t="s">
        <v>21</v>
      </c>
      <c r="J1307" s="274"/>
      <c r="K1307" s="274" t="s">
        <v>435</v>
      </c>
      <c r="L1307" s="274">
        <v>25</v>
      </c>
      <c r="M1307" s="274" t="s">
        <v>436</v>
      </c>
      <c r="N1307" s="275">
        <v>1410</v>
      </c>
      <c r="O1307" s="275">
        <v>1410</v>
      </c>
      <c r="P1307" s="330">
        <v>6000</v>
      </c>
      <c r="Q1307" s="274">
        <v>2</v>
      </c>
      <c r="R1307" s="274">
        <v>10</v>
      </c>
      <c r="S1307" s="274" t="s">
        <v>354</v>
      </c>
      <c r="T1307" s="276">
        <v>45128</v>
      </c>
      <c r="U1307" s="276">
        <v>45166</v>
      </c>
      <c r="V1307" s="274" t="s">
        <v>355</v>
      </c>
      <c r="W1307" s="274"/>
      <c r="X1307" s="274"/>
    </row>
    <row r="1308" spans="1:24" ht="13.5" x14ac:dyDescent="0.15">
      <c r="A1308" s="274">
        <v>3721181</v>
      </c>
      <c r="B1308" s="274" t="s">
        <v>351</v>
      </c>
      <c r="C1308" s="274" t="s">
        <v>356</v>
      </c>
      <c r="D1308" s="274" t="s">
        <v>353</v>
      </c>
      <c r="E1308" s="274" t="s">
        <v>130</v>
      </c>
      <c r="F1308" s="274">
        <v>331</v>
      </c>
      <c r="G1308" s="274" t="s">
        <v>19</v>
      </c>
      <c r="H1308" s="274" t="s">
        <v>20</v>
      </c>
      <c r="I1308" s="274" t="s">
        <v>21</v>
      </c>
      <c r="J1308" s="274"/>
      <c r="K1308" s="274" t="s">
        <v>435</v>
      </c>
      <c r="L1308" s="274">
        <v>25</v>
      </c>
      <c r="M1308" s="274" t="s">
        <v>436</v>
      </c>
      <c r="N1308" s="275">
        <v>1410</v>
      </c>
      <c r="O1308" s="275">
        <v>1410</v>
      </c>
      <c r="P1308" s="330">
        <v>6000</v>
      </c>
      <c r="Q1308" s="274">
        <v>2</v>
      </c>
      <c r="R1308" s="274">
        <v>8</v>
      </c>
      <c r="S1308" s="274" t="s">
        <v>354</v>
      </c>
      <c r="T1308" s="276">
        <v>45128</v>
      </c>
      <c r="U1308" s="276">
        <v>45166</v>
      </c>
      <c r="V1308" s="274" t="s">
        <v>355</v>
      </c>
      <c r="W1308" s="274"/>
      <c r="X1308" s="274"/>
    </row>
    <row r="1309" spans="1:24" ht="13.5" x14ac:dyDescent="0.15">
      <c r="A1309" s="274">
        <v>3721182</v>
      </c>
      <c r="B1309" s="274" t="s">
        <v>351</v>
      </c>
      <c r="C1309" s="274" t="s">
        <v>358</v>
      </c>
      <c r="D1309" s="274" t="s">
        <v>353</v>
      </c>
      <c r="E1309" s="274" t="s">
        <v>61</v>
      </c>
      <c r="F1309" s="274">
        <v>3313</v>
      </c>
      <c r="G1309" s="274" t="s">
        <v>19</v>
      </c>
      <c r="H1309" s="274" t="s">
        <v>20</v>
      </c>
      <c r="I1309" s="274" t="s">
        <v>21</v>
      </c>
      <c r="J1309" s="274"/>
      <c r="K1309" s="274" t="s">
        <v>62</v>
      </c>
      <c r="L1309" s="274">
        <v>38</v>
      </c>
      <c r="M1309" s="274" t="s">
        <v>63</v>
      </c>
      <c r="N1309" s="274">
        <v>750</v>
      </c>
      <c r="O1309" s="274">
        <v>750</v>
      </c>
      <c r="P1309" s="330">
        <v>6000</v>
      </c>
      <c r="Q1309" s="274">
        <v>2</v>
      </c>
      <c r="R1309" s="274">
        <v>40</v>
      </c>
      <c r="S1309" s="274" t="s">
        <v>354</v>
      </c>
      <c r="T1309" s="276">
        <v>45128</v>
      </c>
      <c r="U1309" s="276">
        <v>45163</v>
      </c>
      <c r="V1309" s="274" t="s">
        <v>355</v>
      </c>
      <c r="W1309" s="274"/>
      <c r="X1309" s="274"/>
    </row>
    <row r="1310" spans="1:24" ht="13.5" x14ac:dyDescent="0.15">
      <c r="A1310" s="274">
        <v>3721185</v>
      </c>
      <c r="B1310" s="274" t="s">
        <v>351</v>
      </c>
      <c r="C1310" s="274" t="s">
        <v>363</v>
      </c>
      <c r="D1310" s="274" t="s">
        <v>353</v>
      </c>
      <c r="E1310" s="274" t="s">
        <v>65</v>
      </c>
      <c r="F1310" s="274">
        <v>3321</v>
      </c>
      <c r="G1310" s="274" t="s">
        <v>19</v>
      </c>
      <c r="H1310" s="274" t="s">
        <v>20</v>
      </c>
      <c r="I1310" s="274" t="s">
        <v>21</v>
      </c>
      <c r="J1310" s="274"/>
      <c r="K1310" s="274" t="s">
        <v>67</v>
      </c>
      <c r="L1310" s="274">
        <v>38</v>
      </c>
      <c r="M1310" s="274" t="s">
        <v>68</v>
      </c>
      <c r="N1310" s="275">
        <v>1336</v>
      </c>
      <c r="O1310" s="275">
        <v>1325</v>
      </c>
      <c r="P1310" s="330">
        <v>6000</v>
      </c>
      <c r="Q1310" s="274">
        <v>2</v>
      </c>
      <c r="R1310" s="274">
        <v>32</v>
      </c>
      <c r="S1310" s="274" t="s">
        <v>354</v>
      </c>
      <c r="T1310" s="276">
        <v>45128</v>
      </c>
      <c r="U1310" s="276">
        <v>45163</v>
      </c>
      <c r="V1310" s="274" t="s">
        <v>355</v>
      </c>
      <c r="W1310" s="274"/>
      <c r="X1310" s="274"/>
    </row>
    <row r="1311" spans="1:24" ht="13.5" x14ac:dyDescent="0.15">
      <c r="A1311" s="274">
        <v>3721186</v>
      </c>
      <c r="B1311" s="274" t="s">
        <v>351</v>
      </c>
      <c r="C1311" s="274" t="s">
        <v>363</v>
      </c>
      <c r="D1311" s="274" t="s">
        <v>353</v>
      </c>
      <c r="E1311" s="274" t="s">
        <v>65</v>
      </c>
      <c r="F1311" s="274">
        <v>3321</v>
      </c>
      <c r="G1311" s="274" t="s">
        <v>19</v>
      </c>
      <c r="H1311" s="274" t="s">
        <v>20</v>
      </c>
      <c r="I1311" s="274" t="s">
        <v>21</v>
      </c>
      <c r="J1311" s="274"/>
      <c r="K1311" s="274" t="s">
        <v>70</v>
      </c>
      <c r="L1311" s="274">
        <v>38</v>
      </c>
      <c r="M1311" s="274" t="s">
        <v>71</v>
      </c>
      <c r="N1311" s="275">
        <v>1336</v>
      </c>
      <c r="O1311" s="275">
        <v>1325</v>
      </c>
      <c r="P1311" s="330">
        <v>6000</v>
      </c>
      <c r="Q1311" s="274">
        <v>2</v>
      </c>
      <c r="R1311" s="274">
        <v>32</v>
      </c>
      <c r="S1311" s="274" t="s">
        <v>354</v>
      </c>
      <c r="T1311" s="276">
        <v>45128</v>
      </c>
      <c r="U1311" s="276">
        <v>45163</v>
      </c>
      <c r="V1311" s="274" t="s">
        <v>355</v>
      </c>
      <c r="W1311" s="274"/>
      <c r="X1311" s="274"/>
    </row>
    <row r="1312" spans="1:24" ht="13.5" x14ac:dyDescent="0.15">
      <c r="A1312" s="274">
        <v>3721187</v>
      </c>
      <c r="B1312" s="274" t="s">
        <v>351</v>
      </c>
      <c r="C1312" s="274" t="s">
        <v>356</v>
      </c>
      <c r="D1312" s="274" t="s">
        <v>353</v>
      </c>
      <c r="E1312" s="274" t="s">
        <v>32</v>
      </c>
      <c r="F1312" s="274">
        <v>331</v>
      </c>
      <c r="G1312" s="274" t="s">
        <v>19</v>
      </c>
      <c r="H1312" s="274" t="s">
        <v>20</v>
      </c>
      <c r="I1312" s="274" t="s">
        <v>21</v>
      </c>
      <c r="J1312" s="274"/>
      <c r="K1312" s="274" t="s">
        <v>33</v>
      </c>
      <c r="L1312" s="274">
        <v>38</v>
      </c>
      <c r="M1312" s="274" t="s">
        <v>30</v>
      </c>
      <c r="N1312" s="275">
        <v>1580</v>
      </c>
      <c r="O1312" s="275">
        <v>1580</v>
      </c>
      <c r="P1312" s="330">
        <v>6000</v>
      </c>
      <c r="Q1312" s="274">
        <v>2</v>
      </c>
      <c r="R1312" s="274">
        <v>8</v>
      </c>
      <c r="S1312" s="274" t="s">
        <v>354</v>
      </c>
      <c r="T1312" s="276">
        <v>45128</v>
      </c>
      <c r="U1312" s="276">
        <v>45167</v>
      </c>
      <c r="V1312" s="274" t="s">
        <v>355</v>
      </c>
      <c r="W1312" s="274"/>
      <c r="X1312" s="274"/>
    </row>
    <row r="1313" spans="1:24" ht="13.5" x14ac:dyDescent="0.15">
      <c r="A1313" s="274">
        <v>3721188</v>
      </c>
      <c r="B1313" s="274" t="s">
        <v>351</v>
      </c>
      <c r="C1313" s="274" t="s">
        <v>356</v>
      </c>
      <c r="D1313" s="274" t="s">
        <v>353</v>
      </c>
      <c r="E1313" s="274" t="s">
        <v>17</v>
      </c>
      <c r="F1313" s="274">
        <v>331</v>
      </c>
      <c r="G1313" s="274" t="s">
        <v>19</v>
      </c>
      <c r="H1313" s="274" t="s">
        <v>20</v>
      </c>
      <c r="I1313" s="274" t="s">
        <v>21</v>
      </c>
      <c r="J1313" s="274"/>
      <c r="K1313" s="274" t="s">
        <v>22</v>
      </c>
      <c r="L1313" s="274">
        <v>38</v>
      </c>
      <c r="M1313" s="274" t="s">
        <v>23</v>
      </c>
      <c r="N1313" s="275">
        <v>1367</v>
      </c>
      <c r="O1313" s="275">
        <v>1360</v>
      </c>
      <c r="P1313" s="330">
        <v>6000</v>
      </c>
      <c r="Q1313" s="274">
        <v>2</v>
      </c>
      <c r="R1313" s="274">
        <v>4</v>
      </c>
      <c r="S1313" s="274" t="s">
        <v>354</v>
      </c>
      <c r="T1313" s="276">
        <v>45128</v>
      </c>
      <c r="U1313" s="276">
        <v>45167</v>
      </c>
      <c r="V1313" s="274" t="s">
        <v>355</v>
      </c>
      <c r="W1313" s="274"/>
      <c r="X1313" s="274"/>
    </row>
    <row r="1314" spans="1:24" ht="13.5" x14ac:dyDescent="0.15">
      <c r="A1314" s="274">
        <v>3721189</v>
      </c>
      <c r="B1314" s="274" t="s">
        <v>351</v>
      </c>
      <c r="C1314" s="274" t="s">
        <v>356</v>
      </c>
      <c r="D1314" s="274" t="s">
        <v>353</v>
      </c>
      <c r="E1314" s="274" t="s">
        <v>32</v>
      </c>
      <c r="F1314" s="274">
        <v>331</v>
      </c>
      <c r="G1314" s="274" t="s">
        <v>19</v>
      </c>
      <c r="H1314" s="274" t="s">
        <v>20</v>
      </c>
      <c r="I1314" s="274" t="s">
        <v>21</v>
      </c>
      <c r="J1314" s="274"/>
      <c r="K1314" s="274" t="s">
        <v>33</v>
      </c>
      <c r="L1314" s="274">
        <v>25</v>
      </c>
      <c r="M1314" s="274" t="s">
        <v>30</v>
      </c>
      <c r="N1314" s="275">
        <v>1330</v>
      </c>
      <c r="O1314" s="275">
        <v>1330</v>
      </c>
      <c r="P1314" s="330">
        <v>6000</v>
      </c>
      <c r="Q1314" s="274">
        <v>2</v>
      </c>
      <c r="R1314" s="274">
        <v>20</v>
      </c>
      <c r="S1314" s="274" t="s">
        <v>354</v>
      </c>
      <c r="T1314" s="276">
        <v>45128</v>
      </c>
      <c r="U1314" s="276">
        <v>45167</v>
      </c>
      <c r="V1314" s="274" t="s">
        <v>355</v>
      </c>
      <c r="W1314" s="274"/>
      <c r="X1314" s="274"/>
    </row>
    <row r="1315" spans="1:24" ht="13.5" x14ac:dyDescent="0.15">
      <c r="A1315" s="274">
        <v>3721190</v>
      </c>
      <c r="B1315" s="274" t="s">
        <v>351</v>
      </c>
      <c r="C1315" s="274" t="s">
        <v>356</v>
      </c>
      <c r="D1315" s="274" t="s">
        <v>353</v>
      </c>
      <c r="E1315" s="274" t="s">
        <v>32</v>
      </c>
      <c r="F1315" s="274">
        <v>331</v>
      </c>
      <c r="G1315" s="274" t="s">
        <v>19</v>
      </c>
      <c r="H1315" s="274" t="s">
        <v>20</v>
      </c>
      <c r="I1315" s="274" t="s">
        <v>21</v>
      </c>
      <c r="J1315" s="274"/>
      <c r="K1315" s="274" t="s">
        <v>33</v>
      </c>
      <c r="L1315" s="274">
        <v>38</v>
      </c>
      <c r="M1315" s="274" t="s">
        <v>30</v>
      </c>
      <c r="N1315" s="275">
        <v>1330</v>
      </c>
      <c r="O1315" s="275">
        <v>1330</v>
      </c>
      <c r="P1315" s="330">
        <v>6000</v>
      </c>
      <c r="Q1315" s="274">
        <v>2</v>
      </c>
      <c r="R1315" s="274">
        <v>20</v>
      </c>
      <c r="S1315" s="274" t="s">
        <v>354</v>
      </c>
      <c r="T1315" s="276">
        <v>45128</v>
      </c>
      <c r="U1315" s="276">
        <v>45167</v>
      </c>
      <c r="V1315" s="274" t="s">
        <v>355</v>
      </c>
      <c r="W1315" s="274"/>
      <c r="X1315" s="274"/>
    </row>
    <row r="1316" spans="1:24" ht="13.5" x14ac:dyDescent="0.15">
      <c r="A1316" s="274">
        <v>3721191</v>
      </c>
      <c r="B1316" s="274" t="s">
        <v>351</v>
      </c>
      <c r="C1316" s="274" t="s">
        <v>359</v>
      </c>
      <c r="D1316" s="274" t="s">
        <v>353</v>
      </c>
      <c r="E1316" s="274" t="s">
        <v>40</v>
      </c>
      <c r="F1316" s="274">
        <v>3</v>
      </c>
      <c r="G1316" s="274" t="s">
        <v>19</v>
      </c>
      <c r="H1316" s="274" t="s">
        <v>20</v>
      </c>
      <c r="I1316" s="274" t="s">
        <v>21</v>
      </c>
      <c r="J1316" s="274"/>
      <c r="K1316" s="274" t="s">
        <v>42</v>
      </c>
      <c r="L1316" s="274">
        <v>25</v>
      </c>
      <c r="M1316" s="274" t="s">
        <v>43</v>
      </c>
      <c r="N1316" s="275">
        <v>1085</v>
      </c>
      <c r="O1316" s="275">
        <v>1080</v>
      </c>
      <c r="P1316" s="330">
        <v>6000</v>
      </c>
      <c r="Q1316" s="274">
        <v>2</v>
      </c>
      <c r="R1316" s="274">
        <v>2</v>
      </c>
      <c r="S1316" s="274" t="s">
        <v>354</v>
      </c>
      <c r="T1316" s="276">
        <v>45128</v>
      </c>
      <c r="U1316" s="276">
        <v>45167</v>
      </c>
      <c r="V1316" s="274" t="s">
        <v>355</v>
      </c>
      <c r="W1316" s="274"/>
      <c r="X1316" s="274"/>
    </row>
    <row r="1317" spans="1:24" ht="13.5" x14ac:dyDescent="0.15">
      <c r="A1317" s="274">
        <v>3721192</v>
      </c>
      <c r="B1317" s="274" t="s">
        <v>351</v>
      </c>
      <c r="C1317" s="274" t="s">
        <v>356</v>
      </c>
      <c r="D1317" s="274" t="s">
        <v>353</v>
      </c>
      <c r="E1317" s="274" t="s">
        <v>17</v>
      </c>
      <c r="F1317" s="274">
        <v>3</v>
      </c>
      <c r="G1317" s="274" t="s">
        <v>19</v>
      </c>
      <c r="H1317" s="274" t="s">
        <v>20</v>
      </c>
      <c r="I1317" s="274" t="s">
        <v>21</v>
      </c>
      <c r="J1317" s="274"/>
      <c r="K1317" s="274" t="s">
        <v>22</v>
      </c>
      <c r="L1317" s="274">
        <v>38</v>
      </c>
      <c r="M1317" s="274" t="s">
        <v>23</v>
      </c>
      <c r="N1317" s="275">
        <v>1057</v>
      </c>
      <c r="O1317" s="275">
        <v>1050</v>
      </c>
      <c r="P1317" s="330">
        <v>6000</v>
      </c>
      <c r="Q1317" s="274">
        <v>2</v>
      </c>
      <c r="R1317" s="274">
        <v>7</v>
      </c>
      <c r="S1317" s="274" t="s">
        <v>354</v>
      </c>
      <c r="T1317" s="276">
        <v>45128</v>
      </c>
      <c r="U1317" s="276">
        <v>45167</v>
      </c>
      <c r="V1317" s="274" t="s">
        <v>355</v>
      </c>
      <c r="W1317" s="274"/>
      <c r="X1317" s="274"/>
    </row>
    <row r="1318" spans="1:24" ht="13.5" x14ac:dyDescent="0.15">
      <c r="A1318" s="274">
        <v>3721193</v>
      </c>
      <c r="B1318" s="274" t="s">
        <v>351</v>
      </c>
      <c r="C1318" s="274" t="s">
        <v>359</v>
      </c>
      <c r="D1318" s="274" t="s">
        <v>353</v>
      </c>
      <c r="E1318" s="274" t="s">
        <v>40</v>
      </c>
      <c r="F1318" s="274">
        <v>3</v>
      </c>
      <c r="G1318" s="274" t="s">
        <v>19</v>
      </c>
      <c r="H1318" s="274" t="s">
        <v>20</v>
      </c>
      <c r="I1318" s="274" t="s">
        <v>21</v>
      </c>
      <c r="J1318" s="274"/>
      <c r="K1318" s="274" t="s">
        <v>42</v>
      </c>
      <c r="L1318" s="274">
        <v>25</v>
      </c>
      <c r="M1318" s="274" t="s">
        <v>43</v>
      </c>
      <c r="N1318" s="275">
        <v>1045</v>
      </c>
      <c r="O1318" s="275">
        <v>1040</v>
      </c>
      <c r="P1318" s="330">
        <v>6000</v>
      </c>
      <c r="Q1318" s="274">
        <v>2</v>
      </c>
      <c r="R1318" s="274">
        <v>10</v>
      </c>
      <c r="S1318" s="274" t="s">
        <v>354</v>
      </c>
      <c r="T1318" s="276">
        <v>45128</v>
      </c>
      <c r="U1318" s="276">
        <v>45167</v>
      </c>
      <c r="V1318" s="274" t="s">
        <v>355</v>
      </c>
      <c r="W1318" s="274"/>
      <c r="X1318" s="274"/>
    </row>
    <row r="1319" spans="1:24" ht="13.5" x14ac:dyDescent="0.15">
      <c r="A1319" s="274">
        <v>3721194</v>
      </c>
      <c r="B1319" s="274" t="s">
        <v>351</v>
      </c>
      <c r="C1319" s="274" t="s">
        <v>356</v>
      </c>
      <c r="D1319" s="274" t="s">
        <v>353</v>
      </c>
      <c r="E1319" s="274" t="s">
        <v>17</v>
      </c>
      <c r="F1319" s="274">
        <v>3</v>
      </c>
      <c r="G1319" s="274" t="s">
        <v>19</v>
      </c>
      <c r="H1319" s="274" t="s">
        <v>20</v>
      </c>
      <c r="I1319" s="274" t="s">
        <v>21</v>
      </c>
      <c r="J1319" s="274"/>
      <c r="K1319" s="274" t="s">
        <v>22</v>
      </c>
      <c r="L1319" s="274">
        <v>38</v>
      </c>
      <c r="M1319" s="274" t="s">
        <v>23</v>
      </c>
      <c r="N1319" s="275">
        <v>1037</v>
      </c>
      <c r="O1319" s="275">
        <v>1030</v>
      </c>
      <c r="P1319" s="330">
        <v>6000</v>
      </c>
      <c r="Q1319" s="274">
        <v>2</v>
      </c>
      <c r="R1319" s="274">
        <v>34</v>
      </c>
      <c r="S1319" s="274" t="s">
        <v>354</v>
      </c>
      <c r="T1319" s="276">
        <v>45128</v>
      </c>
      <c r="U1319" s="276">
        <v>45167</v>
      </c>
      <c r="V1319" s="274" t="s">
        <v>355</v>
      </c>
      <c r="W1319" s="274"/>
      <c r="X1319" s="274"/>
    </row>
    <row r="1320" spans="1:24" ht="13.5" x14ac:dyDescent="0.15">
      <c r="A1320" s="274">
        <v>3721195</v>
      </c>
      <c r="B1320" s="274" t="s">
        <v>351</v>
      </c>
      <c r="C1320" s="274" t="s">
        <v>356</v>
      </c>
      <c r="D1320" s="274" t="s">
        <v>353</v>
      </c>
      <c r="E1320" s="274" t="s">
        <v>377</v>
      </c>
      <c r="F1320" s="274">
        <v>3</v>
      </c>
      <c r="G1320" s="274" t="s">
        <v>19</v>
      </c>
      <c r="H1320" s="274" t="s">
        <v>20</v>
      </c>
      <c r="I1320" s="274" t="s">
        <v>21</v>
      </c>
      <c r="J1320" s="274"/>
      <c r="K1320" s="274" t="s">
        <v>36</v>
      </c>
      <c r="L1320" s="274">
        <v>25</v>
      </c>
      <c r="M1320" s="274" t="s">
        <v>37</v>
      </c>
      <c r="N1320" s="274">
        <v>890</v>
      </c>
      <c r="O1320" s="274">
        <v>890</v>
      </c>
      <c r="P1320" s="330">
        <v>6000</v>
      </c>
      <c r="Q1320" s="274">
        <v>2</v>
      </c>
      <c r="R1320" s="274">
        <v>3</v>
      </c>
      <c r="S1320" s="274" t="s">
        <v>354</v>
      </c>
      <c r="T1320" s="276">
        <v>45128</v>
      </c>
      <c r="U1320" s="276">
        <v>45167</v>
      </c>
      <c r="V1320" s="274" t="s">
        <v>355</v>
      </c>
      <c r="W1320" s="274"/>
      <c r="X1320" s="274"/>
    </row>
    <row r="1321" spans="1:24" ht="13.5" x14ac:dyDescent="0.15">
      <c r="A1321" s="274">
        <v>3721196</v>
      </c>
      <c r="B1321" s="274" t="s">
        <v>351</v>
      </c>
      <c r="C1321" s="274" t="s">
        <v>356</v>
      </c>
      <c r="D1321" s="274" t="s">
        <v>353</v>
      </c>
      <c r="E1321" s="274" t="s">
        <v>255</v>
      </c>
      <c r="F1321" s="274">
        <v>3</v>
      </c>
      <c r="G1321" s="274" t="s">
        <v>19</v>
      </c>
      <c r="H1321" s="274" t="s">
        <v>20</v>
      </c>
      <c r="I1321" s="274" t="s">
        <v>256</v>
      </c>
      <c r="J1321" s="274"/>
      <c r="K1321" s="274" t="s">
        <v>257</v>
      </c>
      <c r="L1321" s="274">
        <v>100</v>
      </c>
      <c r="M1321" s="274" t="s">
        <v>258</v>
      </c>
      <c r="N1321" s="275">
        <v>1000</v>
      </c>
      <c r="O1321" s="275">
        <v>1000</v>
      </c>
      <c r="P1321" s="330">
        <v>6000</v>
      </c>
      <c r="Q1321" s="274">
        <v>2</v>
      </c>
      <c r="R1321" s="274">
        <v>6</v>
      </c>
      <c r="S1321" s="274" t="s">
        <v>354</v>
      </c>
      <c r="T1321" s="276">
        <v>45128</v>
      </c>
      <c r="U1321" s="276">
        <v>45158</v>
      </c>
      <c r="V1321" s="274" t="s">
        <v>355</v>
      </c>
      <c r="W1321" s="274"/>
      <c r="X1321" s="274"/>
    </row>
    <row r="1322" spans="1:24" ht="13.5" x14ac:dyDescent="0.15">
      <c r="A1322" s="274">
        <v>3721197</v>
      </c>
      <c r="B1322" s="274" t="s">
        <v>351</v>
      </c>
      <c r="C1322" s="274" t="s">
        <v>356</v>
      </c>
      <c r="D1322" s="274" t="s">
        <v>353</v>
      </c>
      <c r="E1322" s="274" t="s">
        <v>255</v>
      </c>
      <c r="F1322" s="274">
        <v>3</v>
      </c>
      <c r="G1322" s="274" t="s">
        <v>19</v>
      </c>
      <c r="H1322" s="274" t="s">
        <v>20</v>
      </c>
      <c r="I1322" s="274" t="s">
        <v>256</v>
      </c>
      <c r="J1322" s="274"/>
      <c r="K1322" s="274" t="s">
        <v>257</v>
      </c>
      <c r="L1322" s="274">
        <v>125</v>
      </c>
      <c r="M1322" s="274" t="s">
        <v>258</v>
      </c>
      <c r="N1322" s="275">
        <v>1000</v>
      </c>
      <c r="O1322" s="275">
        <v>1000</v>
      </c>
      <c r="P1322" s="330">
        <v>6000</v>
      </c>
      <c r="Q1322" s="274">
        <v>2</v>
      </c>
      <c r="R1322" s="274">
        <v>6</v>
      </c>
      <c r="S1322" s="274" t="s">
        <v>354</v>
      </c>
      <c r="T1322" s="276">
        <v>45128</v>
      </c>
      <c r="U1322" s="276">
        <v>45158</v>
      </c>
      <c r="V1322" s="274" t="s">
        <v>355</v>
      </c>
      <c r="W1322" s="274"/>
      <c r="X1322" s="274"/>
    </row>
    <row r="1323" spans="1:24" ht="13.5" x14ac:dyDescent="0.15">
      <c r="A1323" s="274">
        <v>3721198</v>
      </c>
      <c r="B1323" s="274" t="s">
        <v>351</v>
      </c>
      <c r="C1323" s="274" t="s">
        <v>356</v>
      </c>
      <c r="D1323" s="274" t="s">
        <v>353</v>
      </c>
      <c r="E1323" s="274" t="s">
        <v>255</v>
      </c>
      <c r="F1323" s="274">
        <v>3</v>
      </c>
      <c r="G1323" s="274" t="s">
        <v>19</v>
      </c>
      <c r="H1323" s="274" t="s">
        <v>20</v>
      </c>
      <c r="I1323" s="274" t="s">
        <v>256</v>
      </c>
      <c r="J1323" s="274"/>
      <c r="K1323" s="274" t="s">
        <v>257</v>
      </c>
      <c r="L1323" s="274">
        <v>188</v>
      </c>
      <c r="M1323" s="274" t="s">
        <v>258</v>
      </c>
      <c r="N1323" s="275">
        <v>1000</v>
      </c>
      <c r="O1323" s="275">
        <v>1000</v>
      </c>
      <c r="P1323" s="330">
        <v>6000</v>
      </c>
      <c r="Q1323" s="274">
        <v>2</v>
      </c>
      <c r="R1323" s="274">
        <v>5</v>
      </c>
      <c r="S1323" s="274" t="s">
        <v>354</v>
      </c>
      <c r="T1323" s="276">
        <v>45128</v>
      </c>
      <c r="U1323" s="276">
        <v>45158</v>
      </c>
      <c r="V1323" s="274" t="s">
        <v>355</v>
      </c>
      <c r="W1323" s="274"/>
      <c r="X1323" s="274"/>
    </row>
    <row r="1324" spans="1:24" ht="13.5" x14ac:dyDescent="0.15">
      <c r="A1324" s="274">
        <v>3721202</v>
      </c>
      <c r="B1324" s="274" t="s">
        <v>351</v>
      </c>
      <c r="C1324" s="274" t="s">
        <v>364</v>
      </c>
      <c r="D1324" s="274" t="s">
        <v>353</v>
      </c>
      <c r="E1324" s="274" t="s">
        <v>162</v>
      </c>
      <c r="F1324" s="274">
        <v>3</v>
      </c>
      <c r="G1324" s="274" t="s">
        <v>19</v>
      </c>
      <c r="H1324" s="274" t="s">
        <v>20</v>
      </c>
      <c r="I1324" s="274" t="s">
        <v>143</v>
      </c>
      <c r="J1324" s="274"/>
      <c r="K1324" s="274" t="s">
        <v>163</v>
      </c>
      <c r="L1324" s="274">
        <v>38</v>
      </c>
      <c r="M1324" s="274" t="s">
        <v>164</v>
      </c>
      <c r="N1324" s="275">
        <v>1320</v>
      </c>
      <c r="O1324" s="275">
        <v>1320</v>
      </c>
      <c r="P1324" s="330">
        <v>6000</v>
      </c>
      <c r="Q1324" s="274">
        <v>2</v>
      </c>
      <c r="R1324" s="274">
        <v>15</v>
      </c>
      <c r="S1324" s="274" t="s">
        <v>354</v>
      </c>
      <c r="T1324" s="276">
        <v>45128</v>
      </c>
      <c r="U1324" s="276">
        <v>45148</v>
      </c>
      <c r="V1324" s="274" t="s">
        <v>355</v>
      </c>
      <c r="W1324" s="274"/>
      <c r="X1324" s="274"/>
    </row>
    <row r="1325" spans="1:24" ht="13.5" x14ac:dyDescent="0.15">
      <c r="A1325" s="274">
        <v>3721212</v>
      </c>
      <c r="B1325" s="274" t="s">
        <v>351</v>
      </c>
      <c r="C1325" s="274" t="s">
        <v>352</v>
      </c>
      <c r="D1325" s="274" t="s">
        <v>353</v>
      </c>
      <c r="E1325" s="274" t="s">
        <v>116</v>
      </c>
      <c r="F1325" s="274">
        <v>3</v>
      </c>
      <c r="G1325" s="274" t="s">
        <v>19</v>
      </c>
      <c r="H1325" s="274" t="s">
        <v>20</v>
      </c>
      <c r="I1325" s="274" t="s">
        <v>143</v>
      </c>
      <c r="J1325" s="274"/>
      <c r="K1325" s="274" t="s">
        <v>159</v>
      </c>
      <c r="L1325" s="274">
        <v>25</v>
      </c>
      <c r="M1325" s="274" t="s">
        <v>160</v>
      </c>
      <c r="N1325" s="275">
        <v>1005</v>
      </c>
      <c r="O1325" s="275">
        <v>1000</v>
      </c>
      <c r="P1325" s="330">
        <v>6000</v>
      </c>
      <c r="Q1325" s="274">
        <v>2</v>
      </c>
      <c r="R1325" s="274">
        <v>2</v>
      </c>
      <c r="S1325" s="274" t="s">
        <v>354</v>
      </c>
      <c r="T1325" s="276">
        <v>45128</v>
      </c>
      <c r="U1325" s="276">
        <v>45163</v>
      </c>
      <c r="V1325" s="274" t="s">
        <v>355</v>
      </c>
      <c r="W1325" s="274"/>
      <c r="X1325" s="274"/>
    </row>
    <row r="1326" spans="1:24" ht="13.5" x14ac:dyDescent="0.15">
      <c r="A1326" s="274">
        <v>3721223</v>
      </c>
      <c r="B1326" s="274" t="s">
        <v>351</v>
      </c>
      <c r="C1326" s="274" t="s">
        <v>352</v>
      </c>
      <c r="D1326" s="274" t="s">
        <v>353</v>
      </c>
      <c r="E1326" s="274" t="s">
        <v>116</v>
      </c>
      <c r="F1326" s="274">
        <v>3</v>
      </c>
      <c r="G1326" s="274" t="s">
        <v>19</v>
      </c>
      <c r="H1326" s="274" t="s">
        <v>20</v>
      </c>
      <c r="I1326" s="274" t="s">
        <v>143</v>
      </c>
      <c r="J1326" s="274"/>
      <c r="K1326" s="274" t="s">
        <v>144</v>
      </c>
      <c r="L1326" s="274">
        <v>75</v>
      </c>
      <c r="M1326" s="274" t="s">
        <v>145</v>
      </c>
      <c r="N1326" s="275">
        <v>1005</v>
      </c>
      <c r="O1326" s="275">
        <v>1000</v>
      </c>
      <c r="P1326" s="330">
        <v>6000</v>
      </c>
      <c r="Q1326" s="274">
        <v>2</v>
      </c>
      <c r="R1326" s="274">
        <v>2</v>
      </c>
      <c r="S1326" s="274" t="s">
        <v>354</v>
      </c>
      <c r="T1326" s="276">
        <v>45128</v>
      </c>
      <c r="U1326" s="276">
        <v>45163</v>
      </c>
      <c r="V1326" s="274" t="s">
        <v>355</v>
      </c>
      <c r="W1326" s="274"/>
      <c r="X1326" s="274"/>
    </row>
    <row r="1327" spans="1:24" ht="13.5" x14ac:dyDescent="0.15">
      <c r="A1327" s="274">
        <v>3723585</v>
      </c>
      <c r="B1327" s="274" t="s">
        <v>351</v>
      </c>
      <c r="C1327" s="274" t="s">
        <v>358</v>
      </c>
      <c r="D1327" s="274" t="s">
        <v>353</v>
      </c>
      <c r="E1327" s="274" t="s">
        <v>61</v>
      </c>
      <c r="F1327" s="274">
        <v>331</v>
      </c>
      <c r="G1327" s="274" t="s">
        <v>19</v>
      </c>
      <c r="H1327" s="274" t="s">
        <v>20</v>
      </c>
      <c r="I1327" s="274" t="s">
        <v>21</v>
      </c>
      <c r="J1327" s="274"/>
      <c r="K1327" s="274" t="s">
        <v>62</v>
      </c>
      <c r="L1327" s="274">
        <v>38</v>
      </c>
      <c r="M1327" s="274" t="s">
        <v>63</v>
      </c>
      <c r="N1327" s="275">
        <v>1585</v>
      </c>
      <c r="O1327" s="275">
        <v>1580</v>
      </c>
      <c r="P1327" s="330">
        <v>6000</v>
      </c>
      <c r="Q1327" s="274">
        <v>2</v>
      </c>
      <c r="R1327" s="274">
        <v>3</v>
      </c>
      <c r="S1327" s="274" t="s">
        <v>354</v>
      </c>
      <c r="T1327" s="276">
        <v>45159</v>
      </c>
      <c r="U1327" s="276">
        <v>45177</v>
      </c>
      <c r="V1327" s="274" t="s">
        <v>355</v>
      </c>
      <c r="W1327" s="274"/>
      <c r="X1327" s="274"/>
    </row>
    <row r="1328" spans="1:24" ht="13.5" x14ac:dyDescent="0.15">
      <c r="A1328" s="274">
        <v>3723586</v>
      </c>
      <c r="B1328" s="274" t="s">
        <v>351</v>
      </c>
      <c r="C1328" s="274" t="s">
        <v>358</v>
      </c>
      <c r="D1328" s="274" t="s">
        <v>353</v>
      </c>
      <c r="E1328" s="274" t="s">
        <v>61</v>
      </c>
      <c r="F1328" s="274">
        <v>3313</v>
      </c>
      <c r="G1328" s="274" t="s">
        <v>19</v>
      </c>
      <c r="H1328" s="274" t="s">
        <v>20</v>
      </c>
      <c r="I1328" s="274" t="s">
        <v>21</v>
      </c>
      <c r="J1328" s="274"/>
      <c r="K1328" s="274" t="s">
        <v>62</v>
      </c>
      <c r="L1328" s="274">
        <v>38</v>
      </c>
      <c r="M1328" s="274" t="s">
        <v>63</v>
      </c>
      <c r="N1328" s="274">
        <v>750</v>
      </c>
      <c r="O1328" s="274">
        <v>750</v>
      </c>
      <c r="P1328" s="330">
        <v>6000</v>
      </c>
      <c r="Q1328" s="274">
        <v>2</v>
      </c>
      <c r="R1328" s="274">
        <v>20</v>
      </c>
      <c r="S1328" s="274" t="s">
        <v>354</v>
      </c>
      <c r="T1328" s="276">
        <v>45159</v>
      </c>
      <c r="U1328" s="276">
        <v>45177</v>
      </c>
      <c r="V1328" s="274" t="s">
        <v>355</v>
      </c>
      <c r="W1328" s="274"/>
      <c r="X1328" s="274"/>
    </row>
    <row r="1329" spans="1:24" ht="13.5" x14ac:dyDescent="0.15">
      <c r="A1329" s="274">
        <v>3723587</v>
      </c>
      <c r="B1329" s="274" t="s">
        <v>351</v>
      </c>
      <c r="C1329" s="274" t="s">
        <v>358</v>
      </c>
      <c r="D1329" s="274" t="s">
        <v>353</v>
      </c>
      <c r="E1329" s="274" t="s">
        <v>73</v>
      </c>
      <c r="F1329" s="274">
        <v>331</v>
      </c>
      <c r="G1329" s="274" t="s">
        <v>19</v>
      </c>
      <c r="H1329" s="274" t="s">
        <v>20</v>
      </c>
      <c r="I1329" s="274" t="s">
        <v>21</v>
      </c>
      <c r="J1329" s="274"/>
      <c r="K1329" s="274" t="s">
        <v>74</v>
      </c>
      <c r="L1329" s="274">
        <v>38</v>
      </c>
      <c r="M1329" s="274" t="s">
        <v>365</v>
      </c>
      <c r="N1329" s="274">
        <v>315</v>
      </c>
      <c r="O1329" s="274">
        <v>315</v>
      </c>
      <c r="P1329" s="330">
        <v>6000</v>
      </c>
      <c r="Q1329" s="274">
        <v>2</v>
      </c>
      <c r="R1329" s="274">
        <v>4</v>
      </c>
      <c r="S1329" s="274" t="s">
        <v>354</v>
      </c>
      <c r="T1329" s="276">
        <v>45159</v>
      </c>
      <c r="U1329" s="276">
        <v>45177</v>
      </c>
      <c r="V1329" s="274" t="s">
        <v>355</v>
      </c>
      <c r="W1329" s="274"/>
      <c r="X1329" s="274"/>
    </row>
    <row r="1330" spans="1:24" ht="13.5" x14ac:dyDescent="0.15">
      <c r="A1330" s="274">
        <v>3723587</v>
      </c>
      <c r="B1330" s="274" t="s">
        <v>351</v>
      </c>
      <c r="C1330" s="274" t="s">
        <v>358</v>
      </c>
      <c r="D1330" s="274" t="s">
        <v>353</v>
      </c>
      <c r="E1330" s="274" t="s">
        <v>73</v>
      </c>
      <c r="F1330" s="274">
        <v>331</v>
      </c>
      <c r="G1330" s="274" t="s">
        <v>19</v>
      </c>
      <c r="H1330" s="274" t="s">
        <v>20</v>
      </c>
      <c r="I1330" s="274" t="s">
        <v>21</v>
      </c>
      <c r="J1330" s="274"/>
      <c r="K1330" s="274" t="s">
        <v>74</v>
      </c>
      <c r="L1330" s="274">
        <v>38</v>
      </c>
      <c r="M1330" s="274" t="s">
        <v>365</v>
      </c>
      <c r="N1330" s="274">
        <v>415</v>
      </c>
      <c r="O1330" s="274">
        <v>415</v>
      </c>
      <c r="P1330" s="330">
        <v>6000</v>
      </c>
      <c r="Q1330" s="274">
        <v>2</v>
      </c>
      <c r="R1330" s="274">
        <v>12</v>
      </c>
      <c r="S1330" s="274" t="s">
        <v>354</v>
      </c>
      <c r="T1330" s="276">
        <v>45159</v>
      </c>
      <c r="U1330" s="276">
        <v>45177</v>
      </c>
      <c r="V1330" s="274" t="s">
        <v>355</v>
      </c>
      <c r="W1330" s="274"/>
      <c r="X1330" s="274"/>
    </row>
    <row r="1331" spans="1:24" ht="13.5" x14ac:dyDescent="0.15">
      <c r="A1331" s="274">
        <v>3723588</v>
      </c>
      <c r="B1331" s="274" t="s">
        <v>351</v>
      </c>
      <c r="C1331" s="274" t="s">
        <v>358</v>
      </c>
      <c r="D1331" s="274" t="s">
        <v>353</v>
      </c>
      <c r="E1331" s="274" t="s">
        <v>73</v>
      </c>
      <c r="F1331" s="274">
        <v>331</v>
      </c>
      <c r="G1331" s="274" t="s">
        <v>19</v>
      </c>
      <c r="H1331" s="274" t="s">
        <v>20</v>
      </c>
      <c r="I1331" s="274" t="s">
        <v>21</v>
      </c>
      <c r="J1331" s="274"/>
      <c r="K1331" s="274" t="s">
        <v>74</v>
      </c>
      <c r="L1331" s="274">
        <v>38</v>
      </c>
      <c r="M1331" s="274" t="s">
        <v>365</v>
      </c>
      <c r="N1331" s="274">
        <v>415</v>
      </c>
      <c r="O1331" s="274">
        <v>415</v>
      </c>
      <c r="P1331" s="330">
        <v>6000</v>
      </c>
      <c r="Q1331" s="274">
        <v>2</v>
      </c>
      <c r="R1331" s="274">
        <v>105</v>
      </c>
      <c r="S1331" s="274" t="s">
        <v>354</v>
      </c>
      <c r="T1331" s="276">
        <v>45159</v>
      </c>
      <c r="U1331" s="276">
        <v>45177</v>
      </c>
      <c r="V1331" s="274" t="s">
        <v>355</v>
      </c>
      <c r="W1331" s="274"/>
      <c r="X1331" s="274"/>
    </row>
    <row r="1332" spans="1:24" ht="13.5" x14ac:dyDescent="0.15">
      <c r="A1332" s="274">
        <v>3723589</v>
      </c>
      <c r="B1332" s="274" t="s">
        <v>351</v>
      </c>
      <c r="C1332" s="274" t="s">
        <v>358</v>
      </c>
      <c r="D1332" s="274" t="s">
        <v>353</v>
      </c>
      <c r="E1332" s="274" t="s">
        <v>61</v>
      </c>
      <c r="F1332" s="274">
        <v>331</v>
      </c>
      <c r="G1332" s="274" t="s">
        <v>19</v>
      </c>
      <c r="H1332" s="274" t="s">
        <v>20</v>
      </c>
      <c r="I1332" s="274" t="s">
        <v>21</v>
      </c>
      <c r="J1332" s="274"/>
      <c r="K1332" s="274" t="s">
        <v>62</v>
      </c>
      <c r="L1332" s="274">
        <v>38</v>
      </c>
      <c r="M1332" s="274" t="s">
        <v>63</v>
      </c>
      <c r="N1332" s="275">
        <v>1255</v>
      </c>
      <c r="O1332" s="275">
        <v>1250</v>
      </c>
      <c r="P1332" s="330">
        <v>6000</v>
      </c>
      <c r="Q1332" s="274">
        <v>2</v>
      </c>
      <c r="R1332" s="274">
        <v>32</v>
      </c>
      <c r="S1332" s="274" t="s">
        <v>354</v>
      </c>
      <c r="T1332" s="276">
        <v>45159</v>
      </c>
      <c r="U1332" s="276">
        <v>45177</v>
      </c>
      <c r="V1332" s="274" t="s">
        <v>355</v>
      </c>
      <c r="W1332" s="274"/>
      <c r="X1332" s="274"/>
    </row>
    <row r="1333" spans="1:24" ht="13.5" x14ac:dyDescent="0.15">
      <c r="A1333" s="274">
        <v>3723590</v>
      </c>
      <c r="B1333" s="274" t="s">
        <v>351</v>
      </c>
      <c r="C1333" s="274" t="s">
        <v>363</v>
      </c>
      <c r="D1333" s="274" t="s">
        <v>353</v>
      </c>
      <c r="E1333" s="274" t="s">
        <v>65</v>
      </c>
      <c r="F1333" s="274">
        <v>3321</v>
      </c>
      <c r="G1333" s="274" t="s">
        <v>19</v>
      </c>
      <c r="H1333" s="274" t="s">
        <v>20</v>
      </c>
      <c r="I1333" s="274" t="s">
        <v>21</v>
      </c>
      <c r="J1333" s="274"/>
      <c r="K1333" s="274" t="s">
        <v>67</v>
      </c>
      <c r="L1333" s="274">
        <v>38</v>
      </c>
      <c r="M1333" s="274" t="s">
        <v>68</v>
      </c>
      <c r="N1333" s="275">
        <v>1336</v>
      </c>
      <c r="O1333" s="275">
        <v>1325</v>
      </c>
      <c r="P1333" s="330">
        <v>6000</v>
      </c>
      <c r="Q1333" s="274">
        <v>2</v>
      </c>
      <c r="R1333" s="274">
        <v>52</v>
      </c>
      <c r="S1333" s="274" t="s">
        <v>354</v>
      </c>
      <c r="T1333" s="276">
        <v>45159</v>
      </c>
      <c r="U1333" s="276">
        <v>45177</v>
      </c>
      <c r="V1333" s="274" t="s">
        <v>355</v>
      </c>
      <c r="W1333" s="274"/>
      <c r="X1333" s="274"/>
    </row>
    <row r="1334" spans="1:24" ht="13.5" x14ac:dyDescent="0.15">
      <c r="A1334" s="274">
        <v>3723591</v>
      </c>
      <c r="B1334" s="274" t="s">
        <v>351</v>
      </c>
      <c r="C1334" s="274" t="s">
        <v>363</v>
      </c>
      <c r="D1334" s="274" t="s">
        <v>353</v>
      </c>
      <c r="E1334" s="274" t="s">
        <v>65</v>
      </c>
      <c r="F1334" s="274">
        <v>3321</v>
      </c>
      <c r="G1334" s="274" t="s">
        <v>19</v>
      </c>
      <c r="H1334" s="274" t="s">
        <v>20</v>
      </c>
      <c r="I1334" s="274" t="s">
        <v>21</v>
      </c>
      <c r="J1334" s="274"/>
      <c r="K1334" s="274" t="s">
        <v>70</v>
      </c>
      <c r="L1334" s="274">
        <v>38</v>
      </c>
      <c r="M1334" s="274" t="s">
        <v>71</v>
      </c>
      <c r="N1334" s="275">
        <v>1336</v>
      </c>
      <c r="O1334" s="275">
        <v>1325</v>
      </c>
      <c r="P1334" s="330">
        <v>6000</v>
      </c>
      <c r="Q1334" s="274">
        <v>2</v>
      </c>
      <c r="R1334" s="274">
        <v>12</v>
      </c>
      <c r="S1334" s="274" t="s">
        <v>354</v>
      </c>
      <c r="T1334" s="276">
        <v>45159</v>
      </c>
      <c r="U1334" s="276">
        <v>45177</v>
      </c>
      <c r="V1334" s="274" t="s">
        <v>355</v>
      </c>
      <c r="W1334" s="274"/>
      <c r="X1334" s="274"/>
    </row>
    <row r="1335" spans="1:24" ht="13.5" x14ac:dyDescent="0.15">
      <c r="A1335" s="274">
        <v>3723592</v>
      </c>
      <c r="B1335" s="274" t="s">
        <v>351</v>
      </c>
      <c r="C1335" s="274" t="s">
        <v>363</v>
      </c>
      <c r="D1335" s="274" t="s">
        <v>353</v>
      </c>
      <c r="E1335" s="274" t="s">
        <v>65</v>
      </c>
      <c r="F1335" s="274">
        <v>3321</v>
      </c>
      <c r="G1335" s="274" t="s">
        <v>19</v>
      </c>
      <c r="H1335" s="274" t="s">
        <v>20</v>
      </c>
      <c r="I1335" s="274" t="s">
        <v>21</v>
      </c>
      <c r="J1335" s="274"/>
      <c r="K1335" s="274" t="s">
        <v>70</v>
      </c>
      <c r="L1335" s="274">
        <v>38</v>
      </c>
      <c r="M1335" s="274" t="s">
        <v>71</v>
      </c>
      <c r="N1335" s="275">
        <v>1336</v>
      </c>
      <c r="O1335" s="275">
        <v>1325</v>
      </c>
      <c r="P1335" s="330">
        <v>6000</v>
      </c>
      <c r="Q1335" s="274">
        <v>2</v>
      </c>
      <c r="R1335" s="274">
        <v>40</v>
      </c>
      <c r="S1335" s="274" t="s">
        <v>354</v>
      </c>
      <c r="T1335" s="276">
        <v>45159</v>
      </c>
      <c r="U1335" s="276">
        <v>45182</v>
      </c>
      <c r="V1335" s="274" t="s">
        <v>355</v>
      </c>
      <c r="W1335" s="274"/>
      <c r="X1335" s="274"/>
    </row>
    <row r="1336" spans="1:24" ht="13.5" x14ac:dyDescent="0.15">
      <c r="A1336" s="274">
        <v>3723593</v>
      </c>
      <c r="B1336" s="274" t="s">
        <v>351</v>
      </c>
      <c r="C1336" s="274" t="s">
        <v>358</v>
      </c>
      <c r="D1336" s="274" t="s">
        <v>353</v>
      </c>
      <c r="E1336" s="274" t="s">
        <v>373</v>
      </c>
      <c r="F1336" s="274">
        <v>3</v>
      </c>
      <c r="G1336" s="274" t="s">
        <v>19</v>
      </c>
      <c r="H1336" s="274" t="s">
        <v>20</v>
      </c>
      <c r="I1336" s="274" t="s">
        <v>21</v>
      </c>
      <c r="J1336" s="274"/>
      <c r="K1336" s="274" t="s">
        <v>80</v>
      </c>
      <c r="L1336" s="274">
        <v>31</v>
      </c>
      <c r="M1336" s="274" t="s">
        <v>374</v>
      </c>
      <c r="N1336" s="274">
        <v>440</v>
      </c>
      <c r="O1336" s="274">
        <v>440</v>
      </c>
      <c r="P1336" s="330">
        <v>6000</v>
      </c>
      <c r="Q1336" s="274">
        <v>1</v>
      </c>
      <c r="R1336" s="274">
        <v>42</v>
      </c>
      <c r="S1336" s="274" t="s">
        <v>354</v>
      </c>
      <c r="T1336" s="276">
        <v>45159</v>
      </c>
      <c r="U1336" s="276">
        <v>45184</v>
      </c>
      <c r="V1336" s="274" t="s">
        <v>355</v>
      </c>
      <c r="W1336" s="274"/>
      <c r="X1336" s="274"/>
    </row>
    <row r="1337" spans="1:24" ht="13.5" x14ac:dyDescent="0.15">
      <c r="A1337" s="274">
        <v>3723594</v>
      </c>
      <c r="B1337" s="274" t="s">
        <v>351</v>
      </c>
      <c r="C1337" s="274" t="s">
        <v>358</v>
      </c>
      <c r="D1337" s="274" t="s">
        <v>353</v>
      </c>
      <c r="E1337" s="274" t="s">
        <v>362</v>
      </c>
      <c r="F1337" s="274">
        <v>3</v>
      </c>
      <c r="G1337" s="274" t="s">
        <v>19</v>
      </c>
      <c r="H1337" s="274" t="s">
        <v>20</v>
      </c>
      <c r="I1337" s="274" t="s">
        <v>21</v>
      </c>
      <c r="J1337" s="274"/>
      <c r="K1337" s="274" t="s">
        <v>88</v>
      </c>
      <c r="L1337" s="274">
        <v>125</v>
      </c>
      <c r="M1337" s="274" t="s">
        <v>361</v>
      </c>
      <c r="N1337" s="274">
        <v>150</v>
      </c>
      <c r="O1337" s="274">
        <v>150</v>
      </c>
      <c r="P1337" s="330">
        <v>6000</v>
      </c>
      <c r="Q1337" s="274">
        <v>1</v>
      </c>
      <c r="R1337" s="274">
        <v>128</v>
      </c>
      <c r="S1337" s="274" t="s">
        <v>354</v>
      </c>
      <c r="T1337" s="276">
        <v>45159</v>
      </c>
      <c r="U1337" s="276">
        <v>45184</v>
      </c>
      <c r="V1337" s="274" t="s">
        <v>355</v>
      </c>
      <c r="W1337" s="274"/>
      <c r="X1337" s="274"/>
    </row>
    <row r="1338" spans="1:24" ht="13.5" x14ac:dyDescent="0.15">
      <c r="A1338" s="274">
        <v>3723595</v>
      </c>
      <c r="B1338" s="274" t="s">
        <v>351</v>
      </c>
      <c r="C1338" s="274" t="s">
        <v>358</v>
      </c>
      <c r="D1338" s="274" t="s">
        <v>353</v>
      </c>
      <c r="E1338" s="274" t="s">
        <v>362</v>
      </c>
      <c r="F1338" s="274">
        <v>3</v>
      </c>
      <c r="G1338" s="274" t="s">
        <v>19</v>
      </c>
      <c r="H1338" s="274" t="s">
        <v>20</v>
      </c>
      <c r="I1338" s="274" t="s">
        <v>21</v>
      </c>
      <c r="J1338" s="274"/>
      <c r="K1338" s="274" t="s">
        <v>88</v>
      </c>
      <c r="L1338" s="274">
        <v>188</v>
      </c>
      <c r="M1338" s="274" t="s">
        <v>361</v>
      </c>
      <c r="N1338" s="275">
        <v>1130</v>
      </c>
      <c r="O1338" s="275">
        <v>1130</v>
      </c>
      <c r="P1338" s="330">
        <v>6000</v>
      </c>
      <c r="Q1338" s="274">
        <v>2</v>
      </c>
      <c r="R1338" s="274">
        <v>3</v>
      </c>
      <c r="S1338" s="274" t="s">
        <v>354</v>
      </c>
      <c r="T1338" s="276">
        <v>45159</v>
      </c>
      <c r="U1338" s="276">
        <v>45184</v>
      </c>
      <c r="V1338" s="274" t="s">
        <v>355</v>
      </c>
      <c r="W1338" s="274"/>
      <c r="X1338" s="274"/>
    </row>
    <row r="1339" spans="1:24" ht="13.5" x14ac:dyDescent="0.15">
      <c r="A1339" s="274">
        <v>3723596</v>
      </c>
      <c r="B1339" s="274" t="s">
        <v>351</v>
      </c>
      <c r="C1339" s="274" t="s">
        <v>358</v>
      </c>
      <c r="D1339" s="274" t="s">
        <v>353</v>
      </c>
      <c r="E1339" s="274" t="s">
        <v>362</v>
      </c>
      <c r="F1339" s="274">
        <v>3</v>
      </c>
      <c r="G1339" s="274" t="s">
        <v>19</v>
      </c>
      <c r="H1339" s="274" t="s">
        <v>20</v>
      </c>
      <c r="I1339" s="274" t="s">
        <v>21</v>
      </c>
      <c r="J1339" s="274"/>
      <c r="K1339" s="274" t="s">
        <v>88</v>
      </c>
      <c r="L1339" s="274">
        <v>188</v>
      </c>
      <c r="M1339" s="274" t="s">
        <v>361</v>
      </c>
      <c r="N1339" s="275">
        <v>1130</v>
      </c>
      <c r="O1339" s="275">
        <v>1130</v>
      </c>
      <c r="P1339" s="330">
        <v>6000</v>
      </c>
      <c r="Q1339" s="274">
        <v>2</v>
      </c>
      <c r="R1339" s="274">
        <v>4</v>
      </c>
      <c r="S1339" s="274" t="s">
        <v>354</v>
      </c>
      <c r="T1339" s="276">
        <v>45159</v>
      </c>
      <c r="U1339" s="276">
        <v>45184</v>
      </c>
      <c r="V1339" s="274" t="s">
        <v>355</v>
      </c>
      <c r="W1339" s="274"/>
      <c r="X1339" s="274"/>
    </row>
    <row r="1340" spans="1:24" ht="13.5" x14ac:dyDescent="0.15">
      <c r="A1340" s="274">
        <v>3723597</v>
      </c>
      <c r="B1340" s="274" t="s">
        <v>351</v>
      </c>
      <c r="C1340" s="274" t="s">
        <v>358</v>
      </c>
      <c r="D1340" s="274" t="s">
        <v>353</v>
      </c>
      <c r="E1340" s="274" t="s">
        <v>362</v>
      </c>
      <c r="F1340" s="274">
        <v>3</v>
      </c>
      <c r="G1340" s="274" t="s">
        <v>19</v>
      </c>
      <c r="H1340" s="274" t="s">
        <v>20</v>
      </c>
      <c r="I1340" s="274" t="s">
        <v>21</v>
      </c>
      <c r="J1340" s="274"/>
      <c r="K1340" s="274" t="s">
        <v>88</v>
      </c>
      <c r="L1340" s="274">
        <v>100</v>
      </c>
      <c r="M1340" s="274" t="s">
        <v>361</v>
      </c>
      <c r="N1340" s="274">
        <v>330</v>
      </c>
      <c r="O1340" s="274">
        <v>330</v>
      </c>
      <c r="P1340" s="330">
        <v>6000</v>
      </c>
      <c r="Q1340" s="274">
        <v>1</v>
      </c>
      <c r="R1340" s="274">
        <v>36</v>
      </c>
      <c r="S1340" s="274" t="s">
        <v>354</v>
      </c>
      <c r="T1340" s="276">
        <v>45159</v>
      </c>
      <c r="U1340" s="276">
        <v>45184</v>
      </c>
      <c r="V1340" s="274" t="s">
        <v>355</v>
      </c>
      <c r="W1340" s="274"/>
      <c r="X1340" s="274"/>
    </row>
    <row r="1341" spans="1:24" ht="13.5" x14ac:dyDescent="0.15">
      <c r="A1341" s="274">
        <v>3723598</v>
      </c>
      <c r="B1341" s="274" t="s">
        <v>351</v>
      </c>
      <c r="C1341" s="274" t="s">
        <v>364</v>
      </c>
      <c r="D1341" s="274" t="s">
        <v>353</v>
      </c>
      <c r="E1341" s="274" t="s">
        <v>93</v>
      </c>
      <c r="F1341" s="274">
        <v>331</v>
      </c>
      <c r="G1341" s="274" t="s">
        <v>19</v>
      </c>
      <c r="H1341" s="274" t="s">
        <v>20</v>
      </c>
      <c r="I1341" s="274" t="s">
        <v>21</v>
      </c>
      <c r="J1341" s="274"/>
      <c r="K1341" s="274" t="s">
        <v>88</v>
      </c>
      <c r="L1341" s="274">
        <v>100</v>
      </c>
      <c r="M1341" s="274" t="s">
        <v>361</v>
      </c>
      <c r="N1341" s="274">
        <v>450</v>
      </c>
      <c r="O1341" s="274">
        <v>450</v>
      </c>
      <c r="P1341" s="330">
        <v>6000</v>
      </c>
      <c r="Q1341" s="274">
        <v>2</v>
      </c>
      <c r="R1341" s="274">
        <v>42</v>
      </c>
      <c r="S1341" s="274" t="s">
        <v>354</v>
      </c>
      <c r="T1341" s="276">
        <v>45159</v>
      </c>
      <c r="U1341" s="276">
        <v>45184</v>
      </c>
      <c r="V1341" s="274" t="s">
        <v>355</v>
      </c>
      <c r="W1341" s="274"/>
      <c r="X1341" s="274"/>
    </row>
    <row r="1342" spans="1:24" ht="13.5" x14ac:dyDescent="0.15">
      <c r="A1342" s="274">
        <v>3723599</v>
      </c>
      <c r="B1342" s="274" t="s">
        <v>351</v>
      </c>
      <c r="C1342" s="274" t="s">
        <v>356</v>
      </c>
      <c r="D1342" s="274" t="s">
        <v>353</v>
      </c>
      <c r="E1342" s="274" t="s">
        <v>32</v>
      </c>
      <c r="F1342" s="274">
        <v>331</v>
      </c>
      <c r="G1342" s="274" t="s">
        <v>19</v>
      </c>
      <c r="H1342" s="274" t="s">
        <v>20</v>
      </c>
      <c r="I1342" s="274" t="s">
        <v>21</v>
      </c>
      <c r="J1342" s="274"/>
      <c r="K1342" s="274" t="s">
        <v>54</v>
      </c>
      <c r="L1342" s="274">
        <v>38</v>
      </c>
      <c r="M1342" s="274" t="s">
        <v>53</v>
      </c>
      <c r="N1342" s="275">
        <v>1330</v>
      </c>
      <c r="O1342" s="275">
        <v>1330</v>
      </c>
      <c r="P1342" s="330">
        <v>6000</v>
      </c>
      <c r="Q1342" s="274">
        <v>2</v>
      </c>
      <c r="R1342" s="274">
        <v>10</v>
      </c>
      <c r="S1342" s="274" t="s">
        <v>354</v>
      </c>
      <c r="T1342" s="276">
        <v>45159</v>
      </c>
      <c r="U1342" s="276">
        <v>45191</v>
      </c>
      <c r="V1342" s="274" t="s">
        <v>355</v>
      </c>
      <c r="W1342" s="274"/>
      <c r="X1342" s="274"/>
    </row>
    <row r="1343" spans="1:24" ht="13.5" x14ac:dyDescent="0.15">
      <c r="A1343" s="274">
        <v>3723600</v>
      </c>
      <c r="B1343" s="274" t="s">
        <v>351</v>
      </c>
      <c r="C1343" s="274" t="s">
        <v>356</v>
      </c>
      <c r="D1343" s="274" t="s">
        <v>353</v>
      </c>
      <c r="E1343" s="274" t="s">
        <v>32</v>
      </c>
      <c r="F1343" s="274">
        <v>3</v>
      </c>
      <c r="G1343" s="274" t="s">
        <v>19</v>
      </c>
      <c r="H1343" s="274" t="s">
        <v>20</v>
      </c>
      <c r="I1343" s="274" t="s">
        <v>21</v>
      </c>
      <c r="J1343" s="274"/>
      <c r="K1343" s="274" t="s">
        <v>56</v>
      </c>
      <c r="L1343" s="274">
        <v>75</v>
      </c>
      <c r="M1343" s="274" t="s">
        <v>376</v>
      </c>
      <c r="N1343" s="275">
        <v>1330</v>
      </c>
      <c r="O1343" s="275">
        <v>1330</v>
      </c>
      <c r="P1343" s="330">
        <v>6000</v>
      </c>
      <c r="Q1343" s="274">
        <v>2</v>
      </c>
      <c r="R1343" s="274">
        <v>10</v>
      </c>
      <c r="S1343" s="274" t="s">
        <v>354</v>
      </c>
      <c r="T1343" s="276">
        <v>45159</v>
      </c>
      <c r="U1343" s="276">
        <v>45191</v>
      </c>
      <c r="V1343" s="274" t="s">
        <v>355</v>
      </c>
      <c r="W1343" s="274"/>
      <c r="X1343" s="274"/>
    </row>
    <row r="1344" spans="1:24" ht="13.5" x14ac:dyDescent="0.15">
      <c r="A1344" s="274">
        <v>3723601</v>
      </c>
      <c r="B1344" s="274" t="s">
        <v>351</v>
      </c>
      <c r="C1344" s="274" t="s">
        <v>356</v>
      </c>
      <c r="D1344" s="274" t="s">
        <v>353</v>
      </c>
      <c r="E1344" s="274"/>
      <c r="F1344" s="274">
        <v>3</v>
      </c>
      <c r="G1344" s="274" t="s">
        <v>19</v>
      </c>
      <c r="H1344" s="274" t="s">
        <v>20</v>
      </c>
      <c r="I1344" s="274" t="s">
        <v>21</v>
      </c>
      <c r="J1344" s="274"/>
      <c r="K1344" s="274" t="s">
        <v>632</v>
      </c>
      <c r="L1344" s="274">
        <v>75</v>
      </c>
      <c r="M1344" s="274" t="s">
        <v>633</v>
      </c>
      <c r="N1344" s="275">
        <v>1300</v>
      </c>
      <c r="O1344" s="275">
        <v>1300</v>
      </c>
      <c r="P1344" s="330">
        <v>6000</v>
      </c>
      <c r="Q1344" s="274">
        <v>2</v>
      </c>
      <c r="R1344" s="274">
        <v>5</v>
      </c>
      <c r="S1344" s="274" t="s">
        <v>354</v>
      </c>
      <c r="T1344" s="276">
        <v>45159</v>
      </c>
      <c r="U1344" s="276">
        <v>45191</v>
      </c>
      <c r="V1344" s="274" t="s">
        <v>355</v>
      </c>
      <c r="W1344" s="274"/>
      <c r="X1344" s="274"/>
    </row>
    <row r="1345" spans="1:24" ht="13.5" x14ac:dyDescent="0.15">
      <c r="A1345" s="274">
        <v>3723602</v>
      </c>
      <c r="B1345" s="274" t="s">
        <v>351</v>
      </c>
      <c r="C1345" s="274" t="s">
        <v>364</v>
      </c>
      <c r="D1345" s="274" t="s">
        <v>353</v>
      </c>
      <c r="E1345" s="274" t="s">
        <v>371</v>
      </c>
      <c r="F1345" s="274">
        <v>3</v>
      </c>
      <c r="G1345" s="274" t="s">
        <v>19</v>
      </c>
      <c r="H1345" s="274" t="s">
        <v>28</v>
      </c>
      <c r="I1345" s="274" t="s">
        <v>21</v>
      </c>
      <c r="J1345" s="274"/>
      <c r="K1345" s="274" t="s">
        <v>465</v>
      </c>
      <c r="L1345" s="274">
        <v>75</v>
      </c>
      <c r="M1345" s="274" t="s">
        <v>466</v>
      </c>
      <c r="N1345" s="275">
        <v>1040</v>
      </c>
      <c r="O1345" s="275">
        <v>1040</v>
      </c>
      <c r="P1345" s="330">
        <v>6000</v>
      </c>
      <c r="Q1345" s="274">
        <v>1</v>
      </c>
      <c r="R1345" s="274">
        <v>1</v>
      </c>
      <c r="S1345" s="274" t="s">
        <v>354</v>
      </c>
      <c r="T1345" s="276">
        <v>45159</v>
      </c>
      <c r="U1345" s="276">
        <v>45191</v>
      </c>
      <c r="V1345" s="274" t="s">
        <v>355</v>
      </c>
      <c r="W1345" s="274"/>
      <c r="X1345" s="274"/>
    </row>
    <row r="1346" spans="1:24" ht="13.5" x14ac:dyDescent="0.15">
      <c r="A1346" s="274">
        <v>3723603</v>
      </c>
      <c r="B1346" s="274" t="s">
        <v>351</v>
      </c>
      <c r="C1346" s="274" t="s">
        <v>364</v>
      </c>
      <c r="D1346" s="274" t="s">
        <v>353</v>
      </c>
      <c r="E1346" s="274" t="s">
        <v>371</v>
      </c>
      <c r="F1346" s="274">
        <v>3</v>
      </c>
      <c r="G1346" s="274" t="s">
        <v>19</v>
      </c>
      <c r="H1346" s="274" t="s">
        <v>28</v>
      </c>
      <c r="I1346" s="274" t="s">
        <v>21</v>
      </c>
      <c r="J1346" s="274"/>
      <c r="K1346" s="274" t="s">
        <v>60</v>
      </c>
      <c r="L1346" s="274">
        <v>75</v>
      </c>
      <c r="M1346" s="274" t="s">
        <v>372</v>
      </c>
      <c r="N1346" s="275">
        <v>1040</v>
      </c>
      <c r="O1346" s="275">
        <v>1040</v>
      </c>
      <c r="P1346" s="330">
        <v>6000</v>
      </c>
      <c r="Q1346" s="274">
        <v>1</v>
      </c>
      <c r="R1346" s="274">
        <v>1</v>
      </c>
      <c r="S1346" s="274" t="s">
        <v>354</v>
      </c>
      <c r="T1346" s="276">
        <v>45159</v>
      </c>
      <c r="U1346" s="276">
        <v>45191</v>
      </c>
      <c r="V1346" s="274" t="s">
        <v>355</v>
      </c>
      <c r="W1346" s="274"/>
      <c r="X1346" s="274"/>
    </row>
    <row r="1347" spans="1:24" ht="13.5" x14ac:dyDescent="0.15">
      <c r="A1347" s="274">
        <v>3723604</v>
      </c>
      <c r="B1347" s="274" t="s">
        <v>351</v>
      </c>
      <c r="C1347" s="274" t="s">
        <v>364</v>
      </c>
      <c r="D1347" s="274" t="s">
        <v>353</v>
      </c>
      <c r="E1347" s="274" t="s">
        <v>371</v>
      </c>
      <c r="F1347" s="274">
        <v>331</v>
      </c>
      <c r="G1347" s="274" t="s">
        <v>19</v>
      </c>
      <c r="H1347" s="274" t="s">
        <v>20</v>
      </c>
      <c r="I1347" s="274" t="s">
        <v>21</v>
      </c>
      <c r="J1347" s="274"/>
      <c r="K1347" s="274" t="s">
        <v>118</v>
      </c>
      <c r="L1347" s="274">
        <v>25</v>
      </c>
      <c r="M1347" s="274" t="s">
        <v>119</v>
      </c>
      <c r="N1347" s="275">
        <v>1425</v>
      </c>
      <c r="O1347" s="275">
        <v>1420</v>
      </c>
      <c r="P1347" s="330">
        <v>6000</v>
      </c>
      <c r="Q1347" s="274">
        <v>2</v>
      </c>
      <c r="R1347" s="274">
        <v>10</v>
      </c>
      <c r="S1347" s="274" t="s">
        <v>354</v>
      </c>
      <c r="T1347" s="276">
        <v>45159</v>
      </c>
      <c r="U1347" s="276">
        <v>45191</v>
      </c>
      <c r="V1347" s="274" t="s">
        <v>355</v>
      </c>
      <c r="W1347" s="274"/>
      <c r="X1347" s="274"/>
    </row>
    <row r="1348" spans="1:24" ht="13.5" x14ac:dyDescent="0.15">
      <c r="A1348" s="274">
        <v>3723605</v>
      </c>
      <c r="B1348" s="274" t="s">
        <v>351</v>
      </c>
      <c r="C1348" s="274" t="s">
        <v>356</v>
      </c>
      <c r="D1348" s="274" t="s">
        <v>353</v>
      </c>
      <c r="E1348" s="274" t="s">
        <v>130</v>
      </c>
      <c r="F1348" s="274">
        <v>331</v>
      </c>
      <c r="G1348" s="274" t="s">
        <v>19</v>
      </c>
      <c r="H1348" s="274" t="s">
        <v>20</v>
      </c>
      <c r="I1348" s="274" t="s">
        <v>21</v>
      </c>
      <c r="J1348" s="274"/>
      <c r="K1348" s="274" t="s">
        <v>435</v>
      </c>
      <c r="L1348" s="274">
        <v>25</v>
      </c>
      <c r="M1348" s="274" t="s">
        <v>436</v>
      </c>
      <c r="N1348" s="275">
        <v>1410</v>
      </c>
      <c r="O1348" s="275">
        <v>1410</v>
      </c>
      <c r="P1348" s="330">
        <v>6000</v>
      </c>
      <c r="Q1348" s="274">
        <v>2</v>
      </c>
      <c r="R1348" s="274">
        <v>12</v>
      </c>
      <c r="S1348" s="274" t="s">
        <v>354</v>
      </c>
      <c r="T1348" s="276">
        <v>45159</v>
      </c>
      <c r="U1348" s="276">
        <v>45191</v>
      </c>
      <c r="V1348" s="274" t="s">
        <v>355</v>
      </c>
      <c r="W1348" s="274"/>
      <c r="X1348" s="274"/>
    </row>
    <row r="1349" spans="1:24" ht="13.5" x14ac:dyDescent="0.15">
      <c r="A1349" s="274">
        <v>3723606</v>
      </c>
      <c r="B1349" s="274" t="s">
        <v>351</v>
      </c>
      <c r="C1349" s="274" t="s">
        <v>356</v>
      </c>
      <c r="D1349" s="274" t="s">
        <v>353</v>
      </c>
      <c r="E1349" s="274" t="s">
        <v>130</v>
      </c>
      <c r="F1349" s="274">
        <v>331</v>
      </c>
      <c r="G1349" s="274" t="s">
        <v>19</v>
      </c>
      <c r="H1349" s="274" t="s">
        <v>20</v>
      </c>
      <c r="I1349" s="274" t="s">
        <v>21</v>
      </c>
      <c r="J1349" s="274"/>
      <c r="K1349" s="274" t="s">
        <v>435</v>
      </c>
      <c r="L1349" s="274">
        <v>25</v>
      </c>
      <c r="M1349" s="274" t="s">
        <v>436</v>
      </c>
      <c r="N1349" s="275">
        <v>1410</v>
      </c>
      <c r="O1349" s="275">
        <v>1410</v>
      </c>
      <c r="P1349" s="330">
        <v>6000</v>
      </c>
      <c r="Q1349" s="274">
        <v>2</v>
      </c>
      <c r="R1349" s="274">
        <v>12</v>
      </c>
      <c r="S1349" s="274" t="s">
        <v>354</v>
      </c>
      <c r="T1349" s="276">
        <v>45159</v>
      </c>
      <c r="U1349" s="276">
        <v>45191</v>
      </c>
      <c r="V1349" s="274" t="s">
        <v>355</v>
      </c>
      <c r="W1349" s="274"/>
      <c r="X1349" s="274"/>
    </row>
    <row r="1350" spans="1:24" ht="13.5" x14ac:dyDescent="0.15">
      <c r="A1350" s="274">
        <v>3723607</v>
      </c>
      <c r="B1350" s="274" t="s">
        <v>351</v>
      </c>
      <c r="C1350" s="274" t="s">
        <v>352</v>
      </c>
      <c r="D1350" s="274" t="s">
        <v>353</v>
      </c>
      <c r="E1350" s="274" t="s">
        <v>116</v>
      </c>
      <c r="F1350" s="274">
        <v>3</v>
      </c>
      <c r="G1350" s="274" t="s">
        <v>19</v>
      </c>
      <c r="H1350" s="274" t="s">
        <v>20</v>
      </c>
      <c r="I1350" s="274" t="s">
        <v>21</v>
      </c>
      <c r="J1350" s="274"/>
      <c r="K1350" s="274" t="s">
        <v>118</v>
      </c>
      <c r="L1350" s="274">
        <v>38</v>
      </c>
      <c r="M1350" s="274" t="s">
        <v>368</v>
      </c>
      <c r="N1350" s="275">
        <v>1415</v>
      </c>
      <c r="O1350" s="275">
        <v>1410</v>
      </c>
      <c r="P1350" s="330">
        <v>6000</v>
      </c>
      <c r="Q1350" s="274">
        <v>2</v>
      </c>
      <c r="R1350" s="274">
        <v>8</v>
      </c>
      <c r="S1350" s="274" t="s">
        <v>354</v>
      </c>
      <c r="T1350" s="276">
        <v>45159</v>
      </c>
      <c r="U1350" s="276">
        <v>45191</v>
      </c>
      <c r="V1350" s="274" t="s">
        <v>355</v>
      </c>
      <c r="W1350" s="274"/>
      <c r="X1350" s="274"/>
    </row>
    <row r="1351" spans="1:24" ht="13.5" x14ac:dyDescent="0.15">
      <c r="A1351" s="274">
        <v>3723608</v>
      </c>
      <c r="B1351" s="274" t="s">
        <v>351</v>
      </c>
      <c r="C1351" s="274" t="s">
        <v>356</v>
      </c>
      <c r="D1351" s="274" t="s">
        <v>353</v>
      </c>
      <c r="E1351" s="274" t="s">
        <v>106</v>
      </c>
      <c r="F1351" s="274">
        <v>3</v>
      </c>
      <c r="G1351" s="274" t="s">
        <v>19</v>
      </c>
      <c r="H1351" s="274" t="s">
        <v>20</v>
      </c>
      <c r="I1351" s="274" t="s">
        <v>21</v>
      </c>
      <c r="J1351" s="274"/>
      <c r="K1351" s="274" t="s">
        <v>107</v>
      </c>
      <c r="L1351" s="274">
        <v>25</v>
      </c>
      <c r="M1351" s="274" t="s">
        <v>367</v>
      </c>
      <c r="N1351" s="275">
        <v>1240</v>
      </c>
      <c r="O1351" s="275">
        <v>1240</v>
      </c>
      <c r="P1351" s="330">
        <v>6000</v>
      </c>
      <c r="Q1351" s="274">
        <v>2</v>
      </c>
      <c r="R1351" s="274">
        <v>16</v>
      </c>
      <c r="S1351" s="274" t="s">
        <v>354</v>
      </c>
      <c r="T1351" s="276">
        <v>45159</v>
      </c>
      <c r="U1351" s="276">
        <v>45195</v>
      </c>
      <c r="V1351" s="274" t="s">
        <v>355</v>
      </c>
      <c r="W1351" s="274"/>
      <c r="X1351" s="274"/>
    </row>
    <row r="1352" spans="1:24" ht="13.5" x14ac:dyDescent="0.15">
      <c r="A1352" s="274">
        <v>3723609</v>
      </c>
      <c r="B1352" s="274" t="s">
        <v>351</v>
      </c>
      <c r="C1352" s="274" t="s">
        <v>356</v>
      </c>
      <c r="D1352" s="274" t="s">
        <v>353</v>
      </c>
      <c r="E1352" s="274" t="s">
        <v>106</v>
      </c>
      <c r="F1352" s="274">
        <v>3</v>
      </c>
      <c r="G1352" s="274" t="s">
        <v>19</v>
      </c>
      <c r="H1352" s="274" t="s">
        <v>20</v>
      </c>
      <c r="I1352" s="274" t="s">
        <v>21</v>
      </c>
      <c r="J1352" s="274"/>
      <c r="K1352" s="274" t="s">
        <v>107</v>
      </c>
      <c r="L1352" s="274">
        <v>38</v>
      </c>
      <c r="M1352" s="274" t="s">
        <v>367</v>
      </c>
      <c r="N1352" s="275">
        <v>1240</v>
      </c>
      <c r="O1352" s="275">
        <v>1240</v>
      </c>
      <c r="P1352" s="330">
        <v>6000</v>
      </c>
      <c r="Q1352" s="274">
        <v>2</v>
      </c>
      <c r="R1352" s="274">
        <v>6</v>
      </c>
      <c r="S1352" s="274" t="s">
        <v>354</v>
      </c>
      <c r="T1352" s="276">
        <v>45159</v>
      </c>
      <c r="U1352" s="276">
        <v>45195</v>
      </c>
      <c r="V1352" s="274" t="s">
        <v>355</v>
      </c>
      <c r="W1352" s="274"/>
      <c r="X1352" s="274"/>
    </row>
    <row r="1353" spans="1:24" ht="13.5" x14ac:dyDescent="0.15">
      <c r="A1353" s="274">
        <v>3723610</v>
      </c>
      <c r="B1353" s="274" t="s">
        <v>351</v>
      </c>
      <c r="C1353" s="274" t="s">
        <v>364</v>
      </c>
      <c r="D1353" s="274" t="s">
        <v>353</v>
      </c>
      <c r="E1353" s="274" t="s">
        <v>371</v>
      </c>
      <c r="F1353" s="274">
        <v>330</v>
      </c>
      <c r="G1353" s="274" t="s">
        <v>19</v>
      </c>
      <c r="H1353" s="274" t="s">
        <v>20</v>
      </c>
      <c r="I1353" s="274" t="s">
        <v>21</v>
      </c>
      <c r="J1353" s="274"/>
      <c r="K1353" s="274" t="s">
        <v>118</v>
      </c>
      <c r="L1353" s="274">
        <v>25</v>
      </c>
      <c r="M1353" s="274" t="s">
        <v>119</v>
      </c>
      <c r="N1353" s="275">
        <v>1155</v>
      </c>
      <c r="O1353" s="275">
        <v>1150</v>
      </c>
      <c r="P1353" s="330">
        <v>6000</v>
      </c>
      <c r="Q1353" s="274">
        <v>2</v>
      </c>
      <c r="R1353" s="274">
        <v>3</v>
      </c>
      <c r="S1353" s="274" t="s">
        <v>354</v>
      </c>
      <c r="T1353" s="276">
        <v>45159</v>
      </c>
      <c r="U1353" s="276">
        <v>45195</v>
      </c>
      <c r="V1353" s="274" t="s">
        <v>355</v>
      </c>
      <c r="W1353" s="274"/>
      <c r="X1353" s="274"/>
    </row>
    <row r="1354" spans="1:24" ht="13.5" x14ac:dyDescent="0.15">
      <c r="A1354" s="274">
        <v>3723611</v>
      </c>
      <c r="B1354" s="274" t="s">
        <v>351</v>
      </c>
      <c r="C1354" s="274" t="s">
        <v>754</v>
      </c>
      <c r="D1354" s="274" t="s">
        <v>353</v>
      </c>
      <c r="E1354" s="274" t="s">
        <v>755</v>
      </c>
      <c r="F1354" s="274">
        <v>3</v>
      </c>
      <c r="G1354" s="274" t="s">
        <v>19</v>
      </c>
      <c r="H1354" s="274" t="s">
        <v>20</v>
      </c>
      <c r="I1354" s="274" t="s">
        <v>21</v>
      </c>
      <c r="J1354" s="274"/>
      <c r="K1354" s="274" t="s">
        <v>128</v>
      </c>
      <c r="L1354" s="274">
        <v>25</v>
      </c>
      <c r="M1354" s="274" t="s">
        <v>756</v>
      </c>
      <c r="N1354" s="275">
        <v>1155</v>
      </c>
      <c r="O1354" s="275">
        <v>1150</v>
      </c>
      <c r="P1354" s="330">
        <v>6000</v>
      </c>
      <c r="Q1354" s="274">
        <v>2</v>
      </c>
      <c r="R1354" s="274">
        <v>1</v>
      </c>
      <c r="S1354" s="274" t="s">
        <v>354</v>
      </c>
      <c r="T1354" s="276">
        <v>45159</v>
      </c>
      <c r="U1354" s="276">
        <v>45195</v>
      </c>
      <c r="V1354" s="274" t="s">
        <v>355</v>
      </c>
      <c r="W1354" s="274"/>
      <c r="X1354" s="274"/>
    </row>
    <row r="1355" spans="1:24" ht="13.5" x14ac:dyDescent="0.15">
      <c r="A1355" s="274">
        <v>3723612</v>
      </c>
      <c r="B1355" s="274" t="s">
        <v>351</v>
      </c>
      <c r="C1355" s="274" t="s">
        <v>356</v>
      </c>
      <c r="D1355" s="274" t="s">
        <v>353</v>
      </c>
      <c r="E1355" s="274" t="s">
        <v>115</v>
      </c>
      <c r="F1355" s="274">
        <v>3</v>
      </c>
      <c r="G1355" s="274" t="s">
        <v>19</v>
      </c>
      <c r="H1355" s="274" t="s">
        <v>20</v>
      </c>
      <c r="I1355" s="274" t="s">
        <v>21</v>
      </c>
      <c r="J1355" s="274"/>
      <c r="K1355" s="274" t="s">
        <v>112</v>
      </c>
      <c r="L1355" s="274">
        <v>38</v>
      </c>
      <c r="M1355" s="274" t="s">
        <v>357</v>
      </c>
      <c r="N1355" s="275">
        <v>1135</v>
      </c>
      <c r="O1355" s="275">
        <v>1130</v>
      </c>
      <c r="P1355" s="330">
        <v>6000</v>
      </c>
      <c r="Q1355" s="274">
        <v>2</v>
      </c>
      <c r="R1355" s="274">
        <v>2</v>
      </c>
      <c r="S1355" s="274" t="s">
        <v>354</v>
      </c>
      <c r="T1355" s="276">
        <v>45159</v>
      </c>
      <c r="U1355" s="276">
        <v>45195</v>
      </c>
      <c r="V1355" s="274" t="s">
        <v>355</v>
      </c>
      <c r="W1355" s="274"/>
      <c r="X1355" s="274"/>
    </row>
    <row r="1356" spans="1:24" ht="13.5" x14ac:dyDescent="0.15">
      <c r="A1356" s="274">
        <v>3723613</v>
      </c>
      <c r="B1356" s="274" t="s">
        <v>351</v>
      </c>
      <c r="C1356" s="274" t="s">
        <v>356</v>
      </c>
      <c r="D1356" s="274" t="s">
        <v>353</v>
      </c>
      <c r="E1356" s="274" t="s">
        <v>106</v>
      </c>
      <c r="F1356" s="274">
        <v>3</v>
      </c>
      <c r="G1356" s="274" t="s">
        <v>19</v>
      </c>
      <c r="H1356" s="274" t="s">
        <v>20</v>
      </c>
      <c r="I1356" s="274" t="s">
        <v>21</v>
      </c>
      <c r="J1356" s="274"/>
      <c r="K1356" s="274" t="s">
        <v>107</v>
      </c>
      <c r="L1356" s="274">
        <v>25</v>
      </c>
      <c r="M1356" s="274" t="s">
        <v>367</v>
      </c>
      <c r="N1356" s="275">
        <v>1040</v>
      </c>
      <c r="O1356" s="275">
        <v>1040</v>
      </c>
      <c r="P1356" s="330">
        <v>6000</v>
      </c>
      <c r="Q1356" s="274">
        <v>2</v>
      </c>
      <c r="R1356" s="274">
        <v>14</v>
      </c>
      <c r="S1356" s="274" t="s">
        <v>354</v>
      </c>
      <c r="T1356" s="276">
        <v>45159</v>
      </c>
      <c r="U1356" s="276">
        <v>45195</v>
      </c>
      <c r="V1356" s="274" t="s">
        <v>355</v>
      </c>
      <c r="W1356" s="274"/>
      <c r="X1356" s="274"/>
    </row>
    <row r="1357" spans="1:24" ht="13.5" x14ac:dyDescent="0.15">
      <c r="A1357" s="274">
        <v>3723614</v>
      </c>
      <c r="B1357" s="274" t="s">
        <v>351</v>
      </c>
      <c r="C1357" s="274" t="s">
        <v>356</v>
      </c>
      <c r="D1357" s="274" t="s">
        <v>353</v>
      </c>
      <c r="E1357" s="274" t="s">
        <v>32</v>
      </c>
      <c r="F1357" s="274">
        <v>331</v>
      </c>
      <c r="G1357" s="274" t="s">
        <v>19</v>
      </c>
      <c r="H1357" s="274" t="s">
        <v>20</v>
      </c>
      <c r="I1357" s="274" t="s">
        <v>21</v>
      </c>
      <c r="J1357" s="274"/>
      <c r="K1357" s="274" t="s">
        <v>33</v>
      </c>
      <c r="L1357" s="274">
        <v>38</v>
      </c>
      <c r="M1357" s="274" t="s">
        <v>30</v>
      </c>
      <c r="N1357" s="275">
        <v>1580</v>
      </c>
      <c r="O1357" s="275">
        <v>1580</v>
      </c>
      <c r="P1357" s="330">
        <v>6000</v>
      </c>
      <c r="Q1357" s="274">
        <v>2</v>
      </c>
      <c r="R1357" s="274">
        <v>2</v>
      </c>
      <c r="S1357" s="274" t="s">
        <v>354</v>
      </c>
      <c r="T1357" s="276">
        <v>45159</v>
      </c>
      <c r="U1357" s="276">
        <v>45192</v>
      </c>
      <c r="V1357" s="274" t="s">
        <v>355</v>
      </c>
      <c r="W1357" s="274"/>
      <c r="X1357" s="274"/>
    </row>
    <row r="1358" spans="1:24" ht="13.5" x14ac:dyDescent="0.15">
      <c r="A1358" s="274">
        <v>3723615</v>
      </c>
      <c r="B1358" s="274" t="s">
        <v>351</v>
      </c>
      <c r="C1358" s="274" t="s">
        <v>356</v>
      </c>
      <c r="D1358" s="274" t="s">
        <v>353</v>
      </c>
      <c r="E1358" s="274" t="s">
        <v>17</v>
      </c>
      <c r="F1358" s="274">
        <v>331</v>
      </c>
      <c r="G1358" s="274" t="s">
        <v>19</v>
      </c>
      <c r="H1358" s="274" t="s">
        <v>20</v>
      </c>
      <c r="I1358" s="274" t="s">
        <v>21</v>
      </c>
      <c r="J1358" s="274"/>
      <c r="K1358" s="274" t="s">
        <v>22</v>
      </c>
      <c r="L1358" s="274">
        <v>38</v>
      </c>
      <c r="M1358" s="274" t="s">
        <v>23</v>
      </c>
      <c r="N1358" s="275">
        <v>1367</v>
      </c>
      <c r="O1358" s="275">
        <v>1360</v>
      </c>
      <c r="P1358" s="330">
        <v>6000</v>
      </c>
      <c r="Q1358" s="274">
        <v>2</v>
      </c>
      <c r="R1358" s="274">
        <v>2</v>
      </c>
      <c r="S1358" s="274" t="s">
        <v>354</v>
      </c>
      <c r="T1358" s="276">
        <v>45159</v>
      </c>
      <c r="U1358" s="276">
        <v>45192</v>
      </c>
      <c r="V1358" s="274" t="s">
        <v>355</v>
      </c>
      <c r="W1358" s="274"/>
      <c r="X1358" s="274"/>
    </row>
    <row r="1359" spans="1:24" ht="13.5" x14ac:dyDescent="0.15">
      <c r="A1359" s="274">
        <v>3723616</v>
      </c>
      <c r="B1359" s="274" t="s">
        <v>351</v>
      </c>
      <c r="C1359" s="274" t="s">
        <v>356</v>
      </c>
      <c r="D1359" s="274" t="s">
        <v>353</v>
      </c>
      <c r="E1359" s="274" t="s">
        <v>32</v>
      </c>
      <c r="F1359" s="274">
        <v>331</v>
      </c>
      <c r="G1359" s="274" t="s">
        <v>19</v>
      </c>
      <c r="H1359" s="274" t="s">
        <v>20</v>
      </c>
      <c r="I1359" s="274" t="s">
        <v>21</v>
      </c>
      <c r="J1359" s="274"/>
      <c r="K1359" s="274" t="s">
        <v>33</v>
      </c>
      <c r="L1359" s="274">
        <v>25</v>
      </c>
      <c r="M1359" s="274" t="s">
        <v>30</v>
      </c>
      <c r="N1359" s="275">
        <v>1330</v>
      </c>
      <c r="O1359" s="275">
        <v>1330</v>
      </c>
      <c r="P1359" s="330">
        <v>6000</v>
      </c>
      <c r="Q1359" s="274">
        <v>2</v>
      </c>
      <c r="R1359" s="274">
        <v>10</v>
      </c>
      <c r="S1359" s="274" t="s">
        <v>354</v>
      </c>
      <c r="T1359" s="276">
        <v>45159</v>
      </c>
      <c r="U1359" s="276">
        <v>45192</v>
      </c>
      <c r="V1359" s="274" t="s">
        <v>355</v>
      </c>
      <c r="W1359" s="274"/>
      <c r="X1359" s="274"/>
    </row>
    <row r="1360" spans="1:24" ht="13.5" x14ac:dyDescent="0.15">
      <c r="A1360" s="274">
        <v>3723617</v>
      </c>
      <c r="B1360" s="274" t="s">
        <v>351</v>
      </c>
      <c r="C1360" s="274" t="s">
        <v>356</v>
      </c>
      <c r="D1360" s="274" t="s">
        <v>353</v>
      </c>
      <c r="E1360" s="274" t="s">
        <v>17</v>
      </c>
      <c r="F1360" s="274">
        <v>331</v>
      </c>
      <c r="G1360" s="274" t="s">
        <v>19</v>
      </c>
      <c r="H1360" s="274" t="s">
        <v>20</v>
      </c>
      <c r="I1360" s="274" t="s">
        <v>21</v>
      </c>
      <c r="J1360" s="274"/>
      <c r="K1360" s="274" t="s">
        <v>29</v>
      </c>
      <c r="L1360" s="274">
        <v>38</v>
      </c>
      <c r="M1360" s="274" t="s">
        <v>30</v>
      </c>
      <c r="N1360" s="275">
        <v>1330</v>
      </c>
      <c r="O1360" s="275">
        <v>1330</v>
      </c>
      <c r="P1360" s="330">
        <v>6000</v>
      </c>
      <c r="Q1360" s="274">
        <v>2</v>
      </c>
      <c r="R1360" s="274">
        <v>10</v>
      </c>
      <c r="S1360" s="274" t="s">
        <v>354</v>
      </c>
      <c r="T1360" s="276">
        <v>45159</v>
      </c>
      <c r="U1360" s="276">
        <v>45192</v>
      </c>
      <c r="V1360" s="274" t="s">
        <v>355</v>
      </c>
      <c r="W1360" s="274"/>
      <c r="X1360" s="274"/>
    </row>
    <row r="1361" spans="1:24" ht="13.5" x14ac:dyDescent="0.15">
      <c r="A1361" s="274">
        <v>3723618</v>
      </c>
      <c r="B1361" s="274" t="s">
        <v>351</v>
      </c>
      <c r="C1361" s="274" t="s">
        <v>356</v>
      </c>
      <c r="D1361" s="274" t="s">
        <v>353</v>
      </c>
      <c r="E1361" s="274" t="s">
        <v>17</v>
      </c>
      <c r="F1361" s="274">
        <v>3</v>
      </c>
      <c r="G1361" s="274" t="s">
        <v>19</v>
      </c>
      <c r="H1361" s="274" t="s">
        <v>20</v>
      </c>
      <c r="I1361" s="274" t="s">
        <v>21</v>
      </c>
      <c r="J1361" s="274"/>
      <c r="K1361" s="274" t="s">
        <v>22</v>
      </c>
      <c r="L1361" s="274">
        <v>38</v>
      </c>
      <c r="M1361" s="274" t="s">
        <v>23</v>
      </c>
      <c r="N1361" s="275">
        <v>1057</v>
      </c>
      <c r="O1361" s="275">
        <v>1050</v>
      </c>
      <c r="P1361" s="330">
        <v>6000</v>
      </c>
      <c r="Q1361" s="274">
        <v>2</v>
      </c>
      <c r="R1361" s="274">
        <v>3</v>
      </c>
      <c r="S1361" s="274" t="s">
        <v>354</v>
      </c>
      <c r="T1361" s="276">
        <v>45159</v>
      </c>
      <c r="U1361" s="276">
        <v>45192</v>
      </c>
      <c r="V1361" s="274" t="s">
        <v>355</v>
      </c>
      <c r="W1361" s="274"/>
      <c r="X1361" s="274"/>
    </row>
    <row r="1362" spans="1:24" ht="13.5" x14ac:dyDescent="0.15">
      <c r="A1362" s="274">
        <v>3723619</v>
      </c>
      <c r="B1362" s="274" t="s">
        <v>351</v>
      </c>
      <c r="C1362" s="274" t="s">
        <v>356</v>
      </c>
      <c r="D1362" s="274" t="s">
        <v>353</v>
      </c>
      <c r="E1362" s="274" t="s">
        <v>17</v>
      </c>
      <c r="F1362" s="274">
        <v>3</v>
      </c>
      <c r="G1362" s="274" t="s">
        <v>19</v>
      </c>
      <c r="H1362" s="274" t="s">
        <v>20</v>
      </c>
      <c r="I1362" s="274" t="s">
        <v>21</v>
      </c>
      <c r="J1362" s="274"/>
      <c r="K1362" s="274" t="s">
        <v>22</v>
      </c>
      <c r="L1362" s="274">
        <v>38</v>
      </c>
      <c r="M1362" s="274" t="s">
        <v>23</v>
      </c>
      <c r="N1362" s="275">
        <v>1037</v>
      </c>
      <c r="O1362" s="275">
        <v>1030</v>
      </c>
      <c r="P1362" s="330">
        <v>6000</v>
      </c>
      <c r="Q1362" s="274">
        <v>2</v>
      </c>
      <c r="R1362" s="274">
        <v>20</v>
      </c>
      <c r="S1362" s="274" t="s">
        <v>354</v>
      </c>
      <c r="T1362" s="276">
        <v>45159</v>
      </c>
      <c r="U1362" s="276">
        <v>45192</v>
      </c>
      <c r="V1362" s="274" t="s">
        <v>355</v>
      </c>
      <c r="W1362" s="274"/>
      <c r="X1362" s="274"/>
    </row>
    <row r="1363" spans="1:24" ht="13.5" x14ac:dyDescent="0.15">
      <c r="A1363" s="274">
        <v>3723620</v>
      </c>
      <c r="B1363" s="274" t="s">
        <v>431</v>
      </c>
      <c r="C1363" s="274" t="s">
        <v>356</v>
      </c>
      <c r="D1363" s="274" t="s">
        <v>353</v>
      </c>
      <c r="E1363" s="274" t="s">
        <v>1436</v>
      </c>
      <c r="F1363" s="274">
        <v>3</v>
      </c>
      <c r="G1363" s="274" t="s">
        <v>265</v>
      </c>
      <c r="H1363" s="274" t="s">
        <v>28</v>
      </c>
      <c r="I1363" s="274" t="s">
        <v>132</v>
      </c>
      <c r="J1363" s="274"/>
      <c r="K1363" s="274" t="s">
        <v>1437</v>
      </c>
      <c r="L1363" s="274">
        <v>75</v>
      </c>
      <c r="M1363" s="274" t="s">
        <v>1438</v>
      </c>
      <c r="N1363" s="274">
        <v>685</v>
      </c>
      <c r="O1363" s="274">
        <v>685</v>
      </c>
      <c r="P1363" s="330">
        <v>6000</v>
      </c>
      <c r="Q1363" s="274">
        <v>2</v>
      </c>
      <c r="R1363" s="274">
        <v>72</v>
      </c>
      <c r="S1363" s="274" t="s">
        <v>354</v>
      </c>
      <c r="T1363" s="276">
        <v>45159</v>
      </c>
      <c r="U1363" s="276">
        <v>45184</v>
      </c>
      <c r="V1363" s="274" t="s">
        <v>355</v>
      </c>
      <c r="W1363" s="274"/>
      <c r="X1363" s="274"/>
    </row>
    <row r="1364" spans="1:24" ht="13.5" x14ac:dyDescent="0.15">
      <c r="A1364" s="274">
        <v>3723622</v>
      </c>
      <c r="B1364" s="274" t="s">
        <v>351</v>
      </c>
      <c r="C1364" s="274" t="s">
        <v>364</v>
      </c>
      <c r="D1364" s="274" t="s">
        <v>353</v>
      </c>
      <c r="E1364" s="274" t="s">
        <v>162</v>
      </c>
      <c r="F1364" s="274">
        <v>3</v>
      </c>
      <c r="G1364" s="274" t="s">
        <v>19</v>
      </c>
      <c r="H1364" s="274" t="s">
        <v>20</v>
      </c>
      <c r="I1364" s="274" t="s">
        <v>143</v>
      </c>
      <c r="J1364" s="274"/>
      <c r="K1364" s="274" t="s">
        <v>163</v>
      </c>
      <c r="L1364" s="274">
        <v>38</v>
      </c>
      <c r="M1364" s="274" t="s">
        <v>164</v>
      </c>
      <c r="N1364" s="275">
        <v>1320</v>
      </c>
      <c r="O1364" s="275">
        <v>1320</v>
      </c>
      <c r="P1364" s="330">
        <v>6000</v>
      </c>
      <c r="Q1364" s="274">
        <v>2</v>
      </c>
      <c r="R1364" s="274">
        <v>20</v>
      </c>
      <c r="S1364" s="274" t="s">
        <v>354</v>
      </c>
      <c r="T1364" s="276">
        <v>45159</v>
      </c>
      <c r="U1364" s="276">
        <v>45184</v>
      </c>
      <c r="V1364" s="274" t="s">
        <v>355</v>
      </c>
      <c r="W1364" s="274"/>
      <c r="X1364" s="274"/>
    </row>
    <row r="1365" spans="1:24" ht="13.5" x14ac:dyDescent="0.15">
      <c r="A1365" s="274">
        <v>3723626</v>
      </c>
      <c r="B1365" s="274" t="s">
        <v>351</v>
      </c>
      <c r="C1365" s="274" t="s">
        <v>434</v>
      </c>
      <c r="D1365" s="274" t="s">
        <v>353</v>
      </c>
      <c r="E1365" s="274" t="s">
        <v>1163</v>
      </c>
      <c r="F1365" s="274">
        <v>3</v>
      </c>
      <c r="G1365" s="274" t="s">
        <v>19</v>
      </c>
      <c r="H1365" s="274" t="s">
        <v>20</v>
      </c>
      <c r="I1365" s="274" t="s">
        <v>132</v>
      </c>
      <c r="J1365" s="274"/>
      <c r="K1365" s="274" t="s">
        <v>139</v>
      </c>
      <c r="L1365" s="274">
        <v>25</v>
      </c>
      <c r="M1365" s="274" t="s">
        <v>140</v>
      </c>
      <c r="N1365" s="275">
        <v>1575</v>
      </c>
      <c r="O1365" s="275">
        <v>1575</v>
      </c>
      <c r="P1365" s="330">
        <v>6000</v>
      </c>
      <c r="Q1365" s="274">
        <v>2</v>
      </c>
      <c r="R1365" s="274">
        <v>6</v>
      </c>
      <c r="S1365" s="274" t="s">
        <v>354</v>
      </c>
      <c r="T1365" s="276">
        <v>45159</v>
      </c>
      <c r="U1365" s="276">
        <v>45184</v>
      </c>
      <c r="V1365" s="274" t="s">
        <v>355</v>
      </c>
      <c r="W1365" s="274"/>
      <c r="X1365" s="274"/>
    </row>
    <row r="1366" spans="1:24" ht="13.5" x14ac:dyDescent="0.15">
      <c r="A1366" s="274">
        <v>3725629</v>
      </c>
      <c r="B1366" s="274" t="s">
        <v>1364</v>
      </c>
      <c r="C1366" s="274" t="s">
        <v>358</v>
      </c>
      <c r="D1366" s="274" t="s">
        <v>353</v>
      </c>
      <c r="E1366" s="274" t="s">
        <v>61</v>
      </c>
      <c r="F1366" s="274">
        <v>3</v>
      </c>
      <c r="G1366" s="274" t="s">
        <v>269</v>
      </c>
      <c r="H1366" s="274" t="s">
        <v>20</v>
      </c>
      <c r="I1366" s="274" t="s">
        <v>1078</v>
      </c>
      <c r="J1366" s="274"/>
      <c r="K1366" s="274" t="s">
        <v>1079</v>
      </c>
      <c r="L1366" s="274">
        <v>25</v>
      </c>
      <c r="M1366" s="274" t="s">
        <v>1462</v>
      </c>
      <c r="N1366" s="275">
        <v>1050</v>
      </c>
      <c r="O1366" s="275">
        <v>1050</v>
      </c>
      <c r="P1366" s="330">
        <v>6000</v>
      </c>
      <c r="Q1366" s="274">
        <v>1</v>
      </c>
      <c r="R1366" s="274">
        <v>2</v>
      </c>
      <c r="S1366" s="274" t="s">
        <v>354</v>
      </c>
      <c r="T1366" s="276">
        <v>45169</v>
      </c>
      <c r="U1366" s="276">
        <v>45188</v>
      </c>
      <c r="V1366" s="274" t="s">
        <v>428</v>
      </c>
      <c r="W1366" s="274"/>
      <c r="X1366" s="274"/>
    </row>
    <row r="1367" spans="1:24" ht="13.5" x14ac:dyDescent="0.15">
      <c r="A1367" s="330">
        <v>3727559</v>
      </c>
      <c r="B1367" s="330" t="s">
        <v>1471</v>
      </c>
      <c r="C1367" s="330" t="s">
        <v>1472</v>
      </c>
      <c r="D1367" s="330" t="s">
        <v>1473</v>
      </c>
      <c r="E1367" s="330" t="s">
        <v>1474</v>
      </c>
      <c r="F1367" s="332">
        <v>331</v>
      </c>
      <c r="G1367" s="330" t="s">
        <v>19</v>
      </c>
      <c r="H1367" s="330" t="s">
        <v>20</v>
      </c>
      <c r="I1367" s="330" t="s">
        <v>1552</v>
      </c>
      <c r="J1367" s="330" t="s">
        <v>1475</v>
      </c>
      <c r="K1367" s="330" t="s">
        <v>1556</v>
      </c>
      <c r="L1367" s="330">
        <v>38</v>
      </c>
      <c r="M1367" s="330" t="s">
        <v>1476</v>
      </c>
      <c r="N1367" s="330">
        <v>1585</v>
      </c>
      <c r="O1367" s="330">
        <v>1580</v>
      </c>
      <c r="P1367" s="330">
        <v>4000</v>
      </c>
      <c r="Q1367" s="330">
        <v>2</v>
      </c>
      <c r="R1367" s="330">
        <v>3</v>
      </c>
      <c r="S1367" s="330" t="s">
        <v>1477</v>
      </c>
      <c r="T1367" s="330" t="s">
        <v>1478</v>
      </c>
      <c r="U1367" s="330" t="s">
        <v>1479</v>
      </c>
      <c r="V1367" s="330" t="s">
        <v>1480</v>
      </c>
      <c r="W1367" s="330" t="s">
        <v>1481</v>
      </c>
      <c r="X1367" s="330" t="s">
        <v>1482</v>
      </c>
    </row>
    <row r="1368" spans="1:24" ht="13.5" x14ac:dyDescent="0.15">
      <c r="A1368" s="330">
        <v>3727560</v>
      </c>
      <c r="B1368" s="330" t="s">
        <v>1471</v>
      </c>
      <c r="C1368" s="330" t="s">
        <v>1483</v>
      </c>
      <c r="D1368" s="330" t="s">
        <v>1473</v>
      </c>
      <c r="E1368" s="330" t="s">
        <v>65</v>
      </c>
      <c r="F1368" s="332">
        <v>3321</v>
      </c>
      <c r="G1368" s="330" t="s">
        <v>19</v>
      </c>
      <c r="H1368" s="330" t="s">
        <v>20</v>
      </c>
      <c r="I1368" s="330" t="s">
        <v>1552</v>
      </c>
      <c r="J1368" s="330" t="s">
        <v>1475</v>
      </c>
      <c r="K1368" s="330" t="s">
        <v>1557</v>
      </c>
      <c r="L1368" s="330">
        <v>38</v>
      </c>
      <c r="M1368" s="330" t="s">
        <v>1484</v>
      </c>
      <c r="N1368" s="330">
        <v>1336</v>
      </c>
      <c r="O1368" s="330">
        <v>1325</v>
      </c>
      <c r="P1368" s="330">
        <v>12000</v>
      </c>
      <c r="Q1368" s="330">
        <v>2</v>
      </c>
      <c r="R1368" s="330">
        <v>49</v>
      </c>
      <c r="S1368" s="330" t="s">
        <v>1477</v>
      </c>
      <c r="T1368" s="330" t="s">
        <v>1478</v>
      </c>
      <c r="U1368" s="330" t="s">
        <v>1479</v>
      </c>
      <c r="V1368" s="330" t="s">
        <v>1480</v>
      </c>
      <c r="W1368" s="330" t="s">
        <v>1481</v>
      </c>
      <c r="X1368" s="330" t="s">
        <v>1482</v>
      </c>
    </row>
    <row r="1369" spans="1:24" ht="13.5" x14ac:dyDescent="0.15">
      <c r="A1369" s="330">
        <v>3727561</v>
      </c>
      <c r="B1369" s="330" t="s">
        <v>1471</v>
      </c>
      <c r="C1369" s="330" t="s">
        <v>1483</v>
      </c>
      <c r="D1369" s="330" t="s">
        <v>1473</v>
      </c>
      <c r="E1369" s="330" t="s">
        <v>65</v>
      </c>
      <c r="F1369" s="332">
        <v>3321</v>
      </c>
      <c r="G1369" s="330" t="s">
        <v>19</v>
      </c>
      <c r="H1369" s="330" t="s">
        <v>20</v>
      </c>
      <c r="I1369" s="330" t="s">
        <v>1552</v>
      </c>
      <c r="J1369" s="330" t="s">
        <v>1475</v>
      </c>
      <c r="K1369" s="330" t="s">
        <v>1558</v>
      </c>
      <c r="L1369" s="330">
        <v>38</v>
      </c>
      <c r="M1369" s="330" t="s">
        <v>1485</v>
      </c>
      <c r="N1369" s="330">
        <v>1336</v>
      </c>
      <c r="O1369" s="330">
        <v>1325</v>
      </c>
      <c r="P1369" s="330">
        <v>12000</v>
      </c>
      <c r="Q1369" s="330">
        <v>2</v>
      </c>
      <c r="R1369" s="330">
        <v>16</v>
      </c>
      <c r="S1369" s="330" t="s">
        <v>1477</v>
      </c>
      <c r="T1369" s="330" t="s">
        <v>1478</v>
      </c>
      <c r="U1369" s="330" t="s">
        <v>1479</v>
      </c>
      <c r="V1369" s="330" t="s">
        <v>1480</v>
      </c>
      <c r="W1369" s="330" t="s">
        <v>1481</v>
      </c>
      <c r="X1369" s="330" t="s">
        <v>1482</v>
      </c>
    </row>
    <row r="1370" spans="1:24" ht="13.5" x14ac:dyDescent="0.15">
      <c r="A1370" s="330">
        <v>3727562</v>
      </c>
      <c r="B1370" s="330" t="s">
        <v>1471</v>
      </c>
      <c r="C1370" s="330" t="s">
        <v>1472</v>
      </c>
      <c r="D1370" s="330" t="s">
        <v>1473</v>
      </c>
      <c r="E1370" s="330" t="s">
        <v>1474</v>
      </c>
      <c r="F1370" s="332">
        <v>331</v>
      </c>
      <c r="G1370" s="330" t="s">
        <v>19</v>
      </c>
      <c r="H1370" s="330" t="s">
        <v>20</v>
      </c>
      <c r="I1370" s="330" t="s">
        <v>1552</v>
      </c>
      <c r="J1370" s="330" t="s">
        <v>1475</v>
      </c>
      <c r="K1370" s="330" t="s">
        <v>1556</v>
      </c>
      <c r="L1370" s="330">
        <v>38</v>
      </c>
      <c r="M1370" s="330" t="s">
        <v>1476</v>
      </c>
      <c r="N1370" s="330">
        <v>1255</v>
      </c>
      <c r="O1370" s="330">
        <v>1250</v>
      </c>
      <c r="P1370" s="330">
        <v>6000</v>
      </c>
      <c r="Q1370" s="330">
        <v>2</v>
      </c>
      <c r="R1370" s="330">
        <v>30</v>
      </c>
      <c r="S1370" s="330" t="s">
        <v>1477</v>
      </c>
      <c r="T1370" s="330" t="s">
        <v>1478</v>
      </c>
      <c r="U1370" s="330" t="s">
        <v>1479</v>
      </c>
      <c r="V1370" s="330" t="s">
        <v>1480</v>
      </c>
      <c r="W1370" s="330" t="s">
        <v>1481</v>
      </c>
      <c r="X1370" s="330" t="s">
        <v>1482</v>
      </c>
    </row>
    <row r="1371" spans="1:24" ht="13.5" x14ac:dyDescent="0.15">
      <c r="A1371" s="330">
        <v>3727563</v>
      </c>
      <c r="B1371" s="330" t="s">
        <v>1471</v>
      </c>
      <c r="C1371" s="330" t="s">
        <v>1472</v>
      </c>
      <c r="D1371" s="330" t="s">
        <v>1473</v>
      </c>
      <c r="E1371" s="330" t="s">
        <v>1474</v>
      </c>
      <c r="F1371" s="332">
        <v>3313</v>
      </c>
      <c r="G1371" s="330" t="s">
        <v>19</v>
      </c>
      <c r="H1371" s="330" t="s">
        <v>20</v>
      </c>
      <c r="I1371" s="330" t="s">
        <v>1552</v>
      </c>
      <c r="J1371" s="330" t="s">
        <v>1475</v>
      </c>
      <c r="K1371" s="330" t="s">
        <v>1556</v>
      </c>
      <c r="L1371" s="330">
        <v>38</v>
      </c>
      <c r="M1371" s="330" t="s">
        <v>1476</v>
      </c>
      <c r="N1371" s="330">
        <v>750</v>
      </c>
      <c r="O1371" s="330">
        <v>750</v>
      </c>
      <c r="P1371" s="330">
        <v>6000</v>
      </c>
      <c r="Q1371" s="330">
        <v>2</v>
      </c>
      <c r="R1371" s="330">
        <v>16</v>
      </c>
      <c r="S1371" s="330" t="s">
        <v>1477</v>
      </c>
      <c r="T1371" s="330" t="s">
        <v>1478</v>
      </c>
      <c r="U1371" s="330" t="s">
        <v>1479</v>
      </c>
      <c r="V1371" s="330" t="s">
        <v>1480</v>
      </c>
      <c r="W1371" s="330" t="s">
        <v>1481</v>
      </c>
      <c r="X1371" s="330" t="s">
        <v>1482</v>
      </c>
    </row>
    <row r="1372" spans="1:24" ht="13.5" x14ac:dyDescent="0.15">
      <c r="A1372" s="330">
        <v>3727564</v>
      </c>
      <c r="B1372" s="330" t="s">
        <v>1471</v>
      </c>
      <c r="C1372" s="330" t="s">
        <v>1486</v>
      </c>
      <c r="D1372" s="330" t="s">
        <v>1473</v>
      </c>
      <c r="E1372" s="330" t="s">
        <v>1487</v>
      </c>
      <c r="F1372" s="332">
        <v>331</v>
      </c>
      <c r="G1372" s="330" t="s">
        <v>19</v>
      </c>
      <c r="H1372" s="330" t="s">
        <v>20</v>
      </c>
      <c r="I1372" s="330" t="s">
        <v>1552</v>
      </c>
      <c r="J1372" s="330" t="s">
        <v>1475</v>
      </c>
      <c r="K1372" s="330" t="s">
        <v>1559</v>
      </c>
      <c r="L1372" s="330">
        <v>38</v>
      </c>
      <c r="M1372" s="330" t="s">
        <v>1488</v>
      </c>
      <c r="N1372" s="330">
        <v>1330</v>
      </c>
      <c r="O1372" s="330">
        <v>1330</v>
      </c>
      <c r="P1372" s="330">
        <v>6000</v>
      </c>
      <c r="Q1372" s="330">
        <v>2</v>
      </c>
      <c r="R1372" s="330">
        <v>16</v>
      </c>
      <c r="S1372" s="330" t="s">
        <v>1477</v>
      </c>
      <c r="T1372" s="330" t="s">
        <v>1478</v>
      </c>
      <c r="U1372" s="330" t="s">
        <v>1489</v>
      </c>
      <c r="V1372" s="330" t="s">
        <v>1480</v>
      </c>
      <c r="W1372" s="330" t="s">
        <v>1481</v>
      </c>
      <c r="X1372" s="330" t="s">
        <v>1482</v>
      </c>
    </row>
    <row r="1373" spans="1:24" ht="13.5" x14ac:dyDescent="0.15">
      <c r="A1373" s="330">
        <v>3727565</v>
      </c>
      <c r="B1373" s="330" t="s">
        <v>1471</v>
      </c>
      <c r="C1373" s="330" t="s">
        <v>1486</v>
      </c>
      <c r="D1373" s="330" t="s">
        <v>1473</v>
      </c>
      <c r="E1373" s="330" t="s">
        <v>1487</v>
      </c>
      <c r="F1373" s="332">
        <v>331</v>
      </c>
      <c r="G1373" s="330" t="s">
        <v>19</v>
      </c>
      <c r="H1373" s="330" t="s">
        <v>20</v>
      </c>
      <c r="I1373" s="330" t="s">
        <v>1552</v>
      </c>
      <c r="J1373" s="330" t="s">
        <v>1475</v>
      </c>
      <c r="K1373" s="330" t="s">
        <v>1559</v>
      </c>
      <c r="L1373" s="330">
        <v>38</v>
      </c>
      <c r="M1373" s="330" t="s">
        <v>1488</v>
      </c>
      <c r="N1373" s="330">
        <v>1330</v>
      </c>
      <c r="O1373" s="330">
        <v>1330</v>
      </c>
      <c r="P1373" s="330">
        <v>6000</v>
      </c>
      <c r="Q1373" s="330">
        <v>2</v>
      </c>
      <c r="R1373" s="330">
        <v>22</v>
      </c>
      <c r="S1373" s="330" t="s">
        <v>1477</v>
      </c>
      <c r="T1373" s="330" t="s">
        <v>1478</v>
      </c>
      <c r="U1373" s="330" t="s">
        <v>1490</v>
      </c>
      <c r="V1373" s="330" t="s">
        <v>1480</v>
      </c>
      <c r="W1373" s="330" t="s">
        <v>1481</v>
      </c>
      <c r="X1373" s="330" t="s">
        <v>1482</v>
      </c>
    </row>
    <row r="1374" spans="1:24" ht="13.5" x14ac:dyDescent="0.15">
      <c r="A1374" s="330">
        <v>3727566</v>
      </c>
      <c r="B1374" s="330" t="s">
        <v>1471</v>
      </c>
      <c r="C1374" s="330" t="s">
        <v>1486</v>
      </c>
      <c r="D1374" s="330" t="s">
        <v>1473</v>
      </c>
      <c r="E1374" s="330" t="s">
        <v>1491</v>
      </c>
      <c r="F1374" s="332">
        <v>331</v>
      </c>
      <c r="G1374" s="330" t="s">
        <v>19</v>
      </c>
      <c r="H1374" s="330" t="s">
        <v>20</v>
      </c>
      <c r="I1374" s="330" t="s">
        <v>1552</v>
      </c>
      <c r="J1374" s="330" t="s">
        <v>1475</v>
      </c>
      <c r="K1374" s="330" t="s">
        <v>1560</v>
      </c>
      <c r="L1374" s="330">
        <v>38</v>
      </c>
      <c r="M1374" s="330" t="s">
        <v>1488</v>
      </c>
      <c r="N1374" s="330">
        <v>1330</v>
      </c>
      <c r="O1374" s="330">
        <v>1330</v>
      </c>
      <c r="P1374" s="330">
        <v>6000</v>
      </c>
      <c r="Q1374" s="330">
        <v>2</v>
      </c>
      <c r="R1374" s="330">
        <v>36</v>
      </c>
      <c r="S1374" s="330" t="s">
        <v>1477</v>
      </c>
      <c r="T1374" s="330" t="s">
        <v>1478</v>
      </c>
      <c r="U1374" s="330" t="s">
        <v>1490</v>
      </c>
      <c r="V1374" s="330" t="s">
        <v>1480</v>
      </c>
      <c r="W1374" s="330" t="s">
        <v>1481</v>
      </c>
      <c r="X1374" s="330" t="s">
        <v>1482</v>
      </c>
    </row>
    <row r="1375" spans="1:24" ht="13.5" x14ac:dyDescent="0.15">
      <c r="A1375" s="330">
        <v>3727567</v>
      </c>
      <c r="B1375" s="330" t="s">
        <v>1492</v>
      </c>
      <c r="C1375" s="330" t="s">
        <v>1472</v>
      </c>
      <c r="D1375" s="330" t="s">
        <v>1473</v>
      </c>
      <c r="E1375" s="330" t="s">
        <v>1493</v>
      </c>
      <c r="F1375" s="332">
        <v>3</v>
      </c>
      <c r="G1375" s="330" t="s">
        <v>265</v>
      </c>
      <c r="H1375" s="330" t="s">
        <v>20</v>
      </c>
      <c r="I1375" s="330" t="s">
        <v>1552</v>
      </c>
      <c r="J1375" s="330" t="s">
        <v>1475</v>
      </c>
      <c r="K1375" s="330" t="s">
        <v>1561</v>
      </c>
      <c r="L1375" s="330">
        <v>25</v>
      </c>
      <c r="M1375" s="330" t="s">
        <v>1494</v>
      </c>
      <c r="N1375" s="330">
        <v>1100</v>
      </c>
      <c r="O1375" s="330">
        <v>1100</v>
      </c>
      <c r="P1375" s="330">
        <v>4070</v>
      </c>
      <c r="Q1375" s="330">
        <v>2</v>
      </c>
      <c r="R1375" s="330">
        <v>6</v>
      </c>
      <c r="S1375" s="330" t="s">
        <v>1477</v>
      </c>
      <c r="T1375" s="330" t="s">
        <v>1478</v>
      </c>
      <c r="U1375" s="330" t="s">
        <v>1490</v>
      </c>
      <c r="V1375" s="330" t="s">
        <v>1480</v>
      </c>
      <c r="W1375" s="330" t="s">
        <v>1481</v>
      </c>
      <c r="X1375" s="330" t="s">
        <v>1482</v>
      </c>
    </row>
    <row r="1376" spans="1:24" ht="13.5" x14ac:dyDescent="0.15">
      <c r="A1376" s="330">
        <v>3727568</v>
      </c>
      <c r="B1376" s="330" t="s">
        <v>1471</v>
      </c>
      <c r="C1376" s="330" t="s">
        <v>1495</v>
      </c>
      <c r="D1376" s="330" t="s">
        <v>1473</v>
      </c>
      <c r="E1376" s="330" t="s">
        <v>1496</v>
      </c>
      <c r="F1376" s="332">
        <v>3</v>
      </c>
      <c r="G1376" s="330" t="s">
        <v>19</v>
      </c>
      <c r="H1376" s="330" t="s">
        <v>28</v>
      </c>
      <c r="I1376" s="330" t="s">
        <v>1552</v>
      </c>
      <c r="J1376" s="330" t="s">
        <v>1475</v>
      </c>
      <c r="K1376" s="330" t="s">
        <v>1562</v>
      </c>
      <c r="L1376" s="330">
        <v>75</v>
      </c>
      <c r="M1376" s="330" t="s">
        <v>1497</v>
      </c>
      <c r="N1376" s="330">
        <v>1040</v>
      </c>
      <c r="O1376" s="330">
        <v>1040</v>
      </c>
      <c r="P1376" s="330">
        <v>4000</v>
      </c>
      <c r="Q1376" s="330">
        <v>1</v>
      </c>
      <c r="R1376" s="330">
        <v>1</v>
      </c>
      <c r="S1376" s="330" t="s">
        <v>1477</v>
      </c>
      <c r="T1376" s="330" t="s">
        <v>1478</v>
      </c>
      <c r="U1376" s="330" t="s">
        <v>1490</v>
      </c>
      <c r="V1376" s="330" t="s">
        <v>1480</v>
      </c>
      <c r="W1376" s="330" t="s">
        <v>1481</v>
      </c>
      <c r="X1376" s="330" t="s">
        <v>1482</v>
      </c>
    </row>
    <row r="1377" spans="1:24" ht="13.5" x14ac:dyDescent="0.15">
      <c r="A1377" s="330">
        <v>3727569</v>
      </c>
      <c r="B1377" s="330" t="s">
        <v>1471</v>
      </c>
      <c r="C1377" s="330" t="s">
        <v>1495</v>
      </c>
      <c r="D1377" s="330" t="s">
        <v>1473</v>
      </c>
      <c r="E1377" s="330" t="s">
        <v>1496</v>
      </c>
      <c r="F1377" s="332">
        <v>3</v>
      </c>
      <c r="G1377" s="330" t="s">
        <v>19</v>
      </c>
      <c r="H1377" s="330" t="s">
        <v>28</v>
      </c>
      <c r="I1377" s="330" t="s">
        <v>1552</v>
      </c>
      <c r="J1377" s="330" t="s">
        <v>1475</v>
      </c>
      <c r="K1377" s="330" t="s">
        <v>1563</v>
      </c>
      <c r="L1377" s="330">
        <v>75</v>
      </c>
      <c r="M1377" s="330" t="s">
        <v>1498</v>
      </c>
      <c r="N1377" s="330">
        <v>1040</v>
      </c>
      <c r="O1377" s="330">
        <v>1040</v>
      </c>
      <c r="P1377" s="330">
        <v>4000</v>
      </c>
      <c r="Q1377" s="330">
        <v>1</v>
      </c>
      <c r="R1377" s="330">
        <v>1</v>
      </c>
      <c r="S1377" s="330" t="s">
        <v>1477</v>
      </c>
      <c r="T1377" s="330" t="s">
        <v>1478</v>
      </c>
      <c r="U1377" s="330" t="s">
        <v>1490</v>
      </c>
      <c r="V1377" s="330" t="s">
        <v>1480</v>
      </c>
      <c r="W1377" s="330" t="s">
        <v>1481</v>
      </c>
      <c r="X1377" s="330" t="s">
        <v>1482</v>
      </c>
    </row>
    <row r="1378" spans="1:24" ht="13.5" x14ac:dyDescent="0.15">
      <c r="A1378" s="330">
        <v>3727570</v>
      </c>
      <c r="B1378" s="330" t="s">
        <v>1471</v>
      </c>
      <c r="C1378" s="330" t="s">
        <v>1486</v>
      </c>
      <c r="D1378" s="330" t="s">
        <v>1473</v>
      </c>
      <c r="E1378" s="330" t="s">
        <v>1491</v>
      </c>
      <c r="F1378" s="332">
        <v>331</v>
      </c>
      <c r="G1378" s="330" t="s">
        <v>19</v>
      </c>
      <c r="H1378" s="330" t="s">
        <v>20</v>
      </c>
      <c r="I1378" s="330" t="s">
        <v>1552</v>
      </c>
      <c r="J1378" s="330" t="s">
        <v>1475</v>
      </c>
      <c r="K1378" s="330" t="s">
        <v>1564</v>
      </c>
      <c r="L1378" s="330">
        <v>25</v>
      </c>
      <c r="M1378" s="330" t="s">
        <v>1499</v>
      </c>
      <c r="N1378" s="330">
        <v>1330</v>
      </c>
      <c r="O1378" s="330">
        <v>1330</v>
      </c>
      <c r="P1378" s="330">
        <v>6000</v>
      </c>
      <c r="Q1378" s="330">
        <v>2</v>
      </c>
      <c r="R1378" s="330">
        <v>10</v>
      </c>
      <c r="S1378" s="330" t="s">
        <v>1477</v>
      </c>
      <c r="T1378" s="330" t="s">
        <v>1478</v>
      </c>
      <c r="U1378" s="330" t="s">
        <v>1489</v>
      </c>
      <c r="V1378" s="330" t="s">
        <v>1480</v>
      </c>
      <c r="W1378" s="330" t="s">
        <v>1481</v>
      </c>
      <c r="X1378" s="330" t="s">
        <v>1482</v>
      </c>
    </row>
    <row r="1379" spans="1:24" ht="13.5" x14ac:dyDescent="0.15">
      <c r="A1379" s="330">
        <v>3727571</v>
      </c>
      <c r="B1379" s="330" t="s">
        <v>1471</v>
      </c>
      <c r="C1379" s="330" t="s">
        <v>1500</v>
      </c>
      <c r="D1379" s="330" t="s">
        <v>1473</v>
      </c>
      <c r="E1379" s="330" t="s">
        <v>1501</v>
      </c>
      <c r="F1379" s="332">
        <v>3</v>
      </c>
      <c r="G1379" s="330" t="s">
        <v>19</v>
      </c>
      <c r="H1379" s="330" t="s">
        <v>20</v>
      </c>
      <c r="I1379" s="330" t="s">
        <v>1552</v>
      </c>
      <c r="J1379" s="330" t="s">
        <v>1475</v>
      </c>
      <c r="K1379" s="330" t="s">
        <v>1565</v>
      </c>
      <c r="L1379" s="330">
        <v>25</v>
      </c>
      <c r="M1379" s="330" t="s">
        <v>1502</v>
      </c>
      <c r="N1379" s="330">
        <v>1085</v>
      </c>
      <c r="O1379" s="330">
        <v>1080</v>
      </c>
      <c r="P1379" s="330">
        <v>6000</v>
      </c>
      <c r="Q1379" s="330">
        <v>2</v>
      </c>
      <c r="R1379" s="330">
        <v>6</v>
      </c>
      <c r="S1379" s="330" t="s">
        <v>1477</v>
      </c>
      <c r="T1379" s="330" t="s">
        <v>1478</v>
      </c>
      <c r="U1379" s="330" t="s">
        <v>1489</v>
      </c>
      <c r="V1379" s="330" t="s">
        <v>1480</v>
      </c>
      <c r="W1379" s="330" t="s">
        <v>1481</v>
      </c>
      <c r="X1379" s="330" t="s">
        <v>1482</v>
      </c>
    </row>
    <row r="1380" spans="1:24" ht="13.5" x14ac:dyDescent="0.15">
      <c r="A1380" s="330">
        <v>3727572</v>
      </c>
      <c r="B1380" s="330" t="s">
        <v>1471</v>
      </c>
      <c r="C1380" s="330" t="s">
        <v>1486</v>
      </c>
      <c r="D1380" s="330" t="s">
        <v>1473</v>
      </c>
      <c r="E1380" s="330" t="s">
        <v>1487</v>
      </c>
      <c r="F1380" s="332">
        <v>3</v>
      </c>
      <c r="G1380" s="330" t="s">
        <v>19</v>
      </c>
      <c r="H1380" s="330" t="s">
        <v>20</v>
      </c>
      <c r="I1380" s="330" t="s">
        <v>1552</v>
      </c>
      <c r="J1380" s="330" t="s">
        <v>1475</v>
      </c>
      <c r="K1380" s="330" t="s">
        <v>1566</v>
      </c>
      <c r="L1380" s="330">
        <v>38</v>
      </c>
      <c r="M1380" s="330" t="s">
        <v>1503</v>
      </c>
      <c r="N1380" s="330">
        <v>1037</v>
      </c>
      <c r="O1380" s="330">
        <v>1030</v>
      </c>
      <c r="P1380" s="330">
        <v>6000</v>
      </c>
      <c r="Q1380" s="330">
        <v>2</v>
      </c>
      <c r="R1380" s="330">
        <v>10</v>
      </c>
      <c r="S1380" s="330" t="s">
        <v>1477</v>
      </c>
      <c r="T1380" s="330" t="s">
        <v>1478</v>
      </c>
      <c r="U1380" s="330" t="s">
        <v>1489</v>
      </c>
      <c r="V1380" s="330" t="s">
        <v>1480</v>
      </c>
      <c r="W1380" s="330" t="s">
        <v>1481</v>
      </c>
      <c r="X1380" s="330" t="s">
        <v>1482</v>
      </c>
    </row>
    <row r="1381" spans="1:24" ht="13.5" x14ac:dyDescent="0.15">
      <c r="A1381" s="330">
        <v>3727573</v>
      </c>
      <c r="B1381" s="330" t="s">
        <v>1471</v>
      </c>
      <c r="C1381" s="330" t="s">
        <v>1486</v>
      </c>
      <c r="D1381" s="330" t="s">
        <v>1473</v>
      </c>
      <c r="E1381" s="330" t="s">
        <v>1504</v>
      </c>
      <c r="F1381" s="332">
        <v>331</v>
      </c>
      <c r="G1381" s="330" t="s">
        <v>19</v>
      </c>
      <c r="H1381" s="330" t="s">
        <v>20</v>
      </c>
      <c r="I1381" s="330" t="s">
        <v>1552</v>
      </c>
      <c r="J1381" s="330" t="s">
        <v>1475</v>
      </c>
      <c r="K1381" s="330" t="s">
        <v>1567</v>
      </c>
      <c r="L1381" s="330">
        <v>50</v>
      </c>
      <c r="M1381" s="330" t="s">
        <v>1505</v>
      </c>
      <c r="N1381" s="330">
        <v>1420</v>
      </c>
      <c r="O1381" s="330">
        <v>1180</v>
      </c>
      <c r="P1381" s="330">
        <v>6000</v>
      </c>
      <c r="Q1381" s="330">
        <v>2</v>
      </c>
      <c r="R1381" s="330">
        <v>12</v>
      </c>
      <c r="S1381" s="330" t="s">
        <v>1477</v>
      </c>
      <c r="T1381" s="330" t="s">
        <v>1478</v>
      </c>
      <c r="U1381" s="330" t="s">
        <v>1506</v>
      </c>
      <c r="V1381" s="330" t="s">
        <v>1480</v>
      </c>
      <c r="W1381" s="330" t="s">
        <v>1481</v>
      </c>
      <c r="X1381" s="330" t="s">
        <v>1482</v>
      </c>
    </row>
    <row r="1382" spans="1:24" ht="13.5" x14ac:dyDescent="0.15">
      <c r="A1382" s="330">
        <v>3727574</v>
      </c>
      <c r="B1382" s="330" t="s">
        <v>1471</v>
      </c>
      <c r="C1382" s="330" t="s">
        <v>1495</v>
      </c>
      <c r="D1382" s="330" t="s">
        <v>1473</v>
      </c>
      <c r="E1382" s="330" t="s">
        <v>1496</v>
      </c>
      <c r="F1382" s="332">
        <v>331</v>
      </c>
      <c r="G1382" s="330" t="s">
        <v>19</v>
      </c>
      <c r="H1382" s="330" t="s">
        <v>20</v>
      </c>
      <c r="I1382" s="330" t="s">
        <v>1552</v>
      </c>
      <c r="J1382" s="330" t="s">
        <v>1475</v>
      </c>
      <c r="K1382" s="330" t="s">
        <v>1568</v>
      </c>
      <c r="L1382" s="330">
        <v>25</v>
      </c>
      <c r="M1382" s="330" t="s">
        <v>1507</v>
      </c>
      <c r="N1382" s="330">
        <v>1425</v>
      </c>
      <c r="O1382" s="330">
        <v>1420</v>
      </c>
      <c r="P1382" s="330">
        <v>6000</v>
      </c>
      <c r="Q1382" s="330">
        <v>2</v>
      </c>
      <c r="R1382" s="330">
        <v>7</v>
      </c>
      <c r="S1382" s="330" t="s">
        <v>1477</v>
      </c>
      <c r="T1382" s="330" t="s">
        <v>1478</v>
      </c>
      <c r="U1382" s="330" t="s">
        <v>1506</v>
      </c>
      <c r="V1382" s="330" t="s">
        <v>1480</v>
      </c>
      <c r="W1382" s="330" t="s">
        <v>1481</v>
      </c>
      <c r="X1382" s="330" t="s">
        <v>1482</v>
      </c>
    </row>
    <row r="1383" spans="1:24" ht="13.5" x14ac:dyDescent="0.15">
      <c r="A1383" s="330">
        <v>3727575</v>
      </c>
      <c r="B1383" s="330" t="s">
        <v>1471</v>
      </c>
      <c r="C1383" s="330" t="s">
        <v>1486</v>
      </c>
      <c r="D1383" s="330" t="s">
        <v>1473</v>
      </c>
      <c r="E1383" s="330" t="s">
        <v>1508</v>
      </c>
      <c r="F1383" s="332">
        <v>331</v>
      </c>
      <c r="G1383" s="330" t="s">
        <v>19</v>
      </c>
      <c r="H1383" s="330" t="s">
        <v>20</v>
      </c>
      <c r="I1383" s="330" t="s">
        <v>1552</v>
      </c>
      <c r="J1383" s="330" t="s">
        <v>1475</v>
      </c>
      <c r="K1383" s="330" t="s">
        <v>1569</v>
      </c>
      <c r="L1383" s="330">
        <v>25</v>
      </c>
      <c r="M1383" s="330" t="s">
        <v>1509</v>
      </c>
      <c r="N1383" s="330">
        <v>1410</v>
      </c>
      <c r="O1383" s="330">
        <v>1410</v>
      </c>
      <c r="P1383" s="330">
        <v>6000</v>
      </c>
      <c r="Q1383" s="330">
        <v>2</v>
      </c>
      <c r="R1383" s="330">
        <v>12</v>
      </c>
      <c r="S1383" s="330" t="s">
        <v>1477</v>
      </c>
      <c r="T1383" s="330" t="s">
        <v>1478</v>
      </c>
      <c r="U1383" s="330" t="s">
        <v>1506</v>
      </c>
      <c r="V1383" s="330" t="s">
        <v>1480</v>
      </c>
      <c r="W1383" s="330" t="s">
        <v>1481</v>
      </c>
      <c r="X1383" s="330" t="s">
        <v>1482</v>
      </c>
    </row>
    <row r="1384" spans="1:24" ht="13.5" x14ac:dyDescent="0.15">
      <c r="A1384" s="330">
        <v>3727576</v>
      </c>
      <c r="B1384" s="330" t="s">
        <v>1471</v>
      </c>
      <c r="C1384" s="330" t="s">
        <v>1486</v>
      </c>
      <c r="D1384" s="330" t="s">
        <v>1473</v>
      </c>
      <c r="E1384" s="330" t="s">
        <v>1508</v>
      </c>
      <c r="F1384" s="332">
        <v>331</v>
      </c>
      <c r="G1384" s="330" t="s">
        <v>19</v>
      </c>
      <c r="H1384" s="330" t="s">
        <v>20</v>
      </c>
      <c r="I1384" s="330" t="s">
        <v>1552</v>
      </c>
      <c r="J1384" s="330" t="s">
        <v>1475</v>
      </c>
      <c r="K1384" s="330" t="s">
        <v>1569</v>
      </c>
      <c r="L1384" s="330">
        <v>25</v>
      </c>
      <c r="M1384" s="330" t="s">
        <v>1509</v>
      </c>
      <c r="N1384" s="330">
        <v>1410</v>
      </c>
      <c r="O1384" s="330">
        <v>1410</v>
      </c>
      <c r="P1384" s="330">
        <v>6000</v>
      </c>
      <c r="Q1384" s="330">
        <v>2</v>
      </c>
      <c r="R1384" s="330">
        <v>10</v>
      </c>
      <c r="S1384" s="330" t="s">
        <v>1477</v>
      </c>
      <c r="T1384" s="330" t="s">
        <v>1478</v>
      </c>
      <c r="U1384" s="330" t="s">
        <v>1506</v>
      </c>
      <c r="V1384" s="330" t="s">
        <v>1480</v>
      </c>
      <c r="W1384" s="330" t="s">
        <v>1481</v>
      </c>
      <c r="X1384" s="330" t="s">
        <v>1482</v>
      </c>
    </row>
    <row r="1385" spans="1:24" ht="13.5" x14ac:dyDescent="0.15">
      <c r="A1385" s="330">
        <v>3727577</v>
      </c>
      <c r="B1385" s="330" t="s">
        <v>1471</v>
      </c>
      <c r="C1385" s="330" t="s">
        <v>1510</v>
      </c>
      <c r="D1385" s="330" t="s">
        <v>1473</v>
      </c>
      <c r="E1385" s="330" t="s">
        <v>1511</v>
      </c>
      <c r="F1385" s="332">
        <v>3</v>
      </c>
      <c r="G1385" s="330" t="s">
        <v>19</v>
      </c>
      <c r="H1385" s="330" t="s">
        <v>20</v>
      </c>
      <c r="I1385" s="330" t="s">
        <v>1552</v>
      </c>
      <c r="J1385" s="330" t="s">
        <v>1475</v>
      </c>
      <c r="K1385" s="330" t="s">
        <v>1568</v>
      </c>
      <c r="L1385" s="330">
        <v>38</v>
      </c>
      <c r="M1385" s="330" t="s">
        <v>1512</v>
      </c>
      <c r="N1385" s="330">
        <v>1415</v>
      </c>
      <c r="O1385" s="330">
        <v>1410</v>
      </c>
      <c r="P1385" s="330">
        <v>6000</v>
      </c>
      <c r="Q1385" s="330">
        <v>2</v>
      </c>
      <c r="R1385" s="330">
        <v>8</v>
      </c>
      <c r="S1385" s="330" t="s">
        <v>1477</v>
      </c>
      <c r="T1385" s="330" t="s">
        <v>1478</v>
      </c>
      <c r="U1385" s="330" t="s">
        <v>1513</v>
      </c>
      <c r="V1385" s="330" t="s">
        <v>1480</v>
      </c>
      <c r="W1385" s="330" t="s">
        <v>1481</v>
      </c>
      <c r="X1385" s="330" t="s">
        <v>1482</v>
      </c>
    </row>
    <row r="1386" spans="1:24" ht="13.5" x14ac:dyDescent="0.15">
      <c r="A1386" s="330">
        <v>3727578</v>
      </c>
      <c r="B1386" s="330" t="s">
        <v>1471</v>
      </c>
      <c r="C1386" s="330" t="s">
        <v>1510</v>
      </c>
      <c r="D1386" s="330" t="s">
        <v>1473</v>
      </c>
      <c r="E1386" s="330" t="s">
        <v>1511</v>
      </c>
      <c r="F1386" s="332">
        <v>3</v>
      </c>
      <c r="G1386" s="330" t="s">
        <v>19</v>
      </c>
      <c r="H1386" s="330" t="s">
        <v>20</v>
      </c>
      <c r="I1386" s="330" t="s">
        <v>1552</v>
      </c>
      <c r="J1386" s="330" t="s">
        <v>1475</v>
      </c>
      <c r="K1386" s="330" t="s">
        <v>1568</v>
      </c>
      <c r="L1386" s="330">
        <v>38</v>
      </c>
      <c r="M1386" s="330" t="s">
        <v>1512</v>
      </c>
      <c r="N1386" s="330">
        <v>1415</v>
      </c>
      <c r="O1386" s="330">
        <v>1410</v>
      </c>
      <c r="P1386" s="330">
        <v>6000</v>
      </c>
      <c r="Q1386" s="330">
        <v>2</v>
      </c>
      <c r="R1386" s="330">
        <v>2</v>
      </c>
      <c r="S1386" s="330" t="s">
        <v>1477</v>
      </c>
      <c r="T1386" s="330" t="s">
        <v>1478</v>
      </c>
      <c r="U1386" s="330" t="s">
        <v>1513</v>
      </c>
      <c r="V1386" s="330" t="s">
        <v>1480</v>
      </c>
      <c r="W1386" s="330" t="s">
        <v>1481</v>
      </c>
      <c r="X1386" s="330" t="s">
        <v>1482</v>
      </c>
    </row>
    <row r="1387" spans="1:24" ht="13.5" x14ac:dyDescent="0.15">
      <c r="A1387" s="330">
        <v>3727579</v>
      </c>
      <c r="B1387" s="330" t="s">
        <v>1471</v>
      </c>
      <c r="C1387" s="330" t="s">
        <v>1486</v>
      </c>
      <c r="D1387" s="330" t="s">
        <v>1473</v>
      </c>
      <c r="E1387" s="330" t="s">
        <v>1514</v>
      </c>
      <c r="F1387" s="332">
        <v>3</v>
      </c>
      <c r="G1387" s="330" t="s">
        <v>19</v>
      </c>
      <c r="H1387" s="330" t="s">
        <v>20</v>
      </c>
      <c r="I1387" s="330" t="s">
        <v>1552</v>
      </c>
      <c r="J1387" s="330" t="s">
        <v>1475</v>
      </c>
      <c r="K1387" s="330" t="s">
        <v>1570</v>
      </c>
      <c r="L1387" s="330">
        <v>25</v>
      </c>
      <c r="M1387" s="330" t="s">
        <v>1515</v>
      </c>
      <c r="N1387" s="330">
        <v>1325</v>
      </c>
      <c r="O1387" s="330">
        <v>1320</v>
      </c>
      <c r="P1387" s="330">
        <v>6000</v>
      </c>
      <c r="Q1387" s="330">
        <v>2</v>
      </c>
      <c r="R1387" s="330">
        <v>1</v>
      </c>
      <c r="S1387" s="330" t="s">
        <v>1477</v>
      </c>
      <c r="T1387" s="330" t="s">
        <v>1478</v>
      </c>
      <c r="U1387" s="330" t="s">
        <v>1506</v>
      </c>
      <c r="V1387" s="330" t="s">
        <v>1480</v>
      </c>
      <c r="W1387" s="330" t="s">
        <v>1481</v>
      </c>
      <c r="X1387" s="330" t="s">
        <v>1482</v>
      </c>
    </row>
    <row r="1388" spans="1:24" ht="13.5" x14ac:dyDescent="0.15">
      <c r="A1388" s="330">
        <v>3727580</v>
      </c>
      <c r="B1388" s="330" t="s">
        <v>1471</v>
      </c>
      <c r="C1388" s="330" t="s">
        <v>1486</v>
      </c>
      <c r="D1388" s="330" t="s">
        <v>1473</v>
      </c>
      <c r="E1388" s="330" t="s">
        <v>1516</v>
      </c>
      <c r="F1388" s="332">
        <v>3</v>
      </c>
      <c r="G1388" s="330" t="s">
        <v>19</v>
      </c>
      <c r="H1388" s="330" t="s">
        <v>20</v>
      </c>
      <c r="I1388" s="330" t="s">
        <v>1552</v>
      </c>
      <c r="J1388" s="330" t="s">
        <v>1475</v>
      </c>
      <c r="K1388" s="330" t="s">
        <v>1571</v>
      </c>
      <c r="L1388" s="330">
        <v>38</v>
      </c>
      <c r="M1388" s="330" t="s">
        <v>1517</v>
      </c>
      <c r="N1388" s="330">
        <v>1240</v>
      </c>
      <c r="O1388" s="330">
        <v>1240</v>
      </c>
      <c r="P1388" s="330">
        <v>6000</v>
      </c>
      <c r="Q1388" s="330">
        <v>2</v>
      </c>
      <c r="R1388" s="330">
        <v>4</v>
      </c>
      <c r="S1388" s="330" t="s">
        <v>1477</v>
      </c>
      <c r="T1388" s="330" t="s">
        <v>1478</v>
      </c>
      <c r="U1388" s="330" t="s">
        <v>1506</v>
      </c>
      <c r="V1388" s="330" t="s">
        <v>1480</v>
      </c>
      <c r="W1388" s="330" t="s">
        <v>1481</v>
      </c>
      <c r="X1388" s="330" t="s">
        <v>1482</v>
      </c>
    </row>
    <row r="1389" spans="1:24" ht="13.5" x14ac:dyDescent="0.15">
      <c r="A1389" s="330">
        <v>3727581</v>
      </c>
      <c r="B1389" s="330" t="s">
        <v>1471</v>
      </c>
      <c r="C1389" s="330" t="s">
        <v>1486</v>
      </c>
      <c r="D1389" s="330" t="s">
        <v>1473</v>
      </c>
      <c r="E1389" s="330" t="s">
        <v>1514</v>
      </c>
      <c r="F1389" s="332">
        <v>3</v>
      </c>
      <c r="G1389" s="330" t="s">
        <v>19</v>
      </c>
      <c r="H1389" s="330" t="s">
        <v>20</v>
      </c>
      <c r="I1389" s="330" t="s">
        <v>1552</v>
      </c>
      <c r="J1389" s="330" t="s">
        <v>1475</v>
      </c>
      <c r="K1389" s="330" t="s">
        <v>1567</v>
      </c>
      <c r="L1389" s="330">
        <v>38</v>
      </c>
      <c r="M1389" s="330" t="s">
        <v>1505</v>
      </c>
      <c r="N1389" s="330">
        <v>1135</v>
      </c>
      <c r="O1389" s="330">
        <v>1130</v>
      </c>
      <c r="P1389" s="330">
        <v>6000</v>
      </c>
      <c r="Q1389" s="330">
        <v>2</v>
      </c>
      <c r="R1389" s="330">
        <v>4</v>
      </c>
      <c r="S1389" s="330" t="s">
        <v>1477</v>
      </c>
      <c r="T1389" s="330" t="s">
        <v>1478</v>
      </c>
      <c r="U1389" s="330" t="s">
        <v>1506</v>
      </c>
      <c r="V1389" s="330" t="s">
        <v>1480</v>
      </c>
      <c r="W1389" s="330" t="s">
        <v>1481</v>
      </c>
      <c r="X1389" s="330" t="s">
        <v>1482</v>
      </c>
    </row>
    <row r="1390" spans="1:24" ht="13.5" x14ac:dyDescent="0.15">
      <c r="A1390" s="330">
        <v>3727582</v>
      </c>
      <c r="B1390" s="330" t="s">
        <v>1471</v>
      </c>
      <c r="C1390" s="330" t="s">
        <v>1486</v>
      </c>
      <c r="D1390" s="330" t="s">
        <v>1473</v>
      </c>
      <c r="E1390" s="330" t="s">
        <v>1516</v>
      </c>
      <c r="F1390" s="332">
        <v>3</v>
      </c>
      <c r="G1390" s="330" t="s">
        <v>19</v>
      </c>
      <c r="H1390" s="330" t="s">
        <v>20</v>
      </c>
      <c r="I1390" s="330" t="s">
        <v>1552</v>
      </c>
      <c r="J1390" s="330" t="s">
        <v>1475</v>
      </c>
      <c r="K1390" s="330" t="s">
        <v>1571</v>
      </c>
      <c r="L1390" s="330">
        <v>25</v>
      </c>
      <c r="M1390" s="330" t="s">
        <v>1517</v>
      </c>
      <c r="N1390" s="330">
        <v>1040</v>
      </c>
      <c r="O1390" s="330">
        <v>1040</v>
      </c>
      <c r="P1390" s="330">
        <v>6000</v>
      </c>
      <c r="Q1390" s="330">
        <v>2</v>
      </c>
      <c r="R1390" s="330">
        <v>18</v>
      </c>
      <c r="S1390" s="330" t="s">
        <v>1477</v>
      </c>
      <c r="T1390" s="330" t="s">
        <v>1478</v>
      </c>
      <c r="U1390" s="330" t="s">
        <v>1518</v>
      </c>
      <c r="V1390" s="330" t="s">
        <v>1480</v>
      </c>
      <c r="W1390" s="330" t="s">
        <v>1481</v>
      </c>
      <c r="X1390" s="330" t="s">
        <v>1482</v>
      </c>
    </row>
    <row r="1391" spans="1:24" ht="13.5" x14ac:dyDescent="0.15">
      <c r="A1391" s="330">
        <v>3727583</v>
      </c>
      <c r="B1391" s="330" t="s">
        <v>1471</v>
      </c>
      <c r="C1391" s="330" t="s">
        <v>1510</v>
      </c>
      <c r="D1391" s="330" t="s">
        <v>1473</v>
      </c>
      <c r="E1391" s="330" t="s">
        <v>1511</v>
      </c>
      <c r="F1391" s="332">
        <v>3</v>
      </c>
      <c r="G1391" s="330" t="s">
        <v>19</v>
      </c>
      <c r="H1391" s="330" t="s">
        <v>20</v>
      </c>
      <c r="I1391" s="330" t="s">
        <v>1552</v>
      </c>
      <c r="J1391" s="330" t="s">
        <v>1475</v>
      </c>
      <c r="K1391" s="330" t="s">
        <v>1568</v>
      </c>
      <c r="L1391" s="330">
        <v>38</v>
      </c>
      <c r="M1391" s="330" t="s">
        <v>1512</v>
      </c>
      <c r="N1391" s="330">
        <v>1005</v>
      </c>
      <c r="O1391" s="330">
        <v>1000</v>
      </c>
      <c r="P1391" s="330">
        <v>6000</v>
      </c>
      <c r="Q1391" s="330">
        <v>2</v>
      </c>
      <c r="R1391" s="330">
        <v>5</v>
      </c>
      <c r="S1391" s="330" t="s">
        <v>1477</v>
      </c>
      <c r="T1391" s="330" t="s">
        <v>1478</v>
      </c>
      <c r="U1391" s="330" t="s">
        <v>1513</v>
      </c>
      <c r="V1391" s="330" t="s">
        <v>1480</v>
      </c>
      <c r="W1391" s="330" t="s">
        <v>1481</v>
      </c>
      <c r="X1391" s="330" t="s">
        <v>1482</v>
      </c>
    </row>
    <row r="1392" spans="1:24" ht="13.5" x14ac:dyDescent="0.15">
      <c r="A1392" s="330">
        <v>3727588</v>
      </c>
      <c r="B1392" s="330" t="s">
        <v>1471</v>
      </c>
      <c r="C1392" s="330" t="s">
        <v>1510</v>
      </c>
      <c r="D1392" s="330" t="s">
        <v>1473</v>
      </c>
      <c r="E1392" s="330" t="s">
        <v>1528</v>
      </c>
      <c r="F1392" s="332" t="s">
        <v>1602</v>
      </c>
      <c r="G1392" s="330" t="s">
        <v>19</v>
      </c>
      <c r="H1392" s="330" t="s">
        <v>20</v>
      </c>
      <c r="I1392" s="330" t="s">
        <v>1554</v>
      </c>
      <c r="J1392" s="330" t="s">
        <v>1475</v>
      </c>
      <c r="K1392" s="330" t="s">
        <v>1574</v>
      </c>
      <c r="L1392" s="330">
        <v>25</v>
      </c>
      <c r="M1392" s="330" t="s">
        <v>1529</v>
      </c>
      <c r="N1392" s="330">
        <v>1120</v>
      </c>
      <c r="O1392" s="330">
        <v>1120</v>
      </c>
      <c r="P1392" s="330">
        <v>6000</v>
      </c>
      <c r="Q1392" s="330">
        <v>2</v>
      </c>
      <c r="R1392" s="330">
        <v>1</v>
      </c>
      <c r="S1392" s="330" t="s">
        <v>1477</v>
      </c>
      <c r="T1392" s="330" t="s">
        <v>1478</v>
      </c>
      <c r="U1392" s="330" t="s">
        <v>1526</v>
      </c>
      <c r="V1392" s="330" t="s">
        <v>1480</v>
      </c>
      <c r="W1392" s="330" t="s">
        <v>1481</v>
      </c>
      <c r="X1392" s="330" t="s">
        <v>1482</v>
      </c>
    </row>
    <row r="1393" spans="1:24" ht="13.5" x14ac:dyDescent="0.15">
      <c r="A1393" s="330">
        <v>3727590</v>
      </c>
      <c r="B1393" s="330" t="s">
        <v>1471</v>
      </c>
      <c r="C1393" s="330" t="s">
        <v>1495</v>
      </c>
      <c r="D1393" s="330" t="s">
        <v>1473</v>
      </c>
      <c r="E1393" s="330" t="s">
        <v>162</v>
      </c>
      <c r="F1393" s="332">
        <v>3</v>
      </c>
      <c r="G1393" s="330" t="s">
        <v>19</v>
      </c>
      <c r="H1393" s="330" t="s">
        <v>20</v>
      </c>
      <c r="I1393" s="330" t="s">
        <v>1554</v>
      </c>
      <c r="J1393" s="330" t="s">
        <v>1475</v>
      </c>
      <c r="K1393" s="330" t="s">
        <v>1575</v>
      </c>
      <c r="L1393" s="330">
        <v>38</v>
      </c>
      <c r="M1393" s="330" t="s">
        <v>1531</v>
      </c>
      <c r="N1393" s="330">
        <v>1320</v>
      </c>
      <c r="O1393" s="330">
        <v>1320</v>
      </c>
      <c r="P1393" s="330">
        <v>6000</v>
      </c>
      <c r="Q1393" s="330">
        <v>2</v>
      </c>
      <c r="R1393" s="330">
        <v>18</v>
      </c>
      <c r="S1393" s="330" t="s">
        <v>1477</v>
      </c>
      <c r="T1393" s="330" t="s">
        <v>1478</v>
      </c>
      <c r="U1393" s="330" t="s">
        <v>1526</v>
      </c>
      <c r="V1393" s="330" t="s">
        <v>1480</v>
      </c>
      <c r="W1393" s="330" t="s">
        <v>1481</v>
      </c>
      <c r="X1393" s="330" t="s">
        <v>1482</v>
      </c>
    </row>
    <row r="1394" spans="1:24" ht="13.5" x14ac:dyDescent="0.15">
      <c r="A1394" s="274">
        <v>3731308</v>
      </c>
      <c r="B1394" s="274" t="s">
        <v>1671</v>
      </c>
      <c r="C1394" s="274" t="s">
        <v>1672</v>
      </c>
      <c r="D1394" s="274" t="s">
        <v>1673</v>
      </c>
      <c r="E1394" s="274" t="s">
        <v>1674</v>
      </c>
      <c r="F1394" s="274">
        <v>331</v>
      </c>
      <c r="G1394" s="274" t="s">
        <v>1675</v>
      </c>
      <c r="H1394" s="274" t="s">
        <v>1676</v>
      </c>
      <c r="I1394" s="274" t="s">
        <v>1677</v>
      </c>
      <c r="J1394" s="274"/>
      <c r="K1394" s="274" t="s">
        <v>1678</v>
      </c>
      <c r="L1394" s="274">
        <v>38</v>
      </c>
      <c r="M1394" s="274" t="s">
        <v>1679</v>
      </c>
      <c r="N1394" s="274">
        <v>1580</v>
      </c>
      <c r="O1394" s="274">
        <v>1580</v>
      </c>
      <c r="P1394" s="274">
        <v>6000</v>
      </c>
      <c r="Q1394" s="274">
        <v>2</v>
      </c>
      <c r="R1394" s="274">
        <v>10</v>
      </c>
      <c r="S1394" s="274" t="s">
        <v>354</v>
      </c>
      <c r="T1394" s="274" t="s">
        <v>1680</v>
      </c>
      <c r="U1394" s="274" t="s">
        <v>1539</v>
      </c>
      <c r="V1394" s="274" t="s">
        <v>355</v>
      </c>
      <c r="W1394" s="274" t="s">
        <v>928</v>
      </c>
      <c r="X1394" s="274" t="s">
        <v>928</v>
      </c>
    </row>
    <row r="1395" spans="1:24" ht="13.5" x14ac:dyDescent="0.15">
      <c r="A1395" s="274">
        <v>3731309</v>
      </c>
      <c r="B1395" s="274" t="s">
        <v>1671</v>
      </c>
      <c r="C1395" s="274" t="s">
        <v>1672</v>
      </c>
      <c r="D1395" s="274" t="s">
        <v>353</v>
      </c>
      <c r="E1395" s="274" t="s">
        <v>1681</v>
      </c>
      <c r="F1395" s="274">
        <v>331</v>
      </c>
      <c r="G1395" s="274" t="s">
        <v>1675</v>
      </c>
      <c r="H1395" s="274" t="s">
        <v>1676</v>
      </c>
      <c r="I1395" s="274" t="s">
        <v>21</v>
      </c>
      <c r="J1395" s="274"/>
      <c r="K1395" s="274" t="s">
        <v>52</v>
      </c>
      <c r="L1395" s="274">
        <v>38</v>
      </c>
      <c r="M1395" s="274" t="s">
        <v>53</v>
      </c>
      <c r="N1395" s="274">
        <v>1330</v>
      </c>
      <c r="O1395" s="274">
        <v>1330</v>
      </c>
      <c r="P1395" s="274">
        <v>6000</v>
      </c>
      <c r="Q1395" s="274">
        <v>2</v>
      </c>
      <c r="R1395" s="274">
        <v>20</v>
      </c>
      <c r="S1395" s="274" t="s">
        <v>354</v>
      </c>
      <c r="T1395" s="274" t="s">
        <v>1680</v>
      </c>
      <c r="U1395" s="274" t="s">
        <v>1539</v>
      </c>
      <c r="V1395" s="274" t="s">
        <v>355</v>
      </c>
      <c r="W1395" s="274" t="s">
        <v>928</v>
      </c>
      <c r="X1395" s="274" t="s">
        <v>928</v>
      </c>
    </row>
    <row r="1396" spans="1:24" ht="13.5" x14ac:dyDescent="0.15">
      <c r="A1396" s="274">
        <v>3731310</v>
      </c>
      <c r="B1396" s="274" t="s">
        <v>1671</v>
      </c>
      <c r="C1396" s="274" t="s">
        <v>1672</v>
      </c>
      <c r="D1396" s="274" t="s">
        <v>1673</v>
      </c>
      <c r="E1396" s="274" t="s">
        <v>1674</v>
      </c>
      <c r="F1396" s="274">
        <v>331</v>
      </c>
      <c r="G1396" s="274" t="s">
        <v>19</v>
      </c>
      <c r="H1396" s="274" t="s">
        <v>1676</v>
      </c>
      <c r="I1396" s="274" t="s">
        <v>1677</v>
      </c>
      <c r="J1396" s="274" t="s">
        <v>928</v>
      </c>
      <c r="K1396" s="274" t="s">
        <v>1678</v>
      </c>
      <c r="L1396" s="274">
        <v>38</v>
      </c>
      <c r="M1396" s="274" t="s">
        <v>1679</v>
      </c>
      <c r="N1396" s="274">
        <v>1330</v>
      </c>
      <c r="O1396" s="274">
        <v>1330</v>
      </c>
      <c r="P1396" s="274">
        <v>6000</v>
      </c>
      <c r="Q1396" s="274">
        <v>2</v>
      </c>
      <c r="R1396" s="274">
        <v>16</v>
      </c>
      <c r="S1396" s="274" t="s">
        <v>354</v>
      </c>
      <c r="T1396" s="274" t="s">
        <v>1680</v>
      </c>
      <c r="U1396" s="274" t="s">
        <v>1539</v>
      </c>
      <c r="V1396" s="274" t="s">
        <v>355</v>
      </c>
      <c r="W1396" s="274" t="s">
        <v>928</v>
      </c>
      <c r="X1396" s="274" t="s">
        <v>928</v>
      </c>
    </row>
    <row r="1397" spans="1:24" ht="13.5" x14ac:dyDescent="0.15">
      <c r="A1397" s="274">
        <v>3731311</v>
      </c>
      <c r="B1397" s="274" t="s">
        <v>1671</v>
      </c>
      <c r="C1397" s="274" t="s">
        <v>1672</v>
      </c>
      <c r="D1397" s="274" t="s">
        <v>1673</v>
      </c>
      <c r="E1397" s="274" t="s">
        <v>1674</v>
      </c>
      <c r="F1397" s="274">
        <v>3</v>
      </c>
      <c r="G1397" s="274" t="s">
        <v>1675</v>
      </c>
      <c r="H1397" s="274" t="s">
        <v>20</v>
      </c>
      <c r="I1397" s="274" t="s">
        <v>1677</v>
      </c>
      <c r="J1397" s="274"/>
      <c r="K1397" s="274" t="s">
        <v>1682</v>
      </c>
      <c r="L1397" s="274">
        <v>75</v>
      </c>
      <c r="M1397" s="274" t="s">
        <v>1683</v>
      </c>
      <c r="N1397" s="274">
        <v>1330</v>
      </c>
      <c r="O1397" s="274">
        <v>1330</v>
      </c>
      <c r="P1397" s="274">
        <v>4100</v>
      </c>
      <c r="Q1397" s="274">
        <v>2</v>
      </c>
      <c r="R1397" s="274">
        <v>8</v>
      </c>
      <c r="S1397" s="274" t="s">
        <v>354</v>
      </c>
      <c r="T1397" s="274" t="s">
        <v>1680</v>
      </c>
      <c r="U1397" s="274" t="s">
        <v>1539</v>
      </c>
      <c r="V1397" s="274" t="s">
        <v>355</v>
      </c>
      <c r="W1397" s="274" t="s">
        <v>928</v>
      </c>
      <c r="X1397" s="274" t="s">
        <v>928</v>
      </c>
    </row>
    <row r="1398" spans="1:24" ht="13.5" x14ac:dyDescent="0.15">
      <c r="A1398" s="274">
        <v>3731312</v>
      </c>
      <c r="B1398" s="274" t="s">
        <v>351</v>
      </c>
      <c r="C1398" s="274" t="s">
        <v>1672</v>
      </c>
      <c r="D1398" s="274" t="s">
        <v>1673</v>
      </c>
      <c r="E1398" s="274" t="s">
        <v>1674</v>
      </c>
      <c r="F1398" s="274">
        <v>3</v>
      </c>
      <c r="G1398" s="274" t="s">
        <v>1675</v>
      </c>
      <c r="H1398" s="274" t="s">
        <v>1676</v>
      </c>
      <c r="I1398" s="274" t="s">
        <v>1677</v>
      </c>
      <c r="J1398" s="274" t="s">
        <v>928</v>
      </c>
      <c r="K1398" s="274" t="s">
        <v>1682</v>
      </c>
      <c r="L1398" s="274">
        <v>75</v>
      </c>
      <c r="M1398" s="274" t="s">
        <v>376</v>
      </c>
      <c r="N1398" s="274">
        <v>1330</v>
      </c>
      <c r="O1398" s="274">
        <v>1330</v>
      </c>
      <c r="P1398" s="274">
        <v>4100</v>
      </c>
      <c r="Q1398" s="274">
        <v>2</v>
      </c>
      <c r="R1398" s="274">
        <v>24</v>
      </c>
      <c r="S1398" s="274" t="s">
        <v>354</v>
      </c>
      <c r="T1398" s="274" t="s">
        <v>1680</v>
      </c>
      <c r="U1398" s="274" t="s">
        <v>1684</v>
      </c>
      <c r="V1398" s="274" t="s">
        <v>355</v>
      </c>
      <c r="W1398" s="274" t="s">
        <v>928</v>
      </c>
      <c r="X1398" s="274" t="s">
        <v>928</v>
      </c>
    </row>
    <row r="1399" spans="1:24" ht="13.5" x14ac:dyDescent="0.15">
      <c r="A1399" s="274">
        <v>3731313</v>
      </c>
      <c r="B1399" s="274" t="s">
        <v>1685</v>
      </c>
      <c r="C1399" s="274" t="s">
        <v>1686</v>
      </c>
      <c r="D1399" s="274" t="s">
        <v>1673</v>
      </c>
      <c r="E1399" s="274" t="s">
        <v>1687</v>
      </c>
      <c r="F1399" s="274">
        <v>3</v>
      </c>
      <c r="G1399" s="274" t="s">
        <v>265</v>
      </c>
      <c r="H1399" s="274" t="s">
        <v>1676</v>
      </c>
      <c r="I1399" s="274" t="s">
        <v>21</v>
      </c>
      <c r="J1399" s="274"/>
      <c r="K1399" s="274" t="s">
        <v>726</v>
      </c>
      <c r="L1399" s="274">
        <v>25</v>
      </c>
      <c r="M1399" s="274" t="s">
        <v>1688</v>
      </c>
      <c r="N1399" s="274">
        <v>1100</v>
      </c>
      <c r="O1399" s="274">
        <v>1100</v>
      </c>
      <c r="P1399" s="274">
        <v>4070</v>
      </c>
      <c r="Q1399" s="274">
        <v>2</v>
      </c>
      <c r="R1399" s="274">
        <v>15</v>
      </c>
      <c r="S1399" s="274" t="s">
        <v>354</v>
      </c>
      <c r="T1399" s="274" t="s">
        <v>1680</v>
      </c>
      <c r="U1399" s="274" t="s">
        <v>1684</v>
      </c>
      <c r="V1399" s="274" t="s">
        <v>355</v>
      </c>
      <c r="W1399" s="274" t="s">
        <v>928</v>
      </c>
      <c r="X1399" s="274" t="s">
        <v>928</v>
      </c>
    </row>
    <row r="1400" spans="1:24" ht="13.5" x14ac:dyDescent="0.15">
      <c r="A1400" s="274">
        <v>3731314</v>
      </c>
      <c r="B1400" s="274" t="s">
        <v>1671</v>
      </c>
      <c r="C1400" s="274" t="s">
        <v>1689</v>
      </c>
      <c r="D1400" s="274" t="s">
        <v>1673</v>
      </c>
      <c r="E1400" s="274" t="s">
        <v>1690</v>
      </c>
      <c r="F1400" s="274">
        <v>3</v>
      </c>
      <c r="G1400" s="274" t="s">
        <v>1675</v>
      </c>
      <c r="H1400" s="274" t="s">
        <v>1691</v>
      </c>
      <c r="I1400" s="274" t="s">
        <v>1677</v>
      </c>
      <c r="J1400" s="274"/>
      <c r="K1400" s="274" t="s">
        <v>1692</v>
      </c>
      <c r="L1400" s="274">
        <v>75</v>
      </c>
      <c r="M1400" s="274" t="s">
        <v>1693</v>
      </c>
      <c r="N1400" s="274">
        <v>1040</v>
      </c>
      <c r="O1400" s="274">
        <v>1040</v>
      </c>
      <c r="P1400" s="274">
        <v>4000</v>
      </c>
      <c r="Q1400" s="274">
        <v>1</v>
      </c>
      <c r="R1400" s="274">
        <v>1</v>
      </c>
      <c r="S1400" s="274" t="s">
        <v>354</v>
      </c>
      <c r="T1400" s="274" t="s">
        <v>1680</v>
      </c>
      <c r="U1400" s="274" t="s">
        <v>1684</v>
      </c>
      <c r="V1400" s="274" t="s">
        <v>355</v>
      </c>
      <c r="W1400" s="274" t="s">
        <v>928</v>
      </c>
      <c r="X1400" s="274" t="s">
        <v>928</v>
      </c>
    </row>
    <row r="1401" spans="1:24" ht="13.5" x14ac:dyDescent="0.15">
      <c r="A1401" s="274">
        <v>3731315</v>
      </c>
      <c r="B1401" s="274" t="s">
        <v>1671</v>
      </c>
      <c r="C1401" s="274" t="s">
        <v>1672</v>
      </c>
      <c r="D1401" s="274" t="s">
        <v>1673</v>
      </c>
      <c r="E1401" s="274" t="s">
        <v>32</v>
      </c>
      <c r="F1401" s="274">
        <v>331</v>
      </c>
      <c r="G1401" s="274" t="s">
        <v>1675</v>
      </c>
      <c r="H1401" s="274" t="s">
        <v>1676</v>
      </c>
      <c r="I1401" s="274" t="s">
        <v>21</v>
      </c>
      <c r="J1401" s="274"/>
      <c r="K1401" s="274" t="s">
        <v>33</v>
      </c>
      <c r="L1401" s="274">
        <v>38</v>
      </c>
      <c r="M1401" s="274" t="s">
        <v>1694</v>
      </c>
      <c r="N1401" s="274">
        <v>1580</v>
      </c>
      <c r="O1401" s="274">
        <v>1580</v>
      </c>
      <c r="P1401" s="274">
        <v>6000</v>
      </c>
      <c r="Q1401" s="274">
        <v>2</v>
      </c>
      <c r="R1401" s="274">
        <v>6</v>
      </c>
      <c r="S1401" s="274" t="s">
        <v>354</v>
      </c>
      <c r="T1401" s="274" t="s">
        <v>1680</v>
      </c>
      <c r="U1401" s="274" t="s">
        <v>1695</v>
      </c>
      <c r="V1401" s="274" t="s">
        <v>355</v>
      </c>
      <c r="W1401" s="274" t="s">
        <v>928</v>
      </c>
      <c r="X1401" s="274" t="s">
        <v>928</v>
      </c>
    </row>
    <row r="1402" spans="1:24" ht="13.5" x14ac:dyDescent="0.15">
      <c r="A1402" s="274">
        <v>3731316</v>
      </c>
      <c r="B1402" s="274" t="s">
        <v>351</v>
      </c>
      <c r="C1402" s="274" t="s">
        <v>1672</v>
      </c>
      <c r="D1402" s="274" t="s">
        <v>353</v>
      </c>
      <c r="E1402" s="274" t="s">
        <v>1674</v>
      </c>
      <c r="F1402" s="274">
        <v>331</v>
      </c>
      <c r="G1402" s="274" t="s">
        <v>19</v>
      </c>
      <c r="H1402" s="274" t="s">
        <v>1676</v>
      </c>
      <c r="I1402" s="274" t="s">
        <v>21</v>
      </c>
      <c r="J1402" s="274"/>
      <c r="K1402" s="274" t="s">
        <v>33</v>
      </c>
      <c r="L1402" s="274">
        <v>25</v>
      </c>
      <c r="M1402" s="274" t="s">
        <v>30</v>
      </c>
      <c r="N1402" s="274">
        <v>1330</v>
      </c>
      <c r="O1402" s="274">
        <v>1330</v>
      </c>
      <c r="P1402" s="274">
        <v>6000</v>
      </c>
      <c r="Q1402" s="274">
        <v>2</v>
      </c>
      <c r="R1402" s="274">
        <v>10</v>
      </c>
      <c r="S1402" s="274" t="s">
        <v>354</v>
      </c>
      <c r="T1402" s="274" t="s">
        <v>1680</v>
      </c>
      <c r="U1402" s="274" t="s">
        <v>1695</v>
      </c>
      <c r="V1402" s="274" t="s">
        <v>355</v>
      </c>
      <c r="W1402" s="274" t="s">
        <v>928</v>
      </c>
      <c r="X1402" s="274" t="s">
        <v>928</v>
      </c>
    </row>
    <row r="1403" spans="1:24" ht="13.5" x14ac:dyDescent="0.15">
      <c r="A1403" s="274">
        <v>3731317</v>
      </c>
      <c r="B1403" s="274" t="s">
        <v>351</v>
      </c>
      <c r="C1403" s="274" t="s">
        <v>356</v>
      </c>
      <c r="D1403" s="274" t="s">
        <v>353</v>
      </c>
      <c r="E1403" s="274" t="s">
        <v>32</v>
      </c>
      <c r="F1403" s="274">
        <v>331</v>
      </c>
      <c r="G1403" s="274" t="s">
        <v>1696</v>
      </c>
      <c r="H1403" s="274" t="s">
        <v>1697</v>
      </c>
      <c r="I1403" s="274" t="s">
        <v>1698</v>
      </c>
      <c r="J1403" s="274"/>
      <c r="K1403" s="274" t="s">
        <v>1699</v>
      </c>
      <c r="L1403" s="274">
        <v>38</v>
      </c>
      <c r="M1403" s="274" t="s">
        <v>1700</v>
      </c>
      <c r="N1403" s="274">
        <v>1330</v>
      </c>
      <c r="O1403" s="274">
        <v>1330</v>
      </c>
      <c r="P1403" s="274">
        <v>6000</v>
      </c>
      <c r="Q1403" s="274">
        <v>2</v>
      </c>
      <c r="R1403" s="274">
        <v>26</v>
      </c>
      <c r="S1403" s="274" t="s">
        <v>354</v>
      </c>
      <c r="T1403" s="274" t="s">
        <v>1680</v>
      </c>
      <c r="U1403" s="274" t="s">
        <v>1695</v>
      </c>
      <c r="V1403" s="274" t="s">
        <v>355</v>
      </c>
      <c r="W1403" s="274" t="s">
        <v>928</v>
      </c>
      <c r="X1403" s="274" t="s">
        <v>928</v>
      </c>
    </row>
    <row r="1404" spans="1:24" ht="13.5" x14ac:dyDescent="0.15">
      <c r="A1404" s="274">
        <v>3731318</v>
      </c>
      <c r="B1404" s="274" t="s">
        <v>1701</v>
      </c>
      <c r="C1404" s="274" t="s">
        <v>1702</v>
      </c>
      <c r="D1404" s="274" t="s">
        <v>1703</v>
      </c>
      <c r="E1404" s="274" t="s">
        <v>1704</v>
      </c>
      <c r="F1404" s="274">
        <v>3</v>
      </c>
      <c r="G1404" s="274" t="s">
        <v>1696</v>
      </c>
      <c r="H1404" s="274" t="s">
        <v>20</v>
      </c>
      <c r="I1404" s="274" t="s">
        <v>1698</v>
      </c>
      <c r="J1404" s="274"/>
      <c r="K1404" s="274" t="s">
        <v>1705</v>
      </c>
      <c r="L1404" s="274">
        <v>25</v>
      </c>
      <c r="M1404" s="274" t="s">
        <v>1706</v>
      </c>
      <c r="N1404" s="274">
        <v>1085</v>
      </c>
      <c r="O1404" s="274">
        <v>1080</v>
      </c>
      <c r="P1404" s="274">
        <v>6000</v>
      </c>
      <c r="Q1404" s="274">
        <v>2</v>
      </c>
      <c r="R1404" s="274">
        <v>10</v>
      </c>
      <c r="S1404" s="274" t="s">
        <v>354</v>
      </c>
      <c r="T1404" s="274" t="s">
        <v>1680</v>
      </c>
      <c r="U1404" s="274" t="s">
        <v>1695</v>
      </c>
      <c r="V1404" s="274" t="s">
        <v>355</v>
      </c>
      <c r="W1404" s="274" t="s">
        <v>928</v>
      </c>
      <c r="X1404" s="274" t="s">
        <v>928</v>
      </c>
    </row>
    <row r="1405" spans="1:24" ht="13.5" x14ac:dyDescent="0.15">
      <c r="A1405" s="274">
        <v>3731319</v>
      </c>
      <c r="B1405" s="274" t="s">
        <v>1701</v>
      </c>
      <c r="C1405" s="274" t="s">
        <v>1702</v>
      </c>
      <c r="D1405" s="274" t="s">
        <v>1703</v>
      </c>
      <c r="E1405" s="274" t="s">
        <v>1704</v>
      </c>
      <c r="F1405" s="274">
        <v>3</v>
      </c>
      <c r="G1405" s="274" t="s">
        <v>1696</v>
      </c>
      <c r="H1405" s="274" t="s">
        <v>20</v>
      </c>
      <c r="I1405" s="274" t="s">
        <v>1698</v>
      </c>
      <c r="J1405" s="274"/>
      <c r="K1405" s="274" t="s">
        <v>42</v>
      </c>
      <c r="L1405" s="274">
        <v>25</v>
      </c>
      <c r="M1405" s="274" t="s">
        <v>43</v>
      </c>
      <c r="N1405" s="274">
        <v>1045</v>
      </c>
      <c r="O1405" s="274">
        <v>1040</v>
      </c>
      <c r="P1405" s="274">
        <v>6000</v>
      </c>
      <c r="Q1405" s="274">
        <v>2</v>
      </c>
      <c r="R1405" s="274">
        <v>14</v>
      </c>
      <c r="S1405" s="274" t="s">
        <v>354</v>
      </c>
      <c r="T1405" s="274" t="s">
        <v>1680</v>
      </c>
      <c r="U1405" s="274" t="s">
        <v>1695</v>
      </c>
      <c r="V1405" s="274" t="s">
        <v>355</v>
      </c>
      <c r="W1405" s="274" t="s">
        <v>928</v>
      </c>
      <c r="X1405" s="274" t="s">
        <v>928</v>
      </c>
    </row>
    <row r="1406" spans="1:24" ht="13.5" x14ac:dyDescent="0.15">
      <c r="A1406" s="274">
        <v>3731320</v>
      </c>
      <c r="B1406" s="274" t="s">
        <v>1701</v>
      </c>
      <c r="C1406" s="274" t="s">
        <v>1707</v>
      </c>
      <c r="D1406" s="274" t="s">
        <v>1703</v>
      </c>
      <c r="E1406" s="274" t="s">
        <v>1708</v>
      </c>
      <c r="F1406" s="274">
        <v>3</v>
      </c>
      <c r="G1406" s="274" t="s">
        <v>1696</v>
      </c>
      <c r="H1406" s="274" t="s">
        <v>1709</v>
      </c>
      <c r="I1406" s="274" t="s">
        <v>1698</v>
      </c>
      <c r="J1406" s="274"/>
      <c r="K1406" s="274" t="s">
        <v>1710</v>
      </c>
      <c r="L1406" s="274">
        <v>38</v>
      </c>
      <c r="M1406" s="274" t="s">
        <v>1711</v>
      </c>
      <c r="N1406" s="274">
        <v>1037</v>
      </c>
      <c r="O1406" s="274">
        <v>1030</v>
      </c>
      <c r="P1406" s="274">
        <v>8500</v>
      </c>
      <c r="Q1406" s="274">
        <v>2</v>
      </c>
      <c r="R1406" s="274">
        <v>30</v>
      </c>
      <c r="S1406" s="274" t="s">
        <v>354</v>
      </c>
      <c r="T1406" s="274" t="s">
        <v>1680</v>
      </c>
      <c r="U1406" s="274" t="s">
        <v>1695</v>
      </c>
      <c r="V1406" s="274" t="s">
        <v>355</v>
      </c>
      <c r="W1406" s="274" t="s">
        <v>928</v>
      </c>
      <c r="X1406" s="274" t="s">
        <v>928</v>
      </c>
    </row>
    <row r="1407" spans="1:24" ht="13.5" x14ac:dyDescent="0.15">
      <c r="A1407" s="274">
        <v>3731321</v>
      </c>
      <c r="B1407" s="274" t="s">
        <v>1701</v>
      </c>
      <c r="C1407" s="274" t="s">
        <v>1707</v>
      </c>
      <c r="D1407" s="274" t="s">
        <v>1703</v>
      </c>
      <c r="E1407" s="274" t="s">
        <v>1708</v>
      </c>
      <c r="F1407" s="274">
        <v>3</v>
      </c>
      <c r="G1407" s="274" t="s">
        <v>1696</v>
      </c>
      <c r="H1407" s="274" t="s">
        <v>1697</v>
      </c>
      <c r="I1407" s="274" t="s">
        <v>1698</v>
      </c>
      <c r="J1407" s="274"/>
      <c r="K1407" s="274" t="s">
        <v>1710</v>
      </c>
      <c r="L1407" s="274">
        <v>38</v>
      </c>
      <c r="M1407" s="274" t="s">
        <v>1712</v>
      </c>
      <c r="N1407" s="274">
        <v>1037</v>
      </c>
      <c r="O1407" s="274">
        <v>1030</v>
      </c>
      <c r="P1407" s="274">
        <v>8500</v>
      </c>
      <c r="Q1407" s="274">
        <v>2</v>
      </c>
      <c r="R1407" s="274">
        <v>4</v>
      </c>
      <c r="S1407" s="274" t="s">
        <v>354</v>
      </c>
      <c r="T1407" s="274" t="s">
        <v>1680</v>
      </c>
      <c r="U1407" s="274" t="s">
        <v>1695</v>
      </c>
      <c r="V1407" s="274" t="s">
        <v>355</v>
      </c>
      <c r="W1407" s="274" t="s">
        <v>928</v>
      </c>
      <c r="X1407" s="274" t="s">
        <v>928</v>
      </c>
    </row>
    <row r="1408" spans="1:24" ht="13.5" x14ac:dyDescent="0.15">
      <c r="A1408" s="274">
        <v>3731322</v>
      </c>
      <c r="B1408" s="274" t="s">
        <v>1701</v>
      </c>
      <c r="C1408" s="274" t="s">
        <v>356</v>
      </c>
      <c r="D1408" s="274" t="s">
        <v>1703</v>
      </c>
      <c r="E1408" s="274" t="s">
        <v>1713</v>
      </c>
      <c r="F1408" s="274">
        <v>3</v>
      </c>
      <c r="G1408" s="274" t="s">
        <v>1696</v>
      </c>
      <c r="H1408" s="274" t="s">
        <v>1697</v>
      </c>
      <c r="I1408" s="274" t="s">
        <v>1698</v>
      </c>
      <c r="J1408" s="274"/>
      <c r="K1408" s="274" t="s">
        <v>36</v>
      </c>
      <c r="L1408" s="274">
        <v>25</v>
      </c>
      <c r="M1408" s="274" t="s">
        <v>37</v>
      </c>
      <c r="N1408" s="274">
        <v>890</v>
      </c>
      <c r="O1408" s="274">
        <v>890</v>
      </c>
      <c r="P1408" s="274">
        <v>3800</v>
      </c>
      <c r="Q1408" s="274">
        <v>2</v>
      </c>
      <c r="R1408" s="274">
        <v>12</v>
      </c>
      <c r="S1408" s="274" t="s">
        <v>354</v>
      </c>
      <c r="T1408" s="274" t="s">
        <v>1680</v>
      </c>
      <c r="U1408" s="274" t="s">
        <v>1695</v>
      </c>
      <c r="V1408" s="274" t="s">
        <v>355</v>
      </c>
      <c r="W1408" s="274" t="s">
        <v>928</v>
      </c>
      <c r="X1408" s="274" t="s">
        <v>928</v>
      </c>
    </row>
    <row r="1409" spans="1:24" ht="13.5" x14ac:dyDescent="0.15">
      <c r="A1409" s="274">
        <v>3731323</v>
      </c>
      <c r="B1409" s="274" t="s">
        <v>1701</v>
      </c>
      <c r="C1409" s="274" t="s">
        <v>1714</v>
      </c>
      <c r="D1409" s="274" t="s">
        <v>1703</v>
      </c>
      <c r="E1409" s="274" t="s">
        <v>1715</v>
      </c>
      <c r="F1409" s="274">
        <v>331</v>
      </c>
      <c r="G1409" s="274" t="s">
        <v>19</v>
      </c>
      <c r="H1409" s="274" t="s">
        <v>1697</v>
      </c>
      <c r="I1409" s="274" t="s">
        <v>1698</v>
      </c>
      <c r="J1409" s="274" t="s">
        <v>928</v>
      </c>
      <c r="K1409" s="274" t="s">
        <v>1716</v>
      </c>
      <c r="L1409" s="274">
        <v>25</v>
      </c>
      <c r="M1409" s="274" t="s">
        <v>1717</v>
      </c>
      <c r="N1409" s="274">
        <v>1425</v>
      </c>
      <c r="O1409" s="274">
        <v>1420</v>
      </c>
      <c r="P1409" s="274">
        <v>12400</v>
      </c>
      <c r="Q1409" s="274">
        <v>2</v>
      </c>
      <c r="R1409" s="274">
        <v>8</v>
      </c>
      <c r="S1409" s="274" t="s">
        <v>354</v>
      </c>
      <c r="T1409" s="274" t="s">
        <v>1680</v>
      </c>
      <c r="U1409" s="274" t="s">
        <v>1718</v>
      </c>
      <c r="V1409" s="274" t="s">
        <v>355</v>
      </c>
      <c r="W1409" s="274" t="s">
        <v>928</v>
      </c>
      <c r="X1409" s="274" t="s">
        <v>928</v>
      </c>
    </row>
    <row r="1410" spans="1:24" ht="13.5" x14ac:dyDescent="0.15">
      <c r="A1410" s="274">
        <v>3731324</v>
      </c>
      <c r="B1410" s="274" t="s">
        <v>1701</v>
      </c>
      <c r="C1410" s="274" t="s">
        <v>1707</v>
      </c>
      <c r="D1410" s="274" t="s">
        <v>1703</v>
      </c>
      <c r="E1410" s="274" t="s">
        <v>130</v>
      </c>
      <c r="F1410" s="274">
        <v>331</v>
      </c>
      <c r="G1410" s="274" t="s">
        <v>1696</v>
      </c>
      <c r="H1410" s="274" t="s">
        <v>1697</v>
      </c>
      <c r="I1410" s="274" t="s">
        <v>1698</v>
      </c>
      <c r="J1410" s="274"/>
      <c r="K1410" s="274" t="s">
        <v>435</v>
      </c>
      <c r="L1410" s="274">
        <v>25</v>
      </c>
      <c r="M1410" s="274" t="s">
        <v>1719</v>
      </c>
      <c r="N1410" s="274">
        <v>1410</v>
      </c>
      <c r="O1410" s="274">
        <v>1410</v>
      </c>
      <c r="P1410" s="274">
        <v>6000</v>
      </c>
      <c r="Q1410" s="274">
        <v>2</v>
      </c>
      <c r="R1410" s="274">
        <v>2</v>
      </c>
      <c r="S1410" s="274" t="s">
        <v>354</v>
      </c>
      <c r="T1410" s="274" t="s">
        <v>1680</v>
      </c>
      <c r="U1410" s="274" t="s">
        <v>1718</v>
      </c>
      <c r="V1410" s="274" t="s">
        <v>355</v>
      </c>
      <c r="W1410" s="274" t="s">
        <v>928</v>
      </c>
      <c r="X1410" s="274" t="s">
        <v>928</v>
      </c>
    </row>
    <row r="1411" spans="1:24" ht="13.5" x14ac:dyDescent="0.15">
      <c r="A1411" s="274">
        <v>3731325</v>
      </c>
      <c r="B1411" s="274" t="s">
        <v>1701</v>
      </c>
      <c r="C1411" s="274" t="s">
        <v>1720</v>
      </c>
      <c r="D1411" s="274" t="s">
        <v>1703</v>
      </c>
      <c r="E1411" s="274" t="s">
        <v>1721</v>
      </c>
      <c r="F1411" s="274">
        <v>3</v>
      </c>
      <c r="G1411" s="274" t="s">
        <v>1696</v>
      </c>
      <c r="H1411" s="274" t="s">
        <v>1697</v>
      </c>
      <c r="I1411" s="274" t="s">
        <v>1698</v>
      </c>
      <c r="J1411" s="274"/>
      <c r="K1411" s="274" t="s">
        <v>1716</v>
      </c>
      <c r="L1411" s="274">
        <v>38</v>
      </c>
      <c r="M1411" s="274" t="s">
        <v>368</v>
      </c>
      <c r="N1411" s="274">
        <v>1415</v>
      </c>
      <c r="O1411" s="274">
        <v>1410</v>
      </c>
      <c r="P1411" s="274">
        <v>8000</v>
      </c>
      <c r="Q1411" s="274">
        <v>2</v>
      </c>
      <c r="R1411" s="274">
        <v>10</v>
      </c>
      <c r="S1411" s="274" t="s">
        <v>354</v>
      </c>
      <c r="T1411" s="274" t="s">
        <v>1680</v>
      </c>
      <c r="U1411" s="274" t="s">
        <v>1722</v>
      </c>
      <c r="V1411" s="274" t="s">
        <v>355</v>
      </c>
      <c r="W1411" s="274" t="s">
        <v>928</v>
      </c>
      <c r="X1411" s="274" t="s">
        <v>928</v>
      </c>
    </row>
    <row r="1412" spans="1:24" ht="13.5" x14ac:dyDescent="0.15">
      <c r="A1412" s="274">
        <v>3731326</v>
      </c>
      <c r="B1412" s="274" t="s">
        <v>1701</v>
      </c>
      <c r="C1412" s="274" t="s">
        <v>1707</v>
      </c>
      <c r="D1412" s="274" t="s">
        <v>1703</v>
      </c>
      <c r="E1412" s="274" t="s">
        <v>1723</v>
      </c>
      <c r="F1412" s="274">
        <v>3</v>
      </c>
      <c r="G1412" s="274" t="s">
        <v>1696</v>
      </c>
      <c r="H1412" s="274" t="s">
        <v>1697</v>
      </c>
      <c r="I1412" s="274" t="s">
        <v>1698</v>
      </c>
      <c r="J1412" s="274" t="s">
        <v>928</v>
      </c>
      <c r="K1412" s="274" t="s">
        <v>1724</v>
      </c>
      <c r="L1412" s="274">
        <v>25</v>
      </c>
      <c r="M1412" s="274" t="s">
        <v>1725</v>
      </c>
      <c r="N1412" s="274">
        <v>1240</v>
      </c>
      <c r="O1412" s="274">
        <v>1240</v>
      </c>
      <c r="P1412" s="274">
        <v>6000</v>
      </c>
      <c r="Q1412" s="274">
        <v>2</v>
      </c>
      <c r="R1412" s="274">
        <v>38</v>
      </c>
      <c r="S1412" s="274" t="s">
        <v>354</v>
      </c>
      <c r="T1412" s="274" t="s">
        <v>1680</v>
      </c>
      <c r="U1412" s="274" t="s">
        <v>1726</v>
      </c>
      <c r="V1412" s="274" t="s">
        <v>355</v>
      </c>
      <c r="W1412" s="274" t="s">
        <v>928</v>
      </c>
      <c r="X1412" s="274" t="s">
        <v>928</v>
      </c>
    </row>
    <row r="1413" spans="1:24" ht="13.5" x14ac:dyDescent="0.15">
      <c r="A1413" s="274">
        <v>3731327</v>
      </c>
      <c r="B1413" s="274" t="s">
        <v>351</v>
      </c>
      <c r="C1413" s="274" t="s">
        <v>1707</v>
      </c>
      <c r="D1413" s="274" t="s">
        <v>1703</v>
      </c>
      <c r="E1413" s="274" t="s">
        <v>1723</v>
      </c>
      <c r="F1413" s="274">
        <v>3</v>
      </c>
      <c r="G1413" s="274" t="s">
        <v>1696</v>
      </c>
      <c r="H1413" s="274" t="s">
        <v>20</v>
      </c>
      <c r="I1413" s="274" t="s">
        <v>1698</v>
      </c>
      <c r="J1413" s="274"/>
      <c r="K1413" s="274" t="s">
        <v>1724</v>
      </c>
      <c r="L1413" s="274">
        <v>38</v>
      </c>
      <c r="M1413" s="274" t="s">
        <v>367</v>
      </c>
      <c r="N1413" s="274">
        <v>1240</v>
      </c>
      <c r="O1413" s="274">
        <v>1240</v>
      </c>
      <c r="P1413" s="274">
        <v>6000</v>
      </c>
      <c r="Q1413" s="274">
        <v>2</v>
      </c>
      <c r="R1413" s="274">
        <v>9</v>
      </c>
      <c r="S1413" s="274" t="s">
        <v>354</v>
      </c>
      <c r="T1413" s="274" t="s">
        <v>1680</v>
      </c>
      <c r="U1413" s="274" t="s">
        <v>1726</v>
      </c>
      <c r="V1413" s="274" t="s">
        <v>355</v>
      </c>
      <c r="W1413" s="274" t="s">
        <v>928</v>
      </c>
      <c r="X1413" s="274" t="s">
        <v>928</v>
      </c>
    </row>
    <row r="1414" spans="1:24" ht="13.5" x14ac:dyDescent="0.15">
      <c r="A1414" s="274">
        <v>3731328</v>
      </c>
      <c r="B1414" s="274" t="s">
        <v>1701</v>
      </c>
      <c r="C1414" s="274" t="s">
        <v>1714</v>
      </c>
      <c r="D1414" s="274" t="s">
        <v>1703</v>
      </c>
      <c r="E1414" s="274" t="s">
        <v>371</v>
      </c>
      <c r="F1414" s="274">
        <v>330</v>
      </c>
      <c r="G1414" s="274" t="s">
        <v>1696</v>
      </c>
      <c r="H1414" s="274" t="s">
        <v>1697</v>
      </c>
      <c r="I1414" s="274" t="s">
        <v>1698</v>
      </c>
      <c r="J1414" s="274"/>
      <c r="K1414" s="274" t="s">
        <v>1716</v>
      </c>
      <c r="L1414" s="274">
        <v>25</v>
      </c>
      <c r="M1414" s="274" t="s">
        <v>1717</v>
      </c>
      <c r="N1414" s="274">
        <v>1155</v>
      </c>
      <c r="O1414" s="274">
        <v>1150</v>
      </c>
      <c r="P1414" s="274">
        <v>4200</v>
      </c>
      <c r="Q1414" s="274">
        <v>2</v>
      </c>
      <c r="R1414" s="274">
        <v>3</v>
      </c>
      <c r="S1414" s="274" t="s">
        <v>354</v>
      </c>
      <c r="T1414" s="274" t="s">
        <v>1680</v>
      </c>
      <c r="U1414" s="274" t="s">
        <v>1726</v>
      </c>
      <c r="V1414" s="274" t="s">
        <v>355</v>
      </c>
      <c r="W1414" s="274" t="s">
        <v>928</v>
      </c>
      <c r="X1414" s="274" t="s">
        <v>928</v>
      </c>
    </row>
    <row r="1415" spans="1:24" ht="13.5" x14ac:dyDescent="0.15">
      <c r="A1415" s="274">
        <v>3731329</v>
      </c>
      <c r="B1415" s="274" t="s">
        <v>1701</v>
      </c>
      <c r="C1415" s="274" t="s">
        <v>1707</v>
      </c>
      <c r="D1415" s="274" t="s">
        <v>1703</v>
      </c>
      <c r="E1415" s="274" t="s">
        <v>115</v>
      </c>
      <c r="F1415" s="274">
        <v>3</v>
      </c>
      <c r="G1415" s="274" t="s">
        <v>1696</v>
      </c>
      <c r="H1415" s="274" t="s">
        <v>20</v>
      </c>
      <c r="I1415" s="274" t="s">
        <v>1698</v>
      </c>
      <c r="J1415" s="274"/>
      <c r="K1415" s="274" t="s">
        <v>1727</v>
      </c>
      <c r="L1415" s="274">
        <v>38</v>
      </c>
      <c r="M1415" s="274" t="s">
        <v>1728</v>
      </c>
      <c r="N1415" s="274">
        <v>1135</v>
      </c>
      <c r="O1415" s="274">
        <v>1130</v>
      </c>
      <c r="P1415" s="274">
        <v>6000</v>
      </c>
      <c r="Q1415" s="274">
        <v>2</v>
      </c>
      <c r="R1415" s="274">
        <v>2</v>
      </c>
      <c r="S1415" s="274" t="s">
        <v>354</v>
      </c>
      <c r="T1415" s="274" t="s">
        <v>1680</v>
      </c>
      <c r="U1415" s="274" t="s">
        <v>1726</v>
      </c>
      <c r="V1415" s="274" t="s">
        <v>355</v>
      </c>
      <c r="W1415" s="274" t="s">
        <v>928</v>
      </c>
      <c r="X1415" s="274" t="s">
        <v>928</v>
      </c>
    </row>
    <row r="1416" spans="1:24" ht="13.5" x14ac:dyDescent="0.15">
      <c r="A1416" s="274">
        <v>3731330</v>
      </c>
      <c r="B1416" s="274" t="s">
        <v>1729</v>
      </c>
      <c r="C1416" s="274" t="s">
        <v>1730</v>
      </c>
      <c r="D1416" s="274" t="s">
        <v>1703</v>
      </c>
      <c r="E1416" s="274"/>
      <c r="F1416" s="274">
        <v>3</v>
      </c>
      <c r="G1416" s="274" t="s">
        <v>1731</v>
      </c>
      <c r="H1416" s="274" t="s">
        <v>20</v>
      </c>
      <c r="I1416" s="274" t="s">
        <v>21</v>
      </c>
      <c r="J1416" s="274" t="s">
        <v>928</v>
      </c>
      <c r="K1416" s="274" t="s">
        <v>118</v>
      </c>
      <c r="L1416" s="274">
        <v>25</v>
      </c>
      <c r="M1416" s="274" t="s">
        <v>119</v>
      </c>
      <c r="N1416" s="274">
        <v>1100</v>
      </c>
      <c r="O1416" s="274">
        <v>1100</v>
      </c>
      <c r="P1416" s="274">
        <v>12000</v>
      </c>
      <c r="Q1416" s="274">
        <v>2</v>
      </c>
      <c r="R1416" s="274">
        <v>20</v>
      </c>
      <c r="S1416" s="274" t="s">
        <v>354</v>
      </c>
      <c r="T1416" s="274" t="s">
        <v>1680</v>
      </c>
      <c r="U1416" s="274" t="s">
        <v>1726</v>
      </c>
      <c r="V1416" s="274" t="s">
        <v>355</v>
      </c>
      <c r="W1416" s="274" t="s">
        <v>928</v>
      </c>
      <c r="X1416" s="274" t="s">
        <v>928</v>
      </c>
    </row>
    <row r="1417" spans="1:24" ht="13.5" x14ac:dyDescent="0.15">
      <c r="A1417" s="274">
        <v>3731331</v>
      </c>
      <c r="B1417" s="274" t="s">
        <v>351</v>
      </c>
      <c r="C1417" s="274" t="s">
        <v>356</v>
      </c>
      <c r="D1417" s="274" t="s">
        <v>353</v>
      </c>
      <c r="E1417" s="274" t="s">
        <v>17</v>
      </c>
      <c r="F1417" s="274">
        <v>3</v>
      </c>
      <c r="G1417" s="274" t="s">
        <v>19</v>
      </c>
      <c r="H1417" s="274" t="s">
        <v>20</v>
      </c>
      <c r="I1417" s="274" t="s">
        <v>21</v>
      </c>
      <c r="J1417" s="274" t="s">
        <v>928</v>
      </c>
      <c r="K1417" s="274" t="s">
        <v>104</v>
      </c>
      <c r="L1417" s="274">
        <v>25</v>
      </c>
      <c r="M1417" s="274" t="s">
        <v>375</v>
      </c>
      <c r="N1417" s="274">
        <v>1100</v>
      </c>
      <c r="O1417" s="274">
        <v>1100</v>
      </c>
      <c r="P1417" s="274">
        <v>12000</v>
      </c>
      <c r="Q1417" s="274">
        <v>2</v>
      </c>
      <c r="R1417" s="274">
        <v>3</v>
      </c>
      <c r="S1417" s="274" t="s">
        <v>354</v>
      </c>
      <c r="T1417" s="274" t="s">
        <v>1680</v>
      </c>
      <c r="U1417" s="274" t="s">
        <v>1726</v>
      </c>
      <c r="V1417" s="274" t="s">
        <v>355</v>
      </c>
      <c r="W1417" s="274" t="s">
        <v>928</v>
      </c>
      <c r="X1417" s="274" t="s">
        <v>928</v>
      </c>
    </row>
    <row r="1418" spans="1:24" ht="13.5" x14ac:dyDescent="0.15">
      <c r="A1418" s="274">
        <v>3731332</v>
      </c>
      <c r="B1418" s="274" t="s">
        <v>351</v>
      </c>
      <c r="C1418" s="274" t="s">
        <v>358</v>
      </c>
      <c r="D1418" s="274" t="s">
        <v>353</v>
      </c>
      <c r="E1418" s="274" t="s">
        <v>110</v>
      </c>
      <c r="F1418" s="274">
        <v>331</v>
      </c>
      <c r="G1418" s="274" t="s">
        <v>19</v>
      </c>
      <c r="H1418" s="274" t="s">
        <v>20</v>
      </c>
      <c r="I1418" s="274" t="s">
        <v>21</v>
      </c>
      <c r="J1418" s="274" t="s">
        <v>928</v>
      </c>
      <c r="K1418" s="274" t="s">
        <v>112</v>
      </c>
      <c r="L1418" s="274">
        <v>25</v>
      </c>
      <c r="M1418" s="274" t="s">
        <v>357</v>
      </c>
      <c r="N1418" s="274">
        <v>450</v>
      </c>
      <c r="O1418" s="274">
        <v>450</v>
      </c>
      <c r="P1418" s="274">
        <v>4000</v>
      </c>
      <c r="Q1418" s="274">
        <v>2</v>
      </c>
      <c r="R1418" s="274">
        <v>12</v>
      </c>
      <c r="S1418" s="274" t="s">
        <v>354</v>
      </c>
      <c r="T1418" s="274" t="s">
        <v>1680</v>
      </c>
      <c r="U1418" s="274" t="s">
        <v>1726</v>
      </c>
      <c r="V1418" s="274" t="s">
        <v>355</v>
      </c>
      <c r="W1418" s="274" t="s">
        <v>928</v>
      </c>
      <c r="X1418" s="274" t="s">
        <v>928</v>
      </c>
    </row>
    <row r="1419" spans="1:24" ht="13.5" x14ac:dyDescent="0.15">
      <c r="A1419" s="274">
        <v>3731333</v>
      </c>
      <c r="B1419" s="274" t="s">
        <v>351</v>
      </c>
      <c r="C1419" s="274" t="s">
        <v>356</v>
      </c>
      <c r="D1419" s="274" t="s">
        <v>353</v>
      </c>
      <c r="E1419" s="274" t="s">
        <v>106</v>
      </c>
      <c r="F1419" s="274">
        <v>3</v>
      </c>
      <c r="G1419" s="274" t="s">
        <v>19</v>
      </c>
      <c r="H1419" s="274" t="s">
        <v>20</v>
      </c>
      <c r="I1419" s="274" t="s">
        <v>21</v>
      </c>
      <c r="J1419" s="274" t="s">
        <v>928</v>
      </c>
      <c r="K1419" s="274" t="s">
        <v>107</v>
      </c>
      <c r="L1419" s="274">
        <v>25</v>
      </c>
      <c r="M1419" s="274" t="s">
        <v>367</v>
      </c>
      <c r="N1419" s="274">
        <v>1040</v>
      </c>
      <c r="O1419" s="274">
        <v>1040</v>
      </c>
      <c r="P1419" s="274">
        <v>6000</v>
      </c>
      <c r="Q1419" s="274">
        <v>2</v>
      </c>
      <c r="R1419" s="274">
        <v>34</v>
      </c>
      <c r="S1419" s="274" t="s">
        <v>354</v>
      </c>
      <c r="T1419" s="274" t="s">
        <v>1680</v>
      </c>
      <c r="U1419" s="274" t="s">
        <v>1726</v>
      </c>
      <c r="V1419" s="274" t="s">
        <v>355</v>
      </c>
      <c r="W1419" s="274" t="s">
        <v>928</v>
      </c>
      <c r="X1419" s="274" t="s">
        <v>928</v>
      </c>
    </row>
    <row r="1420" spans="1:24" ht="13.5" x14ac:dyDescent="0.15">
      <c r="A1420" s="274">
        <v>3731334</v>
      </c>
      <c r="B1420" s="274" t="s">
        <v>351</v>
      </c>
      <c r="C1420" s="274" t="s">
        <v>352</v>
      </c>
      <c r="D1420" s="274" t="s">
        <v>353</v>
      </c>
      <c r="E1420" s="274" t="s">
        <v>116</v>
      </c>
      <c r="F1420" s="274">
        <v>3</v>
      </c>
      <c r="G1420" s="274" t="s">
        <v>19</v>
      </c>
      <c r="H1420" s="274" t="s">
        <v>20</v>
      </c>
      <c r="I1420" s="274" t="s">
        <v>21</v>
      </c>
      <c r="J1420" s="274" t="s">
        <v>928</v>
      </c>
      <c r="K1420" s="274" t="s">
        <v>118</v>
      </c>
      <c r="L1420" s="274">
        <v>38</v>
      </c>
      <c r="M1420" s="274" t="s">
        <v>368</v>
      </c>
      <c r="N1420" s="274">
        <v>1005</v>
      </c>
      <c r="O1420" s="274">
        <v>1000</v>
      </c>
      <c r="P1420" s="274">
        <v>8000</v>
      </c>
      <c r="Q1420" s="274">
        <v>2</v>
      </c>
      <c r="R1420" s="274">
        <v>10</v>
      </c>
      <c r="S1420" s="274" t="s">
        <v>354</v>
      </c>
      <c r="T1420" s="274" t="s">
        <v>1680</v>
      </c>
      <c r="U1420" s="274" t="s">
        <v>1722</v>
      </c>
      <c r="V1420" s="274" t="s">
        <v>355</v>
      </c>
      <c r="W1420" s="274" t="s">
        <v>928</v>
      </c>
      <c r="X1420" s="274" t="s">
        <v>928</v>
      </c>
    </row>
    <row r="1421" spans="1:24" ht="13.5" x14ac:dyDescent="0.15">
      <c r="A1421" s="274">
        <v>3731335</v>
      </c>
      <c r="B1421" s="274" t="s">
        <v>351</v>
      </c>
      <c r="C1421" s="274" t="s">
        <v>358</v>
      </c>
      <c r="D1421" s="274" t="s">
        <v>353</v>
      </c>
      <c r="E1421" s="274" t="s">
        <v>61</v>
      </c>
      <c r="F1421" s="274">
        <v>331</v>
      </c>
      <c r="G1421" s="274" t="s">
        <v>19</v>
      </c>
      <c r="H1421" s="274" t="s">
        <v>20</v>
      </c>
      <c r="I1421" s="274" t="s">
        <v>21</v>
      </c>
      <c r="J1421" s="274" t="s">
        <v>928</v>
      </c>
      <c r="K1421" s="274" t="s">
        <v>62</v>
      </c>
      <c r="L1421" s="274">
        <v>38</v>
      </c>
      <c r="M1421" s="274" t="s">
        <v>63</v>
      </c>
      <c r="N1421" s="274">
        <v>1585</v>
      </c>
      <c r="O1421" s="274">
        <v>1580</v>
      </c>
      <c r="P1421" s="274">
        <v>4000</v>
      </c>
      <c r="Q1421" s="274">
        <v>2</v>
      </c>
      <c r="R1421" s="274">
        <v>3</v>
      </c>
      <c r="S1421" s="274" t="s">
        <v>354</v>
      </c>
      <c r="T1421" s="274" t="s">
        <v>1680</v>
      </c>
      <c r="U1421" s="274" t="s">
        <v>1726</v>
      </c>
      <c r="V1421" s="274" t="s">
        <v>355</v>
      </c>
      <c r="W1421" s="274" t="s">
        <v>928</v>
      </c>
      <c r="X1421" s="274" t="s">
        <v>928</v>
      </c>
    </row>
    <row r="1422" spans="1:24" ht="13.5" x14ac:dyDescent="0.15">
      <c r="A1422" s="274">
        <v>3731336</v>
      </c>
      <c r="B1422" s="274" t="s">
        <v>351</v>
      </c>
      <c r="C1422" s="274" t="s">
        <v>363</v>
      </c>
      <c r="D1422" s="274" t="s">
        <v>353</v>
      </c>
      <c r="E1422" s="274" t="s">
        <v>65</v>
      </c>
      <c r="F1422" s="274">
        <v>3321</v>
      </c>
      <c r="G1422" s="274" t="s">
        <v>19</v>
      </c>
      <c r="H1422" s="274" t="s">
        <v>20</v>
      </c>
      <c r="I1422" s="274" t="s">
        <v>21</v>
      </c>
      <c r="J1422" s="274" t="s">
        <v>928</v>
      </c>
      <c r="K1422" s="274" t="s">
        <v>67</v>
      </c>
      <c r="L1422" s="274">
        <v>38</v>
      </c>
      <c r="M1422" s="274" t="s">
        <v>68</v>
      </c>
      <c r="N1422" s="274">
        <v>1336</v>
      </c>
      <c r="O1422" s="274">
        <v>1325</v>
      </c>
      <c r="P1422" s="274">
        <v>12000</v>
      </c>
      <c r="Q1422" s="274">
        <v>2</v>
      </c>
      <c r="R1422" s="274">
        <v>30</v>
      </c>
      <c r="S1422" s="274" t="s">
        <v>354</v>
      </c>
      <c r="T1422" s="274" t="s">
        <v>1680</v>
      </c>
      <c r="U1422" s="274" t="s">
        <v>1732</v>
      </c>
      <c r="V1422" s="274" t="s">
        <v>355</v>
      </c>
      <c r="W1422" s="274" t="s">
        <v>928</v>
      </c>
      <c r="X1422" s="274" t="s">
        <v>928</v>
      </c>
    </row>
    <row r="1423" spans="1:24" ht="13.5" x14ac:dyDescent="0.15">
      <c r="A1423" s="274">
        <v>3731337</v>
      </c>
      <c r="B1423" s="274" t="s">
        <v>351</v>
      </c>
      <c r="C1423" s="274" t="s">
        <v>358</v>
      </c>
      <c r="D1423" s="274" t="s">
        <v>353</v>
      </c>
      <c r="E1423" s="274" t="s">
        <v>73</v>
      </c>
      <c r="F1423" s="274">
        <v>331</v>
      </c>
      <c r="G1423" s="274" t="s">
        <v>19</v>
      </c>
      <c r="H1423" s="274" t="s">
        <v>20</v>
      </c>
      <c r="I1423" s="274" t="s">
        <v>21</v>
      </c>
      <c r="J1423" s="274" t="s">
        <v>928</v>
      </c>
      <c r="K1423" s="274" t="s">
        <v>74</v>
      </c>
      <c r="L1423" s="274">
        <v>38</v>
      </c>
      <c r="M1423" s="274" t="s">
        <v>365</v>
      </c>
      <c r="N1423" s="274">
        <v>415</v>
      </c>
      <c r="O1423" s="274">
        <v>415</v>
      </c>
      <c r="P1423" s="274">
        <v>1950</v>
      </c>
      <c r="Q1423" s="274">
        <v>2</v>
      </c>
      <c r="R1423" s="274">
        <v>18</v>
      </c>
      <c r="S1423" s="274" t="s">
        <v>354</v>
      </c>
      <c r="T1423" s="274" t="s">
        <v>1680</v>
      </c>
      <c r="U1423" s="274" t="s">
        <v>1732</v>
      </c>
      <c r="V1423" s="274" t="s">
        <v>355</v>
      </c>
      <c r="W1423" s="274" t="s">
        <v>928</v>
      </c>
      <c r="X1423" s="274" t="s">
        <v>928</v>
      </c>
    </row>
    <row r="1424" spans="1:24" ht="13.5" x14ac:dyDescent="0.15">
      <c r="A1424" s="274">
        <v>3731338</v>
      </c>
      <c r="B1424" s="274" t="s">
        <v>351</v>
      </c>
      <c r="C1424" s="274" t="s">
        <v>358</v>
      </c>
      <c r="D1424" s="274" t="s">
        <v>353</v>
      </c>
      <c r="E1424" s="274" t="s">
        <v>61</v>
      </c>
      <c r="F1424" s="274">
        <v>331</v>
      </c>
      <c r="G1424" s="274" t="s">
        <v>19</v>
      </c>
      <c r="H1424" s="274" t="s">
        <v>20</v>
      </c>
      <c r="I1424" s="274" t="s">
        <v>21</v>
      </c>
      <c r="J1424" s="274" t="s">
        <v>928</v>
      </c>
      <c r="K1424" s="274" t="s">
        <v>62</v>
      </c>
      <c r="L1424" s="274">
        <v>38</v>
      </c>
      <c r="M1424" s="274" t="s">
        <v>63</v>
      </c>
      <c r="N1424" s="274">
        <v>1255</v>
      </c>
      <c r="O1424" s="274">
        <v>1250</v>
      </c>
      <c r="P1424" s="274">
        <v>6000</v>
      </c>
      <c r="Q1424" s="274">
        <v>2</v>
      </c>
      <c r="R1424" s="274">
        <v>24</v>
      </c>
      <c r="S1424" s="274" t="s">
        <v>354</v>
      </c>
      <c r="T1424" s="274" t="s">
        <v>1680</v>
      </c>
      <c r="U1424" s="274" t="s">
        <v>1732</v>
      </c>
      <c r="V1424" s="274" t="s">
        <v>355</v>
      </c>
      <c r="W1424" s="274" t="s">
        <v>928</v>
      </c>
      <c r="X1424" s="274" t="s">
        <v>928</v>
      </c>
    </row>
    <row r="1425" spans="1:24" ht="13.5" x14ac:dyDescent="0.15">
      <c r="A1425" s="274">
        <v>3731339</v>
      </c>
      <c r="B1425" s="274" t="s">
        <v>351</v>
      </c>
      <c r="C1425" s="274" t="s">
        <v>356</v>
      </c>
      <c r="D1425" s="274" t="s">
        <v>353</v>
      </c>
      <c r="E1425" s="274" t="s">
        <v>17</v>
      </c>
      <c r="F1425" s="274">
        <v>3</v>
      </c>
      <c r="G1425" s="274" t="s">
        <v>19</v>
      </c>
      <c r="H1425" s="274" t="s">
        <v>20</v>
      </c>
      <c r="I1425" s="274" t="s">
        <v>21</v>
      </c>
      <c r="J1425" s="274" t="s">
        <v>928</v>
      </c>
      <c r="K1425" s="274" t="s">
        <v>22</v>
      </c>
      <c r="L1425" s="274">
        <v>38</v>
      </c>
      <c r="M1425" s="274" t="s">
        <v>23</v>
      </c>
      <c r="N1425" s="274">
        <v>1037</v>
      </c>
      <c r="O1425" s="274">
        <v>1030</v>
      </c>
      <c r="P1425" s="274">
        <v>8500</v>
      </c>
      <c r="Q1425" s="274">
        <v>2</v>
      </c>
      <c r="R1425" s="274">
        <v>66</v>
      </c>
      <c r="S1425" s="274" t="s">
        <v>354</v>
      </c>
      <c r="T1425" s="274" t="s">
        <v>1680</v>
      </c>
      <c r="U1425" s="274" t="s">
        <v>1732</v>
      </c>
      <c r="V1425" s="274" t="s">
        <v>355</v>
      </c>
      <c r="W1425" s="274" t="s">
        <v>928</v>
      </c>
      <c r="X1425" s="274" t="s">
        <v>928</v>
      </c>
    </row>
    <row r="1426" spans="1:24" ht="13.5" x14ac:dyDescent="0.15">
      <c r="A1426" s="274">
        <v>3731343</v>
      </c>
      <c r="B1426" s="274" t="s">
        <v>351</v>
      </c>
      <c r="C1426" s="274" t="s">
        <v>352</v>
      </c>
      <c r="D1426" s="274" t="s">
        <v>353</v>
      </c>
      <c r="E1426" s="274" t="s">
        <v>155</v>
      </c>
      <c r="F1426" s="274" t="s">
        <v>158</v>
      </c>
      <c r="G1426" s="274" t="s">
        <v>19</v>
      </c>
      <c r="H1426" s="274" t="s">
        <v>20</v>
      </c>
      <c r="I1426" s="274" t="s">
        <v>143</v>
      </c>
      <c r="J1426" s="274" t="s">
        <v>928</v>
      </c>
      <c r="K1426" s="274" t="s">
        <v>156</v>
      </c>
      <c r="L1426" s="274">
        <v>25</v>
      </c>
      <c r="M1426" s="274" t="s">
        <v>157</v>
      </c>
      <c r="N1426" s="274">
        <v>1120</v>
      </c>
      <c r="O1426" s="274">
        <v>1120</v>
      </c>
      <c r="P1426" s="274">
        <v>12000</v>
      </c>
      <c r="Q1426" s="274">
        <v>2</v>
      </c>
      <c r="R1426" s="274">
        <v>7</v>
      </c>
      <c r="S1426" s="274" t="s">
        <v>354</v>
      </c>
      <c r="T1426" s="274" t="s">
        <v>1680</v>
      </c>
      <c r="U1426" s="274" t="s">
        <v>1733</v>
      </c>
      <c r="V1426" s="274" t="s">
        <v>355</v>
      </c>
      <c r="W1426" s="274" t="s">
        <v>928</v>
      </c>
      <c r="X1426" s="274" t="s">
        <v>928</v>
      </c>
    </row>
    <row r="1427" spans="1:24" ht="13.5" x14ac:dyDescent="0.15">
      <c r="A1427" s="274">
        <v>3731352</v>
      </c>
      <c r="B1427" s="274" t="s">
        <v>351</v>
      </c>
      <c r="C1427" s="274" t="s">
        <v>352</v>
      </c>
      <c r="D1427" s="274" t="s">
        <v>353</v>
      </c>
      <c r="E1427" s="274" t="s">
        <v>116</v>
      </c>
      <c r="F1427" s="274">
        <v>3</v>
      </c>
      <c r="G1427" s="274" t="s">
        <v>19</v>
      </c>
      <c r="H1427" s="274" t="s">
        <v>20</v>
      </c>
      <c r="I1427" s="274" t="s">
        <v>143</v>
      </c>
      <c r="J1427" s="274" t="s">
        <v>928</v>
      </c>
      <c r="K1427" s="274" t="s">
        <v>159</v>
      </c>
      <c r="L1427" s="274">
        <v>25</v>
      </c>
      <c r="M1427" s="274" t="s">
        <v>160</v>
      </c>
      <c r="N1427" s="274">
        <v>1005</v>
      </c>
      <c r="O1427" s="274">
        <v>1000</v>
      </c>
      <c r="P1427" s="274">
        <v>4000</v>
      </c>
      <c r="Q1427" s="274">
        <v>2</v>
      </c>
      <c r="R1427" s="274">
        <v>2</v>
      </c>
      <c r="S1427" s="274" t="s">
        <v>354</v>
      </c>
      <c r="T1427" s="274" t="s">
        <v>1680</v>
      </c>
      <c r="U1427" s="274" t="s">
        <v>1722</v>
      </c>
      <c r="V1427" s="274" t="s">
        <v>355</v>
      </c>
      <c r="W1427" s="274" t="s">
        <v>928</v>
      </c>
      <c r="X1427" s="274" t="s">
        <v>928</v>
      </c>
    </row>
    <row r="1428" spans="1:24" ht="13.5" x14ac:dyDescent="0.15">
      <c r="A1428" s="274">
        <v>3731363</v>
      </c>
      <c r="B1428" s="274" t="s">
        <v>351</v>
      </c>
      <c r="C1428" s="274" t="s">
        <v>352</v>
      </c>
      <c r="D1428" s="274" t="s">
        <v>353</v>
      </c>
      <c r="E1428" s="274" t="s">
        <v>116</v>
      </c>
      <c r="F1428" s="274">
        <v>3</v>
      </c>
      <c r="G1428" s="274" t="s">
        <v>19</v>
      </c>
      <c r="H1428" s="274" t="s">
        <v>20</v>
      </c>
      <c r="I1428" s="274" t="s">
        <v>143</v>
      </c>
      <c r="J1428" s="274" t="s">
        <v>928</v>
      </c>
      <c r="K1428" s="274" t="s">
        <v>144</v>
      </c>
      <c r="L1428" s="274">
        <v>50</v>
      </c>
      <c r="M1428" s="274" t="s">
        <v>145</v>
      </c>
      <c r="N1428" s="274">
        <v>1005</v>
      </c>
      <c r="O1428" s="274">
        <v>1000</v>
      </c>
      <c r="P1428" s="274">
        <v>4000</v>
      </c>
      <c r="Q1428" s="274">
        <v>2</v>
      </c>
      <c r="R1428" s="274">
        <v>3</v>
      </c>
      <c r="S1428" s="274" t="s">
        <v>354</v>
      </c>
      <c r="T1428" s="274" t="s">
        <v>1680</v>
      </c>
      <c r="U1428" s="274" t="s">
        <v>1722</v>
      </c>
      <c r="V1428" s="274" t="s">
        <v>355</v>
      </c>
      <c r="W1428" s="274" t="s">
        <v>928</v>
      </c>
      <c r="X1428" s="274" t="s">
        <v>928</v>
      </c>
    </row>
    <row r="1429" spans="1:24" ht="13.5" x14ac:dyDescent="0.15">
      <c r="A1429" s="274">
        <v>3731364</v>
      </c>
      <c r="B1429" s="274" t="s">
        <v>351</v>
      </c>
      <c r="C1429" s="274" t="s">
        <v>352</v>
      </c>
      <c r="D1429" s="274" t="s">
        <v>353</v>
      </c>
      <c r="E1429" s="274" t="s">
        <v>116</v>
      </c>
      <c r="F1429" s="274">
        <v>3</v>
      </c>
      <c r="G1429" s="274" t="s">
        <v>19</v>
      </c>
      <c r="H1429" s="274" t="s">
        <v>20</v>
      </c>
      <c r="I1429" s="274" t="s">
        <v>143</v>
      </c>
      <c r="J1429" s="274" t="s">
        <v>928</v>
      </c>
      <c r="K1429" s="274" t="s">
        <v>144</v>
      </c>
      <c r="L1429" s="274">
        <v>75</v>
      </c>
      <c r="M1429" s="274" t="s">
        <v>145</v>
      </c>
      <c r="N1429" s="274">
        <v>1005</v>
      </c>
      <c r="O1429" s="274">
        <v>1000</v>
      </c>
      <c r="P1429" s="274">
        <v>3000</v>
      </c>
      <c r="Q1429" s="274">
        <v>2</v>
      </c>
      <c r="R1429" s="274">
        <v>4</v>
      </c>
      <c r="S1429" s="274" t="s">
        <v>354</v>
      </c>
      <c r="T1429" s="274" t="s">
        <v>1680</v>
      </c>
      <c r="U1429" s="274" t="s">
        <v>1722</v>
      </c>
      <c r="V1429" s="274" t="s">
        <v>355</v>
      </c>
      <c r="W1429" s="274" t="s">
        <v>928</v>
      </c>
      <c r="X1429" s="274" t="s">
        <v>928</v>
      </c>
    </row>
    <row r="1430" spans="1:24" ht="13.5" x14ac:dyDescent="0.15">
      <c r="A1430" s="274">
        <v>3731442</v>
      </c>
      <c r="B1430" s="274" t="s">
        <v>351</v>
      </c>
      <c r="C1430" s="274" t="s">
        <v>356</v>
      </c>
      <c r="D1430" s="274" t="s">
        <v>353</v>
      </c>
      <c r="E1430" s="274" t="s">
        <v>17</v>
      </c>
      <c r="F1430" s="274">
        <v>3303</v>
      </c>
      <c r="G1430" s="274" t="s">
        <v>19</v>
      </c>
      <c r="H1430" s="274" t="s">
        <v>20</v>
      </c>
      <c r="I1430" s="274" t="s">
        <v>21</v>
      </c>
      <c r="J1430" s="274" t="s">
        <v>928</v>
      </c>
      <c r="K1430" s="274" t="s">
        <v>52</v>
      </c>
      <c r="L1430" s="274">
        <v>38</v>
      </c>
      <c r="M1430" s="274" t="s">
        <v>53</v>
      </c>
      <c r="N1430" s="274">
        <v>1330</v>
      </c>
      <c r="O1430" s="274">
        <v>1330</v>
      </c>
      <c r="P1430" s="274">
        <v>6000</v>
      </c>
      <c r="Q1430" s="274">
        <v>2</v>
      </c>
      <c r="R1430" s="274">
        <v>1</v>
      </c>
      <c r="S1430" s="274" t="s">
        <v>354</v>
      </c>
      <c r="T1430" s="274" t="s">
        <v>1536</v>
      </c>
      <c r="U1430" s="274" t="s">
        <v>1762</v>
      </c>
      <c r="V1430" s="274" t="s">
        <v>355</v>
      </c>
      <c r="W1430" s="274" t="s">
        <v>928</v>
      </c>
      <c r="X1430" s="274" t="s">
        <v>928</v>
      </c>
    </row>
    <row r="1431" spans="1:24" ht="13.5" x14ac:dyDescent="0.15">
      <c r="A1431" s="274">
        <v>3731819</v>
      </c>
      <c r="B1431" s="274" t="s">
        <v>351</v>
      </c>
      <c r="C1431" s="274" t="s">
        <v>352</v>
      </c>
      <c r="D1431" s="274" t="s">
        <v>353</v>
      </c>
      <c r="E1431" s="274" t="s">
        <v>116</v>
      </c>
      <c r="F1431" s="274">
        <v>3</v>
      </c>
      <c r="G1431" s="274" t="s">
        <v>19</v>
      </c>
      <c r="H1431" s="274" t="s">
        <v>20</v>
      </c>
      <c r="I1431" s="274" t="s">
        <v>143</v>
      </c>
      <c r="J1431" s="274" t="s">
        <v>928</v>
      </c>
      <c r="K1431" s="274" t="s">
        <v>144</v>
      </c>
      <c r="L1431" s="274">
        <v>38</v>
      </c>
      <c r="M1431" s="274" t="s">
        <v>145</v>
      </c>
      <c r="N1431" s="274">
        <v>1005</v>
      </c>
      <c r="O1431" s="274">
        <v>1000</v>
      </c>
      <c r="P1431" s="274">
        <v>4000</v>
      </c>
      <c r="Q1431" s="274">
        <v>2</v>
      </c>
      <c r="R1431" s="274">
        <v>2</v>
      </c>
      <c r="S1431" s="274" t="s">
        <v>354</v>
      </c>
      <c r="T1431" s="274" t="s">
        <v>1536</v>
      </c>
      <c r="U1431" s="274" t="s">
        <v>1761</v>
      </c>
      <c r="V1431" s="274" t="s">
        <v>355</v>
      </c>
      <c r="W1431" s="274" t="s">
        <v>928</v>
      </c>
      <c r="X1431" s="274" t="s">
        <v>928</v>
      </c>
    </row>
    <row r="1432" spans="1:24" ht="13.5" x14ac:dyDescent="0.15">
      <c r="A1432" s="274">
        <v>3732640</v>
      </c>
      <c r="B1432" s="274" t="s">
        <v>351</v>
      </c>
      <c r="C1432" s="274" t="s">
        <v>356</v>
      </c>
      <c r="D1432" s="274" t="s">
        <v>353</v>
      </c>
      <c r="E1432" s="274" t="s">
        <v>377</v>
      </c>
      <c r="F1432" s="274">
        <v>3</v>
      </c>
      <c r="G1432" s="274" t="s">
        <v>19</v>
      </c>
      <c r="H1432" s="274" t="s">
        <v>20</v>
      </c>
      <c r="I1432" s="274" t="s">
        <v>21</v>
      </c>
      <c r="J1432" s="274" t="s">
        <v>928</v>
      </c>
      <c r="K1432" s="274" t="s">
        <v>36</v>
      </c>
      <c r="L1432" s="274">
        <v>25</v>
      </c>
      <c r="M1432" s="274" t="s">
        <v>37</v>
      </c>
      <c r="N1432" s="274">
        <v>890</v>
      </c>
      <c r="O1432" s="274">
        <v>890</v>
      </c>
      <c r="P1432" s="274">
        <v>3800</v>
      </c>
      <c r="Q1432" s="274">
        <v>2</v>
      </c>
      <c r="R1432" s="274">
        <v>6</v>
      </c>
      <c r="S1432" s="274" t="s">
        <v>354</v>
      </c>
      <c r="T1432" s="274" t="s">
        <v>1513</v>
      </c>
      <c r="U1432" s="274" t="s">
        <v>1695</v>
      </c>
      <c r="V1432" s="274" t="s">
        <v>355</v>
      </c>
      <c r="W1432" s="274" t="s">
        <v>928</v>
      </c>
      <c r="X1432" s="274" t="s">
        <v>928</v>
      </c>
    </row>
    <row r="1433" spans="1:24" ht="13.5" x14ac:dyDescent="0.15">
      <c r="A1433" s="274">
        <v>3732641</v>
      </c>
      <c r="B1433" s="274" t="s">
        <v>351</v>
      </c>
      <c r="C1433" s="274" t="s">
        <v>358</v>
      </c>
      <c r="D1433" s="274" t="s">
        <v>353</v>
      </c>
      <c r="E1433" s="274" t="s">
        <v>65</v>
      </c>
      <c r="F1433" s="274">
        <v>3321</v>
      </c>
      <c r="G1433" s="274" t="s">
        <v>19</v>
      </c>
      <c r="H1433" s="274" t="s">
        <v>20</v>
      </c>
      <c r="I1433" s="274" t="s">
        <v>21</v>
      </c>
      <c r="J1433" s="274" t="s">
        <v>928</v>
      </c>
      <c r="K1433" s="274" t="s">
        <v>67</v>
      </c>
      <c r="L1433" s="274">
        <v>38</v>
      </c>
      <c r="M1433" s="274" t="s">
        <v>68</v>
      </c>
      <c r="N1433" s="274">
        <v>1336</v>
      </c>
      <c r="O1433" s="274">
        <v>1325</v>
      </c>
      <c r="P1433" s="274">
        <v>12000</v>
      </c>
      <c r="Q1433" s="274">
        <v>2</v>
      </c>
      <c r="R1433" s="274">
        <v>34</v>
      </c>
      <c r="S1433" s="274" t="s">
        <v>354</v>
      </c>
      <c r="T1433" s="274" t="s">
        <v>1513</v>
      </c>
      <c r="U1433" s="274" t="s">
        <v>1732</v>
      </c>
      <c r="V1433" s="274" t="s">
        <v>355</v>
      </c>
      <c r="W1433" s="274" t="s">
        <v>928</v>
      </c>
      <c r="X1433" s="274" t="s">
        <v>928</v>
      </c>
    </row>
    <row r="1434" spans="1:24" ht="13.5" x14ac:dyDescent="0.15">
      <c r="A1434" s="274">
        <v>3732642</v>
      </c>
      <c r="B1434" s="274" t="s">
        <v>351</v>
      </c>
      <c r="C1434" s="274" t="s">
        <v>352</v>
      </c>
      <c r="D1434" s="274" t="s">
        <v>353</v>
      </c>
      <c r="E1434" s="274" t="s">
        <v>371</v>
      </c>
      <c r="F1434" s="274">
        <v>331</v>
      </c>
      <c r="G1434" s="274" t="s">
        <v>19</v>
      </c>
      <c r="H1434" s="274" t="s">
        <v>20</v>
      </c>
      <c r="I1434" s="274" t="s">
        <v>21</v>
      </c>
      <c r="J1434" s="274" t="s">
        <v>928</v>
      </c>
      <c r="K1434" s="274" t="s">
        <v>118</v>
      </c>
      <c r="L1434" s="274">
        <v>25</v>
      </c>
      <c r="M1434" s="274" t="s">
        <v>119</v>
      </c>
      <c r="N1434" s="274">
        <v>1425</v>
      </c>
      <c r="O1434" s="274">
        <v>1420</v>
      </c>
      <c r="P1434" s="274">
        <v>12400</v>
      </c>
      <c r="Q1434" s="274">
        <v>2</v>
      </c>
      <c r="R1434" s="274">
        <v>8</v>
      </c>
      <c r="S1434" s="274" t="s">
        <v>354</v>
      </c>
      <c r="T1434" s="274" t="s">
        <v>1513</v>
      </c>
      <c r="U1434" s="274" t="s">
        <v>1718</v>
      </c>
      <c r="V1434" s="274" t="s">
        <v>355</v>
      </c>
      <c r="W1434" s="274" t="s">
        <v>928</v>
      </c>
      <c r="X1434" s="274" t="s">
        <v>928</v>
      </c>
    </row>
    <row r="1435" spans="1:24" ht="13.5" x14ac:dyDescent="0.15">
      <c r="A1435" s="274">
        <v>3732643</v>
      </c>
      <c r="B1435" s="274" t="s">
        <v>351</v>
      </c>
      <c r="C1435" s="274" t="s">
        <v>352</v>
      </c>
      <c r="D1435" s="274" t="s">
        <v>353</v>
      </c>
      <c r="E1435" s="274" t="s">
        <v>371</v>
      </c>
      <c r="F1435" s="274">
        <v>330</v>
      </c>
      <c r="G1435" s="274" t="s">
        <v>19</v>
      </c>
      <c r="H1435" s="274" t="s">
        <v>20</v>
      </c>
      <c r="I1435" s="274" t="s">
        <v>21</v>
      </c>
      <c r="J1435" s="274" t="s">
        <v>928</v>
      </c>
      <c r="K1435" s="274" t="s">
        <v>118</v>
      </c>
      <c r="L1435" s="274">
        <v>25</v>
      </c>
      <c r="M1435" s="274" t="s">
        <v>119</v>
      </c>
      <c r="N1435" s="274">
        <v>1155</v>
      </c>
      <c r="O1435" s="274">
        <v>1150</v>
      </c>
      <c r="P1435" s="274">
        <v>4200</v>
      </c>
      <c r="Q1435" s="274">
        <v>2</v>
      </c>
      <c r="R1435" s="274">
        <v>3</v>
      </c>
      <c r="S1435" s="274" t="s">
        <v>354</v>
      </c>
      <c r="T1435" s="274" t="s">
        <v>1513</v>
      </c>
      <c r="U1435" s="274" t="s">
        <v>1726</v>
      </c>
      <c r="V1435" s="274" t="s">
        <v>355</v>
      </c>
      <c r="W1435" s="274" t="s">
        <v>928</v>
      </c>
      <c r="X1435" s="274" t="s">
        <v>928</v>
      </c>
    </row>
    <row r="1436" spans="1:24" ht="13.5" x14ac:dyDescent="0.15">
      <c r="A1436" s="274">
        <v>3732644</v>
      </c>
      <c r="B1436" s="274" t="s">
        <v>351</v>
      </c>
      <c r="C1436" s="274" t="s">
        <v>356</v>
      </c>
      <c r="D1436" s="274" t="s">
        <v>353</v>
      </c>
      <c r="E1436" s="274" t="s">
        <v>377</v>
      </c>
      <c r="F1436" s="274">
        <v>3</v>
      </c>
      <c r="G1436" s="274" t="s">
        <v>19</v>
      </c>
      <c r="H1436" s="274" t="s">
        <v>20</v>
      </c>
      <c r="I1436" s="274" t="s">
        <v>21</v>
      </c>
      <c r="J1436" s="274" t="s">
        <v>928</v>
      </c>
      <c r="K1436" s="274" t="s">
        <v>36</v>
      </c>
      <c r="L1436" s="274">
        <v>25</v>
      </c>
      <c r="M1436" s="274" t="s">
        <v>37</v>
      </c>
      <c r="N1436" s="274">
        <v>890</v>
      </c>
      <c r="O1436" s="274">
        <v>890</v>
      </c>
      <c r="P1436" s="274">
        <v>3800</v>
      </c>
      <c r="Q1436" s="274">
        <v>2</v>
      </c>
      <c r="R1436" s="274">
        <v>6</v>
      </c>
      <c r="S1436" s="274" t="s">
        <v>354</v>
      </c>
      <c r="T1436" s="274" t="s">
        <v>1513</v>
      </c>
      <c r="U1436" s="274" t="s">
        <v>1695</v>
      </c>
      <c r="V1436" s="274" t="s">
        <v>355</v>
      </c>
      <c r="W1436" s="274" t="s">
        <v>928</v>
      </c>
      <c r="X1436" s="274" t="s">
        <v>928</v>
      </c>
    </row>
    <row r="1437" spans="1:24" ht="13.5" x14ac:dyDescent="0.15">
      <c r="A1437" s="274">
        <v>3732647</v>
      </c>
      <c r="B1437" s="274" t="s">
        <v>351</v>
      </c>
      <c r="C1437" s="274" t="s">
        <v>352</v>
      </c>
      <c r="D1437" s="274" t="s">
        <v>353</v>
      </c>
      <c r="E1437" s="274" t="s">
        <v>162</v>
      </c>
      <c r="F1437" s="274">
        <v>3</v>
      </c>
      <c r="G1437" s="274" t="s">
        <v>19</v>
      </c>
      <c r="H1437" s="274" t="s">
        <v>20</v>
      </c>
      <c r="I1437" s="274" t="s">
        <v>143</v>
      </c>
      <c r="J1437" s="274" t="s">
        <v>928</v>
      </c>
      <c r="K1437" s="274" t="s">
        <v>163</v>
      </c>
      <c r="L1437" s="274">
        <v>38</v>
      </c>
      <c r="M1437" s="274" t="s">
        <v>164</v>
      </c>
      <c r="N1437" s="274">
        <v>1320</v>
      </c>
      <c r="O1437" s="274">
        <v>1320</v>
      </c>
      <c r="P1437" s="274">
        <v>4200</v>
      </c>
      <c r="Q1437" s="274">
        <v>2</v>
      </c>
      <c r="R1437" s="274">
        <v>4</v>
      </c>
      <c r="S1437" s="274" t="s">
        <v>354</v>
      </c>
      <c r="T1437" s="274" t="s">
        <v>1513</v>
      </c>
      <c r="U1437" s="274" t="s">
        <v>1733</v>
      </c>
      <c r="V1437" s="274" t="s">
        <v>355</v>
      </c>
      <c r="W1437" s="274" t="s">
        <v>928</v>
      </c>
      <c r="X1437" s="274" t="s">
        <v>928</v>
      </c>
    </row>
    <row r="1438" spans="1:24" ht="13.5" x14ac:dyDescent="0.15">
      <c r="A1438" s="274">
        <v>3733408</v>
      </c>
      <c r="B1438" s="274" t="s">
        <v>351</v>
      </c>
      <c r="C1438" s="274" t="s">
        <v>1801</v>
      </c>
      <c r="D1438" s="274" t="s">
        <v>353</v>
      </c>
      <c r="E1438" s="274" t="s">
        <v>255</v>
      </c>
      <c r="F1438" s="274">
        <v>3</v>
      </c>
      <c r="G1438" s="274" t="s">
        <v>19</v>
      </c>
      <c r="H1438" s="274" t="s">
        <v>20</v>
      </c>
      <c r="I1438" s="274" t="s">
        <v>256</v>
      </c>
      <c r="J1438" s="274" t="s">
        <v>928</v>
      </c>
      <c r="K1438" s="274" t="s">
        <v>257</v>
      </c>
      <c r="L1438" s="274">
        <v>100</v>
      </c>
      <c r="M1438" s="274" t="s">
        <v>258</v>
      </c>
      <c r="N1438" s="274">
        <v>1000</v>
      </c>
      <c r="O1438" s="274">
        <v>1000</v>
      </c>
      <c r="P1438" s="274">
        <v>1000</v>
      </c>
      <c r="Q1438" s="274">
        <v>2</v>
      </c>
      <c r="R1438" s="274">
        <v>4</v>
      </c>
      <c r="S1438" s="274" t="s">
        <v>354</v>
      </c>
      <c r="T1438" s="274" t="s">
        <v>1539</v>
      </c>
      <c r="U1438" s="274" t="s">
        <v>1807</v>
      </c>
      <c r="V1438" s="274" t="s">
        <v>355</v>
      </c>
      <c r="W1438" s="274" t="s">
        <v>928</v>
      </c>
      <c r="X1438" s="274" t="s">
        <v>928</v>
      </c>
    </row>
    <row r="1439" spans="1:24" ht="13.5" x14ac:dyDescent="0.15">
      <c r="A1439" s="274">
        <v>3733409</v>
      </c>
      <c r="B1439" s="274" t="s">
        <v>351</v>
      </c>
      <c r="C1439" s="274" t="s">
        <v>1801</v>
      </c>
      <c r="D1439" s="274" t="s">
        <v>353</v>
      </c>
      <c r="E1439" s="274" t="s">
        <v>255</v>
      </c>
      <c r="F1439" s="274">
        <v>3</v>
      </c>
      <c r="G1439" s="274" t="s">
        <v>19</v>
      </c>
      <c r="H1439" s="274" t="s">
        <v>20</v>
      </c>
      <c r="I1439" s="274" t="s">
        <v>256</v>
      </c>
      <c r="J1439" s="274" t="s">
        <v>928</v>
      </c>
      <c r="K1439" s="274" t="s">
        <v>257</v>
      </c>
      <c r="L1439" s="274">
        <v>125</v>
      </c>
      <c r="M1439" s="274" t="s">
        <v>258</v>
      </c>
      <c r="N1439" s="274">
        <v>1000</v>
      </c>
      <c r="O1439" s="274">
        <v>1000</v>
      </c>
      <c r="P1439" s="274">
        <v>1000</v>
      </c>
      <c r="Q1439" s="274">
        <v>2</v>
      </c>
      <c r="R1439" s="274">
        <v>8</v>
      </c>
      <c r="S1439" s="274" t="s">
        <v>354</v>
      </c>
      <c r="T1439" s="274" t="s">
        <v>1539</v>
      </c>
      <c r="U1439" s="274" t="s">
        <v>1807</v>
      </c>
      <c r="V1439" s="274" t="s">
        <v>355</v>
      </c>
      <c r="W1439" s="274" t="s">
        <v>928</v>
      </c>
      <c r="X1439" s="274" t="s">
        <v>928</v>
      </c>
    </row>
    <row r="1440" spans="1:24" ht="13.5" x14ac:dyDescent="0.15">
      <c r="A1440" s="274">
        <v>3733410</v>
      </c>
      <c r="B1440" s="274" t="s">
        <v>351</v>
      </c>
      <c r="C1440" s="274" t="s">
        <v>1801</v>
      </c>
      <c r="D1440" s="274" t="s">
        <v>353</v>
      </c>
      <c r="E1440" s="274" t="s">
        <v>255</v>
      </c>
      <c r="F1440" s="274">
        <v>3</v>
      </c>
      <c r="G1440" s="274" t="s">
        <v>19</v>
      </c>
      <c r="H1440" s="274" t="s">
        <v>20</v>
      </c>
      <c r="I1440" s="274" t="s">
        <v>256</v>
      </c>
      <c r="J1440" s="274" t="s">
        <v>928</v>
      </c>
      <c r="K1440" s="274" t="s">
        <v>257</v>
      </c>
      <c r="L1440" s="274">
        <v>188</v>
      </c>
      <c r="M1440" s="274" t="s">
        <v>258</v>
      </c>
      <c r="N1440" s="274">
        <v>1000</v>
      </c>
      <c r="O1440" s="274">
        <v>1000</v>
      </c>
      <c r="P1440" s="274">
        <v>1000</v>
      </c>
      <c r="Q1440" s="274">
        <v>2</v>
      </c>
      <c r="R1440" s="274">
        <v>7</v>
      </c>
      <c r="S1440" s="274" t="s">
        <v>354</v>
      </c>
      <c r="T1440" s="274" t="s">
        <v>1539</v>
      </c>
      <c r="U1440" s="274" t="s">
        <v>1807</v>
      </c>
      <c r="V1440" s="274" t="s">
        <v>355</v>
      </c>
      <c r="W1440" s="274" t="s">
        <v>928</v>
      </c>
      <c r="X1440" s="274" t="s">
        <v>928</v>
      </c>
    </row>
    <row r="1441" spans="1:24" ht="13.5" x14ac:dyDescent="0.15">
      <c r="A1441" s="274">
        <v>3733411</v>
      </c>
      <c r="B1441" s="274" t="s">
        <v>432</v>
      </c>
      <c r="C1441" s="274" t="s">
        <v>1808</v>
      </c>
      <c r="D1441" s="274" t="s">
        <v>353</v>
      </c>
      <c r="E1441" s="274" t="s">
        <v>304</v>
      </c>
      <c r="F1441" s="274">
        <v>3301</v>
      </c>
      <c r="G1441" s="274" t="s">
        <v>265</v>
      </c>
      <c r="H1441" s="274" t="s">
        <v>20</v>
      </c>
      <c r="I1441" s="274" t="s">
        <v>256</v>
      </c>
      <c r="J1441" s="274" t="s">
        <v>928</v>
      </c>
      <c r="K1441" s="274" t="s">
        <v>433</v>
      </c>
      <c r="L1441" s="274">
        <v>100</v>
      </c>
      <c r="M1441" s="274" t="s">
        <v>305</v>
      </c>
      <c r="N1441" s="274">
        <v>1050</v>
      </c>
      <c r="O1441" s="274">
        <v>1050</v>
      </c>
      <c r="P1441" s="274">
        <v>2000</v>
      </c>
      <c r="Q1441" s="274">
        <v>2</v>
      </c>
      <c r="R1441" s="274">
        <v>2</v>
      </c>
      <c r="S1441" s="274" t="s">
        <v>354</v>
      </c>
      <c r="T1441" s="274" t="s">
        <v>1539</v>
      </c>
      <c r="U1441" s="274" t="s">
        <v>1807</v>
      </c>
      <c r="V1441" s="274" t="s">
        <v>355</v>
      </c>
      <c r="W1441" s="274" t="s">
        <v>928</v>
      </c>
      <c r="X1441" s="274" t="s">
        <v>928</v>
      </c>
    </row>
    <row r="1442" spans="1:24" ht="13.5" x14ac:dyDescent="0.15">
      <c r="A1442" s="274">
        <v>3733412</v>
      </c>
      <c r="B1442" s="274" t="s">
        <v>351</v>
      </c>
      <c r="C1442" s="274" t="s">
        <v>1801</v>
      </c>
      <c r="D1442" s="274" t="s">
        <v>353</v>
      </c>
      <c r="E1442" s="274" t="s">
        <v>87</v>
      </c>
      <c r="F1442" s="274">
        <v>3</v>
      </c>
      <c r="G1442" s="274" t="s">
        <v>19</v>
      </c>
      <c r="H1442" s="274" t="s">
        <v>20</v>
      </c>
      <c r="I1442" s="274" t="s">
        <v>21</v>
      </c>
      <c r="J1442" s="274" t="s">
        <v>928</v>
      </c>
      <c r="K1442" s="274" t="s">
        <v>88</v>
      </c>
      <c r="L1442" s="274">
        <v>75</v>
      </c>
      <c r="M1442" s="274" t="s">
        <v>361</v>
      </c>
      <c r="N1442" s="274">
        <v>220</v>
      </c>
      <c r="O1442" s="274">
        <v>220</v>
      </c>
      <c r="P1442" s="274">
        <v>1200</v>
      </c>
      <c r="Q1442" s="274">
        <v>1</v>
      </c>
      <c r="R1442" s="274">
        <v>15</v>
      </c>
      <c r="S1442" s="274" t="s">
        <v>354</v>
      </c>
      <c r="T1442" s="274" t="s">
        <v>1539</v>
      </c>
      <c r="U1442" s="274" t="s">
        <v>1807</v>
      </c>
      <c r="V1442" s="274" t="s">
        <v>355</v>
      </c>
      <c r="W1442" s="274" t="s">
        <v>928</v>
      </c>
      <c r="X1442" s="274" t="s">
        <v>928</v>
      </c>
    </row>
    <row r="1443" spans="1:24" ht="13.5" x14ac:dyDescent="0.15">
      <c r="A1443" s="274">
        <v>3733413</v>
      </c>
      <c r="B1443" s="274" t="s">
        <v>351</v>
      </c>
      <c r="C1443" s="274" t="s">
        <v>1801</v>
      </c>
      <c r="D1443" s="274" t="s">
        <v>353</v>
      </c>
      <c r="E1443" s="274" t="s">
        <v>87</v>
      </c>
      <c r="F1443" s="274">
        <v>3</v>
      </c>
      <c r="G1443" s="274" t="s">
        <v>19</v>
      </c>
      <c r="H1443" s="274" t="s">
        <v>20</v>
      </c>
      <c r="I1443" s="274" t="s">
        <v>21</v>
      </c>
      <c r="J1443" s="274" t="s">
        <v>928</v>
      </c>
      <c r="K1443" s="274" t="s">
        <v>88</v>
      </c>
      <c r="L1443" s="274">
        <v>75</v>
      </c>
      <c r="M1443" s="274" t="s">
        <v>361</v>
      </c>
      <c r="N1443" s="274">
        <v>220</v>
      </c>
      <c r="O1443" s="274">
        <v>220</v>
      </c>
      <c r="P1443" s="274">
        <v>1200</v>
      </c>
      <c r="Q1443" s="274">
        <v>1</v>
      </c>
      <c r="R1443" s="274">
        <v>15</v>
      </c>
      <c r="S1443" s="274" t="s">
        <v>354</v>
      </c>
      <c r="T1443" s="274" t="s">
        <v>1539</v>
      </c>
      <c r="U1443" s="274" t="s">
        <v>1807</v>
      </c>
      <c r="V1443" s="274" t="s">
        <v>355</v>
      </c>
      <c r="W1443" s="274" t="s">
        <v>928</v>
      </c>
      <c r="X1443" s="274" t="s">
        <v>928</v>
      </c>
    </row>
    <row r="1444" spans="1:24" ht="13.5" x14ac:dyDescent="0.15">
      <c r="A1444" s="274">
        <v>3733414</v>
      </c>
      <c r="B1444" s="274" t="s">
        <v>351</v>
      </c>
      <c r="C1444" s="274" t="s">
        <v>1808</v>
      </c>
      <c r="D1444" s="274" t="s">
        <v>353</v>
      </c>
      <c r="E1444" s="274" t="s">
        <v>90</v>
      </c>
      <c r="F1444" s="274">
        <v>3</v>
      </c>
      <c r="G1444" s="274" t="s">
        <v>19</v>
      </c>
      <c r="H1444" s="274" t="s">
        <v>20</v>
      </c>
      <c r="I1444" s="274" t="s">
        <v>21</v>
      </c>
      <c r="J1444" s="274" t="s">
        <v>928</v>
      </c>
      <c r="K1444" s="274" t="s">
        <v>88</v>
      </c>
      <c r="L1444" s="274">
        <v>75</v>
      </c>
      <c r="M1444" s="274" t="s">
        <v>361</v>
      </c>
      <c r="N1444" s="274">
        <v>620</v>
      </c>
      <c r="O1444" s="274">
        <v>620</v>
      </c>
      <c r="P1444" s="274">
        <v>400</v>
      </c>
      <c r="Q1444" s="274">
        <v>2</v>
      </c>
      <c r="R1444" s="274">
        <v>20</v>
      </c>
      <c r="S1444" s="274" t="s">
        <v>354</v>
      </c>
      <c r="T1444" s="274" t="s">
        <v>1539</v>
      </c>
      <c r="U1444" s="274" t="s">
        <v>1807</v>
      </c>
      <c r="V1444" s="274" t="s">
        <v>355</v>
      </c>
      <c r="W1444" s="274" t="s">
        <v>928</v>
      </c>
      <c r="X1444" s="274" t="s">
        <v>928</v>
      </c>
    </row>
    <row r="1445" spans="1:24" ht="13.5" x14ac:dyDescent="0.15">
      <c r="A1445" s="274">
        <v>3733415</v>
      </c>
      <c r="B1445" s="274" t="s">
        <v>351</v>
      </c>
      <c r="C1445" s="274" t="s">
        <v>1808</v>
      </c>
      <c r="D1445" s="274" t="s">
        <v>353</v>
      </c>
      <c r="E1445" s="274" t="s">
        <v>373</v>
      </c>
      <c r="F1445" s="274">
        <v>3</v>
      </c>
      <c r="G1445" s="274" t="s">
        <v>19</v>
      </c>
      <c r="H1445" s="274" t="s">
        <v>20</v>
      </c>
      <c r="I1445" s="274" t="s">
        <v>21</v>
      </c>
      <c r="J1445" s="274" t="s">
        <v>928</v>
      </c>
      <c r="K1445" s="274" t="s">
        <v>80</v>
      </c>
      <c r="L1445" s="274">
        <v>31</v>
      </c>
      <c r="M1445" s="274" t="s">
        <v>374</v>
      </c>
      <c r="N1445" s="274">
        <v>440</v>
      </c>
      <c r="O1445" s="274">
        <v>440</v>
      </c>
      <c r="P1445" s="274">
        <v>6500</v>
      </c>
      <c r="Q1445" s="274">
        <v>1</v>
      </c>
      <c r="R1445" s="274">
        <v>24</v>
      </c>
      <c r="S1445" s="274" t="s">
        <v>354</v>
      </c>
      <c r="T1445" s="274" t="s">
        <v>1539</v>
      </c>
      <c r="U1445" s="274" t="s">
        <v>1807</v>
      </c>
      <c r="V1445" s="274" t="s">
        <v>355</v>
      </c>
      <c r="W1445" s="274" t="s">
        <v>928</v>
      </c>
      <c r="X1445" s="274" t="s">
        <v>928</v>
      </c>
    </row>
    <row r="1446" spans="1:24" ht="13.5" x14ac:dyDescent="0.15">
      <c r="A1446" s="274">
        <v>3733416</v>
      </c>
      <c r="B1446" s="274" t="s">
        <v>351</v>
      </c>
      <c r="C1446" s="274" t="s">
        <v>1808</v>
      </c>
      <c r="D1446" s="274" t="s">
        <v>353</v>
      </c>
      <c r="E1446" s="274" t="s">
        <v>95</v>
      </c>
      <c r="F1446" s="274">
        <v>3</v>
      </c>
      <c r="G1446" s="274" t="s">
        <v>19</v>
      </c>
      <c r="H1446" s="274" t="s">
        <v>20</v>
      </c>
      <c r="I1446" s="274" t="s">
        <v>21</v>
      </c>
      <c r="J1446" s="274" t="s">
        <v>928</v>
      </c>
      <c r="K1446" s="274" t="s">
        <v>88</v>
      </c>
      <c r="L1446" s="274">
        <v>188</v>
      </c>
      <c r="M1446" s="274" t="s">
        <v>361</v>
      </c>
      <c r="N1446" s="274">
        <v>1230</v>
      </c>
      <c r="O1446" s="274">
        <v>1220</v>
      </c>
      <c r="P1446" s="274">
        <v>800</v>
      </c>
      <c r="Q1446" s="274">
        <v>2</v>
      </c>
      <c r="R1446" s="274">
        <v>2</v>
      </c>
      <c r="S1446" s="274" t="s">
        <v>354</v>
      </c>
      <c r="T1446" s="274" t="s">
        <v>1539</v>
      </c>
      <c r="U1446" s="274" t="s">
        <v>1807</v>
      </c>
      <c r="V1446" s="274" t="s">
        <v>355</v>
      </c>
      <c r="W1446" s="274" t="s">
        <v>928</v>
      </c>
      <c r="X1446" s="274" t="s">
        <v>928</v>
      </c>
    </row>
    <row r="1447" spans="1:24" ht="13.5" x14ac:dyDescent="0.15">
      <c r="A1447" s="274">
        <v>3733417</v>
      </c>
      <c r="B1447" s="274" t="s">
        <v>351</v>
      </c>
      <c r="C1447" s="274" t="s">
        <v>1808</v>
      </c>
      <c r="D1447" s="274" t="s">
        <v>353</v>
      </c>
      <c r="E1447" s="274" t="s">
        <v>362</v>
      </c>
      <c r="F1447" s="274">
        <v>3</v>
      </c>
      <c r="G1447" s="274" t="s">
        <v>19</v>
      </c>
      <c r="H1447" s="274" t="s">
        <v>20</v>
      </c>
      <c r="I1447" s="274" t="s">
        <v>21</v>
      </c>
      <c r="J1447" s="274" t="s">
        <v>928</v>
      </c>
      <c r="K1447" s="274" t="s">
        <v>88</v>
      </c>
      <c r="L1447" s="274">
        <v>100</v>
      </c>
      <c r="M1447" s="274" t="s">
        <v>361</v>
      </c>
      <c r="N1447" s="274">
        <v>330</v>
      </c>
      <c r="O1447" s="274">
        <v>330</v>
      </c>
      <c r="P1447" s="274">
        <v>550</v>
      </c>
      <c r="Q1447" s="274">
        <v>1</v>
      </c>
      <c r="R1447" s="274">
        <v>60</v>
      </c>
      <c r="S1447" s="274" t="s">
        <v>354</v>
      </c>
      <c r="T1447" s="274" t="s">
        <v>1539</v>
      </c>
      <c r="U1447" s="274" t="s">
        <v>1807</v>
      </c>
      <c r="V1447" s="274" t="s">
        <v>355</v>
      </c>
      <c r="W1447" s="274" t="s">
        <v>928</v>
      </c>
      <c r="X1447" s="274" t="s">
        <v>928</v>
      </c>
    </row>
    <row r="1448" spans="1:24" ht="13.5" x14ac:dyDescent="0.15">
      <c r="A1448" s="274">
        <v>3733418</v>
      </c>
      <c r="B1448" s="274" t="s">
        <v>351</v>
      </c>
      <c r="C1448" s="274" t="s">
        <v>1808</v>
      </c>
      <c r="D1448" s="274" t="s">
        <v>353</v>
      </c>
      <c r="E1448" s="274" t="s">
        <v>362</v>
      </c>
      <c r="F1448" s="274">
        <v>3</v>
      </c>
      <c r="G1448" s="274" t="s">
        <v>19</v>
      </c>
      <c r="H1448" s="274" t="s">
        <v>20</v>
      </c>
      <c r="I1448" s="274" t="s">
        <v>21</v>
      </c>
      <c r="J1448" s="274" t="s">
        <v>928</v>
      </c>
      <c r="K1448" s="274" t="s">
        <v>88</v>
      </c>
      <c r="L1448" s="274">
        <v>188</v>
      </c>
      <c r="M1448" s="274" t="s">
        <v>361</v>
      </c>
      <c r="N1448" s="274">
        <v>1130</v>
      </c>
      <c r="O1448" s="274">
        <v>1130</v>
      </c>
      <c r="P1448" s="274">
        <v>1620</v>
      </c>
      <c r="Q1448" s="274">
        <v>2</v>
      </c>
      <c r="R1448" s="274">
        <v>9</v>
      </c>
      <c r="S1448" s="274" t="s">
        <v>354</v>
      </c>
      <c r="T1448" s="274" t="s">
        <v>1539</v>
      </c>
      <c r="U1448" s="274" t="s">
        <v>1807</v>
      </c>
      <c r="V1448" s="274" t="s">
        <v>355</v>
      </c>
      <c r="W1448" s="274" t="s">
        <v>928</v>
      </c>
      <c r="X1448" s="274" t="s">
        <v>928</v>
      </c>
    </row>
    <row r="1449" spans="1:24" ht="13.5" x14ac:dyDescent="0.15">
      <c r="A1449" s="274">
        <v>3733419</v>
      </c>
      <c r="B1449" s="274" t="s">
        <v>351</v>
      </c>
      <c r="C1449" s="274" t="s">
        <v>1806</v>
      </c>
      <c r="D1449" s="274" t="s">
        <v>353</v>
      </c>
      <c r="E1449" s="274" t="s">
        <v>93</v>
      </c>
      <c r="F1449" s="274">
        <v>331</v>
      </c>
      <c r="G1449" s="274" t="s">
        <v>19</v>
      </c>
      <c r="H1449" s="274" t="s">
        <v>20</v>
      </c>
      <c r="I1449" s="274" t="s">
        <v>21</v>
      </c>
      <c r="J1449" s="274" t="s">
        <v>928</v>
      </c>
      <c r="K1449" s="274" t="s">
        <v>88</v>
      </c>
      <c r="L1449" s="274">
        <v>100</v>
      </c>
      <c r="M1449" s="274" t="s">
        <v>361</v>
      </c>
      <c r="N1449" s="274">
        <v>450</v>
      </c>
      <c r="O1449" s="274">
        <v>450</v>
      </c>
      <c r="P1449" s="274">
        <v>800</v>
      </c>
      <c r="Q1449" s="274">
        <v>2</v>
      </c>
      <c r="R1449" s="274">
        <v>48</v>
      </c>
      <c r="S1449" s="274" t="s">
        <v>354</v>
      </c>
      <c r="T1449" s="274" t="s">
        <v>1539</v>
      </c>
      <c r="U1449" s="274" t="s">
        <v>1807</v>
      </c>
      <c r="V1449" s="274" t="s">
        <v>355</v>
      </c>
      <c r="W1449" s="274" t="s">
        <v>928</v>
      </c>
      <c r="X1449" s="274" t="s">
        <v>928</v>
      </c>
    </row>
    <row r="1450" spans="1:24" ht="13.5" x14ac:dyDescent="0.15">
      <c r="A1450" s="274">
        <v>3734850</v>
      </c>
      <c r="B1450" s="274" t="s">
        <v>427</v>
      </c>
      <c r="C1450" s="274" t="s">
        <v>1808</v>
      </c>
      <c r="D1450" s="274" t="s">
        <v>353</v>
      </c>
      <c r="E1450" s="274" t="s">
        <v>61</v>
      </c>
      <c r="F1450" s="274">
        <v>3</v>
      </c>
      <c r="G1450" s="274" t="s">
        <v>269</v>
      </c>
      <c r="H1450" s="274" t="s">
        <v>20</v>
      </c>
      <c r="I1450" s="274" t="s">
        <v>21</v>
      </c>
      <c r="J1450" s="274" t="s">
        <v>928</v>
      </c>
      <c r="K1450" s="274" t="s">
        <v>292</v>
      </c>
      <c r="L1450" s="274">
        <v>38</v>
      </c>
      <c r="M1450" s="274" t="s">
        <v>293</v>
      </c>
      <c r="N1450" s="274">
        <v>750</v>
      </c>
      <c r="O1450" s="274">
        <v>750</v>
      </c>
      <c r="P1450" s="274">
        <v>6000</v>
      </c>
      <c r="Q1450" s="274">
        <v>2</v>
      </c>
      <c r="R1450" s="274">
        <v>8</v>
      </c>
      <c r="S1450" s="274" t="s">
        <v>354</v>
      </c>
      <c r="T1450" s="274" t="s">
        <v>1813</v>
      </c>
      <c r="U1450" s="274" t="s">
        <v>1813</v>
      </c>
      <c r="V1450" s="274" t="s">
        <v>428</v>
      </c>
      <c r="W1450" s="274" t="s">
        <v>928</v>
      </c>
      <c r="X1450" s="274" t="s">
        <v>928</v>
      </c>
    </row>
    <row r="1451" spans="1:24" ht="13.5" x14ac:dyDescent="0.15">
      <c r="A1451" s="274">
        <v>3734851</v>
      </c>
      <c r="B1451" s="274" t="s">
        <v>427</v>
      </c>
      <c r="C1451" s="274" t="s">
        <v>1808</v>
      </c>
      <c r="D1451" s="274" t="s">
        <v>353</v>
      </c>
      <c r="E1451" s="274" t="s">
        <v>61</v>
      </c>
      <c r="F1451" s="274">
        <v>3</v>
      </c>
      <c r="G1451" s="274" t="s">
        <v>269</v>
      </c>
      <c r="H1451" s="274" t="s">
        <v>20</v>
      </c>
      <c r="I1451" s="274" t="s">
        <v>21</v>
      </c>
      <c r="J1451" s="274" t="s">
        <v>928</v>
      </c>
      <c r="K1451" s="274" t="s">
        <v>292</v>
      </c>
      <c r="L1451" s="274">
        <v>38</v>
      </c>
      <c r="M1451" s="274" t="s">
        <v>293</v>
      </c>
      <c r="N1451" s="274">
        <v>750</v>
      </c>
      <c r="O1451" s="274">
        <v>750</v>
      </c>
      <c r="P1451" s="274">
        <v>6000</v>
      </c>
      <c r="Q1451" s="274">
        <v>2</v>
      </c>
      <c r="R1451" s="274">
        <v>2</v>
      </c>
      <c r="S1451" s="274" t="s">
        <v>354</v>
      </c>
      <c r="T1451" s="274" t="s">
        <v>1813</v>
      </c>
      <c r="U1451" s="274" t="s">
        <v>1813</v>
      </c>
      <c r="V1451" s="274" t="s">
        <v>428</v>
      </c>
      <c r="W1451" s="274" t="s">
        <v>928</v>
      </c>
      <c r="X1451" s="274" t="s">
        <v>928</v>
      </c>
    </row>
    <row r="1452" spans="1:24" ht="13.5" x14ac:dyDescent="0.15">
      <c r="A1452" s="274">
        <v>3734852</v>
      </c>
      <c r="B1452" s="274" t="s">
        <v>427</v>
      </c>
      <c r="C1452" s="274" t="s">
        <v>1808</v>
      </c>
      <c r="D1452" s="274" t="s">
        <v>353</v>
      </c>
      <c r="E1452" s="274" t="s">
        <v>61</v>
      </c>
      <c r="F1452" s="274">
        <v>3</v>
      </c>
      <c r="G1452" s="274" t="s">
        <v>269</v>
      </c>
      <c r="H1452" s="274" t="s">
        <v>20</v>
      </c>
      <c r="I1452" s="274" t="s">
        <v>21</v>
      </c>
      <c r="J1452" s="274" t="s">
        <v>928</v>
      </c>
      <c r="K1452" s="274" t="s">
        <v>292</v>
      </c>
      <c r="L1452" s="274">
        <v>38</v>
      </c>
      <c r="M1452" s="274" t="s">
        <v>293</v>
      </c>
      <c r="N1452" s="274">
        <v>1250</v>
      </c>
      <c r="O1452" s="274">
        <v>1250</v>
      </c>
      <c r="P1452" s="274">
        <v>6000</v>
      </c>
      <c r="Q1452" s="274">
        <v>2</v>
      </c>
      <c r="R1452" s="274">
        <v>15</v>
      </c>
      <c r="S1452" s="274" t="s">
        <v>354</v>
      </c>
      <c r="T1452" s="274" t="s">
        <v>1813</v>
      </c>
      <c r="U1452" s="274" t="s">
        <v>1813</v>
      </c>
      <c r="V1452" s="274" t="s">
        <v>428</v>
      </c>
      <c r="W1452" s="274" t="s">
        <v>928</v>
      </c>
      <c r="X1452" s="274" t="s">
        <v>928</v>
      </c>
    </row>
    <row r="1453" spans="1:24" ht="13.5" x14ac:dyDescent="0.15">
      <c r="A1453" s="274">
        <v>3735069</v>
      </c>
      <c r="B1453" s="274" t="s">
        <v>351</v>
      </c>
      <c r="C1453" s="274" t="s">
        <v>1801</v>
      </c>
      <c r="D1453" s="274" t="s">
        <v>353</v>
      </c>
      <c r="E1453" s="274" t="s">
        <v>32</v>
      </c>
      <c r="F1453" s="274">
        <v>331</v>
      </c>
      <c r="G1453" s="274" t="s">
        <v>19</v>
      </c>
      <c r="H1453" s="274" t="s">
        <v>20</v>
      </c>
      <c r="I1453" s="274" t="s">
        <v>21</v>
      </c>
      <c r="J1453" s="274" t="s">
        <v>928</v>
      </c>
      <c r="K1453" s="274" t="s">
        <v>54</v>
      </c>
      <c r="L1453" s="274">
        <v>38</v>
      </c>
      <c r="M1453" s="274" t="s">
        <v>53</v>
      </c>
      <c r="N1453" s="274">
        <v>1580</v>
      </c>
      <c r="O1453" s="274">
        <v>1580</v>
      </c>
      <c r="P1453" s="274">
        <v>6000</v>
      </c>
      <c r="Q1453" s="274">
        <v>2</v>
      </c>
      <c r="R1453" s="274">
        <v>8</v>
      </c>
      <c r="S1453" s="274" t="s">
        <v>354</v>
      </c>
      <c r="T1453" s="274" t="s">
        <v>1814</v>
      </c>
      <c r="U1453" s="274" t="s">
        <v>1815</v>
      </c>
      <c r="V1453" s="274" t="s">
        <v>355</v>
      </c>
      <c r="W1453" s="274" t="s">
        <v>928</v>
      </c>
      <c r="X1453" s="274" t="s">
        <v>928</v>
      </c>
    </row>
    <row r="1454" spans="1:24" ht="13.5" x14ac:dyDescent="0.15">
      <c r="A1454" s="274">
        <v>3735070</v>
      </c>
      <c r="B1454" s="274" t="s">
        <v>351</v>
      </c>
      <c r="C1454" s="274" t="s">
        <v>1801</v>
      </c>
      <c r="D1454" s="274" t="s">
        <v>353</v>
      </c>
      <c r="E1454" s="274" t="s">
        <v>17</v>
      </c>
      <c r="F1454" s="274">
        <v>331</v>
      </c>
      <c r="G1454" s="274" t="s">
        <v>19</v>
      </c>
      <c r="H1454" s="274" t="s">
        <v>20</v>
      </c>
      <c r="I1454" s="274" t="s">
        <v>21</v>
      </c>
      <c r="J1454" s="274" t="s">
        <v>928</v>
      </c>
      <c r="K1454" s="274" t="s">
        <v>52</v>
      </c>
      <c r="L1454" s="274">
        <v>38</v>
      </c>
      <c r="M1454" s="274" t="s">
        <v>53</v>
      </c>
      <c r="N1454" s="274">
        <v>1330</v>
      </c>
      <c r="O1454" s="274">
        <v>1330</v>
      </c>
      <c r="P1454" s="274">
        <v>6000</v>
      </c>
      <c r="Q1454" s="274">
        <v>2</v>
      </c>
      <c r="R1454" s="274">
        <v>10</v>
      </c>
      <c r="S1454" s="274" t="s">
        <v>354</v>
      </c>
      <c r="T1454" s="274" t="s">
        <v>1814</v>
      </c>
      <c r="U1454" s="274" t="s">
        <v>1815</v>
      </c>
      <c r="V1454" s="274" t="s">
        <v>355</v>
      </c>
      <c r="W1454" s="274" t="s">
        <v>928</v>
      </c>
      <c r="X1454" s="274" t="s">
        <v>928</v>
      </c>
    </row>
    <row r="1455" spans="1:24" ht="13.5" x14ac:dyDescent="0.15">
      <c r="A1455" s="274">
        <v>3735071</v>
      </c>
      <c r="B1455" s="274" t="s">
        <v>351</v>
      </c>
      <c r="C1455" s="274" t="s">
        <v>1801</v>
      </c>
      <c r="D1455" s="274" t="s">
        <v>353</v>
      </c>
      <c r="E1455" s="274" t="s">
        <v>32</v>
      </c>
      <c r="F1455" s="274">
        <v>3</v>
      </c>
      <c r="G1455" s="274" t="s">
        <v>19</v>
      </c>
      <c r="H1455" s="274" t="s">
        <v>20</v>
      </c>
      <c r="I1455" s="274" t="s">
        <v>21</v>
      </c>
      <c r="J1455" s="274" t="s">
        <v>928</v>
      </c>
      <c r="K1455" s="274" t="s">
        <v>56</v>
      </c>
      <c r="L1455" s="274">
        <v>75</v>
      </c>
      <c r="M1455" s="274" t="s">
        <v>376</v>
      </c>
      <c r="N1455" s="274">
        <v>1330</v>
      </c>
      <c r="O1455" s="274">
        <v>1330</v>
      </c>
      <c r="P1455" s="274">
        <v>4100</v>
      </c>
      <c r="Q1455" s="274">
        <v>2</v>
      </c>
      <c r="R1455" s="274">
        <v>13</v>
      </c>
      <c r="S1455" s="274" t="s">
        <v>354</v>
      </c>
      <c r="T1455" s="274" t="s">
        <v>1814</v>
      </c>
      <c r="U1455" s="274" t="s">
        <v>1815</v>
      </c>
      <c r="V1455" s="274" t="s">
        <v>355</v>
      </c>
      <c r="W1455" s="274" t="s">
        <v>928</v>
      </c>
      <c r="X1455" s="274" t="s">
        <v>928</v>
      </c>
    </row>
    <row r="1456" spans="1:24" ht="13.5" x14ac:dyDescent="0.15">
      <c r="A1456" s="274">
        <v>3735072</v>
      </c>
      <c r="B1456" s="274" t="s">
        <v>351</v>
      </c>
      <c r="C1456" s="274" t="s">
        <v>1801</v>
      </c>
      <c r="D1456" s="274" t="s">
        <v>353</v>
      </c>
      <c r="E1456" s="274" t="s">
        <v>32</v>
      </c>
      <c r="F1456" s="274">
        <v>3</v>
      </c>
      <c r="G1456" s="274" t="s">
        <v>19</v>
      </c>
      <c r="H1456" s="274" t="s">
        <v>20</v>
      </c>
      <c r="I1456" s="274" t="s">
        <v>21</v>
      </c>
      <c r="J1456" s="274" t="s">
        <v>928</v>
      </c>
      <c r="K1456" s="274" t="s">
        <v>56</v>
      </c>
      <c r="L1456" s="274">
        <v>75</v>
      </c>
      <c r="M1456" s="274" t="s">
        <v>376</v>
      </c>
      <c r="N1456" s="274">
        <v>1330</v>
      </c>
      <c r="O1456" s="274">
        <v>1330</v>
      </c>
      <c r="P1456" s="274">
        <v>4100</v>
      </c>
      <c r="Q1456" s="274">
        <v>2</v>
      </c>
      <c r="R1456" s="274">
        <v>13</v>
      </c>
      <c r="S1456" s="274" t="s">
        <v>354</v>
      </c>
      <c r="T1456" s="274" t="s">
        <v>1814</v>
      </c>
      <c r="U1456" s="274" t="s">
        <v>1815</v>
      </c>
      <c r="V1456" s="274" t="s">
        <v>355</v>
      </c>
      <c r="W1456" s="274" t="s">
        <v>928</v>
      </c>
      <c r="X1456" s="274" t="s">
        <v>928</v>
      </c>
    </row>
    <row r="1457" spans="1:24" ht="13.5" x14ac:dyDescent="0.15">
      <c r="A1457" s="274">
        <v>3735073</v>
      </c>
      <c r="B1457" s="274" t="s">
        <v>431</v>
      </c>
      <c r="C1457" s="274" t="s">
        <v>1808</v>
      </c>
      <c r="D1457" s="274" t="s">
        <v>353</v>
      </c>
      <c r="E1457" s="274" t="s">
        <v>1687</v>
      </c>
      <c r="F1457" s="274">
        <v>3</v>
      </c>
      <c r="G1457" s="274" t="s">
        <v>265</v>
      </c>
      <c r="H1457" s="274" t="s">
        <v>20</v>
      </c>
      <c r="I1457" s="274" t="s">
        <v>21</v>
      </c>
      <c r="J1457" s="274" t="s">
        <v>928</v>
      </c>
      <c r="K1457" s="274" t="s">
        <v>632</v>
      </c>
      <c r="L1457" s="274">
        <v>25</v>
      </c>
      <c r="M1457" s="274" t="s">
        <v>633</v>
      </c>
      <c r="N1457" s="274">
        <v>1100</v>
      </c>
      <c r="O1457" s="274">
        <v>1100</v>
      </c>
      <c r="P1457" s="274">
        <v>4070</v>
      </c>
      <c r="Q1457" s="274">
        <v>2</v>
      </c>
      <c r="R1457" s="274">
        <v>15</v>
      </c>
      <c r="S1457" s="274" t="s">
        <v>354</v>
      </c>
      <c r="T1457" s="274" t="s">
        <v>1814</v>
      </c>
      <c r="U1457" s="274" t="s">
        <v>1815</v>
      </c>
      <c r="V1457" s="274" t="s">
        <v>355</v>
      </c>
      <c r="W1457" s="274" t="s">
        <v>928</v>
      </c>
      <c r="X1457" s="274" t="s">
        <v>928</v>
      </c>
    </row>
    <row r="1458" spans="1:24" ht="13.5" x14ac:dyDescent="0.15">
      <c r="A1458" s="274">
        <v>3735074</v>
      </c>
      <c r="B1458" s="274" t="s">
        <v>351</v>
      </c>
      <c r="C1458" s="274" t="s">
        <v>1806</v>
      </c>
      <c r="D1458" s="274" t="s">
        <v>353</v>
      </c>
      <c r="E1458" s="274" t="s">
        <v>371</v>
      </c>
      <c r="F1458" s="274">
        <v>3</v>
      </c>
      <c r="G1458" s="274" t="s">
        <v>19</v>
      </c>
      <c r="H1458" s="274" t="s">
        <v>28</v>
      </c>
      <c r="I1458" s="274" t="s">
        <v>21</v>
      </c>
      <c r="J1458" s="274" t="s">
        <v>928</v>
      </c>
      <c r="K1458" s="274" t="s">
        <v>60</v>
      </c>
      <c r="L1458" s="274">
        <v>75</v>
      </c>
      <c r="M1458" s="274" t="s">
        <v>372</v>
      </c>
      <c r="N1458" s="274">
        <v>1040</v>
      </c>
      <c r="O1458" s="274">
        <v>1040</v>
      </c>
      <c r="P1458" s="274">
        <v>4000</v>
      </c>
      <c r="Q1458" s="274">
        <v>1</v>
      </c>
      <c r="R1458" s="274">
        <v>3</v>
      </c>
      <c r="S1458" s="274" t="s">
        <v>354</v>
      </c>
      <c r="T1458" s="274" t="s">
        <v>1814</v>
      </c>
      <c r="U1458" s="274" t="s">
        <v>1816</v>
      </c>
      <c r="V1458" s="274" t="s">
        <v>355</v>
      </c>
      <c r="W1458" s="274" t="s">
        <v>928</v>
      </c>
      <c r="X1458" s="274" t="s">
        <v>928</v>
      </c>
    </row>
    <row r="1459" spans="1:24" ht="13.5" x14ac:dyDescent="0.15">
      <c r="A1459" s="274">
        <v>3735075</v>
      </c>
      <c r="B1459" s="274" t="s">
        <v>351</v>
      </c>
      <c r="C1459" s="274" t="s">
        <v>1806</v>
      </c>
      <c r="D1459" s="274" t="s">
        <v>353</v>
      </c>
      <c r="E1459" s="274" t="s">
        <v>116</v>
      </c>
      <c r="F1459" s="274">
        <v>3</v>
      </c>
      <c r="G1459" s="274" t="s">
        <v>19</v>
      </c>
      <c r="H1459" s="274" t="s">
        <v>20</v>
      </c>
      <c r="I1459" s="274" t="s">
        <v>21</v>
      </c>
      <c r="J1459" s="274" t="s">
        <v>928</v>
      </c>
      <c r="K1459" s="274" t="s">
        <v>118</v>
      </c>
      <c r="L1459" s="274">
        <v>38</v>
      </c>
      <c r="M1459" s="274" t="s">
        <v>368</v>
      </c>
      <c r="N1459" s="274">
        <v>1415</v>
      </c>
      <c r="O1459" s="274">
        <v>1410</v>
      </c>
      <c r="P1459" s="274">
        <v>8000</v>
      </c>
      <c r="Q1459" s="274">
        <v>2</v>
      </c>
      <c r="R1459" s="274">
        <v>3</v>
      </c>
      <c r="S1459" s="274" t="s">
        <v>354</v>
      </c>
      <c r="T1459" s="274" t="s">
        <v>1814</v>
      </c>
      <c r="U1459" s="274" t="s">
        <v>1816</v>
      </c>
      <c r="V1459" s="274" t="s">
        <v>355</v>
      </c>
      <c r="W1459" s="274" t="s">
        <v>928</v>
      </c>
      <c r="X1459" s="274" t="s">
        <v>928</v>
      </c>
    </row>
    <row r="1460" spans="1:24" ht="13.5" x14ac:dyDescent="0.15">
      <c r="A1460" s="274">
        <v>3735076</v>
      </c>
      <c r="B1460" s="274" t="s">
        <v>351</v>
      </c>
      <c r="C1460" s="274" t="s">
        <v>1801</v>
      </c>
      <c r="D1460" s="274" t="s">
        <v>353</v>
      </c>
      <c r="E1460" s="274" t="s">
        <v>17</v>
      </c>
      <c r="F1460" s="274">
        <v>3</v>
      </c>
      <c r="G1460" s="274" t="s">
        <v>19</v>
      </c>
      <c r="H1460" s="274" t="s">
        <v>20</v>
      </c>
      <c r="I1460" s="274" t="s">
        <v>21</v>
      </c>
      <c r="J1460" s="274" t="s">
        <v>928</v>
      </c>
      <c r="K1460" s="274" t="s">
        <v>104</v>
      </c>
      <c r="L1460" s="274">
        <v>25</v>
      </c>
      <c r="M1460" s="274" t="s">
        <v>375</v>
      </c>
      <c r="N1460" s="274">
        <v>1325</v>
      </c>
      <c r="O1460" s="274">
        <v>1320</v>
      </c>
      <c r="P1460" s="274">
        <v>6000</v>
      </c>
      <c r="Q1460" s="274">
        <v>2</v>
      </c>
      <c r="R1460" s="274">
        <v>2</v>
      </c>
      <c r="S1460" s="274" t="s">
        <v>354</v>
      </c>
      <c r="T1460" s="274" t="s">
        <v>1814</v>
      </c>
      <c r="U1460" s="274" t="s">
        <v>1815</v>
      </c>
      <c r="V1460" s="274" t="s">
        <v>355</v>
      </c>
      <c r="W1460" s="274" t="s">
        <v>928</v>
      </c>
      <c r="X1460" s="274" t="s">
        <v>928</v>
      </c>
    </row>
    <row r="1461" spans="1:24" ht="13.5" x14ac:dyDescent="0.15">
      <c r="A1461" s="274">
        <v>3735077</v>
      </c>
      <c r="B1461" s="274" t="s">
        <v>351</v>
      </c>
      <c r="C1461" s="274" t="s">
        <v>1801</v>
      </c>
      <c r="D1461" s="274" t="s">
        <v>353</v>
      </c>
      <c r="E1461" s="274" t="s">
        <v>106</v>
      </c>
      <c r="F1461" s="274">
        <v>3</v>
      </c>
      <c r="G1461" s="274" t="s">
        <v>19</v>
      </c>
      <c r="H1461" s="274" t="s">
        <v>20</v>
      </c>
      <c r="I1461" s="274" t="s">
        <v>21</v>
      </c>
      <c r="J1461" s="274" t="s">
        <v>928</v>
      </c>
      <c r="K1461" s="274" t="s">
        <v>107</v>
      </c>
      <c r="L1461" s="274">
        <v>25</v>
      </c>
      <c r="M1461" s="274" t="s">
        <v>367</v>
      </c>
      <c r="N1461" s="274">
        <v>1240</v>
      </c>
      <c r="O1461" s="274">
        <v>1240</v>
      </c>
      <c r="P1461" s="274">
        <v>6000</v>
      </c>
      <c r="Q1461" s="274">
        <v>2</v>
      </c>
      <c r="R1461" s="274">
        <v>10</v>
      </c>
      <c r="S1461" s="274" t="s">
        <v>354</v>
      </c>
      <c r="T1461" s="274" t="s">
        <v>1814</v>
      </c>
      <c r="U1461" s="274" t="s">
        <v>1815</v>
      </c>
      <c r="V1461" s="274" t="s">
        <v>355</v>
      </c>
      <c r="W1461" s="274" t="s">
        <v>928</v>
      </c>
      <c r="X1461" s="274" t="s">
        <v>928</v>
      </c>
    </row>
    <row r="1462" spans="1:24" ht="13.5" x14ac:dyDescent="0.15">
      <c r="A1462" s="274">
        <v>3735078</v>
      </c>
      <c r="B1462" s="274" t="s">
        <v>351</v>
      </c>
      <c r="C1462" s="274" t="s">
        <v>1801</v>
      </c>
      <c r="D1462" s="274" t="s">
        <v>353</v>
      </c>
      <c r="E1462" s="274" t="s">
        <v>106</v>
      </c>
      <c r="F1462" s="274">
        <v>3</v>
      </c>
      <c r="G1462" s="274" t="s">
        <v>19</v>
      </c>
      <c r="H1462" s="274" t="s">
        <v>20</v>
      </c>
      <c r="I1462" s="274" t="s">
        <v>21</v>
      </c>
      <c r="J1462" s="274" t="s">
        <v>928</v>
      </c>
      <c r="K1462" s="274" t="s">
        <v>107</v>
      </c>
      <c r="L1462" s="274">
        <v>38</v>
      </c>
      <c r="M1462" s="274" t="s">
        <v>367</v>
      </c>
      <c r="N1462" s="274">
        <v>1240</v>
      </c>
      <c r="O1462" s="274">
        <v>1240</v>
      </c>
      <c r="P1462" s="274">
        <v>6000</v>
      </c>
      <c r="Q1462" s="274">
        <v>2</v>
      </c>
      <c r="R1462" s="274">
        <v>10</v>
      </c>
      <c r="S1462" s="274" t="s">
        <v>354</v>
      </c>
      <c r="T1462" s="274" t="s">
        <v>1814</v>
      </c>
      <c r="U1462" s="274" t="s">
        <v>1815</v>
      </c>
      <c r="V1462" s="274" t="s">
        <v>355</v>
      </c>
      <c r="W1462" s="274" t="s">
        <v>928</v>
      </c>
      <c r="X1462" s="274" t="s">
        <v>928</v>
      </c>
    </row>
    <row r="1463" spans="1:24" ht="13.5" x14ac:dyDescent="0.15">
      <c r="A1463" s="274">
        <v>3735079</v>
      </c>
      <c r="B1463" s="274" t="s">
        <v>431</v>
      </c>
      <c r="C1463" s="274" t="s">
        <v>1808</v>
      </c>
      <c r="D1463" s="274" t="s">
        <v>353</v>
      </c>
      <c r="E1463" s="274" t="s">
        <v>928</v>
      </c>
      <c r="F1463" s="274">
        <v>3</v>
      </c>
      <c r="G1463" s="274" t="s">
        <v>265</v>
      </c>
      <c r="H1463" s="274" t="s">
        <v>20</v>
      </c>
      <c r="I1463" s="274" t="s">
        <v>21</v>
      </c>
      <c r="J1463" s="274" t="s">
        <v>928</v>
      </c>
      <c r="K1463" s="274" t="s">
        <v>118</v>
      </c>
      <c r="L1463" s="274">
        <v>25</v>
      </c>
      <c r="M1463" s="274" t="s">
        <v>119</v>
      </c>
      <c r="N1463" s="274">
        <v>1100</v>
      </c>
      <c r="O1463" s="274">
        <v>1100</v>
      </c>
      <c r="P1463" s="274">
        <v>12000</v>
      </c>
      <c r="Q1463" s="274">
        <v>2</v>
      </c>
      <c r="R1463" s="274">
        <v>30</v>
      </c>
      <c r="S1463" s="274" t="s">
        <v>354</v>
      </c>
      <c r="T1463" s="274" t="s">
        <v>1814</v>
      </c>
      <c r="U1463" s="274" t="s">
        <v>1815</v>
      </c>
      <c r="V1463" s="274" t="s">
        <v>355</v>
      </c>
      <c r="W1463" s="274" t="s">
        <v>928</v>
      </c>
      <c r="X1463" s="274" t="s">
        <v>928</v>
      </c>
    </row>
    <row r="1464" spans="1:24" ht="13.5" x14ac:dyDescent="0.15">
      <c r="A1464" s="274">
        <v>3735080</v>
      </c>
      <c r="B1464" s="274" t="s">
        <v>351</v>
      </c>
      <c r="C1464" s="274" t="s">
        <v>1808</v>
      </c>
      <c r="D1464" s="274" t="s">
        <v>353</v>
      </c>
      <c r="E1464" s="274" t="s">
        <v>110</v>
      </c>
      <c r="F1464" s="274">
        <v>331</v>
      </c>
      <c r="G1464" s="274" t="s">
        <v>19</v>
      </c>
      <c r="H1464" s="274" t="s">
        <v>20</v>
      </c>
      <c r="I1464" s="274" t="s">
        <v>21</v>
      </c>
      <c r="J1464" s="274" t="s">
        <v>928</v>
      </c>
      <c r="K1464" s="274" t="s">
        <v>112</v>
      </c>
      <c r="L1464" s="274">
        <v>25</v>
      </c>
      <c r="M1464" s="274" t="s">
        <v>357</v>
      </c>
      <c r="N1464" s="274">
        <v>450</v>
      </c>
      <c r="O1464" s="274">
        <v>450</v>
      </c>
      <c r="P1464" s="274">
        <v>4000</v>
      </c>
      <c r="Q1464" s="274">
        <v>2</v>
      </c>
      <c r="R1464" s="274">
        <v>6</v>
      </c>
      <c r="S1464" s="274" t="s">
        <v>354</v>
      </c>
      <c r="T1464" s="274" t="s">
        <v>1814</v>
      </c>
      <c r="U1464" s="274" t="s">
        <v>1817</v>
      </c>
      <c r="V1464" s="274" t="s">
        <v>355</v>
      </c>
      <c r="W1464" s="274" t="s">
        <v>928</v>
      </c>
      <c r="X1464" s="274" t="s">
        <v>928</v>
      </c>
    </row>
    <row r="1465" spans="1:24" ht="13.5" x14ac:dyDescent="0.15">
      <c r="A1465" s="274">
        <v>3735081</v>
      </c>
      <c r="B1465" s="274" t="s">
        <v>351</v>
      </c>
      <c r="C1465" s="274" t="s">
        <v>1801</v>
      </c>
      <c r="D1465" s="274" t="s">
        <v>353</v>
      </c>
      <c r="E1465" s="274" t="s">
        <v>106</v>
      </c>
      <c r="F1465" s="274">
        <v>3</v>
      </c>
      <c r="G1465" s="274" t="s">
        <v>19</v>
      </c>
      <c r="H1465" s="274" t="s">
        <v>20</v>
      </c>
      <c r="I1465" s="274" t="s">
        <v>21</v>
      </c>
      <c r="J1465" s="274" t="s">
        <v>928</v>
      </c>
      <c r="K1465" s="274" t="s">
        <v>107</v>
      </c>
      <c r="L1465" s="274">
        <v>25</v>
      </c>
      <c r="M1465" s="274" t="s">
        <v>367</v>
      </c>
      <c r="N1465" s="274">
        <v>1040</v>
      </c>
      <c r="O1465" s="274">
        <v>1040</v>
      </c>
      <c r="P1465" s="274">
        <v>6000</v>
      </c>
      <c r="Q1465" s="274">
        <v>2</v>
      </c>
      <c r="R1465" s="274">
        <v>46</v>
      </c>
      <c r="S1465" s="274" t="s">
        <v>354</v>
      </c>
      <c r="T1465" s="274" t="s">
        <v>1814</v>
      </c>
      <c r="U1465" s="274" t="s">
        <v>1815</v>
      </c>
      <c r="V1465" s="274" t="s">
        <v>355</v>
      </c>
      <c r="W1465" s="274" t="s">
        <v>928</v>
      </c>
      <c r="X1465" s="274" t="s">
        <v>928</v>
      </c>
    </row>
    <row r="1466" spans="1:24" ht="13.5" x14ac:dyDescent="0.15">
      <c r="A1466" s="274">
        <v>3735082</v>
      </c>
      <c r="B1466" s="274" t="s">
        <v>351</v>
      </c>
      <c r="C1466" s="274" t="s">
        <v>1806</v>
      </c>
      <c r="D1466" s="274" t="s">
        <v>353</v>
      </c>
      <c r="E1466" s="274" t="s">
        <v>116</v>
      </c>
      <c r="F1466" s="274">
        <v>3</v>
      </c>
      <c r="G1466" s="274" t="s">
        <v>19</v>
      </c>
      <c r="H1466" s="274" t="s">
        <v>20</v>
      </c>
      <c r="I1466" s="274" t="s">
        <v>21</v>
      </c>
      <c r="J1466" s="274" t="s">
        <v>928</v>
      </c>
      <c r="K1466" s="274" t="s">
        <v>118</v>
      </c>
      <c r="L1466" s="274">
        <v>38</v>
      </c>
      <c r="M1466" s="274" t="s">
        <v>368</v>
      </c>
      <c r="N1466" s="274">
        <v>1005</v>
      </c>
      <c r="O1466" s="274">
        <v>1000</v>
      </c>
      <c r="P1466" s="274">
        <v>8000</v>
      </c>
      <c r="Q1466" s="274">
        <v>2</v>
      </c>
      <c r="R1466" s="274">
        <v>2</v>
      </c>
      <c r="S1466" s="274" t="s">
        <v>354</v>
      </c>
      <c r="T1466" s="274" t="s">
        <v>1814</v>
      </c>
      <c r="U1466" s="274" t="s">
        <v>1818</v>
      </c>
      <c r="V1466" s="274" t="s">
        <v>355</v>
      </c>
      <c r="W1466" s="274" t="s">
        <v>928</v>
      </c>
      <c r="X1466" s="274" t="s">
        <v>928</v>
      </c>
    </row>
    <row r="1467" spans="1:24" ht="13.5" x14ac:dyDescent="0.15">
      <c r="A1467" s="274">
        <v>3735083</v>
      </c>
      <c r="B1467" s="274" t="s">
        <v>351</v>
      </c>
      <c r="C1467" s="274" t="s">
        <v>1801</v>
      </c>
      <c r="D1467" s="274" t="s">
        <v>353</v>
      </c>
      <c r="E1467" s="274" t="s">
        <v>32</v>
      </c>
      <c r="F1467" s="274">
        <v>331</v>
      </c>
      <c r="G1467" s="274" t="s">
        <v>19</v>
      </c>
      <c r="H1467" s="274" t="s">
        <v>20</v>
      </c>
      <c r="I1467" s="274" t="s">
        <v>21</v>
      </c>
      <c r="J1467" s="274" t="s">
        <v>928</v>
      </c>
      <c r="K1467" s="274" t="s">
        <v>33</v>
      </c>
      <c r="L1467" s="274">
        <v>38</v>
      </c>
      <c r="M1467" s="274" t="s">
        <v>30</v>
      </c>
      <c r="N1467" s="274">
        <v>1580</v>
      </c>
      <c r="O1467" s="274">
        <v>1580</v>
      </c>
      <c r="P1467" s="274">
        <v>6000</v>
      </c>
      <c r="Q1467" s="274">
        <v>2</v>
      </c>
      <c r="R1467" s="274">
        <v>14</v>
      </c>
      <c r="S1467" s="274" t="s">
        <v>354</v>
      </c>
      <c r="T1467" s="274" t="s">
        <v>1814</v>
      </c>
      <c r="U1467" s="274" t="s">
        <v>1815</v>
      </c>
      <c r="V1467" s="274" t="s">
        <v>355</v>
      </c>
      <c r="W1467" s="274" t="s">
        <v>928</v>
      </c>
      <c r="X1467" s="274" t="s">
        <v>928</v>
      </c>
    </row>
    <row r="1468" spans="1:24" ht="13.5" x14ac:dyDescent="0.15">
      <c r="A1468" s="274">
        <v>3735084</v>
      </c>
      <c r="B1468" s="274" t="s">
        <v>351</v>
      </c>
      <c r="C1468" s="274" t="s">
        <v>1801</v>
      </c>
      <c r="D1468" s="274" t="s">
        <v>353</v>
      </c>
      <c r="E1468" s="274" t="s">
        <v>32</v>
      </c>
      <c r="F1468" s="274">
        <v>331</v>
      </c>
      <c r="G1468" s="274" t="s">
        <v>19</v>
      </c>
      <c r="H1468" s="274" t="s">
        <v>20</v>
      </c>
      <c r="I1468" s="274" t="s">
        <v>21</v>
      </c>
      <c r="J1468" s="274" t="s">
        <v>928</v>
      </c>
      <c r="K1468" s="274" t="s">
        <v>33</v>
      </c>
      <c r="L1468" s="274">
        <v>38</v>
      </c>
      <c r="M1468" s="274" t="s">
        <v>30</v>
      </c>
      <c r="N1468" s="274">
        <v>1330</v>
      </c>
      <c r="O1468" s="274">
        <v>1330</v>
      </c>
      <c r="P1468" s="274">
        <v>6000</v>
      </c>
      <c r="Q1468" s="274">
        <v>2</v>
      </c>
      <c r="R1468" s="274">
        <v>16</v>
      </c>
      <c r="S1468" s="274" t="s">
        <v>354</v>
      </c>
      <c r="T1468" s="274" t="s">
        <v>1814</v>
      </c>
      <c r="U1468" s="274" t="s">
        <v>1815</v>
      </c>
      <c r="V1468" s="274" t="s">
        <v>355</v>
      </c>
      <c r="W1468" s="274" t="s">
        <v>928</v>
      </c>
      <c r="X1468" s="274" t="s">
        <v>928</v>
      </c>
    </row>
    <row r="1469" spans="1:24" ht="13.5" x14ac:dyDescent="0.15">
      <c r="A1469" s="274">
        <v>3735085</v>
      </c>
      <c r="B1469" s="274" t="s">
        <v>351</v>
      </c>
      <c r="C1469" s="274" t="s">
        <v>1801</v>
      </c>
      <c r="D1469" s="274" t="s">
        <v>353</v>
      </c>
      <c r="E1469" s="274" t="s">
        <v>32</v>
      </c>
      <c r="F1469" s="274">
        <v>331</v>
      </c>
      <c r="G1469" s="274" t="s">
        <v>19</v>
      </c>
      <c r="H1469" s="274" t="s">
        <v>20</v>
      </c>
      <c r="I1469" s="274" t="s">
        <v>21</v>
      </c>
      <c r="J1469" s="274" t="s">
        <v>928</v>
      </c>
      <c r="K1469" s="274" t="s">
        <v>33</v>
      </c>
      <c r="L1469" s="274">
        <v>38</v>
      </c>
      <c r="M1469" s="274" t="s">
        <v>30</v>
      </c>
      <c r="N1469" s="274">
        <v>1330</v>
      </c>
      <c r="O1469" s="274">
        <v>1330</v>
      </c>
      <c r="P1469" s="274">
        <v>6000</v>
      </c>
      <c r="Q1469" s="274">
        <v>2</v>
      </c>
      <c r="R1469" s="274">
        <v>14</v>
      </c>
      <c r="S1469" s="274" t="s">
        <v>354</v>
      </c>
      <c r="T1469" s="274" t="s">
        <v>1814</v>
      </c>
      <c r="U1469" s="274" t="s">
        <v>1815</v>
      </c>
      <c r="V1469" s="274" t="s">
        <v>355</v>
      </c>
      <c r="W1469" s="274" t="s">
        <v>928</v>
      </c>
      <c r="X1469" s="274" t="s">
        <v>928</v>
      </c>
    </row>
    <row r="1470" spans="1:24" ht="13.5" x14ac:dyDescent="0.15">
      <c r="A1470" s="274">
        <v>3735086</v>
      </c>
      <c r="B1470" s="274" t="s">
        <v>351</v>
      </c>
      <c r="C1470" s="274" t="s">
        <v>1801</v>
      </c>
      <c r="D1470" s="274" t="s">
        <v>353</v>
      </c>
      <c r="E1470" s="274" t="s">
        <v>17</v>
      </c>
      <c r="F1470" s="274">
        <v>3</v>
      </c>
      <c r="G1470" s="274" t="s">
        <v>19</v>
      </c>
      <c r="H1470" s="274" t="s">
        <v>20</v>
      </c>
      <c r="I1470" s="274" t="s">
        <v>21</v>
      </c>
      <c r="J1470" s="274" t="s">
        <v>928</v>
      </c>
      <c r="K1470" s="274" t="s">
        <v>22</v>
      </c>
      <c r="L1470" s="274">
        <v>38</v>
      </c>
      <c r="M1470" s="274" t="s">
        <v>23</v>
      </c>
      <c r="N1470" s="274">
        <v>1057</v>
      </c>
      <c r="O1470" s="274">
        <v>1050</v>
      </c>
      <c r="P1470" s="274">
        <v>8400</v>
      </c>
      <c r="Q1470" s="274">
        <v>2</v>
      </c>
      <c r="R1470" s="274">
        <v>6</v>
      </c>
      <c r="S1470" s="274" t="s">
        <v>354</v>
      </c>
      <c r="T1470" s="274" t="s">
        <v>1814</v>
      </c>
      <c r="U1470" s="274" t="s">
        <v>1815</v>
      </c>
      <c r="V1470" s="274" t="s">
        <v>355</v>
      </c>
      <c r="W1470" s="274" t="s">
        <v>928</v>
      </c>
      <c r="X1470" s="274" t="s">
        <v>928</v>
      </c>
    </row>
    <row r="1471" spans="1:24" ht="13.5" x14ac:dyDescent="0.15">
      <c r="A1471" s="274">
        <v>3735087</v>
      </c>
      <c r="B1471" s="274" t="s">
        <v>351</v>
      </c>
      <c r="C1471" s="274" t="s">
        <v>1819</v>
      </c>
      <c r="D1471" s="274" t="s">
        <v>353</v>
      </c>
      <c r="E1471" s="274" t="s">
        <v>40</v>
      </c>
      <c r="F1471" s="274">
        <v>3</v>
      </c>
      <c r="G1471" s="274" t="s">
        <v>19</v>
      </c>
      <c r="H1471" s="274" t="s">
        <v>20</v>
      </c>
      <c r="I1471" s="274" t="s">
        <v>21</v>
      </c>
      <c r="J1471" s="274" t="s">
        <v>928</v>
      </c>
      <c r="K1471" s="274" t="s">
        <v>42</v>
      </c>
      <c r="L1471" s="274">
        <v>25</v>
      </c>
      <c r="M1471" s="274" t="s">
        <v>43</v>
      </c>
      <c r="N1471" s="274">
        <v>1045</v>
      </c>
      <c r="O1471" s="274">
        <v>1040</v>
      </c>
      <c r="P1471" s="274">
        <v>6000</v>
      </c>
      <c r="Q1471" s="274">
        <v>2</v>
      </c>
      <c r="R1471" s="274">
        <v>8</v>
      </c>
      <c r="S1471" s="274" t="s">
        <v>354</v>
      </c>
      <c r="T1471" s="274" t="s">
        <v>1814</v>
      </c>
      <c r="U1471" s="274" t="s">
        <v>1815</v>
      </c>
      <c r="V1471" s="274" t="s">
        <v>355</v>
      </c>
      <c r="W1471" s="274" t="s">
        <v>928</v>
      </c>
      <c r="X1471" s="274" t="s">
        <v>928</v>
      </c>
    </row>
    <row r="1472" spans="1:24" ht="13.5" x14ac:dyDescent="0.15">
      <c r="A1472" s="274">
        <v>3735088</v>
      </c>
      <c r="B1472" s="274" t="s">
        <v>351</v>
      </c>
      <c r="C1472" s="274" t="s">
        <v>1801</v>
      </c>
      <c r="D1472" s="274" t="s">
        <v>353</v>
      </c>
      <c r="E1472" s="274" t="s">
        <v>17</v>
      </c>
      <c r="F1472" s="274">
        <v>3</v>
      </c>
      <c r="G1472" s="274" t="s">
        <v>19</v>
      </c>
      <c r="H1472" s="274" t="s">
        <v>20</v>
      </c>
      <c r="I1472" s="274" t="s">
        <v>21</v>
      </c>
      <c r="J1472" s="274" t="s">
        <v>928</v>
      </c>
      <c r="K1472" s="274" t="s">
        <v>22</v>
      </c>
      <c r="L1472" s="274">
        <v>38</v>
      </c>
      <c r="M1472" s="274" t="s">
        <v>23</v>
      </c>
      <c r="N1472" s="274">
        <v>1037</v>
      </c>
      <c r="O1472" s="274">
        <v>1030</v>
      </c>
      <c r="P1472" s="274">
        <v>8500</v>
      </c>
      <c r="Q1472" s="274">
        <v>2</v>
      </c>
      <c r="R1472" s="274">
        <v>40</v>
      </c>
      <c r="S1472" s="274" t="s">
        <v>354</v>
      </c>
      <c r="T1472" s="274" t="s">
        <v>1814</v>
      </c>
      <c r="U1472" s="274" t="s">
        <v>1815</v>
      </c>
      <c r="V1472" s="274" t="s">
        <v>355</v>
      </c>
      <c r="W1472" s="274" t="s">
        <v>928</v>
      </c>
      <c r="X1472" s="274" t="s">
        <v>928</v>
      </c>
    </row>
    <row r="1473" spans="1:24" ht="13.5" x14ac:dyDescent="0.15">
      <c r="A1473" s="274">
        <v>3735089</v>
      </c>
      <c r="B1473" s="274" t="s">
        <v>351</v>
      </c>
      <c r="C1473" s="274" t="s">
        <v>1801</v>
      </c>
      <c r="D1473" s="274" t="s">
        <v>353</v>
      </c>
      <c r="E1473" s="274" t="s">
        <v>17</v>
      </c>
      <c r="F1473" s="274">
        <v>3</v>
      </c>
      <c r="G1473" s="274" t="s">
        <v>19</v>
      </c>
      <c r="H1473" s="274" t="s">
        <v>28</v>
      </c>
      <c r="I1473" s="274" t="s">
        <v>21</v>
      </c>
      <c r="J1473" s="274" t="s">
        <v>928</v>
      </c>
      <c r="K1473" s="274" t="s">
        <v>22</v>
      </c>
      <c r="L1473" s="274">
        <v>38</v>
      </c>
      <c r="M1473" s="274" t="s">
        <v>1820</v>
      </c>
      <c r="N1473" s="274">
        <v>1037</v>
      </c>
      <c r="O1473" s="274">
        <v>1030</v>
      </c>
      <c r="P1473" s="274">
        <v>8500</v>
      </c>
      <c r="Q1473" s="274">
        <v>2</v>
      </c>
      <c r="R1473" s="274">
        <v>20</v>
      </c>
      <c r="S1473" s="274" t="s">
        <v>354</v>
      </c>
      <c r="T1473" s="274" t="s">
        <v>1814</v>
      </c>
      <c r="U1473" s="274" t="s">
        <v>1815</v>
      </c>
      <c r="V1473" s="274" t="s">
        <v>355</v>
      </c>
      <c r="W1473" s="274" t="s">
        <v>928</v>
      </c>
      <c r="X1473" s="274" t="s">
        <v>928</v>
      </c>
    </row>
    <row r="1474" spans="1:24" ht="13.5" x14ac:dyDescent="0.15">
      <c r="A1474" s="274">
        <v>3735090</v>
      </c>
      <c r="B1474" s="274" t="s">
        <v>351</v>
      </c>
      <c r="C1474" s="274" t="s">
        <v>1801</v>
      </c>
      <c r="D1474" s="274" t="s">
        <v>353</v>
      </c>
      <c r="E1474" s="274" t="s">
        <v>377</v>
      </c>
      <c r="F1474" s="274">
        <v>3</v>
      </c>
      <c r="G1474" s="274" t="s">
        <v>19</v>
      </c>
      <c r="H1474" s="274" t="s">
        <v>20</v>
      </c>
      <c r="I1474" s="274" t="s">
        <v>21</v>
      </c>
      <c r="J1474" s="274" t="s">
        <v>928</v>
      </c>
      <c r="K1474" s="274" t="s">
        <v>36</v>
      </c>
      <c r="L1474" s="274">
        <v>25</v>
      </c>
      <c r="M1474" s="274" t="s">
        <v>37</v>
      </c>
      <c r="N1474" s="274">
        <v>890</v>
      </c>
      <c r="O1474" s="274">
        <v>890</v>
      </c>
      <c r="P1474" s="274">
        <v>3800</v>
      </c>
      <c r="Q1474" s="274">
        <v>2</v>
      </c>
      <c r="R1474" s="274">
        <v>9</v>
      </c>
      <c r="S1474" s="274" t="s">
        <v>354</v>
      </c>
      <c r="T1474" s="274" t="s">
        <v>1814</v>
      </c>
      <c r="U1474" s="274" t="s">
        <v>1815</v>
      </c>
      <c r="V1474" s="274" t="s">
        <v>355</v>
      </c>
      <c r="W1474" s="274" t="s">
        <v>928</v>
      </c>
      <c r="X1474" s="274" t="s">
        <v>928</v>
      </c>
    </row>
    <row r="1475" spans="1:24" ht="13.5" x14ac:dyDescent="0.15">
      <c r="A1475" s="274">
        <v>3735091</v>
      </c>
      <c r="B1475" s="274" t="s">
        <v>351</v>
      </c>
      <c r="C1475" s="274" t="s">
        <v>1808</v>
      </c>
      <c r="D1475" s="274" t="s">
        <v>353</v>
      </c>
      <c r="E1475" s="274" t="s">
        <v>61</v>
      </c>
      <c r="F1475" s="274">
        <v>3313</v>
      </c>
      <c r="G1475" s="274" t="s">
        <v>19</v>
      </c>
      <c r="H1475" s="274" t="s">
        <v>20</v>
      </c>
      <c r="I1475" s="274" t="s">
        <v>21</v>
      </c>
      <c r="J1475" s="274" t="s">
        <v>928</v>
      </c>
      <c r="K1475" s="274" t="s">
        <v>62</v>
      </c>
      <c r="L1475" s="274">
        <v>38</v>
      </c>
      <c r="M1475" s="274" t="s">
        <v>63</v>
      </c>
      <c r="N1475" s="274">
        <v>750</v>
      </c>
      <c r="O1475" s="274">
        <v>750</v>
      </c>
      <c r="P1475" s="274">
        <v>6000</v>
      </c>
      <c r="Q1475" s="274">
        <v>2</v>
      </c>
      <c r="R1475" s="274">
        <v>40</v>
      </c>
      <c r="S1475" s="274" t="s">
        <v>354</v>
      </c>
      <c r="T1475" s="274" t="s">
        <v>1814</v>
      </c>
      <c r="U1475" s="274" t="s">
        <v>1815</v>
      </c>
      <c r="V1475" s="274" t="s">
        <v>355</v>
      </c>
      <c r="W1475" s="274" t="s">
        <v>928</v>
      </c>
      <c r="X1475" s="274" t="s">
        <v>928</v>
      </c>
    </row>
    <row r="1476" spans="1:24" ht="13.5" x14ac:dyDescent="0.15">
      <c r="A1476" s="274">
        <v>3735092</v>
      </c>
      <c r="B1476" s="274" t="s">
        <v>351</v>
      </c>
      <c r="C1476" s="274" t="s">
        <v>1808</v>
      </c>
      <c r="D1476" s="274" t="s">
        <v>353</v>
      </c>
      <c r="E1476" s="274" t="s">
        <v>65</v>
      </c>
      <c r="F1476" s="274">
        <v>3321</v>
      </c>
      <c r="G1476" s="274" t="s">
        <v>19</v>
      </c>
      <c r="H1476" s="274" t="s">
        <v>20</v>
      </c>
      <c r="I1476" s="274" t="s">
        <v>21</v>
      </c>
      <c r="J1476" s="274" t="s">
        <v>928</v>
      </c>
      <c r="K1476" s="274" t="s">
        <v>67</v>
      </c>
      <c r="L1476" s="274">
        <v>38</v>
      </c>
      <c r="M1476" s="274" t="s">
        <v>68</v>
      </c>
      <c r="N1476" s="274">
        <v>1336</v>
      </c>
      <c r="O1476" s="274">
        <v>1325</v>
      </c>
      <c r="P1476" s="274">
        <v>12000</v>
      </c>
      <c r="Q1476" s="274">
        <v>2</v>
      </c>
      <c r="R1476" s="274">
        <v>20</v>
      </c>
      <c r="S1476" s="274" t="s">
        <v>354</v>
      </c>
      <c r="T1476" s="274" t="s">
        <v>1814</v>
      </c>
      <c r="U1476" s="274" t="s">
        <v>1815</v>
      </c>
      <c r="V1476" s="274" t="s">
        <v>355</v>
      </c>
      <c r="W1476" s="274" t="s">
        <v>928</v>
      </c>
      <c r="X1476" s="274" t="s">
        <v>928</v>
      </c>
    </row>
    <row r="1477" spans="1:24" ht="13.5" x14ac:dyDescent="0.15">
      <c r="A1477" s="274">
        <v>3735093</v>
      </c>
      <c r="B1477" s="274" t="s">
        <v>351</v>
      </c>
      <c r="C1477" s="274" t="s">
        <v>1808</v>
      </c>
      <c r="D1477" s="274" t="s">
        <v>353</v>
      </c>
      <c r="E1477" s="274" t="s">
        <v>65</v>
      </c>
      <c r="F1477" s="274">
        <v>3321</v>
      </c>
      <c r="G1477" s="274" t="s">
        <v>19</v>
      </c>
      <c r="H1477" s="274" t="s">
        <v>20</v>
      </c>
      <c r="I1477" s="274" t="s">
        <v>21</v>
      </c>
      <c r="J1477" s="274" t="s">
        <v>928</v>
      </c>
      <c r="K1477" s="274" t="s">
        <v>67</v>
      </c>
      <c r="L1477" s="274">
        <v>38</v>
      </c>
      <c r="M1477" s="274" t="s">
        <v>68</v>
      </c>
      <c r="N1477" s="274">
        <v>1336</v>
      </c>
      <c r="O1477" s="274">
        <v>1325</v>
      </c>
      <c r="P1477" s="274">
        <v>12000</v>
      </c>
      <c r="Q1477" s="274">
        <v>2</v>
      </c>
      <c r="R1477" s="274">
        <v>30</v>
      </c>
      <c r="S1477" s="274" t="s">
        <v>354</v>
      </c>
      <c r="T1477" s="274" t="s">
        <v>1814</v>
      </c>
      <c r="U1477" s="274" t="s">
        <v>1815</v>
      </c>
      <c r="V1477" s="274" t="s">
        <v>355</v>
      </c>
      <c r="W1477" s="274" t="s">
        <v>928</v>
      </c>
      <c r="X1477" s="274" t="s">
        <v>928</v>
      </c>
    </row>
    <row r="1478" spans="1:24" ht="13.5" x14ac:dyDescent="0.15">
      <c r="A1478" s="274">
        <v>3735094</v>
      </c>
      <c r="B1478" s="274" t="s">
        <v>351</v>
      </c>
      <c r="C1478" s="274" t="s">
        <v>1808</v>
      </c>
      <c r="D1478" s="274" t="s">
        <v>353</v>
      </c>
      <c r="E1478" s="274" t="s">
        <v>65</v>
      </c>
      <c r="F1478" s="274">
        <v>3321</v>
      </c>
      <c r="G1478" s="274" t="s">
        <v>19</v>
      </c>
      <c r="H1478" s="274" t="s">
        <v>20</v>
      </c>
      <c r="I1478" s="274" t="s">
        <v>21</v>
      </c>
      <c r="J1478" s="274" t="s">
        <v>928</v>
      </c>
      <c r="K1478" s="274" t="s">
        <v>70</v>
      </c>
      <c r="L1478" s="274">
        <v>38</v>
      </c>
      <c r="M1478" s="274" t="s">
        <v>71</v>
      </c>
      <c r="N1478" s="274">
        <v>1336</v>
      </c>
      <c r="O1478" s="274">
        <v>1325</v>
      </c>
      <c r="P1478" s="274">
        <v>12000</v>
      </c>
      <c r="Q1478" s="274">
        <v>2</v>
      </c>
      <c r="R1478" s="274">
        <v>45</v>
      </c>
      <c r="S1478" s="274" t="s">
        <v>354</v>
      </c>
      <c r="T1478" s="274" t="s">
        <v>1814</v>
      </c>
      <c r="U1478" s="274" t="s">
        <v>1815</v>
      </c>
      <c r="V1478" s="274" t="s">
        <v>355</v>
      </c>
      <c r="W1478" s="274" t="s">
        <v>928</v>
      </c>
      <c r="X1478" s="274" t="s">
        <v>928</v>
      </c>
    </row>
    <row r="1479" spans="1:24" ht="13.5" x14ac:dyDescent="0.15">
      <c r="A1479" s="274">
        <v>3735095</v>
      </c>
      <c r="B1479" s="274" t="s">
        <v>351</v>
      </c>
      <c r="C1479" s="274" t="s">
        <v>1808</v>
      </c>
      <c r="D1479" s="274" t="s">
        <v>353</v>
      </c>
      <c r="E1479" s="274" t="s">
        <v>73</v>
      </c>
      <c r="F1479" s="274">
        <v>331</v>
      </c>
      <c r="G1479" s="274" t="s">
        <v>19</v>
      </c>
      <c r="H1479" s="274" t="s">
        <v>20</v>
      </c>
      <c r="I1479" s="274" t="s">
        <v>21</v>
      </c>
      <c r="J1479" s="274" t="s">
        <v>928</v>
      </c>
      <c r="K1479" s="274" t="s">
        <v>74</v>
      </c>
      <c r="L1479" s="274">
        <v>38</v>
      </c>
      <c r="M1479" s="274" t="s">
        <v>365</v>
      </c>
      <c r="N1479" s="274">
        <v>415</v>
      </c>
      <c r="O1479" s="274">
        <v>415</v>
      </c>
      <c r="P1479" s="274">
        <v>1950</v>
      </c>
      <c r="Q1479" s="274">
        <v>2</v>
      </c>
      <c r="R1479" s="274">
        <v>36</v>
      </c>
      <c r="S1479" s="274" t="s">
        <v>354</v>
      </c>
      <c r="T1479" s="274" t="s">
        <v>1814</v>
      </c>
      <c r="U1479" s="274" t="s">
        <v>1816</v>
      </c>
      <c r="V1479" s="274" t="s">
        <v>355</v>
      </c>
      <c r="W1479" s="274" t="s">
        <v>928</v>
      </c>
      <c r="X1479" s="274" t="s">
        <v>928</v>
      </c>
    </row>
    <row r="1480" spans="1:24" ht="13.5" x14ac:dyDescent="0.15">
      <c r="A1480" s="274">
        <v>3735096</v>
      </c>
      <c r="B1480" s="274" t="s">
        <v>351</v>
      </c>
      <c r="C1480" s="274" t="s">
        <v>1808</v>
      </c>
      <c r="D1480" s="274" t="s">
        <v>353</v>
      </c>
      <c r="E1480" s="274" t="s">
        <v>73</v>
      </c>
      <c r="F1480" s="274">
        <v>331</v>
      </c>
      <c r="G1480" s="274" t="s">
        <v>19</v>
      </c>
      <c r="H1480" s="274" t="s">
        <v>20</v>
      </c>
      <c r="I1480" s="274" t="s">
        <v>21</v>
      </c>
      <c r="J1480" s="274" t="s">
        <v>928</v>
      </c>
      <c r="K1480" s="274" t="s">
        <v>74</v>
      </c>
      <c r="L1480" s="274">
        <v>38</v>
      </c>
      <c r="M1480" s="274" t="s">
        <v>365</v>
      </c>
      <c r="N1480" s="274">
        <v>415</v>
      </c>
      <c r="O1480" s="274">
        <v>415</v>
      </c>
      <c r="P1480" s="274">
        <v>1950</v>
      </c>
      <c r="Q1480" s="274">
        <v>2</v>
      </c>
      <c r="R1480" s="274">
        <v>45</v>
      </c>
      <c r="S1480" s="274" t="s">
        <v>354</v>
      </c>
      <c r="T1480" s="274" t="s">
        <v>1814</v>
      </c>
      <c r="U1480" s="274" t="s">
        <v>1816</v>
      </c>
      <c r="V1480" s="274" t="s">
        <v>355</v>
      </c>
      <c r="W1480" s="274" t="s">
        <v>928</v>
      </c>
      <c r="X1480" s="274" t="s">
        <v>928</v>
      </c>
    </row>
    <row r="1481" spans="1:24" ht="13.5" x14ac:dyDescent="0.15">
      <c r="A1481" s="274">
        <v>3735097</v>
      </c>
      <c r="B1481" s="274" t="s">
        <v>351</v>
      </c>
      <c r="C1481" s="274" t="s">
        <v>1808</v>
      </c>
      <c r="D1481" s="274" t="s">
        <v>353</v>
      </c>
      <c r="E1481" s="274" t="s">
        <v>61</v>
      </c>
      <c r="F1481" s="274">
        <v>331</v>
      </c>
      <c r="G1481" s="274" t="s">
        <v>19</v>
      </c>
      <c r="H1481" s="274" t="s">
        <v>20</v>
      </c>
      <c r="I1481" s="274" t="s">
        <v>21</v>
      </c>
      <c r="J1481" s="274" t="s">
        <v>928</v>
      </c>
      <c r="K1481" s="274" t="s">
        <v>62</v>
      </c>
      <c r="L1481" s="274">
        <v>38</v>
      </c>
      <c r="M1481" s="274" t="s">
        <v>63</v>
      </c>
      <c r="N1481" s="274">
        <v>1255</v>
      </c>
      <c r="O1481" s="274">
        <v>1250</v>
      </c>
      <c r="P1481" s="274">
        <v>6000</v>
      </c>
      <c r="Q1481" s="274">
        <v>2</v>
      </c>
      <c r="R1481" s="274">
        <v>18</v>
      </c>
      <c r="S1481" s="274" t="s">
        <v>354</v>
      </c>
      <c r="T1481" s="274" t="s">
        <v>1814</v>
      </c>
      <c r="U1481" s="274" t="s">
        <v>1815</v>
      </c>
      <c r="V1481" s="274" t="s">
        <v>355</v>
      </c>
      <c r="W1481" s="274" t="s">
        <v>928</v>
      </c>
      <c r="X1481" s="274" t="s">
        <v>928</v>
      </c>
    </row>
    <row r="1482" spans="1:24" ht="13.5" x14ac:dyDescent="0.15">
      <c r="A1482" s="274">
        <v>3735098</v>
      </c>
      <c r="B1482" s="274" t="s">
        <v>431</v>
      </c>
      <c r="C1482" s="274" t="s">
        <v>1808</v>
      </c>
      <c r="D1482" s="274" t="s">
        <v>353</v>
      </c>
      <c r="E1482" s="274" t="s">
        <v>378</v>
      </c>
      <c r="F1482" s="274">
        <v>3</v>
      </c>
      <c r="G1482" s="274" t="s">
        <v>265</v>
      </c>
      <c r="H1482" s="274" t="s">
        <v>20</v>
      </c>
      <c r="I1482" s="274" t="s">
        <v>21</v>
      </c>
      <c r="J1482" s="274" t="s">
        <v>928</v>
      </c>
      <c r="K1482" s="274" t="s">
        <v>99</v>
      </c>
      <c r="L1482" s="274">
        <v>25</v>
      </c>
      <c r="M1482" s="274" t="s">
        <v>100</v>
      </c>
      <c r="N1482" s="274">
        <v>500</v>
      </c>
      <c r="O1482" s="274">
        <v>500</v>
      </c>
      <c r="P1482" s="274">
        <v>4000</v>
      </c>
      <c r="Q1482" s="274">
        <v>2</v>
      </c>
      <c r="R1482" s="274">
        <v>108</v>
      </c>
      <c r="S1482" s="274" t="s">
        <v>354</v>
      </c>
      <c r="T1482" s="274" t="s">
        <v>1814</v>
      </c>
      <c r="U1482" s="274" t="s">
        <v>1821</v>
      </c>
      <c r="V1482" s="274" t="s">
        <v>355</v>
      </c>
      <c r="W1482" s="274" t="s">
        <v>928</v>
      </c>
      <c r="X1482" s="274" t="s">
        <v>928</v>
      </c>
    </row>
    <row r="1483" spans="1:24" ht="13.5" x14ac:dyDescent="0.15">
      <c r="A1483" s="274">
        <v>3735100</v>
      </c>
      <c r="B1483" s="274" t="s">
        <v>351</v>
      </c>
      <c r="C1483" s="274" t="s">
        <v>1806</v>
      </c>
      <c r="D1483" s="274" t="s">
        <v>353</v>
      </c>
      <c r="E1483" s="274" t="s">
        <v>162</v>
      </c>
      <c r="F1483" s="274">
        <v>3</v>
      </c>
      <c r="G1483" s="274" t="s">
        <v>19</v>
      </c>
      <c r="H1483" s="274" t="s">
        <v>20</v>
      </c>
      <c r="I1483" s="274" t="s">
        <v>143</v>
      </c>
      <c r="J1483" s="274" t="s">
        <v>928</v>
      </c>
      <c r="K1483" s="274" t="s">
        <v>163</v>
      </c>
      <c r="L1483" s="274">
        <v>38</v>
      </c>
      <c r="M1483" s="274" t="s">
        <v>164</v>
      </c>
      <c r="N1483" s="274">
        <v>1320</v>
      </c>
      <c r="O1483" s="274">
        <v>1320</v>
      </c>
      <c r="P1483" s="274">
        <v>4200</v>
      </c>
      <c r="Q1483" s="274">
        <v>2</v>
      </c>
      <c r="R1483" s="274">
        <v>23</v>
      </c>
      <c r="S1483" s="274" t="s">
        <v>354</v>
      </c>
      <c r="T1483" s="274" t="s">
        <v>1814</v>
      </c>
      <c r="U1483" s="274" t="s">
        <v>1822</v>
      </c>
      <c r="V1483" s="274" t="s">
        <v>355</v>
      </c>
      <c r="W1483" s="274" t="s">
        <v>928</v>
      </c>
      <c r="X1483" s="274" t="s">
        <v>928</v>
      </c>
    </row>
    <row r="1484" spans="1:24" ht="13.5" x14ac:dyDescent="0.15">
      <c r="A1484" s="274">
        <v>3735114</v>
      </c>
      <c r="B1484" s="274" t="s">
        <v>351</v>
      </c>
      <c r="C1484" s="274" t="s">
        <v>1806</v>
      </c>
      <c r="D1484" s="274" t="s">
        <v>353</v>
      </c>
      <c r="E1484" s="274" t="s">
        <v>116</v>
      </c>
      <c r="F1484" s="274">
        <v>3</v>
      </c>
      <c r="G1484" s="274" t="s">
        <v>19</v>
      </c>
      <c r="H1484" s="274" t="s">
        <v>20</v>
      </c>
      <c r="I1484" s="274" t="s">
        <v>143</v>
      </c>
      <c r="J1484" s="274" t="s">
        <v>928</v>
      </c>
      <c r="K1484" s="274" t="s">
        <v>159</v>
      </c>
      <c r="L1484" s="274">
        <v>25</v>
      </c>
      <c r="M1484" s="274" t="s">
        <v>160</v>
      </c>
      <c r="N1484" s="274">
        <v>1005</v>
      </c>
      <c r="O1484" s="274">
        <v>1000</v>
      </c>
      <c r="P1484" s="274">
        <v>4000</v>
      </c>
      <c r="Q1484" s="274">
        <v>2</v>
      </c>
      <c r="R1484" s="274">
        <v>2</v>
      </c>
      <c r="S1484" s="274" t="s">
        <v>354</v>
      </c>
      <c r="T1484" s="274" t="s">
        <v>1814</v>
      </c>
      <c r="U1484" s="274" t="s">
        <v>1824</v>
      </c>
      <c r="V1484" s="274" t="s">
        <v>355</v>
      </c>
      <c r="W1484" s="274" t="s">
        <v>928</v>
      </c>
      <c r="X1484" s="274" t="s">
        <v>928</v>
      </c>
    </row>
    <row r="1485" spans="1:24" ht="13.5" x14ac:dyDescent="0.15">
      <c r="A1485" s="274">
        <v>3735115</v>
      </c>
      <c r="B1485" s="274" t="s">
        <v>351</v>
      </c>
      <c r="C1485" s="274" t="s">
        <v>1806</v>
      </c>
      <c r="D1485" s="274" t="s">
        <v>353</v>
      </c>
      <c r="E1485" s="274" t="s">
        <v>116</v>
      </c>
      <c r="F1485" s="274">
        <v>3</v>
      </c>
      <c r="G1485" s="274" t="s">
        <v>19</v>
      </c>
      <c r="H1485" s="274" t="s">
        <v>20</v>
      </c>
      <c r="I1485" s="274" t="s">
        <v>143</v>
      </c>
      <c r="J1485" s="274" t="s">
        <v>928</v>
      </c>
      <c r="K1485" s="274" t="s">
        <v>159</v>
      </c>
      <c r="L1485" s="274">
        <v>25</v>
      </c>
      <c r="M1485" s="274" t="s">
        <v>160</v>
      </c>
      <c r="N1485" s="274">
        <v>1005</v>
      </c>
      <c r="O1485" s="274">
        <v>1000</v>
      </c>
      <c r="P1485" s="274">
        <v>4000</v>
      </c>
      <c r="Q1485" s="274">
        <v>2</v>
      </c>
      <c r="R1485" s="274">
        <v>4</v>
      </c>
      <c r="S1485" s="274" t="s">
        <v>354</v>
      </c>
      <c r="T1485" s="274" t="s">
        <v>1814</v>
      </c>
      <c r="U1485" s="274" t="s">
        <v>1824</v>
      </c>
      <c r="V1485" s="274" t="s">
        <v>355</v>
      </c>
      <c r="W1485" s="274" t="s">
        <v>928</v>
      </c>
      <c r="X1485" s="274" t="s">
        <v>928</v>
      </c>
    </row>
    <row r="1486" spans="1:24" ht="13.5" x14ac:dyDescent="0.15">
      <c r="A1486" s="274">
        <v>3735126</v>
      </c>
      <c r="B1486" s="274" t="s">
        <v>351</v>
      </c>
      <c r="C1486" s="274" t="s">
        <v>1806</v>
      </c>
      <c r="D1486" s="274" t="s">
        <v>353</v>
      </c>
      <c r="E1486" s="274" t="s">
        <v>116</v>
      </c>
      <c r="F1486" s="274">
        <v>3</v>
      </c>
      <c r="G1486" s="274" t="s">
        <v>19</v>
      </c>
      <c r="H1486" s="274" t="s">
        <v>20</v>
      </c>
      <c r="I1486" s="274" t="s">
        <v>143</v>
      </c>
      <c r="J1486" s="274" t="s">
        <v>928</v>
      </c>
      <c r="K1486" s="274" t="s">
        <v>144</v>
      </c>
      <c r="L1486" s="274">
        <v>75</v>
      </c>
      <c r="M1486" s="274" t="s">
        <v>145</v>
      </c>
      <c r="N1486" s="274">
        <v>1005</v>
      </c>
      <c r="O1486" s="274">
        <v>1000</v>
      </c>
      <c r="P1486" s="274">
        <v>3000</v>
      </c>
      <c r="Q1486" s="274">
        <v>2</v>
      </c>
      <c r="R1486" s="274">
        <v>6</v>
      </c>
      <c r="S1486" s="274" t="s">
        <v>354</v>
      </c>
      <c r="T1486" s="274" t="s">
        <v>1814</v>
      </c>
      <c r="U1486" s="274" t="s">
        <v>1816</v>
      </c>
      <c r="V1486" s="274" t="s">
        <v>355</v>
      </c>
      <c r="W1486" s="274" t="s">
        <v>928</v>
      </c>
      <c r="X1486" s="274" t="s">
        <v>928</v>
      </c>
    </row>
    <row r="1487" spans="1:24" ht="13.5" x14ac:dyDescent="0.15">
      <c r="A1487" s="274">
        <v>3735134</v>
      </c>
      <c r="B1487" s="274" t="s">
        <v>1364</v>
      </c>
      <c r="C1487" s="274" t="s">
        <v>1808</v>
      </c>
      <c r="D1487" s="274" t="s">
        <v>353</v>
      </c>
      <c r="E1487" s="274" t="s">
        <v>61</v>
      </c>
      <c r="F1487" s="274">
        <v>3</v>
      </c>
      <c r="G1487" s="274" t="s">
        <v>269</v>
      </c>
      <c r="H1487" s="274" t="s">
        <v>20</v>
      </c>
      <c r="I1487" s="274" t="s">
        <v>1078</v>
      </c>
      <c r="J1487" s="274" t="s">
        <v>928</v>
      </c>
      <c r="K1487" s="274" t="s">
        <v>1079</v>
      </c>
      <c r="L1487" s="274">
        <v>25</v>
      </c>
      <c r="M1487" s="274" t="s">
        <v>1462</v>
      </c>
      <c r="N1487" s="274">
        <v>1050</v>
      </c>
      <c r="O1487" s="274">
        <v>1050</v>
      </c>
      <c r="P1487" s="274">
        <v>6000</v>
      </c>
      <c r="Q1487" s="274">
        <v>1</v>
      </c>
      <c r="R1487" s="274">
        <v>22</v>
      </c>
      <c r="S1487" s="274" t="s">
        <v>354</v>
      </c>
      <c r="T1487" s="274" t="s">
        <v>1814</v>
      </c>
      <c r="U1487" s="274" t="s">
        <v>1815</v>
      </c>
      <c r="V1487" s="274" t="s">
        <v>428</v>
      </c>
      <c r="W1487" s="274" t="s">
        <v>928</v>
      </c>
      <c r="X1487" s="274" t="s">
        <v>928</v>
      </c>
    </row>
    <row r="1488" spans="1:24" ht="13.5" x14ac:dyDescent="0.15">
      <c r="A1488" s="274">
        <v>3735135</v>
      </c>
      <c r="B1488" s="274" t="s">
        <v>1364</v>
      </c>
      <c r="C1488" s="274" t="s">
        <v>1808</v>
      </c>
      <c r="D1488" s="274" t="s">
        <v>353</v>
      </c>
      <c r="E1488" s="274" t="s">
        <v>61</v>
      </c>
      <c r="F1488" s="274">
        <v>3</v>
      </c>
      <c r="G1488" s="274" t="s">
        <v>269</v>
      </c>
      <c r="H1488" s="274" t="s">
        <v>20</v>
      </c>
      <c r="I1488" s="274" t="s">
        <v>1078</v>
      </c>
      <c r="J1488" s="274" t="s">
        <v>928</v>
      </c>
      <c r="K1488" s="274" t="s">
        <v>1079</v>
      </c>
      <c r="L1488" s="274">
        <v>25</v>
      </c>
      <c r="M1488" s="274" t="s">
        <v>1462</v>
      </c>
      <c r="N1488" s="274">
        <v>1050</v>
      </c>
      <c r="O1488" s="274">
        <v>1050</v>
      </c>
      <c r="P1488" s="274">
        <v>6000</v>
      </c>
      <c r="Q1488" s="274">
        <v>1</v>
      </c>
      <c r="R1488" s="274">
        <v>22</v>
      </c>
      <c r="S1488" s="274" t="s">
        <v>354</v>
      </c>
      <c r="T1488" s="274" t="s">
        <v>1814</v>
      </c>
      <c r="U1488" s="274" t="s">
        <v>1815</v>
      </c>
      <c r="V1488" s="274" t="s">
        <v>428</v>
      </c>
      <c r="W1488" s="274" t="s">
        <v>928</v>
      </c>
      <c r="X1488" s="274" t="s">
        <v>928</v>
      </c>
    </row>
    <row r="1489" spans="1:24" ht="13.5" x14ac:dyDescent="0.15">
      <c r="A1489" s="274">
        <v>3741560</v>
      </c>
      <c r="B1489" s="274" t="s">
        <v>351</v>
      </c>
      <c r="C1489" s="274" t="s">
        <v>1801</v>
      </c>
      <c r="D1489" s="274" t="s">
        <v>353</v>
      </c>
      <c r="E1489" s="274" t="s">
        <v>17</v>
      </c>
      <c r="F1489" s="274">
        <v>331</v>
      </c>
      <c r="G1489" s="274" t="s">
        <v>19</v>
      </c>
      <c r="H1489" s="274" t="s">
        <v>20</v>
      </c>
      <c r="I1489" s="274" t="s">
        <v>21</v>
      </c>
      <c r="J1489" s="274" t="s">
        <v>928</v>
      </c>
      <c r="K1489" s="274" t="s">
        <v>52</v>
      </c>
      <c r="L1489" s="274">
        <v>38</v>
      </c>
      <c r="M1489" s="274" t="s">
        <v>53</v>
      </c>
      <c r="N1489" s="274">
        <v>1330</v>
      </c>
      <c r="O1489" s="274">
        <v>1330</v>
      </c>
      <c r="P1489" s="274">
        <v>6000</v>
      </c>
      <c r="Q1489" s="274">
        <v>2</v>
      </c>
      <c r="R1489" s="274">
        <v>40</v>
      </c>
      <c r="S1489" s="274" t="s">
        <v>354</v>
      </c>
      <c r="T1489" s="274" t="s">
        <v>1951</v>
      </c>
      <c r="U1489" s="274" t="s">
        <v>1952</v>
      </c>
      <c r="V1489" s="274" t="s">
        <v>355</v>
      </c>
      <c r="W1489" s="339"/>
      <c r="X1489" s="339"/>
    </row>
    <row r="1490" spans="1:24" ht="13.5" x14ac:dyDescent="0.15">
      <c r="A1490" s="274">
        <v>3741561</v>
      </c>
      <c r="B1490" s="274" t="s">
        <v>351</v>
      </c>
      <c r="C1490" s="274" t="s">
        <v>1801</v>
      </c>
      <c r="D1490" s="274" t="s">
        <v>353</v>
      </c>
      <c r="E1490" s="274" t="s">
        <v>32</v>
      </c>
      <c r="F1490" s="274">
        <v>331</v>
      </c>
      <c r="G1490" s="274" t="s">
        <v>19</v>
      </c>
      <c r="H1490" s="274" t="s">
        <v>20</v>
      </c>
      <c r="I1490" s="274" t="s">
        <v>21</v>
      </c>
      <c r="J1490" s="274" t="s">
        <v>928</v>
      </c>
      <c r="K1490" s="274" t="s">
        <v>54</v>
      </c>
      <c r="L1490" s="274">
        <v>38</v>
      </c>
      <c r="M1490" s="274" t="s">
        <v>53</v>
      </c>
      <c r="N1490" s="274">
        <v>1330</v>
      </c>
      <c r="O1490" s="274">
        <v>1330</v>
      </c>
      <c r="P1490" s="274">
        <v>6000</v>
      </c>
      <c r="Q1490" s="274">
        <v>2</v>
      </c>
      <c r="R1490" s="274">
        <v>14</v>
      </c>
      <c r="S1490" s="274" t="s">
        <v>354</v>
      </c>
      <c r="T1490" s="274" t="s">
        <v>1951</v>
      </c>
      <c r="U1490" s="274" t="s">
        <v>1952</v>
      </c>
      <c r="V1490" s="274" t="s">
        <v>355</v>
      </c>
      <c r="W1490" s="339"/>
      <c r="X1490" s="339"/>
    </row>
    <row r="1491" spans="1:24" ht="13.5" x14ac:dyDescent="0.15">
      <c r="A1491" s="274">
        <v>3741562</v>
      </c>
      <c r="B1491" s="274" t="s">
        <v>351</v>
      </c>
      <c r="C1491" s="274" t="s">
        <v>1801</v>
      </c>
      <c r="D1491" s="274" t="s">
        <v>353</v>
      </c>
      <c r="E1491" s="274" t="s">
        <v>32</v>
      </c>
      <c r="F1491" s="274">
        <v>3</v>
      </c>
      <c r="G1491" s="274" t="s">
        <v>19</v>
      </c>
      <c r="H1491" s="274" t="s">
        <v>20</v>
      </c>
      <c r="I1491" s="274" t="s">
        <v>21</v>
      </c>
      <c r="J1491" s="274" t="s">
        <v>928</v>
      </c>
      <c r="K1491" s="274" t="s">
        <v>56</v>
      </c>
      <c r="L1491" s="274">
        <v>75</v>
      </c>
      <c r="M1491" s="274" t="s">
        <v>376</v>
      </c>
      <c r="N1491" s="274">
        <v>1330</v>
      </c>
      <c r="O1491" s="274">
        <v>1330</v>
      </c>
      <c r="P1491" s="274">
        <v>4100</v>
      </c>
      <c r="Q1491" s="274">
        <v>2</v>
      </c>
      <c r="R1491" s="274">
        <v>41</v>
      </c>
      <c r="S1491" s="274" t="s">
        <v>354</v>
      </c>
      <c r="T1491" s="274" t="s">
        <v>1951</v>
      </c>
      <c r="U1491" s="274" t="s">
        <v>1952</v>
      </c>
      <c r="V1491" s="274" t="s">
        <v>355</v>
      </c>
      <c r="W1491" s="339"/>
      <c r="X1491" s="339"/>
    </row>
    <row r="1492" spans="1:24" ht="13.5" x14ac:dyDescent="0.15">
      <c r="A1492" s="274">
        <v>3741563</v>
      </c>
      <c r="B1492" s="274" t="s">
        <v>351</v>
      </c>
      <c r="C1492" s="274" t="s">
        <v>1806</v>
      </c>
      <c r="D1492" s="274" t="s">
        <v>353</v>
      </c>
      <c r="E1492" s="274" t="s">
        <v>371</v>
      </c>
      <c r="F1492" s="274">
        <v>3</v>
      </c>
      <c r="G1492" s="274" t="s">
        <v>19</v>
      </c>
      <c r="H1492" s="274" t="s">
        <v>28</v>
      </c>
      <c r="I1492" s="274" t="s">
        <v>21</v>
      </c>
      <c r="J1492" s="274" t="s">
        <v>928</v>
      </c>
      <c r="K1492" s="274" t="s">
        <v>465</v>
      </c>
      <c r="L1492" s="274">
        <v>75</v>
      </c>
      <c r="M1492" s="274" t="s">
        <v>466</v>
      </c>
      <c r="N1492" s="274">
        <v>1040</v>
      </c>
      <c r="O1492" s="274">
        <v>1040</v>
      </c>
      <c r="P1492" s="274">
        <v>4000</v>
      </c>
      <c r="Q1492" s="274">
        <v>1</v>
      </c>
      <c r="R1492" s="274">
        <v>1</v>
      </c>
      <c r="S1492" s="274" t="s">
        <v>354</v>
      </c>
      <c r="T1492" s="274" t="s">
        <v>1951</v>
      </c>
      <c r="U1492" s="274" t="s">
        <v>1952</v>
      </c>
      <c r="V1492" s="274" t="s">
        <v>355</v>
      </c>
      <c r="W1492" s="339"/>
      <c r="X1492" s="339"/>
    </row>
    <row r="1493" spans="1:24" ht="13.5" x14ac:dyDescent="0.15">
      <c r="A1493" s="274">
        <v>3741564</v>
      </c>
      <c r="B1493" s="274" t="s">
        <v>351</v>
      </c>
      <c r="C1493" s="274" t="s">
        <v>1806</v>
      </c>
      <c r="D1493" s="274" t="s">
        <v>353</v>
      </c>
      <c r="E1493" s="274" t="s">
        <v>371</v>
      </c>
      <c r="F1493" s="274">
        <v>3</v>
      </c>
      <c r="G1493" s="274" t="s">
        <v>19</v>
      </c>
      <c r="H1493" s="274" t="s">
        <v>28</v>
      </c>
      <c r="I1493" s="274" t="s">
        <v>21</v>
      </c>
      <c r="J1493" s="274" t="s">
        <v>928</v>
      </c>
      <c r="K1493" s="274" t="s">
        <v>60</v>
      </c>
      <c r="L1493" s="274">
        <v>75</v>
      </c>
      <c r="M1493" s="274" t="s">
        <v>372</v>
      </c>
      <c r="N1493" s="274">
        <v>1040</v>
      </c>
      <c r="O1493" s="274">
        <v>1040</v>
      </c>
      <c r="P1493" s="274">
        <v>4000</v>
      </c>
      <c r="Q1493" s="274">
        <v>1</v>
      </c>
      <c r="R1493" s="274">
        <v>1</v>
      </c>
      <c r="S1493" s="274" t="s">
        <v>354</v>
      </c>
      <c r="T1493" s="274" t="s">
        <v>1951</v>
      </c>
      <c r="U1493" s="274" t="s">
        <v>1952</v>
      </c>
      <c r="V1493" s="274" t="s">
        <v>355</v>
      </c>
      <c r="W1493" s="339"/>
      <c r="X1493" s="339"/>
    </row>
    <row r="1494" spans="1:24" ht="13.5" x14ac:dyDescent="0.15">
      <c r="A1494" s="274">
        <v>3741565</v>
      </c>
      <c r="B1494" s="274" t="s">
        <v>351</v>
      </c>
      <c r="C1494" s="274" t="s">
        <v>1808</v>
      </c>
      <c r="D1494" s="274" t="s">
        <v>353</v>
      </c>
      <c r="E1494" s="274" t="s">
        <v>369</v>
      </c>
      <c r="F1494" s="274">
        <v>331</v>
      </c>
      <c r="G1494" s="274" t="s">
        <v>19</v>
      </c>
      <c r="H1494" s="274" t="s">
        <v>20</v>
      </c>
      <c r="I1494" s="274" t="s">
        <v>21</v>
      </c>
      <c r="J1494" s="274" t="s">
        <v>928</v>
      </c>
      <c r="K1494" s="274" t="s">
        <v>47</v>
      </c>
      <c r="L1494" s="274">
        <v>38</v>
      </c>
      <c r="M1494" s="274" t="s">
        <v>53</v>
      </c>
      <c r="N1494" s="274">
        <v>535</v>
      </c>
      <c r="O1494" s="274">
        <v>535</v>
      </c>
      <c r="P1494" s="274">
        <v>6000</v>
      </c>
      <c r="Q1494" s="274">
        <v>2</v>
      </c>
      <c r="R1494" s="274">
        <v>4</v>
      </c>
      <c r="S1494" s="274" t="s">
        <v>354</v>
      </c>
      <c r="T1494" s="274" t="s">
        <v>1951</v>
      </c>
      <c r="U1494" s="274" t="s">
        <v>1952</v>
      </c>
      <c r="V1494" s="274" t="s">
        <v>355</v>
      </c>
      <c r="W1494" s="339"/>
      <c r="X1494" s="339"/>
    </row>
    <row r="1495" spans="1:24" ht="13.5" x14ac:dyDescent="0.15">
      <c r="A1495" s="274">
        <v>3741566</v>
      </c>
      <c r="B1495" s="274" t="s">
        <v>351</v>
      </c>
      <c r="C1495" s="274" t="s">
        <v>1808</v>
      </c>
      <c r="D1495" s="274" t="s">
        <v>353</v>
      </c>
      <c r="E1495" s="274" t="s">
        <v>362</v>
      </c>
      <c r="F1495" s="274">
        <v>3</v>
      </c>
      <c r="G1495" s="274" t="s">
        <v>19</v>
      </c>
      <c r="H1495" s="274" t="s">
        <v>20</v>
      </c>
      <c r="I1495" s="274" t="s">
        <v>21</v>
      </c>
      <c r="J1495" s="274" t="s">
        <v>928</v>
      </c>
      <c r="K1495" s="274" t="s">
        <v>88</v>
      </c>
      <c r="L1495" s="274">
        <v>188</v>
      </c>
      <c r="M1495" s="274" t="s">
        <v>361</v>
      </c>
      <c r="N1495" s="274">
        <v>1130</v>
      </c>
      <c r="O1495" s="274">
        <v>1130</v>
      </c>
      <c r="P1495" s="274">
        <v>1620</v>
      </c>
      <c r="Q1495" s="274">
        <v>2</v>
      </c>
      <c r="R1495" s="274">
        <v>30</v>
      </c>
      <c r="S1495" s="274" t="s">
        <v>354</v>
      </c>
      <c r="T1495" s="274" t="s">
        <v>1951</v>
      </c>
      <c r="U1495" s="274" t="s">
        <v>1953</v>
      </c>
      <c r="V1495" s="274" t="s">
        <v>355</v>
      </c>
      <c r="W1495" s="339"/>
      <c r="X1495" s="339"/>
    </row>
    <row r="1496" spans="1:24" ht="13.5" x14ac:dyDescent="0.15">
      <c r="A1496" s="274">
        <v>3741567</v>
      </c>
      <c r="B1496" s="274" t="s">
        <v>351</v>
      </c>
      <c r="C1496" s="274" t="s">
        <v>1808</v>
      </c>
      <c r="D1496" s="274" t="s">
        <v>353</v>
      </c>
      <c r="E1496" s="274" t="s">
        <v>373</v>
      </c>
      <c r="F1496" s="274">
        <v>3</v>
      </c>
      <c r="G1496" s="274" t="s">
        <v>19</v>
      </c>
      <c r="H1496" s="274" t="s">
        <v>20</v>
      </c>
      <c r="I1496" s="274" t="s">
        <v>21</v>
      </c>
      <c r="J1496" s="274" t="s">
        <v>928</v>
      </c>
      <c r="K1496" s="274" t="s">
        <v>80</v>
      </c>
      <c r="L1496" s="274">
        <v>31</v>
      </c>
      <c r="M1496" s="274" t="s">
        <v>374</v>
      </c>
      <c r="N1496" s="274">
        <v>440</v>
      </c>
      <c r="O1496" s="274">
        <v>440</v>
      </c>
      <c r="P1496" s="274">
        <v>6500</v>
      </c>
      <c r="Q1496" s="274">
        <v>1</v>
      </c>
      <c r="R1496" s="274">
        <v>30</v>
      </c>
      <c r="S1496" s="274" t="s">
        <v>354</v>
      </c>
      <c r="T1496" s="274" t="s">
        <v>1951</v>
      </c>
      <c r="U1496" s="274" t="s">
        <v>1953</v>
      </c>
      <c r="V1496" s="274" t="s">
        <v>355</v>
      </c>
      <c r="W1496" s="339"/>
      <c r="X1496" s="339"/>
    </row>
    <row r="1497" spans="1:24" ht="13.5" x14ac:dyDescent="0.15">
      <c r="A1497" s="274">
        <v>3741568</v>
      </c>
      <c r="B1497" s="274" t="s">
        <v>351</v>
      </c>
      <c r="C1497" s="274" t="s">
        <v>1801</v>
      </c>
      <c r="D1497" s="274" t="s">
        <v>353</v>
      </c>
      <c r="E1497" s="274" t="s">
        <v>32</v>
      </c>
      <c r="F1497" s="274">
        <v>331</v>
      </c>
      <c r="G1497" s="274" t="s">
        <v>19</v>
      </c>
      <c r="H1497" s="274" t="s">
        <v>20</v>
      </c>
      <c r="I1497" s="274" t="s">
        <v>21</v>
      </c>
      <c r="J1497" s="274" t="s">
        <v>928</v>
      </c>
      <c r="K1497" s="274" t="s">
        <v>33</v>
      </c>
      <c r="L1497" s="274">
        <v>38</v>
      </c>
      <c r="M1497" s="274" t="s">
        <v>30</v>
      </c>
      <c r="N1497" s="274">
        <v>1580</v>
      </c>
      <c r="O1497" s="274">
        <v>1580</v>
      </c>
      <c r="P1497" s="274">
        <v>6000</v>
      </c>
      <c r="Q1497" s="274">
        <v>2</v>
      </c>
      <c r="R1497" s="274">
        <v>4</v>
      </c>
      <c r="S1497" s="274" t="s">
        <v>354</v>
      </c>
      <c r="T1497" s="274" t="s">
        <v>1951</v>
      </c>
      <c r="U1497" s="274" t="s">
        <v>1952</v>
      </c>
      <c r="V1497" s="274" t="s">
        <v>355</v>
      </c>
      <c r="W1497" s="339"/>
      <c r="X1497" s="339"/>
    </row>
    <row r="1498" spans="1:24" ht="13.5" x14ac:dyDescent="0.15">
      <c r="A1498" s="274">
        <v>3741569</v>
      </c>
      <c r="B1498" s="274" t="s">
        <v>351</v>
      </c>
      <c r="C1498" s="274" t="s">
        <v>1801</v>
      </c>
      <c r="D1498" s="274" t="s">
        <v>353</v>
      </c>
      <c r="E1498" s="274" t="s">
        <v>17</v>
      </c>
      <c r="F1498" s="274">
        <v>331</v>
      </c>
      <c r="G1498" s="274" t="s">
        <v>19</v>
      </c>
      <c r="H1498" s="274" t="s">
        <v>20</v>
      </c>
      <c r="I1498" s="274" t="s">
        <v>21</v>
      </c>
      <c r="J1498" s="274" t="s">
        <v>928</v>
      </c>
      <c r="K1498" s="274" t="s">
        <v>29</v>
      </c>
      <c r="L1498" s="274">
        <v>38</v>
      </c>
      <c r="M1498" s="274" t="s">
        <v>30</v>
      </c>
      <c r="N1498" s="274">
        <v>1330</v>
      </c>
      <c r="O1498" s="274">
        <v>1330</v>
      </c>
      <c r="P1498" s="274">
        <v>6000</v>
      </c>
      <c r="Q1498" s="274">
        <v>2</v>
      </c>
      <c r="R1498" s="274">
        <v>10</v>
      </c>
      <c r="S1498" s="274" t="s">
        <v>354</v>
      </c>
      <c r="T1498" s="274" t="s">
        <v>1951</v>
      </c>
      <c r="U1498" s="274" t="s">
        <v>1952</v>
      </c>
      <c r="V1498" s="274" t="s">
        <v>355</v>
      </c>
      <c r="W1498" s="339"/>
      <c r="X1498" s="339"/>
    </row>
    <row r="1499" spans="1:24" ht="13.5" x14ac:dyDescent="0.15">
      <c r="A1499" s="274">
        <v>3741570</v>
      </c>
      <c r="B1499" s="274" t="s">
        <v>351</v>
      </c>
      <c r="C1499" s="274" t="s">
        <v>1801</v>
      </c>
      <c r="D1499" s="274" t="s">
        <v>353</v>
      </c>
      <c r="E1499" s="274" t="s">
        <v>32</v>
      </c>
      <c r="F1499" s="274">
        <v>331</v>
      </c>
      <c r="G1499" s="274" t="s">
        <v>19</v>
      </c>
      <c r="H1499" s="274" t="s">
        <v>20</v>
      </c>
      <c r="I1499" s="274" t="s">
        <v>21</v>
      </c>
      <c r="J1499" s="274" t="s">
        <v>928</v>
      </c>
      <c r="K1499" s="274" t="s">
        <v>33</v>
      </c>
      <c r="L1499" s="274">
        <v>38</v>
      </c>
      <c r="M1499" s="274" t="s">
        <v>30</v>
      </c>
      <c r="N1499" s="274">
        <v>1330</v>
      </c>
      <c r="O1499" s="274">
        <v>1330</v>
      </c>
      <c r="P1499" s="274">
        <v>6000</v>
      </c>
      <c r="Q1499" s="274">
        <v>2</v>
      </c>
      <c r="R1499" s="274">
        <v>10</v>
      </c>
      <c r="S1499" s="274" t="s">
        <v>354</v>
      </c>
      <c r="T1499" s="274" t="s">
        <v>1951</v>
      </c>
      <c r="U1499" s="274" t="s">
        <v>1952</v>
      </c>
      <c r="V1499" s="274" t="s">
        <v>355</v>
      </c>
      <c r="W1499" s="339"/>
      <c r="X1499" s="339"/>
    </row>
    <row r="1500" spans="1:24" ht="13.5" x14ac:dyDescent="0.15">
      <c r="A1500" s="274">
        <v>3741571</v>
      </c>
      <c r="B1500" s="274" t="s">
        <v>351</v>
      </c>
      <c r="C1500" s="274" t="s">
        <v>1819</v>
      </c>
      <c r="D1500" s="274" t="s">
        <v>353</v>
      </c>
      <c r="E1500" s="274" t="s">
        <v>40</v>
      </c>
      <c r="F1500" s="274">
        <v>3</v>
      </c>
      <c r="G1500" s="274" t="s">
        <v>19</v>
      </c>
      <c r="H1500" s="274" t="s">
        <v>20</v>
      </c>
      <c r="I1500" s="274" t="s">
        <v>21</v>
      </c>
      <c r="J1500" s="274" t="s">
        <v>928</v>
      </c>
      <c r="K1500" s="274" t="s">
        <v>42</v>
      </c>
      <c r="L1500" s="274">
        <v>25</v>
      </c>
      <c r="M1500" s="274" t="s">
        <v>43</v>
      </c>
      <c r="N1500" s="274">
        <v>1085</v>
      </c>
      <c r="O1500" s="274">
        <v>1080</v>
      </c>
      <c r="P1500" s="274">
        <v>6000</v>
      </c>
      <c r="Q1500" s="274">
        <v>2</v>
      </c>
      <c r="R1500" s="274">
        <v>6</v>
      </c>
      <c r="S1500" s="274" t="s">
        <v>354</v>
      </c>
      <c r="T1500" s="274" t="s">
        <v>1951</v>
      </c>
      <c r="U1500" s="274" t="s">
        <v>1952</v>
      </c>
      <c r="V1500" s="274" t="s">
        <v>355</v>
      </c>
      <c r="W1500" s="339"/>
      <c r="X1500" s="339"/>
    </row>
    <row r="1501" spans="1:24" ht="13.5" x14ac:dyDescent="0.15">
      <c r="A1501" s="274">
        <v>3741572</v>
      </c>
      <c r="B1501" s="274" t="s">
        <v>351</v>
      </c>
      <c r="C1501" s="274" t="s">
        <v>1801</v>
      </c>
      <c r="D1501" s="274" t="s">
        <v>353</v>
      </c>
      <c r="E1501" s="274" t="s">
        <v>17</v>
      </c>
      <c r="F1501" s="274">
        <v>3</v>
      </c>
      <c r="G1501" s="274" t="s">
        <v>19</v>
      </c>
      <c r="H1501" s="274" t="s">
        <v>20</v>
      </c>
      <c r="I1501" s="274" t="s">
        <v>21</v>
      </c>
      <c r="J1501" s="274" t="s">
        <v>928</v>
      </c>
      <c r="K1501" s="274" t="s">
        <v>22</v>
      </c>
      <c r="L1501" s="274">
        <v>38</v>
      </c>
      <c r="M1501" s="274" t="s">
        <v>23</v>
      </c>
      <c r="N1501" s="274">
        <v>1057</v>
      </c>
      <c r="O1501" s="274">
        <v>1050</v>
      </c>
      <c r="P1501" s="274">
        <v>8400</v>
      </c>
      <c r="Q1501" s="274">
        <v>2</v>
      </c>
      <c r="R1501" s="274">
        <v>6</v>
      </c>
      <c r="S1501" s="274" t="s">
        <v>354</v>
      </c>
      <c r="T1501" s="274" t="s">
        <v>1951</v>
      </c>
      <c r="U1501" s="274" t="s">
        <v>1952</v>
      </c>
      <c r="V1501" s="274" t="s">
        <v>355</v>
      </c>
      <c r="W1501" s="339"/>
      <c r="X1501" s="339"/>
    </row>
    <row r="1502" spans="1:24" ht="13.5" x14ac:dyDescent="0.15">
      <c r="A1502" s="274">
        <v>3741573</v>
      </c>
      <c r="B1502" s="274" t="s">
        <v>351</v>
      </c>
      <c r="C1502" s="274" t="s">
        <v>1819</v>
      </c>
      <c r="D1502" s="274" t="s">
        <v>353</v>
      </c>
      <c r="E1502" s="274" t="s">
        <v>40</v>
      </c>
      <c r="F1502" s="274">
        <v>3</v>
      </c>
      <c r="G1502" s="274" t="s">
        <v>19</v>
      </c>
      <c r="H1502" s="274" t="s">
        <v>20</v>
      </c>
      <c r="I1502" s="274" t="s">
        <v>21</v>
      </c>
      <c r="J1502" s="274" t="s">
        <v>928</v>
      </c>
      <c r="K1502" s="274" t="s">
        <v>42</v>
      </c>
      <c r="L1502" s="274">
        <v>25</v>
      </c>
      <c r="M1502" s="274" t="s">
        <v>43</v>
      </c>
      <c r="N1502" s="274">
        <v>1045</v>
      </c>
      <c r="O1502" s="274">
        <v>1040</v>
      </c>
      <c r="P1502" s="274">
        <v>6000</v>
      </c>
      <c r="Q1502" s="274">
        <v>2</v>
      </c>
      <c r="R1502" s="274">
        <v>6</v>
      </c>
      <c r="S1502" s="274" t="s">
        <v>354</v>
      </c>
      <c r="T1502" s="274" t="s">
        <v>1951</v>
      </c>
      <c r="U1502" s="274" t="s">
        <v>1952</v>
      </c>
      <c r="V1502" s="274" t="s">
        <v>355</v>
      </c>
      <c r="W1502" s="339"/>
      <c r="X1502" s="339"/>
    </row>
    <row r="1503" spans="1:24" ht="13.5" x14ac:dyDescent="0.15">
      <c r="A1503" s="274">
        <v>3741574</v>
      </c>
      <c r="B1503" s="274" t="s">
        <v>351</v>
      </c>
      <c r="C1503" s="274" t="s">
        <v>1801</v>
      </c>
      <c r="D1503" s="274" t="s">
        <v>353</v>
      </c>
      <c r="E1503" s="274" t="s">
        <v>17</v>
      </c>
      <c r="F1503" s="274">
        <v>3</v>
      </c>
      <c r="G1503" s="274" t="s">
        <v>19</v>
      </c>
      <c r="H1503" s="274" t="s">
        <v>20</v>
      </c>
      <c r="I1503" s="274" t="s">
        <v>21</v>
      </c>
      <c r="J1503" s="274" t="s">
        <v>928</v>
      </c>
      <c r="K1503" s="274" t="s">
        <v>22</v>
      </c>
      <c r="L1503" s="274">
        <v>38</v>
      </c>
      <c r="M1503" s="274" t="s">
        <v>23</v>
      </c>
      <c r="N1503" s="274">
        <v>1037</v>
      </c>
      <c r="O1503" s="274">
        <v>1030</v>
      </c>
      <c r="P1503" s="274">
        <v>8500</v>
      </c>
      <c r="Q1503" s="274">
        <v>2</v>
      </c>
      <c r="R1503" s="274">
        <v>62</v>
      </c>
      <c r="S1503" s="274" t="s">
        <v>354</v>
      </c>
      <c r="T1503" s="274" t="s">
        <v>1951</v>
      </c>
      <c r="U1503" s="274" t="s">
        <v>1952</v>
      </c>
      <c r="V1503" s="274" t="s">
        <v>355</v>
      </c>
      <c r="W1503" s="339"/>
      <c r="X1503" s="339"/>
    </row>
    <row r="1504" spans="1:24" ht="13.5" x14ac:dyDescent="0.15">
      <c r="A1504" s="274">
        <v>3741575</v>
      </c>
      <c r="B1504" s="274" t="s">
        <v>351</v>
      </c>
      <c r="C1504" s="274" t="s">
        <v>1801</v>
      </c>
      <c r="D1504" s="274" t="s">
        <v>353</v>
      </c>
      <c r="E1504" s="274" t="s">
        <v>17</v>
      </c>
      <c r="F1504" s="274">
        <v>3</v>
      </c>
      <c r="G1504" s="274" t="s">
        <v>19</v>
      </c>
      <c r="H1504" s="274" t="s">
        <v>28</v>
      </c>
      <c r="I1504" s="274" t="s">
        <v>21</v>
      </c>
      <c r="J1504" s="274" t="s">
        <v>928</v>
      </c>
      <c r="K1504" s="274" t="s">
        <v>22</v>
      </c>
      <c r="L1504" s="274">
        <v>38</v>
      </c>
      <c r="M1504" s="274" t="s">
        <v>1820</v>
      </c>
      <c r="N1504" s="274">
        <v>1037</v>
      </c>
      <c r="O1504" s="274">
        <v>1030</v>
      </c>
      <c r="P1504" s="274">
        <v>8500</v>
      </c>
      <c r="Q1504" s="274">
        <v>2</v>
      </c>
      <c r="R1504" s="274">
        <v>30</v>
      </c>
      <c r="S1504" s="274" t="s">
        <v>354</v>
      </c>
      <c r="T1504" s="274" t="s">
        <v>1951</v>
      </c>
      <c r="U1504" s="274" t="s">
        <v>1952</v>
      </c>
      <c r="V1504" s="274" t="s">
        <v>355</v>
      </c>
      <c r="W1504" s="339"/>
      <c r="X1504" s="339"/>
    </row>
    <row r="1505" spans="1:24" ht="13.5" x14ac:dyDescent="0.15">
      <c r="A1505" s="274">
        <v>3741576</v>
      </c>
      <c r="B1505" s="274" t="s">
        <v>351</v>
      </c>
      <c r="C1505" s="274" t="s">
        <v>1801</v>
      </c>
      <c r="D1505" s="274" t="s">
        <v>353</v>
      </c>
      <c r="E1505" s="274" t="s">
        <v>377</v>
      </c>
      <c r="F1505" s="274">
        <v>3</v>
      </c>
      <c r="G1505" s="274" t="s">
        <v>19</v>
      </c>
      <c r="H1505" s="274" t="s">
        <v>20</v>
      </c>
      <c r="I1505" s="274" t="s">
        <v>21</v>
      </c>
      <c r="J1505" s="274" t="s">
        <v>928</v>
      </c>
      <c r="K1505" s="274" t="s">
        <v>36</v>
      </c>
      <c r="L1505" s="274">
        <v>25</v>
      </c>
      <c r="M1505" s="274" t="s">
        <v>37</v>
      </c>
      <c r="N1505" s="274">
        <v>890</v>
      </c>
      <c r="O1505" s="274">
        <v>890</v>
      </c>
      <c r="P1505" s="274">
        <v>3800</v>
      </c>
      <c r="Q1505" s="274">
        <v>2</v>
      </c>
      <c r="R1505" s="274">
        <v>12</v>
      </c>
      <c r="S1505" s="274" t="s">
        <v>354</v>
      </c>
      <c r="T1505" s="274" t="s">
        <v>1951</v>
      </c>
      <c r="U1505" s="274" t="s">
        <v>1952</v>
      </c>
      <c r="V1505" s="274" t="s">
        <v>355</v>
      </c>
      <c r="W1505" s="339"/>
      <c r="X1505" s="339"/>
    </row>
    <row r="1506" spans="1:24" ht="13.5" x14ac:dyDescent="0.15">
      <c r="A1506" s="274">
        <v>3741577</v>
      </c>
      <c r="B1506" s="274" t="s">
        <v>351</v>
      </c>
      <c r="C1506" s="274" t="s">
        <v>1806</v>
      </c>
      <c r="D1506" s="274" t="s">
        <v>353</v>
      </c>
      <c r="E1506" s="274" t="s">
        <v>371</v>
      </c>
      <c r="F1506" s="274">
        <v>331</v>
      </c>
      <c r="G1506" s="274" t="s">
        <v>19</v>
      </c>
      <c r="H1506" s="274" t="s">
        <v>20</v>
      </c>
      <c r="I1506" s="274" t="s">
        <v>21</v>
      </c>
      <c r="J1506" s="274" t="s">
        <v>928</v>
      </c>
      <c r="K1506" s="274" t="s">
        <v>118</v>
      </c>
      <c r="L1506" s="274">
        <v>25</v>
      </c>
      <c r="M1506" s="274" t="s">
        <v>119</v>
      </c>
      <c r="N1506" s="274">
        <v>1425</v>
      </c>
      <c r="O1506" s="274">
        <v>1420</v>
      </c>
      <c r="P1506" s="274">
        <v>12400</v>
      </c>
      <c r="Q1506" s="274">
        <v>2</v>
      </c>
      <c r="R1506" s="274">
        <v>1</v>
      </c>
      <c r="S1506" s="274" t="s">
        <v>354</v>
      </c>
      <c r="T1506" s="274" t="s">
        <v>1951</v>
      </c>
      <c r="U1506" s="274" t="s">
        <v>1954</v>
      </c>
      <c r="V1506" s="274" t="s">
        <v>355</v>
      </c>
      <c r="W1506" s="339"/>
      <c r="X1506" s="339"/>
    </row>
    <row r="1507" spans="1:24" ht="13.5" x14ac:dyDescent="0.15">
      <c r="A1507" s="274">
        <v>3741578</v>
      </c>
      <c r="B1507" s="274" t="s">
        <v>351</v>
      </c>
      <c r="C1507" s="274" t="s">
        <v>1806</v>
      </c>
      <c r="D1507" s="274" t="s">
        <v>353</v>
      </c>
      <c r="E1507" s="274" t="s">
        <v>116</v>
      </c>
      <c r="F1507" s="274">
        <v>3</v>
      </c>
      <c r="G1507" s="274" t="s">
        <v>19</v>
      </c>
      <c r="H1507" s="274" t="s">
        <v>20</v>
      </c>
      <c r="I1507" s="274" t="s">
        <v>21</v>
      </c>
      <c r="J1507" s="274" t="s">
        <v>928</v>
      </c>
      <c r="K1507" s="274" t="s">
        <v>118</v>
      </c>
      <c r="L1507" s="274">
        <v>38</v>
      </c>
      <c r="M1507" s="274" t="s">
        <v>368</v>
      </c>
      <c r="N1507" s="274">
        <v>1415</v>
      </c>
      <c r="O1507" s="274">
        <v>1410</v>
      </c>
      <c r="P1507" s="274">
        <v>8000</v>
      </c>
      <c r="Q1507" s="274">
        <v>2</v>
      </c>
      <c r="R1507" s="274">
        <v>9</v>
      </c>
      <c r="S1507" s="274" t="s">
        <v>354</v>
      </c>
      <c r="T1507" s="274" t="s">
        <v>1951</v>
      </c>
      <c r="U1507" s="274" t="s">
        <v>1955</v>
      </c>
      <c r="V1507" s="274" t="s">
        <v>355</v>
      </c>
      <c r="W1507" s="339"/>
      <c r="X1507" s="339"/>
    </row>
    <row r="1508" spans="1:24" ht="13.5" x14ac:dyDescent="0.15">
      <c r="A1508" s="274">
        <v>3741579</v>
      </c>
      <c r="B1508" s="274" t="s">
        <v>351</v>
      </c>
      <c r="C1508" s="274" t="s">
        <v>1801</v>
      </c>
      <c r="D1508" s="274" t="s">
        <v>353</v>
      </c>
      <c r="E1508" s="274" t="s">
        <v>106</v>
      </c>
      <c r="F1508" s="274">
        <v>3</v>
      </c>
      <c r="G1508" s="274" t="s">
        <v>19</v>
      </c>
      <c r="H1508" s="274" t="s">
        <v>20</v>
      </c>
      <c r="I1508" s="274" t="s">
        <v>21</v>
      </c>
      <c r="J1508" s="274" t="s">
        <v>928</v>
      </c>
      <c r="K1508" s="274" t="s">
        <v>107</v>
      </c>
      <c r="L1508" s="274">
        <v>25</v>
      </c>
      <c r="M1508" s="274" t="s">
        <v>367</v>
      </c>
      <c r="N1508" s="274">
        <v>1240</v>
      </c>
      <c r="O1508" s="274">
        <v>1240</v>
      </c>
      <c r="P1508" s="274">
        <v>6000</v>
      </c>
      <c r="Q1508" s="274">
        <v>2</v>
      </c>
      <c r="R1508" s="274">
        <v>20</v>
      </c>
      <c r="S1508" s="274" t="s">
        <v>354</v>
      </c>
      <c r="T1508" s="274" t="s">
        <v>1951</v>
      </c>
      <c r="U1508" s="274" t="s">
        <v>1954</v>
      </c>
      <c r="V1508" s="274" t="s">
        <v>355</v>
      </c>
      <c r="W1508" s="339"/>
      <c r="X1508" s="339"/>
    </row>
    <row r="1509" spans="1:24" ht="13.5" x14ac:dyDescent="0.15">
      <c r="A1509" s="274">
        <v>3741580</v>
      </c>
      <c r="B1509" s="274" t="s">
        <v>351</v>
      </c>
      <c r="C1509" s="274" t="s">
        <v>1801</v>
      </c>
      <c r="D1509" s="274" t="s">
        <v>353</v>
      </c>
      <c r="E1509" s="274" t="s">
        <v>106</v>
      </c>
      <c r="F1509" s="274">
        <v>3</v>
      </c>
      <c r="G1509" s="274" t="s">
        <v>19</v>
      </c>
      <c r="H1509" s="274" t="s">
        <v>20</v>
      </c>
      <c r="I1509" s="274" t="s">
        <v>21</v>
      </c>
      <c r="J1509" s="274" t="s">
        <v>928</v>
      </c>
      <c r="K1509" s="274" t="s">
        <v>107</v>
      </c>
      <c r="L1509" s="274">
        <v>25</v>
      </c>
      <c r="M1509" s="274" t="s">
        <v>367</v>
      </c>
      <c r="N1509" s="274">
        <v>1240</v>
      </c>
      <c r="O1509" s="274">
        <v>1240</v>
      </c>
      <c r="P1509" s="274">
        <v>6000</v>
      </c>
      <c r="Q1509" s="274">
        <v>2</v>
      </c>
      <c r="R1509" s="274">
        <v>10</v>
      </c>
      <c r="S1509" s="274" t="s">
        <v>354</v>
      </c>
      <c r="T1509" s="274" t="s">
        <v>1951</v>
      </c>
      <c r="U1509" s="274" t="s">
        <v>1954</v>
      </c>
      <c r="V1509" s="274" t="s">
        <v>355</v>
      </c>
      <c r="W1509" s="339"/>
      <c r="X1509" s="339"/>
    </row>
    <row r="1510" spans="1:24" ht="13.5" x14ac:dyDescent="0.15">
      <c r="A1510" s="274">
        <v>3741581</v>
      </c>
      <c r="B1510" s="274" t="s">
        <v>351</v>
      </c>
      <c r="C1510" s="274" t="s">
        <v>1801</v>
      </c>
      <c r="D1510" s="274" t="s">
        <v>353</v>
      </c>
      <c r="E1510" s="274" t="s">
        <v>106</v>
      </c>
      <c r="F1510" s="274">
        <v>3</v>
      </c>
      <c r="G1510" s="274" t="s">
        <v>19</v>
      </c>
      <c r="H1510" s="274" t="s">
        <v>20</v>
      </c>
      <c r="I1510" s="274" t="s">
        <v>21</v>
      </c>
      <c r="J1510" s="274" t="s">
        <v>928</v>
      </c>
      <c r="K1510" s="274" t="s">
        <v>107</v>
      </c>
      <c r="L1510" s="274">
        <v>38</v>
      </c>
      <c r="M1510" s="274" t="s">
        <v>367</v>
      </c>
      <c r="N1510" s="274">
        <v>1240</v>
      </c>
      <c r="O1510" s="274">
        <v>1240</v>
      </c>
      <c r="P1510" s="274">
        <v>6000</v>
      </c>
      <c r="Q1510" s="274">
        <v>2</v>
      </c>
      <c r="R1510" s="274">
        <v>6</v>
      </c>
      <c r="S1510" s="274" t="s">
        <v>354</v>
      </c>
      <c r="T1510" s="274" t="s">
        <v>1951</v>
      </c>
      <c r="U1510" s="274" t="s">
        <v>1954</v>
      </c>
      <c r="V1510" s="274" t="s">
        <v>355</v>
      </c>
      <c r="W1510" s="339"/>
      <c r="X1510" s="339"/>
    </row>
    <row r="1511" spans="1:24" ht="13.5" x14ac:dyDescent="0.15">
      <c r="A1511" s="274">
        <v>3741582</v>
      </c>
      <c r="B1511" s="274" t="s">
        <v>351</v>
      </c>
      <c r="C1511" s="274" t="s">
        <v>1806</v>
      </c>
      <c r="D1511" s="274" t="s">
        <v>353</v>
      </c>
      <c r="E1511" s="274" t="s">
        <v>371</v>
      </c>
      <c r="F1511" s="274">
        <v>330</v>
      </c>
      <c r="G1511" s="274" t="s">
        <v>19</v>
      </c>
      <c r="H1511" s="274" t="s">
        <v>20</v>
      </c>
      <c r="I1511" s="274" t="s">
        <v>21</v>
      </c>
      <c r="J1511" s="274" t="s">
        <v>928</v>
      </c>
      <c r="K1511" s="274" t="s">
        <v>118</v>
      </c>
      <c r="L1511" s="274">
        <v>25</v>
      </c>
      <c r="M1511" s="274" t="s">
        <v>119</v>
      </c>
      <c r="N1511" s="274">
        <v>1155</v>
      </c>
      <c r="O1511" s="274">
        <v>1150</v>
      </c>
      <c r="P1511" s="274">
        <v>12400</v>
      </c>
      <c r="Q1511" s="274">
        <v>2</v>
      </c>
      <c r="R1511" s="274">
        <v>3</v>
      </c>
      <c r="S1511" s="274" t="s">
        <v>354</v>
      </c>
      <c r="T1511" s="274" t="s">
        <v>1951</v>
      </c>
      <c r="U1511" s="274" t="s">
        <v>1954</v>
      </c>
      <c r="V1511" s="274" t="s">
        <v>355</v>
      </c>
      <c r="W1511" s="339"/>
      <c r="X1511" s="339"/>
    </row>
    <row r="1512" spans="1:24" ht="13.5" x14ac:dyDescent="0.15">
      <c r="A1512" s="274">
        <v>3741583</v>
      </c>
      <c r="B1512" s="274" t="s">
        <v>351</v>
      </c>
      <c r="C1512" s="274" t="s">
        <v>1801</v>
      </c>
      <c r="D1512" s="274" t="s">
        <v>353</v>
      </c>
      <c r="E1512" s="274" t="s">
        <v>115</v>
      </c>
      <c r="F1512" s="274">
        <v>3</v>
      </c>
      <c r="G1512" s="274" t="s">
        <v>19</v>
      </c>
      <c r="H1512" s="274" t="s">
        <v>20</v>
      </c>
      <c r="I1512" s="274" t="s">
        <v>21</v>
      </c>
      <c r="J1512" s="274" t="s">
        <v>928</v>
      </c>
      <c r="K1512" s="274" t="s">
        <v>112</v>
      </c>
      <c r="L1512" s="274">
        <v>38</v>
      </c>
      <c r="M1512" s="274" t="s">
        <v>357</v>
      </c>
      <c r="N1512" s="274">
        <v>1135</v>
      </c>
      <c r="O1512" s="274">
        <v>1130</v>
      </c>
      <c r="P1512" s="274">
        <v>6000</v>
      </c>
      <c r="Q1512" s="274">
        <v>2</v>
      </c>
      <c r="R1512" s="274">
        <v>4</v>
      </c>
      <c r="S1512" s="274" t="s">
        <v>354</v>
      </c>
      <c r="T1512" s="274" t="s">
        <v>1951</v>
      </c>
      <c r="U1512" s="274" t="s">
        <v>1954</v>
      </c>
      <c r="V1512" s="274" t="s">
        <v>355</v>
      </c>
      <c r="W1512" s="339"/>
      <c r="X1512" s="339"/>
    </row>
    <row r="1513" spans="1:24" ht="13.5" x14ac:dyDescent="0.15">
      <c r="A1513" s="274">
        <v>3741584</v>
      </c>
      <c r="B1513" s="274" t="s">
        <v>431</v>
      </c>
      <c r="C1513" s="274" t="s">
        <v>1808</v>
      </c>
      <c r="D1513" s="274" t="s">
        <v>353</v>
      </c>
      <c r="E1513" s="274" t="s">
        <v>928</v>
      </c>
      <c r="F1513" s="274">
        <v>3</v>
      </c>
      <c r="G1513" s="274" t="s">
        <v>265</v>
      </c>
      <c r="H1513" s="274" t="s">
        <v>20</v>
      </c>
      <c r="I1513" s="274" t="s">
        <v>21</v>
      </c>
      <c r="J1513" s="274" t="s">
        <v>928</v>
      </c>
      <c r="K1513" s="274" t="s">
        <v>118</v>
      </c>
      <c r="L1513" s="274">
        <v>25</v>
      </c>
      <c r="M1513" s="274" t="s">
        <v>119</v>
      </c>
      <c r="N1513" s="274">
        <v>1100</v>
      </c>
      <c r="O1513" s="274">
        <v>1100</v>
      </c>
      <c r="P1513" s="274">
        <v>12000</v>
      </c>
      <c r="Q1513" s="274">
        <v>2</v>
      </c>
      <c r="R1513" s="274">
        <v>40</v>
      </c>
      <c r="S1513" s="274" t="s">
        <v>354</v>
      </c>
      <c r="T1513" s="274" t="s">
        <v>1951</v>
      </c>
      <c r="U1513" s="274" t="s">
        <v>1954</v>
      </c>
      <c r="V1513" s="274" t="s">
        <v>355</v>
      </c>
      <c r="W1513" s="339"/>
      <c r="X1513" s="339"/>
    </row>
    <row r="1514" spans="1:24" ht="13.5" x14ac:dyDescent="0.15">
      <c r="A1514" s="274">
        <v>3741585</v>
      </c>
      <c r="B1514" s="274" t="s">
        <v>351</v>
      </c>
      <c r="C1514" s="274" t="s">
        <v>1801</v>
      </c>
      <c r="D1514" s="274" t="s">
        <v>353</v>
      </c>
      <c r="E1514" s="274" t="s">
        <v>106</v>
      </c>
      <c r="F1514" s="274">
        <v>3</v>
      </c>
      <c r="G1514" s="274" t="s">
        <v>19</v>
      </c>
      <c r="H1514" s="274" t="s">
        <v>20</v>
      </c>
      <c r="I1514" s="274" t="s">
        <v>21</v>
      </c>
      <c r="J1514" s="274" t="s">
        <v>928</v>
      </c>
      <c r="K1514" s="274" t="s">
        <v>107</v>
      </c>
      <c r="L1514" s="274">
        <v>25</v>
      </c>
      <c r="M1514" s="274" t="s">
        <v>367</v>
      </c>
      <c r="N1514" s="274">
        <v>1040</v>
      </c>
      <c r="O1514" s="274">
        <v>1040</v>
      </c>
      <c r="P1514" s="274">
        <v>6000</v>
      </c>
      <c r="Q1514" s="274">
        <v>2</v>
      </c>
      <c r="R1514" s="274">
        <v>36</v>
      </c>
      <c r="S1514" s="274" t="s">
        <v>354</v>
      </c>
      <c r="T1514" s="274" t="s">
        <v>1951</v>
      </c>
      <c r="U1514" s="274" t="s">
        <v>1954</v>
      </c>
      <c r="V1514" s="274" t="s">
        <v>355</v>
      </c>
      <c r="W1514" s="339"/>
      <c r="X1514" s="339"/>
    </row>
    <row r="1515" spans="1:24" ht="13.5" x14ac:dyDescent="0.15">
      <c r="A1515" s="274">
        <v>3741586</v>
      </c>
      <c r="B1515" s="274" t="s">
        <v>351</v>
      </c>
      <c r="C1515" s="274" t="s">
        <v>1801</v>
      </c>
      <c r="D1515" s="274" t="s">
        <v>353</v>
      </c>
      <c r="E1515" s="274" t="s">
        <v>106</v>
      </c>
      <c r="F1515" s="274">
        <v>3</v>
      </c>
      <c r="G1515" s="274" t="s">
        <v>19</v>
      </c>
      <c r="H1515" s="274" t="s">
        <v>20</v>
      </c>
      <c r="I1515" s="274" t="s">
        <v>21</v>
      </c>
      <c r="J1515" s="274" t="s">
        <v>928</v>
      </c>
      <c r="K1515" s="274" t="s">
        <v>107</v>
      </c>
      <c r="L1515" s="274">
        <v>38</v>
      </c>
      <c r="M1515" s="274" t="s">
        <v>367</v>
      </c>
      <c r="N1515" s="274">
        <v>1040</v>
      </c>
      <c r="O1515" s="274">
        <v>1040</v>
      </c>
      <c r="P1515" s="274">
        <v>6000</v>
      </c>
      <c r="Q1515" s="274">
        <v>2</v>
      </c>
      <c r="R1515" s="274">
        <v>2</v>
      </c>
      <c r="S1515" s="274" t="s">
        <v>354</v>
      </c>
      <c r="T1515" s="274" t="s">
        <v>1951</v>
      </c>
      <c r="U1515" s="274" t="s">
        <v>1954</v>
      </c>
      <c r="V1515" s="274" t="s">
        <v>355</v>
      </c>
      <c r="W1515" s="339"/>
      <c r="X1515" s="339"/>
    </row>
    <row r="1516" spans="1:24" ht="13.5" x14ac:dyDescent="0.15">
      <c r="A1516" s="274">
        <v>3741587</v>
      </c>
      <c r="B1516" s="274" t="s">
        <v>351</v>
      </c>
      <c r="C1516" s="274" t="s">
        <v>1808</v>
      </c>
      <c r="D1516" s="274" t="s">
        <v>353</v>
      </c>
      <c r="E1516" s="274" t="s">
        <v>110</v>
      </c>
      <c r="F1516" s="274">
        <v>331</v>
      </c>
      <c r="G1516" s="274" t="s">
        <v>19</v>
      </c>
      <c r="H1516" s="274" t="s">
        <v>20</v>
      </c>
      <c r="I1516" s="274" t="s">
        <v>21</v>
      </c>
      <c r="J1516" s="274" t="s">
        <v>928</v>
      </c>
      <c r="K1516" s="274" t="s">
        <v>112</v>
      </c>
      <c r="L1516" s="274">
        <v>25</v>
      </c>
      <c r="M1516" s="274" t="s">
        <v>357</v>
      </c>
      <c r="N1516" s="274">
        <v>450</v>
      </c>
      <c r="O1516" s="274">
        <v>450</v>
      </c>
      <c r="P1516" s="274">
        <v>4000</v>
      </c>
      <c r="Q1516" s="274">
        <v>2</v>
      </c>
      <c r="R1516" s="274">
        <v>6</v>
      </c>
      <c r="S1516" s="274" t="s">
        <v>354</v>
      </c>
      <c r="T1516" s="274" t="s">
        <v>1951</v>
      </c>
      <c r="U1516" s="274" t="s">
        <v>1954</v>
      </c>
      <c r="V1516" s="274" t="s">
        <v>355</v>
      </c>
      <c r="W1516" s="339"/>
      <c r="X1516" s="339"/>
    </row>
    <row r="1517" spans="1:24" ht="13.5" x14ac:dyDescent="0.15">
      <c r="A1517" s="274">
        <v>3741588</v>
      </c>
      <c r="B1517" s="274" t="s">
        <v>351</v>
      </c>
      <c r="C1517" s="274" t="s">
        <v>1808</v>
      </c>
      <c r="D1517" s="274" t="s">
        <v>353</v>
      </c>
      <c r="E1517" s="274" t="s">
        <v>65</v>
      </c>
      <c r="F1517" s="274">
        <v>3321</v>
      </c>
      <c r="G1517" s="274" t="s">
        <v>19</v>
      </c>
      <c r="H1517" s="274" t="s">
        <v>20</v>
      </c>
      <c r="I1517" s="274" t="s">
        <v>21</v>
      </c>
      <c r="J1517" s="274" t="s">
        <v>928</v>
      </c>
      <c r="K1517" s="274" t="s">
        <v>67</v>
      </c>
      <c r="L1517" s="274">
        <v>38</v>
      </c>
      <c r="M1517" s="274" t="s">
        <v>68</v>
      </c>
      <c r="N1517" s="274">
        <v>1336</v>
      </c>
      <c r="O1517" s="274">
        <v>1325</v>
      </c>
      <c r="P1517" s="274">
        <v>12000</v>
      </c>
      <c r="Q1517" s="274">
        <v>2</v>
      </c>
      <c r="R1517" s="274">
        <v>30</v>
      </c>
      <c r="S1517" s="274" t="s">
        <v>354</v>
      </c>
      <c r="T1517" s="274" t="s">
        <v>1951</v>
      </c>
      <c r="U1517" s="274" t="s">
        <v>1956</v>
      </c>
      <c r="V1517" s="274" t="s">
        <v>355</v>
      </c>
      <c r="W1517" s="339"/>
      <c r="X1517" s="339"/>
    </row>
    <row r="1518" spans="1:24" ht="13.5" x14ac:dyDescent="0.15">
      <c r="A1518" s="274">
        <v>3741589</v>
      </c>
      <c r="B1518" s="274" t="s">
        <v>351</v>
      </c>
      <c r="C1518" s="274" t="s">
        <v>1808</v>
      </c>
      <c r="D1518" s="274" t="s">
        <v>353</v>
      </c>
      <c r="E1518" s="274" t="s">
        <v>65</v>
      </c>
      <c r="F1518" s="274">
        <v>3321</v>
      </c>
      <c r="G1518" s="274" t="s">
        <v>19</v>
      </c>
      <c r="H1518" s="274" t="s">
        <v>20</v>
      </c>
      <c r="I1518" s="274" t="s">
        <v>21</v>
      </c>
      <c r="J1518" s="274" t="s">
        <v>928</v>
      </c>
      <c r="K1518" s="274" t="s">
        <v>67</v>
      </c>
      <c r="L1518" s="274">
        <v>38</v>
      </c>
      <c r="M1518" s="274" t="s">
        <v>68</v>
      </c>
      <c r="N1518" s="274">
        <v>1336</v>
      </c>
      <c r="O1518" s="274">
        <v>1325</v>
      </c>
      <c r="P1518" s="274">
        <v>12000</v>
      </c>
      <c r="Q1518" s="274">
        <v>2</v>
      </c>
      <c r="R1518" s="274">
        <v>20</v>
      </c>
      <c r="S1518" s="274" t="s">
        <v>354</v>
      </c>
      <c r="T1518" s="274" t="s">
        <v>1951</v>
      </c>
      <c r="U1518" s="274" t="s">
        <v>1956</v>
      </c>
      <c r="V1518" s="274" t="s">
        <v>355</v>
      </c>
      <c r="W1518" s="339"/>
      <c r="X1518" s="339"/>
    </row>
    <row r="1519" spans="1:24" ht="13.5" x14ac:dyDescent="0.15">
      <c r="A1519" s="274">
        <v>3741590</v>
      </c>
      <c r="B1519" s="274" t="s">
        <v>351</v>
      </c>
      <c r="C1519" s="274" t="s">
        <v>1808</v>
      </c>
      <c r="D1519" s="274" t="s">
        <v>353</v>
      </c>
      <c r="E1519" s="274" t="s">
        <v>65</v>
      </c>
      <c r="F1519" s="274">
        <v>3321</v>
      </c>
      <c r="G1519" s="274" t="s">
        <v>19</v>
      </c>
      <c r="H1519" s="274" t="s">
        <v>20</v>
      </c>
      <c r="I1519" s="274" t="s">
        <v>21</v>
      </c>
      <c r="J1519" s="274" t="s">
        <v>928</v>
      </c>
      <c r="K1519" s="274" t="s">
        <v>70</v>
      </c>
      <c r="L1519" s="274">
        <v>38</v>
      </c>
      <c r="M1519" s="274" t="s">
        <v>71</v>
      </c>
      <c r="N1519" s="274">
        <v>1336</v>
      </c>
      <c r="O1519" s="274">
        <v>1325</v>
      </c>
      <c r="P1519" s="274">
        <v>12000</v>
      </c>
      <c r="Q1519" s="274">
        <v>2</v>
      </c>
      <c r="R1519" s="274">
        <v>35</v>
      </c>
      <c r="S1519" s="274" t="s">
        <v>354</v>
      </c>
      <c r="T1519" s="274" t="s">
        <v>1951</v>
      </c>
      <c r="U1519" s="274" t="s">
        <v>1956</v>
      </c>
      <c r="V1519" s="274" t="s">
        <v>355</v>
      </c>
      <c r="W1519" s="339"/>
      <c r="X1519" s="339"/>
    </row>
    <row r="1520" spans="1:24" ht="13.5" x14ac:dyDescent="0.15">
      <c r="A1520" s="274">
        <v>3741591</v>
      </c>
      <c r="B1520" s="274" t="s">
        <v>351</v>
      </c>
      <c r="C1520" s="274" t="s">
        <v>1808</v>
      </c>
      <c r="D1520" s="274" t="s">
        <v>353</v>
      </c>
      <c r="E1520" s="274" t="s">
        <v>61</v>
      </c>
      <c r="F1520" s="274">
        <v>331</v>
      </c>
      <c r="G1520" s="274" t="s">
        <v>19</v>
      </c>
      <c r="H1520" s="274" t="s">
        <v>20</v>
      </c>
      <c r="I1520" s="274" t="s">
        <v>21</v>
      </c>
      <c r="J1520" s="274" t="s">
        <v>928</v>
      </c>
      <c r="K1520" s="274" t="s">
        <v>62</v>
      </c>
      <c r="L1520" s="274">
        <v>38</v>
      </c>
      <c r="M1520" s="274" t="s">
        <v>63</v>
      </c>
      <c r="N1520" s="274">
        <v>1255</v>
      </c>
      <c r="O1520" s="274">
        <v>1250</v>
      </c>
      <c r="P1520" s="274">
        <v>6000</v>
      </c>
      <c r="Q1520" s="274">
        <v>2</v>
      </c>
      <c r="R1520" s="274">
        <v>10</v>
      </c>
      <c r="S1520" s="274" t="s">
        <v>354</v>
      </c>
      <c r="T1520" s="274" t="s">
        <v>1951</v>
      </c>
      <c r="U1520" s="274" t="s">
        <v>1956</v>
      </c>
      <c r="V1520" s="274" t="s">
        <v>355</v>
      </c>
      <c r="W1520" s="339"/>
      <c r="X1520" s="339"/>
    </row>
    <row r="1521" spans="1:24" ht="13.5" x14ac:dyDescent="0.15">
      <c r="A1521" s="274">
        <v>3741592</v>
      </c>
      <c r="B1521" s="274" t="s">
        <v>351</v>
      </c>
      <c r="C1521" s="274" t="s">
        <v>1808</v>
      </c>
      <c r="D1521" s="274" t="s">
        <v>353</v>
      </c>
      <c r="E1521" s="274" t="s">
        <v>61</v>
      </c>
      <c r="F1521" s="274">
        <v>3313</v>
      </c>
      <c r="G1521" s="274" t="s">
        <v>19</v>
      </c>
      <c r="H1521" s="274" t="s">
        <v>20</v>
      </c>
      <c r="I1521" s="274" t="s">
        <v>21</v>
      </c>
      <c r="J1521" s="274" t="s">
        <v>928</v>
      </c>
      <c r="K1521" s="274" t="s">
        <v>62</v>
      </c>
      <c r="L1521" s="274">
        <v>38</v>
      </c>
      <c r="M1521" s="274" t="s">
        <v>63</v>
      </c>
      <c r="N1521" s="274">
        <v>750</v>
      </c>
      <c r="O1521" s="274">
        <v>750</v>
      </c>
      <c r="P1521" s="274">
        <v>6000</v>
      </c>
      <c r="Q1521" s="274">
        <v>2</v>
      </c>
      <c r="R1521" s="274">
        <v>24</v>
      </c>
      <c r="S1521" s="274" t="s">
        <v>354</v>
      </c>
      <c r="T1521" s="274" t="s">
        <v>1951</v>
      </c>
      <c r="U1521" s="274" t="s">
        <v>1956</v>
      </c>
      <c r="V1521" s="274" t="s">
        <v>355</v>
      </c>
      <c r="W1521" s="339"/>
      <c r="X1521" s="339"/>
    </row>
    <row r="1522" spans="1:24" ht="13.5" x14ac:dyDescent="0.15">
      <c r="A1522" s="274">
        <v>3741593</v>
      </c>
      <c r="B1522" s="274" t="s">
        <v>351</v>
      </c>
      <c r="C1522" s="274" t="s">
        <v>1808</v>
      </c>
      <c r="D1522" s="274" t="s">
        <v>353</v>
      </c>
      <c r="E1522" s="274" t="s">
        <v>73</v>
      </c>
      <c r="F1522" s="274">
        <v>331</v>
      </c>
      <c r="G1522" s="274" t="s">
        <v>19</v>
      </c>
      <c r="H1522" s="274" t="s">
        <v>20</v>
      </c>
      <c r="I1522" s="274" t="s">
        <v>21</v>
      </c>
      <c r="J1522" s="274" t="s">
        <v>928</v>
      </c>
      <c r="K1522" s="274" t="s">
        <v>74</v>
      </c>
      <c r="L1522" s="274">
        <v>38</v>
      </c>
      <c r="M1522" s="274" t="s">
        <v>365</v>
      </c>
      <c r="N1522" s="274">
        <v>415</v>
      </c>
      <c r="O1522" s="274">
        <v>415</v>
      </c>
      <c r="P1522" s="274">
        <v>1950</v>
      </c>
      <c r="Q1522" s="274">
        <v>2</v>
      </c>
      <c r="R1522" s="274">
        <v>36</v>
      </c>
      <c r="S1522" s="274" t="s">
        <v>354</v>
      </c>
      <c r="T1522" s="274" t="s">
        <v>1951</v>
      </c>
      <c r="U1522" s="274" t="s">
        <v>1956</v>
      </c>
      <c r="V1522" s="274" t="s">
        <v>355</v>
      </c>
      <c r="W1522" s="339"/>
      <c r="X1522" s="339"/>
    </row>
    <row r="1523" spans="1:24" ht="13.5" x14ac:dyDescent="0.15">
      <c r="A1523" s="274">
        <v>3741594</v>
      </c>
      <c r="B1523" s="274" t="s">
        <v>431</v>
      </c>
      <c r="C1523" s="274" t="s">
        <v>1808</v>
      </c>
      <c r="D1523" s="274" t="s">
        <v>353</v>
      </c>
      <c r="E1523" s="274" t="s">
        <v>378</v>
      </c>
      <c r="F1523" s="274">
        <v>3</v>
      </c>
      <c r="G1523" s="274" t="s">
        <v>265</v>
      </c>
      <c r="H1523" s="274" t="s">
        <v>20</v>
      </c>
      <c r="I1523" s="274" t="s">
        <v>21</v>
      </c>
      <c r="J1523" s="274" t="s">
        <v>928</v>
      </c>
      <c r="K1523" s="274" t="s">
        <v>99</v>
      </c>
      <c r="L1523" s="274">
        <v>25</v>
      </c>
      <c r="M1523" s="274" t="s">
        <v>100</v>
      </c>
      <c r="N1523" s="274">
        <v>500</v>
      </c>
      <c r="O1523" s="274">
        <v>500</v>
      </c>
      <c r="P1523" s="274">
        <v>4000</v>
      </c>
      <c r="Q1523" s="274">
        <v>2</v>
      </c>
      <c r="R1523" s="274">
        <v>24</v>
      </c>
      <c r="S1523" s="274" t="s">
        <v>354</v>
      </c>
      <c r="T1523" s="274" t="s">
        <v>1951</v>
      </c>
      <c r="U1523" s="274" t="s">
        <v>1956</v>
      </c>
      <c r="V1523" s="274" t="s">
        <v>355</v>
      </c>
      <c r="W1523" s="339"/>
      <c r="X1523" s="339"/>
    </row>
    <row r="1524" spans="1:24" ht="13.5" x14ac:dyDescent="0.15">
      <c r="A1524" s="274">
        <v>3741595</v>
      </c>
      <c r="B1524" s="274" t="s">
        <v>351</v>
      </c>
      <c r="C1524" s="274" t="s">
        <v>1806</v>
      </c>
      <c r="D1524" s="274" t="s">
        <v>353</v>
      </c>
      <c r="E1524" s="274" t="s">
        <v>155</v>
      </c>
      <c r="F1524" s="274" t="s">
        <v>158</v>
      </c>
      <c r="G1524" s="274" t="s">
        <v>19</v>
      </c>
      <c r="H1524" s="274" t="s">
        <v>20</v>
      </c>
      <c r="I1524" s="274" t="s">
        <v>143</v>
      </c>
      <c r="J1524" s="274" t="s">
        <v>928</v>
      </c>
      <c r="K1524" s="274" t="s">
        <v>156</v>
      </c>
      <c r="L1524" s="274">
        <v>25</v>
      </c>
      <c r="M1524" s="274" t="s">
        <v>157</v>
      </c>
      <c r="N1524" s="274">
        <v>1120</v>
      </c>
      <c r="O1524" s="274">
        <v>1120</v>
      </c>
      <c r="P1524" s="274">
        <v>12000</v>
      </c>
      <c r="Q1524" s="274">
        <v>2</v>
      </c>
      <c r="R1524" s="274">
        <v>7</v>
      </c>
      <c r="S1524" s="274" t="s">
        <v>354</v>
      </c>
      <c r="T1524" s="274" t="s">
        <v>1951</v>
      </c>
      <c r="U1524" s="274" t="s">
        <v>1954</v>
      </c>
      <c r="V1524" s="274" t="s">
        <v>355</v>
      </c>
      <c r="W1524" s="339"/>
      <c r="X1524" s="339"/>
    </row>
    <row r="1525" spans="1:24" ht="13.5" x14ac:dyDescent="0.15">
      <c r="A1525" s="274">
        <v>3741596</v>
      </c>
      <c r="B1525" s="274" t="s">
        <v>351</v>
      </c>
      <c r="C1525" s="274" t="s">
        <v>1957</v>
      </c>
      <c r="D1525" s="274" t="s">
        <v>353</v>
      </c>
      <c r="E1525" s="274" t="s">
        <v>162</v>
      </c>
      <c r="F1525" s="274">
        <v>3</v>
      </c>
      <c r="G1525" s="274" t="s">
        <v>19</v>
      </c>
      <c r="H1525" s="274" t="s">
        <v>20</v>
      </c>
      <c r="I1525" s="274" t="s">
        <v>143</v>
      </c>
      <c r="J1525" s="274" t="s">
        <v>928</v>
      </c>
      <c r="K1525" s="274" t="s">
        <v>163</v>
      </c>
      <c r="L1525" s="274">
        <v>38</v>
      </c>
      <c r="M1525" s="274" t="s">
        <v>164</v>
      </c>
      <c r="N1525" s="274">
        <v>1320</v>
      </c>
      <c r="O1525" s="274">
        <v>1320</v>
      </c>
      <c r="P1525" s="274">
        <v>4200</v>
      </c>
      <c r="Q1525" s="274">
        <v>2</v>
      </c>
      <c r="R1525" s="274">
        <v>25</v>
      </c>
      <c r="S1525" s="274" t="s">
        <v>354</v>
      </c>
      <c r="T1525" s="274" t="s">
        <v>1951</v>
      </c>
      <c r="U1525" s="274" t="s">
        <v>1954</v>
      </c>
      <c r="V1525" s="274" t="s">
        <v>355</v>
      </c>
      <c r="W1525" s="339"/>
      <c r="X1525" s="339"/>
    </row>
    <row r="1526" spans="1:24" ht="13.5" x14ac:dyDescent="0.15">
      <c r="A1526" s="274">
        <v>3741597</v>
      </c>
      <c r="B1526" s="274" t="s">
        <v>351</v>
      </c>
      <c r="C1526" s="274" t="s">
        <v>1801</v>
      </c>
      <c r="D1526" s="274" t="s">
        <v>353</v>
      </c>
      <c r="E1526" s="274" t="s">
        <v>255</v>
      </c>
      <c r="F1526" s="274">
        <v>3</v>
      </c>
      <c r="G1526" s="274" t="s">
        <v>19</v>
      </c>
      <c r="H1526" s="274" t="s">
        <v>20</v>
      </c>
      <c r="I1526" s="274" t="s">
        <v>256</v>
      </c>
      <c r="J1526" s="274" t="s">
        <v>928</v>
      </c>
      <c r="K1526" s="274" t="s">
        <v>257</v>
      </c>
      <c r="L1526" s="274">
        <v>100</v>
      </c>
      <c r="M1526" s="274" t="s">
        <v>258</v>
      </c>
      <c r="N1526" s="274">
        <v>1000</v>
      </c>
      <c r="O1526" s="274">
        <v>1000</v>
      </c>
      <c r="P1526" s="274">
        <v>1000</v>
      </c>
      <c r="Q1526" s="274">
        <v>2</v>
      </c>
      <c r="R1526" s="274">
        <v>6</v>
      </c>
      <c r="S1526" s="274" t="s">
        <v>354</v>
      </c>
      <c r="T1526" s="274" t="s">
        <v>1951</v>
      </c>
      <c r="U1526" s="274" t="s">
        <v>1954</v>
      </c>
      <c r="V1526" s="274" t="s">
        <v>355</v>
      </c>
      <c r="W1526" s="339"/>
      <c r="X1526" s="339"/>
    </row>
    <row r="1527" spans="1:24" ht="13.5" x14ac:dyDescent="0.15">
      <c r="A1527" s="274">
        <v>3741598</v>
      </c>
      <c r="B1527" s="274" t="s">
        <v>351</v>
      </c>
      <c r="C1527" s="274" t="s">
        <v>1801</v>
      </c>
      <c r="D1527" s="274" t="s">
        <v>353</v>
      </c>
      <c r="E1527" s="274" t="s">
        <v>255</v>
      </c>
      <c r="F1527" s="274">
        <v>3</v>
      </c>
      <c r="G1527" s="274" t="s">
        <v>19</v>
      </c>
      <c r="H1527" s="274" t="s">
        <v>20</v>
      </c>
      <c r="I1527" s="274" t="s">
        <v>256</v>
      </c>
      <c r="J1527" s="274" t="s">
        <v>928</v>
      </c>
      <c r="K1527" s="274" t="s">
        <v>257</v>
      </c>
      <c r="L1527" s="274">
        <v>125</v>
      </c>
      <c r="M1527" s="274" t="s">
        <v>258</v>
      </c>
      <c r="N1527" s="274">
        <v>1000</v>
      </c>
      <c r="O1527" s="274">
        <v>1000</v>
      </c>
      <c r="P1527" s="274">
        <v>1000</v>
      </c>
      <c r="Q1527" s="274">
        <v>2</v>
      </c>
      <c r="R1527" s="274">
        <v>4</v>
      </c>
      <c r="S1527" s="274" t="s">
        <v>354</v>
      </c>
      <c r="T1527" s="274" t="s">
        <v>1951</v>
      </c>
      <c r="U1527" s="274" t="s">
        <v>1954</v>
      </c>
      <c r="V1527" s="274" t="s">
        <v>355</v>
      </c>
      <c r="W1527" s="339"/>
      <c r="X1527" s="339"/>
    </row>
    <row r="1528" spans="1:24" ht="13.5" x14ac:dyDescent="0.15">
      <c r="A1528" s="274">
        <v>3741599</v>
      </c>
      <c r="B1528" s="274" t="s">
        <v>351</v>
      </c>
      <c r="C1528" s="274" t="s">
        <v>1801</v>
      </c>
      <c r="D1528" s="274" t="s">
        <v>353</v>
      </c>
      <c r="E1528" s="274" t="s">
        <v>255</v>
      </c>
      <c r="F1528" s="274">
        <v>3</v>
      </c>
      <c r="G1528" s="274" t="s">
        <v>19</v>
      </c>
      <c r="H1528" s="274" t="s">
        <v>20</v>
      </c>
      <c r="I1528" s="274" t="s">
        <v>256</v>
      </c>
      <c r="J1528" s="274" t="s">
        <v>928</v>
      </c>
      <c r="K1528" s="274" t="s">
        <v>257</v>
      </c>
      <c r="L1528" s="274">
        <v>188</v>
      </c>
      <c r="M1528" s="274" t="s">
        <v>258</v>
      </c>
      <c r="N1528" s="274">
        <v>1000</v>
      </c>
      <c r="O1528" s="274">
        <v>1000</v>
      </c>
      <c r="P1528" s="274">
        <v>1000</v>
      </c>
      <c r="Q1528" s="274">
        <v>2</v>
      </c>
      <c r="R1528" s="274">
        <v>6</v>
      </c>
      <c r="S1528" s="274" t="s">
        <v>354</v>
      </c>
      <c r="T1528" s="274" t="s">
        <v>1951</v>
      </c>
      <c r="U1528" s="274" t="s">
        <v>1954</v>
      </c>
      <c r="V1528" s="274" t="s">
        <v>355</v>
      </c>
      <c r="W1528" s="339"/>
      <c r="X1528" s="339"/>
    </row>
    <row r="1529" spans="1:24" ht="13.5" x14ac:dyDescent="0.15">
      <c r="A1529" s="274">
        <v>3741609</v>
      </c>
      <c r="B1529" s="274" t="s">
        <v>351</v>
      </c>
      <c r="C1529" s="274" t="s">
        <v>1806</v>
      </c>
      <c r="D1529" s="274" t="s">
        <v>353</v>
      </c>
      <c r="E1529" s="274" t="s">
        <v>116</v>
      </c>
      <c r="F1529" s="274">
        <v>3</v>
      </c>
      <c r="G1529" s="274" t="s">
        <v>19</v>
      </c>
      <c r="H1529" s="274" t="s">
        <v>20</v>
      </c>
      <c r="I1529" s="274" t="s">
        <v>143</v>
      </c>
      <c r="J1529" s="274" t="s">
        <v>928</v>
      </c>
      <c r="K1529" s="274" t="s">
        <v>159</v>
      </c>
      <c r="L1529" s="274">
        <v>25</v>
      </c>
      <c r="M1529" s="274" t="s">
        <v>160</v>
      </c>
      <c r="N1529" s="274">
        <v>1005</v>
      </c>
      <c r="O1529" s="274">
        <v>1000</v>
      </c>
      <c r="P1529" s="274">
        <v>4000</v>
      </c>
      <c r="Q1529" s="274">
        <v>2</v>
      </c>
      <c r="R1529" s="274">
        <v>8</v>
      </c>
      <c r="S1529" s="274" t="s">
        <v>354</v>
      </c>
      <c r="T1529" s="274" t="s">
        <v>1951</v>
      </c>
      <c r="U1529" s="274" t="s">
        <v>1959</v>
      </c>
      <c r="V1529" s="274" t="s">
        <v>355</v>
      </c>
      <c r="W1529" s="339"/>
      <c r="X1529" s="339"/>
    </row>
    <row r="1530" spans="1:24" ht="13.5" x14ac:dyDescent="0.15">
      <c r="A1530" s="274">
        <v>3741620</v>
      </c>
      <c r="B1530" s="274" t="s">
        <v>351</v>
      </c>
      <c r="C1530" s="274" t="s">
        <v>1806</v>
      </c>
      <c r="D1530" s="274" t="s">
        <v>353</v>
      </c>
      <c r="E1530" s="274" t="s">
        <v>116</v>
      </c>
      <c r="F1530" s="274">
        <v>3</v>
      </c>
      <c r="G1530" s="274" t="s">
        <v>19</v>
      </c>
      <c r="H1530" s="274" t="s">
        <v>20</v>
      </c>
      <c r="I1530" s="274" t="s">
        <v>143</v>
      </c>
      <c r="J1530" s="274" t="s">
        <v>928</v>
      </c>
      <c r="K1530" s="274" t="s">
        <v>144</v>
      </c>
      <c r="L1530" s="274">
        <v>75</v>
      </c>
      <c r="M1530" s="274" t="s">
        <v>145</v>
      </c>
      <c r="N1530" s="274">
        <v>1005</v>
      </c>
      <c r="O1530" s="274">
        <v>1000</v>
      </c>
      <c r="P1530" s="274">
        <v>3000</v>
      </c>
      <c r="Q1530" s="274">
        <v>2</v>
      </c>
      <c r="R1530" s="274">
        <v>3</v>
      </c>
      <c r="S1530" s="274" t="s">
        <v>354</v>
      </c>
      <c r="T1530" s="274" t="s">
        <v>1951</v>
      </c>
      <c r="U1530" s="274" t="s">
        <v>1958</v>
      </c>
      <c r="V1530" s="274" t="s">
        <v>355</v>
      </c>
      <c r="W1530" s="339"/>
      <c r="X1530" s="339"/>
    </row>
    <row r="1531" spans="1:24" ht="13.5" x14ac:dyDescent="0.15">
      <c r="A1531" s="274">
        <v>3741624</v>
      </c>
      <c r="B1531" s="274" t="s">
        <v>351</v>
      </c>
      <c r="C1531" s="274" t="s">
        <v>1806</v>
      </c>
      <c r="D1531" s="274" t="s">
        <v>353</v>
      </c>
      <c r="E1531" s="274" t="s">
        <v>116</v>
      </c>
      <c r="F1531" s="274">
        <v>3</v>
      </c>
      <c r="G1531" s="274" t="s">
        <v>19</v>
      </c>
      <c r="H1531" s="274" t="s">
        <v>20</v>
      </c>
      <c r="I1531" s="274" t="s">
        <v>143</v>
      </c>
      <c r="J1531" s="274" t="s">
        <v>928</v>
      </c>
      <c r="K1531" s="274" t="s">
        <v>144</v>
      </c>
      <c r="L1531" s="274">
        <v>50</v>
      </c>
      <c r="M1531" s="274" t="s">
        <v>145</v>
      </c>
      <c r="N1531" s="274">
        <v>1005</v>
      </c>
      <c r="O1531" s="274">
        <v>1000</v>
      </c>
      <c r="P1531" s="274">
        <v>4000</v>
      </c>
      <c r="Q1531" s="274">
        <v>2</v>
      </c>
      <c r="R1531" s="274">
        <v>5</v>
      </c>
      <c r="S1531" s="274" t="s">
        <v>354</v>
      </c>
      <c r="T1531" s="274" t="s">
        <v>1951</v>
      </c>
      <c r="U1531" s="274" t="s">
        <v>1958</v>
      </c>
      <c r="V1531" s="274" t="s">
        <v>355</v>
      </c>
      <c r="W1531" s="339"/>
      <c r="X1531" s="339"/>
    </row>
    <row r="1532" spans="1:24" ht="13.5" x14ac:dyDescent="0.15">
      <c r="A1532" s="274">
        <v>3741630</v>
      </c>
      <c r="B1532" s="274" t="s">
        <v>1364</v>
      </c>
      <c r="C1532" s="274" t="s">
        <v>1808</v>
      </c>
      <c r="D1532" s="274" t="s">
        <v>353</v>
      </c>
      <c r="E1532" s="274" t="s">
        <v>61</v>
      </c>
      <c r="F1532" s="274">
        <v>3</v>
      </c>
      <c r="G1532" s="274" t="s">
        <v>269</v>
      </c>
      <c r="H1532" s="274" t="s">
        <v>20</v>
      </c>
      <c r="I1532" s="274" t="s">
        <v>1078</v>
      </c>
      <c r="J1532" s="274" t="s">
        <v>928</v>
      </c>
      <c r="K1532" s="274" t="s">
        <v>1079</v>
      </c>
      <c r="L1532" s="274">
        <v>25</v>
      </c>
      <c r="M1532" s="274" t="s">
        <v>1462</v>
      </c>
      <c r="N1532" s="274">
        <v>1050</v>
      </c>
      <c r="O1532" s="274">
        <v>1050</v>
      </c>
      <c r="P1532" s="274">
        <v>6000</v>
      </c>
      <c r="Q1532" s="274">
        <v>2</v>
      </c>
      <c r="R1532" s="274">
        <v>20</v>
      </c>
      <c r="S1532" s="274" t="s">
        <v>354</v>
      </c>
      <c r="T1532" s="274" t="s">
        <v>1951</v>
      </c>
      <c r="U1532" s="274" t="s">
        <v>1972</v>
      </c>
      <c r="V1532" s="274" t="s">
        <v>428</v>
      </c>
      <c r="W1532" s="274" t="s">
        <v>928</v>
      </c>
      <c r="X1532" s="274" t="s">
        <v>928</v>
      </c>
    </row>
    <row r="1533" spans="1:24" ht="13.5" x14ac:dyDescent="0.15">
      <c r="A1533" s="274">
        <v>3744843</v>
      </c>
      <c r="B1533" s="274" t="s">
        <v>1364</v>
      </c>
      <c r="C1533" s="274" t="s">
        <v>1808</v>
      </c>
      <c r="D1533" s="274" t="s">
        <v>353</v>
      </c>
      <c r="E1533" s="274" t="s">
        <v>61</v>
      </c>
      <c r="F1533" s="274">
        <v>3</v>
      </c>
      <c r="G1533" s="274" t="s">
        <v>269</v>
      </c>
      <c r="H1533" s="274" t="s">
        <v>20</v>
      </c>
      <c r="I1533" s="274" t="s">
        <v>1078</v>
      </c>
      <c r="J1533" s="274" t="s">
        <v>928</v>
      </c>
      <c r="K1533" s="274" t="s">
        <v>1079</v>
      </c>
      <c r="L1533" s="274">
        <v>25</v>
      </c>
      <c r="M1533" s="274" t="s">
        <v>1462</v>
      </c>
      <c r="N1533" s="274">
        <v>1050</v>
      </c>
      <c r="O1533" s="274">
        <v>1050</v>
      </c>
      <c r="P1533" s="274">
        <v>6000</v>
      </c>
      <c r="Q1533" s="274">
        <v>2</v>
      </c>
      <c r="R1533" s="274">
        <v>20</v>
      </c>
      <c r="S1533" s="274" t="s">
        <v>354</v>
      </c>
      <c r="T1533" s="274" t="s">
        <v>2260</v>
      </c>
      <c r="U1533" s="274" t="s">
        <v>1972</v>
      </c>
      <c r="V1533" s="274" t="s">
        <v>428</v>
      </c>
      <c r="W1533" s="274" t="s">
        <v>928</v>
      </c>
      <c r="X1533" s="274" t="s">
        <v>928</v>
      </c>
    </row>
    <row r="1534" spans="1:24" ht="13.5" x14ac:dyDescent="0.15">
      <c r="A1534" s="274">
        <v>3744887</v>
      </c>
      <c r="B1534" s="274" t="s">
        <v>351</v>
      </c>
      <c r="C1534" s="274" t="s">
        <v>1806</v>
      </c>
      <c r="D1534" s="274" t="s">
        <v>353</v>
      </c>
      <c r="E1534" s="274" t="s">
        <v>116</v>
      </c>
      <c r="F1534" s="274">
        <v>3</v>
      </c>
      <c r="G1534" s="274" t="s">
        <v>19</v>
      </c>
      <c r="H1534" s="274" t="s">
        <v>20</v>
      </c>
      <c r="I1534" s="274" t="s">
        <v>143</v>
      </c>
      <c r="J1534" s="274" t="s">
        <v>928</v>
      </c>
      <c r="K1534" s="274" t="s">
        <v>144</v>
      </c>
      <c r="L1534" s="274">
        <v>75</v>
      </c>
      <c r="M1534" s="274" t="s">
        <v>145</v>
      </c>
      <c r="N1534" s="274">
        <v>1005</v>
      </c>
      <c r="O1534" s="274">
        <v>1000</v>
      </c>
      <c r="P1534" s="274">
        <v>3000</v>
      </c>
      <c r="Q1534" s="274">
        <v>2</v>
      </c>
      <c r="R1534" s="274">
        <v>3</v>
      </c>
      <c r="S1534" s="274" t="s">
        <v>354</v>
      </c>
      <c r="T1534" s="274" t="s">
        <v>2264</v>
      </c>
      <c r="U1534" s="274" t="s">
        <v>2265</v>
      </c>
      <c r="V1534" s="274" t="s">
        <v>355</v>
      </c>
      <c r="W1534" s="339"/>
      <c r="X1534" s="339"/>
    </row>
    <row r="1535" spans="1:24" ht="13.5" x14ac:dyDescent="0.15">
      <c r="A1535" s="274">
        <v>3744887</v>
      </c>
      <c r="B1535" s="274" t="s">
        <v>351</v>
      </c>
      <c r="C1535" s="274" t="s">
        <v>1806</v>
      </c>
      <c r="D1535" s="274" t="s">
        <v>353</v>
      </c>
      <c r="E1535" s="274" t="s">
        <v>116</v>
      </c>
      <c r="F1535" s="274">
        <v>3</v>
      </c>
      <c r="G1535" s="274" t="s">
        <v>19</v>
      </c>
      <c r="H1535" s="274" t="s">
        <v>20</v>
      </c>
      <c r="I1535" s="274" t="s">
        <v>143</v>
      </c>
      <c r="J1535" s="274" t="s">
        <v>928</v>
      </c>
      <c r="K1535" s="274" t="s">
        <v>144</v>
      </c>
      <c r="L1535" s="274">
        <v>75</v>
      </c>
      <c r="M1535" s="274" t="s">
        <v>145</v>
      </c>
      <c r="N1535" s="274">
        <v>1005</v>
      </c>
      <c r="O1535" s="274">
        <v>1000</v>
      </c>
      <c r="P1535" s="274">
        <v>3000</v>
      </c>
      <c r="Q1535" s="274">
        <v>2</v>
      </c>
      <c r="R1535" s="274">
        <v>3</v>
      </c>
      <c r="S1535" s="274" t="s">
        <v>354</v>
      </c>
      <c r="T1535" s="274" t="s">
        <v>2264</v>
      </c>
      <c r="U1535" s="274" t="s">
        <v>2265</v>
      </c>
      <c r="V1535" s="274" t="s">
        <v>355</v>
      </c>
      <c r="W1535" s="339"/>
      <c r="X1535" s="339"/>
    </row>
    <row r="1536" spans="1:24" ht="13.5" x14ac:dyDescent="0.15">
      <c r="A1536" s="274">
        <v>3745641</v>
      </c>
      <c r="B1536" s="274" t="s">
        <v>351</v>
      </c>
      <c r="C1536" s="274" t="s">
        <v>1806</v>
      </c>
      <c r="D1536" s="274" t="s">
        <v>353</v>
      </c>
      <c r="E1536" s="274" t="s">
        <v>155</v>
      </c>
      <c r="F1536" s="274" t="s">
        <v>158</v>
      </c>
      <c r="G1536" s="274" t="s">
        <v>19</v>
      </c>
      <c r="H1536" s="274" t="s">
        <v>20</v>
      </c>
      <c r="I1536" s="274" t="s">
        <v>143</v>
      </c>
      <c r="J1536" s="274" t="s">
        <v>928</v>
      </c>
      <c r="K1536" s="274" t="s">
        <v>156</v>
      </c>
      <c r="L1536" s="274">
        <v>25</v>
      </c>
      <c r="M1536" s="274" t="s">
        <v>157</v>
      </c>
      <c r="N1536" s="274">
        <v>1120</v>
      </c>
      <c r="O1536" s="274">
        <v>1120</v>
      </c>
      <c r="P1536" s="274">
        <v>12000</v>
      </c>
      <c r="Q1536" s="274">
        <v>2</v>
      </c>
      <c r="R1536" s="274">
        <v>23</v>
      </c>
      <c r="S1536" s="274" t="s">
        <v>354</v>
      </c>
      <c r="T1536" s="274" t="s">
        <v>2273</v>
      </c>
      <c r="U1536" s="274" t="s">
        <v>2266</v>
      </c>
      <c r="V1536" s="274" t="s">
        <v>355</v>
      </c>
      <c r="W1536" s="274" t="s">
        <v>928</v>
      </c>
      <c r="X1536" s="274" t="s">
        <v>928</v>
      </c>
    </row>
    <row r="1537" spans="1:24" ht="13.5" x14ac:dyDescent="0.15">
      <c r="A1537" s="274">
        <v>3745642</v>
      </c>
      <c r="B1537" s="274" t="s">
        <v>351</v>
      </c>
      <c r="C1537" s="274" t="s">
        <v>1806</v>
      </c>
      <c r="D1537" s="274" t="s">
        <v>353</v>
      </c>
      <c r="E1537" s="274" t="s">
        <v>155</v>
      </c>
      <c r="F1537" s="274" t="s">
        <v>158</v>
      </c>
      <c r="G1537" s="274" t="s">
        <v>19</v>
      </c>
      <c r="H1537" s="274" t="s">
        <v>20</v>
      </c>
      <c r="I1537" s="274" t="s">
        <v>143</v>
      </c>
      <c r="J1537" s="274" t="s">
        <v>928</v>
      </c>
      <c r="K1537" s="274" t="s">
        <v>156</v>
      </c>
      <c r="L1537" s="274">
        <v>25</v>
      </c>
      <c r="M1537" s="274" t="s">
        <v>157</v>
      </c>
      <c r="N1537" s="274">
        <v>1120</v>
      </c>
      <c r="O1537" s="274">
        <v>1120</v>
      </c>
      <c r="P1537" s="274">
        <v>6000</v>
      </c>
      <c r="Q1537" s="274">
        <v>2</v>
      </c>
      <c r="R1537" s="274">
        <v>1</v>
      </c>
      <c r="S1537" s="274" t="s">
        <v>354</v>
      </c>
      <c r="T1537" s="274" t="s">
        <v>2273</v>
      </c>
      <c r="U1537" s="274" t="s">
        <v>2266</v>
      </c>
      <c r="V1537" s="274" t="s">
        <v>355</v>
      </c>
      <c r="W1537" s="274" t="s">
        <v>928</v>
      </c>
      <c r="X1537" s="274" t="s">
        <v>928</v>
      </c>
    </row>
    <row r="1538" spans="1:24" ht="13.5" x14ac:dyDescent="0.15">
      <c r="A1538" s="274">
        <v>3745643</v>
      </c>
      <c r="B1538" s="274" t="s">
        <v>351</v>
      </c>
      <c r="C1538" s="274" t="s">
        <v>1957</v>
      </c>
      <c r="D1538" s="274" t="s">
        <v>353</v>
      </c>
      <c r="E1538" s="274" t="s">
        <v>162</v>
      </c>
      <c r="F1538" s="274">
        <v>3</v>
      </c>
      <c r="G1538" s="274" t="s">
        <v>19</v>
      </c>
      <c r="H1538" s="274" t="s">
        <v>20</v>
      </c>
      <c r="I1538" s="274" t="s">
        <v>143</v>
      </c>
      <c r="J1538" s="274" t="s">
        <v>928</v>
      </c>
      <c r="K1538" s="274" t="s">
        <v>163</v>
      </c>
      <c r="L1538" s="274">
        <v>38</v>
      </c>
      <c r="M1538" s="274" t="s">
        <v>164</v>
      </c>
      <c r="N1538" s="274">
        <v>1320</v>
      </c>
      <c r="O1538" s="274">
        <v>1320</v>
      </c>
      <c r="P1538" s="274">
        <v>4200</v>
      </c>
      <c r="Q1538" s="274">
        <v>2</v>
      </c>
      <c r="R1538" s="274">
        <v>20</v>
      </c>
      <c r="S1538" s="274" t="s">
        <v>354</v>
      </c>
      <c r="T1538" s="274" t="s">
        <v>2273</v>
      </c>
      <c r="U1538" s="274" t="s">
        <v>2266</v>
      </c>
      <c r="V1538" s="274" t="s">
        <v>355</v>
      </c>
      <c r="W1538" s="274" t="s">
        <v>928</v>
      </c>
      <c r="X1538" s="274" t="s">
        <v>928</v>
      </c>
    </row>
    <row r="1539" spans="1:24" ht="13.5" x14ac:dyDescent="0.15">
      <c r="A1539" s="274">
        <v>3745644</v>
      </c>
      <c r="B1539" s="274" t="s">
        <v>351</v>
      </c>
      <c r="C1539" s="274" t="s">
        <v>1806</v>
      </c>
      <c r="D1539" s="274" t="s">
        <v>353</v>
      </c>
      <c r="E1539" s="274" t="s">
        <v>116</v>
      </c>
      <c r="F1539" s="274">
        <v>3</v>
      </c>
      <c r="G1539" s="274" t="s">
        <v>19</v>
      </c>
      <c r="H1539" s="274" t="s">
        <v>20</v>
      </c>
      <c r="I1539" s="274" t="s">
        <v>143</v>
      </c>
      <c r="J1539" s="274" t="s">
        <v>928</v>
      </c>
      <c r="K1539" s="274" t="s">
        <v>159</v>
      </c>
      <c r="L1539" s="274">
        <v>25</v>
      </c>
      <c r="M1539" s="274" t="s">
        <v>160</v>
      </c>
      <c r="N1539" s="274">
        <v>1005</v>
      </c>
      <c r="O1539" s="274">
        <v>1000</v>
      </c>
      <c r="P1539" s="274">
        <v>4000</v>
      </c>
      <c r="Q1539" s="274">
        <v>2</v>
      </c>
      <c r="R1539" s="274">
        <v>4</v>
      </c>
      <c r="S1539" s="274" t="s">
        <v>354</v>
      </c>
      <c r="T1539" s="274" t="s">
        <v>2273</v>
      </c>
      <c r="U1539" s="274" t="s">
        <v>2266</v>
      </c>
      <c r="V1539" s="274" t="s">
        <v>355</v>
      </c>
      <c r="W1539" s="274" t="s">
        <v>928</v>
      </c>
      <c r="X1539" s="274" t="s">
        <v>928</v>
      </c>
    </row>
    <row r="1540" spans="1:24" ht="13.5" x14ac:dyDescent="0.15">
      <c r="A1540" s="274">
        <v>3746738</v>
      </c>
      <c r="B1540" s="274" t="s">
        <v>351</v>
      </c>
      <c r="C1540" s="274" t="s">
        <v>1808</v>
      </c>
      <c r="D1540" s="274" t="s">
        <v>353</v>
      </c>
      <c r="E1540" s="274" t="s">
        <v>73</v>
      </c>
      <c r="F1540" s="274">
        <v>331</v>
      </c>
      <c r="G1540" s="274" t="s">
        <v>19</v>
      </c>
      <c r="H1540" s="274" t="s">
        <v>20</v>
      </c>
      <c r="I1540" s="274" t="s">
        <v>21</v>
      </c>
      <c r="J1540" s="274" t="s">
        <v>928</v>
      </c>
      <c r="K1540" s="274" t="s">
        <v>74</v>
      </c>
      <c r="L1540" s="274">
        <v>38</v>
      </c>
      <c r="M1540" s="274" t="s">
        <v>365</v>
      </c>
      <c r="N1540" s="274">
        <v>315</v>
      </c>
      <c r="O1540" s="274">
        <v>315</v>
      </c>
      <c r="P1540" s="274">
        <v>1950</v>
      </c>
      <c r="Q1540" s="274">
        <v>2</v>
      </c>
      <c r="R1540" s="274">
        <v>6</v>
      </c>
      <c r="S1540" s="274" t="s">
        <v>354</v>
      </c>
      <c r="T1540" s="274" t="s">
        <v>2287</v>
      </c>
      <c r="U1540" s="274" t="s">
        <v>2288</v>
      </c>
      <c r="V1540" s="274" t="s">
        <v>355</v>
      </c>
      <c r="W1540" s="274" t="s">
        <v>928</v>
      </c>
      <c r="X1540" s="274" t="s">
        <v>928</v>
      </c>
    </row>
    <row r="1541" spans="1:24" ht="13.5" x14ac:dyDescent="0.15">
      <c r="A1541" s="274">
        <v>3746738</v>
      </c>
      <c r="B1541" s="274" t="s">
        <v>351</v>
      </c>
      <c r="C1541" s="274" t="s">
        <v>1808</v>
      </c>
      <c r="D1541" s="274" t="s">
        <v>353</v>
      </c>
      <c r="E1541" s="274" t="s">
        <v>73</v>
      </c>
      <c r="F1541" s="274">
        <v>331</v>
      </c>
      <c r="G1541" s="274" t="s">
        <v>19</v>
      </c>
      <c r="H1541" s="274" t="s">
        <v>20</v>
      </c>
      <c r="I1541" s="274" t="s">
        <v>21</v>
      </c>
      <c r="J1541" s="274" t="s">
        <v>928</v>
      </c>
      <c r="K1541" s="274" t="s">
        <v>74</v>
      </c>
      <c r="L1541" s="274">
        <v>38</v>
      </c>
      <c r="M1541" s="274" t="s">
        <v>365</v>
      </c>
      <c r="N1541" s="274">
        <v>415</v>
      </c>
      <c r="O1541" s="274">
        <v>415</v>
      </c>
      <c r="P1541" s="274">
        <v>1950</v>
      </c>
      <c r="Q1541" s="274">
        <v>2</v>
      </c>
      <c r="R1541" s="274">
        <v>12</v>
      </c>
      <c r="S1541" s="274" t="s">
        <v>354</v>
      </c>
      <c r="T1541" s="274" t="s">
        <v>2287</v>
      </c>
      <c r="U1541" s="274" t="s">
        <v>2288</v>
      </c>
      <c r="V1541" s="274" t="s">
        <v>355</v>
      </c>
      <c r="W1541" s="274" t="s">
        <v>928</v>
      </c>
      <c r="X1541" s="274" t="s">
        <v>928</v>
      </c>
    </row>
    <row r="1542" spans="1:24" ht="13.5" x14ac:dyDescent="0.15">
      <c r="A1542" s="274">
        <v>3750020</v>
      </c>
      <c r="B1542" s="274" t="s">
        <v>351</v>
      </c>
      <c r="C1542" s="274" t="s">
        <v>1801</v>
      </c>
      <c r="D1542" s="274" t="s">
        <v>353</v>
      </c>
      <c r="E1542" s="274" t="s">
        <v>32</v>
      </c>
      <c r="F1542" s="274">
        <v>331</v>
      </c>
      <c r="G1542" s="274" t="s">
        <v>19</v>
      </c>
      <c r="H1542" s="274" t="s">
        <v>20</v>
      </c>
      <c r="I1542" s="274" t="s">
        <v>21</v>
      </c>
      <c r="J1542" s="274" t="s">
        <v>928</v>
      </c>
      <c r="K1542" s="274" t="s">
        <v>54</v>
      </c>
      <c r="L1542" s="274">
        <v>38</v>
      </c>
      <c r="M1542" s="274" t="s">
        <v>53</v>
      </c>
      <c r="N1542" s="274">
        <v>1580</v>
      </c>
      <c r="O1542" s="274">
        <v>1580</v>
      </c>
      <c r="P1542" s="274">
        <v>6000</v>
      </c>
      <c r="Q1542" s="274">
        <v>2</v>
      </c>
      <c r="R1542" s="274">
        <v>16</v>
      </c>
      <c r="S1542" s="274" t="s">
        <v>354</v>
      </c>
      <c r="T1542" s="274" t="s">
        <v>2361</v>
      </c>
      <c r="U1542" s="274" t="s">
        <v>2362</v>
      </c>
      <c r="V1542" s="274" t="s">
        <v>355</v>
      </c>
      <c r="W1542" s="274" t="s">
        <v>928</v>
      </c>
      <c r="X1542" s="274" t="s">
        <v>928</v>
      </c>
    </row>
    <row r="1543" spans="1:24" ht="13.5" x14ac:dyDescent="0.15">
      <c r="A1543" s="274">
        <v>3750021</v>
      </c>
      <c r="B1543" s="274" t="s">
        <v>351</v>
      </c>
      <c r="C1543" s="274" t="s">
        <v>1801</v>
      </c>
      <c r="D1543" s="274" t="s">
        <v>353</v>
      </c>
      <c r="E1543" s="274" t="s">
        <v>32</v>
      </c>
      <c r="F1543" s="274">
        <v>331</v>
      </c>
      <c r="G1543" s="274" t="s">
        <v>19</v>
      </c>
      <c r="H1543" s="274" t="s">
        <v>20</v>
      </c>
      <c r="I1543" s="274" t="s">
        <v>21</v>
      </c>
      <c r="J1543" s="274" t="s">
        <v>928</v>
      </c>
      <c r="K1543" s="274" t="s">
        <v>54</v>
      </c>
      <c r="L1543" s="274">
        <v>38</v>
      </c>
      <c r="M1543" s="274" t="s">
        <v>53</v>
      </c>
      <c r="N1543" s="274">
        <v>1330</v>
      </c>
      <c r="O1543" s="274">
        <v>1330</v>
      </c>
      <c r="P1543" s="274">
        <v>6000</v>
      </c>
      <c r="Q1543" s="274">
        <v>2</v>
      </c>
      <c r="R1543" s="274">
        <v>20</v>
      </c>
      <c r="S1543" s="274" t="s">
        <v>354</v>
      </c>
      <c r="T1543" s="274" t="s">
        <v>2361</v>
      </c>
      <c r="U1543" s="274" t="s">
        <v>2362</v>
      </c>
      <c r="V1543" s="274" t="s">
        <v>355</v>
      </c>
      <c r="W1543" s="274" t="s">
        <v>928</v>
      </c>
      <c r="X1543" s="274" t="s">
        <v>928</v>
      </c>
    </row>
    <row r="1544" spans="1:24" ht="13.5" x14ac:dyDescent="0.15">
      <c r="A1544" s="274">
        <v>3750022</v>
      </c>
      <c r="B1544" s="274" t="s">
        <v>351</v>
      </c>
      <c r="C1544" s="274" t="s">
        <v>1801</v>
      </c>
      <c r="D1544" s="274" t="s">
        <v>353</v>
      </c>
      <c r="E1544" s="274" t="s">
        <v>17</v>
      </c>
      <c r="F1544" s="274">
        <v>331</v>
      </c>
      <c r="G1544" s="274" t="s">
        <v>19</v>
      </c>
      <c r="H1544" s="274" t="s">
        <v>20</v>
      </c>
      <c r="I1544" s="274" t="s">
        <v>21</v>
      </c>
      <c r="J1544" s="274" t="s">
        <v>928</v>
      </c>
      <c r="K1544" s="274" t="s">
        <v>52</v>
      </c>
      <c r="L1544" s="274">
        <v>38</v>
      </c>
      <c r="M1544" s="274" t="s">
        <v>53</v>
      </c>
      <c r="N1544" s="274">
        <v>1330</v>
      </c>
      <c r="O1544" s="274">
        <v>1330</v>
      </c>
      <c r="P1544" s="274">
        <v>6000</v>
      </c>
      <c r="Q1544" s="274">
        <v>2</v>
      </c>
      <c r="R1544" s="274">
        <v>52</v>
      </c>
      <c r="S1544" s="274" t="s">
        <v>354</v>
      </c>
      <c r="T1544" s="274" t="s">
        <v>2361</v>
      </c>
      <c r="U1544" s="274" t="s">
        <v>2362</v>
      </c>
      <c r="V1544" s="274" t="s">
        <v>355</v>
      </c>
      <c r="W1544" s="274" t="s">
        <v>928</v>
      </c>
      <c r="X1544" s="274" t="s">
        <v>928</v>
      </c>
    </row>
    <row r="1545" spans="1:24" ht="13.5" x14ac:dyDescent="0.15">
      <c r="A1545" s="274">
        <v>3750023</v>
      </c>
      <c r="B1545" s="274" t="s">
        <v>351</v>
      </c>
      <c r="C1545" s="274" t="s">
        <v>1801</v>
      </c>
      <c r="D1545" s="274" t="s">
        <v>353</v>
      </c>
      <c r="E1545" s="274" t="s">
        <v>32</v>
      </c>
      <c r="F1545" s="274">
        <v>3</v>
      </c>
      <c r="G1545" s="274" t="s">
        <v>19</v>
      </c>
      <c r="H1545" s="274" t="s">
        <v>20</v>
      </c>
      <c r="I1545" s="274" t="s">
        <v>21</v>
      </c>
      <c r="J1545" s="274" t="s">
        <v>928</v>
      </c>
      <c r="K1545" s="274" t="s">
        <v>56</v>
      </c>
      <c r="L1545" s="274">
        <v>75</v>
      </c>
      <c r="M1545" s="274" t="s">
        <v>376</v>
      </c>
      <c r="N1545" s="274">
        <v>1330</v>
      </c>
      <c r="O1545" s="274">
        <v>1330</v>
      </c>
      <c r="P1545" s="274">
        <v>4100</v>
      </c>
      <c r="Q1545" s="274">
        <v>2</v>
      </c>
      <c r="R1545" s="274">
        <v>24</v>
      </c>
      <c r="S1545" s="274" t="s">
        <v>354</v>
      </c>
      <c r="T1545" s="274" t="s">
        <v>2361</v>
      </c>
      <c r="U1545" s="274" t="s">
        <v>2362</v>
      </c>
      <c r="V1545" s="274" t="s">
        <v>355</v>
      </c>
      <c r="W1545" s="274" t="s">
        <v>928</v>
      </c>
      <c r="X1545" s="274" t="s">
        <v>928</v>
      </c>
    </row>
    <row r="1546" spans="1:24" ht="13.5" x14ac:dyDescent="0.15">
      <c r="A1546" s="274">
        <v>3750024</v>
      </c>
      <c r="B1546" s="274" t="s">
        <v>351</v>
      </c>
      <c r="C1546" s="274" t="s">
        <v>1808</v>
      </c>
      <c r="D1546" s="274" t="s">
        <v>353</v>
      </c>
      <c r="E1546" s="274" t="s">
        <v>369</v>
      </c>
      <c r="F1546" s="274">
        <v>331</v>
      </c>
      <c r="G1546" s="274" t="s">
        <v>19</v>
      </c>
      <c r="H1546" s="274" t="s">
        <v>20</v>
      </c>
      <c r="I1546" s="274" t="s">
        <v>21</v>
      </c>
      <c r="J1546" s="274" t="s">
        <v>928</v>
      </c>
      <c r="K1546" s="274" t="s">
        <v>47</v>
      </c>
      <c r="L1546" s="274">
        <v>38</v>
      </c>
      <c r="M1546" s="274" t="s">
        <v>53</v>
      </c>
      <c r="N1546" s="274">
        <v>535</v>
      </c>
      <c r="O1546" s="274">
        <v>535</v>
      </c>
      <c r="P1546" s="274">
        <v>6000</v>
      </c>
      <c r="Q1546" s="274">
        <v>2</v>
      </c>
      <c r="R1546" s="274">
        <v>8</v>
      </c>
      <c r="S1546" s="274" t="s">
        <v>354</v>
      </c>
      <c r="T1546" s="274" t="s">
        <v>2361</v>
      </c>
      <c r="U1546" s="274" t="s">
        <v>2362</v>
      </c>
      <c r="V1546" s="274" t="s">
        <v>355</v>
      </c>
      <c r="W1546" s="274" t="s">
        <v>928</v>
      </c>
      <c r="X1546" s="274" t="s">
        <v>928</v>
      </c>
    </row>
    <row r="1547" spans="1:24" ht="13.5" x14ac:dyDescent="0.15">
      <c r="A1547" s="274">
        <v>3750025</v>
      </c>
      <c r="B1547" s="274" t="s">
        <v>431</v>
      </c>
      <c r="C1547" s="274" t="s">
        <v>1808</v>
      </c>
      <c r="D1547" s="274" t="s">
        <v>353</v>
      </c>
      <c r="E1547" s="274" t="s">
        <v>1162</v>
      </c>
      <c r="F1547" s="274">
        <v>3</v>
      </c>
      <c r="G1547" s="274" t="s">
        <v>265</v>
      </c>
      <c r="H1547" s="274" t="s">
        <v>20</v>
      </c>
      <c r="I1547" s="274" t="s">
        <v>21</v>
      </c>
      <c r="J1547" s="274" t="s">
        <v>928</v>
      </c>
      <c r="K1547" s="274" t="s">
        <v>632</v>
      </c>
      <c r="L1547" s="274">
        <v>25</v>
      </c>
      <c r="M1547" s="274" t="s">
        <v>633</v>
      </c>
      <c r="N1547" s="274">
        <v>1100</v>
      </c>
      <c r="O1547" s="274">
        <v>1100</v>
      </c>
      <c r="P1547" s="274">
        <v>4070</v>
      </c>
      <c r="Q1547" s="274">
        <v>2</v>
      </c>
      <c r="R1547" s="274">
        <v>6</v>
      </c>
      <c r="S1547" s="274" t="s">
        <v>354</v>
      </c>
      <c r="T1547" s="274" t="s">
        <v>2361</v>
      </c>
      <c r="U1547" s="274" t="s">
        <v>2362</v>
      </c>
      <c r="V1547" s="274" t="s">
        <v>355</v>
      </c>
      <c r="W1547" s="274" t="s">
        <v>928</v>
      </c>
      <c r="X1547" s="274" t="s">
        <v>928</v>
      </c>
    </row>
    <row r="1548" spans="1:24" ht="13.5" x14ac:dyDescent="0.15">
      <c r="A1548" s="274">
        <v>3750026</v>
      </c>
      <c r="B1548" s="274" t="s">
        <v>431</v>
      </c>
      <c r="C1548" s="274" t="s">
        <v>1808</v>
      </c>
      <c r="D1548" s="274" t="s">
        <v>353</v>
      </c>
      <c r="E1548" s="274" t="s">
        <v>1162</v>
      </c>
      <c r="F1548" s="274">
        <v>3</v>
      </c>
      <c r="G1548" s="274" t="s">
        <v>265</v>
      </c>
      <c r="H1548" s="274" t="s">
        <v>20</v>
      </c>
      <c r="I1548" s="274" t="s">
        <v>21</v>
      </c>
      <c r="J1548" s="274" t="s">
        <v>928</v>
      </c>
      <c r="K1548" s="274" t="s">
        <v>632</v>
      </c>
      <c r="L1548" s="274">
        <v>25</v>
      </c>
      <c r="M1548" s="274" t="s">
        <v>633</v>
      </c>
      <c r="N1548" s="274">
        <v>1100</v>
      </c>
      <c r="O1548" s="274">
        <v>1100</v>
      </c>
      <c r="P1548" s="274">
        <v>4070</v>
      </c>
      <c r="Q1548" s="274">
        <v>2</v>
      </c>
      <c r="R1548" s="274">
        <v>6</v>
      </c>
      <c r="S1548" s="274" t="s">
        <v>354</v>
      </c>
      <c r="T1548" s="274" t="s">
        <v>2361</v>
      </c>
      <c r="U1548" s="274" t="s">
        <v>2362</v>
      </c>
      <c r="V1548" s="274" t="s">
        <v>355</v>
      </c>
      <c r="W1548" s="274" t="s">
        <v>928</v>
      </c>
      <c r="X1548" s="274" t="s">
        <v>928</v>
      </c>
    </row>
    <row r="1549" spans="1:24" ht="13.5" x14ac:dyDescent="0.15">
      <c r="A1549" s="274">
        <v>3750027</v>
      </c>
      <c r="B1549" s="274" t="s">
        <v>351</v>
      </c>
      <c r="C1549" s="274" t="s">
        <v>1806</v>
      </c>
      <c r="D1549" s="274" t="s">
        <v>353</v>
      </c>
      <c r="E1549" s="274" t="s">
        <v>371</v>
      </c>
      <c r="F1549" s="274">
        <v>3</v>
      </c>
      <c r="G1549" s="274" t="s">
        <v>19</v>
      </c>
      <c r="H1549" s="274" t="s">
        <v>28</v>
      </c>
      <c r="I1549" s="274" t="s">
        <v>21</v>
      </c>
      <c r="J1549" s="274" t="s">
        <v>928</v>
      </c>
      <c r="K1549" s="274" t="s">
        <v>60</v>
      </c>
      <c r="L1549" s="274">
        <v>75</v>
      </c>
      <c r="M1549" s="274" t="s">
        <v>372</v>
      </c>
      <c r="N1549" s="274">
        <v>1040</v>
      </c>
      <c r="O1549" s="274">
        <v>1040</v>
      </c>
      <c r="P1549" s="274">
        <v>4000</v>
      </c>
      <c r="Q1549" s="274">
        <v>1</v>
      </c>
      <c r="R1549" s="274">
        <v>1</v>
      </c>
      <c r="S1549" s="274" t="s">
        <v>354</v>
      </c>
      <c r="T1549" s="274" t="s">
        <v>2361</v>
      </c>
      <c r="U1549" s="274" t="s">
        <v>2363</v>
      </c>
      <c r="V1549" s="274" t="s">
        <v>355</v>
      </c>
      <c r="W1549" s="274" t="s">
        <v>928</v>
      </c>
      <c r="X1549" s="274" t="s">
        <v>928</v>
      </c>
    </row>
    <row r="1550" spans="1:24" ht="13.5" x14ac:dyDescent="0.15">
      <c r="A1550" s="274">
        <v>3750028</v>
      </c>
      <c r="B1550" s="274" t="s">
        <v>351</v>
      </c>
      <c r="C1550" s="274" t="s">
        <v>1801</v>
      </c>
      <c r="D1550" s="274" t="s">
        <v>353</v>
      </c>
      <c r="E1550" s="274" t="s">
        <v>32</v>
      </c>
      <c r="F1550" s="274">
        <v>331</v>
      </c>
      <c r="G1550" s="274" t="s">
        <v>19</v>
      </c>
      <c r="H1550" s="274" t="s">
        <v>20</v>
      </c>
      <c r="I1550" s="274" t="s">
        <v>21</v>
      </c>
      <c r="J1550" s="274" t="s">
        <v>928</v>
      </c>
      <c r="K1550" s="274" t="s">
        <v>33</v>
      </c>
      <c r="L1550" s="274">
        <v>38</v>
      </c>
      <c r="M1550" s="274" t="s">
        <v>30</v>
      </c>
      <c r="N1550" s="274">
        <v>1580</v>
      </c>
      <c r="O1550" s="274">
        <v>1580</v>
      </c>
      <c r="P1550" s="274">
        <v>6000</v>
      </c>
      <c r="Q1550" s="274">
        <v>2</v>
      </c>
      <c r="R1550" s="274">
        <v>14</v>
      </c>
      <c r="S1550" s="274" t="s">
        <v>354</v>
      </c>
      <c r="T1550" s="274" t="s">
        <v>2361</v>
      </c>
      <c r="U1550" s="274" t="s">
        <v>2362</v>
      </c>
      <c r="V1550" s="274" t="s">
        <v>355</v>
      </c>
      <c r="W1550" s="274" t="s">
        <v>928</v>
      </c>
      <c r="X1550" s="274" t="s">
        <v>928</v>
      </c>
    </row>
    <row r="1551" spans="1:24" ht="13.5" x14ac:dyDescent="0.15">
      <c r="A1551" s="274">
        <v>3750029</v>
      </c>
      <c r="B1551" s="274" t="s">
        <v>351</v>
      </c>
      <c r="C1551" s="274" t="s">
        <v>1801</v>
      </c>
      <c r="D1551" s="274" t="s">
        <v>353</v>
      </c>
      <c r="E1551" s="274" t="s">
        <v>32</v>
      </c>
      <c r="F1551" s="274">
        <v>331</v>
      </c>
      <c r="G1551" s="274" t="s">
        <v>19</v>
      </c>
      <c r="H1551" s="274" t="s">
        <v>20</v>
      </c>
      <c r="I1551" s="274" t="s">
        <v>21</v>
      </c>
      <c r="J1551" s="274" t="s">
        <v>928</v>
      </c>
      <c r="K1551" s="274" t="s">
        <v>33</v>
      </c>
      <c r="L1551" s="274">
        <v>38</v>
      </c>
      <c r="M1551" s="274" t="s">
        <v>30</v>
      </c>
      <c r="N1551" s="274">
        <v>1330</v>
      </c>
      <c r="O1551" s="274">
        <v>1330</v>
      </c>
      <c r="P1551" s="274">
        <v>6000</v>
      </c>
      <c r="Q1551" s="274">
        <v>2</v>
      </c>
      <c r="R1551" s="274">
        <v>44</v>
      </c>
      <c r="S1551" s="274" t="s">
        <v>354</v>
      </c>
      <c r="T1551" s="274" t="s">
        <v>2361</v>
      </c>
      <c r="U1551" s="274" t="s">
        <v>2362</v>
      </c>
      <c r="V1551" s="274" t="s">
        <v>355</v>
      </c>
      <c r="W1551" s="274" t="s">
        <v>928</v>
      </c>
      <c r="X1551" s="274" t="s">
        <v>928</v>
      </c>
    </row>
    <row r="1552" spans="1:24" ht="13.5" x14ac:dyDescent="0.15">
      <c r="A1552" s="274">
        <v>3750030</v>
      </c>
      <c r="B1552" s="274" t="s">
        <v>351</v>
      </c>
      <c r="C1552" s="274" t="s">
        <v>1801</v>
      </c>
      <c r="D1552" s="274" t="s">
        <v>353</v>
      </c>
      <c r="E1552" s="274" t="s">
        <v>32</v>
      </c>
      <c r="F1552" s="274">
        <v>331</v>
      </c>
      <c r="G1552" s="274" t="s">
        <v>19</v>
      </c>
      <c r="H1552" s="274" t="s">
        <v>20</v>
      </c>
      <c r="I1552" s="274" t="s">
        <v>21</v>
      </c>
      <c r="J1552" s="274" t="s">
        <v>928</v>
      </c>
      <c r="K1552" s="274" t="s">
        <v>33</v>
      </c>
      <c r="L1552" s="274">
        <v>25</v>
      </c>
      <c r="M1552" s="274" t="s">
        <v>30</v>
      </c>
      <c r="N1552" s="274">
        <v>1330</v>
      </c>
      <c r="O1552" s="274">
        <v>1330</v>
      </c>
      <c r="P1552" s="274">
        <v>6000</v>
      </c>
      <c r="Q1552" s="274">
        <v>2</v>
      </c>
      <c r="R1552" s="274">
        <v>8</v>
      </c>
      <c r="S1552" s="274" t="s">
        <v>354</v>
      </c>
      <c r="T1552" s="274" t="s">
        <v>2361</v>
      </c>
      <c r="U1552" s="274" t="s">
        <v>2362</v>
      </c>
      <c r="V1552" s="274" t="s">
        <v>355</v>
      </c>
      <c r="W1552" s="274" t="s">
        <v>928</v>
      </c>
      <c r="X1552" s="274" t="s">
        <v>928</v>
      </c>
    </row>
    <row r="1553" spans="1:24" ht="13.5" x14ac:dyDescent="0.15">
      <c r="A1553" s="274">
        <v>3750031</v>
      </c>
      <c r="B1553" s="274" t="s">
        <v>351</v>
      </c>
      <c r="C1553" s="274" t="s">
        <v>1819</v>
      </c>
      <c r="D1553" s="274" t="s">
        <v>353</v>
      </c>
      <c r="E1553" s="274" t="s">
        <v>40</v>
      </c>
      <c r="F1553" s="274">
        <v>3</v>
      </c>
      <c r="G1553" s="274" t="s">
        <v>19</v>
      </c>
      <c r="H1553" s="274" t="s">
        <v>20</v>
      </c>
      <c r="I1553" s="274" t="s">
        <v>21</v>
      </c>
      <c r="J1553" s="274" t="s">
        <v>928</v>
      </c>
      <c r="K1553" s="274" t="s">
        <v>42</v>
      </c>
      <c r="L1553" s="274">
        <v>25</v>
      </c>
      <c r="M1553" s="274" t="s">
        <v>43</v>
      </c>
      <c r="N1553" s="274">
        <v>1085</v>
      </c>
      <c r="O1553" s="274">
        <v>1080</v>
      </c>
      <c r="P1553" s="274">
        <v>6000</v>
      </c>
      <c r="Q1553" s="274">
        <v>2</v>
      </c>
      <c r="R1553" s="274">
        <v>8</v>
      </c>
      <c r="S1553" s="274" t="s">
        <v>354</v>
      </c>
      <c r="T1553" s="274" t="s">
        <v>2361</v>
      </c>
      <c r="U1553" s="274" t="s">
        <v>2363</v>
      </c>
      <c r="V1553" s="274" t="s">
        <v>355</v>
      </c>
      <c r="W1553" s="274" t="s">
        <v>928</v>
      </c>
      <c r="X1553" s="274" t="s">
        <v>928</v>
      </c>
    </row>
    <row r="1554" spans="1:24" ht="13.5" x14ac:dyDescent="0.15">
      <c r="A1554" s="274">
        <v>3750032</v>
      </c>
      <c r="B1554" s="274" t="s">
        <v>351</v>
      </c>
      <c r="C1554" s="274" t="s">
        <v>1801</v>
      </c>
      <c r="D1554" s="274" t="s">
        <v>353</v>
      </c>
      <c r="E1554" s="274" t="s">
        <v>17</v>
      </c>
      <c r="F1554" s="274">
        <v>3</v>
      </c>
      <c r="G1554" s="274" t="s">
        <v>19</v>
      </c>
      <c r="H1554" s="274" t="s">
        <v>20</v>
      </c>
      <c r="I1554" s="274" t="s">
        <v>21</v>
      </c>
      <c r="J1554" s="274" t="s">
        <v>928</v>
      </c>
      <c r="K1554" s="274" t="s">
        <v>22</v>
      </c>
      <c r="L1554" s="274">
        <v>38</v>
      </c>
      <c r="M1554" s="274" t="s">
        <v>23</v>
      </c>
      <c r="N1554" s="274">
        <v>1057</v>
      </c>
      <c r="O1554" s="274">
        <v>1050</v>
      </c>
      <c r="P1554" s="274">
        <v>8400</v>
      </c>
      <c r="Q1554" s="274">
        <v>2</v>
      </c>
      <c r="R1554" s="274">
        <v>4</v>
      </c>
      <c r="S1554" s="274" t="s">
        <v>354</v>
      </c>
      <c r="T1554" s="274" t="s">
        <v>2361</v>
      </c>
      <c r="U1554" s="274" t="s">
        <v>2363</v>
      </c>
      <c r="V1554" s="274" t="s">
        <v>355</v>
      </c>
      <c r="W1554" s="274" t="s">
        <v>928</v>
      </c>
      <c r="X1554" s="274" t="s">
        <v>928</v>
      </c>
    </row>
    <row r="1555" spans="1:24" ht="13.5" x14ac:dyDescent="0.15">
      <c r="A1555" s="274">
        <v>3750033</v>
      </c>
      <c r="B1555" s="274" t="s">
        <v>351</v>
      </c>
      <c r="C1555" s="274" t="s">
        <v>1819</v>
      </c>
      <c r="D1555" s="274" t="s">
        <v>353</v>
      </c>
      <c r="E1555" s="274" t="s">
        <v>40</v>
      </c>
      <c r="F1555" s="274">
        <v>3</v>
      </c>
      <c r="G1555" s="274" t="s">
        <v>19</v>
      </c>
      <c r="H1555" s="274" t="s">
        <v>20</v>
      </c>
      <c r="I1555" s="274" t="s">
        <v>21</v>
      </c>
      <c r="J1555" s="274" t="s">
        <v>928</v>
      </c>
      <c r="K1555" s="274" t="s">
        <v>42</v>
      </c>
      <c r="L1555" s="274">
        <v>25</v>
      </c>
      <c r="M1555" s="274" t="s">
        <v>43</v>
      </c>
      <c r="N1555" s="274">
        <v>1045</v>
      </c>
      <c r="O1555" s="274">
        <v>1040</v>
      </c>
      <c r="P1555" s="274">
        <v>6000</v>
      </c>
      <c r="Q1555" s="274">
        <v>2</v>
      </c>
      <c r="R1555" s="274">
        <v>8</v>
      </c>
      <c r="S1555" s="274" t="s">
        <v>354</v>
      </c>
      <c r="T1555" s="274" t="s">
        <v>2361</v>
      </c>
      <c r="U1555" s="274" t="s">
        <v>2363</v>
      </c>
      <c r="V1555" s="274" t="s">
        <v>355</v>
      </c>
      <c r="W1555" s="274" t="s">
        <v>928</v>
      </c>
      <c r="X1555" s="274" t="s">
        <v>928</v>
      </c>
    </row>
    <row r="1556" spans="1:24" ht="13.5" x14ac:dyDescent="0.15">
      <c r="A1556" s="274">
        <v>3750035</v>
      </c>
      <c r="B1556" s="274" t="s">
        <v>351</v>
      </c>
      <c r="C1556" s="274" t="s">
        <v>1801</v>
      </c>
      <c r="D1556" s="274" t="s">
        <v>353</v>
      </c>
      <c r="E1556" s="274" t="s">
        <v>17</v>
      </c>
      <c r="F1556" s="274">
        <v>3</v>
      </c>
      <c r="G1556" s="274" t="s">
        <v>19</v>
      </c>
      <c r="H1556" s="274" t="s">
        <v>20</v>
      </c>
      <c r="I1556" s="274" t="s">
        <v>21</v>
      </c>
      <c r="J1556" s="274" t="s">
        <v>928</v>
      </c>
      <c r="K1556" s="274" t="s">
        <v>104</v>
      </c>
      <c r="L1556" s="274">
        <v>25</v>
      </c>
      <c r="M1556" s="274" t="s">
        <v>375</v>
      </c>
      <c r="N1556" s="274">
        <v>1325</v>
      </c>
      <c r="O1556" s="274">
        <v>1320</v>
      </c>
      <c r="P1556" s="274">
        <v>6000</v>
      </c>
      <c r="Q1556" s="274">
        <v>2</v>
      </c>
      <c r="R1556" s="274">
        <v>8</v>
      </c>
      <c r="S1556" s="274" t="s">
        <v>354</v>
      </c>
      <c r="T1556" s="274" t="s">
        <v>2361</v>
      </c>
      <c r="U1556" s="274" t="s">
        <v>2363</v>
      </c>
      <c r="V1556" s="274" t="s">
        <v>355</v>
      </c>
      <c r="W1556" s="274" t="s">
        <v>928</v>
      </c>
      <c r="X1556" s="274" t="s">
        <v>928</v>
      </c>
    </row>
    <row r="1557" spans="1:24" ht="13.5" x14ac:dyDescent="0.15">
      <c r="A1557" s="274">
        <v>3750036</v>
      </c>
      <c r="B1557" s="274" t="s">
        <v>351</v>
      </c>
      <c r="C1557" s="274" t="s">
        <v>1801</v>
      </c>
      <c r="D1557" s="274" t="s">
        <v>353</v>
      </c>
      <c r="E1557" s="274" t="s">
        <v>106</v>
      </c>
      <c r="F1557" s="274">
        <v>3</v>
      </c>
      <c r="G1557" s="274" t="s">
        <v>19</v>
      </c>
      <c r="H1557" s="274" t="s">
        <v>20</v>
      </c>
      <c r="I1557" s="274" t="s">
        <v>21</v>
      </c>
      <c r="J1557" s="274" t="s">
        <v>928</v>
      </c>
      <c r="K1557" s="274" t="s">
        <v>107</v>
      </c>
      <c r="L1557" s="274">
        <v>38</v>
      </c>
      <c r="M1557" s="274" t="s">
        <v>367</v>
      </c>
      <c r="N1557" s="274">
        <v>1240</v>
      </c>
      <c r="O1557" s="274">
        <v>1240</v>
      </c>
      <c r="P1557" s="274">
        <v>6000</v>
      </c>
      <c r="Q1557" s="274">
        <v>2</v>
      </c>
      <c r="R1557" s="274">
        <v>6</v>
      </c>
      <c r="S1557" s="274" t="s">
        <v>354</v>
      </c>
      <c r="T1557" s="274" t="s">
        <v>2361</v>
      </c>
      <c r="U1557" s="274" t="s">
        <v>2363</v>
      </c>
      <c r="V1557" s="274" t="s">
        <v>355</v>
      </c>
      <c r="W1557" s="274" t="s">
        <v>928</v>
      </c>
      <c r="X1557" s="274" t="s">
        <v>928</v>
      </c>
    </row>
    <row r="1558" spans="1:24" ht="13.5" x14ac:dyDescent="0.15">
      <c r="A1558" s="274">
        <v>3750037</v>
      </c>
      <c r="B1558" s="274" t="s">
        <v>351</v>
      </c>
      <c r="C1558" s="274" t="s">
        <v>1801</v>
      </c>
      <c r="D1558" s="274" t="s">
        <v>353</v>
      </c>
      <c r="E1558" s="274" t="s">
        <v>755</v>
      </c>
      <c r="F1558" s="274">
        <v>3</v>
      </c>
      <c r="G1558" s="274" t="s">
        <v>19</v>
      </c>
      <c r="H1558" s="274" t="s">
        <v>20</v>
      </c>
      <c r="I1558" s="274" t="s">
        <v>21</v>
      </c>
      <c r="J1558" s="274" t="s">
        <v>928</v>
      </c>
      <c r="K1558" s="274" t="s">
        <v>128</v>
      </c>
      <c r="L1558" s="274">
        <v>25</v>
      </c>
      <c r="M1558" s="274" t="s">
        <v>756</v>
      </c>
      <c r="N1558" s="274">
        <v>1155</v>
      </c>
      <c r="O1558" s="274">
        <v>1150</v>
      </c>
      <c r="P1558" s="274">
        <v>12400</v>
      </c>
      <c r="Q1558" s="274">
        <v>2</v>
      </c>
      <c r="R1558" s="274">
        <v>4</v>
      </c>
      <c r="S1558" s="274" t="s">
        <v>354</v>
      </c>
      <c r="T1558" s="274" t="s">
        <v>2361</v>
      </c>
      <c r="U1558" s="274" t="s">
        <v>2363</v>
      </c>
      <c r="V1558" s="274" t="s">
        <v>355</v>
      </c>
      <c r="W1558" s="274" t="s">
        <v>928</v>
      </c>
      <c r="X1558" s="274" t="s">
        <v>928</v>
      </c>
    </row>
    <row r="1559" spans="1:24" ht="13.5" x14ac:dyDescent="0.15">
      <c r="A1559" s="274">
        <v>3750038</v>
      </c>
      <c r="B1559" s="274" t="s">
        <v>351</v>
      </c>
      <c r="C1559" s="274" t="s">
        <v>1801</v>
      </c>
      <c r="D1559" s="274" t="s">
        <v>353</v>
      </c>
      <c r="E1559" s="274" t="s">
        <v>115</v>
      </c>
      <c r="F1559" s="274">
        <v>3</v>
      </c>
      <c r="G1559" s="274" t="s">
        <v>19</v>
      </c>
      <c r="H1559" s="274" t="s">
        <v>20</v>
      </c>
      <c r="I1559" s="274" t="s">
        <v>21</v>
      </c>
      <c r="J1559" s="274" t="s">
        <v>928</v>
      </c>
      <c r="K1559" s="274" t="s">
        <v>112</v>
      </c>
      <c r="L1559" s="274">
        <v>38</v>
      </c>
      <c r="M1559" s="274" t="s">
        <v>357</v>
      </c>
      <c r="N1559" s="274">
        <v>1135</v>
      </c>
      <c r="O1559" s="274">
        <v>1130</v>
      </c>
      <c r="P1559" s="274">
        <v>6000</v>
      </c>
      <c r="Q1559" s="274">
        <v>2</v>
      </c>
      <c r="R1559" s="274">
        <v>4</v>
      </c>
      <c r="S1559" s="274" t="s">
        <v>354</v>
      </c>
      <c r="T1559" s="274" t="s">
        <v>2361</v>
      </c>
      <c r="U1559" s="274" t="s">
        <v>2363</v>
      </c>
      <c r="V1559" s="274" t="s">
        <v>355</v>
      </c>
      <c r="W1559" s="274" t="s">
        <v>928</v>
      </c>
      <c r="X1559" s="274" t="s">
        <v>928</v>
      </c>
    </row>
    <row r="1560" spans="1:24" ht="13.5" x14ac:dyDescent="0.15">
      <c r="A1560" s="274">
        <v>3750039</v>
      </c>
      <c r="B1560" s="274" t="s">
        <v>431</v>
      </c>
      <c r="C1560" s="274" t="s">
        <v>1808</v>
      </c>
      <c r="D1560" s="274" t="s">
        <v>353</v>
      </c>
      <c r="E1560" s="274" t="s">
        <v>928</v>
      </c>
      <c r="F1560" s="274">
        <v>3</v>
      </c>
      <c r="G1560" s="274" t="s">
        <v>265</v>
      </c>
      <c r="H1560" s="274" t="s">
        <v>20</v>
      </c>
      <c r="I1560" s="274" t="s">
        <v>21</v>
      </c>
      <c r="J1560" s="274" t="s">
        <v>928</v>
      </c>
      <c r="K1560" s="274" t="s">
        <v>118</v>
      </c>
      <c r="L1560" s="274">
        <v>25</v>
      </c>
      <c r="M1560" s="274" t="s">
        <v>119</v>
      </c>
      <c r="N1560" s="274">
        <v>1100</v>
      </c>
      <c r="O1560" s="274">
        <v>1100</v>
      </c>
      <c r="P1560" s="274">
        <v>12000</v>
      </c>
      <c r="Q1560" s="274">
        <v>2</v>
      </c>
      <c r="R1560" s="274">
        <v>30</v>
      </c>
      <c r="S1560" s="274" t="s">
        <v>354</v>
      </c>
      <c r="T1560" s="274" t="s">
        <v>2361</v>
      </c>
      <c r="U1560" s="274" t="s">
        <v>2363</v>
      </c>
      <c r="V1560" s="274" t="s">
        <v>355</v>
      </c>
      <c r="W1560" s="274" t="s">
        <v>928</v>
      </c>
      <c r="X1560" s="274" t="s">
        <v>928</v>
      </c>
    </row>
    <row r="1561" spans="1:24" ht="13.5" x14ac:dyDescent="0.15">
      <c r="A1561" s="274">
        <v>3750040</v>
      </c>
      <c r="B1561" s="274" t="s">
        <v>351</v>
      </c>
      <c r="C1561" s="274" t="s">
        <v>1801</v>
      </c>
      <c r="D1561" s="274" t="s">
        <v>353</v>
      </c>
      <c r="E1561" s="274" t="s">
        <v>17</v>
      </c>
      <c r="F1561" s="274">
        <v>3</v>
      </c>
      <c r="G1561" s="274" t="s">
        <v>19</v>
      </c>
      <c r="H1561" s="274" t="s">
        <v>20</v>
      </c>
      <c r="I1561" s="274" t="s">
        <v>21</v>
      </c>
      <c r="J1561" s="274" t="s">
        <v>928</v>
      </c>
      <c r="K1561" s="274" t="s">
        <v>104</v>
      </c>
      <c r="L1561" s="274">
        <v>25</v>
      </c>
      <c r="M1561" s="274" t="s">
        <v>375</v>
      </c>
      <c r="N1561" s="274">
        <v>1100</v>
      </c>
      <c r="O1561" s="274">
        <v>1100</v>
      </c>
      <c r="P1561" s="274">
        <v>12000</v>
      </c>
      <c r="Q1561" s="274">
        <v>2</v>
      </c>
      <c r="R1561" s="274">
        <v>8</v>
      </c>
      <c r="S1561" s="274" t="s">
        <v>354</v>
      </c>
      <c r="T1561" s="274" t="s">
        <v>2361</v>
      </c>
      <c r="U1561" s="274" t="s">
        <v>2363</v>
      </c>
      <c r="V1561" s="274" t="s">
        <v>355</v>
      </c>
      <c r="W1561" s="274" t="s">
        <v>928</v>
      </c>
      <c r="X1561" s="274" t="s">
        <v>928</v>
      </c>
    </row>
    <row r="1562" spans="1:24" ht="13.5" x14ac:dyDescent="0.15">
      <c r="A1562" s="274">
        <v>3750041</v>
      </c>
      <c r="B1562" s="274" t="s">
        <v>351</v>
      </c>
      <c r="C1562" s="274" t="s">
        <v>1808</v>
      </c>
      <c r="D1562" s="274" t="s">
        <v>353</v>
      </c>
      <c r="E1562" s="274" t="s">
        <v>110</v>
      </c>
      <c r="F1562" s="274">
        <v>331</v>
      </c>
      <c r="G1562" s="274" t="s">
        <v>19</v>
      </c>
      <c r="H1562" s="274" t="s">
        <v>20</v>
      </c>
      <c r="I1562" s="274" t="s">
        <v>21</v>
      </c>
      <c r="J1562" s="274" t="s">
        <v>928</v>
      </c>
      <c r="K1562" s="274" t="s">
        <v>112</v>
      </c>
      <c r="L1562" s="274">
        <v>25</v>
      </c>
      <c r="M1562" s="274" t="s">
        <v>357</v>
      </c>
      <c r="N1562" s="274">
        <v>450</v>
      </c>
      <c r="O1562" s="274">
        <v>450</v>
      </c>
      <c r="P1562" s="274">
        <v>4000</v>
      </c>
      <c r="Q1562" s="274">
        <v>2</v>
      </c>
      <c r="R1562" s="274">
        <v>6</v>
      </c>
      <c r="S1562" s="274" t="s">
        <v>354</v>
      </c>
      <c r="T1562" s="274" t="s">
        <v>2361</v>
      </c>
      <c r="U1562" s="274" t="s">
        <v>2363</v>
      </c>
      <c r="V1562" s="274" t="s">
        <v>355</v>
      </c>
      <c r="W1562" s="274" t="s">
        <v>928</v>
      </c>
      <c r="X1562" s="274" t="s">
        <v>928</v>
      </c>
    </row>
    <row r="1563" spans="1:24" ht="13.5" x14ac:dyDescent="0.15">
      <c r="A1563" s="274">
        <v>3750042</v>
      </c>
      <c r="B1563" s="274" t="s">
        <v>351</v>
      </c>
      <c r="C1563" s="274" t="s">
        <v>1808</v>
      </c>
      <c r="D1563" s="274" t="s">
        <v>353</v>
      </c>
      <c r="E1563" s="274" t="s">
        <v>110</v>
      </c>
      <c r="F1563" s="274">
        <v>331</v>
      </c>
      <c r="G1563" s="274" t="s">
        <v>19</v>
      </c>
      <c r="H1563" s="274" t="s">
        <v>20</v>
      </c>
      <c r="I1563" s="274" t="s">
        <v>21</v>
      </c>
      <c r="J1563" s="274" t="s">
        <v>928</v>
      </c>
      <c r="K1563" s="274" t="s">
        <v>112</v>
      </c>
      <c r="L1563" s="274">
        <v>25</v>
      </c>
      <c r="M1563" s="274" t="s">
        <v>357</v>
      </c>
      <c r="N1563" s="274">
        <v>450</v>
      </c>
      <c r="O1563" s="274">
        <v>450</v>
      </c>
      <c r="P1563" s="274">
        <v>4000</v>
      </c>
      <c r="Q1563" s="274">
        <v>2</v>
      </c>
      <c r="R1563" s="274">
        <v>6</v>
      </c>
      <c r="S1563" s="274" t="s">
        <v>354</v>
      </c>
      <c r="T1563" s="274" t="s">
        <v>2361</v>
      </c>
      <c r="U1563" s="274" t="s">
        <v>2363</v>
      </c>
      <c r="V1563" s="274" t="s">
        <v>355</v>
      </c>
      <c r="W1563" s="274" t="s">
        <v>928</v>
      </c>
      <c r="X1563" s="274" t="s">
        <v>928</v>
      </c>
    </row>
    <row r="1564" spans="1:24" ht="13.5" x14ac:dyDescent="0.15">
      <c r="A1564" s="274">
        <v>3750043</v>
      </c>
      <c r="B1564" s="274" t="s">
        <v>351</v>
      </c>
      <c r="C1564" s="274" t="s">
        <v>1801</v>
      </c>
      <c r="D1564" s="274" t="s">
        <v>353</v>
      </c>
      <c r="E1564" s="274" t="s">
        <v>106</v>
      </c>
      <c r="F1564" s="274">
        <v>3</v>
      </c>
      <c r="G1564" s="274" t="s">
        <v>19</v>
      </c>
      <c r="H1564" s="274" t="s">
        <v>20</v>
      </c>
      <c r="I1564" s="274" t="s">
        <v>21</v>
      </c>
      <c r="J1564" s="274" t="s">
        <v>928</v>
      </c>
      <c r="K1564" s="274" t="s">
        <v>107</v>
      </c>
      <c r="L1564" s="274">
        <v>38</v>
      </c>
      <c r="M1564" s="274" t="s">
        <v>367</v>
      </c>
      <c r="N1564" s="274">
        <v>1040</v>
      </c>
      <c r="O1564" s="274">
        <v>1040</v>
      </c>
      <c r="P1564" s="274">
        <v>6000</v>
      </c>
      <c r="Q1564" s="274">
        <v>2</v>
      </c>
      <c r="R1564" s="274">
        <v>1</v>
      </c>
      <c r="S1564" s="274" t="s">
        <v>354</v>
      </c>
      <c r="T1564" s="274" t="s">
        <v>2361</v>
      </c>
      <c r="U1564" s="274" t="s">
        <v>2363</v>
      </c>
      <c r="V1564" s="274" t="s">
        <v>355</v>
      </c>
      <c r="W1564" s="274" t="s">
        <v>928</v>
      </c>
      <c r="X1564" s="274" t="s">
        <v>928</v>
      </c>
    </row>
    <row r="1565" spans="1:24" ht="13.5" x14ac:dyDescent="0.15">
      <c r="A1565" s="274">
        <v>3750044</v>
      </c>
      <c r="B1565" s="274" t="s">
        <v>351</v>
      </c>
      <c r="C1565" s="274" t="s">
        <v>1801</v>
      </c>
      <c r="D1565" s="274" t="s">
        <v>353</v>
      </c>
      <c r="E1565" s="274" t="s">
        <v>106</v>
      </c>
      <c r="F1565" s="274">
        <v>3</v>
      </c>
      <c r="G1565" s="274" t="s">
        <v>19</v>
      </c>
      <c r="H1565" s="274" t="s">
        <v>20</v>
      </c>
      <c r="I1565" s="274" t="s">
        <v>21</v>
      </c>
      <c r="J1565" s="274" t="s">
        <v>928</v>
      </c>
      <c r="K1565" s="274" t="s">
        <v>107</v>
      </c>
      <c r="L1565" s="274">
        <v>25</v>
      </c>
      <c r="M1565" s="274" t="s">
        <v>367</v>
      </c>
      <c r="N1565" s="274">
        <v>1040</v>
      </c>
      <c r="O1565" s="274">
        <v>1040</v>
      </c>
      <c r="P1565" s="274">
        <v>6000</v>
      </c>
      <c r="Q1565" s="274">
        <v>2</v>
      </c>
      <c r="R1565" s="274">
        <v>30</v>
      </c>
      <c r="S1565" s="274" t="s">
        <v>354</v>
      </c>
      <c r="T1565" s="274" t="s">
        <v>2361</v>
      </c>
      <c r="U1565" s="274" t="s">
        <v>2363</v>
      </c>
      <c r="V1565" s="274" t="s">
        <v>355</v>
      </c>
      <c r="W1565" s="274" t="s">
        <v>928</v>
      </c>
      <c r="X1565" s="274" t="s">
        <v>928</v>
      </c>
    </row>
    <row r="1566" spans="1:24" ht="13.5" x14ac:dyDescent="0.15">
      <c r="A1566" s="274">
        <v>3750045</v>
      </c>
      <c r="B1566" s="274" t="s">
        <v>351</v>
      </c>
      <c r="C1566" s="274" t="s">
        <v>1806</v>
      </c>
      <c r="D1566" s="274" t="s">
        <v>353</v>
      </c>
      <c r="E1566" s="274" t="s">
        <v>116</v>
      </c>
      <c r="F1566" s="274">
        <v>3</v>
      </c>
      <c r="G1566" s="274" t="s">
        <v>19</v>
      </c>
      <c r="H1566" s="274" t="s">
        <v>20</v>
      </c>
      <c r="I1566" s="274" t="s">
        <v>21</v>
      </c>
      <c r="J1566" s="274" t="s">
        <v>928</v>
      </c>
      <c r="K1566" s="274" t="s">
        <v>118</v>
      </c>
      <c r="L1566" s="274">
        <v>38</v>
      </c>
      <c r="M1566" s="274" t="s">
        <v>368</v>
      </c>
      <c r="N1566" s="274">
        <v>1005</v>
      </c>
      <c r="O1566" s="274">
        <v>1000</v>
      </c>
      <c r="P1566" s="274">
        <v>8000</v>
      </c>
      <c r="Q1566" s="274">
        <v>2</v>
      </c>
      <c r="R1566" s="274">
        <v>5</v>
      </c>
      <c r="S1566" s="274" t="s">
        <v>354</v>
      </c>
      <c r="T1566" s="274" t="s">
        <v>2361</v>
      </c>
      <c r="U1566" s="274" t="s">
        <v>2364</v>
      </c>
      <c r="V1566" s="274" t="s">
        <v>355</v>
      </c>
      <c r="W1566" s="274" t="s">
        <v>928</v>
      </c>
      <c r="X1566" s="274" t="s">
        <v>928</v>
      </c>
    </row>
    <row r="1567" spans="1:24" ht="13.5" x14ac:dyDescent="0.15">
      <c r="A1567" s="274">
        <v>3750046</v>
      </c>
      <c r="B1567" s="274" t="s">
        <v>351</v>
      </c>
      <c r="C1567" s="274" t="s">
        <v>1801</v>
      </c>
      <c r="D1567" s="274" t="s">
        <v>353</v>
      </c>
      <c r="E1567" s="274" t="s">
        <v>17</v>
      </c>
      <c r="F1567" s="274">
        <v>3</v>
      </c>
      <c r="G1567" s="274" t="s">
        <v>19</v>
      </c>
      <c r="H1567" s="274" t="s">
        <v>20</v>
      </c>
      <c r="I1567" s="274" t="s">
        <v>21</v>
      </c>
      <c r="J1567" s="274" t="s">
        <v>928</v>
      </c>
      <c r="K1567" s="274" t="s">
        <v>22</v>
      </c>
      <c r="L1567" s="274">
        <v>38</v>
      </c>
      <c r="M1567" s="274" t="s">
        <v>23</v>
      </c>
      <c r="N1567" s="274">
        <v>1037</v>
      </c>
      <c r="O1567" s="274">
        <v>1030</v>
      </c>
      <c r="P1567" s="274">
        <v>8500</v>
      </c>
      <c r="Q1567" s="274">
        <v>2</v>
      </c>
      <c r="R1567" s="274">
        <v>46</v>
      </c>
      <c r="S1567" s="274" t="s">
        <v>354</v>
      </c>
      <c r="T1567" s="274" t="s">
        <v>2361</v>
      </c>
      <c r="U1567" s="274" t="s">
        <v>2365</v>
      </c>
      <c r="V1567" s="274" t="s">
        <v>355</v>
      </c>
      <c r="W1567" s="274" t="s">
        <v>928</v>
      </c>
      <c r="X1567" s="274" t="s">
        <v>928</v>
      </c>
    </row>
    <row r="1568" spans="1:24" ht="13.5" x14ac:dyDescent="0.15">
      <c r="A1568" s="274">
        <v>3750047</v>
      </c>
      <c r="B1568" s="274" t="s">
        <v>351</v>
      </c>
      <c r="C1568" s="274" t="s">
        <v>1801</v>
      </c>
      <c r="D1568" s="274" t="s">
        <v>353</v>
      </c>
      <c r="E1568" s="274" t="s">
        <v>17</v>
      </c>
      <c r="F1568" s="274">
        <v>3</v>
      </c>
      <c r="G1568" s="274" t="s">
        <v>19</v>
      </c>
      <c r="H1568" s="274" t="s">
        <v>20</v>
      </c>
      <c r="I1568" s="274" t="s">
        <v>21</v>
      </c>
      <c r="J1568" s="274" t="s">
        <v>928</v>
      </c>
      <c r="K1568" s="274" t="s">
        <v>22</v>
      </c>
      <c r="L1568" s="274">
        <v>38</v>
      </c>
      <c r="M1568" s="274" t="s">
        <v>23</v>
      </c>
      <c r="N1568" s="274">
        <v>1037</v>
      </c>
      <c r="O1568" s="274">
        <v>1030</v>
      </c>
      <c r="P1568" s="274">
        <v>8500</v>
      </c>
      <c r="Q1568" s="274">
        <v>2</v>
      </c>
      <c r="R1568" s="274">
        <v>64</v>
      </c>
      <c r="S1568" s="274" t="s">
        <v>354</v>
      </c>
      <c r="T1568" s="274" t="s">
        <v>2361</v>
      </c>
      <c r="U1568" s="274" t="s">
        <v>2365</v>
      </c>
      <c r="V1568" s="274" t="s">
        <v>355</v>
      </c>
      <c r="W1568" s="274" t="s">
        <v>928</v>
      </c>
      <c r="X1568" s="274" t="s">
        <v>928</v>
      </c>
    </row>
    <row r="1569" spans="1:24" ht="13.5" x14ac:dyDescent="0.15">
      <c r="A1569" s="274">
        <v>3750048</v>
      </c>
      <c r="B1569" s="274" t="s">
        <v>351</v>
      </c>
      <c r="C1569" s="274" t="s">
        <v>1808</v>
      </c>
      <c r="D1569" s="274" t="s">
        <v>353</v>
      </c>
      <c r="E1569" s="274" t="s">
        <v>61</v>
      </c>
      <c r="F1569" s="274">
        <v>3313</v>
      </c>
      <c r="G1569" s="274" t="s">
        <v>19</v>
      </c>
      <c r="H1569" s="274" t="s">
        <v>20</v>
      </c>
      <c r="I1569" s="274" t="s">
        <v>21</v>
      </c>
      <c r="J1569" s="274" t="s">
        <v>928</v>
      </c>
      <c r="K1569" s="274" t="s">
        <v>62</v>
      </c>
      <c r="L1569" s="274">
        <v>38</v>
      </c>
      <c r="M1569" s="274" t="s">
        <v>63</v>
      </c>
      <c r="N1569" s="274">
        <v>750</v>
      </c>
      <c r="O1569" s="274">
        <v>750</v>
      </c>
      <c r="P1569" s="274">
        <v>6000</v>
      </c>
      <c r="Q1569" s="274">
        <v>2</v>
      </c>
      <c r="R1569" s="274">
        <v>20</v>
      </c>
      <c r="S1569" s="274" t="s">
        <v>354</v>
      </c>
      <c r="T1569" s="274" t="s">
        <v>2361</v>
      </c>
      <c r="U1569" s="274" t="s">
        <v>2366</v>
      </c>
      <c r="V1569" s="274" t="s">
        <v>355</v>
      </c>
      <c r="W1569" s="274" t="s">
        <v>928</v>
      </c>
      <c r="X1569" s="274" t="s">
        <v>928</v>
      </c>
    </row>
    <row r="1570" spans="1:24" ht="13.5" x14ac:dyDescent="0.15">
      <c r="A1570" s="274">
        <v>3750049</v>
      </c>
      <c r="B1570" s="274" t="s">
        <v>351</v>
      </c>
      <c r="C1570" s="274" t="s">
        <v>1808</v>
      </c>
      <c r="D1570" s="274" t="s">
        <v>353</v>
      </c>
      <c r="E1570" s="274" t="s">
        <v>61</v>
      </c>
      <c r="F1570" s="274">
        <v>331</v>
      </c>
      <c r="G1570" s="274" t="s">
        <v>19</v>
      </c>
      <c r="H1570" s="274" t="s">
        <v>20</v>
      </c>
      <c r="I1570" s="274" t="s">
        <v>21</v>
      </c>
      <c r="J1570" s="274" t="s">
        <v>928</v>
      </c>
      <c r="K1570" s="274" t="s">
        <v>62</v>
      </c>
      <c r="L1570" s="274">
        <v>38</v>
      </c>
      <c r="M1570" s="274" t="s">
        <v>63</v>
      </c>
      <c r="N1570" s="274">
        <v>1255</v>
      </c>
      <c r="O1570" s="274">
        <v>1250</v>
      </c>
      <c r="P1570" s="274">
        <v>6000</v>
      </c>
      <c r="Q1570" s="274">
        <v>2</v>
      </c>
      <c r="R1570" s="274">
        <v>10</v>
      </c>
      <c r="S1570" s="274" t="s">
        <v>354</v>
      </c>
      <c r="T1570" s="274" t="s">
        <v>2361</v>
      </c>
      <c r="U1570" s="274" t="s">
        <v>2366</v>
      </c>
      <c r="V1570" s="274" t="s">
        <v>355</v>
      </c>
      <c r="W1570" s="274" t="s">
        <v>928</v>
      </c>
      <c r="X1570" s="274" t="s">
        <v>928</v>
      </c>
    </row>
    <row r="1571" spans="1:24" ht="13.5" x14ac:dyDescent="0.15">
      <c r="A1571" s="274">
        <v>3750050</v>
      </c>
      <c r="B1571" s="274" t="s">
        <v>351</v>
      </c>
      <c r="C1571" s="274" t="s">
        <v>1808</v>
      </c>
      <c r="D1571" s="274" t="s">
        <v>353</v>
      </c>
      <c r="E1571" s="274" t="s">
        <v>65</v>
      </c>
      <c r="F1571" s="274">
        <v>3321</v>
      </c>
      <c r="G1571" s="274" t="s">
        <v>19</v>
      </c>
      <c r="H1571" s="274" t="s">
        <v>20</v>
      </c>
      <c r="I1571" s="274" t="s">
        <v>21</v>
      </c>
      <c r="J1571" s="274" t="s">
        <v>928</v>
      </c>
      <c r="K1571" s="274" t="s">
        <v>67</v>
      </c>
      <c r="L1571" s="274">
        <v>38</v>
      </c>
      <c r="M1571" s="274" t="s">
        <v>68</v>
      </c>
      <c r="N1571" s="274">
        <v>1336</v>
      </c>
      <c r="O1571" s="274">
        <v>1325</v>
      </c>
      <c r="P1571" s="274">
        <v>12000</v>
      </c>
      <c r="Q1571" s="274">
        <v>2</v>
      </c>
      <c r="R1571" s="274">
        <v>21</v>
      </c>
      <c r="S1571" s="274" t="s">
        <v>354</v>
      </c>
      <c r="T1571" s="274" t="s">
        <v>2361</v>
      </c>
      <c r="U1571" s="274" t="s">
        <v>2366</v>
      </c>
      <c r="V1571" s="274" t="s">
        <v>355</v>
      </c>
      <c r="W1571" s="274" t="s">
        <v>928</v>
      </c>
      <c r="X1571" s="274" t="s">
        <v>928</v>
      </c>
    </row>
    <row r="1572" spans="1:24" ht="13.5" x14ac:dyDescent="0.15">
      <c r="A1572" s="274">
        <v>3750051</v>
      </c>
      <c r="B1572" s="274" t="s">
        <v>351</v>
      </c>
      <c r="C1572" s="274" t="s">
        <v>1808</v>
      </c>
      <c r="D1572" s="274" t="s">
        <v>353</v>
      </c>
      <c r="E1572" s="274" t="s">
        <v>65</v>
      </c>
      <c r="F1572" s="274">
        <v>3321</v>
      </c>
      <c r="G1572" s="274" t="s">
        <v>19</v>
      </c>
      <c r="H1572" s="274" t="s">
        <v>20</v>
      </c>
      <c r="I1572" s="274" t="s">
        <v>21</v>
      </c>
      <c r="J1572" s="274" t="s">
        <v>928</v>
      </c>
      <c r="K1572" s="274" t="s">
        <v>67</v>
      </c>
      <c r="L1572" s="274">
        <v>38</v>
      </c>
      <c r="M1572" s="274" t="s">
        <v>68</v>
      </c>
      <c r="N1572" s="274">
        <v>1336</v>
      </c>
      <c r="O1572" s="274">
        <v>1325</v>
      </c>
      <c r="P1572" s="274">
        <v>12000</v>
      </c>
      <c r="Q1572" s="274">
        <v>2</v>
      </c>
      <c r="R1572" s="274">
        <v>24</v>
      </c>
      <c r="S1572" s="274" t="s">
        <v>354</v>
      </c>
      <c r="T1572" s="274" t="s">
        <v>2361</v>
      </c>
      <c r="U1572" s="274" t="s">
        <v>2366</v>
      </c>
      <c r="V1572" s="274" t="s">
        <v>355</v>
      </c>
      <c r="W1572" s="274" t="s">
        <v>928</v>
      </c>
      <c r="X1572" s="274" t="s">
        <v>928</v>
      </c>
    </row>
    <row r="1573" spans="1:24" ht="13.5" x14ac:dyDescent="0.15">
      <c r="A1573" s="274">
        <v>3750052</v>
      </c>
      <c r="B1573" s="274" t="s">
        <v>351</v>
      </c>
      <c r="C1573" s="274" t="s">
        <v>1808</v>
      </c>
      <c r="D1573" s="274" t="s">
        <v>353</v>
      </c>
      <c r="E1573" s="274" t="s">
        <v>65</v>
      </c>
      <c r="F1573" s="274">
        <v>3321</v>
      </c>
      <c r="G1573" s="274" t="s">
        <v>19</v>
      </c>
      <c r="H1573" s="274" t="s">
        <v>20</v>
      </c>
      <c r="I1573" s="274" t="s">
        <v>21</v>
      </c>
      <c r="J1573" s="274" t="s">
        <v>928</v>
      </c>
      <c r="K1573" s="274" t="s">
        <v>70</v>
      </c>
      <c r="L1573" s="274">
        <v>38</v>
      </c>
      <c r="M1573" s="274" t="s">
        <v>71</v>
      </c>
      <c r="N1573" s="274">
        <v>1336</v>
      </c>
      <c r="O1573" s="274">
        <v>1325</v>
      </c>
      <c r="P1573" s="274">
        <v>12000</v>
      </c>
      <c r="Q1573" s="274">
        <v>2</v>
      </c>
      <c r="R1573" s="274">
        <v>35</v>
      </c>
      <c r="S1573" s="274" t="s">
        <v>354</v>
      </c>
      <c r="T1573" s="274" t="s">
        <v>2361</v>
      </c>
      <c r="U1573" s="274" t="s">
        <v>2366</v>
      </c>
      <c r="V1573" s="274" t="s">
        <v>355</v>
      </c>
      <c r="W1573" s="274" t="s">
        <v>928</v>
      </c>
      <c r="X1573" s="274" t="s">
        <v>928</v>
      </c>
    </row>
    <row r="1574" spans="1:24" ht="13.5" x14ac:dyDescent="0.15">
      <c r="A1574" s="274">
        <v>3750053</v>
      </c>
      <c r="B1574" s="274" t="s">
        <v>351</v>
      </c>
      <c r="C1574" s="274" t="s">
        <v>1808</v>
      </c>
      <c r="D1574" s="274" t="s">
        <v>353</v>
      </c>
      <c r="E1574" s="274" t="s">
        <v>73</v>
      </c>
      <c r="F1574" s="274">
        <v>331</v>
      </c>
      <c r="G1574" s="274" t="s">
        <v>19</v>
      </c>
      <c r="H1574" s="274" t="s">
        <v>20</v>
      </c>
      <c r="I1574" s="274" t="s">
        <v>21</v>
      </c>
      <c r="J1574" s="274" t="s">
        <v>928</v>
      </c>
      <c r="K1574" s="274" t="s">
        <v>74</v>
      </c>
      <c r="L1574" s="274">
        <v>38</v>
      </c>
      <c r="M1574" s="274" t="s">
        <v>365</v>
      </c>
      <c r="N1574" s="274">
        <v>415</v>
      </c>
      <c r="O1574" s="274">
        <v>415</v>
      </c>
      <c r="P1574" s="274">
        <v>1950</v>
      </c>
      <c r="Q1574" s="274">
        <v>2</v>
      </c>
      <c r="R1574" s="274">
        <v>72</v>
      </c>
      <c r="S1574" s="274" t="s">
        <v>354</v>
      </c>
      <c r="T1574" s="274" t="s">
        <v>2361</v>
      </c>
      <c r="U1574" s="274" t="s">
        <v>2366</v>
      </c>
      <c r="V1574" s="274" t="s">
        <v>355</v>
      </c>
      <c r="W1574" s="274" t="s">
        <v>928</v>
      </c>
      <c r="X1574" s="274" t="s">
        <v>928</v>
      </c>
    </row>
    <row r="1575" spans="1:24" ht="13.5" x14ac:dyDescent="0.15">
      <c r="A1575" s="274">
        <v>3750054</v>
      </c>
      <c r="B1575" s="274" t="s">
        <v>351</v>
      </c>
      <c r="C1575" s="274" t="s">
        <v>1801</v>
      </c>
      <c r="D1575" s="274" t="s">
        <v>353</v>
      </c>
      <c r="E1575" s="274" t="s">
        <v>668</v>
      </c>
      <c r="F1575" s="274">
        <v>3</v>
      </c>
      <c r="G1575" s="274" t="s">
        <v>19</v>
      </c>
      <c r="H1575" s="274" t="s">
        <v>28</v>
      </c>
      <c r="I1575" s="274" t="s">
        <v>21</v>
      </c>
      <c r="J1575" s="274" t="s">
        <v>928</v>
      </c>
      <c r="K1575" s="274" t="s">
        <v>102</v>
      </c>
      <c r="L1575" s="274">
        <v>50</v>
      </c>
      <c r="M1575" s="274" t="s">
        <v>103</v>
      </c>
      <c r="N1575" s="274">
        <v>1050</v>
      </c>
      <c r="O1575" s="274">
        <v>1040</v>
      </c>
      <c r="P1575" s="274">
        <v>4000</v>
      </c>
      <c r="Q1575" s="274">
        <v>2</v>
      </c>
      <c r="R1575" s="274">
        <v>10</v>
      </c>
      <c r="S1575" s="274" t="s">
        <v>354</v>
      </c>
      <c r="T1575" s="274" t="s">
        <v>2361</v>
      </c>
      <c r="U1575" s="274" t="s">
        <v>2367</v>
      </c>
      <c r="V1575" s="274" t="s">
        <v>355</v>
      </c>
      <c r="W1575" s="274" t="s">
        <v>928</v>
      </c>
      <c r="X1575" s="274" t="s">
        <v>928</v>
      </c>
    </row>
    <row r="1576" spans="1:24" ht="13.5" x14ac:dyDescent="0.15">
      <c r="A1576" s="274">
        <v>3750055</v>
      </c>
      <c r="B1576" s="274" t="s">
        <v>431</v>
      </c>
      <c r="C1576" s="274" t="s">
        <v>1801</v>
      </c>
      <c r="D1576" s="274" t="s">
        <v>353</v>
      </c>
      <c r="E1576" s="274" t="s">
        <v>1436</v>
      </c>
      <c r="F1576" s="274">
        <v>3</v>
      </c>
      <c r="G1576" s="274" t="s">
        <v>265</v>
      </c>
      <c r="H1576" s="274" t="s">
        <v>28</v>
      </c>
      <c r="I1576" s="274" t="s">
        <v>132</v>
      </c>
      <c r="J1576" s="274" t="s">
        <v>928</v>
      </c>
      <c r="K1576" s="274" t="s">
        <v>1521</v>
      </c>
      <c r="L1576" s="274">
        <v>75</v>
      </c>
      <c r="M1576" s="274" t="s">
        <v>1438</v>
      </c>
      <c r="N1576" s="274">
        <v>1400</v>
      </c>
      <c r="O1576" s="274">
        <v>1400</v>
      </c>
      <c r="P1576" s="274">
        <v>4200</v>
      </c>
      <c r="Q1576" s="274">
        <v>2</v>
      </c>
      <c r="R1576" s="274">
        <v>22</v>
      </c>
      <c r="S1576" s="274" t="s">
        <v>354</v>
      </c>
      <c r="T1576" s="274" t="s">
        <v>2361</v>
      </c>
      <c r="U1576" s="274" t="s">
        <v>2368</v>
      </c>
      <c r="V1576" s="274" t="s">
        <v>355</v>
      </c>
      <c r="W1576" s="274" t="s">
        <v>928</v>
      </c>
      <c r="X1576" s="274" t="s">
        <v>928</v>
      </c>
    </row>
    <row r="1577" spans="1:24" ht="13.5" x14ac:dyDescent="0.15">
      <c r="A1577" s="274">
        <v>3750077</v>
      </c>
      <c r="B1577" s="274" t="s">
        <v>351</v>
      </c>
      <c r="C1577" s="274" t="s">
        <v>1806</v>
      </c>
      <c r="D1577" s="274" t="s">
        <v>353</v>
      </c>
      <c r="E1577" s="274" t="s">
        <v>116</v>
      </c>
      <c r="F1577" s="274">
        <v>3</v>
      </c>
      <c r="G1577" s="274" t="s">
        <v>19</v>
      </c>
      <c r="H1577" s="274" t="s">
        <v>20</v>
      </c>
      <c r="I1577" s="274" t="s">
        <v>143</v>
      </c>
      <c r="J1577" s="274" t="s">
        <v>928</v>
      </c>
      <c r="K1577" s="274" t="s">
        <v>144</v>
      </c>
      <c r="L1577" s="274">
        <v>38</v>
      </c>
      <c r="M1577" s="274" t="s">
        <v>145</v>
      </c>
      <c r="N1577" s="274">
        <v>1005</v>
      </c>
      <c r="O1577" s="274">
        <v>1000</v>
      </c>
      <c r="P1577" s="274">
        <v>4000</v>
      </c>
      <c r="Q1577" s="274">
        <v>2</v>
      </c>
      <c r="R1577" s="274">
        <v>1</v>
      </c>
      <c r="S1577" s="274" t="s">
        <v>354</v>
      </c>
      <c r="T1577" s="274" t="s">
        <v>2361</v>
      </c>
      <c r="U1577" s="274" t="s">
        <v>2369</v>
      </c>
      <c r="V1577" s="274" t="s">
        <v>355</v>
      </c>
      <c r="W1577" s="274" t="s">
        <v>928</v>
      </c>
      <c r="X1577" s="274" t="s">
        <v>928</v>
      </c>
    </row>
    <row r="1578" spans="1:24" ht="13.5" x14ac:dyDescent="0.15">
      <c r="A1578" s="274">
        <v>3750078</v>
      </c>
      <c r="B1578" s="274" t="s">
        <v>351</v>
      </c>
      <c r="C1578" s="274" t="s">
        <v>1806</v>
      </c>
      <c r="D1578" s="274" t="s">
        <v>353</v>
      </c>
      <c r="E1578" s="274" t="s">
        <v>116</v>
      </c>
      <c r="F1578" s="274">
        <v>3</v>
      </c>
      <c r="G1578" s="274" t="s">
        <v>19</v>
      </c>
      <c r="H1578" s="274" t="s">
        <v>20</v>
      </c>
      <c r="I1578" s="274" t="s">
        <v>143</v>
      </c>
      <c r="J1578" s="274" t="s">
        <v>928</v>
      </c>
      <c r="K1578" s="274" t="s">
        <v>144</v>
      </c>
      <c r="L1578" s="274">
        <v>50</v>
      </c>
      <c r="M1578" s="274" t="s">
        <v>145</v>
      </c>
      <c r="N1578" s="274">
        <v>1005</v>
      </c>
      <c r="O1578" s="274">
        <v>1000</v>
      </c>
      <c r="P1578" s="274">
        <v>4000</v>
      </c>
      <c r="Q1578" s="274">
        <v>2</v>
      </c>
      <c r="R1578" s="274">
        <v>3</v>
      </c>
      <c r="S1578" s="274" t="s">
        <v>354</v>
      </c>
      <c r="T1578" s="274" t="s">
        <v>2361</v>
      </c>
      <c r="U1578" s="274" t="s">
        <v>2369</v>
      </c>
      <c r="V1578" s="274" t="s">
        <v>355</v>
      </c>
      <c r="W1578" s="274" t="s">
        <v>928</v>
      </c>
      <c r="X1578" s="274" t="s">
        <v>928</v>
      </c>
    </row>
    <row r="1579" spans="1:24" ht="13.5" x14ac:dyDescent="0.15">
      <c r="A1579" s="274">
        <v>3750079</v>
      </c>
      <c r="B1579" s="274" t="s">
        <v>351</v>
      </c>
      <c r="C1579" s="274" t="s">
        <v>1806</v>
      </c>
      <c r="D1579" s="274" t="s">
        <v>353</v>
      </c>
      <c r="E1579" s="274" t="s">
        <v>116</v>
      </c>
      <c r="F1579" s="274">
        <v>3</v>
      </c>
      <c r="G1579" s="274" t="s">
        <v>19</v>
      </c>
      <c r="H1579" s="274" t="s">
        <v>20</v>
      </c>
      <c r="I1579" s="274" t="s">
        <v>143</v>
      </c>
      <c r="J1579" s="274" t="s">
        <v>928</v>
      </c>
      <c r="K1579" s="274" t="s">
        <v>144</v>
      </c>
      <c r="L1579" s="274">
        <v>75</v>
      </c>
      <c r="M1579" s="274" t="s">
        <v>145</v>
      </c>
      <c r="N1579" s="274">
        <v>1005</v>
      </c>
      <c r="O1579" s="274">
        <v>1000</v>
      </c>
      <c r="P1579" s="274">
        <v>3000</v>
      </c>
      <c r="Q1579" s="274">
        <v>2</v>
      </c>
      <c r="R1579" s="274">
        <v>3</v>
      </c>
      <c r="S1579" s="274" t="s">
        <v>354</v>
      </c>
      <c r="T1579" s="274" t="s">
        <v>2361</v>
      </c>
      <c r="U1579" s="274" t="s">
        <v>2369</v>
      </c>
      <c r="V1579" s="274" t="s">
        <v>355</v>
      </c>
      <c r="W1579" s="274" t="s">
        <v>928</v>
      </c>
      <c r="X1579" s="274" t="s">
        <v>928</v>
      </c>
    </row>
    <row r="1580" spans="1:24" ht="13.5" x14ac:dyDescent="0.15">
      <c r="A1580" s="274">
        <v>3752262</v>
      </c>
      <c r="B1580" s="274" t="s">
        <v>351</v>
      </c>
      <c r="C1580" s="274" t="s">
        <v>1801</v>
      </c>
      <c r="D1580" s="274" t="s">
        <v>353</v>
      </c>
      <c r="E1580" s="274" t="s">
        <v>17</v>
      </c>
      <c r="F1580" s="274">
        <v>331</v>
      </c>
      <c r="G1580" s="274" t="s">
        <v>19</v>
      </c>
      <c r="H1580" s="274" t="s">
        <v>20</v>
      </c>
      <c r="I1580" s="274" t="s">
        <v>21</v>
      </c>
      <c r="J1580" s="274" t="s">
        <v>928</v>
      </c>
      <c r="K1580" s="274" t="s">
        <v>52</v>
      </c>
      <c r="L1580" s="274">
        <v>38</v>
      </c>
      <c r="M1580" s="274" t="s">
        <v>53</v>
      </c>
      <c r="N1580" s="274">
        <v>1330</v>
      </c>
      <c r="O1580" s="274">
        <v>1330</v>
      </c>
      <c r="P1580" s="274">
        <v>6000</v>
      </c>
      <c r="Q1580" s="274">
        <v>2</v>
      </c>
      <c r="R1580" s="274">
        <v>52</v>
      </c>
      <c r="S1580" s="274" t="s">
        <v>354</v>
      </c>
      <c r="T1580" s="274" t="s">
        <v>2753</v>
      </c>
      <c r="U1580" s="274" t="s">
        <v>2362</v>
      </c>
      <c r="V1580" s="274" t="s">
        <v>355</v>
      </c>
      <c r="W1580" s="274" t="s">
        <v>928</v>
      </c>
      <c r="X1580" s="274" t="s">
        <v>928</v>
      </c>
    </row>
    <row r="1581" spans="1:24" ht="13.5" x14ac:dyDescent="0.15">
      <c r="A1581" s="274">
        <v>3754041</v>
      </c>
      <c r="B1581" s="274" t="s">
        <v>351</v>
      </c>
      <c r="C1581" s="274" t="s">
        <v>1801</v>
      </c>
      <c r="D1581" s="274" t="s">
        <v>353</v>
      </c>
      <c r="E1581" s="274" t="s">
        <v>32</v>
      </c>
      <c r="F1581" s="274">
        <v>331</v>
      </c>
      <c r="G1581" s="274" t="s">
        <v>19</v>
      </c>
      <c r="H1581" s="274" t="s">
        <v>20</v>
      </c>
      <c r="I1581" s="274" t="s">
        <v>21</v>
      </c>
      <c r="J1581" s="274" t="s">
        <v>928</v>
      </c>
      <c r="K1581" s="274" t="s">
        <v>54</v>
      </c>
      <c r="L1581" s="274">
        <v>38</v>
      </c>
      <c r="M1581" s="274" t="s">
        <v>53</v>
      </c>
      <c r="N1581" s="274">
        <v>1580</v>
      </c>
      <c r="O1581" s="274">
        <v>1580</v>
      </c>
      <c r="P1581" s="274">
        <v>6000</v>
      </c>
      <c r="Q1581" s="274">
        <v>2</v>
      </c>
      <c r="R1581" s="274">
        <v>12</v>
      </c>
      <c r="S1581" s="274" t="s">
        <v>354</v>
      </c>
      <c r="T1581" s="274" t="s">
        <v>2369</v>
      </c>
      <c r="U1581" s="274" t="s">
        <v>2769</v>
      </c>
      <c r="V1581" s="274" t="s">
        <v>355</v>
      </c>
      <c r="W1581" s="274" t="s">
        <v>928</v>
      </c>
      <c r="X1581" s="339"/>
    </row>
    <row r="1582" spans="1:24" ht="13.5" x14ac:dyDescent="0.15">
      <c r="A1582" s="274">
        <v>3754042</v>
      </c>
      <c r="B1582" s="274" t="s">
        <v>431</v>
      </c>
      <c r="C1582" s="274" t="s">
        <v>1808</v>
      </c>
      <c r="D1582" s="274" t="s">
        <v>353</v>
      </c>
      <c r="E1582" s="274" t="s">
        <v>1687</v>
      </c>
      <c r="F1582" s="274">
        <v>3</v>
      </c>
      <c r="G1582" s="274" t="s">
        <v>265</v>
      </c>
      <c r="H1582" s="274" t="s">
        <v>20</v>
      </c>
      <c r="I1582" s="274" t="s">
        <v>21</v>
      </c>
      <c r="J1582" s="274" t="s">
        <v>928</v>
      </c>
      <c r="K1582" s="274" t="s">
        <v>632</v>
      </c>
      <c r="L1582" s="274">
        <v>25</v>
      </c>
      <c r="M1582" s="274" t="s">
        <v>633</v>
      </c>
      <c r="N1582" s="274">
        <v>1100</v>
      </c>
      <c r="O1582" s="274">
        <v>1100</v>
      </c>
      <c r="P1582" s="274">
        <v>4070</v>
      </c>
      <c r="Q1582" s="274">
        <v>2</v>
      </c>
      <c r="R1582" s="274">
        <v>24</v>
      </c>
      <c r="S1582" s="274" t="s">
        <v>354</v>
      </c>
      <c r="T1582" s="274" t="s">
        <v>2369</v>
      </c>
      <c r="U1582" s="274" t="s">
        <v>2769</v>
      </c>
      <c r="V1582" s="274" t="s">
        <v>355</v>
      </c>
      <c r="W1582" s="274" t="s">
        <v>928</v>
      </c>
      <c r="X1582" s="339"/>
    </row>
    <row r="1583" spans="1:24" ht="13.5" x14ac:dyDescent="0.15">
      <c r="A1583" s="274">
        <v>3754043</v>
      </c>
      <c r="B1583" s="274" t="s">
        <v>351</v>
      </c>
      <c r="C1583" s="274" t="s">
        <v>1801</v>
      </c>
      <c r="D1583" s="274" t="s">
        <v>353</v>
      </c>
      <c r="E1583" s="274" t="s">
        <v>32</v>
      </c>
      <c r="F1583" s="274">
        <v>331</v>
      </c>
      <c r="G1583" s="274" t="s">
        <v>19</v>
      </c>
      <c r="H1583" s="274" t="s">
        <v>20</v>
      </c>
      <c r="I1583" s="274" t="s">
        <v>21</v>
      </c>
      <c r="J1583" s="274" t="s">
        <v>928</v>
      </c>
      <c r="K1583" s="274" t="s">
        <v>54</v>
      </c>
      <c r="L1583" s="274">
        <v>38</v>
      </c>
      <c r="M1583" s="274" t="s">
        <v>53</v>
      </c>
      <c r="N1583" s="274">
        <v>1330</v>
      </c>
      <c r="O1583" s="274">
        <v>1330</v>
      </c>
      <c r="P1583" s="274">
        <v>6000</v>
      </c>
      <c r="Q1583" s="274">
        <v>2</v>
      </c>
      <c r="R1583" s="274">
        <v>18</v>
      </c>
      <c r="S1583" s="274" t="s">
        <v>354</v>
      </c>
      <c r="T1583" s="274" t="s">
        <v>2369</v>
      </c>
      <c r="U1583" s="274" t="s">
        <v>2769</v>
      </c>
      <c r="V1583" s="274" t="s">
        <v>355</v>
      </c>
      <c r="W1583" s="274" t="s">
        <v>928</v>
      </c>
      <c r="X1583" s="339"/>
    </row>
    <row r="1584" spans="1:24" ht="13.5" x14ac:dyDescent="0.15">
      <c r="A1584" s="274">
        <v>3754044</v>
      </c>
      <c r="B1584" s="274" t="s">
        <v>351</v>
      </c>
      <c r="C1584" s="274" t="s">
        <v>1801</v>
      </c>
      <c r="D1584" s="274" t="s">
        <v>353</v>
      </c>
      <c r="E1584" s="274" t="s">
        <v>32</v>
      </c>
      <c r="F1584" s="274">
        <v>3</v>
      </c>
      <c r="G1584" s="274" t="s">
        <v>19</v>
      </c>
      <c r="H1584" s="274" t="s">
        <v>20</v>
      </c>
      <c r="I1584" s="274" t="s">
        <v>21</v>
      </c>
      <c r="J1584" s="274" t="s">
        <v>928</v>
      </c>
      <c r="K1584" s="274" t="s">
        <v>56</v>
      </c>
      <c r="L1584" s="274">
        <v>75</v>
      </c>
      <c r="M1584" s="274" t="s">
        <v>376</v>
      </c>
      <c r="N1584" s="274">
        <v>1330</v>
      </c>
      <c r="O1584" s="274">
        <v>1330</v>
      </c>
      <c r="P1584" s="274">
        <v>4100</v>
      </c>
      <c r="Q1584" s="274">
        <v>2</v>
      </c>
      <c r="R1584" s="274">
        <v>28</v>
      </c>
      <c r="S1584" s="274" t="s">
        <v>354</v>
      </c>
      <c r="T1584" s="274" t="s">
        <v>2369</v>
      </c>
      <c r="U1584" s="274" t="s">
        <v>2769</v>
      </c>
      <c r="V1584" s="274" t="s">
        <v>355</v>
      </c>
      <c r="W1584" s="274" t="s">
        <v>928</v>
      </c>
      <c r="X1584" s="339"/>
    </row>
    <row r="1585" spans="1:24" ht="13.5" x14ac:dyDescent="0.15">
      <c r="A1585" s="274">
        <v>3754045</v>
      </c>
      <c r="B1585" s="274" t="s">
        <v>351</v>
      </c>
      <c r="C1585" s="274" t="s">
        <v>1808</v>
      </c>
      <c r="D1585" s="274" t="s">
        <v>353</v>
      </c>
      <c r="E1585" s="274" t="s">
        <v>369</v>
      </c>
      <c r="F1585" s="274">
        <v>331</v>
      </c>
      <c r="G1585" s="274" t="s">
        <v>19</v>
      </c>
      <c r="H1585" s="274" t="s">
        <v>20</v>
      </c>
      <c r="I1585" s="274" t="s">
        <v>21</v>
      </c>
      <c r="J1585" s="274" t="s">
        <v>928</v>
      </c>
      <c r="K1585" s="274" t="s">
        <v>47</v>
      </c>
      <c r="L1585" s="274">
        <v>38</v>
      </c>
      <c r="M1585" s="274" t="s">
        <v>53</v>
      </c>
      <c r="N1585" s="274">
        <v>535</v>
      </c>
      <c r="O1585" s="274">
        <v>535</v>
      </c>
      <c r="P1585" s="274">
        <v>6000</v>
      </c>
      <c r="Q1585" s="274">
        <v>2</v>
      </c>
      <c r="R1585" s="274">
        <v>4</v>
      </c>
      <c r="S1585" s="274" t="s">
        <v>354</v>
      </c>
      <c r="T1585" s="274" t="s">
        <v>2369</v>
      </c>
      <c r="U1585" s="274" t="s">
        <v>2770</v>
      </c>
      <c r="V1585" s="274" t="s">
        <v>355</v>
      </c>
      <c r="W1585" s="274" t="s">
        <v>928</v>
      </c>
      <c r="X1585" s="339"/>
    </row>
    <row r="1586" spans="1:24" ht="13.5" x14ac:dyDescent="0.15">
      <c r="A1586" s="274">
        <v>3754046</v>
      </c>
      <c r="B1586" s="274" t="s">
        <v>431</v>
      </c>
      <c r="C1586" s="274" t="s">
        <v>1808</v>
      </c>
      <c r="D1586" s="274" t="s">
        <v>353</v>
      </c>
      <c r="E1586" s="274" t="s">
        <v>1687</v>
      </c>
      <c r="F1586" s="274">
        <v>3</v>
      </c>
      <c r="G1586" s="274" t="s">
        <v>265</v>
      </c>
      <c r="H1586" s="274" t="s">
        <v>20</v>
      </c>
      <c r="I1586" s="274" t="s">
        <v>21</v>
      </c>
      <c r="J1586" s="274" t="s">
        <v>928</v>
      </c>
      <c r="K1586" s="274" t="s">
        <v>632</v>
      </c>
      <c r="L1586" s="274">
        <v>25</v>
      </c>
      <c r="M1586" s="274" t="s">
        <v>633</v>
      </c>
      <c r="N1586" s="274">
        <v>1100</v>
      </c>
      <c r="O1586" s="274">
        <v>1100</v>
      </c>
      <c r="P1586" s="274">
        <v>4070</v>
      </c>
      <c r="Q1586" s="274">
        <v>2</v>
      </c>
      <c r="R1586" s="274">
        <v>6</v>
      </c>
      <c r="S1586" s="274" t="s">
        <v>354</v>
      </c>
      <c r="T1586" s="274" t="s">
        <v>2369</v>
      </c>
      <c r="U1586" s="274" t="s">
        <v>2770</v>
      </c>
      <c r="V1586" s="274" t="s">
        <v>355</v>
      </c>
      <c r="W1586" s="274" t="s">
        <v>928</v>
      </c>
      <c r="X1586" s="339"/>
    </row>
    <row r="1587" spans="1:24" ht="13.5" x14ac:dyDescent="0.15">
      <c r="A1587" s="274">
        <v>3754047</v>
      </c>
      <c r="B1587" s="274" t="s">
        <v>351</v>
      </c>
      <c r="C1587" s="274" t="s">
        <v>1806</v>
      </c>
      <c r="D1587" s="274" t="s">
        <v>353</v>
      </c>
      <c r="E1587" s="274" t="s">
        <v>371</v>
      </c>
      <c r="F1587" s="274">
        <v>3</v>
      </c>
      <c r="G1587" s="274" t="s">
        <v>19</v>
      </c>
      <c r="H1587" s="274" t="s">
        <v>28</v>
      </c>
      <c r="I1587" s="274" t="s">
        <v>21</v>
      </c>
      <c r="J1587" s="274" t="s">
        <v>928</v>
      </c>
      <c r="K1587" s="274" t="s">
        <v>60</v>
      </c>
      <c r="L1587" s="274">
        <v>75</v>
      </c>
      <c r="M1587" s="274" t="s">
        <v>372</v>
      </c>
      <c r="N1587" s="274">
        <v>1040</v>
      </c>
      <c r="O1587" s="274">
        <v>1040</v>
      </c>
      <c r="P1587" s="274">
        <v>4000</v>
      </c>
      <c r="Q1587" s="274">
        <v>1</v>
      </c>
      <c r="R1587" s="274">
        <v>2</v>
      </c>
      <c r="S1587" s="274" t="s">
        <v>354</v>
      </c>
      <c r="T1587" s="274" t="s">
        <v>2369</v>
      </c>
      <c r="U1587" s="274" t="s">
        <v>2770</v>
      </c>
      <c r="V1587" s="274" t="s">
        <v>355</v>
      </c>
      <c r="W1587" s="274" t="s">
        <v>928</v>
      </c>
      <c r="X1587" s="339"/>
    </row>
    <row r="1588" spans="1:24" ht="13.5" x14ac:dyDescent="0.15">
      <c r="A1588" s="274">
        <v>3754048</v>
      </c>
      <c r="B1588" s="274" t="s">
        <v>351</v>
      </c>
      <c r="C1588" s="274" t="s">
        <v>1801</v>
      </c>
      <c r="D1588" s="274" t="s">
        <v>353</v>
      </c>
      <c r="E1588" s="274" t="s">
        <v>114</v>
      </c>
      <c r="F1588" s="274">
        <v>331</v>
      </c>
      <c r="G1588" s="274" t="s">
        <v>19</v>
      </c>
      <c r="H1588" s="274" t="s">
        <v>20</v>
      </c>
      <c r="I1588" s="274" t="s">
        <v>21</v>
      </c>
      <c r="J1588" s="274" t="s">
        <v>928</v>
      </c>
      <c r="K1588" s="274" t="s">
        <v>112</v>
      </c>
      <c r="L1588" s="274">
        <v>25</v>
      </c>
      <c r="M1588" s="274" t="s">
        <v>357</v>
      </c>
      <c r="N1588" s="274">
        <v>640</v>
      </c>
      <c r="O1588" s="274">
        <v>640</v>
      </c>
      <c r="P1588" s="274">
        <v>2000</v>
      </c>
      <c r="Q1588" s="274">
        <v>2</v>
      </c>
      <c r="R1588" s="274">
        <v>12</v>
      </c>
      <c r="S1588" s="274" t="s">
        <v>354</v>
      </c>
      <c r="T1588" s="274" t="s">
        <v>2369</v>
      </c>
      <c r="U1588" s="274" t="s">
        <v>2770</v>
      </c>
      <c r="V1588" s="274" t="s">
        <v>355</v>
      </c>
      <c r="W1588" s="274" t="s">
        <v>928</v>
      </c>
      <c r="X1588" s="339"/>
    </row>
    <row r="1589" spans="1:24" ht="13.5" x14ac:dyDescent="0.15">
      <c r="A1589" s="274">
        <v>3754049</v>
      </c>
      <c r="B1589" s="274" t="s">
        <v>351</v>
      </c>
      <c r="C1589" s="274" t="s">
        <v>1801</v>
      </c>
      <c r="D1589" s="274" t="s">
        <v>353</v>
      </c>
      <c r="E1589" s="274" t="s">
        <v>114</v>
      </c>
      <c r="F1589" s="274">
        <v>331</v>
      </c>
      <c r="G1589" s="274" t="s">
        <v>19</v>
      </c>
      <c r="H1589" s="274" t="s">
        <v>20</v>
      </c>
      <c r="I1589" s="274" t="s">
        <v>21</v>
      </c>
      <c r="J1589" s="274" t="s">
        <v>928</v>
      </c>
      <c r="K1589" s="274" t="s">
        <v>112</v>
      </c>
      <c r="L1589" s="274">
        <v>25</v>
      </c>
      <c r="M1589" s="274" t="s">
        <v>357</v>
      </c>
      <c r="N1589" s="274">
        <v>640</v>
      </c>
      <c r="O1589" s="274">
        <v>540</v>
      </c>
      <c r="P1589" s="274">
        <v>2000</v>
      </c>
      <c r="Q1589" s="274">
        <v>2</v>
      </c>
      <c r="R1589" s="274">
        <v>6</v>
      </c>
      <c r="S1589" s="274" t="s">
        <v>354</v>
      </c>
      <c r="T1589" s="274" t="s">
        <v>2369</v>
      </c>
      <c r="U1589" s="274" t="s">
        <v>2770</v>
      </c>
      <c r="V1589" s="274" t="s">
        <v>355</v>
      </c>
      <c r="W1589" s="274" t="s">
        <v>928</v>
      </c>
      <c r="X1589" s="339"/>
    </row>
    <row r="1590" spans="1:24" ht="13.5" x14ac:dyDescent="0.15">
      <c r="A1590" s="274">
        <v>3754050</v>
      </c>
      <c r="B1590" s="274" t="s">
        <v>351</v>
      </c>
      <c r="C1590" s="274" t="s">
        <v>1801</v>
      </c>
      <c r="D1590" s="274" t="s">
        <v>353</v>
      </c>
      <c r="E1590" s="274" t="s">
        <v>114</v>
      </c>
      <c r="F1590" s="274">
        <v>331</v>
      </c>
      <c r="G1590" s="274" t="s">
        <v>19</v>
      </c>
      <c r="H1590" s="274" t="s">
        <v>20</v>
      </c>
      <c r="I1590" s="274" t="s">
        <v>21</v>
      </c>
      <c r="J1590" s="274" t="s">
        <v>928</v>
      </c>
      <c r="K1590" s="274" t="s">
        <v>112</v>
      </c>
      <c r="L1590" s="274">
        <v>25</v>
      </c>
      <c r="M1590" s="274" t="s">
        <v>357</v>
      </c>
      <c r="N1590" s="274">
        <v>780</v>
      </c>
      <c r="O1590" s="274">
        <v>780</v>
      </c>
      <c r="P1590" s="274">
        <v>2000</v>
      </c>
      <c r="Q1590" s="274">
        <v>2</v>
      </c>
      <c r="R1590" s="274">
        <v>6</v>
      </c>
      <c r="S1590" s="274" t="s">
        <v>354</v>
      </c>
      <c r="T1590" s="274" t="s">
        <v>2369</v>
      </c>
      <c r="U1590" s="274" t="s">
        <v>2770</v>
      </c>
      <c r="V1590" s="274" t="s">
        <v>355</v>
      </c>
      <c r="W1590" s="274" t="s">
        <v>928</v>
      </c>
      <c r="X1590" s="339"/>
    </row>
    <row r="1591" spans="1:24" ht="13.5" x14ac:dyDescent="0.15">
      <c r="A1591" s="274">
        <v>3754051</v>
      </c>
      <c r="B1591" s="274" t="s">
        <v>351</v>
      </c>
      <c r="C1591" s="274" t="s">
        <v>1801</v>
      </c>
      <c r="D1591" s="274" t="s">
        <v>353</v>
      </c>
      <c r="E1591" s="274" t="s">
        <v>130</v>
      </c>
      <c r="F1591" s="274">
        <v>330</v>
      </c>
      <c r="G1591" s="274" t="s">
        <v>19</v>
      </c>
      <c r="H1591" s="274" t="s">
        <v>20</v>
      </c>
      <c r="I1591" s="274" t="s">
        <v>21</v>
      </c>
      <c r="J1591" s="274" t="s">
        <v>928</v>
      </c>
      <c r="K1591" s="274" t="s">
        <v>2342</v>
      </c>
      <c r="L1591" s="274">
        <v>25</v>
      </c>
      <c r="M1591" s="274" t="s">
        <v>2343</v>
      </c>
      <c r="N1591" s="274">
        <v>1420</v>
      </c>
      <c r="O1591" s="274">
        <v>1420</v>
      </c>
      <c r="P1591" s="274">
        <v>12400</v>
      </c>
      <c r="Q1591" s="274">
        <v>2</v>
      </c>
      <c r="R1591" s="274">
        <v>10</v>
      </c>
      <c r="S1591" s="274" t="s">
        <v>354</v>
      </c>
      <c r="T1591" s="274" t="s">
        <v>2369</v>
      </c>
      <c r="U1591" s="274" t="s">
        <v>2770</v>
      </c>
      <c r="V1591" s="274" t="s">
        <v>355</v>
      </c>
      <c r="W1591" s="274" t="s">
        <v>928</v>
      </c>
      <c r="X1591" s="339"/>
    </row>
    <row r="1592" spans="1:24" ht="13.5" x14ac:dyDescent="0.15">
      <c r="A1592" s="274">
        <v>3754052</v>
      </c>
      <c r="B1592" s="274" t="s">
        <v>351</v>
      </c>
      <c r="C1592" s="274" t="s">
        <v>1801</v>
      </c>
      <c r="D1592" s="274" t="s">
        <v>353</v>
      </c>
      <c r="E1592" s="274" t="s">
        <v>130</v>
      </c>
      <c r="F1592" s="274">
        <v>331</v>
      </c>
      <c r="G1592" s="274" t="s">
        <v>19</v>
      </c>
      <c r="H1592" s="274" t="s">
        <v>20</v>
      </c>
      <c r="I1592" s="274" t="s">
        <v>21</v>
      </c>
      <c r="J1592" s="274" t="s">
        <v>928</v>
      </c>
      <c r="K1592" s="274" t="s">
        <v>435</v>
      </c>
      <c r="L1592" s="274">
        <v>25</v>
      </c>
      <c r="M1592" s="274" t="s">
        <v>436</v>
      </c>
      <c r="N1592" s="274">
        <v>1420</v>
      </c>
      <c r="O1592" s="274">
        <v>1420</v>
      </c>
      <c r="P1592" s="274">
        <v>6000</v>
      </c>
      <c r="Q1592" s="274">
        <v>2</v>
      </c>
      <c r="R1592" s="274">
        <v>10</v>
      </c>
      <c r="S1592" s="274" t="s">
        <v>354</v>
      </c>
      <c r="T1592" s="274" t="s">
        <v>2369</v>
      </c>
      <c r="U1592" s="274" t="s">
        <v>2770</v>
      </c>
      <c r="V1592" s="274" t="s">
        <v>355</v>
      </c>
      <c r="W1592" s="274" t="s">
        <v>928</v>
      </c>
      <c r="X1592" s="339"/>
    </row>
    <row r="1593" spans="1:24" ht="13.5" x14ac:dyDescent="0.15">
      <c r="A1593" s="274">
        <v>3754053</v>
      </c>
      <c r="B1593" s="274" t="s">
        <v>351</v>
      </c>
      <c r="C1593" s="274" t="s">
        <v>1806</v>
      </c>
      <c r="D1593" s="274" t="s">
        <v>353</v>
      </c>
      <c r="E1593" s="274" t="s">
        <v>116</v>
      </c>
      <c r="F1593" s="274">
        <v>3</v>
      </c>
      <c r="G1593" s="274" t="s">
        <v>19</v>
      </c>
      <c r="H1593" s="274" t="s">
        <v>20</v>
      </c>
      <c r="I1593" s="274" t="s">
        <v>21</v>
      </c>
      <c r="J1593" s="274" t="s">
        <v>928</v>
      </c>
      <c r="K1593" s="274" t="s">
        <v>118</v>
      </c>
      <c r="L1593" s="274">
        <v>38</v>
      </c>
      <c r="M1593" s="274" t="s">
        <v>368</v>
      </c>
      <c r="N1593" s="274">
        <v>1415</v>
      </c>
      <c r="O1593" s="274">
        <v>1410</v>
      </c>
      <c r="P1593" s="274">
        <v>8000</v>
      </c>
      <c r="Q1593" s="274">
        <v>2</v>
      </c>
      <c r="R1593" s="274">
        <v>10</v>
      </c>
      <c r="S1593" s="274" t="s">
        <v>354</v>
      </c>
      <c r="T1593" s="274" t="s">
        <v>2369</v>
      </c>
      <c r="U1593" s="274" t="s">
        <v>2771</v>
      </c>
      <c r="V1593" s="274" t="s">
        <v>355</v>
      </c>
      <c r="W1593" s="274" t="s">
        <v>928</v>
      </c>
      <c r="X1593" s="339"/>
    </row>
    <row r="1594" spans="1:24" ht="13.5" x14ac:dyDescent="0.15">
      <c r="A1594" s="274">
        <v>3754054</v>
      </c>
      <c r="B1594" s="274" t="s">
        <v>351</v>
      </c>
      <c r="C1594" s="274" t="s">
        <v>1801</v>
      </c>
      <c r="D1594" s="274" t="s">
        <v>353</v>
      </c>
      <c r="E1594" s="274" t="s">
        <v>17</v>
      </c>
      <c r="F1594" s="274">
        <v>3</v>
      </c>
      <c r="G1594" s="274" t="s">
        <v>19</v>
      </c>
      <c r="H1594" s="274" t="s">
        <v>20</v>
      </c>
      <c r="I1594" s="274" t="s">
        <v>21</v>
      </c>
      <c r="J1594" s="274" t="s">
        <v>928</v>
      </c>
      <c r="K1594" s="274" t="s">
        <v>104</v>
      </c>
      <c r="L1594" s="274">
        <v>25</v>
      </c>
      <c r="M1594" s="274" t="s">
        <v>375</v>
      </c>
      <c r="N1594" s="274">
        <v>1325</v>
      </c>
      <c r="O1594" s="274">
        <v>1320</v>
      </c>
      <c r="P1594" s="274">
        <v>6000</v>
      </c>
      <c r="Q1594" s="274">
        <v>2</v>
      </c>
      <c r="R1594" s="274">
        <v>6</v>
      </c>
      <c r="S1594" s="274" t="s">
        <v>354</v>
      </c>
      <c r="T1594" s="274" t="s">
        <v>2369</v>
      </c>
      <c r="U1594" s="274" t="s">
        <v>2770</v>
      </c>
      <c r="V1594" s="274" t="s">
        <v>355</v>
      </c>
      <c r="W1594" s="274" t="s">
        <v>928</v>
      </c>
      <c r="X1594" s="339"/>
    </row>
    <row r="1595" spans="1:24" ht="13.5" x14ac:dyDescent="0.15">
      <c r="A1595" s="274">
        <v>3754055</v>
      </c>
      <c r="B1595" s="274" t="s">
        <v>351</v>
      </c>
      <c r="C1595" s="274" t="s">
        <v>1801</v>
      </c>
      <c r="D1595" s="274" t="s">
        <v>353</v>
      </c>
      <c r="E1595" s="274" t="s">
        <v>106</v>
      </c>
      <c r="F1595" s="274">
        <v>3</v>
      </c>
      <c r="G1595" s="274" t="s">
        <v>19</v>
      </c>
      <c r="H1595" s="274" t="s">
        <v>20</v>
      </c>
      <c r="I1595" s="274" t="s">
        <v>21</v>
      </c>
      <c r="J1595" s="274" t="s">
        <v>928</v>
      </c>
      <c r="K1595" s="274" t="s">
        <v>107</v>
      </c>
      <c r="L1595" s="274">
        <v>25</v>
      </c>
      <c r="M1595" s="274" t="s">
        <v>367</v>
      </c>
      <c r="N1595" s="274">
        <v>1240</v>
      </c>
      <c r="O1595" s="274">
        <v>1240</v>
      </c>
      <c r="P1595" s="274">
        <v>6000</v>
      </c>
      <c r="Q1595" s="274">
        <v>2</v>
      </c>
      <c r="R1595" s="274">
        <v>20</v>
      </c>
      <c r="S1595" s="274" t="s">
        <v>354</v>
      </c>
      <c r="T1595" s="274" t="s">
        <v>2369</v>
      </c>
      <c r="U1595" s="274" t="s">
        <v>2770</v>
      </c>
      <c r="V1595" s="274" t="s">
        <v>355</v>
      </c>
      <c r="W1595" s="274" t="s">
        <v>928</v>
      </c>
      <c r="X1595" s="339"/>
    </row>
    <row r="1596" spans="1:24" ht="13.5" x14ac:dyDescent="0.15">
      <c r="A1596" s="274">
        <v>3754056</v>
      </c>
      <c r="B1596" s="274" t="s">
        <v>351</v>
      </c>
      <c r="C1596" s="274" t="s">
        <v>1801</v>
      </c>
      <c r="D1596" s="274" t="s">
        <v>353</v>
      </c>
      <c r="E1596" s="274" t="s">
        <v>106</v>
      </c>
      <c r="F1596" s="274">
        <v>3</v>
      </c>
      <c r="G1596" s="274" t="s">
        <v>19</v>
      </c>
      <c r="H1596" s="274" t="s">
        <v>20</v>
      </c>
      <c r="I1596" s="274" t="s">
        <v>21</v>
      </c>
      <c r="J1596" s="274" t="s">
        <v>928</v>
      </c>
      <c r="K1596" s="274" t="s">
        <v>107</v>
      </c>
      <c r="L1596" s="274">
        <v>38</v>
      </c>
      <c r="M1596" s="274" t="s">
        <v>367</v>
      </c>
      <c r="N1596" s="274">
        <v>1240</v>
      </c>
      <c r="O1596" s="274">
        <v>1240</v>
      </c>
      <c r="P1596" s="274">
        <v>6000</v>
      </c>
      <c r="Q1596" s="274">
        <v>2</v>
      </c>
      <c r="R1596" s="274">
        <v>10</v>
      </c>
      <c r="S1596" s="274" t="s">
        <v>354</v>
      </c>
      <c r="T1596" s="274" t="s">
        <v>2369</v>
      </c>
      <c r="U1596" s="274" t="s">
        <v>2770</v>
      </c>
      <c r="V1596" s="274" t="s">
        <v>355</v>
      </c>
      <c r="W1596" s="274" t="s">
        <v>928</v>
      </c>
      <c r="X1596" s="339"/>
    </row>
    <row r="1597" spans="1:24" ht="13.5" x14ac:dyDescent="0.15">
      <c r="A1597" s="274">
        <v>3754057</v>
      </c>
      <c r="B1597" s="274" t="s">
        <v>351</v>
      </c>
      <c r="C1597" s="274" t="s">
        <v>1808</v>
      </c>
      <c r="D1597" s="274" t="s">
        <v>353</v>
      </c>
      <c r="E1597" s="274" t="s">
        <v>120</v>
      </c>
      <c r="F1597" s="274">
        <v>3</v>
      </c>
      <c r="G1597" s="274" t="s">
        <v>19</v>
      </c>
      <c r="H1597" s="274" t="s">
        <v>20</v>
      </c>
      <c r="I1597" s="274" t="s">
        <v>21</v>
      </c>
      <c r="J1597" s="274" t="s">
        <v>928</v>
      </c>
      <c r="K1597" s="274" t="s">
        <v>118</v>
      </c>
      <c r="L1597" s="274">
        <v>125</v>
      </c>
      <c r="M1597" s="274" t="s">
        <v>121</v>
      </c>
      <c r="N1597" s="274">
        <v>1230</v>
      </c>
      <c r="O1597" s="274">
        <v>1225</v>
      </c>
      <c r="P1597" s="274">
        <v>1800</v>
      </c>
      <c r="Q1597" s="274">
        <v>2</v>
      </c>
      <c r="R1597" s="274">
        <v>2</v>
      </c>
      <c r="S1597" s="274" t="s">
        <v>354</v>
      </c>
      <c r="T1597" s="274" t="s">
        <v>2369</v>
      </c>
      <c r="U1597" s="274" t="s">
        <v>2770</v>
      </c>
      <c r="V1597" s="274" t="s">
        <v>355</v>
      </c>
      <c r="W1597" s="274" t="s">
        <v>928</v>
      </c>
      <c r="X1597" s="339"/>
    </row>
    <row r="1598" spans="1:24" ht="13.5" x14ac:dyDescent="0.15">
      <c r="A1598" s="274">
        <v>3754058</v>
      </c>
      <c r="B1598" s="274" t="s">
        <v>351</v>
      </c>
      <c r="C1598" s="274" t="s">
        <v>1808</v>
      </c>
      <c r="D1598" s="274" t="s">
        <v>353</v>
      </c>
      <c r="E1598" s="274" t="s">
        <v>2772</v>
      </c>
      <c r="F1598" s="274">
        <v>3</v>
      </c>
      <c r="G1598" s="274" t="s">
        <v>19</v>
      </c>
      <c r="H1598" s="274" t="s">
        <v>20</v>
      </c>
      <c r="I1598" s="274" t="s">
        <v>21</v>
      </c>
      <c r="J1598" s="274" t="s">
        <v>928</v>
      </c>
      <c r="K1598" s="274" t="s">
        <v>118</v>
      </c>
      <c r="L1598" s="274">
        <v>25</v>
      </c>
      <c r="M1598" s="274" t="s">
        <v>119</v>
      </c>
      <c r="N1598" s="274">
        <v>1100</v>
      </c>
      <c r="O1598" s="274">
        <v>1100</v>
      </c>
      <c r="P1598" s="274">
        <v>12000</v>
      </c>
      <c r="Q1598" s="274">
        <v>2</v>
      </c>
      <c r="R1598" s="274">
        <v>30</v>
      </c>
      <c r="S1598" s="274" t="s">
        <v>354</v>
      </c>
      <c r="T1598" s="274" t="s">
        <v>2369</v>
      </c>
      <c r="U1598" s="274" t="s">
        <v>2770</v>
      </c>
      <c r="V1598" s="274" t="s">
        <v>355</v>
      </c>
      <c r="W1598" s="274" t="s">
        <v>928</v>
      </c>
      <c r="X1598" s="339"/>
    </row>
    <row r="1599" spans="1:24" ht="13.5" x14ac:dyDescent="0.15">
      <c r="A1599" s="274">
        <v>3754059</v>
      </c>
      <c r="B1599" s="274" t="s">
        <v>351</v>
      </c>
      <c r="C1599" s="274" t="s">
        <v>1808</v>
      </c>
      <c r="D1599" s="274" t="s">
        <v>353</v>
      </c>
      <c r="E1599" s="274" t="s">
        <v>110</v>
      </c>
      <c r="F1599" s="274">
        <v>331</v>
      </c>
      <c r="G1599" s="274" t="s">
        <v>19</v>
      </c>
      <c r="H1599" s="274" t="s">
        <v>20</v>
      </c>
      <c r="I1599" s="274" t="s">
        <v>21</v>
      </c>
      <c r="J1599" s="274" t="s">
        <v>928</v>
      </c>
      <c r="K1599" s="274" t="s">
        <v>112</v>
      </c>
      <c r="L1599" s="274">
        <v>25</v>
      </c>
      <c r="M1599" s="274" t="s">
        <v>357</v>
      </c>
      <c r="N1599" s="274">
        <v>450</v>
      </c>
      <c r="O1599" s="274">
        <v>450</v>
      </c>
      <c r="P1599" s="274">
        <v>4000</v>
      </c>
      <c r="Q1599" s="274">
        <v>2</v>
      </c>
      <c r="R1599" s="274">
        <v>12</v>
      </c>
      <c r="S1599" s="274" t="s">
        <v>354</v>
      </c>
      <c r="T1599" s="274" t="s">
        <v>2369</v>
      </c>
      <c r="U1599" s="274" t="s">
        <v>2770</v>
      </c>
      <c r="V1599" s="274" t="s">
        <v>355</v>
      </c>
      <c r="W1599" s="274" t="s">
        <v>928</v>
      </c>
      <c r="X1599" s="339"/>
    </row>
    <row r="1600" spans="1:24" ht="13.5" x14ac:dyDescent="0.15">
      <c r="A1600" s="274">
        <v>3754060</v>
      </c>
      <c r="B1600" s="274" t="s">
        <v>351</v>
      </c>
      <c r="C1600" s="274" t="s">
        <v>1801</v>
      </c>
      <c r="D1600" s="274" t="s">
        <v>353</v>
      </c>
      <c r="E1600" s="274" t="s">
        <v>17</v>
      </c>
      <c r="F1600" s="274">
        <v>3</v>
      </c>
      <c r="G1600" s="274" t="s">
        <v>19</v>
      </c>
      <c r="H1600" s="274" t="s">
        <v>20</v>
      </c>
      <c r="I1600" s="274" t="s">
        <v>21</v>
      </c>
      <c r="J1600" s="274" t="s">
        <v>928</v>
      </c>
      <c r="K1600" s="274" t="s">
        <v>104</v>
      </c>
      <c r="L1600" s="274">
        <v>25</v>
      </c>
      <c r="M1600" s="274" t="s">
        <v>375</v>
      </c>
      <c r="N1600" s="274">
        <v>1050</v>
      </c>
      <c r="O1600" s="274">
        <v>1050</v>
      </c>
      <c r="P1600" s="274">
        <v>12000</v>
      </c>
      <c r="Q1600" s="274">
        <v>2</v>
      </c>
      <c r="R1600" s="274">
        <v>8</v>
      </c>
      <c r="S1600" s="274" t="s">
        <v>354</v>
      </c>
      <c r="T1600" s="274" t="s">
        <v>2369</v>
      </c>
      <c r="U1600" s="274" t="s">
        <v>2770</v>
      </c>
      <c r="V1600" s="274" t="s">
        <v>355</v>
      </c>
      <c r="W1600" s="274" t="s">
        <v>928</v>
      </c>
      <c r="X1600" s="339"/>
    </row>
    <row r="1601" spans="1:24" ht="13.5" x14ac:dyDescent="0.15">
      <c r="A1601" s="274">
        <v>3754061</v>
      </c>
      <c r="B1601" s="274" t="s">
        <v>351</v>
      </c>
      <c r="C1601" s="274" t="s">
        <v>1801</v>
      </c>
      <c r="D1601" s="274" t="s">
        <v>353</v>
      </c>
      <c r="E1601" s="274" t="s">
        <v>106</v>
      </c>
      <c r="F1601" s="274">
        <v>3</v>
      </c>
      <c r="G1601" s="274" t="s">
        <v>19</v>
      </c>
      <c r="H1601" s="274" t="s">
        <v>20</v>
      </c>
      <c r="I1601" s="274" t="s">
        <v>21</v>
      </c>
      <c r="J1601" s="274" t="s">
        <v>928</v>
      </c>
      <c r="K1601" s="274" t="s">
        <v>107</v>
      </c>
      <c r="L1601" s="274">
        <v>25</v>
      </c>
      <c r="M1601" s="274" t="s">
        <v>367</v>
      </c>
      <c r="N1601" s="274">
        <v>1040</v>
      </c>
      <c r="O1601" s="274">
        <v>1040</v>
      </c>
      <c r="P1601" s="274">
        <v>6000</v>
      </c>
      <c r="Q1601" s="274">
        <v>2</v>
      </c>
      <c r="R1601" s="274">
        <v>18</v>
      </c>
      <c r="S1601" s="274" t="s">
        <v>354</v>
      </c>
      <c r="T1601" s="274" t="s">
        <v>2369</v>
      </c>
      <c r="U1601" s="274" t="s">
        <v>2770</v>
      </c>
      <c r="V1601" s="274" t="s">
        <v>355</v>
      </c>
      <c r="W1601" s="274" t="s">
        <v>928</v>
      </c>
      <c r="X1601" s="339"/>
    </row>
    <row r="1602" spans="1:24" ht="13.5" x14ac:dyDescent="0.15">
      <c r="A1602" s="274">
        <v>3754062</v>
      </c>
      <c r="B1602" s="274" t="s">
        <v>351</v>
      </c>
      <c r="C1602" s="274" t="s">
        <v>1801</v>
      </c>
      <c r="D1602" s="274" t="s">
        <v>353</v>
      </c>
      <c r="E1602" s="274" t="s">
        <v>106</v>
      </c>
      <c r="F1602" s="274">
        <v>3</v>
      </c>
      <c r="G1602" s="274" t="s">
        <v>19</v>
      </c>
      <c r="H1602" s="274" t="s">
        <v>20</v>
      </c>
      <c r="I1602" s="274" t="s">
        <v>21</v>
      </c>
      <c r="J1602" s="274" t="s">
        <v>928</v>
      </c>
      <c r="K1602" s="274" t="s">
        <v>107</v>
      </c>
      <c r="L1602" s="274">
        <v>38</v>
      </c>
      <c r="M1602" s="274" t="s">
        <v>367</v>
      </c>
      <c r="N1602" s="274">
        <v>1040</v>
      </c>
      <c r="O1602" s="274">
        <v>1040</v>
      </c>
      <c r="P1602" s="274">
        <v>6000</v>
      </c>
      <c r="Q1602" s="274">
        <v>2</v>
      </c>
      <c r="R1602" s="274">
        <v>2</v>
      </c>
      <c r="S1602" s="274" t="s">
        <v>354</v>
      </c>
      <c r="T1602" s="274" t="s">
        <v>2369</v>
      </c>
      <c r="U1602" s="274" t="s">
        <v>2770</v>
      </c>
      <c r="V1602" s="274" t="s">
        <v>355</v>
      </c>
      <c r="W1602" s="274" t="s">
        <v>928</v>
      </c>
      <c r="X1602" s="339"/>
    </row>
    <row r="1603" spans="1:24" ht="13.5" x14ac:dyDescent="0.15">
      <c r="A1603" s="274">
        <v>3754063</v>
      </c>
      <c r="B1603" s="274" t="s">
        <v>351</v>
      </c>
      <c r="C1603" s="274" t="s">
        <v>1806</v>
      </c>
      <c r="D1603" s="274" t="s">
        <v>353</v>
      </c>
      <c r="E1603" s="274" t="s">
        <v>116</v>
      </c>
      <c r="F1603" s="274">
        <v>3</v>
      </c>
      <c r="G1603" s="274" t="s">
        <v>19</v>
      </c>
      <c r="H1603" s="274" t="s">
        <v>20</v>
      </c>
      <c r="I1603" s="274" t="s">
        <v>21</v>
      </c>
      <c r="J1603" s="274" t="s">
        <v>928</v>
      </c>
      <c r="K1603" s="274" t="s">
        <v>118</v>
      </c>
      <c r="L1603" s="274">
        <v>38</v>
      </c>
      <c r="M1603" s="274" t="s">
        <v>368</v>
      </c>
      <c r="N1603" s="274">
        <v>1005</v>
      </c>
      <c r="O1603" s="274">
        <v>1000</v>
      </c>
      <c r="P1603" s="274">
        <v>8000</v>
      </c>
      <c r="Q1603" s="274">
        <v>2</v>
      </c>
      <c r="R1603" s="274">
        <v>10</v>
      </c>
      <c r="S1603" s="274" t="s">
        <v>354</v>
      </c>
      <c r="T1603" s="274" t="s">
        <v>2369</v>
      </c>
      <c r="U1603" s="274" t="s">
        <v>2773</v>
      </c>
      <c r="V1603" s="274" t="s">
        <v>355</v>
      </c>
      <c r="W1603" s="274" t="s">
        <v>928</v>
      </c>
      <c r="X1603" s="339"/>
    </row>
    <row r="1604" spans="1:24" ht="13.5" x14ac:dyDescent="0.15">
      <c r="A1604" s="274">
        <v>3754064</v>
      </c>
      <c r="B1604" s="274" t="s">
        <v>351</v>
      </c>
      <c r="C1604" s="274" t="s">
        <v>1801</v>
      </c>
      <c r="D1604" s="274" t="s">
        <v>353</v>
      </c>
      <c r="E1604" s="274" t="s">
        <v>32</v>
      </c>
      <c r="F1604" s="274">
        <v>331</v>
      </c>
      <c r="G1604" s="274" t="s">
        <v>19</v>
      </c>
      <c r="H1604" s="274" t="s">
        <v>20</v>
      </c>
      <c r="I1604" s="274" t="s">
        <v>21</v>
      </c>
      <c r="J1604" s="274" t="s">
        <v>928</v>
      </c>
      <c r="K1604" s="274" t="s">
        <v>33</v>
      </c>
      <c r="L1604" s="274">
        <v>38</v>
      </c>
      <c r="M1604" s="274" t="s">
        <v>30</v>
      </c>
      <c r="N1604" s="274">
        <v>1580</v>
      </c>
      <c r="O1604" s="274">
        <v>1580</v>
      </c>
      <c r="P1604" s="274">
        <v>6000</v>
      </c>
      <c r="Q1604" s="274">
        <v>2</v>
      </c>
      <c r="R1604" s="274">
        <v>8</v>
      </c>
      <c r="S1604" s="274" t="s">
        <v>354</v>
      </c>
      <c r="T1604" s="274" t="s">
        <v>2369</v>
      </c>
      <c r="U1604" s="274" t="s">
        <v>2774</v>
      </c>
      <c r="V1604" s="274" t="s">
        <v>355</v>
      </c>
      <c r="W1604" s="274" t="s">
        <v>928</v>
      </c>
      <c r="X1604" s="339"/>
    </row>
    <row r="1605" spans="1:24" ht="13.5" x14ac:dyDescent="0.15">
      <c r="A1605" s="274">
        <v>3754065</v>
      </c>
      <c r="B1605" s="274" t="s">
        <v>351</v>
      </c>
      <c r="C1605" s="274" t="s">
        <v>1801</v>
      </c>
      <c r="D1605" s="274" t="s">
        <v>353</v>
      </c>
      <c r="E1605" s="274" t="s">
        <v>17</v>
      </c>
      <c r="F1605" s="274">
        <v>331</v>
      </c>
      <c r="G1605" s="274" t="s">
        <v>19</v>
      </c>
      <c r="H1605" s="274" t="s">
        <v>20</v>
      </c>
      <c r="I1605" s="274" t="s">
        <v>21</v>
      </c>
      <c r="J1605" s="274" t="s">
        <v>928</v>
      </c>
      <c r="K1605" s="274" t="s">
        <v>29</v>
      </c>
      <c r="L1605" s="274">
        <v>38</v>
      </c>
      <c r="M1605" s="274" t="s">
        <v>30</v>
      </c>
      <c r="N1605" s="274">
        <v>1330</v>
      </c>
      <c r="O1605" s="274">
        <v>1330</v>
      </c>
      <c r="P1605" s="274">
        <v>6000</v>
      </c>
      <c r="Q1605" s="274">
        <v>2</v>
      </c>
      <c r="R1605" s="274">
        <v>6</v>
      </c>
      <c r="S1605" s="274" t="s">
        <v>354</v>
      </c>
      <c r="T1605" s="274" t="s">
        <v>2369</v>
      </c>
      <c r="U1605" s="274" t="s">
        <v>2774</v>
      </c>
      <c r="V1605" s="274" t="s">
        <v>355</v>
      </c>
      <c r="W1605" s="274" t="s">
        <v>928</v>
      </c>
      <c r="X1605" s="339"/>
    </row>
    <row r="1606" spans="1:24" ht="13.5" x14ac:dyDescent="0.15">
      <c r="A1606" s="274">
        <v>3754066</v>
      </c>
      <c r="B1606" s="274" t="s">
        <v>351</v>
      </c>
      <c r="C1606" s="274" t="s">
        <v>1801</v>
      </c>
      <c r="D1606" s="274" t="s">
        <v>353</v>
      </c>
      <c r="E1606" s="274" t="s">
        <v>32</v>
      </c>
      <c r="F1606" s="274">
        <v>331</v>
      </c>
      <c r="G1606" s="274" t="s">
        <v>19</v>
      </c>
      <c r="H1606" s="274" t="s">
        <v>20</v>
      </c>
      <c r="I1606" s="274" t="s">
        <v>21</v>
      </c>
      <c r="J1606" s="274" t="s">
        <v>928</v>
      </c>
      <c r="K1606" s="274" t="s">
        <v>33</v>
      </c>
      <c r="L1606" s="274">
        <v>25</v>
      </c>
      <c r="M1606" s="274" t="s">
        <v>30</v>
      </c>
      <c r="N1606" s="274">
        <v>1330</v>
      </c>
      <c r="O1606" s="274">
        <v>1330</v>
      </c>
      <c r="P1606" s="274">
        <v>6000</v>
      </c>
      <c r="Q1606" s="274">
        <v>2</v>
      </c>
      <c r="R1606" s="274">
        <v>16</v>
      </c>
      <c r="S1606" s="274" t="s">
        <v>354</v>
      </c>
      <c r="T1606" s="274" t="s">
        <v>2369</v>
      </c>
      <c r="U1606" s="274" t="s">
        <v>2774</v>
      </c>
      <c r="V1606" s="274" t="s">
        <v>355</v>
      </c>
      <c r="W1606" s="274" t="s">
        <v>928</v>
      </c>
      <c r="X1606" s="339"/>
    </row>
    <row r="1607" spans="1:24" ht="13.5" x14ac:dyDescent="0.15">
      <c r="A1607" s="274">
        <v>3754067</v>
      </c>
      <c r="B1607" s="274" t="s">
        <v>351</v>
      </c>
      <c r="C1607" s="274" t="s">
        <v>1801</v>
      </c>
      <c r="D1607" s="274" t="s">
        <v>353</v>
      </c>
      <c r="E1607" s="274" t="s">
        <v>17</v>
      </c>
      <c r="F1607" s="274">
        <v>3</v>
      </c>
      <c r="G1607" s="274" t="s">
        <v>19</v>
      </c>
      <c r="H1607" s="274" t="s">
        <v>20</v>
      </c>
      <c r="I1607" s="274" t="s">
        <v>21</v>
      </c>
      <c r="J1607" s="274" t="s">
        <v>928</v>
      </c>
      <c r="K1607" s="274" t="s">
        <v>22</v>
      </c>
      <c r="L1607" s="274">
        <v>38</v>
      </c>
      <c r="M1607" s="274" t="s">
        <v>23</v>
      </c>
      <c r="N1607" s="274">
        <v>1057</v>
      </c>
      <c r="O1607" s="274">
        <v>1050</v>
      </c>
      <c r="P1607" s="274">
        <v>8400</v>
      </c>
      <c r="Q1607" s="274">
        <v>2</v>
      </c>
      <c r="R1607" s="274">
        <v>5</v>
      </c>
      <c r="S1607" s="274" t="s">
        <v>354</v>
      </c>
      <c r="T1607" s="274" t="s">
        <v>2369</v>
      </c>
      <c r="U1607" s="274" t="s">
        <v>2774</v>
      </c>
      <c r="V1607" s="274" t="s">
        <v>355</v>
      </c>
      <c r="W1607" s="274" t="s">
        <v>928</v>
      </c>
      <c r="X1607" s="339"/>
    </row>
    <row r="1608" spans="1:24" ht="13.5" x14ac:dyDescent="0.15">
      <c r="A1608" s="274">
        <v>3754068</v>
      </c>
      <c r="B1608" s="274" t="s">
        <v>351</v>
      </c>
      <c r="C1608" s="274" t="s">
        <v>1819</v>
      </c>
      <c r="D1608" s="274" t="s">
        <v>353</v>
      </c>
      <c r="E1608" s="274" t="s">
        <v>40</v>
      </c>
      <c r="F1608" s="274">
        <v>3</v>
      </c>
      <c r="G1608" s="274" t="s">
        <v>19</v>
      </c>
      <c r="H1608" s="274" t="s">
        <v>20</v>
      </c>
      <c r="I1608" s="274" t="s">
        <v>21</v>
      </c>
      <c r="J1608" s="274" t="s">
        <v>928</v>
      </c>
      <c r="K1608" s="274" t="s">
        <v>42</v>
      </c>
      <c r="L1608" s="274">
        <v>25</v>
      </c>
      <c r="M1608" s="274" t="s">
        <v>43</v>
      </c>
      <c r="N1608" s="274">
        <v>1045</v>
      </c>
      <c r="O1608" s="274">
        <v>1040</v>
      </c>
      <c r="P1608" s="274">
        <v>6000</v>
      </c>
      <c r="Q1608" s="274">
        <v>2</v>
      </c>
      <c r="R1608" s="274">
        <v>6</v>
      </c>
      <c r="S1608" s="274" t="s">
        <v>354</v>
      </c>
      <c r="T1608" s="274" t="s">
        <v>2369</v>
      </c>
      <c r="U1608" s="274" t="s">
        <v>2770</v>
      </c>
      <c r="V1608" s="274" t="s">
        <v>355</v>
      </c>
      <c r="W1608" s="274" t="s">
        <v>928</v>
      </c>
      <c r="X1608" s="339"/>
    </row>
    <row r="1609" spans="1:24" ht="13.5" x14ac:dyDescent="0.15">
      <c r="A1609" s="274">
        <v>3754069</v>
      </c>
      <c r="B1609" s="274" t="s">
        <v>351</v>
      </c>
      <c r="C1609" s="274" t="s">
        <v>1801</v>
      </c>
      <c r="D1609" s="274" t="s">
        <v>353</v>
      </c>
      <c r="E1609" s="274" t="s">
        <v>17</v>
      </c>
      <c r="F1609" s="274">
        <v>3</v>
      </c>
      <c r="G1609" s="274" t="s">
        <v>19</v>
      </c>
      <c r="H1609" s="274" t="s">
        <v>20</v>
      </c>
      <c r="I1609" s="274" t="s">
        <v>21</v>
      </c>
      <c r="J1609" s="274" t="s">
        <v>928</v>
      </c>
      <c r="K1609" s="274" t="s">
        <v>22</v>
      </c>
      <c r="L1609" s="274">
        <v>38</v>
      </c>
      <c r="M1609" s="274" t="s">
        <v>23</v>
      </c>
      <c r="N1609" s="274">
        <v>1037</v>
      </c>
      <c r="O1609" s="274">
        <v>1030</v>
      </c>
      <c r="P1609" s="274">
        <v>8500</v>
      </c>
      <c r="Q1609" s="274">
        <v>2</v>
      </c>
      <c r="R1609" s="274">
        <v>65</v>
      </c>
      <c r="S1609" s="274" t="s">
        <v>354</v>
      </c>
      <c r="T1609" s="274" t="s">
        <v>2369</v>
      </c>
      <c r="U1609" s="274" t="s">
        <v>2770</v>
      </c>
      <c r="V1609" s="274" t="s">
        <v>355</v>
      </c>
      <c r="W1609" s="274" t="s">
        <v>928</v>
      </c>
      <c r="X1609" s="339"/>
    </row>
    <row r="1610" spans="1:24" ht="13.5" x14ac:dyDescent="0.15">
      <c r="A1610" s="274">
        <v>3754070</v>
      </c>
      <c r="B1610" s="274" t="s">
        <v>351</v>
      </c>
      <c r="C1610" s="274" t="s">
        <v>1808</v>
      </c>
      <c r="D1610" s="274" t="s">
        <v>353</v>
      </c>
      <c r="E1610" s="274" t="s">
        <v>61</v>
      </c>
      <c r="F1610" s="274">
        <v>3313</v>
      </c>
      <c r="G1610" s="274" t="s">
        <v>19</v>
      </c>
      <c r="H1610" s="274" t="s">
        <v>20</v>
      </c>
      <c r="I1610" s="274" t="s">
        <v>21</v>
      </c>
      <c r="J1610" s="274" t="s">
        <v>928</v>
      </c>
      <c r="K1610" s="274" t="s">
        <v>62</v>
      </c>
      <c r="L1610" s="274">
        <v>38</v>
      </c>
      <c r="M1610" s="274" t="s">
        <v>63</v>
      </c>
      <c r="N1610" s="274">
        <v>750</v>
      </c>
      <c r="O1610" s="274">
        <v>750</v>
      </c>
      <c r="P1610" s="274">
        <v>6000</v>
      </c>
      <c r="Q1610" s="274">
        <v>2</v>
      </c>
      <c r="R1610" s="274">
        <v>4</v>
      </c>
      <c r="S1610" s="274" t="s">
        <v>354</v>
      </c>
      <c r="T1610" s="274" t="s">
        <v>2369</v>
      </c>
      <c r="U1610" s="274" t="s">
        <v>2770</v>
      </c>
      <c r="V1610" s="274" t="s">
        <v>355</v>
      </c>
      <c r="W1610" s="274" t="s">
        <v>928</v>
      </c>
      <c r="X1610" s="339"/>
    </row>
    <row r="1611" spans="1:24" ht="13.5" x14ac:dyDescent="0.15">
      <c r="A1611" s="274">
        <v>3754071</v>
      </c>
      <c r="B1611" s="274" t="s">
        <v>351</v>
      </c>
      <c r="C1611" s="274" t="s">
        <v>1808</v>
      </c>
      <c r="D1611" s="274" t="s">
        <v>353</v>
      </c>
      <c r="E1611" s="274" t="s">
        <v>61</v>
      </c>
      <c r="F1611" s="274">
        <v>331</v>
      </c>
      <c r="G1611" s="274" t="s">
        <v>19</v>
      </c>
      <c r="H1611" s="274" t="s">
        <v>20</v>
      </c>
      <c r="I1611" s="274" t="s">
        <v>21</v>
      </c>
      <c r="J1611" s="274" t="s">
        <v>928</v>
      </c>
      <c r="K1611" s="274" t="s">
        <v>62</v>
      </c>
      <c r="L1611" s="274">
        <v>38</v>
      </c>
      <c r="M1611" s="274" t="s">
        <v>63</v>
      </c>
      <c r="N1611" s="274">
        <v>1255</v>
      </c>
      <c r="O1611" s="274">
        <v>1250</v>
      </c>
      <c r="P1611" s="274">
        <v>6000</v>
      </c>
      <c r="Q1611" s="274">
        <v>2</v>
      </c>
      <c r="R1611" s="274">
        <v>8</v>
      </c>
      <c r="S1611" s="274" t="s">
        <v>354</v>
      </c>
      <c r="T1611" s="274" t="s">
        <v>2369</v>
      </c>
      <c r="U1611" s="274" t="s">
        <v>2770</v>
      </c>
      <c r="V1611" s="274" t="s">
        <v>355</v>
      </c>
      <c r="W1611" s="274" t="s">
        <v>928</v>
      </c>
      <c r="X1611" s="339"/>
    </row>
    <row r="1612" spans="1:24" ht="13.5" x14ac:dyDescent="0.15">
      <c r="A1612" s="274">
        <v>3754072</v>
      </c>
      <c r="B1612" s="274" t="s">
        <v>351</v>
      </c>
      <c r="C1612" s="274" t="s">
        <v>1808</v>
      </c>
      <c r="D1612" s="274" t="s">
        <v>353</v>
      </c>
      <c r="E1612" s="274" t="s">
        <v>65</v>
      </c>
      <c r="F1612" s="274">
        <v>3321</v>
      </c>
      <c r="G1612" s="274" t="s">
        <v>19</v>
      </c>
      <c r="H1612" s="274" t="s">
        <v>20</v>
      </c>
      <c r="I1612" s="274" t="s">
        <v>21</v>
      </c>
      <c r="J1612" s="274" t="s">
        <v>928</v>
      </c>
      <c r="K1612" s="274" t="s">
        <v>67</v>
      </c>
      <c r="L1612" s="274">
        <v>38</v>
      </c>
      <c r="M1612" s="274" t="s">
        <v>68</v>
      </c>
      <c r="N1612" s="274">
        <v>1336</v>
      </c>
      <c r="O1612" s="274">
        <v>1325</v>
      </c>
      <c r="P1612" s="274">
        <v>12000</v>
      </c>
      <c r="Q1612" s="274">
        <v>2</v>
      </c>
      <c r="R1612" s="274">
        <v>68</v>
      </c>
      <c r="S1612" s="274" t="s">
        <v>354</v>
      </c>
      <c r="T1612" s="274" t="s">
        <v>2369</v>
      </c>
      <c r="U1612" s="274" t="s">
        <v>2770</v>
      </c>
      <c r="V1612" s="274" t="s">
        <v>355</v>
      </c>
      <c r="W1612" s="274" t="s">
        <v>928</v>
      </c>
      <c r="X1612" s="339"/>
    </row>
    <row r="1613" spans="1:24" ht="13.5" x14ac:dyDescent="0.15">
      <c r="A1613" s="274">
        <v>3754073</v>
      </c>
      <c r="B1613" s="274" t="s">
        <v>351</v>
      </c>
      <c r="C1613" s="274" t="s">
        <v>1808</v>
      </c>
      <c r="D1613" s="274" t="s">
        <v>353</v>
      </c>
      <c r="E1613" s="274" t="s">
        <v>65</v>
      </c>
      <c r="F1613" s="274">
        <v>3321</v>
      </c>
      <c r="G1613" s="274" t="s">
        <v>19</v>
      </c>
      <c r="H1613" s="274" t="s">
        <v>20</v>
      </c>
      <c r="I1613" s="274" t="s">
        <v>21</v>
      </c>
      <c r="J1613" s="274" t="s">
        <v>928</v>
      </c>
      <c r="K1613" s="274" t="s">
        <v>70</v>
      </c>
      <c r="L1613" s="274">
        <v>38</v>
      </c>
      <c r="M1613" s="274" t="s">
        <v>71</v>
      </c>
      <c r="N1613" s="274">
        <v>1336</v>
      </c>
      <c r="O1613" s="274">
        <v>1325</v>
      </c>
      <c r="P1613" s="274">
        <v>12000</v>
      </c>
      <c r="Q1613" s="274">
        <v>2</v>
      </c>
      <c r="R1613" s="274">
        <v>42</v>
      </c>
      <c r="S1613" s="274" t="s">
        <v>354</v>
      </c>
      <c r="T1613" s="274" t="s">
        <v>2369</v>
      </c>
      <c r="U1613" s="274" t="s">
        <v>2770</v>
      </c>
      <c r="V1613" s="274" t="s">
        <v>355</v>
      </c>
      <c r="W1613" s="274" t="s">
        <v>928</v>
      </c>
      <c r="X1613" s="339"/>
    </row>
    <row r="1614" spans="1:24" ht="13.5" x14ac:dyDescent="0.15">
      <c r="A1614" s="274">
        <v>3754074</v>
      </c>
      <c r="B1614" s="274" t="s">
        <v>351</v>
      </c>
      <c r="C1614" s="274" t="s">
        <v>1808</v>
      </c>
      <c r="D1614" s="274" t="s">
        <v>353</v>
      </c>
      <c r="E1614" s="274" t="s">
        <v>73</v>
      </c>
      <c r="F1614" s="274">
        <v>331</v>
      </c>
      <c r="G1614" s="274" t="s">
        <v>19</v>
      </c>
      <c r="H1614" s="274" t="s">
        <v>20</v>
      </c>
      <c r="I1614" s="274" t="s">
        <v>21</v>
      </c>
      <c r="J1614" s="274" t="s">
        <v>928</v>
      </c>
      <c r="K1614" s="274" t="s">
        <v>74</v>
      </c>
      <c r="L1614" s="274">
        <v>38</v>
      </c>
      <c r="M1614" s="274" t="s">
        <v>365</v>
      </c>
      <c r="N1614" s="274">
        <v>315</v>
      </c>
      <c r="O1614" s="274">
        <v>315</v>
      </c>
      <c r="P1614" s="274">
        <v>1950</v>
      </c>
      <c r="Q1614" s="274">
        <v>2</v>
      </c>
      <c r="R1614" s="274">
        <v>3</v>
      </c>
      <c r="S1614" s="274" t="s">
        <v>354</v>
      </c>
      <c r="T1614" s="274" t="s">
        <v>2369</v>
      </c>
      <c r="U1614" s="274" t="s">
        <v>2770</v>
      </c>
      <c r="V1614" s="274" t="s">
        <v>355</v>
      </c>
      <c r="W1614" s="274" t="s">
        <v>928</v>
      </c>
      <c r="X1614" s="339"/>
    </row>
    <row r="1615" spans="1:24" ht="13.5" x14ac:dyDescent="0.15">
      <c r="A1615" s="274">
        <v>3754075</v>
      </c>
      <c r="B1615" s="274" t="s">
        <v>351</v>
      </c>
      <c r="C1615" s="274" t="s">
        <v>1808</v>
      </c>
      <c r="D1615" s="274" t="s">
        <v>353</v>
      </c>
      <c r="E1615" s="274" t="s">
        <v>73</v>
      </c>
      <c r="F1615" s="274">
        <v>331</v>
      </c>
      <c r="G1615" s="274" t="s">
        <v>19</v>
      </c>
      <c r="H1615" s="274" t="s">
        <v>20</v>
      </c>
      <c r="I1615" s="274" t="s">
        <v>21</v>
      </c>
      <c r="J1615" s="274" t="s">
        <v>928</v>
      </c>
      <c r="K1615" s="274" t="s">
        <v>74</v>
      </c>
      <c r="L1615" s="274">
        <v>38</v>
      </c>
      <c r="M1615" s="274" t="s">
        <v>365</v>
      </c>
      <c r="N1615" s="274">
        <v>415</v>
      </c>
      <c r="O1615" s="274">
        <v>415</v>
      </c>
      <c r="P1615" s="274">
        <v>1950</v>
      </c>
      <c r="Q1615" s="274">
        <v>2</v>
      </c>
      <c r="R1615" s="274">
        <v>87</v>
      </c>
      <c r="S1615" s="274" t="s">
        <v>354</v>
      </c>
      <c r="T1615" s="274" t="s">
        <v>2369</v>
      </c>
      <c r="U1615" s="274" t="s">
        <v>2770</v>
      </c>
      <c r="V1615" s="274" t="s">
        <v>355</v>
      </c>
      <c r="W1615" s="274" t="s">
        <v>928</v>
      </c>
      <c r="X1615" s="339"/>
    </row>
    <row r="1616" spans="1:24" ht="13.5" x14ac:dyDescent="0.15">
      <c r="A1616" s="274">
        <v>3754076</v>
      </c>
      <c r="B1616" s="274" t="s">
        <v>351</v>
      </c>
      <c r="C1616" s="274" t="s">
        <v>1808</v>
      </c>
      <c r="D1616" s="274" t="s">
        <v>353</v>
      </c>
      <c r="E1616" s="274" t="s">
        <v>61</v>
      </c>
      <c r="F1616" s="274">
        <v>331</v>
      </c>
      <c r="G1616" s="274" t="s">
        <v>19</v>
      </c>
      <c r="H1616" s="274" t="s">
        <v>20</v>
      </c>
      <c r="I1616" s="274" t="s">
        <v>21</v>
      </c>
      <c r="J1616" s="274" t="s">
        <v>928</v>
      </c>
      <c r="K1616" s="274" t="s">
        <v>62</v>
      </c>
      <c r="L1616" s="274">
        <v>38</v>
      </c>
      <c r="M1616" s="274" t="s">
        <v>63</v>
      </c>
      <c r="N1616" s="274">
        <v>1255</v>
      </c>
      <c r="O1616" s="274">
        <v>1250</v>
      </c>
      <c r="P1616" s="274">
        <v>6000</v>
      </c>
      <c r="Q1616" s="274">
        <v>2</v>
      </c>
      <c r="R1616" s="274">
        <v>2</v>
      </c>
      <c r="S1616" s="274" t="s">
        <v>354</v>
      </c>
      <c r="T1616" s="274" t="s">
        <v>2369</v>
      </c>
      <c r="U1616" s="274" t="s">
        <v>2770</v>
      </c>
      <c r="V1616" s="274" t="s">
        <v>355</v>
      </c>
      <c r="W1616" s="274" t="s">
        <v>928</v>
      </c>
      <c r="X1616" s="339"/>
    </row>
    <row r="1617" spans="1:24" ht="13.5" x14ac:dyDescent="0.15">
      <c r="A1617" s="274">
        <v>3754077</v>
      </c>
      <c r="B1617" s="274" t="s">
        <v>351</v>
      </c>
      <c r="C1617" s="274" t="s">
        <v>1801</v>
      </c>
      <c r="D1617" s="274" t="s">
        <v>353</v>
      </c>
      <c r="E1617" s="274" t="s">
        <v>668</v>
      </c>
      <c r="F1617" s="274">
        <v>3</v>
      </c>
      <c r="G1617" s="274" t="s">
        <v>19</v>
      </c>
      <c r="H1617" s="274" t="s">
        <v>28</v>
      </c>
      <c r="I1617" s="274" t="s">
        <v>21</v>
      </c>
      <c r="J1617" s="274" t="s">
        <v>928</v>
      </c>
      <c r="K1617" s="274" t="s">
        <v>102</v>
      </c>
      <c r="L1617" s="274">
        <v>50</v>
      </c>
      <c r="M1617" s="274" t="s">
        <v>103</v>
      </c>
      <c r="N1617" s="274">
        <v>1050</v>
      </c>
      <c r="O1617" s="274">
        <v>1040</v>
      </c>
      <c r="P1617" s="274">
        <v>4000</v>
      </c>
      <c r="Q1617" s="274">
        <v>2</v>
      </c>
      <c r="R1617" s="274">
        <v>10</v>
      </c>
      <c r="S1617" s="274" t="s">
        <v>354</v>
      </c>
      <c r="T1617" s="274" t="s">
        <v>2369</v>
      </c>
      <c r="U1617" s="274" t="s">
        <v>2770</v>
      </c>
      <c r="V1617" s="274" t="s">
        <v>355</v>
      </c>
      <c r="W1617" s="274" t="s">
        <v>928</v>
      </c>
      <c r="X1617" s="339"/>
    </row>
    <row r="1618" spans="1:24" ht="13.5" x14ac:dyDescent="0.15">
      <c r="A1618" s="274">
        <v>3754096</v>
      </c>
      <c r="B1618" s="274" t="s">
        <v>351</v>
      </c>
      <c r="C1618" s="274" t="s">
        <v>1806</v>
      </c>
      <c r="D1618" s="274" t="s">
        <v>353</v>
      </c>
      <c r="E1618" s="274" t="s">
        <v>116</v>
      </c>
      <c r="F1618" s="274">
        <v>3</v>
      </c>
      <c r="G1618" s="274" t="s">
        <v>19</v>
      </c>
      <c r="H1618" s="274" t="s">
        <v>20</v>
      </c>
      <c r="I1618" s="274" t="s">
        <v>143</v>
      </c>
      <c r="J1618" s="274" t="s">
        <v>928</v>
      </c>
      <c r="K1618" s="274" t="s">
        <v>144</v>
      </c>
      <c r="L1618" s="274">
        <v>50</v>
      </c>
      <c r="M1618" s="274" t="s">
        <v>145</v>
      </c>
      <c r="N1618" s="274">
        <v>1005</v>
      </c>
      <c r="O1618" s="274">
        <v>1000</v>
      </c>
      <c r="P1618" s="274">
        <v>4000</v>
      </c>
      <c r="Q1618" s="274">
        <v>2</v>
      </c>
      <c r="R1618" s="274">
        <v>9</v>
      </c>
      <c r="S1618" s="274" t="s">
        <v>354</v>
      </c>
      <c r="T1618" s="274" t="s">
        <v>2369</v>
      </c>
      <c r="U1618" s="274" t="s">
        <v>2774</v>
      </c>
      <c r="V1618" s="274" t="s">
        <v>355</v>
      </c>
      <c r="W1618" s="274" t="s">
        <v>928</v>
      </c>
      <c r="X1618" s="339"/>
    </row>
    <row r="1619" spans="1:24" ht="13.5" x14ac:dyDescent="0.15">
      <c r="A1619" s="330" t="s">
        <v>1519</v>
      </c>
      <c r="B1619" s="330" t="s">
        <v>1492</v>
      </c>
      <c r="C1619" s="330" t="s">
        <v>1486</v>
      </c>
      <c r="D1619" s="330" t="s">
        <v>1473</v>
      </c>
      <c r="E1619" s="330" t="s">
        <v>1520</v>
      </c>
      <c r="F1619" s="332">
        <v>3</v>
      </c>
      <c r="G1619" s="330" t="s">
        <v>265</v>
      </c>
      <c r="H1619" s="330" t="s">
        <v>28</v>
      </c>
      <c r="I1619" s="330" t="s">
        <v>132</v>
      </c>
      <c r="J1619" s="330" t="s">
        <v>1475</v>
      </c>
      <c r="K1619" s="330" t="s">
        <v>1521</v>
      </c>
      <c r="L1619" s="330">
        <v>75</v>
      </c>
      <c r="M1619" s="330" t="s">
        <v>1522</v>
      </c>
      <c r="N1619" s="330">
        <v>1400</v>
      </c>
      <c r="O1619" s="330">
        <v>1400</v>
      </c>
      <c r="P1619" s="330">
        <v>6000</v>
      </c>
      <c r="Q1619" s="330">
        <v>2</v>
      </c>
      <c r="R1619" s="330">
        <v>22</v>
      </c>
      <c r="S1619" s="330" t="s">
        <v>1477</v>
      </c>
      <c r="T1619" s="330" t="s">
        <v>1478</v>
      </c>
      <c r="U1619" s="330" t="s">
        <v>1513</v>
      </c>
      <c r="V1619" s="330" t="s">
        <v>1480</v>
      </c>
      <c r="W1619" s="330" t="s">
        <v>1481</v>
      </c>
      <c r="X1619" s="330" t="s">
        <v>1482</v>
      </c>
    </row>
    <row r="1620" spans="1:24" ht="13.5" x14ac:dyDescent="0.15">
      <c r="A1620" s="330" t="s">
        <v>1523</v>
      </c>
      <c r="B1620" s="330" t="s">
        <v>1492</v>
      </c>
      <c r="C1620" s="330" t="s">
        <v>1486</v>
      </c>
      <c r="D1620" s="330" t="s">
        <v>1473</v>
      </c>
      <c r="E1620" s="330" t="s">
        <v>1520</v>
      </c>
      <c r="F1620" s="332">
        <v>3</v>
      </c>
      <c r="G1620" s="330" t="s">
        <v>265</v>
      </c>
      <c r="H1620" s="330" t="s">
        <v>28</v>
      </c>
      <c r="I1620" s="330" t="s">
        <v>132</v>
      </c>
      <c r="J1620" s="330" t="s">
        <v>1475</v>
      </c>
      <c r="K1620" s="330" t="s">
        <v>1437</v>
      </c>
      <c r="L1620" s="330">
        <v>75</v>
      </c>
      <c r="M1620" s="330" t="s">
        <v>1522</v>
      </c>
      <c r="N1620" s="330">
        <v>685</v>
      </c>
      <c r="O1620" s="330">
        <v>685</v>
      </c>
      <c r="P1620" s="330">
        <v>6000</v>
      </c>
      <c r="Q1620" s="330">
        <v>2</v>
      </c>
      <c r="R1620" s="330">
        <v>36</v>
      </c>
      <c r="S1620" s="330" t="s">
        <v>1477</v>
      </c>
      <c r="T1620" s="330" t="s">
        <v>1478</v>
      </c>
      <c r="U1620" s="330" t="s">
        <v>1513</v>
      </c>
      <c r="V1620" s="330" t="s">
        <v>1480</v>
      </c>
      <c r="W1620" s="330" t="s">
        <v>1481</v>
      </c>
      <c r="X1620" s="330" t="s">
        <v>1482</v>
      </c>
    </row>
  </sheetData>
  <autoFilter ref="A2:X760" xr:uid="{00000000-0009-0000-0000-000001000000}"/>
  <sortState xmlns:xlrd2="http://schemas.microsoft.com/office/spreadsheetml/2017/richdata2" ref="A3:Y1620">
    <sortCondition ref="Y2"/>
  </sortState>
  <phoneticPr fontId="20"/>
  <conditionalFormatting sqref="A443:X552 J564:O576 J553:X563 A553:I576 Q564:X768 P564:P1170 A577:O768">
    <cfRule type="expression" dxfId="11" priority="28">
      <formula>IF($Z443="","",$Z443&gt;$R443)</formula>
    </cfRule>
    <cfRule type="expression" dxfId="10" priority="29">
      <formula>IF($Z443="","",$Z443&lt;$R443)</formula>
    </cfRule>
    <cfRule type="expression" dxfId="9" priority="30">
      <formula>IF($Z443="","",$R443=$Z443)</formula>
    </cfRule>
  </conditionalFormatting>
  <conditionalFormatting sqref="A291:X413 A415:X442 W414:X414">
    <cfRule type="expression" dxfId="8" priority="7">
      <formula>IF($Z291="","",$Z291&gt;$R291)</formula>
    </cfRule>
    <cfRule type="expression" dxfId="7" priority="8">
      <formula>IF($Z291="","",$R291=$Z291)</formula>
    </cfRule>
    <cfRule type="expression" dxfId="6" priority="9">
      <formula>IF($Z291="","",$Z291&lt;$R291)</formula>
    </cfRule>
  </conditionalFormatting>
  <conditionalFormatting sqref="A3:X290">
    <cfRule type="expression" dxfId="5" priority="4">
      <formula>IF($Z3="","",$Z3&gt;$R3)</formula>
    </cfRule>
    <cfRule type="expression" dxfId="4" priority="5">
      <formula>IF($Z3="","",$R3=$Z3)</formula>
    </cfRule>
    <cfRule type="expression" dxfId="3" priority="6">
      <formula>IF($Z3="","",$Z3&lt;$R3)</formula>
    </cfRule>
  </conditionalFormatting>
  <conditionalFormatting sqref="A414:V414">
    <cfRule type="expression" dxfId="2" priority="1">
      <formula>IF($Z414="","",$Z414&gt;$R414)</formula>
    </cfRule>
    <cfRule type="expression" dxfId="1" priority="2">
      <formula>IF($Z414="","",$R414=$Z414)</formula>
    </cfRule>
    <cfRule type="expression" dxfId="0" priority="3">
      <formula>IF($Z414="","",$Z414&lt;$R414)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S2041"/>
  <sheetViews>
    <sheetView showZeros="0" tabSelected="1" zoomScale="60" zoomScaleNormal="60" zoomScaleSheetLayoutView="40" workbookViewId="0">
      <pane xSplit="16" ySplit="4" topLeftCell="Q1910" activePane="bottomRight" state="frozen"/>
      <selection activeCell="AH1917" sqref="AH1917"/>
      <selection pane="topRight" activeCell="AH1917" sqref="AH1917"/>
      <selection pane="bottomLeft" activeCell="AH1917" sqref="AH1917"/>
      <selection pane="bottomRight" activeCell="I1914" sqref="I1914"/>
    </sheetView>
  </sheetViews>
  <sheetFormatPr defaultColWidth="0.125" defaultRowHeight="21" x14ac:dyDescent="0.2"/>
  <cols>
    <col min="1" max="1" width="9" style="1" customWidth="1"/>
    <col min="2" max="2" width="5.25" style="1" customWidth="1"/>
    <col min="3" max="3" width="6.875" style="3" hidden="1" customWidth="1"/>
    <col min="4" max="4" width="12.875" style="1" bestFit="1" customWidth="1"/>
    <col min="5" max="5" width="15.75" style="1" customWidth="1"/>
    <col min="6" max="6" width="31.75" style="4" hidden="1" customWidth="1"/>
    <col min="7" max="7" width="7.375" style="5" customWidth="1"/>
    <col min="8" max="8" width="13.875" style="5" customWidth="1"/>
    <col min="9" max="9" width="64.875" style="1" customWidth="1"/>
    <col min="10" max="10" width="18.125" style="201" customWidth="1"/>
    <col min="11" max="11" width="7" style="1" bestFit="1" customWidth="1"/>
    <col min="12" max="12" width="20.125" style="1" customWidth="1"/>
    <col min="13" max="13" width="9.75" style="6" customWidth="1"/>
    <col min="14" max="14" width="11.125" style="6" bestFit="1" customWidth="1"/>
    <col min="15" max="16" width="7" style="1" bestFit="1" customWidth="1"/>
    <col min="17" max="17" width="10.75" style="1" bestFit="1" customWidth="1"/>
    <col min="18" max="18" width="9.75" style="21" bestFit="1" customWidth="1"/>
    <col min="19" max="19" width="12.25" style="21" bestFit="1" customWidth="1"/>
    <col min="20" max="20" width="11.125" style="21" customWidth="1"/>
    <col min="21" max="21" width="7" style="7" bestFit="1" customWidth="1"/>
    <col min="22" max="22" width="7" style="7" customWidth="1"/>
    <col min="23" max="23" width="14.125" style="5" bestFit="1" customWidth="1"/>
    <col min="24" max="24" width="10.75" style="5" bestFit="1" customWidth="1"/>
    <col min="25" max="25" width="4.75" style="7" bestFit="1" customWidth="1"/>
    <col min="26" max="26" width="30.75" style="5" bestFit="1" customWidth="1"/>
    <col min="27" max="27" width="9.625" style="1" bestFit="1" customWidth="1"/>
    <col min="28" max="30" width="18.625" style="1" customWidth="1"/>
    <col min="31" max="31" width="15.125" style="1" customWidth="1"/>
    <col min="32" max="33" width="16.75" style="1" customWidth="1"/>
    <col min="34" max="34" width="15.875" style="1" customWidth="1"/>
    <col min="35" max="35" width="12.625" style="11" bestFit="1" customWidth="1"/>
    <col min="36" max="37" width="9.75" style="11" customWidth="1"/>
    <col min="38" max="38" width="14.5" style="11" customWidth="1"/>
    <col min="39" max="43" width="12.875" style="12" hidden="1" customWidth="1"/>
    <col min="44" max="44" width="12.875" style="13" hidden="1" customWidth="1"/>
    <col min="45" max="45" width="12.875" style="14" hidden="1" customWidth="1"/>
    <col min="46" max="46" width="15.375" style="1" customWidth="1"/>
    <col min="47" max="16384" width="0.125" style="1"/>
  </cols>
  <sheetData>
    <row r="1" spans="1:45" ht="29.25" thickBot="1" x14ac:dyDescent="0.35">
      <c r="A1" s="2"/>
      <c r="F1" s="56" t="s">
        <v>379</v>
      </c>
      <c r="Q1" s="49"/>
      <c r="R1" s="1"/>
      <c r="S1" s="1"/>
      <c r="T1" s="1"/>
      <c r="AA1" s="8"/>
      <c r="AB1" s="9" t="s">
        <v>380</v>
      </c>
      <c r="AC1" s="9" t="s">
        <v>381</v>
      </c>
      <c r="AD1" s="10" t="s">
        <v>382</v>
      </c>
      <c r="AE1" s="49"/>
    </row>
    <row r="2" spans="1:45" ht="112.5" customHeight="1" thickBot="1" x14ac:dyDescent="0.35">
      <c r="A2" s="15" t="s">
        <v>383</v>
      </c>
      <c r="I2" s="16" t="s">
        <v>384</v>
      </c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AA2" s="17"/>
      <c r="AB2" s="18"/>
      <c r="AC2" s="18"/>
      <c r="AD2" s="19"/>
      <c r="AH2" s="20"/>
      <c r="AM2" s="12" t="s">
        <v>385</v>
      </c>
      <c r="AN2" s="12" t="s">
        <v>386</v>
      </c>
      <c r="AO2" s="12" t="s">
        <v>387</v>
      </c>
      <c r="AP2" s="12" t="s">
        <v>388</v>
      </c>
      <c r="AQ2" s="12" t="s">
        <v>389</v>
      </c>
      <c r="AR2" s="13" t="s">
        <v>390</v>
      </c>
      <c r="AS2" s="14" t="s">
        <v>391</v>
      </c>
    </row>
    <row r="3" spans="1:45" ht="18" customHeight="1" thickBot="1" x14ac:dyDescent="0.25"/>
    <row r="4" spans="1:45" ht="52.5" thickBot="1" x14ac:dyDescent="0.25">
      <c r="A4" s="179" t="s">
        <v>392</v>
      </c>
      <c r="B4" s="180" t="s">
        <v>393</v>
      </c>
      <c r="C4" s="181" t="s">
        <v>394</v>
      </c>
      <c r="D4" s="165" t="s">
        <v>395</v>
      </c>
      <c r="E4" s="165" t="s">
        <v>396</v>
      </c>
      <c r="F4" s="166" t="s">
        <v>397</v>
      </c>
      <c r="G4" s="167" t="s">
        <v>456</v>
      </c>
      <c r="H4" s="162" t="s">
        <v>399</v>
      </c>
      <c r="I4" s="168" t="s">
        <v>400</v>
      </c>
      <c r="J4" s="202"/>
      <c r="K4" s="162" t="s">
        <v>401</v>
      </c>
      <c r="L4" s="163" t="s">
        <v>402</v>
      </c>
      <c r="M4" s="172" t="s">
        <v>403</v>
      </c>
      <c r="N4" s="155" t="s">
        <v>404</v>
      </c>
      <c r="O4" s="156" t="s">
        <v>455</v>
      </c>
      <c r="P4" s="157" t="s">
        <v>454</v>
      </c>
      <c r="Q4" s="158" t="s">
        <v>481</v>
      </c>
      <c r="R4" s="159" t="s">
        <v>406</v>
      </c>
      <c r="S4" s="160" t="s">
        <v>407</v>
      </c>
      <c r="T4" s="229" t="s">
        <v>408</v>
      </c>
      <c r="U4" s="161" t="s">
        <v>409</v>
      </c>
      <c r="V4" s="161" t="s">
        <v>488</v>
      </c>
      <c r="W4" s="162" t="s">
        <v>410</v>
      </c>
      <c r="X4" s="163" t="s">
        <v>411</v>
      </c>
      <c r="Y4" s="161" t="s">
        <v>412</v>
      </c>
      <c r="Z4" s="162" t="s">
        <v>413</v>
      </c>
      <c r="AA4" s="158" t="s">
        <v>482</v>
      </c>
      <c r="AB4" s="168" t="s">
        <v>414</v>
      </c>
      <c r="AC4" s="182"/>
      <c r="AD4" s="183"/>
      <c r="AE4" s="50"/>
      <c r="AF4" s="23" t="s">
        <v>415</v>
      </c>
      <c r="AG4" s="208"/>
      <c r="AH4" s="42" t="s">
        <v>416</v>
      </c>
      <c r="AI4" s="24"/>
      <c r="AJ4" s="24"/>
      <c r="AK4" s="24"/>
      <c r="AL4" s="24"/>
      <c r="AM4" s="25"/>
      <c r="AN4" s="25"/>
      <c r="AO4" s="25"/>
      <c r="AP4" s="25"/>
      <c r="AQ4" s="25"/>
      <c r="AR4" s="26"/>
      <c r="AS4" s="27"/>
    </row>
    <row r="5" spans="1:45" s="16" customFormat="1" ht="30.95" hidden="1" customHeight="1" x14ac:dyDescent="0.2">
      <c r="A5" s="35" t="s">
        <v>740</v>
      </c>
      <c r="B5" s="36" t="s">
        <v>748</v>
      </c>
      <c r="C5" s="43"/>
      <c r="D5" s="29"/>
      <c r="E5" s="29"/>
      <c r="F5" s="255" t="str">
        <f>IF(D5="","",VLOOKUP(D5,契約台帳!$A$3:$K$4986,6,FALSE)&amp;VLOOKUP(D5,契約台帳!$A$3:$K$4986,7,FALSE)&amp;VLOOKUP(D5,契約台帳!$A$3:$K$4986,8,FALSE)&amp;VLOOKUP(D5,契約台帳!$A$3:$K$4986,9,FALSE)&amp;VLOOKUP(D5,契約台帳!$A$3:$K$4986,11,FALSE))</f>
        <v/>
      </c>
      <c r="G5" s="256" t="str">
        <f>IF(D5="","",VLOOKUP(F5,製品マスタ!$G$5:$H$4999,2,FALSE))</f>
        <v/>
      </c>
      <c r="H5" s="256" t="str">
        <f>IF(D5="","",VLOOKUP(F5,製品マスタ!$G$5:$K$4999,5,FALSE))</f>
        <v/>
      </c>
      <c r="I5" s="200" t="str">
        <f>IF(D5="","",VLOOKUP(F5,製品マスタ!$G$5:$L$4999,6,FALSE))</f>
        <v/>
      </c>
      <c r="J5" s="203" t="s">
        <v>448</v>
      </c>
      <c r="K5" s="200" t="str">
        <f>IF(D5="","",VLOOKUP(D5,契約台帳!$A$3:$L$4986,12,FALSE))</f>
        <v/>
      </c>
      <c r="L5" s="200" t="str">
        <f>IF(D5="","",INDEX(製品マスタ!$Q$5:$Q$4999,MATCH('S4'!F5&amp;'S4'!K5,製品マスタ!$AO$5:$AO$4999,0)))</f>
        <v/>
      </c>
      <c r="M5" s="37"/>
      <c r="N5" s="37"/>
      <c r="O5" s="153"/>
      <c r="P5" s="45"/>
      <c r="Q5" s="54"/>
      <c r="R5" s="257" t="str">
        <f ca="1">IF(D5="","",IF(OFFSET(D5,-1,0)&lt;&gt;"","",IF(OR(J5="リード付け",J5="巻足し",J5="巻返しリード付け"),M5,VLOOKUP(D5,契約台帳!$A$3:$N$4986,14,FALSE))))</f>
        <v/>
      </c>
      <c r="S5" s="258" t="str">
        <f ca="1">IF(D5="","",IF(OFFSET(D5,-1,0)&lt;&gt;"","",IF(OR(J5="リード付け",J5="巻足し",J5="巻返しリード付け"),M5,VLOOKUP(D5,契約台帳!$A$3:$O$4986,15,FALSE))))</f>
        <v/>
      </c>
      <c r="T5" s="258" t="str">
        <f ca="1">IF(D5="","",IF(J5="リード付け",N5,IF(J5="巻返しリード付け",N5,IF(J5="巻足し",N5*P5+OFFSET(N5,1,0)*OFFSET(P5,1,0),VLOOKUP(D5,契約台帳!$A$3:$P$4986,16,FALSE)))))</f>
        <v/>
      </c>
      <c r="U5" s="38"/>
      <c r="V5" s="259" t="str">
        <f ca="1">IF(D5="","",IF(OFFSET(D5,-2,0)=D5,"",VLOOKUP(D5,契約台帳!$A$3:$R$4986,18,FALSE)))</f>
        <v/>
      </c>
      <c r="W5" s="256" t="str">
        <f>IF(D5="","",IF(T5="","",IF(OR(J5="巻足し",J5="巻返しリード付け"),"",IF(J5="巻返し",VLOOKUP(F5&amp;K5&amp;M5,製品マスタ!$M$5:$AD$4999,18,FALSE),IF(OR(J5="リード付け",J5="巻返しリード付け"),"原反コア",IF(J5="スリット",VLOOKUP(F5&amp;K5&amp;R5,製品マスタ!$N$5:$AD$4999,17,FALSE),""))))))</f>
        <v/>
      </c>
      <c r="X5" s="256" t="str">
        <f>IF(D5="","",IF(T5="","",IF(J5="巻足し","",IF(J5="巻返し",VLOOKUP(F5&amp;K5&amp;M5,製品マスタ!$M$5:$AE$4999,19,FALSE),IF(OR(J5="リード付け",J5="巻返しリード付け"),"",IF(J5="スリット",VLOOKUP(F5&amp;K5&amp;R5,製品マスタ!$N$5:$AE$4999,18,FALSE),""))))))</f>
        <v/>
      </c>
      <c r="Y5" s="256" t="str">
        <f>IF(D5="","",IF(T5="","",VLOOKUP(D5,契約台帳!$A$3:$Q$4986,17,FALSE)))</f>
        <v/>
      </c>
      <c r="Z5" s="256" t="str">
        <f>IF(D5="","",IF(T5="","",VLOOKUP(D5,契約台帳!$A$3:$E$4986,5,FALSE)))</f>
        <v/>
      </c>
      <c r="AA5" s="54"/>
      <c r="AB5" s="200" t="str">
        <f>IFERROR((VLOOKUP(F5&amp;K5&amp;M5,製品マスタ!$M$5:$AM$4999,27,FALSE)),"")</f>
        <v/>
      </c>
      <c r="AC5" s="31"/>
      <c r="AD5" s="184"/>
      <c r="AE5" s="51"/>
      <c r="AF5" s="52"/>
      <c r="AG5" s="41"/>
      <c r="AH5" s="45"/>
      <c r="AI5" s="28"/>
      <c r="AJ5" s="28"/>
      <c r="AK5" s="28"/>
      <c r="AL5" s="28"/>
      <c r="AM5" s="12"/>
      <c r="AN5" s="12"/>
      <c r="AO5" s="12"/>
      <c r="AP5" s="12"/>
      <c r="AQ5" s="12"/>
      <c r="AR5" s="13"/>
      <c r="AS5" s="14"/>
    </row>
    <row r="6" spans="1:45" s="16" customFormat="1" ht="30.95" hidden="1" customHeight="1" x14ac:dyDescent="0.2">
      <c r="A6" s="35"/>
      <c r="B6" s="36"/>
      <c r="C6" s="43"/>
      <c r="D6" s="29"/>
      <c r="E6" s="29"/>
      <c r="F6" s="255" t="str">
        <f>IF(D6="","",VLOOKUP(D6,契約台帳!$A$3:$K$4986,6,FALSE)&amp;VLOOKUP(D6,契約台帳!$A$3:$K$4986,7,FALSE)&amp;VLOOKUP(D6,契約台帳!$A$3:$K$4986,8,FALSE)&amp;VLOOKUP(D6,契約台帳!$A$3:$K$4986,9,FALSE)&amp;VLOOKUP(D6,契約台帳!$A$3:$K$4986,11,FALSE))</f>
        <v/>
      </c>
      <c r="G6" s="256" t="str">
        <f>IF(D6="","",VLOOKUP(F6,製品マスタ!$G$5:$H$4999,2,FALSE))</f>
        <v/>
      </c>
      <c r="H6" s="256" t="str">
        <f>IF(D6="","",VLOOKUP(F6,製品マスタ!$G$5:$K$4999,5,FALSE))</f>
        <v/>
      </c>
      <c r="I6" s="200" t="str">
        <f>IF(D6="","",VLOOKUP(F6,製品マスタ!$G$5:$L$4999,6,FALSE))</f>
        <v/>
      </c>
      <c r="J6" s="203"/>
      <c r="K6" s="200" t="str">
        <f>IF(D6="","",VLOOKUP(D6,契約台帳!$A$3:$L$4986,12,FALSE))</f>
        <v/>
      </c>
      <c r="L6" s="200" t="str">
        <f>IF(D6="","",INDEX(製品マスタ!$Q$5:$Q$4999,MATCH('S4'!F6&amp;'S4'!K6,製品マスタ!$AO$5:$AO$4999,0)))</f>
        <v/>
      </c>
      <c r="M6" s="37"/>
      <c r="N6" s="37"/>
      <c r="O6" s="153"/>
      <c r="P6" s="45"/>
      <c r="Q6" s="54"/>
      <c r="R6" s="257" t="str">
        <f ca="1">IF(D6="","",IF(OFFSET(D6,-1,0)&lt;&gt;"","",IF(OR(J6="リード付け",J6="巻足し",J6="巻返しリード付け"),M6,VLOOKUP(D6,契約台帳!$A$3:$N$4986,14,FALSE))))</f>
        <v/>
      </c>
      <c r="S6" s="258" t="str">
        <f ca="1">IF(D6="","",IF(OFFSET(D6,-1,0)&lt;&gt;"","",IF(OR(J6="リード付け",J6="巻足し",J6="巻返しリード付け"),M6,VLOOKUP(D6,契約台帳!$A$3:$O$4986,15,FALSE))))</f>
        <v/>
      </c>
      <c r="T6" s="258" t="str">
        <f ca="1">IF(D6="","",IF(J6="リード付け",N6,IF(J6="巻返しリード付け",N6,IF(J6="巻足し",N6*P6+OFFSET(N6,1,0)*OFFSET(P6,1,0),VLOOKUP(D6,契約台帳!$A$3:$P$4986,16,FALSE)))))</f>
        <v/>
      </c>
      <c r="U6" s="38"/>
      <c r="V6" s="259" t="str">
        <f ca="1">IF(D6="","",IF(OFFSET(D6,-2,0)=D6,"",VLOOKUP(D6,契約台帳!$A$3:$R$4986,18,FALSE)))</f>
        <v/>
      </c>
      <c r="W6" s="256" t="str">
        <f>IF(D6="","",IF(T6="","",IF(OR(J6="巻足し",J6="巻返しリード付け"),"",IF(J6="巻返し",VLOOKUP(F6&amp;K6&amp;M6,製品マスタ!$M$5:$AD$4999,18,FALSE),IF(OR(J6="リード付け",J6="巻返しリード付け"),"原反コア",IF(J6="スリット",VLOOKUP(F6&amp;K6&amp;R6,製品マスタ!$N$5:$AD$4999,17,FALSE),""))))))</f>
        <v/>
      </c>
      <c r="X6" s="256" t="str">
        <f>IF(D6="","",IF(T6="","",IF(J6="巻足し","",IF(J6="巻返し",VLOOKUP(F6&amp;K6&amp;M6,製品マスタ!$M$5:$AE$4999,19,FALSE),IF(OR(J6="リード付け",J6="巻返しリード付け"),"",IF(J6="スリット",VLOOKUP(F6&amp;K6&amp;R6,製品マスタ!$N$5:$AE$4999,18,FALSE),""))))))</f>
        <v/>
      </c>
      <c r="Y6" s="256" t="str">
        <f>IF(D6="","",IF(T6="","",VLOOKUP(D6,契約台帳!$A$3:$Q$4986,17,FALSE)))</f>
        <v/>
      </c>
      <c r="Z6" s="256" t="str">
        <f>IF(D6="","",IF(T6="","",VLOOKUP(D6,契約台帳!$A$3:$E$4986,5,FALSE)))</f>
        <v/>
      </c>
      <c r="AA6" s="54"/>
      <c r="AB6" s="200" t="str">
        <f>IFERROR((VLOOKUP(F6&amp;K6&amp;M6,製品マスタ!$M$5:$AM$4999,27,FALSE)),"")</f>
        <v/>
      </c>
      <c r="AC6" s="31"/>
      <c r="AD6" s="184"/>
      <c r="AE6" s="51"/>
      <c r="AF6" s="52"/>
      <c r="AG6" s="41"/>
      <c r="AH6" s="45"/>
      <c r="AI6" s="28"/>
      <c r="AJ6" s="28"/>
      <c r="AK6" s="28"/>
      <c r="AL6" s="28"/>
      <c r="AM6" s="12"/>
      <c r="AN6" s="12"/>
      <c r="AO6" s="12"/>
      <c r="AP6" s="12"/>
      <c r="AQ6" s="12"/>
      <c r="AR6" s="13"/>
      <c r="AS6" s="14"/>
    </row>
    <row r="7" spans="1:45" s="16" customFormat="1" ht="30.95" hidden="1" customHeight="1" x14ac:dyDescent="0.2">
      <c r="A7" s="35" t="s">
        <v>741</v>
      </c>
      <c r="B7" s="36" t="s">
        <v>749</v>
      </c>
      <c r="C7" s="43"/>
      <c r="D7" s="29"/>
      <c r="E7" s="29"/>
      <c r="F7" s="255" t="str">
        <f>IF(D7="","",VLOOKUP(D7,契約台帳!$A$3:$K$4986,6,FALSE)&amp;VLOOKUP(D7,契約台帳!$A$3:$K$4986,7,FALSE)&amp;VLOOKUP(D7,契約台帳!$A$3:$K$4986,8,FALSE)&amp;VLOOKUP(D7,契約台帳!$A$3:$K$4986,9,FALSE)&amp;VLOOKUP(D7,契約台帳!$A$3:$K$4986,11,FALSE))</f>
        <v/>
      </c>
      <c r="G7" s="256" t="str">
        <f>IF(D7="","",VLOOKUP(F7,製品マスタ!$G$5:$H$4999,2,FALSE))</f>
        <v/>
      </c>
      <c r="H7" s="256" t="str">
        <f>IF(D7="","",VLOOKUP(F7,製品マスタ!$G$5:$K$4999,5,FALSE))</f>
        <v/>
      </c>
      <c r="I7" s="200" t="str">
        <f>IF(D7="","",VLOOKUP(F7,製品マスタ!$G$5:$L$4999,6,FALSE))</f>
        <v/>
      </c>
      <c r="J7" s="203" t="s">
        <v>448</v>
      </c>
      <c r="K7" s="200" t="str">
        <f>IF(D7="","",VLOOKUP(D7,契約台帳!$A$3:$L$4986,12,FALSE))</f>
        <v/>
      </c>
      <c r="L7" s="200" t="str">
        <f>IF(D7="","",INDEX(製品マスタ!$Q$5:$Q$4999,MATCH('S4'!F7&amp;'S4'!K7,製品マスタ!$AO$5:$AO$4999,0)))</f>
        <v/>
      </c>
      <c r="M7" s="37"/>
      <c r="N7" s="37"/>
      <c r="O7" s="153"/>
      <c r="P7" s="45"/>
      <c r="Q7" s="54"/>
      <c r="R7" s="257" t="str">
        <f ca="1">IF(D7="","",IF(OFFSET(D7,-1,0)&lt;&gt;"","",IF(OR(J7="リード付け",J7="巻足し",J7="巻返しリード付け"),M7,VLOOKUP(D7,契約台帳!$A$3:$N$4986,14,FALSE))))</f>
        <v/>
      </c>
      <c r="S7" s="258" t="str">
        <f ca="1">IF(D7="","",IF(OFFSET(D7,-1,0)&lt;&gt;"","",IF(OR(J7="リード付け",J7="巻足し",J7="巻返しリード付け"),M7,VLOOKUP(D7,契約台帳!$A$3:$O$4986,15,FALSE))))</f>
        <v/>
      </c>
      <c r="T7" s="258" t="str">
        <f ca="1">IF(D7="","",IF(J7="リード付け",N7,IF(J7="巻返しリード付け",N7,IF(J7="巻足し",N7*P7+OFFSET(N7,1,0)*OFFSET(P7,1,0),VLOOKUP(D7,契約台帳!$A$3:$P$4986,16,FALSE)))))</f>
        <v/>
      </c>
      <c r="U7" s="38"/>
      <c r="V7" s="259" t="str">
        <f ca="1">IF(D7="","",IF(OFFSET(D7,-2,0)=D7,"",VLOOKUP(D7,契約台帳!$A$3:$R$4986,18,FALSE)))</f>
        <v/>
      </c>
      <c r="W7" s="256" t="str">
        <f>IF(D7="","",IF(T7="","",IF(OR(J7="巻足し",J7="巻返しリード付け"),"",IF(J7="巻返し",VLOOKUP(F7&amp;K7&amp;M7,製品マスタ!$M$5:$AD$4999,18,FALSE),IF(OR(J7="リード付け",J7="巻返しリード付け"),"原反コア",IF(J7="スリット",VLOOKUP(F7&amp;K7&amp;R7,製品マスタ!$N$5:$AD$4999,17,FALSE),""))))))</f>
        <v/>
      </c>
      <c r="X7" s="256" t="str">
        <f>IF(D7="","",IF(T7="","",IF(J7="巻足し","",IF(J7="巻返し",VLOOKUP(F7&amp;K7&amp;M7,製品マスタ!$M$5:$AE$4999,19,FALSE),IF(OR(J7="リード付け",J7="巻返しリード付け"),"",IF(J7="スリット",VLOOKUP(F7&amp;K7&amp;R7,製品マスタ!$N$5:$AE$4999,18,FALSE),""))))))</f>
        <v/>
      </c>
      <c r="Y7" s="256" t="str">
        <f>IF(D7="","",IF(T7="","",VLOOKUP(D7,契約台帳!$A$3:$Q$4986,17,FALSE)))</f>
        <v/>
      </c>
      <c r="Z7" s="256" t="str">
        <f>IF(D7="","",IF(T7="","",VLOOKUP(D7,契約台帳!$A$3:$E$4986,5,FALSE)))</f>
        <v/>
      </c>
      <c r="AA7" s="54"/>
      <c r="AB7" s="200" t="str">
        <f>IFERROR((VLOOKUP(F7&amp;K7&amp;M7,製品マスタ!$M$5:$AM$4999,27,FALSE)),"")</f>
        <v/>
      </c>
      <c r="AC7" s="31"/>
      <c r="AD7" s="184"/>
      <c r="AE7" s="51"/>
      <c r="AF7" s="52"/>
      <c r="AG7" s="41"/>
      <c r="AH7" s="45"/>
      <c r="AI7" s="28"/>
      <c r="AJ7" s="28"/>
      <c r="AK7" s="28"/>
      <c r="AL7" s="28"/>
      <c r="AM7" s="12"/>
      <c r="AN7" s="12"/>
      <c r="AO7" s="12"/>
      <c r="AP7" s="12"/>
      <c r="AQ7" s="12"/>
      <c r="AR7" s="13"/>
      <c r="AS7" s="14"/>
    </row>
    <row r="8" spans="1:45" s="16" customFormat="1" ht="30.95" hidden="1" customHeight="1" x14ac:dyDescent="0.2">
      <c r="A8" s="35"/>
      <c r="B8" s="36"/>
      <c r="C8" s="43"/>
      <c r="D8" s="29"/>
      <c r="E8" s="29"/>
      <c r="F8" s="255" t="str">
        <f>IF(D8="","",VLOOKUP(D8,契約台帳!$A$3:$K$4986,6,FALSE)&amp;VLOOKUP(D8,契約台帳!$A$3:$K$4986,7,FALSE)&amp;VLOOKUP(D8,契約台帳!$A$3:$K$4986,8,FALSE)&amp;VLOOKUP(D8,契約台帳!$A$3:$K$4986,9,FALSE)&amp;VLOOKUP(D8,契約台帳!$A$3:$K$4986,11,FALSE))</f>
        <v/>
      </c>
      <c r="G8" s="256" t="str">
        <f>IF(D8="","",VLOOKUP(F8,製品マスタ!$G$5:$H$4999,2,FALSE))</f>
        <v/>
      </c>
      <c r="H8" s="256" t="str">
        <f>IF(D8="","",VLOOKUP(F8,製品マスタ!$G$5:$K$4999,5,FALSE))</f>
        <v/>
      </c>
      <c r="I8" s="200" t="str">
        <f>IF(D8="","",VLOOKUP(F8,製品マスタ!$G$5:$L$4999,6,FALSE))</f>
        <v/>
      </c>
      <c r="J8" s="203"/>
      <c r="K8" s="200" t="str">
        <f>IF(D8="","",VLOOKUP(D8,契約台帳!$A$3:$L$4986,12,FALSE))</f>
        <v/>
      </c>
      <c r="L8" s="200" t="str">
        <f>IF(D8="","",INDEX(製品マスタ!$Q$5:$Q$4999,MATCH('S4'!F8&amp;'S4'!K8,製品マスタ!$AO$5:$AO$4999,0)))</f>
        <v/>
      </c>
      <c r="M8" s="37"/>
      <c r="N8" s="37"/>
      <c r="O8" s="153"/>
      <c r="P8" s="45"/>
      <c r="Q8" s="54"/>
      <c r="R8" s="257" t="str">
        <f ca="1">IF(D8="","",IF(OFFSET(D8,-1,0)&lt;&gt;"","",IF(OR(J8="リード付け",J8="巻足し",J8="巻返しリード付け"),M8,VLOOKUP(D8,契約台帳!$A$3:$N$4986,14,FALSE))))</f>
        <v/>
      </c>
      <c r="S8" s="258" t="str">
        <f ca="1">IF(D8="","",IF(OFFSET(D8,-1,0)&lt;&gt;"","",IF(OR(J8="リード付け",J8="巻足し",J8="巻返しリード付け"),M8,VLOOKUP(D8,契約台帳!$A$3:$O$4986,15,FALSE))))</f>
        <v/>
      </c>
      <c r="T8" s="258" t="str">
        <f ca="1">IF(D8="","",IF(J8="リード付け",N8,IF(J8="巻返しリード付け",N8,IF(J8="巻足し",N8*P8+OFFSET(N8,1,0)*OFFSET(P8,1,0),VLOOKUP(D8,契約台帳!$A$3:$P$4986,16,FALSE)))))</f>
        <v/>
      </c>
      <c r="U8" s="38"/>
      <c r="V8" s="259" t="str">
        <f ca="1">IF(D8="","",IF(OFFSET(D8,-2,0)=D8,"",VLOOKUP(D8,契約台帳!$A$3:$R$4986,18,FALSE)))</f>
        <v/>
      </c>
      <c r="W8" s="256" t="str">
        <f>IF(D8="","",IF(T8="","",IF(OR(J8="巻足し",J8="巻返しリード付け"),"",IF(J8="巻返し",VLOOKUP(F8&amp;K8&amp;M8,製品マスタ!$M$5:$AD$4999,18,FALSE),IF(OR(J8="リード付け",J8="巻返しリード付け"),"原反コア",IF(J8="スリット",VLOOKUP(F8&amp;K8&amp;R8,製品マスタ!$N$5:$AD$4999,17,FALSE),""))))))</f>
        <v/>
      </c>
      <c r="X8" s="256" t="str">
        <f>IF(D8="","",IF(T8="","",IF(J8="巻足し","",IF(J8="巻返し",VLOOKUP(F8&amp;K8&amp;M8,製品マスタ!$M$5:$AE$4999,19,FALSE),IF(OR(J8="リード付け",J8="巻返しリード付け"),"",IF(J8="スリット",VLOOKUP(F8&amp;K8&amp;R8,製品マスタ!$N$5:$AE$4999,18,FALSE),""))))))</f>
        <v/>
      </c>
      <c r="Y8" s="256" t="str">
        <f>IF(D8="","",IF(T8="","",VLOOKUP(D8,契約台帳!$A$3:$Q$4986,17,FALSE)))</f>
        <v/>
      </c>
      <c r="Z8" s="256" t="str">
        <f>IF(D8="","",IF(T8="","",VLOOKUP(D8,契約台帳!$A$3:$E$4986,5,FALSE)))</f>
        <v/>
      </c>
      <c r="AA8" s="54"/>
      <c r="AB8" s="200" t="str">
        <f>IFERROR((VLOOKUP(F8&amp;K8&amp;M8,製品マスタ!$M$5:$AM$4999,27,FALSE)),"")</f>
        <v/>
      </c>
      <c r="AC8" s="31"/>
      <c r="AD8" s="184"/>
      <c r="AE8" s="51"/>
      <c r="AF8" s="52"/>
      <c r="AG8" s="41"/>
      <c r="AH8" s="45"/>
      <c r="AI8" s="28"/>
      <c r="AJ8" s="28"/>
      <c r="AK8" s="28"/>
      <c r="AL8" s="28"/>
      <c r="AM8" s="12"/>
      <c r="AN8" s="12"/>
      <c r="AO8" s="12"/>
      <c r="AP8" s="12"/>
      <c r="AQ8" s="12"/>
      <c r="AR8" s="13"/>
      <c r="AS8" s="14"/>
    </row>
    <row r="9" spans="1:45" s="16" customFormat="1" ht="30.95" hidden="1" customHeight="1" x14ac:dyDescent="0.2">
      <c r="A9" s="35" t="s">
        <v>742</v>
      </c>
      <c r="B9" s="36" t="s">
        <v>750</v>
      </c>
      <c r="C9" s="43"/>
      <c r="D9" s="29"/>
      <c r="E9" s="29"/>
      <c r="F9" s="255" t="str">
        <f>IF(D9="","",VLOOKUP(D9,契約台帳!$A$3:$K$4986,6,FALSE)&amp;VLOOKUP(D9,契約台帳!$A$3:$K$4986,7,FALSE)&amp;VLOOKUP(D9,契約台帳!$A$3:$K$4986,8,FALSE)&amp;VLOOKUP(D9,契約台帳!$A$3:$K$4986,9,FALSE)&amp;VLOOKUP(D9,契約台帳!$A$3:$K$4986,11,FALSE))</f>
        <v/>
      </c>
      <c r="G9" s="256" t="str">
        <f>IF(D9="","",VLOOKUP(F9,製品マスタ!$G$5:$H$4999,2,FALSE))</f>
        <v/>
      </c>
      <c r="H9" s="256" t="str">
        <f>IF(D9="","",VLOOKUP(F9,製品マスタ!$G$5:$K$4999,5,FALSE))</f>
        <v/>
      </c>
      <c r="I9" s="200" t="str">
        <f>IF(D9="","",VLOOKUP(F9,製品マスタ!$G$5:$L$4999,6,FALSE))</f>
        <v/>
      </c>
      <c r="J9" s="203" t="s">
        <v>448</v>
      </c>
      <c r="K9" s="200" t="str">
        <f>IF(D9="","",VLOOKUP(D9,契約台帳!$A$3:$L$4986,12,FALSE))</f>
        <v/>
      </c>
      <c r="L9" s="200" t="str">
        <f>IF(D9="","",INDEX(製品マスタ!$Q$5:$Q$4999,MATCH('S4'!F9&amp;'S4'!K9,製品マスタ!$AO$5:$AO$4999,0)))</f>
        <v/>
      </c>
      <c r="M9" s="37"/>
      <c r="N9" s="37"/>
      <c r="O9" s="153"/>
      <c r="P9" s="45"/>
      <c r="Q9" s="54"/>
      <c r="R9" s="257" t="str">
        <f ca="1">IF(D9="","",IF(OFFSET(D9,-1,0)&lt;&gt;"","",IF(OR(J9="リード付け",J9="巻足し",J9="巻返しリード付け"),M9,VLOOKUP(D9,契約台帳!$A$3:$N$4986,14,FALSE))))</f>
        <v/>
      </c>
      <c r="S9" s="258" t="str">
        <f ca="1">IF(D9="","",IF(OFFSET(D9,-1,0)&lt;&gt;"","",IF(OR(J9="リード付け",J9="巻足し",J9="巻返しリード付け"),M9,VLOOKUP(D9,契約台帳!$A$3:$O$4986,15,FALSE))))</f>
        <v/>
      </c>
      <c r="T9" s="258" t="str">
        <f ca="1">IF(D9="","",IF(J9="リード付け",N9,IF(J9="巻返しリード付け",N9,IF(J9="巻足し",N9*P9+OFFSET(N9,1,0)*OFFSET(P9,1,0),VLOOKUP(D9,契約台帳!$A$3:$P$4986,16,FALSE)))))</f>
        <v/>
      </c>
      <c r="U9" s="38"/>
      <c r="V9" s="259" t="str">
        <f ca="1">IF(D9="","",IF(OFFSET(D9,-2,0)=D9,"",VLOOKUP(D9,契約台帳!$A$3:$R$4986,18,FALSE)))</f>
        <v/>
      </c>
      <c r="W9" s="256" t="str">
        <f>IF(D9="","",IF(T9="","",IF(OR(J9="巻足し",J9="巻返しリード付け"),"",IF(J9="巻返し",VLOOKUP(F9&amp;K9&amp;M9,製品マスタ!$M$5:$AD$4999,18,FALSE),IF(OR(J9="リード付け",J9="巻返しリード付け"),"原反コア",IF(J9="スリット",VLOOKUP(F9&amp;K9&amp;R9,製品マスタ!$N$5:$AD$4999,17,FALSE),""))))))</f>
        <v/>
      </c>
      <c r="X9" s="256" t="str">
        <f>IF(D9="","",IF(T9="","",IF(J9="巻足し","",IF(J9="巻返し",VLOOKUP(F9&amp;K9&amp;M9,製品マスタ!$M$5:$AE$4999,19,FALSE),IF(OR(J9="リード付け",J9="巻返しリード付け"),"",IF(J9="スリット",VLOOKUP(F9&amp;K9&amp;R9,製品マスタ!$N$5:$AE$4999,18,FALSE),""))))))</f>
        <v/>
      </c>
      <c r="Y9" s="256" t="str">
        <f>IF(D9="","",IF(T9="","",VLOOKUP(D9,契約台帳!$A$3:$Q$4986,17,FALSE)))</f>
        <v/>
      </c>
      <c r="Z9" s="256" t="str">
        <f>IF(D9="","",IF(T9="","",VLOOKUP(D9,契約台帳!$A$3:$E$4986,5,FALSE)))</f>
        <v/>
      </c>
      <c r="AA9" s="54"/>
      <c r="AB9" s="200" t="str">
        <f>IFERROR((VLOOKUP(F9&amp;K9&amp;M9,製品マスタ!$M$5:$AM$4999,27,FALSE)),"")</f>
        <v/>
      </c>
      <c r="AC9" s="31"/>
      <c r="AD9" s="184"/>
      <c r="AE9" s="51"/>
      <c r="AF9" s="52"/>
      <c r="AG9" s="41"/>
      <c r="AH9" s="45"/>
      <c r="AI9" s="28"/>
      <c r="AJ9" s="28"/>
      <c r="AK9" s="28"/>
      <c r="AL9" s="28"/>
      <c r="AM9" s="12"/>
      <c r="AN9" s="12"/>
      <c r="AO9" s="12"/>
      <c r="AP9" s="12"/>
      <c r="AQ9" s="12"/>
      <c r="AR9" s="13"/>
      <c r="AS9" s="14"/>
    </row>
    <row r="10" spans="1:45" s="16" customFormat="1" ht="30.95" hidden="1" customHeight="1" x14ac:dyDescent="0.2">
      <c r="A10" s="35"/>
      <c r="B10" s="36"/>
      <c r="C10" s="43"/>
      <c r="D10" s="29"/>
      <c r="E10" s="29"/>
      <c r="F10" s="255" t="str">
        <f>IF(D10="","",VLOOKUP(D10,契約台帳!$A$3:$K$4986,6,FALSE)&amp;VLOOKUP(D10,契約台帳!$A$3:$K$4986,7,FALSE)&amp;VLOOKUP(D10,契約台帳!$A$3:$K$4986,8,FALSE)&amp;VLOOKUP(D10,契約台帳!$A$3:$K$4986,9,FALSE)&amp;VLOOKUP(D10,契約台帳!$A$3:$K$4986,11,FALSE))</f>
        <v/>
      </c>
      <c r="G10" s="256" t="str">
        <f>IF(D10="","",VLOOKUP(F10,製品マスタ!$G$5:$H$4999,2,FALSE))</f>
        <v/>
      </c>
      <c r="H10" s="256" t="str">
        <f>IF(D10="","",VLOOKUP(F10,製品マスタ!$G$5:$K$4999,5,FALSE))</f>
        <v/>
      </c>
      <c r="I10" s="200" t="str">
        <f>IF(D10="","",VLOOKUP(F10,製品マスタ!$G$5:$L$4999,6,FALSE))</f>
        <v/>
      </c>
      <c r="J10" s="203"/>
      <c r="K10" s="200" t="str">
        <f>IF(D10="","",VLOOKUP(D10,契約台帳!$A$3:$L$4986,12,FALSE))</f>
        <v/>
      </c>
      <c r="L10" s="200" t="str">
        <f>IF(D10="","",INDEX(製品マスタ!$Q$5:$Q$4999,MATCH('S4'!F10&amp;'S4'!K10,製品マスタ!$AO$5:$AO$4999,0)))</f>
        <v/>
      </c>
      <c r="M10" s="37"/>
      <c r="N10" s="37"/>
      <c r="O10" s="153"/>
      <c r="P10" s="45"/>
      <c r="Q10" s="54"/>
      <c r="R10" s="257" t="str">
        <f ca="1">IF(D10="","",IF(OFFSET(D10,-1,0)&lt;&gt;"","",IF(OR(J10="リード付け",J10="巻足し",J10="巻返しリード付け"),M10,VLOOKUP(D10,契約台帳!$A$3:$N$4986,14,FALSE))))</f>
        <v/>
      </c>
      <c r="S10" s="258" t="str">
        <f ca="1">IF(D10="","",IF(OFFSET(D10,-1,0)&lt;&gt;"","",IF(OR(J10="リード付け",J10="巻足し",J10="巻返しリード付け"),M10,VLOOKUP(D10,契約台帳!$A$3:$O$4986,15,FALSE))))</f>
        <v/>
      </c>
      <c r="T10" s="258" t="str">
        <f ca="1">IF(D10="","",IF(J10="リード付け",N10,IF(J10="巻返しリード付け",N10,IF(J10="巻足し",N10*P10+OFFSET(N10,1,0)*OFFSET(P10,1,0),VLOOKUP(D10,契約台帳!$A$3:$P$4986,16,FALSE)))))</f>
        <v/>
      </c>
      <c r="U10" s="38"/>
      <c r="V10" s="259" t="str">
        <f ca="1">IF(D10="","",IF(OFFSET(D10,-2,0)=D10,"",VLOOKUP(D10,契約台帳!$A$3:$R$4986,18,FALSE)))</f>
        <v/>
      </c>
      <c r="W10" s="256" t="str">
        <f>IF(D10="","",IF(T10="","",IF(OR(J10="巻足し",J10="巻返しリード付け"),"",IF(J10="巻返し",VLOOKUP(F10&amp;K10&amp;M10,製品マスタ!$M$5:$AD$4999,18,FALSE),IF(OR(J10="リード付け",J10="巻返しリード付け"),"原反コア",IF(J10="スリット",VLOOKUP(F10&amp;K10&amp;R10,製品マスタ!$N$5:$AD$4999,17,FALSE),""))))))</f>
        <v/>
      </c>
      <c r="X10" s="256" t="str">
        <f>IF(D10="","",IF(T10="","",IF(J10="巻足し","",IF(J10="巻返し",VLOOKUP(F10&amp;K10&amp;M10,製品マスタ!$M$5:$AE$4999,19,FALSE),IF(OR(J10="リード付け",J10="巻返しリード付け"),"",IF(J10="スリット",VLOOKUP(F10&amp;K10&amp;R10,製品マスタ!$N$5:$AE$4999,18,FALSE),""))))))</f>
        <v/>
      </c>
      <c r="Y10" s="256" t="str">
        <f>IF(D10="","",IF(T10="","",VLOOKUP(D10,契約台帳!$A$3:$Q$4986,17,FALSE)))</f>
        <v/>
      </c>
      <c r="Z10" s="256" t="str">
        <f>IF(D10="","",IF(T10="","",VLOOKUP(D10,契約台帳!$A$3:$E$4986,5,FALSE)))</f>
        <v/>
      </c>
      <c r="AA10" s="54"/>
      <c r="AB10" s="200" t="str">
        <f>IFERROR((VLOOKUP(F10&amp;K10&amp;M10,製品マスタ!$M$5:$AM$4999,27,FALSE)),"")</f>
        <v/>
      </c>
      <c r="AC10" s="31"/>
      <c r="AD10" s="184"/>
      <c r="AE10" s="51"/>
      <c r="AF10" s="52"/>
      <c r="AG10" s="41"/>
      <c r="AH10" s="45"/>
      <c r="AI10" s="28"/>
      <c r="AJ10" s="28"/>
      <c r="AK10" s="28"/>
      <c r="AL10" s="28"/>
      <c r="AM10" s="12"/>
      <c r="AN10" s="12"/>
      <c r="AO10" s="12"/>
      <c r="AP10" s="12"/>
      <c r="AQ10" s="12"/>
      <c r="AR10" s="13"/>
      <c r="AS10" s="14"/>
    </row>
    <row r="11" spans="1:45" s="16" customFormat="1" ht="30.95" hidden="1" customHeight="1" x14ac:dyDescent="0.2">
      <c r="A11" s="35" t="s">
        <v>743</v>
      </c>
      <c r="B11" s="36" t="s">
        <v>738</v>
      </c>
      <c r="C11" s="43"/>
      <c r="D11" s="29"/>
      <c r="E11" s="29"/>
      <c r="F11" s="255" t="str">
        <f>IF(D11="","",VLOOKUP(D11,契約台帳!$A$3:$K$4986,6,FALSE)&amp;VLOOKUP(D11,契約台帳!$A$3:$K$4986,7,FALSE)&amp;VLOOKUP(D11,契約台帳!$A$3:$K$4986,8,FALSE)&amp;VLOOKUP(D11,契約台帳!$A$3:$K$4986,9,FALSE)&amp;VLOOKUP(D11,契約台帳!$A$3:$K$4986,11,FALSE))</f>
        <v/>
      </c>
      <c r="G11" s="256" t="str">
        <f>IF(D11="","",VLOOKUP(F11,製品マスタ!$G$5:$H$4999,2,FALSE))</f>
        <v/>
      </c>
      <c r="H11" s="256" t="str">
        <f>IF(D11="","",VLOOKUP(F11,製品マスタ!$G$5:$K$4999,5,FALSE))</f>
        <v/>
      </c>
      <c r="I11" s="200" t="str">
        <f>IF(D11="","",VLOOKUP(F11,製品マスタ!$G$5:$L$4999,6,FALSE))</f>
        <v/>
      </c>
      <c r="J11" s="203" t="s">
        <v>448</v>
      </c>
      <c r="K11" s="200" t="str">
        <f>IF(D11="","",VLOOKUP(D11,契約台帳!$A$3:$L$4986,12,FALSE))</f>
        <v/>
      </c>
      <c r="L11" s="200" t="str">
        <f>IF(D11="","",INDEX(製品マスタ!$Q$5:$Q$4999,MATCH('S4'!F11&amp;'S4'!K11,製品マスタ!$AO$5:$AO$4999,0)))</f>
        <v/>
      </c>
      <c r="M11" s="37"/>
      <c r="N11" s="37"/>
      <c r="O11" s="153"/>
      <c r="P11" s="45"/>
      <c r="Q11" s="54"/>
      <c r="R11" s="257" t="str">
        <f ca="1">IF(D11="","",IF(OFFSET(D11,-1,0)&lt;&gt;"","",IF(OR(J11="リード付け",J11="巻足し",J11="巻返しリード付け"),M11,VLOOKUP(D11,契約台帳!$A$3:$N$4986,14,FALSE))))</f>
        <v/>
      </c>
      <c r="S11" s="258" t="str">
        <f ca="1">IF(D11="","",IF(OFFSET(D11,-1,0)&lt;&gt;"","",IF(OR(J11="リード付け",J11="巻足し",J11="巻返しリード付け"),M11,VLOOKUP(D11,契約台帳!$A$3:$O$4986,15,FALSE))))</f>
        <v/>
      </c>
      <c r="T11" s="258" t="str">
        <f ca="1">IF(D11="","",IF(J11="リード付け",N11,IF(J11="巻返しリード付け",N11,IF(J11="巻足し",N11*P11+OFFSET(N11,1,0)*OFFSET(P11,1,0),VLOOKUP(D11,契約台帳!$A$3:$P$4986,16,FALSE)))))</f>
        <v/>
      </c>
      <c r="U11" s="38"/>
      <c r="V11" s="259" t="str">
        <f ca="1">IF(D11="","",IF(OFFSET(D11,-2,0)=D11,"",VLOOKUP(D11,契約台帳!$A$3:$R$4986,18,FALSE)))</f>
        <v/>
      </c>
      <c r="W11" s="256" t="str">
        <f>IF(D11="","",IF(T11="","",IF(OR(J11="巻足し",J11="巻返しリード付け"),"",IF(J11="巻返し",VLOOKUP(F11&amp;K11&amp;M11,製品マスタ!$M$5:$AD$4999,18,FALSE),IF(OR(J11="リード付け",J11="巻返しリード付け"),"原反コア",IF(J11="スリット",VLOOKUP(F11&amp;K11&amp;R11,製品マスタ!$N$5:$AD$4999,17,FALSE),""))))))</f>
        <v/>
      </c>
      <c r="X11" s="256" t="str">
        <f>IF(D11="","",IF(T11="","",IF(J11="巻足し","",IF(J11="巻返し",VLOOKUP(F11&amp;K11&amp;M11,製品マスタ!$M$5:$AE$4999,19,FALSE),IF(OR(J11="リード付け",J11="巻返しリード付け"),"",IF(J11="スリット",VLOOKUP(F11&amp;K11&amp;R11,製品マスタ!$N$5:$AE$4999,18,FALSE),""))))))</f>
        <v/>
      </c>
      <c r="Y11" s="256" t="str">
        <f>IF(D11="","",IF(T11="","",VLOOKUP(D11,契約台帳!$A$3:$Q$4986,17,FALSE)))</f>
        <v/>
      </c>
      <c r="Z11" s="256" t="str">
        <f>IF(D11="","",IF(T11="","",VLOOKUP(D11,契約台帳!$A$3:$E$4986,5,FALSE)))</f>
        <v/>
      </c>
      <c r="AA11" s="54"/>
      <c r="AB11" s="200" t="str">
        <f>IFERROR((VLOOKUP(F11&amp;K11&amp;M11,製品マスタ!$M$5:$AM$4999,27,FALSE)),"")</f>
        <v/>
      </c>
      <c r="AC11" s="31"/>
      <c r="AD11" s="184"/>
      <c r="AE11" s="51"/>
      <c r="AF11" s="52"/>
      <c r="AG11" s="41"/>
      <c r="AH11" s="45"/>
      <c r="AI11" s="28"/>
      <c r="AJ11" s="28"/>
      <c r="AK11" s="28"/>
      <c r="AL11" s="28"/>
      <c r="AM11" s="12"/>
      <c r="AN11" s="12"/>
      <c r="AO11" s="12"/>
      <c r="AP11" s="12"/>
      <c r="AQ11" s="12"/>
      <c r="AR11" s="13"/>
      <c r="AS11" s="14"/>
    </row>
    <row r="12" spans="1:45" s="16" customFormat="1" ht="30.95" hidden="1" customHeight="1" x14ac:dyDescent="0.2">
      <c r="A12" s="35"/>
      <c r="B12" s="36"/>
      <c r="C12" s="43"/>
      <c r="D12" s="29"/>
      <c r="E12" s="29"/>
      <c r="F12" s="255" t="str">
        <f>IF(D12="","",VLOOKUP(D12,契約台帳!$A$3:$K$4986,6,FALSE)&amp;VLOOKUP(D12,契約台帳!$A$3:$K$4986,7,FALSE)&amp;VLOOKUP(D12,契約台帳!$A$3:$K$4986,8,FALSE)&amp;VLOOKUP(D12,契約台帳!$A$3:$K$4986,9,FALSE)&amp;VLOOKUP(D12,契約台帳!$A$3:$K$4986,11,FALSE))</f>
        <v/>
      </c>
      <c r="G12" s="256" t="str">
        <f>IF(D12="","",VLOOKUP(F12,製品マスタ!$G$5:$H$4999,2,FALSE))</f>
        <v/>
      </c>
      <c r="H12" s="256" t="str">
        <f>IF(D12="","",VLOOKUP(F12,製品マスタ!$G$5:$K$4999,5,FALSE))</f>
        <v/>
      </c>
      <c r="I12" s="200" t="str">
        <f>IF(D12="","",VLOOKUP(F12,製品マスタ!$G$5:$L$4999,6,FALSE))</f>
        <v/>
      </c>
      <c r="J12" s="203"/>
      <c r="K12" s="200" t="str">
        <f>IF(D12="","",VLOOKUP(D12,契約台帳!$A$3:$L$4986,12,FALSE))</f>
        <v/>
      </c>
      <c r="L12" s="200" t="str">
        <f>IF(D12="","",INDEX(製品マスタ!$Q$5:$Q$4999,MATCH('S4'!F12&amp;'S4'!K12,製品マスタ!$AO$5:$AO$4999,0)))</f>
        <v/>
      </c>
      <c r="M12" s="37"/>
      <c r="N12" s="37"/>
      <c r="O12" s="153"/>
      <c r="P12" s="45"/>
      <c r="Q12" s="54"/>
      <c r="R12" s="257" t="str">
        <f ca="1">IF(D12="","",IF(OFFSET(D12,-1,0)&lt;&gt;"","",IF(OR(J12="リード付け",J12="巻足し",J12="巻返しリード付け"),M12,VLOOKUP(D12,契約台帳!$A$3:$N$4986,14,FALSE))))</f>
        <v/>
      </c>
      <c r="S12" s="258" t="str">
        <f ca="1">IF(D12="","",IF(OFFSET(D12,-1,0)&lt;&gt;"","",IF(OR(J12="リード付け",J12="巻足し",J12="巻返しリード付け"),M12,VLOOKUP(D12,契約台帳!$A$3:$O$4986,15,FALSE))))</f>
        <v/>
      </c>
      <c r="T12" s="258" t="str">
        <f ca="1">IF(D12="","",IF(J12="リード付け",N12,IF(J12="巻返しリード付け",N12,IF(J12="巻足し",N12*P12+OFFSET(N12,1,0)*OFFSET(P12,1,0),VLOOKUP(D12,契約台帳!$A$3:$P$4986,16,FALSE)))))</f>
        <v/>
      </c>
      <c r="U12" s="38"/>
      <c r="V12" s="259" t="str">
        <f ca="1">IF(D12="","",IF(OFFSET(D12,-2,0)=D12,"",VLOOKUP(D12,契約台帳!$A$3:$R$4986,18,FALSE)))</f>
        <v/>
      </c>
      <c r="W12" s="256" t="str">
        <f>IF(D12="","",IF(T12="","",IF(OR(J12="巻足し",J12="巻返しリード付け"),"",IF(J12="巻返し",VLOOKUP(F12&amp;K12&amp;M12,製品マスタ!$M$5:$AD$4999,18,FALSE),IF(OR(J12="リード付け",J12="巻返しリード付け"),"原反コア",IF(J12="スリット",VLOOKUP(F12&amp;K12&amp;R12,製品マスタ!$N$5:$AD$4999,17,FALSE),""))))))</f>
        <v/>
      </c>
      <c r="X12" s="256" t="str">
        <f>IF(D12="","",IF(T12="","",IF(J12="巻足し","",IF(J12="巻返し",VLOOKUP(F12&amp;K12&amp;M12,製品マスタ!$M$5:$AE$4999,19,FALSE),IF(OR(J12="リード付け",J12="巻返しリード付け"),"",IF(J12="スリット",VLOOKUP(F12&amp;K12&amp;R12,製品マスタ!$N$5:$AE$4999,18,FALSE),""))))))</f>
        <v/>
      </c>
      <c r="Y12" s="256" t="str">
        <f>IF(D12="","",IF(T12="","",VLOOKUP(D12,契約台帳!$A$3:$Q$4986,17,FALSE)))</f>
        <v/>
      </c>
      <c r="Z12" s="256" t="str">
        <f>IF(D12="","",IF(T12="","",VLOOKUP(D12,契約台帳!$A$3:$E$4986,5,FALSE)))</f>
        <v/>
      </c>
      <c r="AA12" s="54"/>
      <c r="AB12" s="200" t="str">
        <f>IFERROR((VLOOKUP(F12&amp;K12&amp;M12,製品マスタ!$M$5:$AM$4999,27,FALSE)),"")</f>
        <v/>
      </c>
      <c r="AC12" s="31"/>
      <c r="AD12" s="184"/>
      <c r="AE12" s="51"/>
      <c r="AF12" s="52"/>
      <c r="AG12" s="41"/>
      <c r="AH12" s="45"/>
      <c r="AI12" s="28"/>
      <c r="AJ12" s="28"/>
      <c r="AK12" s="28"/>
      <c r="AL12" s="28"/>
      <c r="AM12" s="12"/>
      <c r="AN12" s="12"/>
      <c r="AO12" s="12"/>
      <c r="AP12" s="12"/>
      <c r="AQ12" s="12"/>
      <c r="AR12" s="13"/>
      <c r="AS12" s="14"/>
    </row>
    <row r="13" spans="1:45" s="16" customFormat="1" ht="30.95" hidden="1" customHeight="1" x14ac:dyDescent="0.2">
      <c r="A13" s="35" t="s">
        <v>744</v>
      </c>
      <c r="B13" s="36" t="s">
        <v>745</v>
      </c>
      <c r="C13" s="43"/>
      <c r="D13" s="29"/>
      <c r="E13" s="29"/>
      <c r="F13" s="255" t="str">
        <f>IF(D13="","",VLOOKUP(D13,契約台帳!$A$3:$K$4986,6,FALSE)&amp;VLOOKUP(D13,契約台帳!$A$3:$K$4986,7,FALSE)&amp;VLOOKUP(D13,契約台帳!$A$3:$K$4986,8,FALSE)&amp;VLOOKUP(D13,契約台帳!$A$3:$K$4986,9,FALSE)&amp;VLOOKUP(D13,契約台帳!$A$3:$K$4986,11,FALSE))</f>
        <v/>
      </c>
      <c r="G13" s="256" t="str">
        <f>IF(D13="","",VLOOKUP(F13,製品マスタ!$G$5:$H$4999,2,FALSE))</f>
        <v/>
      </c>
      <c r="H13" s="256" t="str">
        <f>IF(D13="","",VLOOKUP(F13,製品マスタ!$G$5:$K$4999,5,FALSE))</f>
        <v/>
      </c>
      <c r="I13" s="200" t="str">
        <f>IF(D13="","",VLOOKUP(F13,製品マスタ!$G$5:$L$4999,6,FALSE))</f>
        <v/>
      </c>
      <c r="J13" s="203" t="s">
        <v>751</v>
      </c>
      <c r="K13" s="200" t="str">
        <f>IF(D13="","",VLOOKUP(D13,契約台帳!$A$3:$L$4986,12,FALSE))</f>
        <v/>
      </c>
      <c r="L13" s="200" t="str">
        <f>IF(D13="","",INDEX(製品マスタ!$Q$5:$Q$4999,MATCH('S4'!F13&amp;'S4'!K13,製品マスタ!$AO$5:$AO$4999,0)))</f>
        <v/>
      </c>
      <c r="M13" s="37"/>
      <c r="N13" s="37"/>
      <c r="O13" s="153"/>
      <c r="P13" s="45"/>
      <c r="Q13" s="54"/>
      <c r="R13" s="257" t="str">
        <f ca="1">IF(D13="","",IF(OFFSET(D13,-1,0)&lt;&gt;"","",IF(OR(J13="リード付け",J13="巻足し",J13="巻返しリード付け"),M13,VLOOKUP(D13,契約台帳!$A$3:$N$4986,14,FALSE))))</f>
        <v/>
      </c>
      <c r="S13" s="258" t="str">
        <f ca="1">IF(D13="","",IF(OFFSET(D13,-1,0)&lt;&gt;"","",IF(OR(J13="リード付け",J13="巻足し",J13="巻返しリード付け"),M13,VLOOKUP(D13,契約台帳!$A$3:$O$4986,15,FALSE))))</f>
        <v/>
      </c>
      <c r="T13" s="258" t="str">
        <f ca="1">IF(D13="","",IF(J13="リード付け",N13,IF(J13="巻返しリード付け",N13,IF(J13="巻足し",N13*P13+OFFSET(N13,1,0)*OFFSET(P13,1,0),VLOOKUP(D13,契約台帳!$A$3:$P$4986,16,FALSE)))))</f>
        <v/>
      </c>
      <c r="U13" s="38"/>
      <c r="V13" s="259" t="str">
        <f ca="1">IF(D13="","",IF(OFFSET(D13,-2,0)=D13,"",VLOOKUP(D13,契約台帳!$A$3:$R$4986,18,FALSE)))</f>
        <v/>
      </c>
      <c r="W13" s="256" t="str">
        <f>IF(D13="","",IF(T13="","",IF(OR(J13="巻足し",J13="巻返しリード付け"),"",IF(J13="巻返し",VLOOKUP(F13&amp;K13&amp;M13,製品マスタ!$M$5:$AD$4999,18,FALSE),IF(OR(J13="リード付け",J13="巻返しリード付け"),"原反コア",IF(J13="スリット",VLOOKUP(F13&amp;K13&amp;R13,製品マスタ!$N$5:$AD$4999,17,FALSE),""))))))</f>
        <v/>
      </c>
      <c r="X13" s="256" t="str">
        <f>IF(D13="","",IF(T13="","",IF(J13="巻足し","",IF(J13="巻返し",VLOOKUP(F13&amp;K13&amp;M13,製品マスタ!$M$5:$AE$4999,19,FALSE),IF(OR(J13="リード付け",J13="巻返しリード付け"),"",IF(J13="スリット",VLOOKUP(F13&amp;K13&amp;R13,製品マスタ!$N$5:$AE$4999,18,FALSE),""))))))</f>
        <v/>
      </c>
      <c r="Y13" s="256" t="str">
        <f>IF(D13="","",IF(T13="","",VLOOKUP(D13,契約台帳!$A$3:$Q$4986,17,FALSE)))</f>
        <v/>
      </c>
      <c r="Z13" s="256" t="str">
        <f>IF(D13="","",IF(T13="","",VLOOKUP(D13,契約台帳!$A$3:$E$4986,5,FALSE)))</f>
        <v/>
      </c>
      <c r="AA13" s="54"/>
      <c r="AB13" s="200" t="str">
        <f>IFERROR((VLOOKUP(F13&amp;K13&amp;M13,製品マスタ!$M$5:$AM$4999,27,FALSE)),"")</f>
        <v/>
      </c>
      <c r="AC13" s="31"/>
      <c r="AD13" s="184"/>
      <c r="AE13" s="51"/>
      <c r="AF13" s="52"/>
      <c r="AG13" s="41"/>
      <c r="AH13" s="45"/>
      <c r="AI13" s="28"/>
      <c r="AJ13" s="28"/>
      <c r="AK13" s="28"/>
      <c r="AL13" s="28"/>
      <c r="AM13" s="12"/>
      <c r="AN13" s="12"/>
      <c r="AO13" s="12"/>
      <c r="AP13" s="12"/>
      <c r="AQ13" s="12"/>
      <c r="AR13" s="13"/>
      <c r="AS13" s="14"/>
    </row>
    <row r="14" spans="1:45" s="16" customFormat="1" ht="30.95" hidden="1" customHeight="1" x14ac:dyDescent="0.2">
      <c r="A14" s="35"/>
      <c r="B14" s="36"/>
      <c r="C14" s="43"/>
      <c r="D14" s="29"/>
      <c r="E14" s="29"/>
      <c r="F14" s="255" t="str">
        <f>IF(D14="","",VLOOKUP(D14,契約台帳!$A$3:$K$4986,6,FALSE)&amp;VLOOKUP(D14,契約台帳!$A$3:$K$4986,7,FALSE)&amp;VLOOKUP(D14,契約台帳!$A$3:$K$4986,8,FALSE)&amp;VLOOKUP(D14,契約台帳!$A$3:$K$4986,9,FALSE)&amp;VLOOKUP(D14,契約台帳!$A$3:$K$4986,11,FALSE))</f>
        <v/>
      </c>
      <c r="G14" s="256" t="str">
        <f>IF(D14="","",VLOOKUP(F14,製品マスタ!$G$5:$H$4999,2,FALSE))</f>
        <v/>
      </c>
      <c r="H14" s="256" t="str">
        <f>IF(D14="","",VLOOKUP(F14,製品マスタ!$G$5:$K$4999,5,FALSE))</f>
        <v/>
      </c>
      <c r="I14" s="200" t="str">
        <f>IF(D14="","",VLOOKUP(F14,製品マスタ!$G$5:$L$4999,6,FALSE))</f>
        <v/>
      </c>
      <c r="J14" s="203"/>
      <c r="K14" s="200" t="str">
        <f>IF(D14="","",VLOOKUP(D14,契約台帳!$A$3:$L$4986,12,FALSE))</f>
        <v/>
      </c>
      <c r="L14" s="200" t="str">
        <f>IF(D14="","",INDEX(製品マスタ!$Q$5:$Q$4999,MATCH('S4'!F14&amp;'S4'!K14,製品マスタ!$AO$5:$AO$4999,0)))</f>
        <v/>
      </c>
      <c r="M14" s="37"/>
      <c r="N14" s="37"/>
      <c r="O14" s="153"/>
      <c r="P14" s="45"/>
      <c r="Q14" s="54"/>
      <c r="R14" s="257" t="str">
        <f ca="1">IF(D14="","",IF(OFFSET(D14,-1,0)&lt;&gt;"","",IF(OR(J14="リード付け",J14="巻足し",J14="巻返しリード付け"),M14,VLOOKUP(D14,契約台帳!$A$3:$N$4986,14,FALSE))))</f>
        <v/>
      </c>
      <c r="S14" s="258" t="str">
        <f ca="1">IF(D14="","",IF(OFFSET(D14,-1,0)&lt;&gt;"","",IF(OR(J14="リード付け",J14="巻足し",J14="巻返しリード付け"),M14,VLOOKUP(D14,契約台帳!$A$3:$O$4986,15,FALSE))))</f>
        <v/>
      </c>
      <c r="T14" s="258" t="str">
        <f ca="1">IF(D14="","",IF(J14="リード付け",N14,IF(J14="巻返しリード付け",N14,IF(J14="巻足し",N14*P14+OFFSET(N14,1,0)*OFFSET(P14,1,0),VLOOKUP(D14,契約台帳!$A$3:$P$4986,16,FALSE)))))</f>
        <v/>
      </c>
      <c r="U14" s="38"/>
      <c r="V14" s="259" t="str">
        <f ca="1">IF(D14="","",IF(OFFSET(D14,-2,0)=D14,"",VLOOKUP(D14,契約台帳!$A$3:$R$4986,18,FALSE)))</f>
        <v/>
      </c>
      <c r="W14" s="256" t="str">
        <f>IF(D14="","",IF(T14="","",IF(OR(J14="巻足し",J14="巻返しリード付け"),"",IF(J14="巻返し",VLOOKUP(F14&amp;K14&amp;M14,製品マスタ!$M$5:$AD$4999,18,FALSE),IF(OR(J14="リード付け",J14="巻返しリード付け"),"原反コア",IF(J14="スリット",VLOOKUP(F14&amp;K14&amp;R14,製品マスタ!$N$5:$AD$4999,17,FALSE),""))))))</f>
        <v/>
      </c>
      <c r="X14" s="256" t="str">
        <f>IF(D14="","",IF(T14="","",IF(J14="巻足し","",IF(J14="巻返し",VLOOKUP(F14&amp;K14&amp;M14,製品マスタ!$M$5:$AE$4999,19,FALSE),IF(OR(J14="リード付け",J14="巻返しリード付け"),"",IF(J14="スリット",VLOOKUP(F14&amp;K14&amp;R14,製品マスタ!$N$5:$AE$4999,18,FALSE),""))))))</f>
        <v/>
      </c>
      <c r="Y14" s="256" t="str">
        <f>IF(D14="","",IF(T14="","",VLOOKUP(D14,契約台帳!$A$3:$Q$4986,17,FALSE)))</f>
        <v/>
      </c>
      <c r="Z14" s="256" t="str">
        <f>IF(D14="","",IF(T14="","",VLOOKUP(D14,契約台帳!$A$3:$E$4986,5,FALSE)))</f>
        <v/>
      </c>
      <c r="AA14" s="54"/>
      <c r="AB14" s="200" t="str">
        <f>IFERROR((VLOOKUP(F14&amp;K14&amp;M14,製品マスタ!$M$5:$AM$4999,27,FALSE)),"")</f>
        <v/>
      </c>
      <c r="AC14" s="31"/>
      <c r="AD14" s="184"/>
      <c r="AE14" s="51"/>
      <c r="AF14" s="52"/>
      <c r="AG14" s="41"/>
      <c r="AH14" s="45"/>
      <c r="AI14" s="28"/>
      <c r="AJ14" s="28"/>
      <c r="AK14" s="28"/>
      <c r="AL14" s="28"/>
      <c r="AM14" s="12"/>
      <c r="AN14" s="12"/>
      <c r="AO14" s="12"/>
      <c r="AP14" s="12"/>
      <c r="AQ14" s="12"/>
      <c r="AR14" s="13"/>
      <c r="AS14" s="14"/>
    </row>
    <row r="15" spans="1:45" s="16" customFormat="1" ht="30.95" hidden="1" customHeight="1" x14ac:dyDescent="0.2">
      <c r="A15" s="35" t="s">
        <v>752</v>
      </c>
      <c r="B15" s="36"/>
      <c r="C15" s="43"/>
      <c r="D15" s="29">
        <v>3694098</v>
      </c>
      <c r="E15" s="29">
        <v>4161761</v>
      </c>
      <c r="F15" s="255" t="str">
        <f>IF(D15="","",VLOOKUP(D15,契約台帳!$A$3:$K$4986,6,FALSE)&amp;VLOOKUP(D15,契約台帳!$A$3:$K$4986,7,FALSE)&amp;VLOOKUP(D15,契約台帳!$A$3:$K$4986,8,FALSE)&amp;VLOOKUP(D15,契約台帳!$A$3:$K$4986,9,FALSE)&amp;VLOOKUP(D15,契約台帳!$A$3:$K$4986,11,FALSE))</f>
        <v>3HSNMCLBEYK</v>
      </c>
      <c r="G15" s="256" t="str">
        <f>IF(D15="","",VLOOKUP(F15,製品マスタ!$G$5:$H$4999,2,FALSE))</f>
        <v>S</v>
      </c>
      <c r="H15" s="256" t="str">
        <f>IF(D15="","",VLOOKUP(F15,製品マスタ!$G$5:$K$4999,5,FALSE))</f>
        <v>EYK</v>
      </c>
      <c r="I15" s="200" t="str">
        <f>IF(D15="","",VLOOKUP(F15,製品マスタ!$G$5:$L$4999,6,FALSE))</f>
        <v>メタルミー　ＥＹＫ</v>
      </c>
      <c r="J15" s="203" t="s">
        <v>736</v>
      </c>
      <c r="K15" s="200">
        <f>IF(D15="","",VLOOKUP(D15,契約台帳!$A$3:$L$4986,12,FALSE))</f>
        <v>50</v>
      </c>
      <c r="L15" s="200" t="str">
        <f>IF(D15="","",INDEX(製品マスタ!$Q$5:$Q$4999,MATCH('S4'!F15&amp;'S4'!K15,製品マスタ!$AO$5:$AO$4999,0)))</f>
        <v>T62M</v>
      </c>
      <c r="M15" s="37">
        <v>1195</v>
      </c>
      <c r="N15" s="37">
        <v>6100</v>
      </c>
      <c r="O15" s="153">
        <v>8</v>
      </c>
      <c r="P15" s="45">
        <v>2</v>
      </c>
      <c r="Q15" s="206">
        <v>44921</v>
      </c>
      <c r="R15" s="257">
        <f ca="1">IF(D15="","",IF(OFFSET(D15,-1,0)&lt;&gt;"","",IF(OR(J15="リード付け",J15="巻足し",J15="巻返しリード付け"),M15,VLOOKUP(D15,契約台帳!$A$3:$N$4986,14,FALSE))))</f>
        <v>1195</v>
      </c>
      <c r="S15" s="258">
        <f ca="1">IF(D15="","",IF(OFFSET(D15,-1,0)&lt;&gt;"","",IF(OR(J15="リード付け",J15="巻足し",J15="巻返しリード付け"),M15,VLOOKUP(D15,契約台帳!$A$3:$O$4986,15,FALSE))))</f>
        <v>1195</v>
      </c>
      <c r="T15" s="258">
        <f ca="1">IF(D15="","",IF(J15="リード付け",N15,IF(J15="巻返しリード付け",N15,IF(J15="巻足し",N15*P15+OFFSET(N15,1,0)*OFFSET(P15,1,0),VLOOKUP(D15,契約台帳!$A$3:$P$4986,16,FALSE)))))</f>
        <v>12200</v>
      </c>
      <c r="U15" s="38">
        <v>4</v>
      </c>
      <c r="V15" s="259">
        <f ca="1">IF(D15="","",IF(OFFSET(D15,-2,0)=D15,"",VLOOKUP(D15,契約台帳!$A$3:$R$4986,18,FALSE)))</f>
        <v>8</v>
      </c>
      <c r="W15" s="256" t="str">
        <f ca="1">IF(D15="","",IF(T15="","",IF(OR(J15="巻足し",J15="巻返しリード付け"),"",IF(J15="巻返し",VLOOKUP(F15&amp;K15&amp;M15,製品マスタ!$M$5:$AD$4999,18,FALSE),IF(OR(J15="リード付け",J15="巻返しリード付け"),"原反コア",IF(J15="スリット",VLOOKUP(F15&amp;K15&amp;R15,製品マスタ!$N$5:$AD$4999,17,FALSE),""))))))</f>
        <v/>
      </c>
      <c r="X15" s="256" t="str">
        <f ca="1">IF(D15="","",IF(T15="","",IF(J15="巻足し","",IF(J15="巻返し",VLOOKUP(F15&amp;K15&amp;M15,製品マスタ!$M$5:$AE$4999,19,FALSE),IF(OR(J15="リード付け",J15="巻返しリード付け"),"",IF(J15="スリット",VLOOKUP(F15&amp;K15&amp;R15,製品マスタ!$N$5:$AE$4999,18,FALSE),""))))))</f>
        <v/>
      </c>
      <c r="Y15" s="256">
        <f ca="1">IF(D15="","",IF(T15="","",VLOOKUP(D15,契約台帳!$A$3:$Q$4986,17,FALSE)))</f>
        <v>2</v>
      </c>
      <c r="Z15" s="256" t="str">
        <f ca="1">IF(D15="","",IF(T15="","",VLOOKUP(D15,契約台帳!$A$3:$E$4986,5,FALSE)))</f>
        <v>大阪シーリング印刷㈱</v>
      </c>
      <c r="AA15" s="54"/>
      <c r="AB15" s="200" t="str">
        <f>IFERROR((VLOOKUP(F15&amp;K15&amp;M15,製品マスタ!$M$5:$AM$4999,27,FALSE)),"")</f>
        <v>原反ケース再利用</v>
      </c>
      <c r="AC15" s="31"/>
      <c r="AD15" s="184"/>
      <c r="AE15" s="51"/>
      <c r="AF15" s="52"/>
      <c r="AG15" s="41"/>
      <c r="AH15" s="45"/>
      <c r="AI15" s="28"/>
      <c r="AJ15" s="28"/>
      <c r="AK15" s="28"/>
      <c r="AL15" s="28"/>
      <c r="AM15" s="12"/>
      <c r="AN15" s="12"/>
      <c r="AO15" s="12"/>
      <c r="AP15" s="12"/>
      <c r="AQ15" s="12"/>
      <c r="AR15" s="13"/>
      <c r="AS15" s="14"/>
    </row>
    <row r="16" spans="1:45" s="16" customFormat="1" ht="30.95" hidden="1" customHeight="1" x14ac:dyDescent="0.2">
      <c r="A16" s="35"/>
      <c r="B16" s="36"/>
      <c r="C16" s="43"/>
      <c r="D16" s="29"/>
      <c r="E16" s="29"/>
      <c r="F16" s="255" t="str">
        <f>IF(D16="","",VLOOKUP(D16,契約台帳!$A$3:$K$4986,6,FALSE)&amp;VLOOKUP(D16,契約台帳!$A$3:$K$4986,7,FALSE)&amp;VLOOKUP(D16,契約台帳!$A$3:$K$4986,8,FALSE)&amp;VLOOKUP(D16,契約台帳!$A$3:$K$4986,9,FALSE)&amp;VLOOKUP(D16,契約台帳!$A$3:$K$4986,11,FALSE))</f>
        <v/>
      </c>
      <c r="G16" s="256" t="str">
        <f>IF(D16="","",VLOOKUP(F16,製品マスタ!$G$5:$H$4999,2,FALSE))</f>
        <v/>
      </c>
      <c r="H16" s="256" t="str">
        <f>IF(D16="","",VLOOKUP(F16,製品マスタ!$G$5:$K$4999,5,FALSE))</f>
        <v/>
      </c>
      <c r="I16" s="200" t="str">
        <f>IF(D16="","",VLOOKUP(F16,製品マスタ!$G$5:$L$4999,6,FALSE))</f>
        <v/>
      </c>
      <c r="J16" s="203"/>
      <c r="K16" s="200" t="str">
        <f>IF(D16="","",VLOOKUP(D16,契約台帳!$A$3:$L$4986,12,FALSE))</f>
        <v/>
      </c>
      <c r="L16" s="200" t="str">
        <f>IF(D16="","",INDEX(製品マスタ!$Q$5:$Q$4999,MATCH('S4'!F16&amp;'S4'!K16,製品マスタ!$AO$5:$AO$4999,0)))</f>
        <v/>
      </c>
      <c r="M16" s="37"/>
      <c r="N16" s="37"/>
      <c r="O16" s="153"/>
      <c r="P16" s="45"/>
      <c r="Q16" s="54"/>
      <c r="R16" s="257" t="str">
        <f ca="1">IF(D16="","",IF(OFFSET(D16,-1,0)&lt;&gt;"","",IF(OR(J16="リード付け",J16="巻足し",J16="巻返しリード付け"),M16,VLOOKUP(D16,契約台帳!$A$3:$N$4986,14,FALSE))))</f>
        <v/>
      </c>
      <c r="S16" s="258" t="str">
        <f ca="1">IF(D16="","",IF(OFFSET(D16,-1,0)&lt;&gt;"","",IF(OR(J16="リード付け",J16="巻足し",J16="巻返しリード付け"),M16,VLOOKUP(D16,契約台帳!$A$3:$O$4986,15,FALSE))))</f>
        <v/>
      </c>
      <c r="T16" s="258" t="str">
        <f ca="1">IF(D16="","",IF(J16="リード付け",N16,IF(J16="巻返しリード付け",N16,IF(J16="巻足し",N16*P16+OFFSET(N16,1,0)*OFFSET(P16,1,0),VLOOKUP(D16,契約台帳!$A$3:$P$4986,16,FALSE)))))</f>
        <v/>
      </c>
      <c r="U16" s="38"/>
      <c r="V16" s="259" t="str">
        <f ca="1">IF(D16="","",IF(OFFSET(D16,-2,0)=D16,"",VLOOKUP(D16,契約台帳!$A$3:$R$4986,18,FALSE)))</f>
        <v/>
      </c>
      <c r="W16" s="256" t="str">
        <f>IF(D16="","",IF(T16="","",IF(OR(J16="巻足し",J16="巻返しリード付け"),"",IF(J16="巻返し",VLOOKUP(F16&amp;K16&amp;M16,製品マスタ!$M$5:$AD$4999,18,FALSE),IF(OR(J16="リード付け",J16="巻返しリード付け"),"原反コア",IF(J16="スリット",VLOOKUP(F16&amp;K16&amp;R16,製品マスタ!$N$5:$AD$4999,17,FALSE),""))))))</f>
        <v/>
      </c>
      <c r="X16" s="256" t="str">
        <f>IF(D16="","",IF(T16="","",IF(J16="巻足し","",IF(J16="巻返し",VLOOKUP(F16&amp;K16&amp;M16,製品マスタ!$M$5:$AE$4999,19,FALSE),IF(OR(J16="リード付け",J16="巻返しリード付け"),"",IF(J16="スリット",VLOOKUP(F16&amp;K16&amp;R16,製品マスタ!$N$5:$AE$4999,18,FALSE),""))))))</f>
        <v/>
      </c>
      <c r="Y16" s="256" t="str">
        <f>IF(D16="","",IF(T16="","",VLOOKUP(D16,契約台帳!$A$3:$Q$4986,17,FALSE)))</f>
        <v/>
      </c>
      <c r="Z16" s="256" t="str">
        <f>IF(D16="","",IF(T16="","",VLOOKUP(D16,契約台帳!$A$3:$E$4986,5,FALSE)))</f>
        <v/>
      </c>
      <c r="AA16" s="54"/>
      <c r="AB16" s="200" t="str">
        <f>IFERROR((VLOOKUP(F16&amp;K16&amp;M16,製品マスタ!$M$5:$AM$4999,27,FALSE)),"")</f>
        <v/>
      </c>
      <c r="AC16" s="31"/>
      <c r="AD16" s="184"/>
      <c r="AE16" s="51"/>
      <c r="AF16" s="52"/>
      <c r="AG16" s="41"/>
      <c r="AH16" s="45"/>
      <c r="AI16" s="28"/>
      <c r="AJ16" s="28"/>
      <c r="AK16" s="28"/>
      <c r="AL16" s="28"/>
      <c r="AM16" s="12"/>
      <c r="AN16" s="12"/>
      <c r="AO16" s="12"/>
      <c r="AP16" s="12"/>
      <c r="AQ16" s="12"/>
      <c r="AR16" s="13"/>
      <c r="AS16" s="14"/>
    </row>
    <row r="17" spans="1:45" s="16" customFormat="1" ht="30.95" hidden="1" customHeight="1" x14ac:dyDescent="0.2">
      <c r="A17" s="35"/>
      <c r="B17" s="36"/>
      <c r="C17" s="43"/>
      <c r="D17" s="29">
        <v>3694113</v>
      </c>
      <c r="E17" s="29">
        <v>4161785</v>
      </c>
      <c r="F17" s="255" t="str">
        <f>IF(D17="","",VLOOKUP(D17,契約台帳!$A$3:$K$4986,6,FALSE)&amp;VLOOKUP(D17,契約台帳!$A$3:$K$4986,7,FALSE)&amp;VLOOKUP(D17,契約台帳!$A$3:$K$4986,8,FALSE)&amp;VLOOKUP(D17,契約台帳!$A$3:$K$4986,9,FALSE)&amp;VLOOKUP(D17,契約台帳!$A$3:$K$4986,11,FALSE))</f>
        <v>3SNMCLBNGTVB</v>
      </c>
      <c r="G17" s="256" t="str">
        <f>IF(D17="","",VLOOKUP(F17,製品マスタ!$G$5:$H$4999,2,FALSE))</f>
        <v>S</v>
      </c>
      <c r="H17" s="256" t="str">
        <f>IF(D17="","",VLOOKUP(F17,製品マスタ!$G$5:$K$4999,5,FALSE))</f>
        <v>NGTVB</v>
      </c>
      <c r="I17" s="200" t="str">
        <f>IF(D17="","",VLOOKUP(F17,製品マスタ!$G$5:$L$4999,6,FALSE))</f>
        <v>メタルミー　ネーマー　銀艶ＶＢ</v>
      </c>
      <c r="J17" s="203" t="s">
        <v>485</v>
      </c>
      <c r="K17" s="200">
        <f>IF(D17="","",VLOOKUP(D17,契約台帳!$A$3:$L$4986,12,FALSE))</f>
        <v>50</v>
      </c>
      <c r="L17" s="200" t="str">
        <f>IF(D17="","",INDEX(製品マスタ!$Q$5:$Q$4999,MATCH('S4'!F17&amp;'S4'!K17,製品マスタ!$AO$5:$AO$4999,0)))</f>
        <v>T62</v>
      </c>
      <c r="M17" s="37">
        <v>1160</v>
      </c>
      <c r="N17" s="37">
        <v>6200</v>
      </c>
      <c r="O17" s="153">
        <v>1</v>
      </c>
      <c r="P17" s="45">
        <v>1</v>
      </c>
      <c r="Q17" s="206">
        <v>44921</v>
      </c>
      <c r="R17" s="257">
        <f ca="1">IF(D17="","",IF(OFFSET(D17,-1,0)&lt;&gt;"","",IF(OR(J17="リード付け",J17="巻足し",J17="巻返しリード付け"),M17,VLOOKUP(D17,契約台帳!$A$3:$N$4986,14,FALSE))))</f>
        <v>1160</v>
      </c>
      <c r="S17" s="258">
        <f ca="1">IF(D17="","",IF(OFFSET(D17,-1,0)&lt;&gt;"","",IF(OR(J17="リード付け",J17="巻足し",J17="巻返しリード付け"),M17,VLOOKUP(D17,契約台帳!$A$3:$O$4986,15,FALSE))))</f>
        <v>1160</v>
      </c>
      <c r="T17" s="258">
        <f ca="1">IF(D17="","",IF(J17="リード付け",N17,IF(J17="巻返しリード付け",N17,IF(J17="巻足し",N17*P17+OFFSET(N17,1,0)*OFFSET(P17,1,0),VLOOKUP(D17,契約台帳!$A$3:$P$4986,16,FALSE)))))</f>
        <v>6200</v>
      </c>
      <c r="U17" s="38">
        <v>1</v>
      </c>
      <c r="V17" s="259">
        <f ca="1">IF(D17="","",IF(OFFSET(D17,-2,0)=D17,"",VLOOKUP(D17,契約台帳!$A$3:$R$4986,18,FALSE)))</f>
        <v>1</v>
      </c>
      <c r="W17" s="256" t="str">
        <f ca="1">IF(D17="","",IF(T17="","",IF(OR(J17="巻足し",J17="巻返しリード付け"),"",IF(J17="巻返し",VLOOKUP(F17&amp;K17&amp;M17,製品マスタ!$M$5:$AD$4999,18,FALSE),IF(OR(J17="リード付け",J17="巻返しリード付け"),"原反コア",IF(J17="スリット",VLOOKUP(F17&amp;K17&amp;R17,製品マスタ!$N$5:$AD$4999,17,FALSE),""))))))</f>
        <v/>
      </c>
      <c r="X17" s="256" t="str">
        <f ca="1">IF(D17="","",IF(T17="","",IF(J17="巻足し","",IF(J17="巻返し",VLOOKUP(F17&amp;K17&amp;M17,製品マスタ!$M$5:$AE$4999,19,FALSE),IF(OR(J17="リード付け",J17="巻返しリード付け"),"",IF(J17="スリット",VLOOKUP(F17&amp;K17&amp;R17,製品マスタ!$N$5:$AE$4999,18,FALSE),""))))))</f>
        <v/>
      </c>
      <c r="Y17" s="256">
        <f ca="1">IF(D17="","",IF(T17="","",VLOOKUP(D17,契約台帳!$A$3:$Q$4986,17,FALSE)))</f>
        <v>2</v>
      </c>
      <c r="Z17" s="256" t="str">
        <f ca="1">IF(D17="","",IF(T17="","",VLOOKUP(D17,契約台帳!$A$3:$E$4986,5,FALSE)))</f>
        <v>リンテック㈱</v>
      </c>
      <c r="AA17" s="54"/>
      <c r="AB17" s="200" t="str">
        <f>IFERROR((VLOOKUP(F17&amp;K17&amp;M17,製品マスタ!$M$5:$AM$4999,27,FALSE)),"")</f>
        <v/>
      </c>
      <c r="AC17" s="31"/>
      <c r="AD17" s="184"/>
      <c r="AE17" s="51"/>
      <c r="AF17" s="52"/>
      <c r="AG17" s="41"/>
      <c r="AH17" s="45"/>
      <c r="AI17" s="28"/>
      <c r="AJ17" s="28"/>
      <c r="AK17" s="28"/>
      <c r="AL17" s="28"/>
      <c r="AM17" s="12"/>
      <c r="AN17" s="12"/>
      <c r="AO17" s="12"/>
      <c r="AP17" s="12"/>
      <c r="AQ17" s="12"/>
      <c r="AR17" s="13"/>
      <c r="AS17" s="14"/>
    </row>
    <row r="18" spans="1:45" s="16" customFormat="1" ht="30.95" hidden="1" customHeight="1" x14ac:dyDescent="0.2">
      <c r="A18" s="35"/>
      <c r="B18" s="36"/>
      <c r="C18" s="43"/>
      <c r="D18" s="29"/>
      <c r="E18" s="29"/>
      <c r="F18" s="255" t="str">
        <f>IF(D18="","",VLOOKUP(D18,契約台帳!$A$3:$K$4986,6,FALSE)&amp;VLOOKUP(D18,契約台帳!$A$3:$K$4986,7,FALSE)&amp;VLOOKUP(D18,契約台帳!$A$3:$K$4986,8,FALSE)&amp;VLOOKUP(D18,契約台帳!$A$3:$K$4986,9,FALSE)&amp;VLOOKUP(D18,契約台帳!$A$3:$K$4986,11,FALSE))</f>
        <v/>
      </c>
      <c r="G18" s="256" t="str">
        <f>IF(D18="","",VLOOKUP(F18,製品マスタ!$G$5:$H$4999,2,FALSE))</f>
        <v/>
      </c>
      <c r="H18" s="256" t="str">
        <f>IF(D18="","",VLOOKUP(F18,製品マスタ!$G$5:$K$4999,5,FALSE))</f>
        <v/>
      </c>
      <c r="I18" s="200" t="str">
        <f>IF(D18="","",VLOOKUP(F18,製品マスタ!$G$5:$L$4999,6,FALSE))</f>
        <v/>
      </c>
      <c r="J18" s="203"/>
      <c r="K18" s="200" t="str">
        <f>IF(D18="","",VLOOKUP(D18,契約台帳!$A$3:$L$4986,12,FALSE))</f>
        <v/>
      </c>
      <c r="L18" s="200" t="str">
        <f>IF(D18="","",INDEX(製品マスタ!$Q$5:$Q$4999,MATCH('S4'!F18&amp;'S4'!K18,製品マスタ!$AO$5:$AO$4999,0)))</f>
        <v/>
      </c>
      <c r="M18" s="37"/>
      <c r="N18" s="37"/>
      <c r="O18" s="153"/>
      <c r="P18" s="45"/>
      <c r="Q18" s="54"/>
      <c r="R18" s="257" t="str">
        <f ca="1">IF(D18="","",IF(OFFSET(D18,-1,0)&lt;&gt;"","",IF(OR(J18="リード付け",J18="巻足し",J18="巻返しリード付け"),M18,VLOOKUP(D18,契約台帳!$A$3:$N$4986,14,FALSE))))</f>
        <v/>
      </c>
      <c r="S18" s="258" t="str">
        <f ca="1">IF(D18="","",IF(OFFSET(D18,-1,0)&lt;&gt;"","",IF(OR(J18="リード付け",J18="巻足し",J18="巻返しリード付け"),M18,VLOOKUP(D18,契約台帳!$A$3:$O$4986,15,FALSE))))</f>
        <v/>
      </c>
      <c r="T18" s="258" t="str">
        <f ca="1">IF(D18="","",IF(J18="リード付け",N18,IF(J18="巻返しリード付け",N18,IF(J18="巻足し",N18*P18+OFFSET(N18,1,0)*OFFSET(P18,1,0),VLOOKUP(D18,契約台帳!$A$3:$P$4986,16,FALSE)))))</f>
        <v/>
      </c>
      <c r="U18" s="38"/>
      <c r="V18" s="259" t="str">
        <f ca="1">IF(D18="","",IF(OFFSET(D18,-2,0)=D18,"",VLOOKUP(D18,契約台帳!$A$3:$R$4986,18,FALSE)))</f>
        <v/>
      </c>
      <c r="W18" s="256" t="str">
        <f>IF(D18="","",IF(T18="","",IF(OR(J18="巻足し",J18="巻返しリード付け"),"",IF(J18="巻返し",VLOOKUP(F18&amp;K18&amp;M18,製品マスタ!$M$5:$AD$4999,18,FALSE),IF(OR(J18="リード付け",J18="巻返しリード付け"),"原反コア",IF(J18="スリット",VLOOKUP(F18&amp;K18&amp;R18,製品マスタ!$N$5:$AD$4999,17,FALSE),""))))))</f>
        <v/>
      </c>
      <c r="X18" s="256" t="str">
        <f>IF(D18="","",IF(T18="","",IF(J18="巻足し","",IF(J18="巻返し",VLOOKUP(F18&amp;K18&amp;M18,製品マスタ!$M$5:$AE$4999,19,FALSE),IF(OR(J18="リード付け",J18="巻返しリード付け"),"",IF(J18="スリット",VLOOKUP(F18&amp;K18&amp;R18,製品マスタ!$N$5:$AE$4999,18,FALSE),""))))))</f>
        <v/>
      </c>
      <c r="Y18" s="256" t="str">
        <f>IF(D18="","",IF(T18="","",VLOOKUP(D18,契約台帳!$A$3:$Q$4986,17,FALSE)))</f>
        <v/>
      </c>
      <c r="Z18" s="256" t="str">
        <f>IF(D18="","",IF(T18="","",VLOOKUP(D18,契約台帳!$A$3:$E$4986,5,FALSE)))</f>
        <v/>
      </c>
      <c r="AA18" s="54"/>
      <c r="AB18" s="200" t="str">
        <f>IFERROR((VLOOKUP(F18&amp;K18&amp;M18,製品マスタ!$M$5:$AM$4999,27,FALSE)),"")</f>
        <v/>
      </c>
      <c r="AC18" s="31"/>
      <c r="AD18" s="184"/>
      <c r="AE18" s="51"/>
      <c r="AF18" s="52"/>
      <c r="AG18" s="41"/>
      <c r="AH18" s="45"/>
      <c r="AI18" s="28"/>
      <c r="AJ18" s="28"/>
      <c r="AK18" s="28"/>
      <c r="AL18" s="28"/>
      <c r="AM18" s="12"/>
      <c r="AN18" s="12"/>
      <c r="AO18" s="12"/>
      <c r="AP18" s="12"/>
      <c r="AQ18" s="12"/>
      <c r="AR18" s="13"/>
      <c r="AS18" s="14"/>
    </row>
    <row r="19" spans="1:45" s="16" customFormat="1" ht="30.95" hidden="1" customHeight="1" x14ac:dyDescent="0.2">
      <c r="A19" s="35"/>
      <c r="B19" s="36"/>
      <c r="C19" s="43"/>
      <c r="D19" s="29">
        <v>3694099</v>
      </c>
      <c r="E19" s="29">
        <v>4161764</v>
      </c>
      <c r="F19" s="255" t="str">
        <f>IF(D19="","",VLOOKUP(D19,契約台帳!$A$3:$K$4986,6,FALSE)&amp;VLOOKUP(D19,契約台帳!$A$3:$K$4986,7,FALSE)&amp;VLOOKUP(D19,契約台帳!$A$3:$K$4986,8,FALSE)&amp;VLOOKUP(D19,契約台帳!$A$3:$K$4986,9,FALSE)&amp;VLOOKUP(D19,契約台帳!$A$3:$K$4986,11,FALSE))</f>
        <v>3SNMCLBEYK</v>
      </c>
      <c r="G19" s="256" t="str">
        <f>IF(D19="","",VLOOKUP(F19,製品マスタ!$G$5:$H$4999,2,FALSE))</f>
        <v>S</v>
      </c>
      <c r="H19" s="256" t="str">
        <f>IF(D19="","",VLOOKUP(F19,製品マスタ!$G$5:$K$4999,5,FALSE))</f>
        <v>EYK</v>
      </c>
      <c r="I19" s="200" t="str">
        <f>IF(D19="","",VLOOKUP(F19,製品マスタ!$G$5:$L$4999,6,FALSE))</f>
        <v>メタルミー　ＥＹＫ</v>
      </c>
      <c r="J19" s="203" t="s">
        <v>736</v>
      </c>
      <c r="K19" s="200">
        <f>IF(D19="","",VLOOKUP(D19,契約台帳!$A$3:$L$4986,12,FALSE))</f>
        <v>50</v>
      </c>
      <c r="L19" s="200" t="str">
        <f>IF(D19="","",INDEX(製品マスタ!$Q$5:$Q$4999,MATCH('S4'!F19&amp;'S4'!K19,製品マスタ!$AO$5:$AO$4999,0)))</f>
        <v>T62M</v>
      </c>
      <c r="M19" s="37">
        <v>1125</v>
      </c>
      <c r="N19" s="37">
        <v>6100</v>
      </c>
      <c r="O19" s="153">
        <v>2</v>
      </c>
      <c r="P19" s="45">
        <v>2</v>
      </c>
      <c r="Q19" s="206">
        <v>44921</v>
      </c>
      <c r="R19" s="257">
        <f ca="1">IF(D19="","",IF(OFFSET(D19,-1,0)&lt;&gt;"","",IF(OR(J19="リード付け",J19="巻足し",J19="巻返しリード付け"),M19,VLOOKUP(D19,契約台帳!$A$3:$N$4986,14,FALSE))))</f>
        <v>1125</v>
      </c>
      <c r="S19" s="258">
        <f ca="1">IF(D19="","",IF(OFFSET(D19,-1,0)&lt;&gt;"","",IF(OR(J19="リード付け",J19="巻足し",J19="巻返しリード付け"),M19,VLOOKUP(D19,契約台帳!$A$3:$O$4986,15,FALSE))))</f>
        <v>1125</v>
      </c>
      <c r="T19" s="258">
        <f ca="1">IF(D19="","",IF(J19="リード付け",N19,IF(J19="巻返しリード付け",N19,IF(J19="巻足し",N19*P19+OFFSET(N19,1,0)*OFFSET(P19,1,0),VLOOKUP(D19,契約台帳!$A$3:$P$4986,16,FALSE)))))</f>
        <v>12200</v>
      </c>
      <c r="U19" s="38">
        <v>1</v>
      </c>
      <c r="V19" s="259">
        <f ca="1">IF(D19="","",IF(OFFSET(D19,-2,0)=D19,"",VLOOKUP(D19,契約台帳!$A$3:$R$4986,18,FALSE)))</f>
        <v>2</v>
      </c>
      <c r="W19" s="256" t="str">
        <f ca="1">IF(D19="","",IF(T19="","",IF(OR(J19="巻足し",J19="巻返しリード付け"),"",IF(J19="巻返し",VLOOKUP(F19&amp;K19&amp;M19,製品マスタ!$M$5:$AD$4999,18,FALSE),IF(OR(J19="リード付け",J19="巻返しリード付け"),"原反コア",IF(J19="スリット",VLOOKUP(F19&amp;K19&amp;R19,製品マスタ!$N$5:$AD$4999,17,FALSE),""))))))</f>
        <v/>
      </c>
      <c r="X19" s="256" t="str">
        <f ca="1">IF(D19="","",IF(T19="","",IF(J19="巻足し","",IF(J19="巻返し",VLOOKUP(F19&amp;K19&amp;M19,製品マスタ!$M$5:$AE$4999,19,FALSE),IF(OR(J19="リード付け",J19="巻返しリード付け"),"",IF(J19="スリット",VLOOKUP(F19&amp;K19&amp;R19,製品マスタ!$N$5:$AE$4999,18,FALSE),""))))))</f>
        <v/>
      </c>
      <c r="Y19" s="256">
        <f ca="1">IF(D19="","",IF(T19="","",VLOOKUP(D19,契約台帳!$A$3:$Q$4986,17,FALSE)))</f>
        <v>2</v>
      </c>
      <c r="Z19" s="256" t="str">
        <f ca="1">IF(D19="","",IF(T19="","",VLOOKUP(D19,契約台帳!$A$3:$E$4986,5,FALSE)))</f>
        <v>新タック化成㈱</v>
      </c>
      <c r="AA19" s="54"/>
      <c r="AB19" s="200" t="str">
        <f>IFERROR((VLOOKUP(F19&amp;K19&amp;M19,製品マスタ!$M$5:$AM$4999,27,FALSE)),"")</f>
        <v>原反ケース再利用</v>
      </c>
      <c r="AC19" s="31"/>
      <c r="AD19" s="184"/>
      <c r="AE19" s="51"/>
      <c r="AF19" s="52"/>
      <c r="AG19" s="41"/>
      <c r="AH19" s="45"/>
      <c r="AI19" s="28"/>
      <c r="AJ19" s="28"/>
      <c r="AK19" s="28"/>
      <c r="AL19" s="28"/>
      <c r="AM19" s="12"/>
      <c r="AN19" s="12"/>
      <c r="AO19" s="12"/>
      <c r="AP19" s="12"/>
      <c r="AQ19" s="12"/>
      <c r="AR19" s="13"/>
      <c r="AS19" s="14"/>
    </row>
    <row r="20" spans="1:45" s="16" customFormat="1" ht="30.95" hidden="1" customHeight="1" x14ac:dyDescent="0.2">
      <c r="A20" s="35"/>
      <c r="B20" s="36"/>
      <c r="C20" s="43"/>
      <c r="D20" s="29"/>
      <c r="E20" s="29"/>
      <c r="F20" s="255" t="str">
        <f>IF(D20="","",VLOOKUP(D20,契約台帳!$A$3:$K$4986,6,FALSE)&amp;VLOOKUP(D20,契約台帳!$A$3:$K$4986,7,FALSE)&amp;VLOOKUP(D20,契約台帳!$A$3:$K$4986,8,FALSE)&amp;VLOOKUP(D20,契約台帳!$A$3:$K$4986,9,FALSE)&amp;VLOOKUP(D20,契約台帳!$A$3:$K$4986,11,FALSE))</f>
        <v/>
      </c>
      <c r="G20" s="256" t="str">
        <f>IF(D20="","",VLOOKUP(F20,製品マスタ!$G$5:$H$4999,2,FALSE))</f>
        <v/>
      </c>
      <c r="H20" s="256" t="str">
        <f>IF(D20="","",VLOOKUP(F20,製品マスタ!$G$5:$K$4999,5,FALSE))</f>
        <v/>
      </c>
      <c r="I20" s="200" t="str">
        <f>IF(D20="","",VLOOKUP(F20,製品マスタ!$G$5:$L$4999,6,FALSE))</f>
        <v/>
      </c>
      <c r="J20" s="203"/>
      <c r="K20" s="200" t="str">
        <f>IF(D20="","",VLOOKUP(D20,契約台帳!$A$3:$L$4986,12,FALSE))</f>
        <v/>
      </c>
      <c r="L20" s="200" t="str">
        <f>IF(D20="","",INDEX(製品マスタ!$Q$5:$Q$4999,MATCH('S4'!F20&amp;'S4'!K20,製品マスタ!$AO$5:$AO$4999,0)))</f>
        <v/>
      </c>
      <c r="M20" s="37"/>
      <c r="N20" s="37"/>
      <c r="O20" s="153"/>
      <c r="P20" s="45"/>
      <c r="Q20" s="54"/>
      <c r="R20" s="257" t="str">
        <f ca="1">IF(D20="","",IF(OFFSET(D20,-1,0)&lt;&gt;"","",IF(OR(J20="リード付け",J20="巻足し",J20="巻返しリード付け"),M20,VLOOKUP(D20,契約台帳!$A$3:$N$4986,14,FALSE))))</f>
        <v/>
      </c>
      <c r="S20" s="258" t="str">
        <f ca="1">IF(D20="","",IF(OFFSET(D20,-1,0)&lt;&gt;"","",IF(OR(J20="リード付け",J20="巻足し",J20="巻返しリード付け"),M20,VLOOKUP(D20,契約台帳!$A$3:$O$4986,15,FALSE))))</f>
        <v/>
      </c>
      <c r="T20" s="258" t="str">
        <f ca="1">IF(D20="","",IF(J20="リード付け",N20,IF(J20="巻返しリード付け",N20,IF(J20="巻足し",N20*P20+OFFSET(N20,1,0)*OFFSET(P20,1,0),VLOOKUP(D20,契約台帳!$A$3:$P$4986,16,FALSE)))))</f>
        <v/>
      </c>
      <c r="U20" s="38"/>
      <c r="V20" s="259" t="str">
        <f ca="1">IF(D20="","",IF(OFFSET(D20,-2,0)=D20,"",VLOOKUP(D20,契約台帳!$A$3:$R$4986,18,FALSE)))</f>
        <v/>
      </c>
      <c r="W20" s="256" t="str">
        <f>IF(D20="","",IF(T20="","",IF(OR(J20="巻足し",J20="巻返しリード付け"),"",IF(J20="巻返し",VLOOKUP(F20&amp;K20&amp;M20,製品マスタ!$M$5:$AD$4999,18,FALSE),IF(OR(J20="リード付け",J20="巻返しリード付け"),"原反コア",IF(J20="スリット",VLOOKUP(F20&amp;K20&amp;R20,製品マスタ!$N$5:$AD$4999,17,FALSE),""))))))</f>
        <v/>
      </c>
      <c r="X20" s="256" t="str">
        <f>IF(D20="","",IF(T20="","",IF(J20="巻足し","",IF(J20="巻返し",VLOOKUP(F20&amp;K20&amp;M20,製品マスタ!$M$5:$AE$4999,19,FALSE),IF(OR(J20="リード付け",J20="巻返しリード付け"),"",IF(J20="スリット",VLOOKUP(F20&amp;K20&amp;R20,製品マスタ!$N$5:$AE$4999,18,FALSE),""))))))</f>
        <v/>
      </c>
      <c r="Y20" s="256" t="str">
        <f>IF(D20="","",IF(T20="","",VLOOKUP(D20,契約台帳!$A$3:$Q$4986,17,FALSE)))</f>
        <v/>
      </c>
      <c r="Z20" s="256" t="str">
        <f>IF(D20="","",IF(T20="","",VLOOKUP(D20,契約台帳!$A$3:$E$4986,5,FALSE)))</f>
        <v/>
      </c>
      <c r="AA20" s="54"/>
      <c r="AB20" s="200" t="str">
        <f>IFERROR((VLOOKUP(F20&amp;K20&amp;M20,製品マスタ!$M$5:$AM$4999,27,FALSE)),"")</f>
        <v/>
      </c>
      <c r="AC20" s="31"/>
      <c r="AD20" s="184"/>
      <c r="AE20" s="51"/>
      <c r="AF20" s="52"/>
      <c r="AG20" s="41"/>
      <c r="AH20" s="45"/>
      <c r="AI20" s="28"/>
      <c r="AJ20" s="28"/>
      <c r="AK20" s="28"/>
      <c r="AL20" s="28"/>
      <c r="AM20" s="12"/>
      <c r="AN20" s="12"/>
      <c r="AO20" s="12"/>
      <c r="AP20" s="12"/>
      <c r="AQ20" s="12"/>
      <c r="AR20" s="13"/>
      <c r="AS20" s="14"/>
    </row>
    <row r="21" spans="1:45" s="16" customFormat="1" ht="30.95" hidden="1" customHeight="1" x14ac:dyDescent="0.2">
      <c r="A21" s="35" t="s">
        <v>757</v>
      </c>
      <c r="B21" s="36" t="s">
        <v>746</v>
      </c>
      <c r="C21" s="43"/>
      <c r="D21" s="29">
        <v>3694103</v>
      </c>
      <c r="E21" s="29">
        <v>4161768</v>
      </c>
      <c r="F21" s="255" t="str">
        <f>IF(D21="","",VLOOKUP(D21,契約台帳!$A$3:$K$4986,6,FALSE)&amp;VLOOKUP(D21,契約台帳!$A$3:$K$4986,7,FALSE)&amp;VLOOKUP(D21,契約台帳!$A$3:$K$4986,8,FALSE)&amp;VLOOKUP(D21,契約台帳!$A$3:$K$4986,9,FALSE)&amp;VLOOKUP(D21,契約台帳!$A$3:$K$4986,11,FALSE))</f>
        <v>3SNMLBMNGKKBF</v>
      </c>
      <c r="G21" s="256" t="str">
        <f>IF(D21="","",VLOOKUP(F21,製品マスタ!$G$5:$H$4999,2,FALSE))</f>
        <v>S</v>
      </c>
      <c r="H21" s="256" t="str">
        <f>IF(D21="","",VLOOKUP(F21,製品マスタ!$G$5:$K$4999,5,FALSE))</f>
        <v>MNGKKBF</v>
      </c>
      <c r="I21" s="200" t="str">
        <f>IF(D21="","",VLOOKUP(F21,製品マスタ!$G$5:$L$4999,6,FALSE))</f>
        <v>メタルミー　ネーマー銀消改　Ｂ</v>
      </c>
      <c r="J21" s="203" t="s">
        <v>736</v>
      </c>
      <c r="K21" s="200">
        <f>IF(D21="","",VLOOKUP(D21,契約台帳!$A$3:$L$4986,12,FALSE))</f>
        <v>25</v>
      </c>
      <c r="L21" s="200" t="str">
        <f>IF(D21="","",INDEX(製品マスタ!$Q$5:$Q$4999,MATCH('S4'!F21&amp;'S4'!K21,製品マスタ!$AO$5:$AO$4999,0)))</f>
        <v>FMATS99</v>
      </c>
      <c r="M21" s="37">
        <v>1120</v>
      </c>
      <c r="N21" s="37">
        <v>4000</v>
      </c>
      <c r="O21" s="153">
        <v>9</v>
      </c>
      <c r="P21" s="45">
        <v>3</v>
      </c>
      <c r="Q21" s="206">
        <v>45287</v>
      </c>
      <c r="R21" s="257">
        <f ca="1">IF(D21="","",IF(OFFSET(D21,-1,0)&lt;&gt;"","",IF(OR(J21="リード付け",J21="巻足し",J21="巻返しリード付け"),M21,VLOOKUP(D21,契約台帳!$A$3:$N$4986,14,FALSE))))</f>
        <v>1120</v>
      </c>
      <c r="S21" s="258">
        <f ca="1">IF(D21="","",IF(OFFSET(D21,-1,0)&lt;&gt;"","",IF(OR(J21="リード付け",J21="巻足し",J21="巻返しリード付け"),M21,VLOOKUP(D21,契約台帳!$A$3:$O$4986,15,FALSE))))</f>
        <v>1120</v>
      </c>
      <c r="T21" s="258">
        <f ca="1">IF(D21="","",IF(J21="リード付け",N21,IF(J21="巻返しリード付け",N21,IF(J21="巻足し",N21*P21+OFFSET(N21,1,0)*OFFSET(P21,1,0),VLOOKUP(D21,契約台帳!$A$3:$P$4986,16,FALSE)))))</f>
        <v>12000</v>
      </c>
      <c r="U21" s="38">
        <v>3</v>
      </c>
      <c r="V21" s="259">
        <f ca="1">IF(D21="","",IF(OFFSET(D21,-2,0)=D21,"",VLOOKUP(D21,契約台帳!$A$3:$R$4986,18,FALSE)))</f>
        <v>9</v>
      </c>
      <c r="W21" s="256" t="str">
        <f ca="1">IF(D21="","",IF(T21="","",IF(OR(J21="巻足し",J21="巻返しリード付け"),"",IF(J21="巻返し",VLOOKUP(F21&amp;K21&amp;M21,製品マスタ!$M$5:$AD$4999,18,FALSE),IF(OR(J21="リード付け",J21="巻返しリード付け"),"原反コア",IF(J21="スリット",VLOOKUP(F21&amp;K21&amp;R21,製品マスタ!$N$5:$AD$4999,17,FALSE),""))))))</f>
        <v/>
      </c>
      <c r="X21" s="256" t="str">
        <f ca="1">IF(D21="","",IF(T21="","",IF(J21="巻足し","",IF(J21="巻返し",VLOOKUP(F21&amp;K21&amp;M21,製品マスタ!$M$5:$AE$4999,19,FALSE),IF(OR(J21="リード付け",J21="巻返しリード付け"),"",IF(J21="スリット",VLOOKUP(F21&amp;K21&amp;R21,製品マスタ!$N$5:$AE$4999,18,FALSE),""))))))</f>
        <v/>
      </c>
      <c r="Y21" s="256">
        <f ca="1">IF(D21="","",IF(T21="","",VLOOKUP(D21,契約台帳!$A$3:$Q$4986,17,FALSE)))</f>
        <v>2</v>
      </c>
      <c r="Z21" s="256" t="str">
        <f ca="1">IF(D21="","",IF(T21="","",VLOOKUP(D21,契約台帳!$A$3:$E$4986,5,FALSE)))</f>
        <v>リンテック㈱</v>
      </c>
      <c r="AA21" s="54"/>
      <c r="AB21" s="200">
        <f>IFERROR((VLOOKUP(F21&amp;K21&amp;M21,製品マスタ!$M$5:$AM$4999,27,FALSE)),"")</f>
        <v>0</v>
      </c>
      <c r="AC21" s="31"/>
      <c r="AD21" s="184"/>
      <c r="AE21" s="51"/>
      <c r="AF21" s="52"/>
      <c r="AG21" s="41"/>
      <c r="AH21" s="45"/>
      <c r="AI21" s="28"/>
      <c r="AJ21" s="28"/>
      <c r="AK21" s="28"/>
      <c r="AL21" s="28"/>
      <c r="AM21" s="12"/>
      <c r="AN21" s="12"/>
      <c r="AO21" s="12"/>
      <c r="AP21" s="12"/>
      <c r="AQ21" s="12"/>
      <c r="AR21" s="13"/>
      <c r="AS21" s="14"/>
    </row>
    <row r="22" spans="1:45" s="16" customFormat="1" ht="30.95" hidden="1" customHeight="1" x14ac:dyDescent="0.2">
      <c r="A22" s="35"/>
      <c r="B22" s="36"/>
      <c r="C22" s="43"/>
      <c r="D22" s="29"/>
      <c r="E22" s="29"/>
      <c r="F22" s="255" t="str">
        <f>IF(D22="","",VLOOKUP(D22,契約台帳!$A$3:$K$4986,6,FALSE)&amp;VLOOKUP(D22,契約台帳!$A$3:$K$4986,7,FALSE)&amp;VLOOKUP(D22,契約台帳!$A$3:$K$4986,8,FALSE)&amp;VLOOKUP(D22,契約台帳!$A$3:$K$4986,9,FALSE)&amp;VLOOKUP(D22,契約台帳!$A$3:$K$4986,11,FALSE))</f>
        <v/>
      </c>
      <c r="G22" s="256" t="str">
        <f>IF(D22="","",VLOOKUP(F22,製品マスタ!$G$5:$H$4999,2,FALSE))</f>
        <v/>
      </c>
      <c r="H22" s="256" t="str">
        <f>IF(D22="","",VLOOKUP(F22,製品マスタ!$G$5:$K$4999,5,FALSE))</f>
        <v/>
      </c>
      <c r="I22" s="200" t="str">
        <f>IF(D22="","",VLOOKUP(F22,製品マスタ!$G$5:$L$4999,6,FALSE))</f>
        <v/>
      </c>
      <c r="J22" s="203"/>
      <c r="K22" s="200" t="str">
        <f>IF(D22="","",VLOOKUP(D22,契約台帳!$A$3:$L$4986,12,FALSE))</f>
        <v/>
      </c>
      <c r="L22" s="200" t="str">
        <f>IF(D22="","",INDEX(製品マスタ!$Q$5:$Q$4999,MATCH('S4'!F22&amp;'S4'!K22,製品マスタ!$AO$5:$AO$4999,0)))</f>
        <v/>
      </c>
      <c r="M22" s="37"/>
      <c r="N22" s="37"/>
      <c r="O22" s="153"/>
      <c r="P22" s="45"/>
      <c r="Q22" s="54"/>
      <c r="R22" s="257" t="str">
        <f ca="1">IF(D22="","",IF(OFFSET(D22,-1,0)&lt;&gt;"","",IF(OR(J22="リード付け",J22="巻足し",J22="巻返しリード付け"),M22,VLOOKUP(D22,契約台帳!$A$3:$N$4986,14,FALSE))))</f>
        <v/>
      </c>
      <c r="S22" s="258" t="str">
        <f ca="1">IF(D22="","",IF(OFFSET(D22,-1,0)&lt;&gt;"","",IF(OR(J22="リード付け",J22="巻足し",J22="巻返しリード付け"),M22,VLOOKUP(D22,契約台帳!$A$3:$O$4986,15,FALSE))))</f>
        <v/>
      </c>
      <c r="T22" s="258" t="str">
        <f ca="1">IF(D22="","",IF(J22="リード付け",N22,IF(J22="巻返しリード付け",N22,IF(J22="巻足し",N22*P22+OFFSET(N22,1,0)*OFFSET(P22,1,0),VLOOKUP(D22,契約台帳!$A$3:$P$4986,16,FALSE)))))</f>
        <v/>
      </c>
      <c r="U22" s="38"/>
      <c r="V22" s="259" t="str">
        <f ca="1">IF(D22="","",IF(OFFSET(D22,-2,0)=D22,"",VLOOKUP(D22,契約台帳!$A$3:$R$4986,18,FALSE)))</f>
        <v/>
      </c>
      <c r="W22" s="256" t="str">
        <f>IF(D22="","",IF(T22="","",IF(OR(J22="巻足し",J22="巻返しリード付け"),"",IF(J22="巻返し",VLOOKUP(F22&amp;K22&amp;M22,製品マスタ!$M$5:$AD$4999,18,FALSE),IF(OR(J22="リード付け",J22="巻返しリード付け"),"原反コア",IF(J22="スリット",VLOOKUP(F22&amp;K22&amp;R22,製品マスタ!$N$5:$AD$4999,17,FALSE),""))))))</f>
        <v/>
      </c>
      <c r="X22" s="256" t="str">
        <f>IF(D22="","",IF(T22="","",IF(J22="巻足し","",IF(J22="巻返し",VLOOKUP(F22&amp;K22&amp;M22,製品マスタ!$M$5:$AE$4999,19,FALSE),IF(OR(J22="リード付け",J22="巻返しリード付け"),"",IF(J22="スリット",VLOOKUP(F22&amp;K22&amp;R22,製品マスタ!$N$5:$AE$4999,18,FALSE),""))))))</f>
        <v/>
      </c>
      <c r="Y22" s="256" t="str">
        <f>IF(D22="","",IF(T22="","",VLOOKUP(D22,契約台帳!$A$3:$Q$4986,17,FALSE)))</f>
        <v/>
      </c>
      <c r="Z22" s="256" t="str">
        <f>IF(D22="","",IF(T22="","",VLOOKUP(D22,契約台帳!$A$3:$E$4986,5,FALSE)))</f>
        <v/>
      </c>
      <c r="AA22" s="54"/>
      <c r="AB22" s="200" t="str">
        <f>IFERROR((VLOOKUP(F22&amp;K22&amp;M22,製品マスタ!$M$5:$AM$4999,27,FALSE)),"")</f>
        <v/>
      </c>
      <c r="AC22" s="31"/>
      <c r="AD22" s="184"/>
      <c r="AE22" s="51"/>
      <c r="AF22" s="52"/>
      <c r="AG22" s="41"/>
      <c r="AH22" s="45"/>
      <c r="AI22" s="28"/>
      <c r="AJ22" s="28"/>
      <c r="AK22" s="28"/>
      <c r="AL22" s="28"/>
      <c r="AM22" s="12"/>
      <c r="AN22" s="12"/>
      <c r="AO22" s="12"/>
      <c r="AP22" s="12"/>
      <c r="AQ22" s="12"/>
      <c r="AR22" s="13"/>
      <c r="AS22" s="14"/>
    </row>
    <row r="23" spans="1:45" s="16" customFormat="1" ht="30.95" hidden="1" customHeight="1" x14ac:dyDescent="0.2">
      <c r="A23" s="35"/>
      <c r="B23" s="36"/>
      <c r="C23" s="43"/>
      <c r="D23" s="29">
        <v>3694106</v>
      </c>
      <c r="E23" s="29">
        <v>4161766</v>
      </c>
      <c r="F23" s="255" t="str">
        <f>IF(D23="","",VLOOKUP(D23,契約台帳!$A$3:$K$4986,6,FALSE)&amp;VLOOKUP(D23,契約台帳!$A$3:$K$4986,7,FALSE)&amp;VLOOKUP(D23,契約台帳!$A$3:$K$4986,8,FALSE)&amp;VLOOKUP(D23,契約台帳!$A$3:$K$4986,9,FALSE)&amp;VLOOKUP(D23,契約台帳!$A$3:$K$4986,11,FALSE))</f>
        <v>3SNMLBMNGKBF</v>
      </c>
      <c r="G23" s="256" t="str">
        <f>IF(D23="","",VLOOKUP(F23,製品マスタ!$G$5:$H$4999,2,FALSE))</f>
        <v>S</v>
      </c>
      <c r="H23" s="256" t="str">
        <f>IF(D23="","",VLOOKUP(F23,製品マスタ!$G$5:$K$4999,5,FALSE))</f>
        <v>MNGKBF</v>
      </c>
      <c r="I23" s="200" t="str">
        <f>IF(D23="","",VLOOKUP(F23,製品マスタ!$G$5:$L$4999,6,FALSE))</f>
        <v>メタルミー　ネーマー銀消　Ｂ</v>
      </c>
      <c r="J23" s="203" t="s">
        <v>736</v>
      </c>
      <c r="K23" s="200">
        <f>IF(D23="","",VLOOKUP(D23,契約台帳!$A$3:$L$4986,12,FALSE))</f>
        <v>50</v>
      </c>
      <c r="L23" s="200" t="str">
        <f>IF(D23="","",INDEX(製品マスタ!$Q$5:$Q$4999,MATCH('S4'!F23&amp;'S4'!K23,製品マスタ!$AO$5:$AO$4999,0)))</f>
        <v>MAT</v>
      </c>
      <c r="M23" s="37">
        <v>1050</v>
      </c>
      <c r="N23" s="37">
        <v>4100</v>
      </c>
      <c r="O23" s="153">
        <v>3</v>
      </c>
      <c r="P23" s="45">
        <v>3</v>
      </c>
      <c r="Q23" s="206">
        <v>45287</v>
      </c>
      <c r="R23" s="257">
        <f ca="1">IF(D23="","",IF(OFFSET(D23,-1,0)&lt;&gt;"","",IF(OR(J23="リード付け",J23="巻足し",J23="巻返しリード付け"),M23,VLOOKUP(D23,契約台帳!$A$3:$N$4986,14,FALSE))))</f>
        <v>1050</v>
      </c>
      <c r="S23" s="258">
        <f ca="1">IF(D23="","",IF(OFFSET(D23,-1,0)&lt;&gt;"","",IF(OR(J23="リード付け",J23="巻足し",J23="巻返しリード付け"),M23,VLOOKUP(D23,契約台帳!$A$3:$O$4986,15,FALSE))))</f>
        <v>1050</v>
      </c>
      <c r="T23" s="258">
        <f ca="1">IF(D23="","",IF(J23="リード付け",N23,IF(J23="巻返しリード付け",N23,IF(J23="巻足し",N23*P23+OFFSET(N23,1,0)*OFFSET(P23,1,0),VLOOKUP(D23,契約台帳!$A$3:$P$4986,16,FALSE)))))</f>
        <v>12300</v>
      </c>
      <c r="U23" s="38">
        <v>1</v>
      </c>
      <c r="V23" s="259">
        <f ca="1">IF(D23="","",IF(OFFSET(D23,-2,0)=D23,"",VLOOKUP(D23,契約台帳!$A$3:$R$4986,18,FALSE)))</f>
        <v>3</v>
      </c>
      <c r="W23" s="256" t="str">
        <f ca="1">IF(D23="","",IF(T23="","",IF(OR(J23="巻足し",J23="巻返しリード付け"),"",IF(J23="巻返し",VLOOKUP(F23&amp;K23&amp;M23,製品マスタ!$M$5:$AD$4999,18,FALSE),IF(OR(J23="リード付け",J23="巻返しリード付け"),"原反コア",IF(J23="スリット",VLOOKUP(F23&amp;K23&amp;R23,製品マスタ!$N$5:$AD$4999,17,FALSE),""))))))</f>
        <v/>
      </c>
      <c r="X23" s="256" t="str">
        <f ca="1">IF(D23="","",IF(T23="","",IF(J23="巻足し","",IF(J23="巻返し",VLOOKUP(F23&amp;K23&amp;M23,製品マスタ!$M$5:$AE$4999,19,FALSE),IF(OR(J23="リード付け",J23="巻返しリード付け"),"",IF(J23="スリット",VLOOKUP(F23&amp;K23&amp;R23,製品マスタ!$N$5:$AE$4999,18,FALSE),""))))))</f>
        <v/>
      </c>
      <c r="Y23" s="256">
        <f ca="1">IF(D23="","",IF(T23="","",VLOOKUP(D23,契約台帳!$A$3:$Q$4986,17,FALSE)))</f>
        <v>2</v>
      </c>
      <c r="Z23" s="256" t="str">
        <f ca="1">IF(D23="","",IF(T23="","",VLOOKUP(D23,契約台帳!$A$3:$E$4986,5,FALSE)))</f>
        <v>リンテック㈱</v>
      </c>
      <c r="AA23" s="54"/>
      <c r="AB23" s="200">
        <f>IFERROR((VLOOKUP(F23&amp;K23&amp;M23,製品マスタ!$M$5:$AM$4999,27,FALSE)),"")</f>
        <v>0</v>
      </c>
      <c r="AC23" s="31"/>
      <c r="AD23" s="184"/>
      <c r="AE23" s="51"/>
      <c r="AF23" s="52"/>
      <c r="AG23" s="41"/>
      <c r="AH23" s="45"/>
      <c r="AI23" s="28"/>
      <c r="AJ23" s="28"/>
      <c r="AK23" s="28"/>
      <c r="AL23" s="28"/>
      <c r="AM23" s="12"/>
      <c r="AN23" s="12"/>
      <c r="AO23" s="12"/>
      <c r="AP23" s="12"/>
      <c r="AQ23" s="12"/>
      <c r="AR23" s="13"/>
      <c r="AS23" s="14"/>
    </row>
    <row r="24" spans="1:45" s="16" customFormat="1" ht="30.95" hidden="1" customHeight="1" x14ac:dyDescent="0.2">
      <c r="A24" s="35"/>
      <c r="B24" s="36"/>
      <c r="C24" s="43"/>
      <c r="D24" s="29"/>
      <c r="E24" s="29"/>
      <c r="F24" s="255" t="str">
        <f>IF(D24="","",VLOOKUP(D24,契約台帳!$A$3:$K$4986,6,FALSE)&amp;VLOOKUP(D24,契約台帳!$A$3:$K$4986,7,FALSE)&amp;VLOOKUP(D24,契約台帳!$A$3:$K$4986,8,FALSE)&amp;VLOOKUP(D24,契約台帳!$A$3:$K$4986,9,FALSE)&amp;VLOOKUP(D24,契約台帳!$A$3:$K$4986,11,FALSE))</f>
        <v/>
      </c>
      <c r="G24" s="256" t="str">
        <f>IF(D24="","",VLOOKUP(F24,製品マスタ!$G$5:$H$4999,2,FALSE))</f>
        <v/>
      </c>
      <c r="H24" s="256" t="str">
        <f>IF(D24="","",VLOOKUP(F24,製品マスタ!$G$5:$K$4999,5,FALSE))</f>
        <v/>
      </c>
      <c r="I24" s="200" t="str">
        <f>IF(D24="","",VLOOKUP(F24,製品マスタ!$G$5:$L$4999,6,FALSE))</f>
        <v/>
      </c>
      <c r="J24" s="203"/>
      <c r="K24" s="200" t="str">
        <f>IF(D24="","",VLOOKUP(D24,契約台帳!$A$3:$L$4986,12,FALSE))</f>
        <v/>
      </c>
      <c r="L24" s="200" t="str">
        <f>IF(D24="","",INDEX(製品マスタ!$Q$5:$Q$4999,MATCH('S4'!F24&amp;'S4'!K24,製品マスタ!$AO$5:$AO$4999,0)))</f>
        <v/>
      </c>
      <c r="M24" s="37"/>
      <c r="N24" s="37"/>
      <c r="O24" s="153"/>
      <c r="P24" s="45"/>
      <c r="Q24" s="54"/>
      <c r="R24" s="257" t="str">
        <f ca="1">IF(D24="","",IF(OFFSET(D24,-1,0)&lt;&gt;"","",IF(OR(J24="リード付け",J24="巻足し",J24="巻返しリード付け"),M24,VLOOKUP(D24,契約台帳!$A$3:$N$4986,14,FALSE))))</f>
        <v/>
      </c>
      <c r="S24" s="258" t="str">
        <f ca="1">IF(D24="","",IF(OFFSET(D24,-1,0)&lt;&gt;"","",IF(OR(J24="リード付け",J24="巻足し",J24="巻返しリード付け"),M24,VLOOKUP(D24,契約台帳!$A$3:$O$4986,15,FALSE))))</f>
        <v/>
      </c>
      <c r="T24" s="258" t="str">
        <f ca="1">IF(D24="","",IF(J24="リード付け",N24,IF(J24="巻返しリード付け",N24,IF(J24="巻足し",N24*P24+OFFSET(N24,1,0)*OFFSET(P24,1,0),VLOOKUP(D24,契約台帳!$A$3:$P$4986,16,FALSE)))))</f>
        <v/>
      </c>
      <c r="U24" s="38"/>
      <c r="V24" s="259" t="str">
        <f ca="1">IF(D24="","",IF(OFFSET(D24,-2,0)=D24,"",VLOOKUP(D24,契約台帳!$A$3:$R$4986,18,FALSE)))</f>
        <v/>
      </c>
      <c r="W24" s="256" t="str">
        <f>IF(D24="","",IF(T24="","",IF(OR(J24="巻足し",J24="巻返しリード付け"),"",IF(J24="巻返し",VLOOKUP(F24&amp;K24&amp;M24,製品マスタ!$M$5:$AD$4999,18,FALSE),IF(OR(J24="リード付け",J24="巻返しリード付け"),"原反コア",IF(J24="スリット",VLOOKUP(F24&amp;K24&amp;R24,製品マスタ!$N$5:$AD$4999,17,FALSE),""))))))</f>
        <v/>
      </c>
      <c r="X24" s="256" t="str">
        <f>IF(D24="","",IF(T24="","",IF(J24="巻足し","",IF(J24="巻返し",VLOOKUP(F24&amp;K24&amp;M24,製品マスタ!$M$5:$AE$4999,19,FALSE),IF(OR(J24="リード付け",J24="巻返しリード付け"),"",IF(J24="スリット",VLOOKUP(F24&amp;K24&amp;R24,製品マスタ!$N$5:$AE$4999,18,FALSE),""))))))</f>
        <v/>
      </c>
      <c r="Y24" s="256" t="str">
        <f>IF(D24="","",IF(T24="","",VLOOKUP(D24,契約台帳!$A$3:$Q$4986,17,FALSE)))</f>
        <v/>
      </c>
      <c r="Z24" s="256" t="str">
        <f>IF(D24="","",IF(T24="","",VLOOKUP(D24,契約台帳!$A$3:$E$4986,5,FALSE)))</f>
        <v/>
      </c>
      <c r="AA24" s="54"/>
      <c r="AB24" s="200" t="str">
        <f>IFERROR((VLOOKUP(F24&amp;K24&amp;M24,製品マスタ!$M$5:$AM$4999,27,FALSE)),"")</f>
        <v/>
      </c>
      <c r="AC24" s="31"/>
      <c r="AD24" s="184"/>
      <c r="AE24" s="51"/>
      <c r="AF24" s="52"/>
      <c r="AG24" s="41"/>
      <c r="AH24" s="45"/>
      <c r="AI24" s="28"/>
      <c r="AJ24" s="28"/>
      <c r="AK24" s="28"/>
      <c r="AL24" s="28"/>
      <c r="AM24" s="12"/>
      <c r="AN24" s="12"/>
      <c r="AO24" s="12"/>
      <c r="AP24" s="12"/>
      <c r="AQ24" s="12"/>
      <c r="AR24" s="13"/>
      <c r="AS24" s="14"/>
    </row>
    <row r="25" spans="1:45" s="16" customFormat="1" ht="30.95" hidden="1" customHeight="1" x14ac:dyDescent="0.2">
      <c r="A25" s="35"/>
      <c r="B25" s="36"/>
      <c r="C25" s="43"/>
      <c r="D25" s="29">
        <v>3694105</v>
      </c>
      <c r="E25" s="29">
        <v>4161765</v>
      </c>
      <c r="F25" s="255" t="str">
        <f>IF(D25="","",VLOOKUP(D25,契約台帳!$A$3:$K$4986,6,FALSE)&amp;VLOOKUP(D25,契約台帳!$A$3:$K$4986,7,FALSE)&amp;VLOOKUP(D25,契約台帳!$A$3:$K$4986,8,FALSE)&amp;VLOOKUP(D25,契約台帳!$A$3:$K$4986,9,FALSE)&amp;VLOOKUP(D25,契約台帳!$A$3:$K$4986,11,FALSE))</f>
        <v>3SNMLBMNGKBF</v>
      </c>
      <c r="G25" s="256" t="str">
        <f>IF(D25="","",VLOOKUP(F25,製品マスタ!$G$5:$H$4999,2,FALSE))</f>
        <v>S</v>
      </c>
      <c r="H25" s="256" t="str">
        <f>IF(D25="","",VLOOKUP(F25,製品マスタ!$G$5:$K$4999,5,FALSE))</f>
        <v>MNGKBF</v>
      </c>
      <c r="I25" s="200" t="str">
        <f>IF(D25="","",VLOOKUP(F25,製品マスタ!$G$5:$L$4999,6,FALSE))</f>
        <v>メタルミー　ネーマー銀消　Ｂ</v>
      </c>
      <c r="J25" s="203" t="s">
        <v>736</v>
      </c>
      <c r="K25" s="200">
        <f>IF(D25="","",VLOOKUP(D25,契約台帳!$A$3:$L$4986,12,FALSE))</f>
        <v>38</v>
      </c>
      <c r="L25" s="200" t="str">
        <f>IF(D25="","",INDEX(製品マスタ!$Q$5:$Q$4999,MATCH('S4'!F25&amp;'S4'!K25,製品マスタ!$AO$5:$AO$4999,0)))</f>
        <v>LUMIMAT</v>
      </c>
      <c r="M25" s="37">
        <v>1005</v>
      </c>
      <c r="N25" s="37">
        <v>4100</v>
      </c>
      <c r="O25" s="153">
        <v>3</v>
      </c>
      <c r="P25" s="45">
        <v>3</v>
      </c>
      <c r="Q25" s="206">
        <v>45287</v>
      </c>
      <c r="R25" s="257">
        <f ca="1">IF(D25="","",IF(OFFSET(D25,-1,0)&lt;&gt;"","",IF(OR(J25="リード付け",J25="巻足し",J25="巻返しリード付け"),M25,VLOOKUP(D25,契約台帳!$A$3:$N$4986,14,FALSE))))</f>
        <v>1005</v>
      </c>
      <c r="S25" s="258">
        <f ca="1">IF(D25="","",IF(OFFSET(D25,-1,0)&lt;&gt;"","",IF(OR(J25="リード付け",J25="巻足し",J25="巻返しリード付け"),M25,VLOOKUP(D25,契約台帳!$A$3:$O$4986,15,FALSE))))</f>
        <v>1005</v>
      </c>
      <c r="T25" s="258">
        <f ca="1">IF(D25="","",IF(J25="リード付け",N25,IF(J25="巻返しリード付け",N25,IF(J25="巻足し",N25*P25+OFFSET(N25,1,0)*OFFSET(P25,1,0),VLOOKUP(D25,契約台帳!$A$3:$P$4986,16,FALSE)))))</f>
        <v>12300</v>
      </c>
      <c r="U25" s="38">
        <v>1</v>
      </c>
      <c r="V25" s="259">
        <f ca="1">IF(D25="","",IF(OFFSET(D25,-2,0)=D25,"",VLOOKUP(D25,契約台帳!$A$3:$R$4986,18,FALSE)))</f>
        <v>3</v>
      </c>
      <c r="W25" s="256" t="str">
        <f ca="1">IF(D25="","",IF(T25="","",IF(OR(J25="巻足し",J25="巻返しリード付け"),"",IF(J25="巻返し",VLOOKUP(F25&amp;K25&amp;M25,製品マスタ!$M$5:$AD$4999,18,FALSE),IF(OR(J25="リード付け",J25="巻返しリード付け"),"原反コア",IF(J25="スリット",VLOOKUP(F25&amp;K25&amp;R25,製品マスタ!$N$5:$AD$4999,17,FALSE),""))))))</f>
        <v/>
      </c>
      <c r="X25" s="256" t="str">
        <f ca="1">IF(D25="","",IF(T25="","",IF(J25="巻足し","",IF(J25="巻返し",VLOOKUP(F25&amp;K25&amp;M25,製品マスタ!$M$5:$AE$4999,19,FALSE),IF(OR(J25="リード付け",J25="巻返しリード付け"),"",IF(J25="スリット",VLOOKUP(F25&amp;K25&amp;R25,製品マスタ!$N$5:$AE$4999,18,FALSE),""))))))</f>
        <v/>
      </c>
      <c r="Y25" s="256">
        <f ca="1">IF(D25="","",IF(T25="","",VLOOKUP(D25,契約台帳!$A$3:$Q$4986,17,FALSE)))</f>
        <v>2</v>
      </c>
      <c r="Z25" s="256" t="str">
        <f ca="1">IF(D25="","",IF(T25="","",VLOOKUP(D25,契約台帳!$A$3:$E$4986,5,FALSE)))</f>
        <v>リンテック㈱</v>
      </c>
      <c r="AA25" s="54"/>
      <c r="AB25" s="200">
        <f>IFERROR((VLOOKUP(F25&amp;K25&amp;M25,製品マスタ!$M$5:$AM$4999,27,FALSE)),"")</f>
        <v>0</v>
      </c>
      <c r="AC25" s="31"/>
      <c r="AD25" s="184"/>
      <c r="AE25" s="51"/>
      <c r="AF25" s="52"/>
      <c r="AG25" s="41"/>
      <c r="AH25" s="45"/>
      <c r="AI25" s="28"/>
      <c r="AJ25" s="28"/>
      <c r="AK25" s="28"/>
      <c r="AL25" s="28"/>
      <c r="AM25" s="12"/>
      <c r="AN25" s="12"/>
      <c r="AO25" s="12"/>
      <c r="AP25" s="12"/>
      <c r="AQ25" s="12"/>
      <c r="AR25" s="13"/>
      <c r="AS25" s="14"/>
    </row>
    <row r="26" spans="1:45" s="16" customFormat="1" ht="30.95" hidden="1" customHeight="1" x14ac:dyDescent="0.2">
      <c r="A26" s="35"/>
      <c r="B26" s="36"/>
      <c r="C26" s="43"/>
      <c r="D26" s="29"/>
      <c r="E26" s="29"/>
      <c r="F26" s="255" t="str">
        <f>IF(D26="","",VLOOKUP(D26,契約台帳!$A$3:$K$4986,6,FALSE)&amp;VLOOKUP(D26,契約台帳!$A$3:$K$4986,7,FALSE)&amp;VLOOKUP(D26,契約台帳!$A$3:$K$4986,8,FALSE)&amp;VLOOKUP(D26,契約台帳!$A$3:$K$4986,9,FALSE)&amp;VLOOKUP(D26,契約台帳!$A$3:$K$4986,11,FALSE))</f>
        <v/>
      </c>
      <c r="G26" s="256" t="str">
        <f>IF(D26="","",VLOOKUP(F26,製品マスタ!$G$5:$H$4999,2,FALSE))</f>
        <v/>
      </c>
      <c r="H26" s="256" t="str">
        <f>IF(D26="","",VLOOKUP(F26,製品マスタ!$G$5:$K$4999,5,FALSE))</f>
        <v/>
      </c>
      <c r="I26" s="200" t="str">
        <f>IF(D26="","",VLOOKUP(F26,製品マスタ!$G$5:$L$4999,6,FALSE))</f>
        <v/>
      </c>
      <c r="J26" s="203"/>
      <c r="K26" s="200" t="str">
        <f>IF(D26="","",VLOOKUP(D26,契約台帳!$A$3:$L$4986,12,FALSE))</f>
        <v/>
      </c>
      <c r="L26" s="200" t="str">
        <f>IF(D26="","",INDEX(製品マスタ!$Q$5:$Q$4999,MATCH('S4'!F26&amp;'S4'!K26,製品マスタ!$AO$5:$AO$4999,0)))</f>
        <v/>
      </c>
      <c r="M26" s="37"/>
      <c r="N26" s="37"/>
      <c r="O26" s="153"/>
      <c r="P26" s="45"/>
      <c r="Q26" s="54"/>
      <c r="R26" s="257" t="str">
        <f ca="1">IF(D26="","",IF(OFFSET(D26,-1,0)&lt;&gt;"","",IF(OR(J26="リード付け",J26="巻足し",J26="巻返しリード付け"),M26,VLOOKUP(D26,契約台帳!$A$3:$N$4986,14,FALSE))))</f>
        <v/>
      </c>
      <c r="S26" s="258" t="str">
        <f ca="1">IF(D26="","",IF(OFFSET(D26,-1,0)&lt;&gt;"","",IF(OR(J26="リード付け",J26="巻足し",J26="巻返しリード付け"),M26,VLOOKUP(D26,契約台帳!$A$3:$O$4986,15,FALSE))))</f>
        <v/>
      </c>
      <c r="T26" s="258" t="str">
        <f ca="1">IF(D26="","",IF(J26="リード付け",N26,IF(J26="巻返しリード付け",N26,IF(J26="巻足し",N26*P26+OFFSET(N26,1,0)*OFFSET(P26,1,0),VLOOKUP(D26,契約台帳!$A$3:$P$4986,16,FALSE)))))</f>
        <v/>
      </c>
      <c r="U26" s="38"/>
      <c r="V26" s="259" t="str">
        <f ca="1">IF(D26="","",IF(OFFSET(D26,-2,0)=D26,"",VLOOKUP(D26,契約台帳!$A$3:$R$4986,18,FALSE)))</f>
        <v/>
      </c>
      <c r="W26" s="256" t="str">
        <f>IF(D26="","",IF(T26="","",IF(OR(J26="巻足し",J26="巻返しリード付け"),"",IF(J26="巻返し",VLOOKUP(F26&amp;K26&amp;M26,製品マスタ!$M$5:$AD$4999,18,FALSE),IF(OR(J26="リード付け",J26="巻返しリード付け"),"原反コア",IF(J26="スリット",VLOOKUP(F26&amp;K26&amp;R26,製品マスタ!$N$5:$AD$4999,17,FALSE),""))))))</f>
        <v/>
      </c>
      <c r="X26" s="256" t="str">
        <f>IF(D26="","",IF(T26="","",IF(J26="巻足し","",IF(J26="巻返し",VLOOKUP(F26&amp;K26&amp;M26,製品マスタ!$M$5:$AE$4999,19,FALSE),IF(OR(J26="リード付け",J26="巻返しリード付け"),"",IF(J26="スリット",VLOOKUP(F26&amp;K26&amp;R26,製品マスタ!$N$5:$AE$4999,18,FALSE),""))))))</f>
        <v/>
      </c>
      <c r="Y26" s="256" t="str">
        <f>IF(D26="","",IF(T26="","",VLOOKUP(D26,契約台帳!$A$3:$Q$4986,17,FALSE)))</f>
        <v/>
      </c>
      <c r="Z26" s="256" t="str">
        <f>IF(D26="","",IF(T26="","",VLOOKUP(D26,契約台帳!$A$3:$E$4986,5,FALSE)))</f>
        <v/>
      </c>
      <c r="AA26" s="54"/>
      <c r="AB26" s="200" t="str">
        <f>IFERROR((VLOOKUP(F26&amp;K26&amp;M26,製品マスタ!$M$5:$AM$4999,27,FALSE)),"")</f>
        <v/>
      </c>
      <c r="AC26" s="31"/>
      <c r="AD26" s="184"/>
      <c r="AE26" s="51"/>
      <c r="AF26" s="52"/>
      <c r="AG26" s="41"/>
      <c r="AH26" s="45"/>
      <c r="AI26" s="28"/>
      <c r="AJ26" s="28"/>
      <c r="AK26" s="28"/>
      <c r="AL26" s="28"/>
      <c r="AM26" s="12"/>
      <c r="AN26" s="12"/>
      <c r="AO26" s="12"/>
      <c r="AP26" s="12"/>
      <c r="AQ26" s="12"/>
      <c r="AR26" s="13"/>
      <c r="AS26" s="14"/>
    </row>
    <row r="27" spans="1:45" s="16" customFormat="1" ht="30.95" hidden="1" customHeight="1" x14ac:dyDescent="0.2">
      <c r="A27" s="35"/>
      <c r="B27" s="36"/>
      <c r="C27" s="43"/>
      <c r="D27" s="29">
        <v>3694111</v>
      </c>
      <c r="E27" s="29">
        <v>4161771</v>
      </c>
      <c r="F27" s="255" t="str">
        <f>IF(D27="","",VLOOKUP(D27,契約台帳!$A$3:$K$4986,6,FALSE)&amp;VLOOKUP(D27,契約台帳!$A$3:$K$4986,7,FALSE)&amp;VLOOKUP(D27,契約台帳!$A$3:$K$4986,8,FALSE)&amp;VLOOKUP(D27,契約台帳!$A$3:$K$4986,9,FALSE)&amp;VLOOKUP(D27,契約台帳!$A$3:$K$4986,11,FALSE))</f>
        <v>3SNMLBMNGTBF</v>
      </c>
      <c r="G27" s="256" t="str">
        <f>IF(D27="","",VLOOKUP(F27,製品マスタ!$G$5:$H$4999,2,FALSE))</f>
        <v>S</v>
      </c>
      <c r="H27" s="256" t="str">
        <f>IF(D27="","",VLOOKUP(F27,製品マスタ!$G$5:$K$4999,5,FALSE))</f>
        <v>MNGTBF</v>
      </c>
      <c r="I27" s="200" t="str">
        <f>IF(D27="","",VLOOKUP(F27,製品マスタ!$G$5:$L$4999,6,FALSE))</f>
        <v>メタルミー　ネーマー　銀艶　Ｂ</v>
      </c>
      <c r="J27" s="203" t="s">
        <v>736</v>
      </c>
      <c r="K27" s="200">
        <f>IF(D27="","",VLOOKUP(D27,契約台帳!$A$3:$L$4986,12,FALSE))</f>
        <v>50</v>
      </c>
      <c r="L27" s="200" t="str">
        <f>IF(D27="","",INDEX(製品マスタ!$Q$5:$Q$4999,MATCH('S4'!F27&amp;'S4'!K27,製品マスタ!$AO$5:$AO$4999,0)))</f>
        <v>T62</v>
      </c>
      <c r="M27" s="37">
        <v>1120</v>
      </c>
      <c r="N27" s="37">
        <v>5000</v>
      </c>
      <c r="O27" s="153">
        <v>4</v>
      </c>
      <c r="P27" s="45">
        <v>2</v>
      </c>
      <c r="Q27" s="206">
        <v>44566</v>
      </c>
      <c r="R27" s="257">
        <f ca="1">IF(D27="","",IF(OFFSET(D27,-1,0)&lt;&gt;"","",IF(OR(J27="リード付け",J27="巻足し",J27="巻返しリード付け"),M27,VLOOKUP(D27,契約台帳!$A$3:$N$4986,14,FALSE))))</f>
        <v>1120</v>
      </c>
      <c r="S27" s="258">
        <f ca="1">IF(D27="","",IF(OFFSET(D27,-1,0)&lt;&gt;"","",IF(OR(J27="リード付け",J27="巻足し",J27="巻返しリード付け"),M27,VLOOKUP(D27,契約台帳!$A$3:$O$4986,15,FALSE))))</f>
        <v>1120</v>
      </c>
      <c r="T27" s="258">
        <f ca="1">IF(D27="","",IF(J27="リード付け",N27,IF(J27="巻返しリード付け",N27,IF(J27="巻足し",N27*P27+OFFSET(N27,1,0)*OFFSET(P27,1,0),VLOOKUP(D27,契約台帳!$A$3:$P$4986,16,FALSE)))))</f>
        <v>10000</v>
      </c>
      <c r="U27" s="38">
        <v>2</v>
      </c>
      <c r="V27" s="259">
        <f ca="1">IF(D27="","",IF(OFFSET(D27,-2,0)=D27,"",VLOOKUP(D27,契約台帳!$A$3:$R$4986,18,FALSE)))</f>
        <v>12</v>
      </c>
      <c r="W27" s="256" t="str">
        <f ca="1">IF(D27="","",IF(T27="","",IF(OR(J27="巻足し",J27="巻返しリード付け"),"",IF(J27="巻返し",VLOOKUP(F27&amp;K27&amp;M27,製品マスタ!$M$5:$AD$4999,18,FALSE),IF(OR(J27="リード付け",J27="巻返しリード付け"),"原反コア",IF(J27="スリット",VLOOKUP(F27&amp;K27&amp;R27,製品マスタ!$N$5:$AD$4999,17,FALSE),""))))))</f>
        <v/>
      </c>
      <c r="X27" s="256" t="str">
        <f ca="1">IF(D27="","",IF(T27="","",IF(J27="巻足し","",IF(J27="巻返し",VLOOKUP(F27&amp;K27&amp;M27,製品マスタ!$M$5:$AE$4999,19,FALSE),IF(OR(J27="リード付け",J27="巻返しリード付け"),"",IF(J27="スリット",VLOOKUP(F27&amp;K27&amp;R27,製品マスタ!$N$5:$AE$4999,18,FALSE),""))))))</f>
        <v/>
      </c>
      <c r="Y27" s="256">
        <f ca="1">IF(D27="","",IF(T27="","",VLOOKUP(D27,契約台帳!$A$3:$Q$4986,17,FALSE)))</f>
        <v>2</v>
      </c>
      <c r="Z27" s="256" t="str">
        <f ca="1">IF(D27="","",IF(T27="","",VLOOKUP(D27,契約台帳!$A$3:$E$4986,5,FALSE)))</f>
        <v>リンテック㈱</v>
      </c>
      <c r="AA27" s="54"/>
      <c r="AB27" s="200" t="str">
        <f>IFERROR((VLOOKUP(F27&amp;K27&amp;M27,製品マスタ!$M$5:$AM$4999,27,FALSE)),"")</f>
        <v>原反ケース再利用</v>
      </c>
      <c r="AC27" s="31"/>
      <c r="AD27" s="184"/>
      <c r="AE27" s="51"/>
      <c r="AF27" s="52"/>
      <c r="AG27" s="41"/>
      <c r="AH27" s="45"/>
      <c r="AI27" s="28"/>
      <c r="AJ27" s="28"/>
      <c r="AK27" s="28"/>
      <c r="AL27" s="28"/>
      <c r="AM27" s="12"/>
      <c r="AN27" s="12"/>
      <c r="AO27" s="12"/>
      <c r="AP27" s="12"/>
      <c r="AQ27" s="12"/>
      <c r="AR27" s="13"/>
      <c r="AS27" s="14"/>
    </row>
    <row r="28" spans="1:45" s="16" customFormat="1" ht="30.95" hidden="1" customHeight="1" x14ac:dyDescent="0.2">
      <c r="A28" s="35"/>
      <c r="B28" s="36"/>
      <c r="C28" s="43"/>
      <c r="D28" s="29"/>
      <c r="E28" s="29"/>
      <c r="F28" s="255" t="str">
        <f>IF(D28="","",VLOOKUP(D28,契約台帳!$A$3:$K$4986,6,FALSE)&amp;VLOOKUP(D28,契約台帳!$A$3:$K$4986,7,FALSE)&amp;VLOOKUP(D28,契約台帳!$A$3:$K$4986,8,FALSE)&amp;VLOOKUP(D28,契約台帳!$A$3:$K$4986,9,FALSE)&amp;VLOOKUP(D28,契約台帳!$A$3:$K$4986,11,FALSE))</f>
        <v/>
      </c>
      <c r="G28" s="256" t="str">
        <f>IF(D28="","",VLOOKUP(F28,製品マスタ!$G$5:$H$4999,2,FALSE))</f>
        <v/>
      </c>
      <c r="H28" s="256" t="str">
        <f>IF(D28="","",VLOOKUP(F28,製品マスタ!$G$5:$K$4999,5,FALSE))</f>
        <v/>
      </c>
      <c r="I28" s="200" t="str">
        <f>IF(D28="","",VLOOKUP(F28,製品マスタ!$G$5:$L$4999,6,FALSE))</f>
        <v/>
      </c>
      <c r="J28" s="203"/>
      <c r="K28" s="200" t="str">
        <f>IF(D28="","",VLOOKUP(D28,契約台帳!$A$3:$L$4986,12,FALSE))</f>
        <v/>
      </c>
      <c r="L28" s="200" t="str">
        <f>IF(D28="","",INDEX(製品マスタ!$Q$5:$Q$4999,MATCH('S4'!F28&amp;'S4'!K28,製品マスタ!$AO$5:$AO$4999,0)))</f>
        <v/>
      </c>
      <c r="M28" s="37"/>
      <c r="N28" s="37"/>
      <c r="O28" s="153"/>
      <c r="P28" s="45"/>
      <c r="Q28" s="54"/>
      <c r="R28" s="257" t="str">
        <f ca="1">IF(D28="","",IF(OFFSET(D28,-1,0)&lt;&gt;"","",IF(OR(J28="リード付け",J28="巻足し",J28="巻返しリード付け"),M28,VLOOKUP(D28,契約台帳!$A$3:$N$4986,14,FALSE))))</f>
        <v/>
      </c>
      <c r="S28" s="258" t="str">
        <f ca="1">IF(D28="","",IF(OFFSET(D28,-1,0)&lt;&gt;"","",IF(OR(J28="リード付け",J28="巻足し",J28="巻返しリード付け"),M28,VLOOKUP(D28,契約台帳!$A$3:$O$4986,15,FALSE))))</f>
        <v/>
      </c>
      <c r="T28" s="258" t="str">
        <f ca="1">IF(D28="","",IF(J28="リード付け",N28,IF(J28="巻返しリード付け",N28,IF(J28="巻足し",N28*P28+OFFSET(N28,1,0)*OFFSET(P28,1,0),VLOOKUP(D28,契約台帳!$A$3:$P$4986,16,FALSE)))))</f>
        <v/>
      </c>
      <c r="U28" s="38"/>
      <c r="V28" s="259" t="str">
        <f ca="1">IF(D28="","",IF(OFFSET(D28,-2,0)=D28,"",VLOOKUP(D28,契約台帳!$A$3:$R$4986,18,FALSE)))</f>
        <v/>
      </c>
      <c r="W28" s="256" t="str">
        <f>IF(D28="","",IF(T28="","",IF(OR(J28="巻足し",J28="巻返しリード付け"),"",IF(J28="巻返し",VLOOKUP(F28&amp;K28&amp;M28,製品マスタ!$M$5:$AD$4999,18,FALSE),IF(OR(J28="リード付け",J28="巻返しリード付け"),"原反コア",IF(J28="スリット",VLOOKUP(F28&amp;K28&amp;R28,製品マスタ!$N$5:$AD$4999,17,FALSE),""))))))</f>
        <v/>
      </c>
      <c r="X28" s="256" t="str">
        <f>IF(D28="","",IF(T28="","",IF(J28="巻足し","",IF(J28="巻返し",VLOOKUP(F28&amp;K28&amp;M28,製品マスタ!$M$5:$AE$4999,19,FALSE),IF(OR(J28="リード付け",J28="巻返しリード付け"),"",IF(J28="スリット",VLOOKUP(F28&amp;K28&amp;R28,製品マスタ!$N$5:$AE$4999,18,FALSE),""))))))</f>
        <v/>
      </c>
      <c r="Y28" s="256" t="str">
        <f>IF(D28="","",IF(T28="","",VLOOKUP(D28,契約台帳!$A$3:$Q$4986,17,FALSE)))</f>
        <v/>
      </c>
      <c r="Z28" s="256" t="str">
        <f>IF(D28="","",IF(T28="","",VLOOKUP(D28,契約台帳!$A$3:$E$4986,5,FALSE)))</f>
        <v/>
      </c>
      <c r="AA28" s="54"/>
      <c r="AB28" s="200" t="str">
        <f>IFERROR((VLOOKUP(F28&amp;K28&amp;M28,製品マスタ!$M$5:$AM$4999,27,FALSE)),"")</f>
        <v/>
      </c>
      <c r="AC28" s="31"/>
      <c r="AD28" s="184"/>
      <c r="AE28" s="51"/>
      <c r="AF28" s="52"/>
      <c r="AG28" s="41"/>
      <c r="AH28" s="45"/>
      <c r="AI28" s="28"/>
      <c r="AJ28" s="28"/>
      <c r="AK28" s="28"/>
      <c r="AL28" s="28"/>
      <c r="AM28" s="12"/>
      <c r="AN28" s="12"/>
      <c r="AO28" s="12"/>
      <c r="AP28" s="12"/>
      <c r="AQ28" s="12"/>
      <c r="AR28" s="13"/>
      <c r="AS28" s="14"/>
    </row>
    <row r="29" spans="1:45" s="16" customFormat="1" ht="30.95" hidden="1" customHeight="1" x14ac:dyDescent="0.2">
      <c r="A29" s="35" t="s">
        <v>758</v>
      </c>
      <c r="B29" s="36" t="s">
        <v>747</v>
      </c>
      <c r="C29" s="43"/>
      <c r="D29" s="29">
        <v>3694111</v>
      </c>
      <c r="E29" s="29">
        <v>4161771</v>
      </c>
      <c r="F29" s="255" t="str">
        <f>IF(D29="","",VLOOKUP(D29,契約台帳!$A$3:$K$4986,6,FALSE)&amp;VLOOKUP(D29,契約台帳!$A$3:$K$4986,7,FALSE)&amp;VLOOKUP(D29,契約台帳!$A$3:$K$4986,8,FALSE)&amp;VLOOKUP(D29,契約台帳!$A$3:$K$4986,9,FALSE)&amp;VLOOKUP(D29,契約台帳!$A$3:$K$4986,11,FALSE))</f>
        <v>3SNMLBMNGTBF</v>
      </c>
      <c r="G29" s="256" t="str">
        <f>IF(D29="","",VLOOKUP(F29,製品マスタ!$G$5:$H$4999,2,FALSE))</f>
        <v>S</v>
      </c>
      <c r="H29" s="256" t="str">
        <f>IF(D29="","",VLOOKUP(F29,製品マスタ!$G$5:$K$4999,5,FALSE))</f>
        <v>MNGTBF</v>
      </c>
      <c r="I29" s="200" t="str">
        <f>IF(D29="","",VLOOKUP(F29,製品マスタ!$G$5:$L$4999,6,FALSE))</f>
        <v>メタルミー　ネーマー　銀艶　Ｂ</v>
      </c>
      <c r="J29" s="203" t="s">
        <v>736</v>
      </c>
      <c r="K29" s="200">
        <f>IF(D29="","",VLOOKUP(D29,契約台帳!$A$3:$L$4986,12,FALSE))</f>
        <v>50</v>
      </c>
      <c r="L29" s="200" t="str">
        <f>IF(D29="","",INDEX(製品マスタ!$Q$5:$Q$4999,MATCH('S4'!F29&amp;'S4'!K29,製品マスタ!$AO$5:$AO$4999,0)))</f>
        <v>T62</v>
      </c>
      <c r="M29" s="37">
        <v>1120</v>
      </c>
      <c r="N29" s="37">
        <v>5000</v>
      </c>
      <c r="O29" s="153">
        <v>8</v>
      </c>
      <c r="P29" s="45">
        <v>2</v>
      </c>
      <c r="Q29" s="206">
        <v>44566</v>
      </c>
      <c r="R29" s="257">
        <f ca="1">IF(D29="","",IF(OFFSET(D29,-1,0)&lt;&gt;"","",IF(OR(J29="リード付け",J29="巻足し",J29="巻返しリード付け"),M29,VLOOKUP(D29,契約台帳!$A$3:$N$4986,14,FALSE))))</f>
        <v>1120</v>
      </c>
      <c r="S29" s="258">
        <f ca="1">IF(D29="","",IF(OFFSET(D29,-1,0)&lt;&gt;"","",IF(OR(J29="リード付け",J29="巻足し",J29="巻返しリード付け"),M29,VLOOKUP(D29,契約台帳!$A$3:$O$4986,15,FALSE))))</f>
        <v>1120</v>
      </c>
      <c r="T29" s="258">
        <f ca="1">IF(D29="","",IF(J29="リード付け",N29,IF(J29="巻返しリード付け",N29,IF(J29="巻足し",N29*P29+OFFSET(N29,1,0)*OFFSET(P29,1,0),VLOOKUP(D29,契約台帳!$A$3:$P$4986,16,FALSE)))))</f>
        <v>10000</v>
      </c>
      <c r="U29" s="38">
        <v>4</v>
      </c>
      <c r="V29" s="259" t="str">
        <f ca="1">IF(D29="","",IF(OFFSET(D29,-2,0)=D29,"",VLOOKUP(D29,契約台帳!$A$3:$R$4986,18,FALSE)))</f>
        <v/>
      </c>
      <c r="W29" s="256" t="str">
        <f ca="1">IF(D29="","",IF(T29="","",IF(OR(J29="巻足し",J29="巻返しリード付け"),"",IF(J29="巻返し",VLOOKUP(F29&amp;K29&amp;M29,製品マスタ!$M$5:$AD$4999,18,FALSE),IF(OR(J29="リード付け",J29="巻返しリード付け"),"原反コア",IF(J29="スリット",VLOOKUP(F29&amp;K29&amp;R29,製品マスタ!$N$5:$AD$4999,17,FALSE),""))))))</f>
        <v/>
      </c>
      <c r="X29" s="256" t="str">
        <f ca="1">IF(D29="","",IF(T29="","",IF(J29="巻足し","",IF(J29="巻返し",VLOOKUP(F29&amp;K29&amp;M29,製品マスタ!$M$5:$AE$4999,19,FALSE),IF(OR(J29="リード付け",J29="巻返しリード付け"),"",IF(J29="スリット",VLOOKUP(F29&amp;K29&amp;R29,製品マスタ!$N$5:$AE$4999,18,FALSE),""))))))</f>
        <v/>
      </c>
      <c r="Y29" s="256">
        <f ca="1">IF(D29="","",IF(T29="","",VLOOKUP(D29,契約台帳!$A$3:$Q$4986,17,FALSE)))</f>
        <v>2</v>
      </c>
      <c r="Z29" s="256" t="str">
        <f ca="1">IF(D29="","",IF(T29="","",VLOOKUP(D29,契約台帳!$A$3:$E$4986,5,FALSE)))</f>
        <v>リンテック㈱</v>
      </c>
      <c r="AA29" s="54"/>
      <c r="AB29" s="200" t="str">
        <f>IFERROR((VLOOKUP(F29&amp;K29&amp;M29,製品マスタ!$M$5:$AM$4999,27,FALSE)),"")</f>
        <v>原反ケース再利用</v>
      </c>
      <c r="AC29" s="31"/>
      <c r="AD29" s="184"/>
      <c r="AE29" s="51"/>
      <c r="AF29" s="52"/>
      <c r="AG29" s="41"/>
      <c r="AH29" s="45"/>
      <c r="AI29" s="28"/>
      <c r="AJ29" s="28"/>
      <c r="AK29" s="28"/>
      <c r="AL29" s="28"/>
      <c r="AM29" s="12"/>
      <c r="AN29" s="12"/>
      <c r="AO29" s="12"/>
      <c r="AP29" s="12"/>
      <c r="AQ29" s="12"/>
      <c r="AR29" s="13"/>
      <c r="AS29" s="14"/>
    </row>
    <row r="30" spans="1:45" s="16" customFormat="1" ht="30.95" hidden="1" customHeight="1" x14ac:dyDescent="0.2">
      <c r="A30" s="35"/>
      <c r="B30" s="36"/>
      <c r="C30" s="43"/>
      <c r="D30" s="29"/>
      <c r="E30" s="29"/>
      <c r="F30" s="255" t="str">
        <f>IF(D30="","",VLOOKUP(D30,契約台帳!$A$3:$K$4986,6,FALSE)&amp;VLOOKUP(D30,契約台帳!$A$3:$K$4986,7,FALSE)&amp;VLOOKUP(D30,契約台帳!$A$3:$K$4986,8,FALSE)&amp;VLOOKUP(D30,契約台帳!$A$3:$K$4986,9,FALSE)&amp;VLOOKUP(D30,契約台帳!$A$3:$K$4986,11,FALSE))</f>
        <v/>
      </c>
      <c r="G30" s="256" t="str">
        <f>IF(D30="","",VLOOKUP(F30,製品マスタ!$G$5:$H$4999,2,FALSE))</f>
        <v/>
      </c>
      <c r="H30" s="256" t="str">
        <f>IF(D30="","",VLOOKUP(F30,製品マスタ!$G$5:$K$4999,5,FALSE))</f>
        <v/>
      </c>
      <c r="I30" s="200" t="str">
        <f>IF(D30="","",VLOOKUP(F30,製品マスタ!$G$5:$L$4999,6,FALSE))</f>
        <v/>
      </c>
      <c r="J30" s="203"/>
      <c r="K30" s="200" t="str">
        <f>IF(D30="","",VLOOKUP(D30,契約台帳!$A$3:$L$4986,12,FALSE))</f>
        <v/>
      </c>
      <c r="L30" s="200" t="str">
        <f>IF(D30="","",INDEX(製品マスタ!$Q$5:$Q$4999,MATCH('S4'!F30&amp;'S4'!K30,製品マスタ!$AO$5:$AO$4999,0)))</f>
        <v/>
      </c>
      <c r="M30" s="37"/>
      <c r="N30" s="37"/>
      <c r="O30" s="153"/>
      <c r="P30" s="45"/>
      <c r="Q30" s="54"/>
      <c r="R30" s="257" t="str">
        <f ca="1">IF(D30="","",IF(OFFSET(D30,-1,0)&lt;&gt;"","",IF(OR(J30="リード付け",J30="巻足し",J30="巻返しリード付け"),M30,VLOOKUP(D30,契約台帳!$A$3:$N$4986,14,FALSE))))</f>
        <v/>
      </c>
      <c r="S30" s="258" t="str">
        <f ca="1">IF(D30="","",IF(OFFSET(D30,-1,0)&lt;&gt;"","",IF(OR(J30="リード付け",J30="巻足し",J30="巻返しリード付け"),M30,VLOOKUP(D30,契約台帳!$A$3:$O$4986,15,FALSE))))</f>
        <v/>
      </c>
      <c r="T30" s="258" t="str">
        <f ca="1">IF(D30="","",IF(J30="リード付け",N30,IF(J30="巻返しリード付け",N30,IF(J30="巻足し",N30*P30+OFFSET(N30,1,0)*OFFSET(P30,1,0),VLOOKUP(D30,契約台帳!$A$3:$P$4986,16,FALSE)))))</f>
        <v/>
      </c>
      <c r="U30" s="38"/>
      <c r="V30" s="259" t="str">
        <f ca="1">IF(D30="","",IF(OFFSET(D30,-2,0)=D30,"",VLOOKUP(D30,契約台帳!$A$3:$R$4986,18,FALSE)))</f>
        <v/>
      </c>
      <c r="W30" s="256" t="str">
        <f>IF(D30="","",IF(T30="","",IF(OR(J30="巻足し",J30="巻返しリード付け"),"",IF(J30="巻返し",VLOOKUP(F30&amp;K30&amp;M30,製品マスタ!$M$5:$AD$4999,18,FALSE),IF(OR(J30="リード付け",J30="巻返しリード付け"),"原反コア",IF(J30="スリット",VLOOKUP(F30&amp;K30&amp;R30,製品マスタ!$N$5:$AD$4999,17,FALSE),""))))))</f>
        <v/>
      </c>
      <c r="X30" s="256" t="str">
        <f>IF(D30="","",IF(T30="","",IF(J30="巻足し","",IF(J30="巻返し",VLOOKUP(F30&amp;K30&amp;M30,製品マスタ!$M$5:$AE$4999,19,FALSE),IF(OR(J30="リード付け",J30="巻返しリード付け"),"",IF(J30="スリット",VLOOKUP(F30&amp;K30&amp;R30,製品マスタ!$N$5:$AE$4999,18,FALSE),""))))))</f>
        <v/>
      </c>
      <c r="Y30" s="256" t="str">
        <f>IF(D30="","",IF(T30="","",VLOOKUP(D30,契約台帳!$A$3:$Q$4986,17,FALSE)))</f>
        <v/>
      </c>
      <c r="Z30" s="256" t="str">
        <f>IF(D30="","",IF(T30="","",VLOOKUP(D30,契約台帳!$A$3:$E$4986,5,FALSE)))</f>
        <v/>
      </c>
      <c r="AA30" s="54"/>
      <c r="AB30" s="200" t="str">
        <f>IFERROR((VLOOKUP(F30&amp;K30&amp;M30,製品マスタ!$M$5:$AM$4999,27,FALSE)),"")</f>
        <v/>
      </c>
      <c r="AC30" s="31"/>
      <c r="AD30" s="184"/>
      <c r="AE30" s="51"/>
      <c r="AF30" s="52"/>
      <c r="AG30" s="41"/>
      <c r="AH30" s="45"/>
      <c r="AI30" s="28"/>
      <c r="AJ30" s="28"/>
      <c r="AK30" s="28"/>
      <c r="AL30" s="28"/>
      <c r="AM30" s="12"/>
      <c r="AN30" s="12"/>
      <c r="AO30" s="12"/>
      <c r="AP30" s="12"/>
      <c r="AQ30" s="12"/>
      <c r="AR30" s="13"/>
      <c r="AS30" s="14"/>
    </row>
    <row r="31" spans="1:45" s="16" customFormat="1" ht="30.95" hidden="1" customHeight="1" x14ac:dyDescent="0.2">
      <c r="A31" s="35"/>
      <c r="B31" s="36"/>
      <c r="C31" s="43"/>
      <c r="D31" s="29">
        <v>3694120</v>
      </c>
      <c r="E31" s="29">
        <v>4161787</v>
      </c>
      <c r="F31" s="255" t="str">
        <f>IF(D31="","",VLOOKUP(D31,契約台帳!$A$3:$K$4986,6,FALSE)&amp;VLOOKUP(D31,契約台帳!$A$3:$K$4986,7,FALSE)&amp;VLOOKUP(D31,契約台帳!$A$3:$K$4986,8,FALSE)&amp;VLOOKUP(D31,契約台帳!$A$3:$K$4986,9,FALSE)&amp;VLOOKUP(D31,契約台帳!$A$3:$K$4986,11,FALSE))</f>
        <v>3SNMLBMNQR66F</v>
      </c>
      <c r="G31" s="256" t="str">
        <f>IF(D31="","",VLOOKUP(F31,製品マスタ!$G$5:$H$4999,2,FALSE))</f>
        <v>S</v>
      </c>
      <c r="H31" s="256" t="str">
        <f>IF(D31="","",VLOOKUP(F31,製品マスタ!$G$5:$K$4999,5,FALSE))</f>
        <v>MNQR66F</v>
      </c>
      <c r="I31" s="200" t="str">
        <f>IF(D31="","",VLOOKUP(F31,製品マスタ!$G$5:$L$4999,6,FALSE))</f>
        <v>ＱＲ６６蒸着品</v>
      </c>
      <c r="J31" s="203" t="s">
        <v>736</v>
      </c>
      <c r="K31" s="200">
        <f>IF(D31="","",VLOOKUP(D31,契約台帳!$A$3:$L$4986,12,FALSE))</f>
        <v>25</v>
      </c>
      <c r="L31" s="200" t="str">
        <f>IF(D31="","",INDEX(製品マスタ!$Q$5:$Q$4999,MATCH('S4'!F31&amp;'S4'!K31,製品マスタ!$AO$5:$AO$4999,0)))</f>
        <v>E315</v>
      </c>
      <c r="M31" s="37">
        <v>1100</v>
      </c>
      <c r="N31" s="37">
        <v>6000</v>
      </c>
      <c r="O31" s="153">
        <v>8</v>
      </c>
      <c r="P31" s="45">
        <v>4</v>
      </c>
      <c r="Q31" s="206">
        <v>44566</v>
      </c>
      <c r="R31" s="257">
        <f ca="1">IF(D31="","",IF(OFFSET(D31,-1,0)&lt;&gt;"","",IF(OR(J31="リード付け",J31="巻足し",J31="巻返しリード付け"),M31,VLOOKUP(D31,契約台帳!$A$3:$N$4986,14,FALSE))))</f>
        <v>1100</v>
      </c>
      <c r="S31" s="258">
        <f ca="1">IF(D31="","",IF(OFFSET(D31,-1,0)&lt;&gt;"","",IF(OR(J31="リード付け",J31="巻足し",J31="巻返しリード付け"),M31,VLOOKUP(D31,契約台帳!$A$3:$O$4986,15,FALSE))))</f>
        <v>1100</v>
      </c>
      <c r="T31" s="258">
        <f ca="1">IF(D31="","",IF(J31="リード付け",N31,IF(J31="巻返しリード付け",N31,IF(J31="巻足し",N31*P31+OFFSET(N31,1,0)*OFFSET(P31,1,0),VLOOKUP(D31,契約台帳!$A$3:$P$4986,16,FALSE)))))</f>
        <v>24000</v>
      </c>
      <c r="U31" s="38">
        <v>2</v>
      </c>
      <c r="V31" s="259">
        <f ca="1">IF(D31="","",IF(OFFSET(D31,-2,0)=D31,"",VLOOKUP(D31,契約台帳!$A$3:$R$4986,18,FALSE)))</f>
        <v>20</v>
      </c>
      <c r="W31" s="256" t="str">
        <f ca="1">IF(D31="","",IF(T31="","",IF(OR(J31="巻足し",J31="巻返しリード付け"),"",IF(J31="巻返し",VLOOKUP(F31&amp;K31&amp;M31,製品マスタ!$M$5:$AD$4999,18,FALSE),IF(OR(J31="リード付け",J31="巻返しリード付け"),"原反コア",IF(J31="スリット",VLOOKUP(F31&amp;K31&amp;R31,製品マスタ!$N$5:$AD$4999,17,FALSE),""))))))</f>
        <v/>
      </c>
      <c r="X31" s="256" t="str">
        <f ca="1">IF(D31="","",IF(T31="","",IF(J31="巻足し","",IF(J31="巻返し",VLOOKUP(F31&amp;K31&amp;M31,製品マスタ!$M$5:$AE$4999,19,FALSE),IF(OR(J31="リード付け",J31="巻返しリード付け"),"",IF(J31="スリット",VLOOKUP(F31&amp;K31&amp;R31,製品マスタ!$N$5:$AE$4999,18,FALSE),""))))))</f>
        <v/>
      </c>
      <c r="Y31" s="256">
        <f ca="1">IF(D31="","",IF(T31="","",VLOOKUP(D31,契約台帳!$A$3:$Q$4986,17,FALSE)))</f>
        <v>2</v>
      </c>
      <c r="Z31" s="256" t="str">
        <f ca="1">IF(D31="","",IF(T31="","",VLOOKUP(D31,契約台帳!$A$3:$E$4986,5,FALSE)))</f>
        <v>リンテック㈱</v>
      </c>
      <c r="AA31" s="54"/>
      <c r="AB31" s="200" t="str">
        <f>IFERROR((VLOOKUP(F31&amp;K31&amp;M31,製品マスタ!$M$5:$AM$4999,27,FALSE)),"")</f>
        <v>原反ケース再利用</v>
      </c>
      <c r="AC31" s="31"/>
      <c r="AD31" s="184"/>
      <c r="AE31" s="51"/>
      <c r="AF31" s="52"/>
      <c r="AG31" s="41"/>
      <c r="AH31" s="45"/>
      <c r="AI31" s="28"/>
      <c r="AJ31" s="28"/>
      <c r="AK31" s="28"/>
      <c r="AL31" s="28"/>
      <c r="AM31" s="12"/>
      <c r="AN31" s="12"/>
      <c r="AO31" s="12"/>
      <c r="AP31" s="12"/>
      <c r="AQ31" s="12"/>
      <c r="AR31" s="13"/>
      <c r="AS31" s="14"/>
    </row>
    <row r="32" spans="1:45" s="16" customFormat="1" ht="30.95" hidden="1" customHeight="1" x14ac:dyDescent="0.2">
      <c r="A32" s="35"/>
      <c r="B32" s="36"/>
      <c r="C32" s="43"/>
      <c r="D32" s="29"/>
      <c r="E32" s="29"/>
      <c r="F32" s="255" t="str">
        <f>IF(D32="","",VLOOKUP(D32,契約台帳!$A$3:$K$4986,6,FALSE)&amp;VLOOKUP(D32,契約台帳!$A$3:$K$4986,7,FALSE)&amp;VLOOKUP(D32,契約台帳!$A$3:$K$4986,8,FALSE)&amp;VLOOKUP(D32,契約台帳!$A$3:$K$4986,9,FALSE)&amp;VLOOKUP(D32,契約台帳!$A$3:$K$4986,11,FALSE))</f>
        <v/>
      </c>
      <c r="G32" s="256" t="str">
        <f>IF(D32="","",VLOOKUP(F32,製品マスタ!$G$5:$H$4999,2,FALSE))</f>
        <v/>
      </c>
      <c r="H32" s="256" t="str">
        <f>IF(D32="","",VLOOKUP(F32,製品マスタ!$G$5:$K$4999,5,FALSE))</f>
        <v/>
      </c>
      <c r="I32" s="200" t="str">
        <f>IF(D32="","",VLOOKUP(F32,製品マスタ!$G$5:$L$4999,6,FALSE))</f>
        <v/>
      </c>
      <c r="J32" s="203"/>
      <c r="K32" s="200" t="str">
        <f>IF(D32="","",VLOOKUP(D32,契約台帳!$A$3:$L$4986,12,FALSE))</f>
        <v/>
      </c>
      <c r="L32" s="200" t="str">
        <f>IF(D32="","",INDEX(製品マスタ!$Q$5:$Q$4999,MATCH('S4'!F32&amp;'S4'!K32,製品マスタ!$AO$5:$AO$4999,0)))</f>
        <v/>
      </c>
      <c r="M32" s="37"/>
      <c r="N32" s="37"/>
      <c r="O32" s="153"/>
      <c r="P32" s="45"/>
      <c r="Q32" s="54"/>
      <c r="R32" s="257" t="str">
        <f ca="1">IF(D32="","",IF(OFFSET(D32,-1,0)&lt;&gt;"","",IF(OR(J32="リード付け",J32="巻足し",J32="巻返しリード付け"),M32,VLOOKUP(D32,契約台帳!$A$3:$N$4986,14,FALSE))))</f>
        <v/>
      </c>
      <c r="S32" s="258" t="str">
        <f ca="1">IF(D32="","",IF(OFFSET(D32,-1,0)&lt;&gt;"","",IF(OR(J32="リード付け",J32="巻足し",J32="巻返しリード付け"),M32,VLOOKUP(D32,契約台帳!$A$3:$O$4986,15,FALSE))))</f>
        <v/>
      </c>
      <c r="T32" s="258" t="str">
        <f ca="1">IF(D32="","",IF(J32="リード付け",N32,IF(J32="巻返しリード付け",N32,IF(J32="巻足し",N32*P32+OFFSET(N32,1,0)*OFFSET(P32,1,0),VLOOKUP(D32,契約台帳!$A$3:$P$4986,16,FALSE)))))</f>
        <v/>
      </c>
      <c r="U32" s="38"/>
      <c r="V32" s="259" t="str">
        <f ca="1">IF(D32="","",IF(OFFSET(D32,-2,0)=D32,"",VLOOKUP(D32,契約台帳!$A$3:$R$4986,18,FALSE)))</f>
        <v/>
      </c>
      <c r="W32" s="256" t="str">
        <f>IF(D32="","",IF(T32="","",IF(OR(J32="巻足し",J32="巻返しリード付け"),"",IF(J32="巻返し",VLOOKUP(F32&amp;K32&amp;M32,製品マスタ!$M$5:$AD$4999,18,FALSE),IF(OR(J32="リード付け",J32="巻返しリード付け"),"原反コア",IF(J32="スリット",VLOOKUP(F32&amp;K32&amp;R32,製品マスタ!$N$5:$AD$4999,17,FALSE),""))))))</f>
        <v/>
      </c>
      <c r="X32" s="256" t="str">
        <f>IF(D32="","",IF(T32="","",IF(J32="巻足し","",IF(J32="巻返し",VLOOKUP(F32&amp;K32&amp;M32,製品マスタ!$M$5:$AE$4999,19,FALSE),IF(OR(J32="リード付け",J32="巻返しリード付け"),"",IF(J32="スリット",VLOOKUP(F32&amp;K32&amp;R32,製品マスタ!$N$5:$AE$4999,18,FALSE),""))))))</f>
        <v/>
      </c>
      <c r="Y32" s="256" t="str">
        <f>IF(D32="","",IF(T32="","",VLOOKUP(D32,契約台帳!$A$3:$Q$4986,17,FALSE)))</f>
        <v/>
      </c>
      <c r="Z32" s="256" t="str">
        <f>IF(D32="","",IF(T32="","",VLOOKUP(D32,契約台帳!$A$3:$E$4986,5,FALSE)))</f>
        <v/>
      </c>
      <c r="AA32" s="54"/>
      <c r="AB32" s="200" t="str">
        <f>IFERROR((VLOOKUP(F32&amp;K32&amp;M32,製品マスタ!$M$5:$AM$4999,27,FALSE)),"")</f>
        <v/>
      </c>
      <c r="AC32" s="31"/>
      <c r="AD32" s="184"/>
      <c r="AE32" s="51"/>
      <c r="AF32" s="52"/>
      <c r="AG32" s="41"/>
      <c r="AH32" s="45"/>
      <c r="AI32" s="28"/>
      <c r="AJ32" s="28"/>
      <c r="AK32" s="28"/>
      <c r="AL32" s="28"/>
      <c r="AM32" s="12"/>
      <c r="AN32" s="12"/>
      <c r="AO32" s="12"/>
      <c r="AP32" s="12"/>
      <c r="AQ32" s="12"/>
      <c r="AR32" s="13"/>
      <c r="AS32" s="14"/>
    </row>
    <row r="33" spans="1:45" s="16" customFormat="1" ht="30.95" hidden="1" customHeight="1" x14ac:dyDescent="0.2">
      <c r="A33" s="35" t="s">
        <v>759</v>
      </c>
      <c r="B33" s="36" t="s">
        <v>748</v>
      </c>
      <c r="C33" s="43"/>
      <c r="D33" s="29"/>
      <c r="E33" s="29"/>
      <c r="F33" s="255" t="str">
        <f>IF(D33="","",VLOOKUP(D33,契約台帳!$A$3:$K$4986,6,FALSE)&amp;VLOOKUP(D33,契約台帳!$A$3:$K$4986,7,FALSE)&amp;VLOOKUP(D33,契約台帳!$A$3:$K$4986,8,FALSE)&amp;VLOOKUP(D33,契約台帳!$A$3:$K$4986,9,FALSE)&amp;VLOOKUP(D33,契約台帳!$A$3:$K$4986,11,FALSE))</f>
        <v/>
      </c>
      <c r="G33" s="256" t="str">
        <f>IF(D33="","",VLOOKUP(F33,製品マスタ!$G$5:$H$4999,2,FALSE))</f>
        <v/>
      </c>
      <c r="H33" s="256" t="str">
        <f>IF(D33="","",VLOOKUP(F33,製品マスタ!$G$5:$K$4999,5,FALSE))</f>
        <v/>
      </c>
      <c r="I33" s="200" t="str">
        <f>IF(D33="","",VLOOKUP(F33,製品マスタ!$G$5:$L$4999,6,FALSE))</f>
        <v/>
      </c>
      <c r="J33" s="203" t="s">
        <v>448</v>
      </c>
      <c r="K33" s="200" t="str">
        <f>IF(D33="","",VLOOKUP(D33,契約台帳!$A$3:$L$4986,12,FALSE))</f>
        <v/>
      </c>
      <c r="L33" s="200" t="str">
        <f>IF(D33="","",INDEX(製品マスタ!$Q$5:$Q$4999,MATCH('S4'!F33&amp;'S4'!K33,製品マスタ!$AO$5:$AO$4999,0)))</f>
        <v/>
      </c>
      <c r="M33" s="37"/>
      <c r="N33" s="37"/>
      <c r="O33" s="153"/>
      <c r="P33" s="45"/>
      <c r="Q33" s="54"/>
      <c r="R33" s="257" t="str">
        <f ca="1">IF(D33="","",IF(OFFSET(D33,-1,0)&lt;&gt;"","",IF(OR(J33="リード付け",J33="巻足し",J33="巻返しリード付け"),M33,VLOOKUP(D33,契約台帳!$A$3:$N$4986,14,FALSE))))</f>
        <v/>
      </c>
      <c r="S33" s="258" t="str">
        <f ca="1">IF(D33="","",IF(OFFSET(D33,-1,0)&lt;&gt;"","",IF(OR(J33="リード付け",J33="巻足し",J33="巻返しリード付け"),M33,VLOOKUP(D33,契約台帳!$A$3:$O$4986,15,FALSE))))</f>
        <v/>
      </c>
      <c r="T33" s="258" t="str">
        <f ca="1">IF(D33="","",IF(J33="リード付け",N33,IF(J33="巻返しリード付け",N33,IF(J33="巻足し",N33*P33+OFFSET(N33,1,0)*OFFSET(P33,1,0),VLOOKUP(D33,契約台帳!$A$3:$P$4986,16,FALSE)))))</f>
        <v/>
      </c>
      <c r="U33" s="38"/>
      <c r="V33" s="259" t="str">
        <f ca="1">IF(D33="","",IF(OFFSET(D33,-2,0)=D33,"",VLOOKUP(D33,契約台帳!$A$3:$R$4986,18,FALSE)))</f>
        <v/>
      </c>
      <c r="W33" s="256" t="str">
        <f>IF(D33="","",IF(T33="","",IF(OR(J33="巻足し",J33="巻返しリード付け"),"",IF(J33="巻返し",VLOOKUP(F33&amp;K33&amp;M33,製品マスタ!$M$5:$AD$4999,18,FALSE),IF(OR(J33="リード付け",J33="巻返しリード付け"),"原反コア",IF(J33="スリット",VLOOKUP(F33&amp;K33&amp;R33,製品マスタ!$N$5:$AD$4999,17,FALSE),""))))))</f>
        <v/>
      </c>
      <c r="X33" s="256" t="str">
        <f>IF(D33="","",IF(T33="","",IF(J33="巻足し","",IF(J33="巻返し",VLOOKUP(F33&amp;K33&amp;M33,製品マスタ!$M$5:$AE$4999,19,FALSE),IF(OR(J33="リード付け",J33="巻返しリード付け"),"",IF(J33="スリット",VLOOKUP(F33&amp;K33&amp;R33,製品マスタ!$N$5:$AE$4999,18,FALSE),""))))))</f>
        <v/>
      </c>
      <c r="Y33" s="256" t="str">
        <f>IF(D33="","",IF(T33="","",VLOOKUP(D33,契約台帳!$A$3:$Q$4986,17,FALSE)))</f>
        <v/>
      </c>
      <c r="Z33" s="256" t="str">
        <f>IF(D33="","",IF(T33="","",VLOOKUP(D33,契約台帳!$A$3:$E$4986,5,FALSE)))</f>
        <v/>
      </c>
      <c r="AA33" s="54"/>
      <c r="AB33" s="200" t="str">
        <f>IFERROR((VLOOKUP(F33&amp;K33&amp;M33,製品マスタ!$M$5:$AM$4999,27,FALSE)),"")</f>
        <v/>
      </c>
      <c r="AC33" s="31"/>
      <c r="AD33" s="184"/>
      <c r="AE33" s="51"/>
      <c r="AF33" s="52"/>
      <c r="AG33" s="41"/>
      <c r="AH33" s="45"/>
      <c r="AI33" s="28"/>
      <c r="AJ33" s="28"/>
      <c r="AK33" s="28"/>
      <c r="AL33" s="28"/>
      <c r="AM33" s="12"/>
      <c r="AN33" s="12"/>
      <c r="AO33" s="12"/>
      <c r="AP33" s="12"/>
      <c r="AQ33" s="12"/>
      <c r="AR33" s="13"/>
      <c r="AS33" s="14"/>
    </row>
    <row r="34" spans="1:45" s="16" customFormat="1" ht="30.95" hidden="1" customHeight="1" x14ac:dyDescent="0.2">
      <c r="A34" s="35"/>
      <c r="B34" s="36"/>
      <c r="C34" s="43"/>
      <c r="D34" s="29"/>
      <c r="E34" s="29"/>
      <c r="F34" s="255" t="str">
        <f>IF(D34="","",VLOOKUP(D34,契約台帳!$A$3:$K$4986,6,FALSE)&amp;VLOOKUP(D34,契約台帳!$A$3:$K$4986,7,FALSE)&amp;VLOOKUP(D34,契約台帳!$A$3:$K$4986,8,FALSE)&amp;VLOOKUP(D34,契約台帳!$A$3:$K$4986,9,FALSE)&amp;VLOOKUP(D34,契約台帳!$A$3:$K$4986,11,FALSE))</f>
        <v/>
      </c>
      <c r="G34" s="256" t="str">
        <f>IF(D34="","",VLOOKUP(F34,製品マスタ!$G$5:$H$4999,2,FALSE))</f>
        <v/>
      </c>
      <c r="H34" s="256" t="str">
        <f>IF(D34="","",VLOOKUP(F34,製品マスタ!$G$5:$K$4999,5,FALSE))</f>
        <v/>
      </c>
      <c r="I34" s="200" t="str">
        <f>IF(D34="","",VLOOKUP(F34,製品マスタ!$G$5:$L$4999,6,FALSE))</f>
        <v/>
      </c>
      <c r="J34" s="203"/>
      <c r="K34" s="200" t="str">
        <f>IF(D34="","",VLOOKUP(D34,契約台帳!$A$3:$L$4986,12,FALSE))</f>
        <v/>
      </c>
      <c r="L34" s="200" t="str">
        <f>IF(D34="","",INDEX(製品マスタ!$Q$5:$Q$4999,MATCH('S4'!F34&amp;'S4'!K34,製品マスタ!$AO$5:$AO$4999,0)))</f>
        <v/>
      </c>
      <c r="M34" s="37"/>
      <c r="N34" s="37"/>
      <c r="O34" s="153"/>
      <c r="P34" s="45"/>
      <c r="Q34" s="54"/>
      <c r="R34" s="257" t="str">
        <f ca="1">IF(D34="","",IF(OFFSET(D34,-1,0)&lt;&gt;"","",IF(OR(J34="リード付け",J34="巻足し",J34="巻返しリード付け"),M34,VLOOKUP(D34,契約台帳!$A$3:$N$4986,14,FALSE))))</f>
        <v/>
      </c>
      <c r="S34" s="258" t="str">
        <f ca="1">IF(D34="","",IF(OFFSET(D34,-1,0)&lt;&gt;"","",IF(OR(J34="リード付け",J34="巻足し",J34="巻返しリード付け"),M34,VLOOKUP(D34,契約台帳!$A$3:$O$4986,15,FALSE))))</f>
        <v/>
      </c>
      <c r="T34" s="258" t="str">
        <f ca="1">IF(D34="","",IF(J34="リード付け",N34,IF(J34="巻返しリード付け",N34,IF(J34="巻足し",N34*P34+OFFSET(N34,1,0)*OFFSET(P34,1,0),VLOOKUP(D34,契約台帳!$A$3:$P$4986,16,FALSE)))))</f>
        <v/>
      </c>
      <c r="U34" s="38"/>
      <c r="V34" s="259" t="str">
        <f ca="1">IF(D34="","",IF(OFFSET(D34,-2,0)=D34,"",VLOOKUP(D34,契約台帳!$A$3:$R$4986,18,FALSE)))</f>
        <v/>
      </c>
      <c r="W34" s="256" t="str">
        <f>IF(D34="","",IF(T34="","",IF(OR(J34="巻足し",J34="巻返しリード付け"),"",IF(J34="巻返し",VLOOKUP(F34&amp;K34&amp;M34,製品マスタ!$M$5:$AD$4999,18,FALSE),IF(OR(J34="リード付け",J34="巻返しリード付け"),"原反コア",IF(J34="スリット",VLOOKUP(F34&amp;K34&amp;R34,製品マスタ!$N$5:$AD$4999,17,FALSE),""))))))</f>
        <v/>
      </c>
      <c r="X34" s="256" t="str">
        <f>IF(D34="","",IF(T34="","",IF(J34="巻足し","",IF(J34="巻返し",VLOOKUP(F34&amp;K34&amp;M34,製品マスタ!$M$5:$AE$4999,19,FALSE),IF(OR(J34="リード付け",J34="巻返しリード付け"),"",IF(J34="スリット",VLOOKUP(F34&amp;K34&amp;R34,製品マスタ!$N$5:$AE$4999,18,FALSE),""))))))</f>
        <v/>
      </c>
      <c r="Y34" s="256" t="str">
        <f>IF(D34="","",IF(T34="","",VLOOKUP(D34,契約台帳!$A$3:$Q$4986,17,FALSE)))</f>
        <v/>
      </c>
      <c r="Z34" s="256" t="str">
        <f>IF(D34="","",IF(T34="","",VLOOKUP(D34,契約台帳!$A$3:$E$4986,5,FALSE)))</f>
        <v/>
      </c>
      <c r="AA34" s="54"/>
      <c r="AB34" s="200" t="str">
        <f>IFERROR((VLOOKUP(F34&amp;K34&amp;M34,製品マスタ!$M$5:$AM$4999,27,FALSE)),"")</f>
        <v/>
      </c>
      <c r="AC34" s="31"/>
      <c r="AD34" s="184"/>
      <c r="AE34" s="51"/>
      <c r="AF34" s="52"/>
      <c r="AG34" s="41"/>
      <c r="AH34" s="45"/>
      <c r="AI34" s="28"/>
      <c r="AJ34" s="28"/>
      <c r="AK34" s="28"/>
      <c r="AL34" s="28"/>
      <c r="AM34" s="12"/>
      <c r="AN34" s="12"/>
      <c r="AO34" s="12"/>
      <c r="AP34" s="12"/>
      <c r="AQ34" s="12"/>
      <c r="AR34" s="13"/>
      <c r="AS34" s="14"/>
    </row>
    <row r="35" spans="1:45" s="16" customFormat="1" ht="30.95" hidden="1" customHeight="1" x14ac:dyDescent="0.2">
      <c r="A35" s="35" t="s">
        <v>760</v>
      </c>
      <c r="B35" s="36" t="s">
        <v>749</v>
      </c>
      <c r="C35" s="43"/>
      <c r="D35" s="29"/>
      <c r="E35" s="29"/>
      <c r="F35" s="255" t="str">
        <f>IF(D35="","",VLOOKUP(D35,契約台帳!$A$3:$K$4986,6,FALSE)&amp;VLOOKUP(D35,契約台帳!$A$3:$K$4986,7,FALSE)&amp;VLOOKUP(D35,契約台帳!$A$3:$K$4986,8,FALSE)&amp;VLOOKUP(D35,契約台帳!$A$3:$K$4986,9,FALSE)&amp;VLOOKUP(D35,契約台帳!$A$3:$K$4986,11,FALSE))</f>
        <v/>
      </c>
      <c r="G35" s="256" t="str">
        <f>IF(D35="","",VLOOKUP(F35,製品マスタ!$G$5:$H$4999,2,FALSE))</f>
        <v/>
      </c>
      <c r="H35" s="256" t="str">
        <f>IF(D35="","",VLOOKUP(F35,製品マスタ!$G$5:$K$4999,5,FALSE))</f>
        <v/>
      </c>
      <c r="I35" s="200" t="str">
        <f>IF(D35="","",VLOOKUP(F35,製品マスタ!$G$5:$L$4999,6,FALSE))</f>
        <v/>
      </c>
      <c r="J35" s="203" t="s">
        <v>448</v>
      </c>
      <c r="K35" s="200" t="str">
        <f>IF(D35="","",VLOOKUP(D35,契約台帳!$A$3:$L$4986,12,FALSE))</f>
        <v/>
      </c>
      <c r="L35" s="200" t="str">
        <f>IF(D35="","",INDEX(製品マスタ!$Q$5:$Q$4999,MATCH('S4'!F35&amp;'S4'!K35,製品マスタ!$AO$5:$AO$4999,0)))</f>
        <v/>
      </c>
      <c r="M35" s="37"/>
      <c r="N35" s="37"/>
      <c r="O35" s="153"/>
      <c r="P35" s="45"/>
      <c r="Q35" s="54"/>
      <c r="R35" s="257" t="str">
        <f ca="1">IF(D35="","",IF(OFFSET(D35,-1,0)&lt;&gt;"","",IF(OR(J35="リード付け",J35="巻足し",J35="巻返しリード付け"),M35,VLOOKUP(D35,契約台帳!$A$3:$N$4986,14,FALSE))))</f>
        <v/>
      </c>
      <c r="S35" s="258" t="str">
        <f ca="1">IF(D35="","",IF(OFFSET(D35,-1,0)&lt;&gt;"","",IF(OR(J35="リード付け",J35="巻足し",J35="巻返しリード付け"),M35,VLOOKUP(D35,契約台帳!$A$3:$O$4986,15,FALSE))))</f>
        <v/>
      </c>
      <c r="T35" s="258" t="str">
        <f ca="1">IF(D35="","",IF(J35="リード付け",N35,IF(J35="巻返しリード付け",N35,IF(J35="巻足し",N35*P35+OFFSET(N35,1,0)*OFFSET(P35,1,0),VLOOKUP(D35,契約台帳!$A$3:$P$4986,16,FALSE)))))</f>
        <v/>
      </c>
      <c r="U35" s="38"/>
      <c r="V35" s="259" t="str">
        <f ca="1">IF(D35="","",IF(OFFSET(D35,-2,0)=D35,"",VLOOKUP(D35,契約台帳!$A$3:$R$4986,18,FALSE)))</f>
        <v/>
      </c>
      <c r="W35" s="256" t="str">
        <f>IF(D35="","",IF(T35="","",IF(OR(J35="巻足し",J35="巻返しリード付け"),"",IF(J35="巻返し",VLOOKUP(F35&amp;K35&amp;M35,製品マスタ!$M$5:$AD$4999,18,FALSE),IF(OR(J35="リード付け",J35="巻返しリード付け"),"原反コア",IF(J35="スリット",VLOOKUP(F35&amp;K35&amp;R35,製品マスタ!$N$5:$AD$4999,17,FALSE),""))))))</f>
        <v/>
      </c>
      <c r="X35" s="256" t="str">
        <f>IF(D35="","",IF(T35="","",IF(J35="巻足し","",IF(J35="巻返し",VLOOKUP(F35&amp;K35&amp;M35,製品マスタ!$M$5:$AE$4999,19,FALSE),IF(OR(J35="リード付け",J35="巻返しリード付け"),"",IF(J35="スリット",VLOOKUP(F35&amp;K35&amp;R35,製品マスタ!$N$5:$AE$4999,18,FALSE),""))))))</f>
        <v/>
      </c>
      <c r="Y35" s="256" t="str">
        <f>IF(D35="","",IF(T35="","",VLOOKUP(D35,契約台帳!$A$3:$Q$4986,17,FALSE)))</f>
        <v/>
      </c>
      <c r="Z35" s="256" t="str">
        <f>IF(D35="","",IF(T35="","",VLOOKUP(D35,契約台帳!$A$3:$E$4986,5,FALSE)))</f>
        <v/>
      </c>
      <c r="AA35" s="54"/>
      <c r="AB35" s="200" t="str">
        <f>IFERROR((VLOOKUP(F35&amp;K35&amp;M35,製品マスタ!$M$5:$AM$4999,27,FALSE)),"")</f>
        <v/>
      </c>
      <c r="AC35" s="31"/>
      <c r="AD35" s="184"/>
      <c r="AE35" s="51"/>
      <c r="AF35" s="52"/>
      <c r="AG35" s="41"/>
      <c r="AH35" s="45"/>
      <c r="AI35" s="28"/>
      <c r="AJ35" s="28"/>
      <c r="AK35" s="28"/>
      <c r="AL35" s="28"/>
      <c r="AM35" s="12"/>
      <c r="AN35" s="12"/>
      <c r="AO35" s="12"/>
      <c r="AP35" s="12"/>
      <c r="AQ35" s="12"/>
      <c r="AR35" s="13"/>
      <c r="AS35" s="14"/>
    </row>
    <row r="36" spans="1:45" s="16" customFormat="1" ht="30.95" hidden="1" customHeight="1" x14ac:dyDescent="0.2">
      <c r="A36" s="35"/>
      <c r="B36" s="36"/>
      <c r="C36" s="43"/>
      <c r="D36" s="29"/>
      <c r="E36" s="29"/>
      <c r="F36" s="255" t="str">
        <f>IF(D36="","",VLOOKUP(D36,契約台帳!$A$3:$K$4986,6,FALSE)&amp;VLOOKUP(D36,契約台帳!$A$3:$K$4986,7,FALSE)&amp;VLOOKUP(D36,契約台帳!$A$3:$K$4986,8,FALSE)&amp;VLOOKUP(D36,契約台帳!$A$3:$K$4986,9,FALSE)&amp;VLOOKUP(D36,契約台帳!$A$3:$K$4986,11,FALSE))</f>
        <v/>
      </c>
      <c r="G36" s="256" t="str">
        <f>IF(D36="","",VLOOKUP(F36,製品マスタ!$G$5:$H$4999,2,FALSE))</f>
        <v/>
      </c>
      <c r="H36" s="256" t="str">
        <f>IF(D36="","",VLOOKUP(F36,製品マスタ!$G$5:$K$4999,5,FALSE))</f>
        <v/>
      </c>
      <c r="I36" s="200" t="str">
        <f>IF(D36="","",VLOOKUP(F36,製品マスタ!$G$5:$L$4999,6,FALSE))</f>
        <v/>
      </c>
      <c r="J36" s="203"/>
      <c r="K36" s="200" t="str">
        <f>IF(D36="","",VLOOKUP(D36,契約台帳!$A$3:$L$4986,12,FALSE))</f>
        <v/>
      </c>
      <c r="L36" s="200" t="str">
        <f>IF(D36="","",INDEX(製品マスタ!$Q$5:$Q$4999,MATCH('S4'!F36&amp;'S4'!K36,製品マスタ!$AO$5:$AO$4999,0)))</f>
        <v/>
      </c>
      <c r="M36" s="37"/>
      <c r="N36" s="37"/>
      <c r="O36" s="153"/>
      <c r="P36" s="45"/>
      <c r="Q36" s="54"/>
      <c r="R36" s="257" t="str">
        <f ca="1">IF(D36="","",IF(OFFSET(D36,-1,0)&lt;&gt;"","",IF(OR(J36="リード付け",J36="巻足し",J36="巻返しリード付け"),M36,VLOOKUP(D36,契約台帳!$A$3:$N$4986,14,FALSE))))</f>
        <v/>
      </c>
      <c r="S36" s="258" t="str">
        <f ca="1">IF(D36="","",IF(OFFSET(D36,-1,0)&lt;&gt;"","",IF(OR(J36="リード付け",J36="巻足し",J36="巻返しリード付け"),M36,VLOOKUP(D36,契約台帳!$A$3:$O$4986,15,FALSE))))</f>
        <v/>
      </c>
      <c r="T36" s="258" t="str">
        <f ca="1">IF(D36="","",IF(J36="リード付け",N36,IF(J36="巻返しリード付け",N36,IF(J36="巻足し",N36*P36+OFFSET(N36,1,0)*OFFSET(P36,1,0),VLOOKUP(D36,契約台帳!$A$3:$P$4986,16,FALSE)))))</f>
        <v/>
      </c>
      <c r="U36" s="38"/>
      <c r="V36" s="259" t="str">
        <f ca="1">IF(D36="","",IF(OFFSET(D36,-2,0)=D36,"",VLOOKUP(D36,契約台帳!$A$3:$R$4986,18,FALSE)))</f>
        <v/>
      </c>
      <c r="W36" s="256" t="str">
        <f>IF(D36="","",IF(T36="","",IF(OR(J36="巻足し",J36="巻返しリード付け"),"",IF(J36="巻返し",VLOOKUP(F36&amp;K36&amp;M36,製品マスタ!$M$5:$AD$4999,18,FALSE),IF(OR(J36="リード付け",J36="巻返しリード付け"),"原反コア",IF(J36="スリット",VLOOKUP(F36&amp;K36&amp;R36,製品マスタ!$N$5:$AD$4999,17,FALSE),""))))))</f>
        <v/>
      </c>
      <c r="X36" s="256" t="str">
        <f>IF(D36="","",IF(T36="","",IF(J36="巻足し","",IF(J36="巻返し",VLOOKUP(F36&amp;K36&amp;M36,製品マスタ!$M$5:$AE$4999,19,FALSE),IF(OR(J36="リード付け",J36="巻返しリード付け"),"",IF(J36="スリット",VLOOKUP(F36&amp;K36&amp;R36,製品マスタ!$N$5:$AE$4999,18,FALSE),""))))))</f>
        <v/>
      </c>
      <c r="Y36" s="256" t="str">
        <f>IF(D36="","",IF(T36="","",VLOOKUP(D36,契約台帳!$A$3:$Q$4986,17,FALSE)))</f>
        <v/>
      </c>
      <c r="Z36" s="256" t="str">
        <f>IF(D36="","",IF(T36="","",VLOOKUP(D36,契約台帳!$A$3:$E$4986,5,FALSE)))</f>
        <v/>
      </c>
      <c r="AA36" s="54"/>
      <c r="AB36" s="200" t="str">
        <f>IFERROR((VLOOKUP(F36&amp;K36&amp;M36,製品マスタ!$M$5:$AM$4999,27,FALSE)),"")</f>
        <v/>
      </c>
      <c r="AC36" s="31"/>
      <c r="AD36" s="184"/>
      <c r="AE36" s="51"/>
      <c r="AF36" s="52"/>
      <c r="AG36" s="41"/>
      <c r="AH36" s="45"/>
      <c r="AI36" s="28"/>
      <c r="AJ36" s="28"/>
      <c r="AK36" s="28"/>
      <c r="AL36" s="28"/>
      <c r="AM36" s="12"/>
      <c r="AN36" s="12"/>
      <c r="AO36" s="12"/>
      <c r="AP36" s="12"/>
      <c r="AQ36" s="12"/>
      <c r="AR36" s="13"/>
      <c r="AS36" s="14"/>
    </row>
    <row r="37" spans="1:45" s="16" customFormat="1" ht="30.95" hidden="1" customHeight="1" x14ac:dyDescent="0.2">
      <c r="A37" s="35" t="s">
        <v>761</v>
      </c>
      <c r="B37" s="36" t="s">
        <v>750</v>
      </c>
      <c r="C37" s="43"/>
      <c r="D37" s="29">
        <v>3694120</v>
      </c>
      <c r="E37" s="29">
        <v>4161787</v>
      </c>
      <c r="F37" s="255" t="str">
        <f>IF(D37="","",VLOOKUP(D37,契約台帳!$A$3:$K$4986,6,FALSE)&amp;VLOOKUP(D37,契約台帳!$A$3:$K$4986,7,FALSE)&amp;VLOOKUP(D37,契約台帳!$A$3:$K$4986,8,FALSE)&amp;VLOOKUP(D37,契約台帳!$A$3:$K$4986,9,FALSE)&amp;VLOOKUP(D37,契約台帳!$A$3:$K$4986,11,FALSE))</f>
        <v>3SNMLBMNQR66F</v>
      </c>
      <c r="G37" s="256" t="str">
        <f>IF(D37="","",VLOOKUP(F37,製品マスタ!$G$5:$H$4999,2,FALSE))</f>
        <v>S</v>
      </c>
      <c r="H37" s="256" t="str">
        <f>IF(D37="","",VLOOKUP(F37,製品マスタ!$G$5:$K$4999,5,FALSE))</f>
        <v>MNQR66F</v>
      </c>
      <c r="I37" s="200" t="str">
        <f>IF(D37="","",VLOOKUP(F37,製品マスタ!$G$5:$L$4999,6,FALSE))</f>
        <v>ＱＲ６６蒸着品</v>
      </c>
      <c r="J37" s="203" t="s">
        <v>736</v>
      </c>
      <c r="K37" s="200">
        <f>IF(D37="","",VLOOKUP(D37,契約台帳!$A$3:$L$4986,12,FALSE))</f>
        <v>25</v>
      </c>
      <c r="L37" s="200" t="str">
        <f>IF(D37="","",INDEX(製品マスタ!$Q$5:$Q$4999,MATCH('S4'!F37&amp;'S4'!K37,製品マスタ!$AO$5:$AO$4999,0)))</f>
        <v>E315</v>
      </c>
      <c r="M37" s="37">
        <v>1100</v>
      </c>
      <c r="N37" s="37">
        <v>6000</v>
      </c>
      <c r="O37" s="153">
        <v>12</v>
      </c>
      <c r="P37" s="45">
        <v>3</v>
      </c>
      <c r="Q37" s="206">
        <v>44566</v>
      </c>
      <c r="R37" s="257">
        <f ca="1">IF(D37="","",IF(OFFSET(D37,-1,0)&lt;&gt;"","",IF(OR(J37="リード付け",J37="巻足し",J37="巻返しリード付け"),M37,VLOOKUP(D37,契約台帳!$A$3:$N$4986,14,FALSE))))</f>
        <v>1100</v>
      </c>
      <c r="S37" s="258">
        <f ca="1">IF(D37="","",IF(OFFSET(D37,-1,0)&lt;&gt;"","",IF(OR(J37="リード付け",J37="巻足し",J37="巻返しリード付け"),M37,VLOOKUP(D37,契約台帳!$A$3:$O$4986,15,FALSE))))</f>
        <v>1100</v>
      </c>
      <c r="T37" s="258">
        <f ca="1">IF(D37="","",IF(J37="リード付け",N37,IF(J37="巻返しリード付け",N37,IF(J37="巻足し",N37*P37+OFFSET(N37,1,0)*OFFSET(P37,1,0),VLOOKUP(D37,契約台帳!$A$3:$P$4986,16,FALSE)))))</f>
        <v>18000</v>
      </c>
      <c r="U37" s="38">
        <v>4</v>
      </c>
      <c r="V37" s="259">
        <f ca="1">IF(D37="","",IF(OFFSET(D37,-2,0)=D37,"",VLOOKUP(D37,契約台帳!$A$3:$R$4986,18,FALSE)))</f>
        <v>20</v>
      </c>
      <c r="W37" s="256" t="str">
        <f ca="1">IF(D37="","",IF(T37="","",IF(OR(J37="巻足し",J37="巻返しリード付け"),"",IF(J37="巻返し",VLOOKUP(F37&amp;K37&amp;M37,製品マスタ!$M$5:$AD$4999,18,FALSE),IF(OR(J37="リード付け",J37="巻返しリード付け"),"原反コア",IF(J37="スリット",VLOOKUP(F37&amp;K37&amp;R37,製品マスタ!$N$5:$AD$4999,17,FALSE),""))))))</f>
        <v/>
      </c>
      <c r="X37" s="256" t="str">
        <f ca="1">IF(D37="","",IF(T37="","",IF(J37="巻足し","",IF(J37="巻返し",VLOOKUP(F37&amp;K37&amp;M37,製品マスタ!$M$5:$AE$4999,19,FALSE),IF(OR(J37="リード付け",J37="巻返しリード付け"),"",IF(J37="スリット",VLOOKUP(F37&amp;K37&amp;R37,製品マスタ!$N$5:$AE$4999,18,FALSE),""))))))</f>
        <v/>
      </c>
      <c r="Y37" s="256">
        <f ca="1">IF(D37="","",IF(T37="","",VLOOKUP(D37,契約台帳!$A$3:$Q$4986,17,FALSE)))</f>
        <v>2</v>
      </c>
      <c r="Z37" s="256" t="str">
        <f ca="1">IF(D37="","",IF(T37="","",VLOOKUP(D37,契約台帳!$A$3:$E$4986,5,FALSE)))</f>
        <v>リンテック㈱</v>
      </c>
      <c r="AA37" s="54"/>
      <c r="AB37" s="200" t="str">
        <f>IFERROR((VLOOKUP(F37&amp;K37&amp;M37,製品マスタ!$M$5:$AM$4999,27,FALSE)),"")</f>
        <v>原反ケース再利用</v>
      </c>
      <c r="AC37" s="31"/>
      <c r="AD37" s="184"/>
      <c r="AE37" s="51"/>
      <c r="AF37" s="52"/>
      <c r="AG37" s="41"/>
      <c r="AH37" s="45"/>
      <c r="AI37" s="28"/>
      <c r="AJ37" s="28"/>
      <c r="AK37" s="28"/>
      <c r="AL37" s="28"/>
      <c r="AM37" s="12"/>
      <c r="AN37" s="12"/>
      <c r="AO37" s="12"/>
      <c r="AP37" s="12"/>
      <c r="AQ37" s="12"/>
      <c r="AR37" s="13"/>
      <c r="AS37" s="14"/>
    </row>
    <row r="38" spans="1:45" s="16" customFormat="1" ht="30.95" hidden="1" customHeight="1" x14ac:dyDescent="0.2">
      <c r="A38" s="35"/>
      <c r="B38" s="36"/>
      <c r="C38" s="43"/>
      <c r="D38" s="29"/>
      <c r="E38" s="29"/>
      <c r="F38" s="255" t="str">
        <f>IF(D38="","",VLOOKUP(D38,契約台帳!$A$3:$K$4986,6,FALSE)&amp;VLOOKUP(D38,契約台帳!$A$3:$K$4986,7,FALSE)&amp;VLOOKUP(D38,契約台帳!$A$3:$K$4986,8,FALSE)&amp;VLOOKUP(D38,契約台帳!$A$3:$K$4986,9,FALSE)&amp;VLOOKUP(D38,契約台帳!$A$3:$K$4986,11,FALSE))</f>
        <v/>
      </c>
      <c r="G38" s="256" t="str">
        <f>IF(D38="","",VLOOKUP(F38,製品マスタ!$G$5:$H$4999,2,FALSE))</f>
        <v/>
      </c>
      <c r="H38" s="256" t="str">
        <f>IF(D38="","",VLOOKUP(F38,製品マスタ!$G$5:$K$4999,5,FALSE))</f>
        <v/>
      </c>
      <c r="I38" s="200" t="str">
        <f>IF(D38="","",VLOOKUP(F38,製品マスタ!$G$5:$L$4999,6,FALSE))</f>
        <v/>
      </c>
      <c r="J38" s="203"/>
      <c r="K38" s="200" t="str">
        <f>IF(D38="","",VLOOKUP(D38,契約台帳!$A$3:$L$4986,12,FALSE))</f>
        <v/>
      </c>
      <c r="L38" s="200" t="str">
        <f>IF(D38="","",INDEX(製品マスタ!$Q$5:$Q$4999,MATCH('S4'!F38&amp;'S4'!K38,製品マスタ!$AO$5:$AO$4999,0)))</f>
        <v/>
      </c>
      <c r="M38" s="37"/>
      <c r="N38" s="37"/>
      <c r="O38" s="153"/>
      <c r="P38" s="45"/>
      <c r="Q38" s="54"/>
      <c r="R38" s="257" t="str">
        <f ca="1">IF(D38="","",IF(OFFSET(D38,-1,0)&lt;&gt;"","",IF(OR(J38="リード付け",J38="巻足し",J38="巻返しリード付け"),M38,VLOOKUP(D38,契約台帳!$A$3:$N$4986,14,FALSE))))</f>
        <v/>
      </c>
      <c r="S38" s="258" t="str">
        <f ca="1">IF(D38="","",IF(OFFSET(D38,-1,0)&lt;&gt;"","",IF(OR(J38="リード付け",J38="巻足し",J38="巻返しリード付け"),M38,VLOOKUP(D38,契約台帳!$A$3:$O$4986,15,FALSE))))</f>
        <v/>
      </c>
      <c r="T38" s="258" t="str">
        <f ca="1">IF(D38="","",IF(J38="リード付け",N38,IF(J38="巻返しリード付け",N38,IF(J38="巻足し",N38*P38+OFFSET(N38,1,0)*OFFSET(P38,1,0),VLOOKUP(D38,契約台帳!$A$3:$P$4986,16,FALSE)))))</f>
        <v/>
      </c>
      <c r="U38" s="38"/>
      <c r="V38" s="259" t="str">
        <f ca="1">IF(D38="","",IF(OFFSET(D38,-2,0)=D38,"",VLOOKUP(D38,契約台帳!$A$3:$R$4986,18,FALSE)))</f>
        <v/>
      </c>
      <c r="W38" s="256" t="str">
        <f>IF(D38="","",IF(T38="","",IF(OR(J38="巻足し",J38="巻返しリード付け"),"",IF(J38="巻返し",VLOOKUP(F38&amp;K38&amp;M38,製品マスタ!$M$5:$AD$4999,18,FALSE),IF(OR(J38="リード付け",J38="巻返しリード付け"),"原反コア",IF(J38="スリット",VLOOKUP(F38&amp;K38&amp;R38,製品マスタ!$N$5:$AD$4999,17,FALSE),""))))))</f>
        <v/>
      </c>
      <c r="X38" s="256" t="str">
        <f>IF(D38="","",IF(T38="","",IF(J38="巻足し","",IF(J38="巻返し",VLOOKUP(F38&amp;K38&amp;M38,製品マスタ!$M$5:$AE$4999,19,FALSE),IF(OR(J38="リード付け",J38="巻返しリード付け"),"",IF(J38="スリット",VLOOKUP(F38&amp;K38&amp;R38,製品マスタ!$N$5:$AE$4999,18,FALSE),""))))))</f>
        <v/>
      </c>
      <c r="Y38" s="256" t="str">
        <f>IF(D38="","",IF(T38="","",VLOOKUP(D38,契約台帳!$A$3:$Q$4986,17,FALSE)))</f>
        <v/>
      </c>
      <c r="Z38" s="256" t="str">
        <f>IF(D38="","",IF(T38="","",VLOOKUP(D38,契約台帳!$A$3:$E$4986,5,FALSE)))</f>
        <v/>
      </c>
      <c r="AA38" s="54"/>
      <c r="AB38" s="200" t="str">
        <f>IFERROR((VLOOKUP(F38&amp;K38&amp;M38,製品マスタ!$M$5:$AM$4999,27,FALSE)),"")</f>
        <v/>
      </c>
      <c r="AC38" s="31"/>
      <c r="AD38" s="184"/>
      <c r="AE38" s="51"/>
      <c r="AF38" s="52"/>
      <c r="AG38" s="41"/>
      <c r="AH38" s="45"/>
      <c r="AI38" s="28"/>
      <c r="AJ38" s="28"/>
      <c r="AK38" s="28"/>
      <c r="AL38" s="28"/>
      <c r="AM38" s="12"/>
      <c r="AN38" s="12"/>
      <c r="AO38" s="12"/>
      <c r="AP38" s="12"/>
      <c r="AQ38" s="12"/>
      <c r="AR38" s="13"/>
      <c r="AS38" s="14"/>
    </row>
    <row r="39" spans="1:45" s="16" customFormat="1" ht="30.95" hidden="1" customHeight="1" x14ac:dyDescent="0.2">
      <c r="A39" s="35"/>
      <c r="B39" s="36"/>
      <c r="C39" s="43"/>
      <c r="D39" s="29">
        <v>3694119</v>
      </c>
      <c r="E39" s="29">
        <v>4161786</v>
      </c>
      <c r="F39" s="255" t="str">
        <f>IF(D39="","",VLOOKUP(D39,契約台帳!$A$3:$K$4986,6,FALSE)&amp;VLOOKUP(D39,契約台帳!$A$3:$K$4986,7,FALSE)&amp;VLOOKUP(D39,契約台帳!$A$3:$K$4986,8,FALSE)&amp;VLOOKUP(D39,契約台帳!$A$3:$K$4986,9,FALSE)&amp;VLOOKUP(D39,契約台帳!$A$3:$K$4986,11,FALSE))</f>
        <v>3SNMLBMNQR66F</v>
      </c>
      <c r="G39" s="256" t="str">
        <f>IF(D39="","",VLOOKUP(F39,製品マスタ!$G$5:$H$4999,2,FALSE))</f>
        <v>S</v>
      </c>
      <c r="H39" s="256" t="str">
        <f>IF(D39="","",VLOOKUP(F39,製品マスタ!$G$5:$K$4999,5,FALSE))</f>
        <v>MNQR66F</v>
      </c>
      <c r="I39" s="200" t="str">
        <f>IF(D39="","",VLOOKUP(F39,製品マスタ!$G$5:$L$4999,6,FALSE))</f>
        <v>ＱＲ６６蒸着品</v>
      </c>
      <c r="J39" s="203" t="s">
        <v>736</v>
      </c>
      <c r="K39" s="200">
        <f>IF(D39="","",VLOOKUP(D39,契約台帳!$A$3:$L$4986,12,FALSE))</f>
        <v>25</v>
      </c>
      <c r="L39" s="200" t="str">
        <f>IF(D39="","",INDEX(製品マスタ!$Q$5:$Q$4999,MATCH('S4'!F39&amp;'S4'!K39,製品マスタ!$AO$5:$AO$4999,0)))</f>
        <v>E315</v>
      </c>
      <c r="M39" s="37">
        <v>1000</v>
      </c>
      <c r="N39" s="37">
        <v>6000</v>
      </c>
      <c r="O39" s="153">
        <v>3</v>
      </c>
      <c r="P39" s="45">
        <v>3</v>
      </c>
      <c r="Q39" s="206">
        <v>44566</v>
      </c>
      <c r="R39" s="257">
        <f ca="1">IF(D39="","",IF(OFFSET(D39,-1,0)&lt;&gt;"","",IF(OR(J39="リード付け",J39="巻足し",J39="巻返しリード付け"),M39,VLOOKUP(D39,契約台帳!$A$3:$N$4986,14,FALSE))))</f>
        <v>1000</v>
      </c>
      <c r="S39" s="258">
        <f ca="1">IF(D39="","",IF(OFFSET(D39,-1,0)&lt;&gt;"","",IF(OR(J39="リード付け",J39="巻足し",J39="巻返しリード付け"),M39,VLOOKUP(D39,契約台帳!$A$3:$O$4986,15,FALSE))))</f>
        <v>1000</v>
      </c>
      <c r="T39" s="258">
        <f ca="1">IF(D39="","",IF(J39="リード付け",N39,IF(J39="巻返しリード付け",N39,IF(J39="巻足し",N39*P39+OFFSET(N39,1,0)*OFFSET(P39,1,0),VLOOKUP(D39,契約台帳!$A$3:$P$4986,16,FALSE)))))</f>
        <v>18000</v>
      </c>
      <c r="U39" s="38">
        <v>1</v>
      </c>
      <c r="V39" s="259">
        <f ca="1">IF(D39="","",IF(OFFSET(D39,-2,0)=D39,"",VLOOKUP(D39,契約台帳!$A$3:$R$4986,18,FALSE)))</f>
        <v>8</v>
      </c>
      <c r="W39" s="256" t="str">
        <f ca="1">IF(D39="","",IF(T39="","",IF(OR(J39="巻足し",J39="巻返しリード付け"),"",IF(J39="巻返し",VLOOKUP(F39&amp;K39&amp;M39,製品マスタ!$M$5:$AD$4999,18,FALSE),IF(OR(J39="リード付け",J39="巻返しリード付け"),"原反コア",IF(J39="スリット",VLOOKUP(F39&amp;K39&amp;R39,製品マスタ!$N$5:$AD$4999,17,FALSE),""))))))</f>
        <v/>
      </c>
      <c r="X39" s="256" t="str">
        <f ca="1">IF(D39="","",IF(T39="","",IF(J39="巻足し","",IF(J39="巻返し",VLOOKUP(F39&amp;K39&amp;M39,製品マスタ!$M$5:$AE$4999,19,FALSE),IF(OR(J39="リード付け",J39="巻返しリード付け"),"",IF(J39="スリット",VLOOKUP(F39&amp;K39&amp;R39,製品マスタ!$N$5:$AE$4999,18,FALSE),""))))))</f>
        <v/>
      </c>
      <c r="Y39" s="256">
        <f ca="1">IF(D39="","",IF(T39="","",VLOOKUP(D39,契約台帳!$A$3:$Q$4986,17,FALSE)))</f>
        <v>2</v>
      </c>
      <c r="Z39" s="256" t="str">
        <f ca="1">IF(D39="","",IF(T39="","",VLOOKUP(D39,契約台帳!$A$3:$E$4986,5,FALSE)))</f>
        <v>リンテック㈱</v>
      </c>
      <c r="AA39" s="54"/>
      <c r="AB39" s="200" t="str">
        <f>IFERROR((VLOOKUP(F39&amp;K39&amp;M39,製品マスタ!$M$5:$AM$4999,27,FALSE)),"")</f>
        <v>原反ケース再利用</v>
      </c>
      <c r="AC39" s="31"/>
      <c r="AD39" s="184"/>
      <c r="AE39" s="51"/>
      <c r="AF39" s="52"/>
      <c r="AG39" s="41"/>
      <c r="AH39" s="45"/>
      <c r="AI39" s="28"/>
      <c r="AJ39" s="28"/>
      <c r="AK39" s="28"/>
      <c r="AL39" s="28"/>
      <c r="AM39" s="12"/>
      <c r="AN39" s="12"/>
      <c r="AO39" s="12"/>
      <c r="AP39" s="12"/>
      <c r="AQ39" s="12"/>
      <c r="AR39" s="13"/>
      <c r="AS39" s="14"/>
    </row>
    <row r="40" spans="1:45" s="16" customFormat="1" ht="30.95" hidden="1" customHeight="1" x14ac:dyDescent="0.2">
      <c r="A40" s="35"/>
      <c r="B40" s="36"/>
      <c r="C40" s="43"/>
      <c r="D40" s="29"/>
      <c r="E40" s="29"/>
      <c r="F40" s="255" t="str">
        <f>IF(D40="","",VLOOKUP(D40,契約台帳!$A$3:$K$4986,6,FALSE)&amp;VLOOKUP(D40,契約台帳!$A$3:$K$4986,7,FALSE)&amp;VLOOKUP(D40,契約台帳!$A$3:$K$4986,8,FALSE)&amp;VLOOKUP(D40,契約台帳!$A$3:$K$4986,9,FALSE)&amp;VLOOKUP(D40,契約台帳!$A$3:$K$4986,11,FALSE))</f>
        <v/>
      </c>
      <c r="G40" s="256" t="str">
        <f>IF(D40="","",VLOOKUP(F40,製品マスタ!$G$5:$H$4999,2,FALSE))</f>
        <v/>
      </c>
      <c r="H40" s="256" t="str">
        <f>IF(D40="","",VLOOKUP(F40,製品マスタ!$G$5:$K$4999,5,FALSE))</f>
        <v/>
      </c>
      <c r="I40" s="200" t="str">
        <f>IF(D40="","",VLOOKUP(F40,製品マスタ!$G$5:$L$4999,6,FALSE))</f>
        <v/>
      </c>
      <c r="J40" s="203"/>
      <c r="K40" s="200" t="str">
        <f>IF(D40="","",VLOOKUP(D40,契約台帳!$A$3:$L$4986,12,FALSE))</f>
        <v/>
      </c>
      <c r="L40" s="200" t="str">
        <f>IF(D40="","",INDEX(製品マスタ!$Q$5:$Q$4999,MATCH('S4'!F40&amp;'S4'!K40,製品マスタ!$AO$5:$AO$4999,0)))</f>
        <v/>
      </c>
      <c r="M40" s="37"/>
      <c r="N40" s="37"/>
      <c r="O40" s="153"/>
      <c r="P40" s="45"/>
      <c r="Q40" s="54"/>
      <c r="R40" s="257" t="str">
        <f ca="1">IF(D40="","",IF(OFFSET(D40,-1,0)&lt;&gt;"","",IF(OR(J40="リード付け",J40="巻足し",J40="巻返しリード付け"),M40,VLOOKUP(D40,契約台帳!$A$3:$N$4986,14,FALSE))))</f>
        <v/>
      </c>
      <c r="S40" s="258" t="str">
        <f ca="1">IF(D40="","",IF(OFFSET(D40,-1,0)&lt;&gt;"","",IF(OR(J40="リード付け",J40="巻足し",J40="巻返しリード付け"),M40,VLOOKUP(D40,契約台帳!$A$3:$O$4986,15,FALSE))))</f>
        <v/>
      </c>
      <c r="T40" s="258" t="str">
        <f ca="1">IF(D40="","",IF(J40="リード付け",N40,IF(J40="巻返しリード付け",N40,IF(J40="巻足し",N40*P40+OFFSET(N40,1,0)*OFFSET(P40,1,0),VLOOKUP(D40,契約台帳!$A$3:$P$4986,16,FALSE)))))</f>
        <v/>
      </c>
      <c r="U40" s="38"/>
      <c r="V40" s="259" t="str">
        <f ca="1">IF(D40="","",IF(OFFSET(D40,-2,0)=D40,"",VLOOKUP(D40,契約台帳!$A$3:$R$4986,18,FALSE)))</f>
        <v/>
      </c>
      <c r="W40" s="256" t="str">
        <f>IF(D40="","",IF(T40="","",IF(OR(J40="巻足し",J40="巻返しリード付け"),"",IF(J40="巻返し",VLOOKUP(F40&amp;K40&amp;M40,製品マスタ!$M$5:$AD$4999,18,FALSE),IF(OR(J40="リード付け",J40="巻返しリード付け"),"原反コア",IF(J40="スリット",VLOOKUP(F40&amp;K40&amp;R40,製品マスタ!$N$5:$AD$4999,17,FALSE),""))))))</f>
        <v/>
      </c>
      <c r="X40" s="256" t="str">
        <f>IF(D40="","",IF(T40="","",IF(J40="巻足し","",IF(J40="巻返し",VLOOKUP(F40&amp;K40&amp;M40,製品マスタ!$M$5:$AE$4999,19,FALSE),IF(OR(J40="リード付け",J40="巻返しリード付け"),"",IF(J40="スリット",VLOOKUP(F40&amp;K40&amp;R40,製品マスタ!$N$5:$AE$4999,18,FALSE),""))))))</f>
        <v/>
      </c>
      <c r="Y40" s="256" t="str">
        <f>IF(D40="","",IF(T40="","",VLOOKUP(D40,契約台帳!$A$3:$Q$4986,17,FALSE)))</f>
        <v/>
      </c>
      <c r="Z40" s="256" t="str">
        <f>IF(D40="","",IF(T40="","",VLOOKUP(D40,契約台帳!$A$3:$E$4986,5,FALSE)))</f>
        <v/>
      </c>
      <c r="AA40" s="54"/>
      <c r="AB40" s="200" t="str">
        <f>IFERROR((VLOOKUP(F40&amp;K40&amp;M40,製品マスタ!$M$5:$AM$4999,27,FALSE)),"")</f>
        <v/>
      </c>
      <c r="AC40" s="31"/>
      <c r="AD40" s="184"/>
      <c r="AE40" s="51"/>
      <c r="AF40" s="52"/>
      <c r="AG40" s="41"/>
      <c r="AH40" s="45"/>
      <c r="AI40" s="28"/>
      <c r="AJ40" s="28"/>
      <c r="AK40" s="28"/>
      <c r="AL40" s="28"/>
      <c r="AM40" s="12"/>
      <c r="AN40" s="12"/>
      <c r="AO40" s="12"/>
      <c r="AP40" s="12"/>
      <c r="AQ40" s="12"/>
      <c r="AR40" s="13"/>
      <c r="AS40" s="14"/>
    </row>
    <row r="41" spans="1:45" s="16" customFormat="1" ht="30.95" hidden="1" customHeight="1" x14ac:dyDescent="0.2">
      <c r="A41" s="35" t="s">
        <v>762</v>
      </c>
      <c r="B41" s="36" t="s">
        <v>738</v>
      </c>
      <c r="C41" s="43"/>
      <c r="D41" s="29">
        <v>3694119</v>
      </c>
      <c r="E41" s="29">
        <v>4161786</v>
      </c>
      <c r="F41" s="255" t="str">
        <f>IF(D41="","",VLOOKUP(D41,契約台帳!$A$3:$K$4986,6,FALSE)&amp;VLOOKUP(D41,契約台帳!$A$3:$K$4986,7,FALSE)&amp;VLOOKUP(D41,契約台帳!$A$3:$K$4986,8,FALSE)&amp;VLOOKUP(D41,契約台帳!$A$3:$K$4986,9,FALSE)&amp;VLOOKUP(D41,契約台帳!$A$3:$K$4986,11,FALSE))</f>
        <v>3SNMLBMNQR66F</v>
      </c>
      <c r="G41" s="256" t="str">
        <f>IF(D41="","",VLOOKUP(F41,製品マスタ!$G$5:$H$4999,2,FALSE))</f>
        <v>S</v>
      </c>
      <c r="H41" s="256" t="str">
        <f>IF(D41="","",VLOOKUP(F41,製品マスタ!$G$5:$K$4999,5,FALSE))</f>
        <v>MNQR66F</v>
      </c>
      <c r="I41" s="200" t="str">
        <f>IF(D41="","",VLOOKUP(F41,製品マスタ!$G$5:$L$4999,6,FALSE))</f>
        <v>ＱＲ６６蒸着品</v>
      </c>
      <c r="J41" s="203" t="s">
        <v>736</v>
      </c>
      <c r="K41" s="200">
        <f>IF(D41="","",VLOOKUP(D41,契約台帳!$A$3:$L$4986,12,FALSE))</f>
        <v>25</v>
      </c>
      <c r="L41" s="200" t="str">
        <f>IF(D41="","",INDEX(製品マスタ!$Q$5:$Q$4999,MATCH('S4'!F41&amp;'S4'!K41,製品マスタ!$AO$5:$AO$4999,0)))</f>
        <v>E315</v>
      </c>
      <c r="M41" s="37">
        <v>1000</v>
      </c>
      <c r="N41" s="37">
        <v>6000</v>
      </c>
      <c r="O41" s="153">
        <v>4</v>
      </c>
      <c r="P41" s="45">
        <v>2</v>
      </c>
      <c r="Q41" s="206">
        <v>44566</v>
      </c>
      <c r="R41" s="257">
        <f ca="1">IF(D41="","",IF(OFFSET(D41,-1,0)&lt;&gt;"","",IF(OR(J41="リード付け",J41="巻足し",J41="巻返しリード付け"),M41,VLOOKUP(D41,契約台帳!$A$3:$N$4986,14,FALSE))))</f>
        <v>1000</v>
      </c>
      <c r="S41" s="258">
        <f ca="1">IF(D41="","",IF(OFFSET(D41,-1,0)&lt;&gt;"","",IF(OR(J41="リード付け",J41="巻足し",J41="巻返しリード付け"),M41,VLOOKUP(D41,契約台帳!$A$3:$O$4986,15,FALSE))))</f>
        <v>1000</v>
      </c>
      <c r="T41" s="258">
        <f ca="1">IF(D41="","",IF(J41="リード付け",N41,IF(J41="巻返しリード付け",N41,IF(J41="巻足し",N41*P41+OFFSET(N41,1,0)*OFFSET(P41,1,0),VLOOKUP(D41,契約台帳!$A$3:$P$4986,16,FALSE)))))</f>
        <v>12000</v>
      </c>
      <c r="U41" s="38">
        <v>2</v>
      </c>
      <c r="V41" s="259" t="str">
        <f ca="1">IF(D41="","",IF(OFFSET(D41,-2,0)=D41,"",VLOOKUP(D41,契約台帳!$A$3:$R$4986,18,FALSE)))</f>
        <v/>
      </c>
      <c r="W41" s="256" t="str">
        <f ca="1">IF(D41="","",IF(T41="","",IF(OR(J41="巻足し",J41="巻返しリード付け"),"",IF(J41="巻返し",VLOOKUP(F41&amp;K41&amp;M41,製品マスタ!$M$5:$AD$4999,18,FALSE),IF(OR(J41="リード付け",J41="巻返しリード付け"),"原反コア",IF(J41="スリット",VLOOKUP(F41&amp;K41&amp;R41,製品マスタ!$N$5:$AD$4999,17,FALSE),""))))))</f>
        <v/>
      </c>
      <c r="X41" s="256" t="str">
        <f ca="1">IF(D41="","",IF(T41="","",IF(J41="巻足し","",IF(J41="巻返し",VLOOKUP(F41&amp;K41&amp;M41,製品マスタ!$M$5:$AE$4999,19,FALSE),IF(OR(J41="リード付け",J41="巻返しリード付け"),"",IF(J41="スリット",VLOOKUP(F41&amp;K41&amp;R41,製品マスタ!$N$5:$AE$4999,18,FALSE),""))))))</f>
        <v/>
      </c>
      <c r="Y41" s="256">
        <f ca="1">IF(D41="","",IF(T41="","",VLOOKUP(D41,契約台帳!$A$3:$Q$4986,17,FALSE)))</f>
        <v>2</v>
      </c>
      <c r="Z41" s="256" t="str">
        <f ca="1">IF(D41="","",IF(T41="","",VLOOKUP(D41,契約台帳!$A$3:$E$4986,5,FALSE)))</f>
        <v>リンテック㈱</v>
      </c>
      <c r="AA41" s="54"/>
      <c r="AB41" s="200" t="str">
        <f>IFERROR((VLOOKUP(F41&amp;K41&amp;M41,製品マスタ!$M$5:$AM$4999,27,FALSE)),"")</f>
        <v>原反ケース再利用</v>
      </c>
      <c r="AC41" s="31"/>
      <c r="AD41" s="184"/>
      <c r="AE41" s="51"/>
      <c r="AF41" s="52"/>
      <c r="AG41" s="41"/>
      <c r="AH41" s="45"/>
      <c r="AI41" s="28"/>
      <c r="AJ41" s="28"/>
      <c r="AK41" s="28"/>
      <c r="AL41" s="28"/>
      <c r="AM41" s="12"/>
      <c r="AN41" s="12"/>
      <c r="AO41" s="12"/>
      <c r="AP41" s="12"/>
      <c r="AQ41" s="12"/>
      <c r="AR41" s="13"/>
      <c r="AS41" s="14"/>
    </row>
    <row r="42" spans="1:45" s="16" customFormat="1" ht="30.95" hidden="1" customHeight="1" x14ac:dyDescent="0.2">
      <c r="A42" s="35"/>
      <c r="B42" s="36"/>
      <c r="C42" s="43"/>
      <c r="D42" s="29"/>
      <c r="E42" s="29"/>
      <c r="F42" s="255" t="str">
        <f>IF(D42="","",VLOOKUP(D42,契約台帳!$A$3:$K$4986,6,FALSE)&amp;VLOOKUP(D42,契約台帳!$A$3:$K$4986,7,FALSE)&amp;VLOOKUP(D42,契約台帳!$A$3:$K$4986,8,FALSE)&amp;VLOOKUP(D42,契約台帳!$A$3:$K$4986,9,FALSE)&amp;VLOOKUP(D42,契約台帳!$A$3:$K$4986,11,FALSE))</f>
        <v/>
      </c>
      <c r="G42" s="256" t="str">
        <f>IF(D42="","",VLOOKUP(F42,製品マスタ!$G$5:$H$4999,2,FALSE))</f>
        <v/>
      </c>
      <c r="H42" s="256" t="str">
        <f>IF(D42="","",VLOOKUP(F42,製品マスタ!$G$5:$K$4999,5,FALSE))</f>
        <v/>
      </c>
      <c r="I42" s="200" t="str">
        <f>IF(D42="","",VLOOKUP(F42,製品マスタ!$G$5:$L$4999,6,FALSE))</f>
        <v/>
      </c>
      <c r="J42" s="203"/>
      <c r="K42" s="200" t="str">
        <f>IF(D42="","",VLOOKUP(D42,契約台帳!$A$3:$L$4986,12,FALSE))</f>
        <v/>
      </c>
      <c r="L42" s="200" t="str">
        <f>IF(D42="","",INDEX(製品マスタ!$Q$5:$Q$4999,MATCH('S4'!F42&amp;'S4'!K42,製品マスタ!$AO$5:$AO$4999,0)))</f>
        <v/>
      </c>
      <c r="M42" s="37"/>
      <c r="N42" s="37"/>
      <c r="O42" s="153"/>
      <c r="P42" s="45"/>
      <c r="Q42" s="54"/>
      <c r="R42" s="257" t="str">
        <f ca="1">IF(D42="","",IF(OFFSET(D42,-1,0)&lt;&gt;"","",IF(OR(J42="リード付け",J42="巻足し",J42="巻返しリード付け"),M42,VLOOKUP(D42,契約台帳!$A$3:$N$4986,14,FALSE))))</f>
        <v/>
      </c>
      <c r="S42" s="258" t="str">
        <f ca="1">IF(D42="","",IF(OFFSET(D42,-1,0)&lt;&gt;"","",IF(OR(J42="リード付け",J42="巻足し",J42="巻返しリード付け"),M42,VLOOKUP(D42,契約台帳!$A$3:$O$4986,15,FALSE))))</f>
        <v/>
      </c>
      <c r="T42" s="258" t="str">
        <f ca="1">IF(D42="","",IF(J42="リード付け",N42,IF(J42="巻返しリード付け",N42,IF(J42="巻足し",N42*P42+OFFSET(N42,1,0)*OFFSET(P42,1,0),VLOOKUP(D42,契約台帳!$A$3:$P$4986,16,FALSE)))))</f>
        <v/>
      </c>
      <c r="U42" s="38"/>
      <c r="V42" s="259" t="str">
        <f ca="1">IF(D42="","",IF(OFFSET(D42,-2,0)=D42,"",VLOOKUP(D42,契約台帳!$A$3:$R$4986,18,FALSE)))</f>
        <v/>
      </c>
      <c r="W42" s="256" t="str">
        <f>IF(D42="","",IF(T42="","",IF(OR(J42="巻足し",J42="巻返しリード付け"),"",IF(J42="巻返し",VLOOKUP(F42&amp;K42&amp;M42,製品マスタ!$M$5:$AD$4999,18,FALSE),IF(OR(J42="リード付け",J42="巻返しリード付け"),"原反コア",IF(J42="スリット",VLOOKUP(F42&amp;K42&amp;R42,製品マスタ!$N$5:$AD$4999,17,FALSE),""))))))</f>
        <v/>
      </c>
      <c r="X42" s="256" t="str">
        <f>IF(D42="","",IF(T42="","",IF(J42="巻足し","",IF(J42="巻返し",VLOOKUP(F42&amp;K42&amp;M42,製品マスタ!$M$5:$AE$4999,19,FALSE),IF(OR(J42="リード付け",J42="巻返しリード付け"),"",IF(J42="スリット",VLOOKUP(F42&amp;K42&amp;R42,製品マスタ!$N$5:$AE$4999,18,FALSE),""))))))</f>
        <v/>
      </c>
      <c r="Y42" s="256" t="str">
        <f>IF(D42="","",IF(T42="","",VLOOKUP(D42,契約台帳!$A$3:$Q$4986,17,FALSE)))</f>
        <v/>
      </c>
      <c r="Z42" s="256" t="str">
        <f>IF(D42="","",IF(T42="","",VLOOKUP(D42,契約台帳!$A$3:$E$4986,5,FALSE)))</f>
        <v/>
      </c>
      <c r="AA42" s="54"/>
      <c r="AB42" s="200" t="str">
        <f>IFERROR((VLOOKUP(F42&amp;K42&amp;M42,製品マスタ!$M$5:$AM$4999,27,FALSE)),"")</f>
        <v/>
      </c>
      <c r="AC42" s="31"/>
      <c r="AD42" s="184"/>
      <c r="AE42" s="51"/>
      <c r="AF42" s="52"/>
      <c r="AG42" s="41"/>
      <c r="AH42" s="45"/>
      <c r="AI42" s="28"/>
      <c r="AJ42" s="28"/>
      <c r="AK42" s="28"/>
      <c r="AL42" s="28"/>
      <c r="AM42" s="12"/>
      <c r="AN42" s="12"/>
      <c r="AO42" s="12"/>
      <c r="AP42" s="12"/>
      <c r="AQ42" s="12"/>
      <c r="AR42" s="13"/>
      <c r="AS42" s="14"/>
    </row>
    <row r="43" spans="1:45" s="16" customFormat="1" ht="30.95" hidden="1" customHeight="1" x14ac:dyDescent="0.2">
      <c r="A43" s="35"/>
      <c r="B43" s="36"/>
      <c r="C43" s="43"/>
      <c r="D43" s="29">
        <v>3694114</v>
      </c>
      <c r="E43" s="29">
        <v>4161772</v>
      </c>
      <c r="F43" s="255" t="str">
        <f>IF(D43="","",VLOOKUP(D43,契約台帳!$A$3:$K$4986,6,FALSE)&amp;VLOOKUP(D43,契約台帳!$A$3:$K$4986,7,FALSE)&amp;VLOOKUP(D43,契約台帳!$A$3:$K$4986,8,FALSE)&amp;VLOOKUP(D43,契約台帳!$A$3:$K$4986,9,FALSE)&amp;VLOOKUP(D43,契約台帳!$A$3:$K$4986,11,FALSE))</f>
        <v>3SNMLBMNNGKBF</v>
      </c>
      <c r="G43" s="256" t="str">
        <f>IF(D43="","",VLOOKUP(F43,製品マスタ!$G$5:$H$4999,2,FALSE))</f>
        <v>S</v>
      </c>
      <c r="H43" s="256" t="str">
        <f>IF(D43="","",VLOOKUP(F43,製品マスタ!$G$5:$K$4999,5,FALSE))</f>
        <v>MNNGKBF</v>
      </c>
      <c r="I43" s="200" t="str">
        <f>IF(D43="","",VLOOKUP(F43,製品マスタ!$G$5:$L$4999,6,FALSE))</f>
        <v>メタルミー　ニューネーマー銀消　Ｂ</v>
      </c>
      <c r="J43" s="203" t="s">
        <v>736</v>
      </c>
      <c r="K43" s="200">
        <f>IF(D43="","",VLOOKUP(D43,契約台帳!$A$3:$L$4986,12,FALSE))</f>
        <v>25</v>
      </c>
      <c r="L43" s="200" t="str">
        <f>IF(D43="","",INDEX(製品マスタ!$Q$5:$Q$4999,MATCH('S4'!F43&amp;'S4'!K43,製品マスタ!$AO$5:$AO$4999,0)))</f>
        <v>X44C</v>
      </c>
      <c r="M43" s="37">
        <v>1005</v>
      </c>
      <c r="N43" s="37">
        <v>8000</v>
      </c>
      <c r="O43" s="153">
        <v>2</v>
      </c>
      <c r="P43" s="45">
        <v>2</v>
      </c>
      <c r="Q43" s="206">
        <v>44567</v>
      </c>
      <c r="R43" s="257">
        <f ca="1">IF(D43="","",IF(OFFSET(D43,-1,0)&lt;&gt;"","",IF(OR(J43="リード付け",J43="巻足し",J43="巻返しリード付け"),M43,VLOOKUP(D43,契約台帳!$A$3:$N$4986,14,FALSE))))</f>
        <v>1005</v>
      </c>
      <c r="S43" s="258">
        <f ca="1">IF(D43="","",IF(OFFSET(D43,-1,0)&lt;&gt;"","",IF(OR(J43="リード付け",J43="巻足し",J43="巻返しリード付け"),M43,VLOOKUP(D43,契約台帳!$A$3:$O$4986,15,FALSE))))</f>
        <v>1005</v>
      </c>
      <c r="T43" s="258">
        <f ca="1">IF(D43="","",IF(J43="リード付け",N43,IF(J43="巻返しリード付け",N43,IF(J43="巻足し",N43*P43+OFFSET(N43,1,0)*OFFSET(P43,1,0),VLOOKUP(D43,契約台帳!$A$3:$P$4986,16,FALSE)))))</f>
        <v>16000</v>
      </c>
      <c r="U43" s="38">
        <v>1</v>
      </c>
      <c r="V43" s="259">
        <f ca="1">IF(D43="","",IF(OFFSET(D43,-2,0)=D43,"",VLOOKUP(D43,契約台帳!$A$3:$R$4986,18,FALSE)))</f>
        <v>4</v>
      </c>
      <c r="W43" s="256" t="str">
        <f ca="1">IF(D43="","",IF(T43="","",IF(OR(J43="巻足し",J43="巻返しリード付け"),"",IF(J43="巻返し",VLOOKUP(F43&amp;K43&amp;M43,製品マスタ!$M$5:$AD$4999,18,FALSE),IF(OR(J43="リード付け",J43="巻返しリード付け"),"原反コア",IF(J43="スリット",VLOOKUP(F43&amp;K43&amp;R43,製品マスタ!$N$5:$AD$4999,17,FALSE),""))))))</f>
        <v/>
      </c>
      <c r="X43" s="256" t="str">
        <f ca="1">IF(D43="","",IF(T43="","",IF(J43="巻足し","",IF(J43="巻返し",VLOOKUP(F43&amp;K43&amp;M43,製品マスタ!$M$5:$AE$4999,19,FALSE),IF(OR(J43="リード付け",J43="巻返しリード付け"),"",IF(J43="スリット",VLOOKUP(F43&amp;K43&amp;R43,製品マスタ!$N$5:$AE$4999,18,FALSE),""))))))</f>
        <v/>
      </c>
      <c r="Y43" s="256">
        <f ca="1">IF(D43="","",IF(T43="","",VLOOKUP(D43,契約台帳!$A$3:$Q$4986,17,FALSE)))</f>
        <v>2</v>
      </c>
      <c r="Z43" s="256" t="str">
        <f ca="1">IF(D43="","",IF(T43="","",VLOOKUP(D43,契約台帳!$A$3:$E$4986,5,FALSE)))</f>
        <v>リンテック㈱</v>
      </c>
      <c r="AA43" s="54"/>
      <c r="AB43" s="200">
        <f>IFERROR((VLOOKUP(F43&amp;K43&amp;M43,製品マスタ!$M$5:$AM$4999,27,FALSE)),"")</f>
        <v>0</v>
      </c>
      <c r="AC43" s="31"/>
      <c r="AD43" s="184"/>
      <c r="AE43" s="51"/>
      <c r="AF43" s="52"/>
      <c r="AG43" s="41"/>
      <c r="AH43" s="45"/>
      <c r="AI43" s="28"/>
      <c r="AJ43" s="28"/>
      <c r="AK43" s="28"/>
      <c r="AL43" s="28"/>
      <c r="AM43" s="12"/>
      <c r="AN43" s="12"/>
      <c r="AO43" s="12"/>
      <c r="AP43" s="12"/>
      <c r="AQ43" s="12"/>
      <c r="AR43" s="13"/>
      <c r="AS43" s="14"/>
    </row>
    <row r="44" spans="1:45" s="16" customFormat="1" ht="30.95" hidden="1" customHeight="1" x14ac:dyDescent="0.2">
      <c r="A44" s="35"/>
      <c r="B44" s="36"/>
      <c r="C44" s="43"/>
      <c r="D44" s="29"/>
      <c r="E44" s="29"/>
      <c r="F44" s="255" t="str">
        <f>IF(D44="","",VLOOKUP(D44,契約台帳!$A$3:$K$4986,6,FALSE)&amp;VLOOKUP(D44,契約台帳!$A$3:$K$4986,7,FALSE)&amp;VLOOKUP(D44,契約台帳!$A$3:$K$4986,8,FALSE)&amp;VLOOKUP(D44,契約台帳!$A$3:$K$4986,9,FALSE)&amp;VLOOKUP(D44,契約台帳!$A$3:$K$4986,11,FALSE))</f>
        <v/>
      </c>
      <c r="G44" s="256" t="str">
        <f>IF(D44="","",VLOOKUP(F44,製品マスタ!$G$5:$H$4999,2,FALSE))</f>
        <v/>
      </c>
      <c r="H44" s="256" t="str">
        <f>IF(D44="","",VLOOKUP(F44,製品マスタ!$G$5:$K$4999,5,FALSE))</f>
        <v/>
      </c>
      <c r="I44" s="200" t="str">
        <f>IF(D44="","",VLOOKUP(F44,製品マスタ!$G$5:$L$4999,6,FALSE))</f>
        <v/>
      </c>
      <c r="J44" s="203"/>
      <c r="K44" s="200" t="str">
        <f>IF(D44="","",VLOOKUP(D44,契約台帳!$A$3:$L$4986,12,FALSE))</f>
        <v/>
      </c>
      <c r="L44" s="200" t="str">
        <f>IF(D44="","",INDEX(製品マスタ!$Q$5:$Q$4999,MATCH('S4'!F44&amp;'S4'!K44,製品マスタ!$AO$5:$AO$4999,0)))</f>
        <v/>
      </c>
      <c r="M44" s="37"/>
      <c r="N44" s="37"/>
      <c r="O44" s="153"/>
      <c r="P44" s="45"/>
      <c r="Q44" s="54"/>
      <c r="R44" s="257" t="str">
        <f ca="1">IF(D44="","",IF(OFFSET(D44,-1,0)&lt;&gt;"","",IF(OR(J44="リード付け",J44="巻足し",J44="巻返しリード付け"),M44,VLOOKUP(D44,契約台帳!$A$3:$N$4986,14,FALSE))))</f>
        <v/>
      </c>
      <c r="S44" s="258" t="str">
        <f ca="1">IF(D44="","",IF(OFFSET(D44,-1,0)&lt;&gt;"","",IF(OR(J44="リード付け",J44="巻足し",J44="巻返しリード付け"),M44,VLOOKUP(D44,契約台帳!$A$3:$O$4986,15,FALSE))))</f>
        <v/>
      </c>
      <c r="T44" s="258" t="str">
        <f ca="1">IF(D44="","",IF(J44="リード付け",N44,IF(J44="巻返しリード付け",N44,IF(J44="巻足し",N44*P44+OFFSET(N44,1,0)*OFFSET(P44,1,0),VLOOKUP(D44,契約台帳!$A$3:$P$4986,16,FALSE)))))</f>
        <v/>
      </c>
      <c r="U44" s="38"/>
      <c r="V44" s="259" t="str">
        <f ca="1">IF(D44="","",IF(OFFSET(D44,-2,0)=D44,"",VLOOKUP(D44,契約台帳!$A$3:$R$4986,18,FALSE)))</f>
        <v/>
      </c>
      <c r="W44" s="256" t="str">
        <f>IF(D44="","",IF(T44="","",IF(OR(J44="巻足し",J44="巻返しリード付け"),"",IF(J44="巻返し",VLOOKUP(F44&amp;K44&amp;M44,製品マスタ!$M$5:$AD$4999,18,FALSE),IF(OR(J44="リード付け",J44="巻返しリード付け"),"原反コア",IF(J44="スリット",VLOOKUP(F44&amp;K44&amp;R44,製品マスタ!$N$5:$AD$4999,17,FALSE),""))))))</f>
        <v/>
      </c>
      <c r="X44" s="256" t="str">
        <f>IF(D44="","",IF(T44="","",IF(J44="巻足し","",IF(J44="巻返し",VLOOKUP(F44&amp;K44&amp;M44,製品マスタ!$M$5:$AE$4999,19,FALSE),IF(OR(J44="リード付け",J44="巻返しリード付け"),"",IF(J44="スリット",VLOOKUP(F44&amp;K44&amp;R44,製品マスタ!$N$5:$AE$4999,18,FALSE),""))))))</f>
        <v/>
      </c>
      <c r="Y44" s="256" t="str">
        <f>IF(D44="","",IF(T44="","",VLOOKUP(D44,契約台帳!$A$3:$Q$4986,17,FALSE)))</f>
        <v/>
      </c>
      <c r="Z44" s="256" t="str">
        <f>IF(D44="","",IF(T44="","",VLOOKUP(D44,契約台帳!$A$3:$E$4986,5,FALSE)))</f>
        <v/>
      </c>
      <c r="AA44" s="54"/>
      <c r="AB44" s="200" t="str">
        <f>IFERROR((VLOOKUP(F44&amp;K44&amp;M44,製品マスタ!$M$5:$AM$4999,27,FALSE)),"")</f>
        <v/>
      </c>
      <c r="AC44" s="31"/>
      <c r="AD44" s="184"/>
      <c r="AE44" s="51"/>
      <c r="AF44" s="52"/>
      <c r="AG44" s="41"/>
      <c r="AH44" s="45"/>
      <c r="AI44" s="28"/>
      <c r="AJ44" s="28"/>
      <c r="AK44" s="28"/>
      <c r="AL44" s="28"/>
      <c r="AM44" s="12"/>
      <c r="AN44" s="12"/>
      <c r="AO44" s="12"/>
      <c r="AP44" s="12"/>
      <c r="AQ44" s="12"/>
      <c r="AR44" s="13"/>
      <c r="AS44" s="14"/>
    </row>
    <row r="45" spans="1:45" s="16" customFormat="1" ht="30.95" hidden="1" customHeight="1" x14ac:dyDescent="0.2">
      <c r="A45" s="35"/>
      <c r="B45" s="36"/>
      <c r="C45" s="43"/>
      <c r="D45" s="29">
        <v>3694115</v>
      </c>
      <c r="E45" s="29">
        <v>4161773</v>
      </c>
      <c r="F45" s="255" t="str">
        <f>IF(D45="","",VLOOKUP(D45,契約台帳!$A$3:$K$4986,6,FALSE)&amp;VLOOKUP(D45,契約台帳!$A$3:$K$4986,7,FALSE)&amp;VLOOKUP(D45,契約台帳!$A$3:$K$4986,8,FALSE)&amp;VLOOKUP(D45,契約台帳!$A$3:$K$4986,9,FALSE)&amp;VLOOKUP(D45,契約台帳!$A$3:$K$4986,11,FALSE))</f>
        <v>3SNMLBMNNGKBF</v>
      </c>
      <c r="G45" s="256" t="str">
        <f>IF(D45="","",VLOOKUP(F45,製品マスタ!$G$5:$H$4999,2,FALSE))</f>
        <v>S</v>
      </c>
      <c r="H45" s="256" t="str">
        <f>IF(D45="","",VLOOKUP(F45,製品マスタ!$G$5:$K$4999,5,FALSE))</f>
        <v>MNNGKBF</v>
      </c>
      <c r="I45" s="200" t="str">
        <f>IF(D45="","",VLOOKUP(F45,製品マスタ!$G$5:$L$4999,6,FALSE))</f>
        <v>メタルミー　ニューネーマー銀消　Ｂ</v>
      </c>
      <c r="J45" s="203" t="s">
        <v>736</v>
      </c>
      <c r="K45" s="200">
        <f>IF(D45="","",VLOOKUP(D45,契約台帳!$A$3:$L$4986,12,FALSE))</f>
        <v>50</v>
      </c>
      <c r="L45" s="200" t="str">
        <f>IF(D45="","",INDEX(製品マスタ!$Q$5:$Q$4999,MATCH('S4'!F45&amp;'S4'!K45,製品マスタ!$AO$5:$AO$4999,0)))</f>
        <v>X44</v>
      </c>
      <c r="M45" s="37">
        <v>1000</v>
      </c>
      <c r="N45" s="37">
        <v>4000</v>
      </c>
      <c r="O45" s="153">
        <v>12</v>
      </c>
      <c r="P45" s="45">
        <v>3</v>
      </c>
      <c r="Q45" s="206">
        <v>44567</v>
      </c>
      <c r="R45" s="257">
        <f ca="1">IF(D45="","",IF(OFFSET(D45,-1,0)&lt;&gt;"","",IF(OR(J45="リード付け",J45="巻足し",J45="巻返しリード付け"),M45,VLOOKUP(D45,契約台帳!$A$3:$N$4986,14,FALSE))))</f>
        <v>1000</v>
      </c>
      <c r="S45" s="258">
        <f ca="1">IF(D45="","",IF(OFFSET(D45,-1,0)&lt;&gt;"","",IF(OR(J45="リード付け",J45="巻足し",J45="巻返しリード付け"),M45,VLOOKUP(D45,契約台帳!$A$3:$O$4986,15,FALSE))))</f>
        <v>1000</v>
      </c>
      <c r="T45" s="258">
        <f ca="1">IF(D45="","",IF(J45="リード付け",N45,IF(J45="巻返しリード付け",N45,IF(J45="巻足し",N45*P45+OFFSET(N45,1,0)*OFFSET(P45,1,0),VLOOKUP(D45,契約台帳!$A$3:$P$4986,16,FALSE)))))</f>
        <v>12000</v>
      </c>
      <c r="U45" s="38">
        <v>4</v>
      </c>
      <c r="V45" s="259">
        <f ca="1">IF(D45="","",IF(OFFSET(D45,-2,0)=D45,"",VLOOKUP(D45,契約台帳!$A$3:$R$4986,18,FALSE)))</f>
        <v>21</v>
      </c>
      <c r="W45" s="256" t="str">
        <f ca="1">IF(D45="","",IF(T45="","",IF(OR(J45="巻足し",J45="巻返しリード付け"),"",IF(J45="巻返し",VLOOKUP(F45&amp;K45&amp;M45,製品マスタ!$M$5:$AD$4999,18,FALSE),IF(OR(J45="リード付け",J45="巻返しリード付け"),"原反コア",IF(J45="スリット",VLOOKUP(F45&amp;K45&amp;R45,製品マスタ!$N$5:$AD$4999,17,FALSE),""))))))</f>
        <v/>
      </c>
      <c r="X45" s="256" t="str">
        <f ca="1">IF(D45="","",IF(T45="","",IF(J45="巻足し","",IF(J45="巻返し",VLOOKUP(F45&amp;K45&amp;M45,製品マスタ!$M$5:$AE$4999,19,FALSE),IF(OR(J45="リード付け",J45="巻返しリード付け"),"",IF(J45="スリット",VLOOKUP(F45&amp;K45&amp;R45,製品マスタ!$N$5:$AE$4999,18,FALSE),""))))))</f>
        <v/>
      </c>
      <c r="Y45" s="256">
        <f ca="1">IF(D45="","",IF(T45="","",VLOOKUP(D45,契約台帳!$A$3:$Q$4986,17,FALSE)))</f>
        <v>2</v>
      </c>
      <c r="Z45" s="256" t="str">
        <f ca="1">IF(D45="","",IF(T45="","",VLOOKUP(D45,契約台帳!$A$3:$E$4986,5,FALSE)))</f>
        <v>リンテック㈱</v>
      </c>
      <c r="AA45" s="54"/>
      <c r="AB45" s="200" t="str">
        <f>IFERROR((VLOOKUP(F45&amp;K45&amp;M45,製品マスタ!$M$5:$AM$4999,27,FALSE)),"")</f>
        <v>原反ケース再利用</v>
      </c>
      <c r="AC45" s="31"/>
      <c r="AD45" s="184"/>
      <c r="AE45" s="51"/>
      <c r="AF45" s="52"/>
      <c r="AG45" s="41"/>
      <c r="AH45" s="45"/>
      <c r="AI45" s="28"/>
      <c r="AJ45" s="28"/>
      <c r="AK45" s="28"/>
      <c r="AL45" s="28"/>
      <c r="AM45" s="12"/>
      <c r="AN45" s="12"/>
      <c r="AO45" s="12"/>
      <c r="AP45" s="12"/>
      <c r="AQ45" s="12"/>
      <c r="AR45" s="13"/>
      <c r="AS45" s="14"/>
    </row>
    <row r="46" spans="1:45" s="16" customFormat="1" ht="30.95" hidden="1" customHeight="1" x14ac:dyDescent="0.2">
      <c r="A46" s="35"/>
      <c r="B46" s="36"/>
      <c r="C46" s="43"/>
      <c r="D46" s="29"/>
      <c r="E46" s="29"/>
      <c r="F46" s="255" t="str">
        <f>IF(D46="","",VLOOKUP(D46,契約台帳!$A$3:$K$4986,6,FALSE)&amp;VLOOKUP(D46,契約台帳!$A$3:$K$4986,7,FALSE)&amp;VLOOKUP(D46,契約台帳!$A$3:$K$4986,8,FALSE)&amp;VLOOKUP(D46,契約台帳!$A$3:$K$4986,9,FALSE)&amp;VLOOKUP(D46,契約台帳!$A$3:$K$4986,11,FALSE))</f>
        <v/>
      </c>
      <c r="G46" s="256" t="str">
        <f>IF(D46="","",VLOOKUP(F46,製品マスタ!$G$5:$H$4999,2,FALSE))</f>
        <v/>
      </c>
      <c r="H46" s="256" t="str">
        <f>IF(D46="","",VLOOKUP(F46,製品マスタ!$G$5:$K$4999,5,FALSE))</f>
        <v/>
      </c>
      <c r="I46" s="200" t="str">
        <f>IF(D46="","",VLOOKUP(F46,製品マスタ!$G$5:$L$4999,6,FALSE))</f>
        <v/>
      </c>
      <c r="J46" s="203"/>
      <c r="K46" s="200" t="str">
        <f>IF(D46="","",VLOOKUP(D46,契約台帳!$A$3:$L$4986,12,FALSE))</f>
        <v/>
      </c>
      <c r="L46" s="200" t="str">
        <f>IF(D46="","",INDEX(製品マスタ!$Q$5:$Q$4999,MATCH('S4'!F46&amp;'S4'!K46,製品マスタ!$AO$5:$AO$4999,0)))</f>
        <v/>
      </c>
      <c r="M46" s="37"/>
      <c r="N46" s="37"/>
      <c r="O46" s="153"/>
      <c r="P46" s="45"/>
      <c r="Q46" s="54"/>
      <c r="R46" s="257" t="str">
        <f ca="1">IF(D46="","",IF(OFFSET(D46,-1,0)&lt;&gt;"","",IF(OR(J46="リード付け",J46="巻足し",J46="巻返しリード付け"),M46,VLOOKUP(D46,契約台帳!$A$3:$N$4986,14,FALSE))))</f>
        <v/>
      </c>
      <c r="S46" s="258" t="str">
        <f ca="1">IF(D46="","",IF(OFFSET(D46,-1,0)&lt;&gt;"","",IF(OR(J46="リード付け",J46="巻足し",J46="巻返しリード付け"),M46,VLOOKUP(D46,契約台帳!$A$3:$O$4986,15,FALSE))))</f>
        <v/>
      </c>
      <c r="T46" s="258" t="str">
        <f ca="1">IF(D46="","",IF(J46="リード付け",N46,IF(J46="巻返しリード付け",N46,IF(J46="巻足し",N46*P46+OFFSET(N46,1,0)*OFFSET(P46,1,0),VLOOKUP(D46,契約台帳!$A$3:$P$4986,16,FALSE)))))</f>
        <v/>
      </c>
      <c r="U46" s="38"/>
      <c r="V46" s="259" t="str">
        <f ca="1">IF(D46="","",IF(OFFSET(D46,-2,0)=D46,"",VLOOKUP(D46,契約台帳!$A$3:$R$4986,18,FALSE)))</f>
        <v/>
      </c>
      <c r="W46" s="256" t="str">
        <f>IF(D46="","",IF(T46="","",IF(OR(J46="巻足し",J46="巻返しリード付け"),"",IF(J46="巻返し",VLOOKUP(F46&amp;K46&amp;M46,製品マスタ!$M$5:$AD$4999,18,FALSE),IF(OR(J46="リード付け",J46="巻返しリード付け"),"原反コア",IF(J46="スリット",VLOOKUP(F46&amp;K46&amp;R46,製品マスタ!$N$5:$AD$4999,17,FALSE),""))))))</f>
        <v/>
      </c>
      <c r="X46" s="256" t="str">
        <f>IF(D46="","",IF(T46="","",IF(J46="巻足し","",IF(J46="巻返し",VLOOKUP(F46&amp;K46&amp;M46,製品マスタ!$M$5:$AE$4999,19,FALSE),IF(OR(J46="リード付け",J46="巻返しリード付け"),"",IF(J46="スリット",VLOOKUP(F46&amp;K46&amp;R46,製品マスタ!$N$5:$AE$4999,18,FALSE),""))))))</f>
        <v/>
      </c>
      <c r="Y46" s="256" t="str">
        <f>IF(D46="","",IF(T46="","",VLOOKUP(D46,契約台帳!$A$3:$Q$4986,17,FALSE)))</f>
        <v/>
      </c>
      <c r="Z46" s="256" t="str">
        <f>IF(D46="","",IF(T46="","",VLOOKUP(D46,契約台帳!$A$3:$E$4986,5,FALSE)))</f>
        <v/>
      </c>
      <c r="AA46" s="54"/>
      <c r="AB46" s="200" t="str">
        <f>IFERROR((VLOOKUP(F46&amp;K46&amp;M46,製品マスタ!$M$5:$AM$4999,27,FALSE)),"")</f>
        <v/>
      </c>
      <c r="AC46" s="31"/>
      <c r="AD46" s="184"/>
      <c r="AE46" s="51"/>
      <c r="AF46" s="52"/>
      <c r="AG46" s="41"/>
      <c r="AH46" s="45"/>
      <c r="AI46" s="28"/>
      <c r="AJ46" s="28"/>
      <c r="AK46" s="28"/>
      <c r="AL46" s="28"/>
      <c r="AM46" s="12"/>
      <c r="AN46" s="12"/>
      <c r="AO46" s="12"/>
      <c r="AP46" s="12"/>
      <c r="AQ46" s="12"/>
      <c r="AR46" s="13"/>
      <c r="AS46" s="14"/>
    </row>
    <row r="47" spans="1:45" s="16" customFormat="1" ht="30.95" hidden="1" customHeight="1" x14ac:dyDescent="0.2">
      <c r="A47" s="35" t="s">
        <v>763</v>
      </c>
      <c r="B47" s="36" t="s">
        <v>745</v>
      </c>
      <c r="C47" s="43"/>
      <c r="D47" s="29">
        <v>3694115</v>
      </c>
      <c r="E47" s="29">
        <v>4161773</v>
      </c>
      <c r="F47" s="255" t="str">
        <f>IF(D47="","",VLOOKUP(D47,契約台帳!$A$3:$K$4986,6,FALSE)&amp;VLOOKUP(D47,契約台帳!$A$3:$K$4986,7,FALSE)&amp;VLOOKUP(D47,契約台帳!$A$3:$K$4986,8,FALSE)&amp;VLOOKUP(D47,契約台帳!$A$3:$K$4986,9,FALSE)&amp;VLOOKUP(D47,契約台帳!$A$3:$K$4986,11,FALSE))</f>
        <v>3SNMLBMNNGKBF</v>
      </c>
      <c r="G47" s="256" t="str">
        <f>IF(D47="","",VLOOKUP(F47,製品マスタ!$G$5:$H$4999,2,FALSE))</f>
        <v>S</v>
      </c>
      <c r="H47" s="256" t="str">
        <f>IF(D47="","",VLOOKUP(F47,製品マスタ!$G$5:$K$4999,5,FALSE))</f>
        <v>MNNGKBF</v>
      </c>
      <c r="I47" s="200" t="str">
        <f>IF(D47="","",VLOOKUP(F47,製品マスタ!$G$5:$L$4999,6,FALSE))</f>
        <v>メタルミー　ニューネーマー銀消　Ｂ</v>
      </c>
      <c r="J47" s="203" t="s">
        <v>736</v>
      </c>
      <c r="K47" s="200">
        <f>IF(D47="","",VLOOKUP(D47,契約台帳!$A$3:$L$4986,12,FALSE))</f>
        <v>50</v>
      </c>
      <c r="L47" s="200" t="str">
        <f>IF(D47="","",INDEX(製品マスタ!$Q$5:$Q$4999,MATCH('S4'!F47&amp;'S4'!K47,製品マスタ!$AO$5:$AO$4999,0)))</f>
        <v>X44</v>
      </c>
      <c r="M47" s="37">
        <v>1000</v>
      </c>
      <c r="N47" s="37">
        <v>4000</v>
      </c>
      <c r="O47" s="153">
        <v>9</v>
      </c>
      <c r="P47" s="45">
        <v>3</v>
      </c>
      <c r="Q47" s="206">
        <v>44567</v>
      </c>
      <c r="R47" s="257">
        <f ca="1">IF(D47="","",IF(OFFSET(D47,-1,0)&lt;&gt;"","",IF(OR(J47="リード付け",J47="巻足し",J47="巻返しリード付け"),M47,VLOOKUP(D47,契約台帳!$A$3:$N$4986,14,FALSE))))</f>
        <v>1000</v>
      </c>
      <c r="S47" s="258">
        <f ca="1">IF(D47="","",IF(OFFSET(D47,-1,0)&lt;&gt;"","",IF(OR(J47="リード付け",J47="巻足し",J47="巻返しリード付け"),M47,VLOOKUP(D47,契約台帳!$A$3:$O$4986,15,FALSE))))</f>
        <v>1000</v>
      </c>
      <c r="T47" s="258">
        <f ca="1">IF(D47="","",IF(J47="リード付け",N47,IF(J47="巻返しリード付け",N47,IF(J47="巻足し",N47*P47+OFFSET(N47,1,0)*OFFSET(P47,1,0),VLOOKUP(D47,契約台帳!$A$3:$P$4986,16,FALSE)))))</f>
        <v>12000</v>
      </c>
      <c r="U47" s="38">
        <v>3</v>
      </c>
      <c r="V47" s="259" t="str">
        <f ca="1">IF(D47="","",IF(OFFSET(D47,-2,0)=D47,"",VLOOKUP(D47,契約台帳!$A$3:$R$4986,18,FALSE)))</f>
        <v/>
      </c>
      <c r="W47" s="256" t="str">
        <f ca="1">IF(D47="","",IF(T47="","",IF(OR(J47="巻足し",J47="巻返しリード付け"),"",IF(J47="巻返し",VLOOKUP(F47&amp;K47&amp;M47,製品マスタ!$M$5:$AD$4999,18,FALSE),IF(OR(J47="リード付け",J47="巻返しリード付け"),"原反コア",IF(J47="スリット",VLOOKUP(F47&amp;K47&amp;R47,製品マスタ!$N$5:$AD$4999,17,FALSE),""))))))</f>
        <v/>
      </c>
      <c r="X47" s="256" t="str">
        <f ca="1">IF(D47="","",IF(T47="","",IF(J47="巻足し","",IF(J47="巻返し",VLOOKUP(F47&amp;K47&amp;M47,製品マスタ!$M$5:$AE$4999,19,FALSE),IF(OR(J47="リード付け",J47="巻返しリード付け"),"",IF(J47="スリット",VLOOKUP(F47&amp;K47&amp;R47,製品マスタ!$N$5:$AE$4999,18,FALSE),""))))))</f>
        <v/>
      </c>
      <c r="Y47" s="256">
        <f ca="1">IF(D47="","",IF(T47="","",VLOOKUP(D47,契約台帳!$A$3:$Q$4986,17,FALSE)))</f>
        <v>2</v>
      </c>
      <c r="Z47" s="256" t="str">
        <f ca="1">IF(D47="","",IF(T47="","",VLOOKUP(D47,契約台帳!$A$3:$E$4986,5,FALSE)))</f>
        <v>リンテック㈱</v>
      </c>
      <c r="AA47" s="54"/>
      <c r="AB47" s="200" t="str">
        <f>IFERROR((VLOOKUP(F47&amp;K47&amp;M47,製品マスタ!$M$5:$AM$4999,27,FALSE)),"")</f>
        <v>原反ケース再利用</v>
      </c>
      <c r="AC47" s="31"/>
      <c r="AD47" s="184"/>
      <c r="AE47" s="51"/>
      <c r="AF47" s="52"/>
      <c r="AG47" s="41"/>
      <c r="AH47" s="45"/>
      <c r="AI47" s="28"/>
      <c r="AJ47" s="28"/>
      <c r="AK47" s="28"/>
      <c r="AL47" s="28"/>
      <c r="AM47" s="12"/>
      <c r="AN47" s="12"/>
      <c r="AO47" s="12"/>
      <c r="AP47" s="12"/>
      <c r="AQ47" s="12"/>
      <c r="AR47" s="13"/>
      <c r="AS47" s="14"/>
    </row>
    <row r="48" spans="1:45" s="16" customFormat="1" ht="30.95" hidden="1" customHeight="1" x14ac:dyDescent="0.2">
      <c r="A48" s="35"/>
      <c r="B48" s="36"/>
      <c r="C48" s="43"/>
      <c r="D48" s="29"/>
      <c r="E48" s="29"/>
      <c r="F48" s="255" t="str">
        <f>IF(D48="","",VLOOKUP(D48,契約台帳!$A$3:$K$4986,6,FALSE)&amp;VLOOKUP(D48,契約台帳!$A$3:$K$4986,7,FALSE)&amp;VLOOKUP(D48,契約台帳!$A$3:$K$4986,8,FALSE)&amp;VLOOKUP(D48,契約台帳!$A$3:$K$4986,9,FALSE)&amp;VLOOKUP(D48,契約台帳!$A$3:$K$4986,11,FALSE))</f>
        <v/>
      </c>
      <c r="G48" s="256" t="str">
        <f>IF(D48="","",VLOOKUP(F48,製品マスタ!$G$5:$H$4999,2,FALSE))</f>
        <v/>
      </c>
      <c r="H48" s="256" t="str">
        <f>IF(D48="","",VLOOKUP(F48,製品マスタ!$G$5:$K$4999,5,FALSE))</f>
        <v/>
      </c>
      <c r="I48" s="200" t="str">
        <f>IF(D48="","",VLOOKUP(F48,製品マスタ!$G$5:$L$4999,6,FALSE))</f>
        <v/>
      </c>
      <c r="J48" s="203"/>
      <c r="K48" s="200" t="str">
        <f>IF(D48="","",VLOOKUP(D48,契約台帳!$A$3:$L$4986,12,FALSE))</f>
        <v/>
      </c>
      <c r="L48" s="200" t="str">
        <f>IF(D48="","",INDEX(製品マスタ!$Q$5:$Q$4999,MATCH('S4'!F48&amp;'S4'!K48,製品マスタ!$AO$5:$AO$4999,0)))</f>
        <v/>
      </c>
      <c r="M48" s="37"/>
      <c r="N48" s="37"/>
      <c r="O48" s="153"/>
      <c r="P48" s="45"/>
      <c r="Q48" s="54"/>
      <c r="R48" s="257" t="str">
        <f ca="1">IF(D48="","",IF(OFFSET(D48,-1,0)&lt;&gt;"","",IF(OR(J48="リード付け",J48="巻足し",J48="巻返しリード付け"),M48,VLOOKUP(D48,契約台帳!$A$3:$N$4986,14,FALSE))))</f>
        <v/>
      </c>
      <c r="S48" s="258" t="str">
        <f ca="1">IF(D48="","",IF(OFFSET(D48,-1,0)&lt;&gt;"","",IF(OR(J48="リード付け",J48="巻足し",J48="巻返しリード付け"),M48,VLOOKUP(D48,契約台帳!$A$3:$O$4986,15,FALSE))))</f>
        <v/>
      </c>
      <c r="T48" s="258" t="str">
        <f ca="1">IF(D48="","",IF(J48="リード付け",N48,IF(J48="巻返しリード付け",N48,IF(J48="巻足し",N48*P48+OFFSET(N48,1,0)*OFFSET(P48,1,0),VLOOKUP(D48,契約台帳!$A$3:$P$4986,16,FALSE)))))</f>
        <v/>
      </c>
      <c r="U48" s="38"/>
      <c r="V48" s="259" t="str">
        <f ca="1">IF(D48="","",IF(OFFSET(D48,-2,0)=D48,"",VLOOKUP(D48,契約台帳!$A$3:$R$4986,18,FALSE)))</f>
        <v/>
      </c>
      <c r="W48" s="256" t="str">
        <f>IF(D48="","",IF(T48="","",IF(OR(J48="巻足し",J48="巻返しリード付け"),"",IF(J48="巻返し",VLOOKUP(F48&amp;K48&amp;M48,製品マスタ!$M$5:$AD$4999,18,FALSE),IF(OR(J48="リード付け",J48="巻返しリード付け"),"原反コア",IF(J48="スリット",VLOOKUP(F48&amp;K48&amp;R48,製品マスタ!$N$5:$AD$4999,17,FALSE),""))))))</f>
        <v/>
      </c>
      <c r="X48" s="256" t="str">
        <f>IF(D48="","",IF(T48="","",IF(J48="巻足し","",IF(J48="巻返し",VLOOKUP(F48&amp;K48&amp;M48,製品マスタ!$M$5:$AE$4999,19,FALSE),IF(OR(J48="リード付け",J48="巻返しリード付け"),"",IF(J48="スリット",VLOOKUP(F48&amp;K48&amp;R48,製品マスタ!$N$5:$AE$4999,18,FALSE),""))))))</f>
        <v/>
      </c>
      <c r="Y48" s="256" t="str">
        <f>IF(D48="","",IF(T48="","",VLOOKUP(D48,契約台帳!$A$3:$Q$4986,17,FALSE)))</f>
        <v/>
      </c>
      <c r="Z48" s="256" t="str">
        <f>IF(D48="","",IF(T48="","",VLOOKUP(D48,契約台帳!$A$3:$E$4986,5,FALSE)))</f>
        <v/>
      </c>
      <c r="AA48" s="54"/>
      <c r="AB48" s="200" t="str">
        <f>IFERROR((VLOOKUP(F48&amp;K48&amp;M48,製品マスタ!$M$5:$AM$4999,27,FALSE)),"")</f>
        <v/>
      </c>
      <c r="AC48" s="31"/>
      <c r="AD48" s="184"/>
      <c r="AE48" s="51"/>
      <c r="AF48" s="52"/>
      <c r="AG48" s="41"/>
      <c r="AH48" s="45"/>
      <c r="AI48" s="28"/>
      <c r="AJ48" s="28"/>
      <c r="AK48" s="28"/>
      <c r="AL48" s="28"/>
      <c r="AM48" s="12"/>
      <c r="AN48" s="12"/>
      <c r="AO48" s="12"/>
      <c r="AP48" s="12"/>
      <c r="AQ48" s="12"/>
      <c r="AR48" s="13"/>
      <c r="AS48" s="14"/>
    </row>
    <row r="49" spans="1:45" s="16" customFormat="1" ht="30.95" hidden="1" customHeight="1" x14ac:dyDescent="0.2">
      <c r="A49" s="35"/>
      <c r="B49" s="36"/>
      <c r="C49" s="43"/>
      <c r="D49" s="29">
        <v>3694112</v>
      </c>
      <c r="E49" s="29">
        <v>4161784</v>
      </c>
      <c r="F49" s="255" t="str">
        <f>IF(D49="","",VLOOKUP(D49,契約台帳!$A$3:$K$4986,6,FALSE)&amp;VLOOKUP(D49,契約台帳!$A$3:$K$4986,7,FALSE)&amp;VLOOKUP(D49,契約台帳!$A$3:$K$4986,8,FALSE)&amp;VLOOKUP(D49,契約台帳!$A$3:$K$4986,9,FALSE)&amp;VLOOKUP(D49,契約台帳!$A$3:$K$4986,11,FALSE))</f>
        <v>3SNMCLBNGTVB</v>
      </c>
      <c r="G49" s="256" t="str">
        <f>IF(D49="","",VLOOKUP(F49,製品マスタ!$G$5:$H$4999,2,FALSE))</f>
        <v>S</v>
      </c>
      <c r="H49" s="256" t="str">
        <f>IF(D49="","",VLOOKUP(F49,製品マスタ!$G$5:$K$4999,5,FALSE))</f>
        <v>NGTVB</v>
      </c>
      <c r="I49" s="200" t="str">
        <f>IF(D49="","",VLOOKUP(F49,製品マスタ!$G$5:$L$4999,6,FALSE))</f>
        <v>メタルミー　ネーマー　銀艶ＶＢ</v>
      </c>
      <c r="J49" s="203" t="s">
        <v>574</v>
      </c>
      <c r="K49" s="200">
        <f>IF(D49="","",VLOOKUP(D49,契約台帳!$A$3:$L$4986,12,FALSE))</f>
        <v>50</v>
      </c>
      <c r="L49" s="200" t="str">
        <f>IF(D49="","",INDEX(製品マスタ!$Q$5:$Q$4999,MATCH('S4'!F49&amp;'S4'!K49,製品マスタ!$AO$5:$AO$4999,0)))</f>
        <v>T62</v>
      </c>
      <c r="M49" s="37">
        <v>1040</v>
      </c>
      <c r="N49" s="37">
        <v>6000</v>
      </c>
      <c r="O49" s="153">
        <v>1</v>
      </c>
      <c r="P49" s="45">
        <v>1</v>
      </c>
      <c r="Q49" s="206">
        <v>44567</v>
      </c>
      <c r="R49" s="257">
        <f ca="1">IF(D49="","",IF(OFFSET(D49,-1,0)&lt;&gt;"","",IF(OR(J49="リード付け",J49="巻足し",J49="巻返しリード付け"),M49,VLOOKUP(D49,契約台帳!$A$3:$N$4986,14,FALSE))))</f>
        <v>1040</v>
      </c>
      <c r="S49" s="258">
        <f ca="1">IF(D49="","",IF(OFFSET(D49,-1,0)&lt;&gt;"","",IF(OR(J49="リード付け",J49="巻足し",J49="巻返しリード付け"),M49,VLOOKUP(D49,契約台帳!$A$3:$O$4986,15,FALSE))))</f>
        <v>1040</v>
      </c>
      <c r="T49" s="258">
        <f ca="1">IF(D49="","",IF(J49="リード付け",N49,IF(J49="巻返しリード付け",N49,IF(J49="巻足し",N49*P49+OFFSET(N49,1,0)*OFFSET(P49,1,0),VLOOKUP(D49,契約台帳!$A$3:$P$4986,16,FALSE)))))</f>
        <v>6000</v>
      </c>
      <c r="U49" s="38">
        <v>1</v>
      </c>
      <c r="V49" s="259">
        <f ca="1">IF(D49="","",IF(OFFSET(D49,-2,0)=D49,"",VLOOKUP(D49,契約台帳!$A$3:$R$4986,18,FALSE)))</f>
        <v>2</v>
      </c>
      <c r="W49" s="256" t="str">
        <f ca="1">IF(D49="","",IF(T49="","",IF(OR(J49="巻足し",J49="巻返しリード付け"),"",IF(J49="巻返し",VLOOKUP(F49&amp;K49&amp;M49,製品マスタ!$M$5:$AD$4999,18,FALSE),IF(OR(J49="リード付け",J49="巻返しリード付け"),"原反コア",IF(J49="スリット",VLOOKUP(F49&amp;K49&amp;R49,製品マスタ!$N$5:$AD$4999,17,FALSE),""))))))</f>
        <v/>
      </c>
      <c r="X49" s="256" t="str">
        <f ca="1">IF(D49="","",IF(T49="","",IF(J49="巻足し","",IF(J49="巻返し",VLOOKUP(F49&amp;K49&amp;M49,製品マスタ!$M$5:$AE$4999,19,FALSE),IF(OR(J49="リード付け",J49="巻返しリード付け"),"",IF(J49="スリット",VLOOKUP(F49&amp;K49&amp;R49,製品マスタ!$N$5:$AE$4999,18,FALSE),""))))))</f>
        <v/>
      </c>
      <c r="Y49" s="256">
        <f ca="1">IF(D49="","",IF(T49="","",VLOOKUP(D49,契約台帳!$A$3:$Q$4986,17,FALSE)))</f>
        <v>2</v>
      </c>
      <c r="Z49" s="256" t="str">
        <f ca="1">IF(D49="","",IF(T49="","",VLOOKUP(D49,契約台帳!$A$3:$E$4986,5,FALSE)))</f>
        <v>リンテック㈱</v>
      </c>
      <c r="AA49" s="54"/>
      <c r="AB49" s="200">
        <f>IFERROR((VLOOKUP(F49&amp;K49&amp;M49,製品マスタ!$M$5:$AM$4999,27,FALSE)),"")</f>
        <v>0</v>
      </c>
      <c r="AC49" s="31"/>
      <c r="AD49" s="184"/>
      <c r="AE49" s="51"/>
      <c r="AF49" s="52"/>
      <c r="AG49" s="41"/>
      <c r="AH49" s="45"/>
      <c r="AI49" s="28"/>
      <c r="AJ49" s="28"/>
      <c r="AK49" s="28"/>
      <c r="AL49" s="28"/>
      <c r="AM49" s="12"/>
      <c r="AN49" s="12"/>
      <c r="AO49" s="12"/>
      <c r="AP49" s="12"/>
      <c r="AQ49" s="12"/>
      <c r="AR49" s="13"/>
      <c r="AS49" s="14"/>
    </row>
    <row r="50" spans="1:45" s="16" customFormat="1" ht="30.95" hidden="1" customHeight="1" x14ac:dyDescent="0.2">
      <c r="A50" s="35"/>
      <c r="B50" s="36"/>
      <c r="C50" s="43"/>
      <c r="D50" s="29"/>
      <c r="E50" s="29"/>
      <c r="F50" s="255" t="str">
        <f>IF(D50="","",VLOOKUP(D50,契約台帳!$A$3:$K$4986,6,FALSE)&amp;VLOOKUP(D50,契約台帳!$A$3:$K$4986,7,FALSE)&amp;VLOOKUP(D50,契約台帳!$A$3:$K$4986,8,FALSE)&amp;VLOOKUP(D50,契約台帳!$A$3:$K$4986,9,FALSE)&amp;VLOOKUP(D50,契約台帳!$A$3:$K$4986,11,FALSE))</f>
        <v/>
      </c>
      <c r="G50" s="256" t="str">
        <f>IF(D50="","",VLOOKUP(F50,製品マスタ!$G$5:$H$4999,2,FALSE))</f>
        <v/>
      </c>
      <c r="H50" s="256" t="str">
        <f>IF(D50="","",VLOOKUP(F50,製品マスタ!$G$5:$K$4999,5,FALSE))</f>
        <v/>
      </c>
      <c r="I50" s="200" t="str">
        <f>IF(D50="","",VLOOKUP(F50,製品マスタ!$G$5:$L$4999,6,FALSE))</f>
        <v/>
      </c>
      <c r="J50" s="203"/>
      <c r="K50" s="200" t="str">
        <f>IF(D50="","",VLOOKUP(D50,契約台帳!$A$3:$L$4986,12,FALSE))</f>
        <v/>
      </c>
      <c r="L50" s="200" t="str">
        <f>IF(D50="","",INDEX(製品マスタ!$Q$5:$Q$4999,MATCH('S4'!F50&amp;'S4'!K50,製品マスタ!$AO$5:$AO$4999,0)))</f>
        <v/>
      </c>
      <c r="M50" s="37"/>
      <c r="N50" s="37"/>
      <c r="O50" s="153"/>
      <c r="P50" s="45"/>
      <c r="Q50" s="54"/>
      <c r="R50" s="257" t="str">
        <f ca="1">IF(D50="","",IF(OFFSET(D50,-1,0)&lt;&gt;"","",IF(OR(J50="リード付け",J50="巻足し",J50="巻返しリード付け"),M50,VLOOKUP(D50,契約台帳!$A$3:$N$4986,14,FALSE))))</f>
        <v/>
      </c>
      <c r="S50" s="258" t="str">
        <f ca="1">IF(D50="","",IF(OFFSET(D50,-1,0)&lt;&gt;"","",IF(OR(J50="リード付け",J50="巻足し",J50="巻返しリード付け"),M50,VLOOKUP(D50,契約台帳!$A$3:$O$4986,15,FALSE))))</f>
        <v/>
      </c>
      <c r="T50" s="258" t="str">
        <f ca="1">IF(D50="","",IF(J50="リード付け",N50,IF(J50="巻返しリード付け",N50,IF(J50="巻足し",N50*P50+OFFSET(N50,1,0)*OFFSET(P50,1,0),VLOOKUP(D50,契約台帳!$A$3:$P$4986,16,FALSE)))))</f>
        <v/>
      </c>
      <c r="U50" s="38"/>
      <c r="V50" s="259" t="str">
        <f ca="1">IF(D50="","",IF(OFFSET(D50,-2,0)=D50,"",VLOOKUP(D50,契約台帳!$A$3:$R$4986,18,FALSE)))</f>
        <v/>
      </c>
      <c r="W50" s="256" t="str">
        <f>IF(D50="","",IF(T50="","",IF(OR(J50="巻足し",J50="巻返しリード付け"),"",IF(J50="巻返し",VLOOKUP(F50&amp;K50&amp;M50,製品マスタ!$M$5:$AD$4999,18,FALSE),IF(OR(J50="リード付け",J50="巻返しリード付け"),"原反コア",IF(J50="スリット",VLOOKUP(F50&amp;K50&amp;R50,製品マスタ!$N$5:$AD$4999,17,FALSE),""))))))</f>
        <v/>
      </c>
      <c r="X50" s="256" t="str">
        <f>IF(D50="","",IF(T50="","",IF(J50="巻足し","",IF(J50="巻返し",VLOOKUP(F50&amp;K50&amp;M50,製品マスタ!$M$5:$AE$4999,19,FALSE),IF(OR(J50="リード付け",J50="巻返しリード付け"),"",IF(J50="スリット",VLOOKUP(F50&amp;K50&amp;R50,製品マスタ!$N$5:$AE$4999,18,FALSE),""))))))</f>
        <v/>
      </c>
      <c r="Y50" s="256" t="str">
        <f>IF(D50="","",IF(T50="","",VLOOKUP(D50,契約台帳!$A$3:$Q$4986,17,FALSE)))</f>
        <v/>
      </c>
      <c r="Z50" s="256" t="str">
        <f>IF(D50="","",IF(T50="","",VLOOKUP(D50,契約台帳!$A$3:$E$4986,5,FALSE)))</f>
        <v/>
      </c>
      <c r="AA50" s="54"/>
      <c r="AB50" s="200" t="str">
        <f>IFERROR((VLOOKUP(F50&amp;K50&amp;M50,製品マスタ!$M$5:$AM$4999,27,FALSE)),"")</f>
        <v/>
      </c>
      <c r="AC50" s="31"/>
      <c r="AD50" s="184"/>
      <c r="AE50" s="51"/>
      <c r="AF50" s="52"/>
      <c r="AG50" s="41"/>
      <c r="AH50" s="45"/>
      <c r="AI50" s="28"/>
      <c r="AJ50" s="28"/>
      <c r="AK50" s="28"/>
      <c r="AL50" s="28"/>
      <c r="AM50" s="12"/>
      <c r="AN50" s="12"/>
      <c r="AO50" s="12"/>
      <c r="AP50" s="12"/>
      <c r="AQ50" s="12"/>
      <c r="AR50" s="13"/>
      <c r="AS50" s="14"/>
    </row>
    <row r="51" spans="1:45" s="16" customFormat="1" ht="30.95" hidden="1" customHeight="1" x14ac:dyDescent="0.2">
      <c r="A51" s="35"/>
      <c r="B51" s="36"/>
      <c r="C51" s="43"/>
      <c r="D51" s="29">
        <v>3694109</v>
      </c>
      <c r="E51" s="29">
        <v>4161782</v>
      </c>
      <c r="F51" s="255" t="str">
        <f>IF(D51="","",VLOOKUP(D51,契約台帳!$A$3:$K$4986,6,FALSE)&amp;VLOOKUP(D51,契約台帳!$A$3:$K$4986,7,FALSE)&amp;VLOOKUP(D51,契約台帳!$A$3:$K$4986,8,FALSE)&amp;VLOOKUP(D51,契約台帳!$A$3:$K$4986,9,FALSE)&amp;VLOOKUP(D51,契約台帳!$A$3:$K$4986,11,FALSE))</f>
        <v>3SNMCLBNGKEYKB</v>
      </c>
      <c r="G51" s="256" t="str">
        <f>IF(D51="","",VLOOKUP(F51,製品マスタ!$G$5:$H$4999,2,FALSE))</f>
        <v>S</v>
      </c>
      <c r="H51" s="256" t="str">
        <f>IF(D51="","",VLOOKUP(F51,製品マスタ!$G$5:$K$4999,5,FALSE))</f>
        <v>NGKEYKB</v>
      </c>
      <c r="I51" s="200" t="str">
        <f>IF(D51="","",VLOOKUP(F51,製品マスタ!$G$5:$L$4999,6,FALSE))</f>
        <v>メタルミー　ネーマー銀消ＥＹＫ　Ｂ</v>
      </c>
      <c r="J51" s="203" t="s">
        <v>574</v>
      </c>
      <c r="K51" s="200">
        <f>IF(D51="","",VLOOKUP(D51,契約台帳!$A$3:$L$4986,12,FALSE))</f>
        <v>16</v>
      </c>
      <c r="L51" s="200" t="str">
        <f>IF(D51="","",INDEX(製品マスタ!$Q$5:$Q$4999,MATCH('S4'!F51&amp;'S4'!K51,製品マスタ!$AO$5:$AO$4999,0)))</f>
        <v>LUMIMAT</v>
      </c>
      <c r="M51" s="37">
        <v>1005</v>
      </c>
      <c r="N51" s="37">
        <v>3200</v>
      </c>
      <c r="O51" s="153">
        <v>1</v>
      </c>
      <c r="P51" s="45">
        <v>1</v>
      </c>
      <c r="Q51" s="206">
        <v>44571</v>
      </c>
      <c r="R51" s="257">
        <f ca="1">IF(D51="","",IF(OFFSET(D51,-1,0)&lt;&gt;"","",IF(OR(J51="リード付け",J51="巻足し",J51="巻返しリード付け"),M51,VLOOKUP(D51,契約台帳!$A$3:$N$4986,14,FALSE))))</f>
        <v>1005</v>
      </c>
      <c r="S51" s="258">
        <f ca="1">IF(D51="","",IF(OFFSET(D51,-1,0)&lt;&gt;"","",IF(OR(J51="リード付け",J51="巻足し",J51="巻返しリード付け"),M51,VLOOKUP(D51,契約台帳!$A$3:$O$4986,15,FALSE))))</f>
        <v>1005</v>
      </c>
      <c r="T51" s="258">
        <f ca="1">IF(D51="","",IF(J51="リード付け",N51,IF(J51="巻返しリード付け",N51,IF(J51="巻足し",N51*P51+OFFSET(N51,1,0)*OFFSET(P51,1,0),VLOOKUP(D51,契約台帳!$A$3:$P$4986,16,FALSE)))))</f>
        <v>3200</v>
      </c>
      <c r="U51" s="38">
        <v>1</v>
      </c>
      <c r="V51" s="259">
        <f ca="1">IF(D51="","",IF(OFFSET(D51,-2,0)=D51,"",VLOOKUP(D51,契約台帳!$A$3:$R$4986,18,FALSE)))</f>
        <v>1</v>
      </c>
      <c r="W51" s="256" t="str">
        <f ca="1">IF(D51="","",IF(T51="","",IF(OR(J51="巻足し",J51="巻返しリード付け"),"",IF(J51="巻返し",VLOOKUP(F51&amp;K51&amp;M51,製品マスタ!$M$5:$AD$4999,18,FALSE),IF(OR(J51="リード付け",J51="巻返しリード付け"),"原反コア",IF(J51="スリット",VLOOKUP(F51&amp;K51&amp;R51,製品マスタ!$N$5:$AD$4999,17,FALSE),""))))))</f>
        <v/>
      </c>
      <c r="X51" s="256" t="str">
        <f ca="1">IF(D51="","",IF(T51="","",IF(J51="巻足し","",IF(J51="巻返し",VLOOKUP(F51&amp;K51&amp;M51,製品マスタ!$M$5:$AE$4999,19,FALSE),IF(OR(J51="リード付け",J51="巻返しリード付け"),"",IF(J51="スリット",VLOOKUP(F51&amp;K51&amp;R51,製品マスタ!$N$5:$AE$4999,18,FALSE),""))))))</f>
        <v/>
      </c>
      <c r="Y51" s="256">
        <f ca="1">IF(D51="","",IF(T51="","",VLOOKUP(D51,契約台帳!$A$3:$Q$4986,17,FALSE)))</f>
        <v>2</v>
      </c>
      <c r="Z51" s="256" t="str">
        <f ca="1">IF(D51="","",IF(T51="","",VLOOKUP(D51,契約台帳!$A$3:$E$4986,5,FALSE)))</f>
        <v>リンテック㈱</v>
      </c>
      <c r="AA51" s="54"/>
      <c r="AB51" s="200">
        <f>IFERROR((VLOOKUP(F51&amp;K51&amp;M51,製品マスタ!$M$5:$AM$4999,27,FALSE)),"")</f>
        <v>0</v>
      </c>
      <c r="AC51" s="31"/>
      <c r="AD51" s="184"/>
      <c r="AE51" s="51"/>
      <c r="AF51" s="52"/>
      <c r="AG51" s="41"/>
      <c r="AH51" s="45"/>
      <c r="AI51" s="28"/>
      <c r="AJ51" s="28"/>
      <c r="AK51" s="28"/>
      <c r="AL51" s="28"/>
      <c r="AM51" s="12"/>
      <c r="AN51" s="12"/>
      <c r="AO51" s="12"/>
      <c r="AP51" s="12"/>
      <c r="AQ51" s="12"/>
      <c r="AR51" s="13"/>
      <c r="AS51" s="14"/>
    </row>
    <row r="52" spans="1:45" s="16" customFormat="1" ht="30.95" hidden="1" customHeight="1" x14ac:dyDescent="0.2">
      <c r="A52" s="35"/>
      <c r="B52" s="36"/>
      <c r="C52" s="43"/>
      <c r="D52" s="29"/>
      <c r="E52" s="29"/>
      <c r="F52" s="255" t="str">
        <f>IF(D52="","",VLOOKUP(D52,契約台帳!$A$3:$K$4986,6,FALSE)&amp;VLOOKUP(D52,契約台帳!$A$3:$K$4986,7,FALSE)&amp;VLOOKUP(D52,契約台帳!$A$3:$K$4986,8,FALSE)&amp;VLOOKUP(D52,契約台帳!$A$3:$K$4986,9,FALSE)&amp;VLOOKUP(D52,契約台帳!$A$3:$K$4986,11,FALSE))</f>
        <v/>
      </c>
      <c r="G52" s="256" t="str">
        <f>IF(D52="","",VLOOKUP(F52,製品マスタ!$G$5:$H$4999,2,FALSE))</f>
        <v/>
      </c>
      <c r="H52" s="256" t="str">
        <f>IF(D52="","",VLOOKUP(F52,製品マスタ!$G$5:$K$4999,5,FALSE))</f>
        <v/>
      </c>
      <c r="I52" s="200" t="str">
        <f>IF(D52="","",VLOOKUP(F52,製品マスタ!$G$5:$L$4999,6,FALSE))</f>
        <v/>
      </c>
      <c r="J52" s="203"/>
      <c r="K52" s="200" t="str">
        <f>IF(D52="","",VLOOKUP(D52,契約台帳!$A$3:$L$4986,12,FALSE))</f>
        <v/>
      </c>
      <c r="L52" s="200" t="str">
        <f>IF(D52="","",INDEX(製品マスタ!$Q$5:$Q$4999,MATCH('S4'!F52&amp;'S4'!K52,製品マスタ!$AO$5:$AO$4999,0)))</f>
        <v/>
      </c>
      <c r="M52" s="37"/>
      <c r="N52" s="37"/>
      <c r="O52" s="153"/>
      <c r="P52" s="45"/>
      <c r="Q52" s="54"/>
      <c r="R52" s="257" t="str">
        <f ca="1">IF(D52="","",IF(OFFSET(D52,-1,0)&lt;&gt;"","",IF(OR(J52="リード付け",J52="巻足し",J52="巻返しリード付け"),M52,VLOOKUP(D52,契約台帳!$A$3:$N$4986,14,FALSE))))</f>
        <v/>
      </c>
      <c r="S52" s="258" t="str">
        <f ca="1">IF(D52="","",IF(OFFSET(D52,-1,0)&lt;&gt;"","",IF(OR(J52="リード付け",J52="巻足し",J52="巻返しリード付け"),M52,VLOOKUP(D52,契約台帳!$A$3:$O$4986,15,FALSE))))</f>
        <v/>
      </c>
      <c r="T52" s="258" t="str">
        <f ca="1">IF(D52="","",IF(J52="リード付け",N52,IF(J52="巻返しリード付け",N52,IF(J52="巻足し",N52*P52+OFFSET(N52,1,0)*OFFSET(P52,1,0),VLOOKUP(D52,契約台帳!$A$3:$P$4986,16,FALSE)))))</f>
        <v/>
      </c>
      <c r="U52" s="38"/>
      <c r="V52" s="259" t="str">
        <f ca="1">IF(D52="","",IF(OFFSET(D52,-2,0)=D52,"",VLOOKUP(D52,契約台帳!$A$3:$R$4986,18,FALSE)))</f>
        <v/>
      </c>
      <c r="W52" s="256" t="str">
        <f>IF(D52="","",IF(T52="","",IF(OR(J52="巻足し",J52="巻返しリード付け"),"",IF(J52="巻返し",VLOOKUP(F52&amp;K52&amp;M52,製品マスタ!$M$5:$AD$4999,18,FALSE),IF(OR(J52="リード付け",J52="巻返しリード付け"),"原反コア",IF(J52="スリット",VLOOKUP(F52&amp;K52&amp;R52,製品マスタ!$N$5:$AD$4999,17,FALSE),""))))))</f>
        <v/>
      </c>
      <c r="X52" s="256" t="str">
        <f>IF(D52="","",IF(T52="","",IF(J52="巻足し","",IF(J52="巻返し",VLOOKUP(F52&amp;K52&amp;M52,製品マスタ!$M$5:$AE$4999,19,FALSE),IF(OR(J52="リード付け",J52="巻返しリード付け"),"",IF(J52="スリット",VLOOKUP(F52&amp;K52&amp;R52,製品マスタ!$N$5:$AE$4999,18,FALSE),""))))))</f>
        <v/>
      </c>
      <c r="Y52" s="256" t="str">
        <f>IF(D52="","",IF(T52="","",VLOOKUP(D52,契約台帳!$A$3:$Q$4986,17,FALSE)))</f>
        <v/>
      </c>
      <c r="Z52" s="256" t="str">
        <f>IF(D52="","",IF(T52="","",VLOOKUP(D52,契約台帳!$A$3:$E$4986,5,FALSE)))</f>
        <v/>
      </c>
      <c r="AA52" s="54"/>
      <c r="AB52" s="200" t="str">
        <f>IFERROR((VLOOKUP(F52&amp;K52&amp;M52,製品マスタ!$M$5:$AM$4999,27,FALSE)),"")</f>
        <v/>
      </c>
      <c r="AC52" s="31"/>
      <c r="AD52" s="184"/>
      <c r="AE52" s="51"/>
      <c r="AF52" s="52"/>
      <c r="AG52" s="41"/>
      <c r="AH52" s="45"/>
      <c r="AI52" s="28"/>
      <c r="AJ52" s="28"/>
      <c r="AK52" s="28"/>
      <c r="AL52" s="28"/>
      <c r="AM52" s="12"/>
      <c r="AN52" s="12"/>
      <c r="AO52" s="12"/>
      <c r="AP52" s="12"/>
      <c r="AQ52" s="12"/>
      <c r="AR52" s="13"/>
      <c r="AS52" s="14"/>
    </row>
    <row r="53" spans="1:45" s="16" customFormat="1" ht="30.95" hidden="1" customHeight="1" x14ac:dyDescent="0.2">
      <c r="A53" s="35"/>
      <c r="B53" s="36"/>
      <c r="C53" s="43"/>
      <c r="D53" s="29">
        <v>3694107</v>
      </c>
      <c r="E53" s="29">
        <v>4161783</v>
      </c>
      <c r="F53" s="255" t="str">
        <f>IF(D53="","",VLOOKUP(D53,契約台帳!$A$3:$K$4986,6,FALSE)&amp;VLOOKUP(D53,契約台帳!$A$3:$K$4986,7,FALSE)&amp;VLOOKUP(D53,契約台帳!$A$3:$K$4986,8,FALSE)&amp;VLOOKUP(D53,契約台帳!$A$3:$K$4986,9,FALSE)&amp;VLOOKUP(D53,契約台帳!$A$3:$K$4986,11,FALSE))</f>
        <v>3SNMCLBNGKVB</v>
      </c>
      <c r="G53" s="256" t="str">
        <f>IF(D53="","",VLOOKUP(F53,製品マスタ!$G$5:$H$4999,2,FALSE))</f>
        <v>S</v>
      </c>
      <c r="H53" s="256" t="str">
        <f>IF(D53="","",VLOOKUP(F53,製品マスタ!$G$5:$K$4999,5,FALSE))</f>
        <v>NGKVB</v>
      </c>
      <c r="I53" s="200" t="str">
        <f>IF(D53="","",VLOOKUP(F53,製品マスタ!$G$5:$L$4999,6,FALSE))</f>
        <v>メタルミー　ネーマー銀消　ＶＢ</v>
      </c>
      <c r="J53" s="203" t="s">
        <v>736</v>
      </c>
      <c r="K53" s="200">
        <f>IF(D53="","",VLOOKUP(D53,契約台帳!$A$3:$L$4986,12,FALSE))</f>
        <v>50</v>
      </c>
      <c r="L53" s="200" t="str">
        <f>IF(D53="","",INDEX(製品マスタ!$Q$5:$Q$4999,MATCH('S4'!F53&amp;'S4'!K53,製品マスタ!$AO$5:$AO$4999,0)))</f>
        <v>MAT</v>
      </c>
      <c r="M53" s="37">
        <v>1005</v>
      </c>
      <c r="N53" s="37">
        <v>4100</v>
      </c>
      <c r="O53" s="153">
        <v>3</v>
      </c>
      <c r="P53" s="45">
        <v>3</v>
      </c>
      <c r="Q53" s="206">
        <v>44572</v>
      </c>
      <c r="R53" s="257">
        <f ca="1">IF(D53="","",IF(OFFSET(D53,-1,0)&lt;&gt;"","",IF(OR(J53="リード付け",J53="巻足し",J53="巻返しリード付け"),M53,VLOOKUP(D53,契約台帳!$A$3:$N$4986,14,FALSE))))</f>
        <v>1005</v>
      </c>
      <c r="S53" s="258">
        <f ca="1">IF(D53="","",IF(OFFSET(D53,-1,0)&lt;&gt;"","",IF(OR(J53="リード付け",J53="巻足し",J53="巻返しリード付け"),M53,VLOOKUP(D53,契約台帳!$A$3:$O$4986,15,FALSE))))</f>
        <v>1005</v>
      </c>
      <c r="T53" s="258">
        <f ca="1">IF(D53="","",IF(J53="リード付け",N53,IF(J53="巻返しリード付け",N53,IF(J53="巻足し",N53*P53+OFFSET(N53,1,0)*OFFSET(P53,1,0),VLOOKUP(D53,契約台帳!$A$3:$P$4986,16,FALSE)))))</f>
        <v>12300</v>
      </c>
      <c r="U53" s="38">
        <v>1</v>
      </c>
      <c r="V53" s="259">
        <f ca="1">IF(D53="","",IF(OFFSET(D53,-2,0)=D53,"",VLOOKUP(D53,契約台帳!$A$3:$R$4986,18,FALSE)))</f>
        <v>3</v>
      </c>
      <c r="W53" s="256" t="str">
        <f ca="1">IF(D53="","",IF(T53="","",IF(OR(J53="巻足し",J53="巻返しリード付け"),"",IF(J53="巻返し",VLOOKUP(F53&amp;K53&amp;M53,製品マスタ!$M$5:$AD$4999,18,FALSE),IF(OR(J53="リード付け",J53="巻返しリード付け"),"原反コア",IF(J53="スリット",VLOOKUP(F53&amp;K53&amp;R53,製品マスタ!$N$5:$AD$4999,17,FALSE),""))))))</f>
        <v/>
      </c>
      <c r="X53" s="256" t="str">
        <f ca="1">IF(D53="","",IF(T53="","",IF(J53="巻足し","",IF(J53="巻返し",VLOOKUP(F53&amp;K53&amp;M53,製品マスタ!$M$5:$AE$4999,19,FALSE),IF(OR(J53="リード付け",J53="巻返しリード付け"),"",IF(J53="スリット",VLOOKUP(F53&amp;K53&amp;R53,製品マスタ!$N$5:$AE$4999,18,FALSE),""))))))</f>
        <v/>
      </c>
      <c r="Y53" s="256">
        <f ca="1">IF(D53="","",IF(T53="","",VLOOKUP(D53,契約台帳!$A$3:$Q$4986,17,FALSE)))</f>
        <v>2</v>
      </c>
      <c r="Z53" s="256" t="str">
        <f ca="1">IF(D53="","",IF(T53="","",VLOOKUP(D53,契約台帳!$A$3:$E$4986,5,FALSE)))</f>
        <v>リンテック㈱</v>
      </c>
      <c r="AA53" s="54"/>
      <c r="AB53" s="200">
        <f>IFERROR((VLOOKUP(F53&amp;K53&amp;M53,製品マスタ!$M$5:$AM$4999,27,FALSE)),"")</f>
        <v>0</v>
      </c>
      <c r="AC53" s="31"/>
      <c r="AD53" s="184"/>
      <c r="AE53" s="51"/>
      <c r="AF53" s="52"/>
      <c r="AG53" s="41"/>
      <c r="AH53" s="45"/>
      <c r="AI53" s="28"/>
      <c r="AJ53" s="28"/>
      <c r="AK53" s="28"/>
      <c r="AL53" s="28"/>
      <c r="AM53" s="12"/>
      <c r="AN53" s="12"/>
      <c r="AO53" s="12"/>
      <c r="AP53" s="12"/>
      <c r="AQ53" s="12"/>
      <c r="AR53" s="13"/>
      <c r="AS53" s="14"/>
    </row>
    <row r="54" spans="1:45" s="16" customFormat="1" ht="30.95" hidden="1" customHeight="1" x14ac:dyDescent="0.2">
      <c r="A54" s="35"/>
      <c r="B54" s="36"/>
      <c r="C54" s="43"/>
      <c r="D54" s="29"/>
      <c r="E54" s="29"/>
      <c r="F54" s="255" t="str">
        <f>IF(D54="","",VLOOKUP(D54,契約台帳!$A$3:$K$4986,6,FALSE)&amp;VLOOKUP(D54,契約台帳!$A$3:$K$4986,7,FALSE)&amp;VLOOKUP(D54,契約台帳!$A$3:$K$4986,8,FALSE)&amp;VLOOKUP(D54,契約台帳!$A$3:$K$4986,9,FALSE)&amp;VLOOKUP(D54,契約台帳!$A$3:$K$4986,11,FALSE))</f>
        <v/>
      </c>
      <c r="G54" s="256" t="str">
        <f>IF(D54="","",VLOOKUP(F54,製品マスタ!$G$5:$H$4999,2,FALSE))</f>
        <v/>
      </c>
      <c r="H54" s="256" t="str">
        <f>IF(D54="","",VLOOKUP(F54,製品マスタ!$G$5:$K$4999,5,FALSE))</f>
        <v/>
      </c>
      <c r="I54" s="200" t="str">
        <f>IF(D54="","",VLOOKUP(F54,製品マスタ!$G$5:$L$4999,6,FALSE))</f>
        <v/>
      </c>
      <c r="J54" s="203"/>
      <c r="K54" s="200" t="str">
        <f>IF(D54="","",VLOOKUP(D54,契約台帳!$A$3:$L$4986,12,FALSE))</f>
        <v/>
      </c>
      <c r="L54" s="200" t="str">
        <f>IF(D54="","",INDEX(製品マスタ!$Q$5:$Q$4999,MATCH('S4'!F54&amp;'S4'!K54,製品マスタ!$AO$5:$AO$4999,0)))</f>
        <v/>
      </c>
      <c r="M54" s="37"/>
      <c r="N54" s="37"/>
      <c r="O54" s="153"/>
      <c r="P54" s="45"/>
      <c r="Q54" s="54"/>
      <c r="R54" s="257" t="str">
        <f ca="1">IF(D54="","",IF(OFFSET(D54,-1,0)&lt;&gt;"","",IF(OR(J54="リード付け",J54="巻足し",J54="巻返しリード付け"),M54,VLOOKUP(D54,契約台帳!$A$3:$N$4986,14,FALSE))))</f>
        <v/>
      </c>
      <c r="S54" s="258" t="str">
        <f ca="1">IF(D54="","",IF(OFFSET(D54,-1,0)&lt;&gt;"","",IF(OR(J54="リード付け",J54="巻足し",J54="巻返しリード付け"),M54,VLOOKUP(D54,契約台帳!$A$3:$O$4986,15,FALSE))))</f>
        <v/>
      </c>
      <c r="T54" s="258" t="str">
        <f ca="1">IF(D54="","",IF(J54="リード付け",N54,IF(J54="巻返しリード付け",N54,IF(J54="巻足し",N54*P54+OFFSET(N54,1,0)*OFFSET(P54,1,0),VLOOKUP(D54,契約台帳!$A$3:$P$4986,16,FALSE)))))</f>
        <v/>
      </c>
      <c r="U54" s="38"/>
      <c r="V54" s="259" t="str">
        <f ca="1">IF(D54="","",IF(OFFSET(D54,-2,0)=D54,"",VLOOKUP(D54,契約台帳!$A$3:$R$4986,18,FALSE)))</f>
        <v/>
      </c>
      <c r="W54" s="256" t="str">
        <f>IF(D54="","",IF(T54="","",IF(OR(J54="巻足し",J54="巻返しリード付け"),"",IF(J54="巻返し",VLOOKUP(F54&amp;K54&amp;M54,製品マスタ!$M$5:$AD$4999,18,FALSE),IF(OR(J54="リード付け",J54="巻返しリード付け"),"原反コア",IF(J54="スリット",VLOOKUP(F54&amp;K54&amp;R54,製品マスタ!$N$5:$AD$4999,17,FALSE),""))))))</f>
        <v/>
      </c>
      <c r="X54" s="256" t="str">
        <f>IF(D54="","",IF(T54="","",IF(J54="巻足し","",IF(J54="巻返し",VLOOKUP(F54&amp;K54&amp;M54,製品マスタ!$M$5:$AE$4999,19,FALSE),IF(OR(J54="リード付け",J54="巻返しリード付け"),"",IF(J54="スリット",VLOOKUP(F54&amp;K54&amp;R54,製品マスタ!$N$5:$AE$4999,18,FALSE),""))))))</f>
        <v/>
      </c>
      <c r="Y54" s="256" t="str">
        <f>IF(D54="","",IF(T54="","",VLOOKUP(D54,契約台帳!$A$3:$Q$4986,17,FALSE)))</f>
        <v/>
      </c>
      <c r="Z54" s="256" t="str">
        <f>IF(D54="","",IF(T54="","",VLOOKUP(D54,契約台帳!$A$3:$E$4986,5,FALSE)))</f>
        <v/>
      </c>
      <c r="AA54" s="54"/>
      <c r="AB54" s="200" t="str">
        <f>IFERROR((VLOOKUP(F54&amp;K54&amp;M54,製品マスタ!$M$5:$AM$4999,27,FALSE)),"")</f>
        <v/>
      </c>
      <c r="AC54" s="31"/>
      <c r="AD54" s="184"/>
      <c r="AE54" s="51"/>
      <c r="AF54" s="52"/>
      <c r="AG54" s="41"/>
      <c r="AH54" s="45"/>
      <c r="AI54" s="28"/>
      <c r="AJ54" s="28"/>
      <c r="AK54" s="28"/>
      <c r="AL54" s="28"/>
      <c r="AM54" s="12"/>
      <c r="AN54" s="12"/>
      <c r="AO54" s="12"/>
      <c r="AP54" s="12"/>
      <c r="AQ54" s="12"/>
      <c r="AR54" s="13"/>
      <c r="AS54" s="14"/>
    </row>
    <row r="55" spans="1:45" s="16" customFormat="1" ht="30.95" hidden="1" customHeight="1" x14ac:dyDescent="0.2">
      <c r="A55" s="35"/>
      <c r="B55" s="36"/>
      <c r="C55" s="43"/>
      <c r="D55" s="29">
        <v>3694121</v>
      </c>
      <c r="E55" s="29">
        <v>4161762</v>
      </c>
      <c r="F55" s="255" t="str">
        <f>IF(D55="","",VLOOKUP(D55,契約台帳!$A$3:$K$4986,6,FALSE)&amp;VLOOKUP(D55,契約台帳!$A$3:$K$4986,7,FALSE)&amp;VLOOKUP(D55,契約台帳!$A$3:$K$4986,8,FALSE)&amp;VLOOKUP(D55,契約台帳!$A$3:$K$4986,9,FALSE)&amp;VLOOKUP(D55,契約台帳!$A$3:$K$4986,11,FALSE))</f>
        <v>3SNMCLBHLGTV</v>
      </c>
      <c r="G55" s="256" t="str">
        <f>IF(D55="","",VLOOKUP(F55,製品マスタ!$G$5:$H$4999,2,FALSE))</f>
        <v>S</v>
      </c>
      <c r="H55" s="256" t="str">
        <f>IF(D55="","",VLOOKUP(F55,製品マスタ!$G$5:$K$4999,5,FALSE))</f>
        <v>HLGTV</v>
      </c>
      <c r="I55" s="200" t="str">
        <f>IF(D55="","",VLOOKUP(F55,製品マスタ!$G$5:$L$4999,6,FALSE))</f>
        <v>メタルミー　ヘヤライン　銀艶Ｖ</v>
      </c>
      <c r="J55" s="203" t="s">
        <v>574</v>
      </c>
      <c r="K55" s="200">
        <f>IF(D55="","",VLOOKUP(D55,契約台帳!$A$3:$L$4986,12,FALSE))</f>
        <v>25</v>
      </c>
      <c r="L55" s="200" t="str">
        <f>IF(D55="","",INDEX(製品マスタ!$Q$5:$Q$4999,MATCH('S4'!F55&amp;'S4'!K55,製品マスタ!$AO$5:$AO$4999,0)))</f>
        <v>BRIGHT</v>
      </c>
      <c r="M55" s="37">
        <v>1005</v>
      </c>
      <c r="N55" s="37">
        <v>8000</v>
      </c>
      <c r="O55" s="153">
        <v>1</v>
      </c>
      <c r="P55" s="45">
        <v>1</v>
      </c>
      <c r="Q55" s="206">
        <v>44571</v>
      </c>
      <c r="R55" s="257">
        <f ca="1">IF(D55="","",IF(OFFSET(D55,-1,0)&lt;&gt;"","",IF(OR(J55="リード付け",J55="巻足し",J55="巻返しリード付け"),M55,VLOOKUP(D55,契約台帳!$A$3:$N$4986,14,FALSE))))</f>
        <v>1005</v>
      </c>
      <c r="S55" s="258">
        <f ca="1">IF(D55="","",IF(OFFSET(D55,-1,0)&lt;&gt;"","",IF(OR(J55="リード付け",J55="巻足し",J55="巻返しリード付け"),M55,VLOOKUP(D55,契約台帳!$A$3:$O$4986,15,FALSE))))</f>
        <v>1005</v>
      </c>
      <c r="T55" s="258">
        <f ca="1">IF(D55="","",IF(J55="リード付け",N55,IF(J55="巻返しリード付け",N55,IF(J55="巻足し",N55*P55+OFFSET(N55,1,0)*OFFSET(P55,1,0),VLOOKUP(D55,契約台帳!$A$3:$P$4986,16,FALSE)))))</f>
        <v>8000</v>
      </c>
      <c r="U55" s="38">
        <v>1</v>
      </c>
      <c r="V55" s="259">
        <f ca="1">IF(D55="","",IF(OFFSET(D55,-2,0)=D55,"",VLOOKUP(D55,契約台帳!$A$3:$R$4986,18,FALSE)))</f>
        <v>1</v>
      </c>
      <c r="W55" s="256" t="str">
        <f ca="1">IF(D55="","",IF(T55="","",IF(OR(J55="巻足し",J55="巻返しリード付け"),"",IF(J55="巻返し",VLOOKUP(F55&amp;K55&amp;M55,製品マスタ!$M$5:$AD$4999,18,FALSE),IF(OR(J55="リード付け",J55="巻返しリード付け"),"原反コア",IF(J55="スリット",VLOOKUP(F55&amp;K55&amp;R55,製品マスタ!$N$5:$AD$4999,17,FALSE),""))))))</f>
        <v/>
      </c>
      <c r="X55" s="256" t="str">
        <f ca="1">IF(D55="","",IF(T55="","",IF(J55="巻足し","",IF(J55="巻返し",VLOOKUP(F55&amp;K55&amp;M55,製品マスタ!$M$5:$AE$4999,19,FALSE),IF(OR(J55="リード付け",J55="巻返しリード付け"),"",IF(J55="スリット",VLOOKUP(F55&amp;K55&amp;R55,製品マスタ!$N$5:$AE$4999,18,FALSE),""))))))</f>
        <v/>
      </c>
      <c r="Y55" s="256">
        <f ca="1">IF(D55="","",IF(T55="","",VLOOKUP(D55,契約台帳!$A$3:$Q$4986,17,FALSE)))</f>
        <v>2</v>
      </c>
      <c r="Z55" s="256" t="str">
        <f ca="1">IF(D55="","",IF(T55="","",VLOOKUP(D55,契約台帳!$A$3:$E$4986,5,FALSE)))</f>
        <v>リンテック㈱</v>
      </c>
      <c r="AA55" s="54"/>
      <c r="AB55" s="200">
        <f>IFERROR((VLOOKUP(F55&amp;K55&amp;M55,製品マスタ!$M$5:$AM$4999,27,FALSE)),"")</f>
        <v>0</v>
      </c>
      <c r="AC55" s="31"/>
      <c r="AD55" s="184"/>
      <c r="AE55" s="51"/>
      <c r="AF55" s="52"/>
      <c r="AG55" s="41"/>
      <c r="AH55" s="45"/>
      <c r="AI55" s="28"/>
      <c r="AJ55" s="28"/>
      <c r="AK55" s="28"/>
      <c r="AL55" s="28"/>
      <c r="AM55" s="12"/>
      <c r="AN55" s="12"/>
      <c r="AO55" s="12"/>
      <c r="AP55" s="12"/>
      <c r="AQ55" s="12"/>
      <c r="AR55" s="13"/>
      <c r="AS55" s="14"/>
    </row>
    <row r="56" spans="1:45" s="16" customFormat="1" ht="30.95" hidden="1" customHeight="1" x14ac:dyDescent="0.2">
      <c r="A56" s="35"/>
      <c r="B56" s="36"/>
      <c r="C56" s="43"/>
      <c r="D56" s="29"/>
      <c r="E56" s="29"/>
      <c r="F56" s="255" t="str">
        <f>IF(D56="","",VLOOKUP(D56,契約台帳!$A$3:$K$4986,6,FALSE)&amp;VLOOKUP(D56,契約台帳!$A$3:$K$4986,7,FALSE)&amp;VLOOKUP(D56,契約台帳!$A$3:$K$4986,8,FALSE)&amp;VLOOKUP(D56,契約台帳!$A$3:$K$4986,9,FALSE)&amp;VLOOKUP(D56,契約台帳!$A$3:$K$4986,11,FALSE))</f>
        <v/>
      </c>
      <c r="G56" s="256" t="str">
        <f>IF(D56="","",VLOOKUP(F56,製品マスタ!$G$5:$H$4999,2,FALSE))</f>
        <v/>
      </c>
      <c r="H56" s="256" t="str">
        <f>IF(D56="","",VLOOKUP(F56,製品マスタ!$G$5:$K$4999,5,FALSE))</f>
        <v/>
      </c>
      <c r="I56" s="200" t="str">
        <f>IF(D56="","",VLOOKUP(F56,製品マスタ!$G$5:$L$4999,6,FALSE))</f>
        <v/>
      </c>
      <c r="J56" s="203"/>
      <c r="K56" s="200" t="str">
        <f>IF(D56="","",VLOOKUP(D56,契約台帳!$A$3:$L$4986,12,FALSE))</f>
        <v/>
      </c>
      <c r="L56" s="200" t="str">
        <f>IF(D56="","",INDEX(製品マスタ!$Q$5:$Q$4999,MATCH('S4'!F56&amp;'S4'!K56,製品マスタ!$AO$5:$AO$4999,0)))</f>
        <v/>
      </c>
      <c r="M56" s="37"/>
      <c r="N56" s="37"/>
      <c r="O56" s="153"/>
      <c r="P56" s="45"/>
      <c r="Q56" s="54"/>
      <c r="R56" s="257" t="str">
        <f ca="1">IF(D56="","",IF(OFFSET(D56,-1,0)&lt;&gt;"","",IF(OR(J56="リード付け",J56="巻足し",J56="巻返しリード付け"),M56,VLOOKUP(D56,契約台帳!$A$3:$N$4986,14,FALSE))))</f>
        <v/>
      </c>
      <c r="S56" s="258" t="str">
        <f ca="1">IF(D56="","",IF(OFFSET(D56,-1,0)&lt;&gt;"","",IF(OR(J56="リード付け",J56="巻足し",J56="巻返しリード付け"),M56,VLOOKUP(D56,契約台帳!$A$3:$O$4986,15,FALSE))))</f>
        <v/>
      </c>
      <c r="T56" s="258" t="str">
        <f ca="1">IF(D56="","",IF(J56="リード付け",N56,IF(J56="巻返しリード付け",N56,IF(J56="巻足し",N56*P56+OFFSET(N56,1,0)*OFFSET(P56,1,0),VLOOKUP(D56,契約台帳!$A$3:$P$4986,16,FALSE)))))</f>
        <v/>
      </c>
      <c r="U56" s="38"/>
      <c r="V56" s="259" t="str">
        <f ca="1">IF(D56="","",IF(OFFSET(D56,-2,0)=D56,"",VLOOKUP(D56,契約台帳!$A$3:$R$4986,18,FALSE)))</f>
        <v/>
      </c>
      <c r="W56" s="256" t="str">
        <f>IF(D56="","",IF(T56="","",IF(OR(J56="巻足し",J56="巻返しリード付け"),"",IF(J56="巻返し",VLOOKUP(F56&amp;K56&amp;M56,製品マスタ!$M$5:$AD$4999,18,FALSE),IF(OR(J56="リード付け",J56="巻返しリード付け"),"原反コア",IF(J56="スリット",VLOOKUP(F56&amp;K56&amp;R56,製品マスタ!$N$5:$AD$4999,17,FALSE),""))))))</f>
        <v/>
      </c>
      <c r="X56" s="256" t="str">
        <f>IF(D56="","",IF(T56="","",IF(J56="巻足し","",IF(J56="巻返し",VLOOKUP(F56&amp;K56&amp;M56,製品マスタ!$M$5:$AE$4999,19,FALSE),IF(OR(J56="リード付け",J56="巻返しリード付け"),"",IF(J56="スリット",VLOOKUP(F56&amp;K56&amp;R56,製品マスタ!$N$5:$AE$4999,18,FALSE),""))))))</f>
        <v/>
      </c>
      <c r="Y56" s="256" t="str">
        <f>IF(D56="","",IF(T56="","",VLOOKUP(D56,契約台帳!$A$3:$Q$4986,17,FALSE)))</f>
        <v/>
      </c>
      <c r="Z56" s="256" t="str">
        <f>IF(D56="","",IF(T56="","",VLOOKUP(D56,契約台帳!$A$3:$E$4986,5,FALSE)))</f>
        <v/>
      </c>
      <c r="AA56" s="54"/>
      <c r="AB56" s="200" t="str">
        <f>IFERROR((VLOOKUP(F56&amp;K56&amp;M56,製品マスタ!$M$5:$AM$4999,27,FALSE)),"")</f>
        <v/>
      </c>
      <c r="AC56" s="31"/>
      <c r="AD56" s="184"/>
      <c r="AE56" s="51"/>
      <c r="AF56" s="52"/>
      <c r="AG56" s="41"/>
      <c r="AH56" s="45"/>
      <c r="AI56" s="28"/>
      <c r="AJ56" s="28"/>
      <c r="AK56" s="28"/>
      <c r="AL56" s="28"/>
      <c r="AM56" s="12"/>
      <c r="AN56" s="12"/>
      <c r="AO56" s="12"/>
      <c r="AP56" s="12"/>
      <c r="AQ56" s="12"/>
      <c r="AR56" s="13"/>
      <c r="AS56" s="14"/>
    </row>
    <row r="57" spans="1:45" s="16" customFormat="1" ht="30.95" hidden="1" customHeight="1" x14ac:dyDescent="0.2">
      <c r="A57" s="35"/>
      <c r="B57" s="36"/>
      <c r="C57" s="43"/>
      <c r="D57" s="29">
        <v>3694122</v>
      </c>
      <c r="E57" s="29">
        <v>4161763</v>
      </c>
      <c r="F57" s="255" t="str">
        <f>IF(D57="","",VLOOKUP(D57,契約台帳!$A$3:$K$4986,6,FALSE)&amp;VLOOKUP(D57,契約台帳!$A$3:$K$4986,7,FALSE)&amp;VLOOKUP(D57,契約台帳!$A$3:$K$4986,8,FALSE)&amp;VLOOKUP(D57,契約台帳!$A$3:$K$4986,9,FALSE)&amp;VLOOKUP(D57,契約台帳!$A$3:$K$4986,11,FALSE))</f>
        <v>3SNMCLBHLGTV</v>
      </c>
      <c r="G57" s="256" t="str">
        <f>IF(D57="","",VLOOKUP(F57,製品マスタ!$G$5:$H$4999,2,FALSE))</f>
        <v>S</v>
      </c>
      <c r="H57" s="256" t="str">
        <f>IF(D57="","",VLOOKUP(F57,製品マスタ!$G$5:$K$4999,5,FALSE))</f>
        <v>HLGTV</v>
      </c>
      <c r="I57" s="200" t="str">
        <f>IF(D57="","",VLOOKUP(F57,製品マスタ!$G$5:$L$4999,6,FALSE))</f>
        <v>メタルミー　ヘヤライン　銀艶Ｖ</v>
      </c>
      <c r="J57" s="203" t="s">
        <v>736</v>
      </c>
      <c r="K57" s="200">
        <f>IF(D57="","",VLOOKUP(D57,契約台帳!$A$3:$L$4986,12,FALSE))</f>
        <v>50</v>
      </c>
      <c r="L57" s="200" t="str">
        <f>IF(D57="","",INDEX(製品マスタ!$Q$5:$Q$4999,MATCH('S4'!F57&amp;'S4'!K57,製品マスタ!$AO$5:$AO$4999,0)))</f>
        <v>BRIGHT</v>
      </c>
      <c r="M57" s="37">
        <v>1005</v>
      </c>
      <c r="N57" s="37">
        <v>4100</v>
      </c>
      <c r="O57" s="153">
        <v>3</v>
      </c>
      <c r="P57" s="45">
        <v>3</v>
      </c>
      <c r="Q57" s="206">
        <v>44572</v>
      </c>
      <c r="R57" s="257">
        <f ca="1">IF(D57="","",IF(OFFSET(D57,-1,0)&lt;&gt;"","",IF(OR(J57="リード付け",J57="巻足し",J57="巻返しリード付け"),M57,VLOOKUP(D57,契約台帳!$A$3:$N$4986,14,FALSE))))</f>
        <v>1005</v>
      </c>
      <c r="S57" s="258">
        <f ca="1">IF(D57="","",IF(OFFSET(D57,-1,0)&lt;&gt;"","",IF(OR(J57="リード付け",J57="巻足し",J57="巻返しリード付け"),M57,VLOOKUP(D57,契約台帳!$A$3:$O$4986,15,FALSE))))</f>
        <v>1005</v>
      </c>
      <c r="T57" s="258">
        <f ca="1">IF(D57="","",IF(J57="リード付け",N57,IF(J57="巻返しリード付け",N57,IF(J57="巻足し",N57*P57+OFFSET(N57,1,0)*OFFSET(P57,1,0),VLOOKUP(D57,契約台帳!$A$3:$P$4986,16,FALSE)))))</f>
        <v>12300</v>
      </c>
      <c r="U57" s="38">
        <v>1</v>
      </c>
      <c r="V57" s="259">
        <f ca="1">IF(D57="","",IF(OFFSET(D57,-2,0)=D57,"",VLOOKUP(D57,契約台帳!$A$3:$R$4986,18,FALSE)))</f>
        <v>9</v>
      </c>
      <c r="W57" s="256" t="str">
        <f ca="1">IF(D57="","",IF(T57="","",IF(OR(J57="巻足し",J57="巻返しリード付け"),"",IF(J57="巻返し",VLOOKUP(F57&amp;K57&amp;M57,製品マスタ!$M$5:$AD$4999,18,FALSE),IF(OR(J57="リード付け",J57="巻返しリード付け"),"原反コア",IF(J57="スリット",VLOOKUP(F57&amp;K57&amp;R57,製品マスタ!$N$5:$AD$4999,17,FALSE),""))))))</f>
        <v/>
      </c>
      <c r="X57" s="256" t="str">
        <f ca="1">IF(D57="","",IF(T57="","",IF(J57="巻足し","",IF(J57="巻返し",VLOOKUP(F57&amp;K57&amp;M57,製品マスタ!$M$5:$AE$4999,19,FALSE),IF(OR(J57="リード付け",J57="巻返しリード付け"),"",IF(J57="スリット",VLOOKUP(F57&amp;K57&amp;R57,製品マスタ!$N$5:$AE$4999,18,FALSE),""))))))</f>
        <v/>
      </c>
      <c r="Y57" s="256">
        <f ca="1">IF(D57="","",IF(T57="","",VLOOKUP(D57,契約台帳!$A$3:$Q$4986,17,FALSE)))</f>
        <v>2</v>
      </c>
      <c r="Z57" s="256" t="str">
        <f ca="1">IF(D57="","",IF(T57="","",VLOOKUP(D57,契約台帳!$A$3:$E$4986,5,FALSE)))</f>
        <v>リンテック㈱</v>
      </c>
      <c r="AA57" s="54"/>
      <c r="AB57" s="200">
        <f>IFERROR((VLOOKUP(F57&amp;K57&amp;M57,製品マスタ!$M$5:$AM$4999,27,FALSE)),"")</f>
        <v>0</v>
      </c>
      <c r="AC57" s="31"/>
      <c r="AD57" s="184"/>
      <c r="AE57" s="51"/>
      <c r="AF57" s="52"/>
      <c r="AG57" s="41"/>
      <c r="AH57" s="45"/>
      <c r="AI57" s="28"/>
      <c r="AJ57" s="28"/>
      <c r="AK57" s="28"/>
      <c r="AL57" s="28"/>
      <c r="AM57" s="12"/>
      <c r="AN57" s="12"/>
      <c r="AO57" s="12"/>
      <c r="AP57" s="12"/>
      <c r="AQ57" s="12"/>
      <c r="AR57" s="13"/>
      <c r="AS57" s="14"/>
    </row>
    <row r="58" spans="1:45" s="16" customFormat="1" ht="30.95" hidden="1" customHeight="1" x14ac:dyDescent="0.2">
      <c r="A58" s="35"/>
      <c r="B58" s="36"/>
      <c r="C58" s="43"/>
      <c r="D58" s="29"/>
      <c r="E58" s="29"/>
      <c r="F58" s="255" t="str">
        <f>IF(D58="","",VLOOKUP(D58,契約台帳!$A$3:$K$4986,6,FALSE)&amp;VLOOKUP(D58,契約台帳!$A$3:$K$4986,7,FALSE)&amp;VLOOKUP(D58,契約台帳!$A$3:$K$4986,8,FALSE)&amp;VLOOKUP(D58,契約台帳!$A$3:$K$4986,9,FALSE)&amp;VLOOKUP(D58,契約台帳!$A$3:$K$4986,11,FALSE))</f>
        <v/>
      </c>
      <c r="G58" s="256" t="str">
        <f>IF(D58="","",VLOOKUP(F58,製品マスタ!$G$5:$H$4999,2,FALSE))</f>
        <v/>
      </c>
      <c r="H58" s="256" t="str">
        <f>IF(D58="","",VLOOKUP(F58,製品マスタ!$G$5:$K$4999,5,FALSE))</f>
        <v/>
      </c>
      <c r="I58" s="200" t="str">
        <f>IF(D58="","",VLOOKUP(F58,製品マスタ!$G$5:$L$4999,6,FALSE))</f>
        <v/>
      </c>
      <c r="J58" s="203"/>
      <c r="K58" s="200" t="str">
        <f>IF(D58="","",VLOOKUP(D58,契約台帳!$A$3:$L$4986,12,FALSE))</f>
        <v/>
      </c>
      <c r="L58" s="200" t="str">
        <f>IF(D58="","",INDEX(製品マスタ!$Q$5:$Q$4999,MATCH('S4'!F58&amp;'S4'!K58,製品マスタ!$AO$5:$AO$4999,0)))</f>
        <v/>
      </c>
      <c r="M58" s="37"/>
      <c r="N58" s="37"/>
      <c r="O58" s="153"/>
      <c r="P58" s="45"/>
      <c r="Q58" s="54"/>
      <c r="R58" s="257" t="str">
        <f ca="1">IF(D58="","",IF(OFFSET(D58,-1,0)&lt;&gt;"","",IF(OR(J58="リード付け",J58="巻足し",J58="巻返しリード付け"),M58,VLOOKUP(D58,契約台帳!$A$3:$N$4986,14,FALSE))))</f>
        <v/>
      </c>
      <c r="S58" s="258" t="str">
        <f ca="1">IF(D58="","",IF(OFFSET(D58,-1,0)&lt;&gt;"","",IF(OR(J58="リード付け",J58="巻足し",J58="巻返しリード付け"),M58,VLOOKUP(D58,契約台帳!$A$3:$O$4986,15,FALSE))))</f>
        <v/>
      </c>
      <c r="T58" s="258" t="str">
        <f ca="1">IF(D58="","",IF(J58="リード付け",N58,IF(J58="巻返しリード付け",N58,IF(J58="巻足し",N58*P58+OFFSET(N58,1,0)*OFFSET(P58,1,0),VLOOKUP(D58,契約台帳!$A$3:$P$4986,16,FALSE)))))</f>
        <v/>
      </c>
      <c r="U58" s="38"/>
      <c r="V58" s="259" t="str">
        <f ca="1">IF(D58="","",IF(OFFSET(D58,-2,0)=D58,"",VLOOKUP(D58,契約台帳!$A$3:$R$4986,18,FALSE)))</f>
        <v/>
      </c>
      <c r="W58" s="256" t="str">
        <f>IF(D58="","",IF(T58="","",IF(OR(J58="巻足し",J58="巻返しリード付け"),"",IF(J58="巻返し",VLOOKUP(F58&amp;K58&amp;M58,製品マスタ!$M$5:$AD$4999,18,FALSE),IF(OR(J58="リード付け",J58="巻返しリード付け"),"原反コア",IF(J58="スリット",VLOOKUP(F58&amp;K58&amp;R58,製品マスタ!$N$5:$AD$4999,17,FALSE),""))))))</f>
        <v/>
      </c>
      <c r="X58" s="256" t="str">
        <f>IF(D58="","",IF(T58="","",IF(J58="巻足し","",IF(J58="巻返し",VLOOKUP(F58&amp;K58&amp;M58,製品マスタ!$M$5:$AE$4999,19,FALSE),IF(OR(J58="リード付け",J58="巻返しリード付け"),"",IF(J58="スリット",VLOOKUP(F58&amp;K58&amp;R58,製品マスタ!$N$5:$AE$4999,18,FALSE),""))))))</f>
        <v/>
      </c>
      <c r="Y58" s="256" t="str">
        <f>IF(D58="","",IF(T58="","",VLOOKUP(D58,契約台帳!$A$3:$Q$4986,17,FALSE)))</f>
        <v/>
      </c>
      <c r="Z58" s="256" t="str">
        <f>IF(D58="","",IF(T58="","",VLOOKUP(D58,契約台帳!$A$3:$E$4986,5,FALSE)))</f>
        <v/>
      </c>
      <c r="AA58" s="54"/>
      <c r="AB58" s="200" t="str">
        <f>IFERROR((VLOOKUP(F58&amp;K58&amp;M58,製品マスタ!$M$5:$AM$4999,27,FALSE)),"")</f>
        <v/>
      </c>
      <c r="AC58" s="31"/>
      <c r="AD58" s="184"/>
      <c r="AE58" s="51"/>
      <c r="AF58" s="52"/>
      <c r="AG58" s="41"/>
      <c r="AH58" s="45"/>
      <c r="AI58" s="28"/>
      <c r="AJ58" s="28"/>
      <c r="AK58" s="28"/>
      <c r="AL58" s="28"/>
      <c r="AM58" s="12"/>
      <c r="AN58" s="12"/>
      <c r="AO58" s="12"/>
      <c r="AP58" s="12"/>
      <c r="AQ58" s="12"/>
      <c r="AR58" s="13"/>
      <c r="AS58" s="14"/>
    </row>
    <row r="59" spans="1:45" s="16" customFormat="1" ht="30.95" hidden="1" customHeight="1" x14ac:dyDescent="0.2">
      <c r="A59" s="35" t="s">
        <v>764</v>
      </c>
      <c r="B59" s="36" t="s">
        <v>746</v>
      </c>
      <c r="C59" s="43"/>
      <c r="D59" s="29">
        <v>3694122</v>
      </c>
      <c r="E59" s="29">
        <v>4161763</v>
      </c>
      <c r="F59" s="255" t="str">
        <f>IF(D59="","",VLOOKUP(D59,契約台帳!$A$3:$K$4986,6,FALSE)&amp;VLOOKUP(D59,契約台帳!$A$3:$K$4986,7,FALSE)&amp;VLOOKUP(D59,契約台帳!$A$3:$K$4986,8,FALSE)&amp;VLOOKUP(D59,契約台帳!$A$3:$K$4986,9,FALSE)&amp;VLOOKUP(D59,契約台帳!$A$3:$K$4986,11,FALSE))</f>
        <v>3SNMCLBHLGTV</v>
      </c>
      <c r="G59" s="256" t="str">
        <f>IF(D59="","",VLOOKUP(F59,製品マスタ!$G$5:$H$4999,2,FALSE))</f>
        <v>S</v>
      </c>
      <c r="H59" s="256" t="str">
        <f>IF(D59="","",VLOOKUP(F59,製品マスタ!$G$5:$K$4999,5,FALSE))</f>
        <v>HLGTV</v>
      </c>
      <c r="I59" s="200" t="str">
        <f>IF(D59="","",VLOOKUP(F59,製品マスタ!$G$5:$L$4999,6,FALSE))</f>
        <v>メタルミー　ヘヤライン　銀艶Ｖ</v>
      </c>
      <c r="J59" s="203" t="s">
        <v>736</v>
      </c>
      <c r="K59" s="200">
        <f>IF(D59="","",VLOOKUP(D59,契約台帳!$A$3:$L$4986,12,FALSE))</f>
        <v>50</v>
      </c>
      <c r="L59" s="200" t="str">
        <f>IF(D59="","",INDEX(製品マスタ!$Q$5:$Q$4999,MATCH('S4'!F59&amp;'S4'!K59,製品マスタ!$AO$5:$AO$4999,0)))</f>
        <v>BRIGHT</v>
      </c>
      <c r="M59" s="37">
        <v>1005</v>
      </c>
      <c r="N59" s="37">
        <v>4100</v>
      </c>
      <c r="O59" s="153">
        <v>6</v>
      </c>
      <c r="P59" s="45">
        <v>3</v>
      </c>
      <c r="Q59" s="206">
        <v>44572</v>
      </c>
      <c r="R59" s="257">
        <f ca="1">IF(D59="","",IF(OFFSET(D59,-1,0)&lt;&gt;"","",IF(OR(J59="リード付け",J59="巻足し",J59="巻返しリード付け"),M59,VLOOKUP(D59,契約台帳!$A$3:$N$4986,14,FALSE))))</f>
        <v>1005</v>
      </c>
      <c r="S59" s="258">
        <f ca="1">IF(D59="","",IF(OFFSET(D59,-1,0)&lt;&gt;"","",IF(OR(J59="リード付け",J59="巻足し",J59="巻返しリード付け"),M59,VLOOKUP(D59,契約台帳!$A$3:$O$4986,15,FALSE))))</f>
        <v>1005</v>
      </c>
      <c r="T59" s="258">
        <f ca="1">IF(D59="","",IF(J59="リード付け",N59,IF(J59="巻返しリード付け",N59,IF(J59="巻足し",N59*P59+OFFSET(N59,1,0)*OFFSET(P59,1,0),VLOOKUP(D59,契約台帳!$A$3:$P$4986,16,FALSE)))))</f>
        <v>12300</v>
      </c>
      <c r="U59" s="38">
        <v>2</v>
      </c>
      <c r="V59" s="259" t="str">
        <f ca="1">IF(D59="","",IF(OFFSET(D59,-2,0)=D59,"",VLOOKUP(D59,契約台帳!$A$3:$R$4986,18,FALSE)))</f>
        <v/>
      </c>
      <c r="W59" s="256" t="str">
        <f ca="1">IF(D59="","",IF(T59="","",IF(OR(J59="巻足し",J59="巻返しリード付け"),"",IF(J59="巻返し",VLOOKUP(F59&amp;K59&amp;M59,製品マスタ!$M$5:$AD$4999,18,FALSE),IF(OR(J59="リード付け",J59="巻返しリード付け"),"原反コア",IF(J59="スリット",VLOOKUP(F59&amp;K59&amp;R59,製品マスタ!$N$5:$AD$4999,17,FALSE),""))))))</f>
        <v/>
      </c>
      <c r="X59" s="256" t="str">
        <f ca="1">IF(D59="","",IF(T59="","",IF(J59="巻足し","",IF(J59="巻返し",VLOOKUP(F59&amp;K59&amp;M59,製品マスタ!$M$5:$AE$4999,19,FALSE),IF(OR(J59="リード付け",J59="巻返しリード付け"),"",IF(J59="スリット",VLOOKUP(F59&amp;K59&amp;R59,製品マスタ!$N$5:$AE$4999,18,FALSE),""))))))</f>
        <v/>
      </c>
      <c r="Y59" s="256">
        <f ca="1">IF(D59="","",IF(T59="","",VLOOKUP(D59,契約台帳!$A$3:$Q$4986,17,FALSE)))</f>
        <v>2</v>
      </c>
      <c r="Z59" s="256" t="str">
        <f ca="1">IF(D59="","",IF(T59="","",VLOOKUP(D59,契約台帳!$A$3:$E$4986,5,FALSE)))</f>
        <v>リンテック㈱</v>
      </c>
      <c r="AA59" s="54"/>
      <c r="AB59" s="200">
        <f>IFERROR((VLOOKUP(F59&amp;K59&amp;M59,製品マスタ!$M$5:$AM$4999,27,FALSE)),"")</f>
        <v>0</v>
      </c>
      <c r="AC59" s="31"/>
      <c r="AD59" s="184"/>
      <c r="AE59" s="51"/>
      <c r="AF59" s="52"/>
      <c r="AG59" s="41"/>
      <c r="AH59" s="45"/>
      <c r="AI59" s="28"/>
      <c r="AJ59" s="28"/>
      <c r="AK59" s="28"/>
      <c r="AL59" s="28"/>
      <c r="AM59" s="12"/>
      <c r="AN59" s="12"/>
      <c r="AO59" s="12"/>
      <c r="AP59" s="12"/>
      <c r="AQ59" s="12"/>
      <c r="AR59" s="13"/>
      <c r="AS59" s="14"/>
    </row>
    <row r="60" spans="1:45" s="16" customFormat="1" ht="30.95" hidden="1" customHeight="1" x14ac:dyDescent="0.2">
      <c r="A60" s="35"/>
      <c r="B60" s="36"/>
      <c r="C60" s="43"/>
      <c r="D60" s="29"/>
      <c r="E60" s="29"/>
      <c r="F60" s="255" t="str">
        <f>IF(D60="","",VLOOKUP(D60,契約台帳!$A$3:$K$4986,6,FALSE)&amp;VLOOKUP(D60,契約台帳!$A$3:$K$4986,7,FALSE)&amp;VLOOKUP(D60,契約台帳!$A$3:$K$4986,8,FALSE)&amp;VLOOKUP(D60,契約台帳!$A$3:$K$4986,9,FALSE)&amp;VLOOKUP(D60,契約台帳!$A$3:$K$4986,11,FALSE))</f>
        <v/>
      </c>
      <c r="G60" s="256" t="str">
        <f>IF(D60="","",VLOOKUP(F60,製品マスタ!$G$5:$H$4999,2,FALSE))</f>
        <v/>
      </c>
      <c r="H60" s="256" t="str">
        <f>IF(D60="","",VLOOKUP(F60,製品マスタ!$G$5:$K$4999,5,FALSE))</f>
        <v/>
      </c>
      <c r="I60" s="200" t="str">
        <f>IF(D60="","",VLOOKUP(F60,製品マスタ!$G$5:$L$4999,6,FALSE))</f>
        <v/>
      </c>
      <c r="J60" s="203"/>
      <c r="K60" s="200" t="str">
        <f>IF(D60="","",VLOOKUP(D60,契約台帳!$A$3:$L$4986,12,FALSE))</f>
        <v/>
      </c>
      <c r="L60" s="200" t="str">
        <f>IF(D60="","",INDEX(製品マスタ!$Q$5:$Q$4999,MATCH('S4'!F60&amp;'S4'!K60,製品マスタ!$AO$5:$AO$4999,0)))</f>
        <v/>
      </c>
      <c r="M60" s="37"/>
      <c r="N60" s="37"/>
      <c r="O60" s="153"/>
      <c r="P60" s="45"/>
      <c r="Q60" s="54"/>
      <c r="R60" s="257" t="str">
        <f ca="1">IF(D60="","",IF(OFFSET(D60,-1,0)&lt;&gt;"","",IF(OR(J60="リード付け",J60="巻足し",J60="巻返しリード付け"),M60,VLOOKUP(D60,契約台帳!$A$3:$N$4986,14,FALSE))))</f>
        <v/>
      </c>
      <c r="S60" s="258" t="str">
        <f ca="1">IF(D60="","",IF(OFFSET(D60,-1,0)&lt;&gt;"","",IF(OR(J60="リード付け",J60="巻足し",J60="巻返しリード付け"),M60,VLOOKUP(D60,契約台帳!$A$3:$O$4986,15,FALSE))))</f>
        <v/>
      </c>
      <c r="T60" s="258" t="str">
        <f ca="1">IF(D60="","",IF(J60="リード付け",N60,IF(J60="巻返しリード付け",N60,IF(J60="巻足し",N60*P60+OFFSET(N60,1,0)*OFFSET(P60,1,0),VLOOKUP(D60,契約台帳!$A$3:$P$4986,16,FALSE)))))</f>
        <v/>
      </c>
      <c r="U60" s="38"/>
      <c r="V60" s="259" t="str">
        <f ca="1">IF(D60="","",IF(OFFSET(D60,-2,0)=D60,"",VLOOKUP(D60,契約台帳!$A$3:$R$4986,18,FALSE)))</f>
        <v/>
      </c>
      <c r="W60" s="256" t="str">
        <f>IF(D60="","",IF(T60="","",IF(OR(J60="巻足し",J60="巻返しリード付け"),"",IF(J60="巻返し",VLOOKUP(F60&amp;K60&amp;M60,製品マスタ!$M$5:$AD$4999,18,FALSE),IF(OR(J60="リード付け",J60="巻返しリード付け"),"原反コア",IF(J60="スリット",VLOOKUP(F60&amp;K60&amp;R60,製品マスタ!$N$5:$AD$4999,17,FALSE),""))))))</f>
        <v/>
      </c>
      <c r="X60" s="256" t="str">
        <f>IF(D60="","",IF(T60="","",IF(J60="巻足し","",IF(J60="巻返し",VLOOKUP(F60&amp;K60&amp;M60,製品マスタ!$M$5:$AE$4999,19,FALSE),IF(OR(J60="リード付け",J60="巻返しリード付け"),"",IF(J60="スリット",VLOOKUP(F60&amp;K60&amp;R60,製品マスタ!$N$5:$AE$4999,18,FALSE),""))))))</f>
        <v/>
      </c>
      <c r="Y60" s="256" t="str">
        <f>IF(D60="","",IF(T60="","",VLOOKUP(D60,契約台帳!$A$3:$Q$4986,17,FALSE)))</f>
        <v/>
      </c>
      <c r="Z60" s="256" t="str">
        <f>IF(D60="","",IF(T60="","",VLOOKUP(D60,契約台帳!$A$3:$E$4986,5,FALSE)))</f>
        <v/>
      </c>
      <c r="AA60" s="54"/>
      <c r="AB60" s="200" t="str">
        <f>IFERROR((VLOOKUP(F60&amp;K60&amp;M60,製品マスタ!$M$5:$AM$4999,27,FALSE)),"")</f>
        <v/>
      </c>
      <c r="AC60" s="31"/>
      <c r="AD60" s="184"/>
      <c r="AE60" s="51"/>
      <c r="AF60" s="52"/>
      <c r="AG60" s="41"/>
      <c r="AH60" s="45"/>
      <c r="AI60" s="28"/>
      <c r="AJ60" s="28"/>
      <c r="AK60" s="28"/>
      <c r="AL60" s="28"/>
      <c r="AM60" s="12"/>
      <c r="AN60" s="12"/>
      <c r="AO60" s="12"/>
      <c r="AP60" s="12"/>
      <c r="AQ60" s="12"/>
      <c r="AR60" s="13"/>
      <c r="AS60" s="14"/>
    </row>
    <row r="61" spans="1:45" s="16" customFormat="1" ht="30.95" hidden="1" customHeight="1" x14ac:dyDescent="0.2">
      <c r="A61" s="35"/>
      <c r="B61" s="36"/>
      <c r="C61" s="43"/>
      <c r="D61" s="29">
        <v>3694116</v>
      </c>
      <c r="E61" s="29">
        <v>4161759</v>
      </c>
      <c r="F61" s="255" t="str">
        <f>IF(D61="","",VLOOKUP(D61,契約台帳!$A$3:$K$4986,6,FALSE)&amp;VLOOKUP(D61,契約台帳!$A$3:$K$4986,7,FALSE)&amp;VLOOKUP(D61,契約台帳!$A$3:$K$4986,8,FALSE)&amp;VLOOKUP(D61,契約台帳!$A$3:$K$4986,9,FALSE)&amp;VLOOKUP(D61,契約台帳!$A$3:$K$4986,11,FALSE))</f>
        <v>33SSNMCLBTEKKFV</v>
      </c>
      <c r="G61" s="256" t="str">
        <f>IF(D61="","",VLOOKUP(F61,製品マスタ!$G$5:$H$4999,2,FALSE))</f>
        <v>S</v>
      </c>
      <c r="H61" s="256" t="str">
        <f>IF(D61="","",VLOOKUP(F61,製品マスタ!$G$5:$K$4999,5,FALSE))</f>
        <v>TEKKFV</v>
      </c>
      <c r="I61" s="200" t="str">
        <f>IF(D61="","",VLOOKUP(F61,製品マスタ!$G$5:$L$4999,6,FALSE))</f>
        <v>メタルミー　ＴＥＳ消開封　Ｖ</v>
      </c>
      <c r="J61" s="203" t="s">
        <v>736</v>
      </c>
      <c r="K61" s="200">
        <f>IF(D61="","",VLOOKUP(D61,契約台帳!$A$3:$L$4986,12,FALSE))</f>
        <v>50</v>
      </c>
      <c r="L61" s="200" t="str">
        <f>IF(D61="","",INDEX(製品マスタ!$Q$5:$Q$4999,MATCH('S4'!F61&amp;'S4'!K61,製品マスタ!$AO$5:$AO$4999,0)))</f>
        <v>X44SEPA</v>
      </c>
      <c r="M61" s="37">
        <v>1005</v>
      </c>
      <c r="N61" s="37">
        <v>4000</v>
      </c>
      <c r="O61" s="153">
        <v>3</v>
      </c>
      <c r="P61" s="45">
        <v>3</v>
      </c>
      <c r="Q61" s="206">
        <v>44573</v>
      </c>
      <c r="R61" s="257">
        <f ca="1">IF(D61="","",IF(OFFSET(D61,-1,0)&lt;&gt;"","",IF(OR(J61="リード付け",J61="巻足し",J61="巻返しリード付け"),M61,VLOOKUP(D61,契約台帳!$A$3:$N$4986,14,FALSE))))</f>
        <v>1005</v>
      </c>
      <c r="S61" s="258">
        <f ca="1">IF(D61="","",IF(OFFSET(D61,-1,0)&lt;&gt;"","",IF(OR(J61="リード付け",J61="巻足し",J61="巻返しリード付け"),M61,VLOOKUP(D61,契約台帳!$A$3:$O$4986,15,FALSE))))</f>
        <v>1005</v>
      </c>
      <c r="T61" s="258">
        <f ca="1">IF(D61="","",IF(J61="リード付け",N61,IF(J61="巻返しリード付け",N61,IF(J61="巻足し",N61*P61+OFFSET(N61,1,0)*OFFSET(P61,1,0),VLOOKUP(D61,契約台帳!$A$3:$P$4986,16,FALSE)))))</f>
        <v>12000</v>
      </c>
      <c r="U61" s="38">
        <v>1</v>
      </c>
      <c r="V61" s="259">
        <f ca="1">IF(D61="","",IF(OFFSET(D61,-2,0)=D61,"",VLOOKUP(D61,契約台帳!$A$3:$R$4986,18,FALSE)))</f>
        <v>3</v>
      </c>
      <c r="W61" s="256" t="str">
        <f ca="1">IF(D61="","",IF(T61="","",IF(OR(J61="巻足し",J61="巻返しリード付け"),"",IF(J61="巻返し",VLOOKUP(F61&amp;K61&amp;M61,製品マスタ!$M$5:$AD$4999,18,FALSE),IF(OR(J61="リード付け",J61="巻返しリード付け"),"原反コア",IF(J61="スリット",VLOOKUP(F61&amp;K61&amp;R61,製品マスタ!$N$5:$AD$4999,17,FALSE),""))))))</f>
        <v/>
      </c>
      <c r="X61" s="256" t="str">
        <f ca="1">IF(D61="","",IF(T61="","",IF(J61="巻足し","",IF(J61="巻返し",VLOOKUP(F61&amp;K61&amp;M61,製品マスタ!$M$5:$AE$4999,19,FALSE),IF(OR(J61="リード付け",J61="巻返しリード付け"),"",IF(J61="スリット",VLOOKUP(F61&amp;K61&amp;R61,製品マスタ!$N$5:$AE$4999,18,FALSE),""))))))</f>
        <v/>
      </c>
      <c r="Y61" s="256">
        <f ca="1">IF(D61="","",IF(T61="","",VLOOKUP(D61,契約台帳!$A$3:$Q$4986,17,FALSE)))</f>
        <v>2</v>
      </c>
      <c r="Z61" s="256" t="str">
        <f ca="1">IF(D61="","",IF(T61="","",VLOOKUP(D61,契約台帳!$A$3:$E$4986,5,FALSE)))</f>
        <v>リンテック㈱</v>
      </c>
      <c r="AA61" s="54"/>
      <c r="AB61" s="200">
        <f>IFERROR((VLOOKUP(F61&amp;K61&amp;M61,製品マスタ!$M$5:$AM$4999,27,FALSE)),"")</f>
        <v>0</v>
      </c>
      <c r="AC61" s="31"/>
      <c r="AD61" s="184"/>
      <c r="AE61" s="51"/>
      <c r="AF61" s="52"/>
      <c r="AG61" s="41"/>
      <c r="AH61" s="45"/>
      <c r="AI61" s="28"/>
      <c r="AJ61" s="28"/>
      <c r="AK61" s="28"/>
      <c r="AL61" s="28"/>
      <c r="AM61" s="12"/>
      <c r="AN61" s="12"/>
      <c r="AO61" s="12"/>
      <c r="AP61" s="12"/>
      <c r="AQ61" s="12"/>
      <c r="AR61" s="13"/>
      <c r="AS61" s="14"/>
    </row>
    <row r="62" spans="1:45" s="16" customFormat="1" ht="30.95" hidden="1" customHeight="1" x14ac:dyDescent="0.2">
      <c r="A62" s="35"/>
      <c r="B62" s="36"/>
      <c r="C62" s="43"/>
      <c r="D62" s="29"/>
      <c r="E62" s="29"/>
      <c r="F62" s="255" t="str">
        <f>IF(D62="","",VLOOKUP(D62,契約台帳!$A$3:$K$4986,6,FALSE)&amp;VLOOKUP(D62,契約台帳!$A$3:$K$4986,7,FALSE)&amp;VLOOKUP(D62,契約台帳!$A$3:$K$4986,8,FALSE)&amp;VLOOKUP(D62,契約台帳!$A$3:$K$4986,9,FALSE)&amp;VLOOKUP(D62,契約台帳!$A$3:$K$4986,11,FALSE))</f>
        <v/>
      </c>
      <c r="G62" s="256" t="str">
        <f>IF(D62="","",VLOOKUP(F62,製品マスタ!$G$5:$H$4999,2,FALSE))</f>
        <v/>
      </c>
      <c r="H62" s="256" t="str">
        <f>IF(D62="","",VLOOKUP(F62,製品マスタ!$G$5:$K$4999,5,FALSE))</f>
        <v/>
      </c>
      <c r="I62" s="200" t="str">
        <f>IF(D62="","",VLOOKUP(F62,製品マスタ!$G$5:$L$4999,6,FALSE))</f>
        <v/>
      </c>
      <c r="J62" s="203"/>
      <c r="K62" s="200" t="str">
        <f>IF(D62="","",VLOOKUP(D62,契約台帳!$A$3:$L$4986,12,FALSE))</f>
        <v/>
      </c>
      <c r="L62" s="200" t="str">
        <f>IF(D62="","",INDEX(製品マスタ!$Q$5:$Q$4999,MATCH('S4'!F62&amp;'S4'!K62,製品マスタ!$AO$5:$AO$4999,0)))</f>
        <v/>
      </c>
      <c r="M62" s="37"/>
      <c r="N62" s="37"/>
      <c r="O62" s="153"/>
      <c r="P62" s="45"/>
      <c r="Q62" s="54"/>
      <c r="R62" s="257" t="str">
        <f ca="1">IF(D62="","",IF(OFFSET(D62,-1,0)&lt;&gt;"","",IF(OR(J62="リード付け",J62="巻足し",J62="巻返しリード付け"),M62,VLOOKUP(D62,契約台帳!$A$3:$N$4986,14,FALSE))))</f>
        <v/>
      </c>
      <c r="S62" s="258" t="str">
        <f ca="1">IF(D62="","",IF(OFFSET(D62,-1,0)&lt;&gt;"","",IF(OR(J62="リード付け",J62="巻足し",J62="巻返しリード付け"),M62,VLOOKUP(D62,契約台帳!$A$3:$O$4986,15,FALSE))))</f>
        <v/>
      </c>
      <c r="T62" s="258" t="str">
        <f ca="1">IF(D62="","",IF(J62="リード付け",N62,IF(J62="巻返しリード付け",N62,IF(J62="巻足し",N62*P62+OFFSET(N62,1,0)*OFFSET(P62,1,0),VLOOKUP(D62,契約台帳!$A$3:$P$4986,16,FALSE)))))</f>
        <v/>
      </c>
      <c r="U62" s="38"/>
      <c r="V62" s="259" t="str">
        <f ca="1">IF(D62="","",IF(OFFSET(D62,-2,0)=D62,"",VLOOKUP(D62,契約台帳!$A$3:$R$4986,18,FALSE)))</f>
        <v/>
      </c>
      <c r="W62" s="256" t="str">
        <f>IF(D62="","",IF(T62="","",IF(OR(J62="巻足し",J62="巻返しリード付け"),"",IF(J62="巻返し",VLOOKUP(F62&amp;K62&amp;M62,製品マスタ!$M$5:$AD$4999,18,FALSE),IF(OR(J62="リード付け",J62="巻返しリード付け"),"原反コア",IF(J62="スリット",VLOOKUP(F62&amp;K62&amp;R62,製品マスタ!$N$5:$AD$4999,17,FALSE),""))))))</f>
        <v/>
      </c>
      <c r="X62" s="256" t="str">
        <f>IF(D62="","",IF(T62="","",IF(J62="巻足し","",IF(J62="巻返し",VLOOKUP(F62&amp;K62&amp;M62,製品マスタ!$M$5:$AE$4999,19,FALSE),IF(OR(J62="リード付け",J62="巻返しリード付け"),"",IF(J62="スリット",VLOOKUP(F62&amp;K62&amp;R62,製品マスタ!$N$5:$AE$4999,18,FALSE),""))))))</f>
        <v/>
      </c>
      <c r="Y62" s="256" t="str">
        <f>IF(D62="","",IF(T62="","",VLOOKUP(D62,契約台帳!$A$3:$Q$4986,17,FALSE)))</f>
        <v/>
      </c>
      <c r="Z62" s="256" t="str">
        <f>IF(D62="","",IF(T62="","",VLOOKUP(D62,契約台帳!$A$3:$E$4986,5,FALSE)))</f>
        <v/>
      </c>
      <c r="AA62" s="54"/>
      <c r="AB62" s="200" t="str">
        <f>IFERROR((VLOOKUP(F62&amp;K62&amp;M62,製品マスタ!$M$5:$AM$4999,27,FALSE)),"")</f>
        <v/>
      </c>
      <c r="AC62" s="31"/>
      <c r="AD62" s="184"/>
      <c r="AE62" s="51"/>
      <c r="AF62" s="52"/>
      <c r="AG62" s="41"/>
      <c r="AH62" s="45"/>
      <c r="AI62" s="28"/>
      <c r="AJ62" s="28"/>
      <c r="AK62" s="28"/>
      <c r="AL62" s="28"/>
      <c r="AM62" s="12"/>
      <c r="AN62" s="12"/>
      <c r="AO62" s="12"/>
      <c r="AP62" s="12"/>
      <c r="AQ62" s="12"/>
      <c r="AR62" s="13"/>
      <c r="AS62" s="14"/>
    </row>
    <row r="63" spans="1:45" s="16" customFormat="1" ht="30.95" hidden="1" customHeight="1" x14ac:dyDescent="0.2">
      <c r="A63" s="35"/>
      <c r="B63" s="36"/>
      <c r="C63" s="43"/>
      <c r="D63" s="29">
        <v>3694117</v>
      </c>
      <c r="E63" s="29">
        <v>4161760</v>
      </c>
      <c r="F63" s="255" t="str">
        <f>IF(D63="","",VLOOKUP(D63,契約台帳!$A$3:$K$4986,6,FALSE)&amp;VLOOKUP(D63,契約台帳!$A$3:$K$4986,7,FALSE)&amp;VLOOKUP(D63,契約台帳!$A$3:$K$4986,8,FALSE)&amp;VLOOKUP(D63,契約台帳!$A$3:$K$4986,9,FALSE)&amp;VLOOKUP(D63,契約台帳!$A$3:$K$4986,11,FALSE))</f>
        <v>33SSNMCLBTEKV0V</v>
      </c>
      <c r="G63" s="256" t="str">
        <f>IF(D63="","",VLOOKUP(F63,製品マスタ!$G$5:$H$4999,2,FALSE))</f>
        <v>S</v>
      </c>
      <c r="H63" s="256" t="str">
        <f>IF(D63="","",VLOOKUP(F63,製品マスタ!$G$5:$K$4999,5,FALSE))</f>
        <v>TEKV0V</v>
      </c>
      <c r="I63" s="200" t="str">
        <f>IF(D63="","",VLOOKUP(F63,製品マスタ!$G$5:$L$4999,6,FALSE))</f>
        <v>メタルミー　ＴＥ－Ｓ消　ＶＯＩＤ　Ｖ</v>
      </c>
      <c r="J63" s="203" t="s">
        <v>736</v>
      </c>
      <c r="K63" s="200">
        <f>IF(D63="","",VLOOKUP(D63,契約台帳!$A$3:$L$4986,12,FALSE))</f>
        <v>50</v>
      </c>
      <c r="L63" s="200" t="str">
        <f>IF(D63="","",INDEX(製品マスタ!$Q$5:$Q$4999,MATCH('S4'!F63&amp;'S4'!K63,製品マスタ!$AO$5:$AO$4999,0)))</f>
        <v>X44SEPA</v>
      </c>
      <c r="M63" s="37">
        <v>1005</v>
      </c>
      <c r="N63" s="37">
        <v>4000</v>
      </c>
      <c r="O63" s="153">
        <v>3</v>
      </c>
      <c r="P63" s="45">
        <v>3</v>
      </c>
      <c r="Q63" s="206">
        <v>44573</v>
      </c>
      <c r="R63" s="257">
        <f ca="1">IF(D63="","",IF(OFFSET(D63,-1,0)&lt;&gt;"","",IF(OR(J63="リード付け",J63="巻足し",J63="巻返しリード付け"),M63,VLOOKUP(D63,契約台帳!$A$3:$N$4986,14,FALSE))))</f>
        <v>1005</v>
      </c>
      <c r="S63" s="258">
        <f ca="1">IF(D63="","",IF(OFFSET(D63,-1,0)&lt;&gt;"","",IF(OR(J63="リード付け",J63="巻足し",J63="巻返しリード付け"),M63,VLOOKUP(D63,契約台帳!$A$3:$O$4986,15,FALSE))))</f>
        <v>1005</v>
      </c>
      <c r="T63" s="258">
        <f ca="1">IF(D63="","",IF(J63="リード付け",N63,IF(J63="巻返しリード付け",N63,IF(J63="巻足し",N63*P63+OFFSET(N63,1,0)*OFFSET(P63,1,0),VLOOKUP(D63,契約台帳!$A$3:$P$4986,16,FALSE)))))</f>
        <v>12000</v>
      </c>
      <c r="U63" s="38">
        <v>1</v>
      </c>
      <c r="V63" s="259">
        <f ca="1">IF(D63="","",IF(OFFSET(D63,-2,0)=D63,"",VLOOKUP(D63,契約台帳!$A$3:$R$4986,18,FALSE)))</f>
        <v>3</v>
      </c>
      <c r="W63" s="256" t="str">
        <f ca="1">IF(D63="","",IF(T63="","",IF(OR(J63="巻足し",J63="巻返しリード付け"),"",IF(J63="巻返し",VLOOKUP(F63&amp;K63&amp;M63,製品マスタ!$M$5:$AD$4999,18,FALSE),IF(OR(J63="リード付け",J63="巻返しリード付け"),"原反コア",IF(J63="スリット",VLOOKUP(F63&amp;K63&amp;R63,製品マスタ!$N$5:$AD$4999,17,FALSE),""))))))</f>
        <v/>
      </c>
      <c r="X63" s="256" t="str">
        <f ca="1">IF(D63="","",IF(T63="","",IF(J63="巻足し","",IF(J63="巻返し",VLOOKUP(F63&amp;K63&amp;M63,製品マスタ!$M$5:$AE$4999,19,FALSE),IF(OR(J63="リード付け",J63="巻返しリード付け"),"",IF(J63="スリット",VLOOKUP(F63&amp;K63&amp;R63,製品マスタ!$N$5:$AE$4999,18,FALSE),""))))))</f>
        <v/>
      </c>
      <c r="Y63" s="256">
        <f ca="1">IF(D63="","",IF(T63="","",VLOOKUP(D63,契約台帳!$A$3:$Q$4986,17,FALSE)))</f>
        <v>2</v>
      </c>
      <c r="Z63" s="256" t="str">
        <f ca="1">IF(D63="","",IF(T63="","",VLOOKUP(D63,契約台帳!$A$3:$E$4986,5,FALSE)))</f>
        <v>リンテック㈱</v>
      </c>
      <c r="AA63" s="54"/>
      <c r="AB63" s="200">
        <f>IFERROR((VLOOKUP(F63&amp;K63&amp;M63,製品マスタ!$M$5:$AM$4999,27,FALSE)),"")</f>
        <v>0</v>
      </c>
      <c r="AC63" s="31"/>
      <c r="AD63" s="184"/>
      <c r="AE63" s="51"/>
      <c r="AF63" s="52"/>
      <c r="AG63" s="41"/>
      <c r="AH63" s="45"/>
      <c r="AI63" s="28"/>
      <c r="AJ63" s="28"/>
      <c r="AK63" s="28"/>
      <c r="AL63" s="28"/>
      <c r="AM63" s="12"/>
      <c r="AN63" s="12"/>
      <c r="AO63" s="12"/>
      <c r="AP63" s="12"/>
      <c r="AQ63" s="12"/>
      <c r="AR63" s="13"/>
      <c r="AS63" s="14"/>
    </row>
    <row r="64" spans="1:45" s="16" customFormat="1" ht="30.95" hidden="1" customHeight="1" x14ac:dyDescent="0.2">
      <c r="A64" s="35"/>
      <c r="B64" s="36"/>
      <c r="C64" s="43"/>
      <c r="D64" s="29"/>
      <c r="E64" s="29"/>
      <c r="F64" s="255" t="str">
        <f>IF(D64="","",VLOOKUP(D64,契約台帳!$A$3:$K$4986,6,FALSE)&amp;VLOOKUP(D64,契約台帳!$A$3:$K$4986,7,FALSE)&amp;VLOOKUP(D64,契約台帳!$A$3:$K$4986,8,FALSE)&amp;VLOOKUP(D64,契約台帳!$A$3:$K$4986,9,FALSE)&amp;VLOOKUP(D64,契約台帳!$A$3:$K$4986,11,FALSE))</f>
        <v/>
      </c>
      <c r="G64" s="256" t="str">
        <f>IF(D64="","",VLOOKUP(F64,製品マスタ!$G$5:$H$4999,2,FALSE))</f>
        <v/>
      </c>
      <c r="H64" s="256" t="str">
        <f>IF(D64="","",VLOOKUP(F64,製品マスタ!$G$5:$K$4999,5,FALSE))</f>
        <v/>
      </c>
      <c r="I64" s="200" t="str">
        <f>IF(D64="","",VLOOKUP(F64,製品マスタ!$G$5:$L$4999,6,FALSE))</f>
        <v/>
      </c>
      <c r="J64" s="203"/>
      <c r="K64" s="200" t="str">
        <f>IF(D64="","",VLOOKUP(D64,契約台帳!$A$3:$L$4986,12,FALSE))</f>
        <v/>
      </c>
      <c r="L64" s="200" t="str">
        <f>IF(D64="","",INDEX(製品マスタ!$Q$5:$Q$4999,MATCH('S4'!F64&amp;'S4'!K64,製品マスタ!$AO$5:$AO$4999,0)))</f>
        <v/>
      </c>
      <c r="M64" s="37"/>
      <c r="N64" s="37"/>
      <c r="O64" s="153"/>
      <c r="P64" s="45"/>
      <c r="Q64" s="54"/>
      <c r="R64" s="257" t="str">
        <f ca="1">IF(D64="","",IF(OFFSET(D64,-1,0)&lt;&gt;"","",IF(OR(J64="リード付け",J64="巻足し",J64="巻返しリード付け"),M64,VLOOKUP(D64,契約台帳!$A$3:$N$4986,14,FALSE))))</f>
        <v/>
      </c>
      <c r="S64" s="258" t="str">
        <f ca="1">IF(D64="","",IF(OFFSET(D64,-1,0)&lt;&gt;"","",IF(OR(J64="リード付け",J64="巻足し",J64="巻返しリード付け"),M64,VLOOKUP(D64,契約台帳!$A$3:$O$4986,15,FALSE))))</f>
        <v/>
      </c>
      <c r="T64" s="258" t="str">
        <f ca="1">IF(D64="","",IF(J64="リード付け",N64,IF(J64="巻返しリード付け",N64,IF(J64="巻足し",N64*P64+OFFSET(N64,1,0)*OFFSET(P64,1,0),VLOOKUP(D64,契約台帳!$A$3:$P$4986,16,FALSE)))))</f>
        <v/>
      </c>
      <c r="U64" s="38"/>
      <c r="V64" s="259" t="str">
        <f ca="1">IF(D64="","",IF(OFFSET(D64,-2,0)=D64,"",VLOOKUP(D64,契約台帳!$A$3:$R$4986,18,FALSE)))</f>
        <v/>
      </c>
      <c r="W64" s="256" t="str">
        <f>IF(D64="","",IF(T64="","",IF(OR(J64="巻足し",J64="巻返しリード付け"),"",IF(J64="巻返し",VLOOKUP(F64&amp;K64&amp;M64,製品マスタ!$M$5:$AD$4999,18,FALSE),IF(OR(J64="リード付け",J64="巻返しリード付け"),"原反コア",IF(J64="スリット",VLOOKUP(F64&amp;K64&amp;R64,製品マスタ!$N$5:$AD$4999,17,FALSE),""))))))</f>
        <v/>
      </c>
      <c r="X64" s="256" t="str">
        <f>IF(D64="","",IF(T64="","",IF(J64="巻足し","",IF(J64="巻返し",VLOOKUP(F64&amp;K64&amp;M64,製品マスタ!$M$5:$AE$4999,19,FALSE),IF(OR(J64="リード付け",J64="巻返しリード付け"),"",IF(J64="スリット",VLOOKUP(F64&amp;K64&amp;R64,製品マスタ!$N$5:$AE$4999,18,FALSE),""))))))</f>
        <v/>
      </c>
      <c r="Y64" s="256" t="str">
        <f>IF(D64="","",IF(T64="","",VLOOKUP(D64,契約台帳!$A$3:$Q$4986,17,FALSE)))</f>
        <v/>
      </c>
      <c r="Z64" s="256" t="str">
        <f>IF(D64="","",IF(T64="","",VLOOKUP(D64,契約台帳!$A$3:$E$4986,5,FALSE)))</f>
        <v/>
      </c>
      <c r="AA64" s="54"/>
      <c r="AB64" s="200" t="str">
        <f>IFERROR((VLOOKUP(F64&amp;K64&amp;M64,製品マスタ!$M$5:$AM$4999,27,FALSE)),"")</f>
        <v/>
      </c>
      <c r="AC64" s="31"/>
      <c r="AD64" s="184"/>
      <c r="AE64" s="51"/>
      <c r="AF64" s="52"/>
      <c r="AG64" s="41"/>
      <c r="AH64" s="45"/>
      <c r="AI64" s="28"/>
      <c r="AJ64" s="28"/>
      <c r="AK64" s="28"/>
      <c r="AL64" s="28"/>
      <c r="AM64" s="12"/>
      <c r="AN64" s="12"/>
      <c r="AO64" s="12"/>
      <c r="AP64" s="12"/>
      <c r="AQ64" s="12"/>
      <c r="AR64" s="13"/>
      <c r="AS64" s="14"/>
    </row>
    <row r="65" spans="1:45" s="16" customFormat="1" ht="30.95" hidden="1" customHeight="1" x14ac:dyDescent="0.2">
      <c r="A65" s="35"/>
      <c r="B65" s="36"/>
      <c r="C65" s="43"/>
      <c r="D65" s="29">
        <v>3694127</v>
      </c>
      <c r="E65" s="29">
        <v>4161779</v>
      </c>
      <c r="F65" s="255" t="str">
        <f>IF(D65="","",VLOOKUP(D65,契約台帳!$A$3:$K$4986,6,FALSE)&amp;VLOOKUP(D65,契約台帳!$A$3:$K$4986,7,FALSE)&amp;VLOOKUP(D65,契約台帳!$A$3:$K$4986,8,FALSE)&amp;VLOOKUP(D65,契約台帳!$A$3:$K$4986,9,FALSE)&amp;VLOOKUP(D65,契約台帳!$A$3:$K$4986,11,FALSE))</f>
        <v>3SYMLBMSNMBF</v>
      </c>
      <c r="G65" s="256" t="str">
        <f>IF(D65="","",VLOOKUP(F65,製品マスタ!$G$5:$H$4999,2,FALSE))</f>
        <v>S</v>
      </c>
      <c r="H65" s="256" t="str">
        <f>IF(D65="","",VLOOKUP(F65,製品マスタ!$G$5:$K$4999,5,FALSE))</f>
        <v>MSNMBF</v>
      </c>
      <c r="I65" s="200" t="str">
        <f>IF(D65="","",VLOOKUP(F65,製品マスタ!$G$5:$L$4999,6,FALSE))</f>
        <v>ＭＥＴＡＬＵＭＹ　ＳＩＬＶＥＲ　Ｎ－ＭＡＴＴＥ　Ｘ４４Ｍ　Ｂ</v>
      </c>
      <c r="J65" s="203" t="s">
        <v>736</v>
      </c>
      <c r="K65" s="200">
        <f>IF(D65="","",VLOOKUP(D65,契約台帳!$A$3:$L$4986,12,FALSE))</f>
        <v>50</v>
      </c>
      <c r="L65" s="200" t="str">
        <f>IF(D65="","",INDEX(製品マスタ!$Q$5:$Q$4999,MATCH('S4'!F65&amp;'S4'!K65,製品マスタ!$AO$5:$AO$4999,0)))</f>
        <v>X44</v>
      </c>
      <c r="M65" s="37">
        <v>1120</v>
      </c>
      <c r="N65" s="37">
        <v>4000</v>
      </c>
      <c r="O65" s="153">
        <v>4</v>
      </c>
      <c r="P65" s="45">
        <v>2</v>
      </c>
      <c r="Q65" s="206">
        <v>44567</v>
      </c>
      <c r="R65" s="257">
        <f ca="1">IF(D65="","",IF(OFFSET(D65,-1,0)&lt;&gt;"","",IF(OR(J65="リード付け",J65="巻足し",J65="巻返しリード付け"),M65,VLOOKUP(D65,契約台帳!$A$3:$N$4986,14,FALSE))))</f>
        <v>1120</v>
      </c>
      <c r="S65" s="258">
        <f ca="1">IF(D65="","",IF(OFFSET(D65,-1,0)&lt;&gt;"","",IF(OR(J65="リード付け",J65="巻足し",J65="巻返しリード付け"),M65,VLOOKUP(D65,契約台帳!$A$3:$O$4986,15,FALSE))))</f>
        <v>1120</v>
      </c>
      <c r="T65" s="258">
        <f ca="1">IF(D65="","",IF(J65="リード付け",N65,IF(J65="巻返しリード付け",N65,IF(J65="巻足し",N65*P65+OFFSET(N65,1,0)*OFFSET(P65,1,0),VLOOKUP(D65,契約台帳!$A$3:$P$4986,16,FALSE)))))</f>
        <v>8000</v>
      </c>
      <c r="U65" s="38">
        <v>2</v>
      </c>
      <c r="V65" s="259">
        <f ca="1">IF(D65="","",IF(OFFSET(D65,-2,0)=D65,"",VLOOKUP(D65,契約台帳!$A$3:$R$4986,18,FALSE)))</f>
        <v>4</v>
      </c>
      <c r="W65" s="256" t="str">
        <f ca="1">IF(D65="","",IF(T65="","",IF(OR(J65="巻足し",J65="巻返しリード付け"),"",IF(J65="巻返し",VLOOKUP(F65&amp;K65&amp;M65,製品マスタ!$M$5:$AD$4999,18,FALSE),IF(OR(J65="リード付け",J65="巻返しリード付け"),"原反コア",IF(J65="スリット",VLOOKUP(F65&amp;K65&amp;R65,製品マスタ!$N$5:$AD$4999,17,FALSE),""))))))</f>
        <v/>
      </c>
      <c r="X65" s="256" t="str">
        <f ca="1">IF(D65="","",IF(T65="","",IF(J65="巻足し","",IF(J65="巻返し",VLOOKUP(F65&amp;K65&amp;M65,製品マスタ!$M$5:$AE$4999,19,FALSE),IF(OR(J65="リード付け",J65="巻返しリード付け"),"",IF(J65="スリット",VLOOKUP(F65&amp;K65&amp;R65,製品マスタ!$N$5:$AE$4999,18,FALSE),""))))))</f>
        <v/>
      </c>
      <c r="Y65" s="256">
        <f ca="1">IF(D65="","",IF(T65="","",VLOOKUP(D65,契約台帳!$A$3:$Q$4986,17,FALSE)))</f>
        <v>2</v>
      </c>
      <c r="Z65" s="256" t="str">
        <f ca="1">IF(D65="","",IF(T65="","",VLOOKUP(D65,契約台帳!$A$3:$E$4986,5,FALSE)))</f>
        <v>リンテック㈱</v>
      </c>
      <c r="AA65" s="54"/>
      <c r="AB65" s="200">
        <f>IFERROR((VLOOKUP(F65&amp;K65&amp;M65,製品マスタ!$M$5:$AM$4999,27,FALSE)),"")</f>
        <v>0</v>
      </c>
      <c r="AC65" s="31"/>
      <c r="AD65" s="184"/>
      <c r="AE65" s="51"/>
      <c r="AF65" s="52"/>
      <c r="AG65" s="41"/>
      <c r="AH65" s="45"/>
      <c r="AI65" s="28"/>
      <c r="AJ65" s="28"/>
      <c r="AK65" s="28"/>
      <c r="AL65" s="28"/>
      <c r="AM65" s="12"/>
      <c r="AN65" s="12"/>
      <c r="AO65" s="12"/>
      <c r="AP65" s="12"/>
      <c r="AQ65" s="12"/>
      <c r="AR65" s="13"/>
      <c r="AS65" s="14"/>
    </row>
    <row r="66" spans="1:45" s="16" customFormat="1" ht="30.95" hidden="1" customHeight="1" x14ac:dyDescent="0.2">
      <c r="A66" s="35"/>
      <c r="B66" s="36"/>
      <c r="C66" s="43"/>
      <c r="D66" s="29"/>
      <c r="E66" s="29"/>
      <c r="F66" s="255" t="str">
        <f>IF(D66="","",VLOOKUP(D66,契約台帳!$A$3:$K$4986,6,FALSE)&amp;VLOOKUP(D66,契約台帳!$A$3:$K$4986,7,FALSE)&amp;VLOOKUP(D66,契約台帳!$A$3:$K$4986,8,FALSE)&amp;VLOOKUP(D66,契約台帳!$A$3:$K$4986,9,FALSE)&amp;VLOOKUP(D66,契約台帳!$A$3:$K$4986,11,FALSE))</f>
        <v/>
      </c>
      <c r="G66" s="256" t="str">
        <f>IF(D66="","",VLOOKUP(F66,製品マスタ!$G$5:$H$4999,2,FALSE))</f>
        <v/>
      </c>
      <c r="H66" s="256" t="str">
        <f>IF(D66="","",VLOOKUP(F66,製品マスタ!$G$5:$K$4999,5,FALSE))</f>
        <v/>
      </c>
      <c r="I66" s="200" t="str">
        <f>IF(D66="","",VLOOKUP(F66,製品マスタ!$G$5:$L$4999,6,FALSE))</f>
        <v/>
      </c>
      <c r="J66" s="203"/>
      <c r="K66" s="200" t="str">
        <f>IF(D66="","",VLOOKUP(D66,契約台帳!$A$3:$L$4986,12,FALSE))</f>
        <v/>
      </c>
      <c r="L66" s="200" t="str">
        <f>IF(D66="","",INDEX(製品マスタ!$Q$5:$Q$4999,MATCH('S4'!F66&amp;'S4'!K66,製品マスタ!$AO$5:$AO$4999,0)))</f>
        <v/>
      </c>
      <c r="M66" s="37"/>
      <c r="N66" s="37"/>
      <c r="O66" s="153"/>
      <c r="P66" s="45"/>
      <c r="Q66" s="54"/>
      <c r="R66" s="257" t="str">
        <f ca="1">IF(D66="","",IF(OFFSET(D66,-1,0)&lt;&gt;"","",IF(OR(J66="リード付け",J66="巻足し",J66="巻返しリード付け"),M66,VLOOKUP(D66,契約台帳!$A$3:$N$4986,14,FALSE))))</f>
        <v/>
      </c>
      <c r="S66" s="258" t="str">
        <f ca="1">IF(D66="","",IF(OFFSET(D66,-1,0)&lt;&gt;"","",IF(OR(J66="リード付け",J66="巻足し",J66="巻返しリード付け"),M66,VLOOKUP(D66,契約台帳!$A$3:$O$4986,15,FALSE))))</f>
        <v/>
      </c>
      <c r="T66" s="258" t="str">
        <f ca="1">IF(D66="","",IF(J66="リード付け",N66,IF(J66="巻返しリード付け",N66,IF(J66="巻足し",N66*P66+OFFSET(N66,1,0)*OFFSET(P66,1,0),VLOOKUP(D66,契約台帳!$A$3:$P$4986,16,FALSE)))))</f>
        <v/>
      </c>
      <c r="U66" s="38"/>
      <c r="V66" s="259" t="str">
        <f ca="1">IF(D66="","",IF(OFFSET(D66,-2,0)=D66,"",VLOOKUP(D66,契約台帳!$A$3:$R$4986,18,FALSE)))</f>
        <v/>
      </c>
      <c r="W66" s="256" t="str">
        <f>IF(D66="","",IF(T66="","",IF(OR(J66="巻足し",J66="巻返しリード付け"),"",IF(J66="巻返し",VLOOKUP(F66&amp;K66&amp;M66,製品マスタ!$M$5:$AD$4999,18,FALSE),IF(OR(J66="リード付け",J66="巻返しリード付け"),"原反コア",IF(J66="スリット",VLOOKUP(F66&amp;K66&amp;R66,製品マスタ!$N$5:$AD$4999,17,FALSE),""))))))</f>
        <v/>
      </c>
      <c r="X66" s="256" t="str">
        <f>IF(D66="","",IF(T66="","",IF(J66="巻足し","",IF(J66="巻返し",VLOOKUP(F66&amp;K66&amp;M66,製品マスタ!$M$5:$AE$4999,19,FALSE),IF(OR(J66="リード付け",J66="巻返しリード付け"),"",IF(J66="スリット",VLOOKUP(F66&amp;K66&amp;R66,製品マスタ!$N$5:$AE$4999,18,FALSE),""))))))</f>
        <v/>
      </c>
      <c r="Y66" s="256" t="str">
        <f>IF(D66="","",IF(T66="","",VLOOKUP(D66,契約台帳!$A$3:$Q$4986,17,FALSE)))</f>
        <v/>
      </c>
      <c r="Z66" s="256" t="str">
        <f>IF(D66="","",IF(T66="","",VLOOKUP(D66,契約台帳!$A$3:$E$4986,5,FALSE)))</f>
        <v/>
      </c>
      <c r="AA66" s="54"/>
      <c r="AB66" s="200" t="str">
        <f>IFERROR((VLOOKUP(F66&amp;K66&amp;M66,製品マスタ!$M$5:$AM$4999,27,FALSE)),"")</f>
        <v/>
      </c>
      <c r="AC66" s="31"/>
      <c r="AD66" s="184"/>
      <c r="AE66" s="51"/>
      <c r="AF66" s="52"/>
      <c r="AG66" s="41"/>
      <c r="AH66" s="45"/>
      <c r="AI66" s="28"/>
      <c r="AJ66" s="28"/>
      <c r="AK66" s="28"/>
      <c r="AL66" s="28"/>
      <c r="AM66" s="12"/>
      <c r="AN66" s="12"/>
      <c r="AO66" s="12"/>
      <c r="AP66" s="12"/>
      <c r="AQ66" s="12"/>
      <c r="AR66" s="13"/>
      <c r="AS66" s="14"/>
    </row>
    <row r="67" spans="1:45" s="16" customFormat="1" ht="30.95" hidden="1" customHeight="1" x14ac:dyDescent="0.2">
      <c r="A67" s="35"/>
      <c r="B67" s="36"/>
      <c r="C67" s="43"/>
      <c r="D67" s="29">
        <v>3691105</v>
      </c>
      <c r="E67" s="29">
        <v>4161755</v>
      </c>
      <c r="F67" s="255" t="str">
        <f>IF(D67="","",VLOOKUP(D67,契約台帳!$A$3:$K$4986,6,FALSE)&amp;VLOOKUP(D67,契約台帳!$A$3:$K$4986,7,FALSE)&amp;VLOOKUP(D67,契約台帳!$A$3:$K$4986,8,FALSE)&amp;VLOOKUP(D67,契約台帳!$A$3:$K$4986,9,FALSE)&amp;VLOOKUP(D67,契約台帳!$A$3:$K$4986,11,FALSE))</f>
        <v>3SNMCLBMSNEYK</v>
      </c>
      <c r="G67" s="256" t="str">
        <f>IF(D67="","",VLOOKUP(F67,製品マスタ!$G$5:$H$4999,2,FALSE))</f>
        <v>S</v>
      </c>
      <c r="H67" s="256" t="str">
        <f>IF(D67="","",VLOOKUP(F67,製品マスタ!$G$5:$K$4999,5,FALSE))</f>
        <v>MSNEYK</v>
      </c>
      <c r="I67" s="200" t="str">
        <f>IF(D67="","",VLOOKUP(F67,製品マスタ!$G$5:$L$4999,6,FALSE))</f>
        <v>ＭＳＮ　ＥＹＫ</v>
      </c>
      <c r="J67" s="203" t="s">
        <v>736</v>
      </c>
      <c r="K67" s="200">
        <f>IF(D67="","",VLOOKUP(D67,契約台帳!$A$3:$L$4986,12,FALSE))</f>
        <v>25</v>
      </c>
      <c r="L67" s="200" t="str">
        <f>IF(D67="","",INDEX(製品マスタ!$Q$5:$Q$4999,MATCH('S4'!F67&amp;'S4'!K67,製品マスタ!$AO$5:$AO$4999,0)))</f>
        <v>N-MAT</v>
      </c>
      <c r="M67" s="37">
        <v>1120</v>
      </c>
      <c r="N67" s="37">
        <v>4000</v>
      </c>
      <c r="O67" s="153">
        <v>2</v>
      </c>
      <c r="P67" s="45">
        <v>2</v>
      </c>
      <c r="Q67" s="206">
        <v>44574</v>
      </c>
      <c r="R67" s="257">
        <f ca="1">IF(D67="","",IF(OFFSET(D67,-1,0)&lt;&gt;"","",IF(OR(J67="リード付け",J67="巻足し",J67="巻返しリード付け"),M67,VLOOKUP(D67,契約台帳!$A$3:$N$4986,14,FALSE))))</f>
        <v>1120</v>
      </c>
      <c r="S67" s="258">
        <f ca="1">IF(D67="","",IF(OFFSET(D67,-1,0)&lt;&gt;"","",IF(OR(J67="リード付け",J67="巻足し",J67="巻返しリード付け"),M67,VLOOKUP(D67,契約台帳!$A$3:$O$4986,15,FALSE))))</f>
        <v>1120</v>
      </c>
      <c r="T67" s="258">
        <f ca="1">IF(D67="","",IF(J67="リード付け",N67,IF(J67="巻返しリード付け",N67,IF(J67="巻足し",N67*P67+OFFSET(N67,1,0)*OFFSET(P67,1,0),VLOOKUP(D67,契約台帳!$A$3:$P$4986,16,FALSE)))))</f>
        <v>8000</v>
      </c>
      <c r="U67" s="38">
        <v>1</v>
      </c>
      <c r="V67" s="259">
        <f ca="1">IF(D67="","",IF(OFFSET(D67,-2,0)=D67,"",VLOOKUP(D67,契約台帳!$A$3:$R$4986,18,FALSE)))</f>
        <v>2</v>
      </c>
      <c r="W67" s="256" t="str">
        <f ca="1">IF(D67="","",IF(T67="","",IF(OR(J67="巻足し",J67="巻返しリード付け"),"",IF(J67="巻返し",VLOOKUP(F67&amp;K67&amp;M67,製品マスタ!$M$5:$AD$4999,18,FALSE),IF(OR(J67="リード付け",J67="巻返しリード付け"),"原反コア",IF(J67="スリット",VLOOKUP(F67&amp;K67&amp;R67,製品マスタ!$N$5:$AD$4999,17,FALSE),""))))))</f>
        <v/>
      </c>
      <c r="X67" s="256" t="str">
        <f ca="1">IF(D67="","",IF(T67="","",IF(J67="巻足し","",IF(J67="巻返し",VLOOKUP(F67&amp;K67&amp;M67,製品マスタ!$M$5:$AE$4999,19,FALSE),IF(OR(J67="リード付け",J67="巻返しリード付け"),"",IF(J67="スリット",VLOOKUP(F67&amp;K67&amp;R67,製品マスタ!$N$5:$AE$4999,18,FALSE),""))))))</f>
        <v/>
      </c>
      <c r="Y67" s="256">
        <f ca="1">IF(D67="","",IF(T67="","",VLOOKUP(D67,契約台帳!$A$3:$Q$4986,17,FALSE)))</f>
        <v>2</v>
      </c>
      <c r="Z67" s="256" t="str">
        <f ca="1">IF(D67="","",IF(T67="","",VLOOKUP(D67,契約台帳!$A$3:$E$4986,5,FALSE)))</f>
        <v>新タック化成㈱</v>
      </c>
      <c r="AA67" s="54"/>
      <c r="AB67" s="200">
        <f>IFERROR((VLOOKUP(F67&amp;K67&amp;M67,製品マスタ!$M$5:$AM$4999,27,FALSE)),"")</f>
        <v>0</v>
      </c>
      <c r="AC67" s="31"/>
      <c r="AD67" s="184"/>
      <c r="AE67" s="51"/>
      <c r="AF67" s="52"/>
      <c r="AG67" s="41"/>
      <c r="AH67" s="45"/>
      <c r="AI67" s="28"/>
      <c r="AJ67" s="28"/>
      <c r="AK67" s="28"/>
      <c r="AL67" s="28"/>
      <c r="AM67" s="12"/>
      <c r="AN67" s="12"/>
      <c r="AO67" s="12"/>
      <c r="AP67" s="12"/>
      <c r="AQ67" s="12"/>
      <c r="AR67" s="13"/>
      <c r="AS67" s="14"/>
    </row>
    <row r="68" spans="1:45" s="16" customFormat="1" ht="30.95" hidden="1" customHeight="1" x14ac:dyDescent="0.2">
      <c r="A68" s="35"/>
      <c r="B68" s="36"/>
      <c r="C68" s="43"/>
      <c r="D68" s="29"/>
      <c r="E68" s="29"/>
      <c r="F68" s="255" t="str">
        <f>IF(D68="","",VLOOKUP(D68,契約台帳!$A$3:$K$4986,6,FALSE)&amp;VLOOKUP(D68,契約台帳!$A$3:$K$4986,7,FALSE)&amp;VLOOKUP(D68,契約台帳!$A$3:$K$4986,8,FALSE)&amp;VLOOKUP(D68,契約台帳!$A$3:$K$4986,9,FALSE)&amp;VLOOKUP(D68,契約台帳!$A$3:$K$4986,11,FALSE))</f>
        <v/>
      </c>
      <c r="G68" s="256" t="str">
        <f>IF(D68="","",VLOOKUP(F68,製品マスタ!$G$5:$H$4999,2,FALSE))</f>
        <v/>
      </c>
      <c r="H68" s="256" t="str">
        <f>IF(D68="","",VLOOKUP(F68,製品マスタ!$G$5:$K$4999,5,FALSE))</f>
        <v/>
      </c>
      <c r="I68" s="200" t="str">
        <f>IF(D68="","",VLOOKUP(F68,製品マスタ!$G$5:$L$4999,6,FALSE))</f>
        <v/>
      </c>
      <c r="J68" s="203"/>
      <c r="K68" s="200" t="str">
        <f>IF(D68="","",VLOOKUP(D68,契約台帳!$A$3:$L$4986,12,FALSE))</f>
        <v/>
      </c>
      <c r="L68" s="200" t="str">
        <f>IF(D68="","",INDEX(製品マスタ!$Q$5:$Q$4999,MATCH('S4'!F68&amp;'S4'!K68,製品マスタ!$AO$5:$AO$4999,0)))</f>
        <v/>
      </c>
      <c r="M68" s="37"/>
      <c r="N68" s="37"/>
      <c r="O68" s="153"/>
      <c r="P68" s="45"/>
      <c r="Q68" s="54"/>
      <c r="R68" s="257" t="str">
        <f ca="1">IF(D68="","",IF(OFFSET(D68,-1,0)&lt;&gt;"","",IF(OR(J68="リード付け",J68="巻足し",J68="巻返しリード付け"),M68,VLOOKUP(D68,契約台帳!$A$3:$N$4986,14,FALSE))))</f>
        <v/>
      </c>
      <c r="S68" s="258" t="str">
        <f ca="1">IF(D68="","",IF(OFFSET(D68,-1,0)&lt;&gt;"","",IF(OR(J68="リード付け",J68="巻足し",J68="巻返しリード付け"),M68,VLOOKUP(D68,契約台帳!$A$3:$O$4986,15,FALSE))))</f>
        <v/>
      </c>
      <c r="T68" s="258" t="str">
        <f ca="1">IF(D68="","",IF(J68="リード付け",N68,IF(J68="巻返しリード付け",N68,IF(J68="巻足し",N68*P68+OFFSET(N68,1,0)*OFFSET(P68,1,0),VLOOKUP(D68,契約台帳!$A$3:$P$4986,16,FALSE)))))</f>
        <v/>
      </c>
      <c r="U68" s="38"/>
      <c r="V68" s="259" t="str">
        <f ca="1">IF(D68="","",IF(OFFSET(D68,-2,0)=D68,"",VLOOKUP(D68,契約台帳!$A$3:$R$4986,18,FALSE)))</f>
        <v/>
      </c>
      <c r="W68" s="256" t="str">
        <f>IF(D68="","",IF(T68="","",IF(OR(J68="巻足し",J68="巻返しリード付け"),"",IF(J68="巻返し",VLOOKUP(F68&amp;K68&amp;M68,製品マスタ!$M$5:$AD$4999,18,FALSE),IF(OR(J68="リード付け",J68="巻返しリード付け"),"原反コア",IF(J68="スリット",VLOOKUP(F68&amp;K68&amp;R68,製品マスタ!$N$5:$AD$4999,17,FALSE),""))))))</f>
        <v/>
      </c>
      <c r="X68" s="256" t="str">
        <f>IF(D68="","",IF(T68="","",IF(J68="巻足し","",IF(J68="巻返し",VLOOKUP(F68&amp;K68&amp;M68,製品マスタ!$M$5:$AE$4999,19,FALSE),IF(OR(J68="リード付け",J68="巻返しリード付け"),"",IF(J68="スリット",VLOOKUP(F68&amp;K68&amp;R68,製品マスタ!$N$5:$AE$4999,18,FALSE),""))))))</f>
        <v/>
      </c>
      <c r="Y68" s="256" t="str">
        <f>IF(D68="","",IF(T68="","",VLOOKUP(D68,契約台帳!$A$3:$Q$4986,17,FALSE)))</f>
        <v/>
      </c>
      <c r="Z68" s="256" t="str">
        <f>IF(D68="","",IF(T68="","",VLOOKUP(D68,契約台帳!$A$3:$E$4986,5,FALSE)))</f>
        <v/>
      </c>
      <c r="AA68" s="54"/>
      <c r="AB68" s="200" t="str">
        <f>IFERROR((VLOOKUP(F68&amp;K68&amp;M68,製品マスタ!$M$5:$AM$4999,27,FALSE)),"")</f>
        <v/>
      </c>
      <c r="AC68" s="31"/>
      <c r="AD68" s="184"/>
      <c r="AE68" s="51"/>
      <c r="AF68" s="52"/>
      <c r="AG68" s="41"/>
      <c r="AH68" s="45"/>
      <c r="AI68" s="28"/>
      <c r="AJ68" s="28"/>
      <c r="AK68" s="28"/>
      <c r="AL68" s="28"/>
      <c r="AM68" s="12"/>
      <c r="AN68" s="12"/>
      <c r="AO68" s="12"/>
      <c r="AP68" s="12"/>
      <c r="AQ68" s="12"/>
      <c r="AR68" s="13"/>
      <c r="AS68" s="14"/>
    </row>
    <row r="69" spans="1:45" s="16" customFormat="1" ht="30.95" hidden="1" customHeight="1" x14ac:dyDescent="0.2">
      <c r="A69" s="35" t="s">
        <v>765</v>
      </c>
      <c r="B69" s="36" t="s">
        <v>747</v>
      </c>
      <c r="C69" s="43"/>
      <c r="D69" s="29">
        <v>3691106</v>
      </c>
      <c r="E69" s="29">
        <v>4161758</v>
      </c>
      <c r="F69" s="255" t="str">
        <f>IF(D69="","",VLOOKUP(D69,契約台帳!$A$3:$K$4986,6,FALSE)&amp;VLOOKUP(D69,契約台帳!$A$3:$K$4986,7,FALSE)&amp;VLOOKUP(D69,契約台帳!$A$3:$K$4986,8,FALSE)&amp;VLOOKUP(D69,契約台帳!$A$3:$K$4986,9,FALSE)&amp;VLOOKUP(D69,契約台帳!$A$3:$K$4986,11,FALSE))</f>
        <v>3SNMCLBMSNEYK</v>
      </c>
      <c r="G69" s="256" t="str">
        <f>IF(D69="","",VLOOKUP(F69,製品マスタ!$G$5:$H$4999,2,FALSE))</f>
        <v>S</v>
      </c>
      <c r="H69" s="256" t="str">
        <f>IF(D69="","",VLOOKUP(F69,製品マスタ!$G$5:$K$4999,5,FALSE))</f>
        <v>MSNEYK</v>
      </c>
      <c r="I69" s="200" t="str">
        <f>IF(D69="","",VLOOKUP(F69,製品マスタ!$G$5:$L$4999,6,FALSE))</f>
        <v>ＭＳＮ　ＥＹＫ</v>
      </c>
      <c r="J69" s="203" t="s">
        <v>736</v>
      </c>
      <c r="K69" s="200">
        <f>IF(D69="","",VLOOKUP(D69,契約台帳!$A$3:$L$4986,12,FALSE))</f>
        <v>50</v>
      </c>
      <c r="L69" s="200" t="str">
        <f>IF(D69="","",INDEX(製品マスタ!$Q$5:$Q$4999,MATCH('S4'!F69&amp;'S4'!K69,製品マスタ!$AO$5:$AO$4999,0)))</f>
        <v>N-MAT</v>
      </c>
      <c r="M69" s="37">
        <v>1120</v>
      </c>
      <c r="N69" s="37">
        <v>4000</v>
      </c>
      <c r="O69" s="153">
        <v>6</v>
      </c>
      <c r="P69" s="45">
        <v>3</v>
      </c>
      <c r="Q69" s="206">
        <v>44574</v>
      </c>
      <c r="R69" s="257">
        <f ca="1">IF(D69="","",IF(OFFSET(D69,-1,0)&lt;&gt;"","",IF(OR(J69="リード付け",J69="巻足し",J69="巻返しリード付け"),M69,VLOOKUP(D69,契約台帳!$A$3:$N$4986,14,FALSE))))</f>
        <v>1120</v>
      </c>
      <c r="S69" s="258">
        <f ca="1">IF(D69="","",IF(OFFSET(D69,-1,0)&lt;&gt;"","",IF(OR(J69="リード付け",J69="巻足し",J69="巻返しリード付け"),M69,VLOOKUP(D69,契約台帳!$A$3:$O$4986,15,FALSE))))</f>
        <v>1120</v>
      </c>
      <c r="T69" s="258">
        <f ca="1">IF(D69="","",IF(J69="リード付け",N69,IF(J69="巻返しリード付け",N69,IF(J69="巻足し",N69*P69+OFFSET(N69,1,0)*OFFSET(P69,1,0),VLOOKUP(D69,契約台帳!$A$3:$P$4986,16,FALSE)))))</f>
        <v>12000</v>
      </c>
      <c r="U69" s="38">
        <v>2</v>
      </c>
      <c r="V69" s="259">
        <f ca="1">IF(D69="","",IF(OFFSET(D69,-2,0)=D69,"",VLOOKUP(D69,契約台帳!$A$3:$R$4986,18,FALSE)))</f>
        <v>8</v>
      </c>
      <c r="W69" s="256" t="str">
        <f ca="1">IF(D69="","",IF(T69="","",IF(OR(J69="巻足し",J69="巻返しリード付け"),"",IF(J69="巻返し",VLOOKUP(F69&amp;K69&amp;M69,製品マスタ!$M$5:$AD$4999,18,FALSE),IF(OR(J69="リード付け",J69="巻返しリード付け"),"原反コア",IF(J69="スリット",VLOOKUP(F69&amp;K69&amp;R69,製品マスタ!$N$5:$AD$4999,17,FALSE),""))))))</f>
        <v/>
      </c>
      <c r="X69" s="256" t="str">
        <f ca="1">IF(D69="","",IF(T69="","",IF(J69="巻足し","",IF(J69="巻返し",VLOOKUP(F69&amp;K69&amp;M69,製品マスタ!$M$5:$AE$4999,19,FALSE),IF(OR(J69="リード付け",J69="巻返しリード付け"),"",IF(J69="スリット",VLOOKUP(F69&amp;K69&amp;R69,製品マスタ!$N$5:$AE$4999,18,FALSE),""))))))</f>
        <v/>
      </c>
      <c r="Y69" s="256">
        <f ca="1">IF(D69="","",IF(T69="","",VLOOKUP(D69,契約台帳!$A$3:$Q$4986,17,FALSE)))</f>
        <v>2</v>
      </c>
      <c r="Z69" s="256" t="str">
        <f ca="1">IF(D69="","",IF(T69="","",VLOOKUP(D69,契約台帳!$A$3:$E$4986,5,FALSE)))</f>
        <v>新タック化成㈱</v>
      </c>
      <c r="AA69" s="54"/>
      <c r="AB69" s="200" t="str">
        <f>IFERROR((VLOOKUP(F69&amp;K69&amp;M69,製品マスタ!$M$5:$AM$4999,27,FALSE)),"")</f>
        <v>原反ケース再利用</v>
      </c>
      <c r="AC69" s="31"/>
      <c r="AD69" s="184"/>
      <c r="AE69" s="51"/>
      <c r="AF69" s="52"/>
      <c r="AG69" s="41"/>
      <c r="AH69" s="45"/>
      <c r="AI69" s="28"/>
      <c r="AJ69" s="28"/>
      <c r="AK69" s="28"/>
      <c r="AL69" s="28"/>
      <c r="AM69" s="12"/>
      <c r="AN69" s="12"/>
      <c r="AO69" s="12"/>
      <c r="AP69" s="12"/>
      <c r="AQ69" s="12"/>
      <c r="AR69" s="13"/>
      <c r="AS69" s="14"/>
    </row>
    <row r="70" spans="1:45" s="16" customFormat="1" ht="30.95" hidden="1" customHeight="1" x14ac:dyDescent="0.2">
      <c r="A70" s="35"/>
      <c r="B70" s="36"/>
      <c r="C70" s="43"/>
      <c r="D70" s="29"/>
      <c r="E70" s="29"/>
      <c r="F70" s="255" t="str">
        <f>IF(D70="","",VLOOKUP(D70,契約台帳!$A$3:$K$4986,6,FALSE)&amp;VLOOKUP(D70,契約台帳!$A$3:$K$4986,7,FALSE)&amp;VLOOKUP(D70,契約台帳!$A$3:$K$4986,8,FALSE)&amp;VLOOKUP(D70,契約台帳!$A$3:$K$4986,9,FALSE)&amp;VLOOKUP(D70,契約台帳!$A$3:$K$4986,11,FALSE))</f>
        <v/>
      </c>
      <c r="G70" s="256" t="str">
        <f>IF(D70="","",VLOOKUP(F70,製品マスタ!$G$5:$H$4999,2,FALSE))</f>
        <v/>
      </c>
      <c r="H70" s="256" t="str">
        <f>IF(D70="","",VLOOKUP(F70,製品マスタ!$G$5:$K$4999,5,FALSE))</f>
        <v/>
      </c>
      <c r="I70" s="200" t="str">
        <f>IF(D70="","",VLOOKUP(F70,製品マスタ!$G$5:$L$4999,6,FALSE))</f>
        <v/>
      </c>
      <c r="J70" s="203"/>
      <c r="K70" s="200" t="str">
        <f>IF(D70="","",VLOOKUP(D70,契約台帳!$A$3:$L$4986,12,FALSE))</f>
        <v/>
      </c>
      <c r="L70" s="200" t="str">
        <f>IF(D70="","",INDEX(製品マスタ!$Q$5:$Q$4999,MATCH('S4'!F70&amp;'S4'!K70,製品マスタ!$AO$5:$AO$4999,0)))</f>
        <v/>
      </c>
      <c r="M70" s="37"/>
      <c r="N70" s="37"/>
      <c r="O70" s="153"/>
      <c r="P70" s="45"/>
      <c r="Q70" s="54"/>
      <c r="R70" s="257" t="str">
        <f ca="1">IF(D70="","",IF(OFFSET(D70,-1,0)&lt;&gt;"","",IF(OR(J70="リード付け",J70="巻足し",J70="巻返しリード付け"),M70,VLOOKUP(D70,契約台帳!$A$3:$N$4986,14,FALSE))))</f>
        <v/>
      </c>
      <c r="S70" s="258" t="str">
        <f ca="1">IF(D70="","",IF(OFFSET(D70,-1,0)&lt;&gt;"","",IF(OR(J70="リード付け",J70="巻足し",J70="巻返しリード付け"),M70,VLOOKUP(D70,契約台帳!$A$3:$O$4986,15,FALSE))))</f>
        <v/>
      </c>
      <c r="T70" s="258" t="str">
        <f ca="1">IF(D70="","",IF(J70="リード付け",N70,IF(J70="巻返しリード付け",N70,IF(J70="巻足し",N70*P70+OFFSET(N70,1,0)*OFFSET(P70,1,0),VLOOKUP(D70,契約台帳!$A$3:$P$4986,16,FALSE)))))</f>
        <v/>
      </c>
      <c r="U70" s="38"/>
      <c r="V70" s="259" t="str">
        <f ca="1">IF(D70="","",IF(OFFSET(D70,-2,0)=D70,"",VLOOKUP(D70,契約台帳!$A$3:$R$4986,18,FALSE)))</f>
        <v/>
      </c>
      <c r="W70" s="256" t="str">
        <f>IF(D70="","",IF(T70="","",IF(OR(J70="巻足し",J70="巻返しリード付け"),"",IF(J70="巻返し",VLOOKUP(F70&amp;K70&amp;M70,製品マスタ!$M$5:$AD$4999,18,FALSE),IF(OR(J70="リード付け",J70="巻返しリード付け"),"原反コア",IF(J70="スリット",VLOOKUP(F70&amp;K70&amp;R70,製品マスタ!$N$5:$AD$4999,17,FALSE),""))))))</f>
        <v/>
      </c>
      <c r="X70" s="256" t="str">
        <f>IF(D70="","",IF(T70="","",IF(J70="巻足し","",IF(J70="巻返し",VLOOKUP(F70&amp;K70&amp;M70,製品マスタ!$M$5:$AE$4999,19,FALSE),IF(OR(J70="リード付け",J70="巻返しリード付け"),"",IF(J70="スリット",VLOOKUP(F70&amp;K70&amp;R70,製品マスタ!$N$5:$AE$4999,18,FALSE),""))))))</f>
        <v/>
      </c>
      <c r="Y70" s="256" t="str">
        <f>IF(D70="","",IF(T70="","",VLOOKUP(D70,契約台帳!$A$3:$Q$4986,17,FALSE)))</f>
        <v/>
      </c>
      <c r="Z70" s="256" t="str">
        <f>IF(D70="","",IF(T70="","",VLOOKUP(D70,契約台帳!$A$3:$E$4986,5,FALSE)))</f>
        <v/>
      </c>
      <c r="AA70" s="54"/>
      <c r="AB70" s="200" t="str">
        <f>IFERROR((VLOOKUP(F70&amp;K70&amp;M70,製品マスタ!$M$5:$AM$4999,27,FALSE)),"")</f>
        <v/>
      </c>
      <c r="AC70" s="31"/>
      <c r="AD70" s="184"/>
      <c r="AE70" s="51"/>
      <c r="AF70" s="52"/>
      <c r="AG70" s="41"/>
      <c r="AH70" s="45"/>
      <c r="AI70" s="28"/>
      <c r="AJ70" s="28"/>
      <c r="AK70" s="28"/>
      <c r="AL70" s="28"/>
      <c r="AM70" s="12"/>
      <c r="AN70" s="12"/>
      <c r="AO70" s="12"/>
      <c r="AP70" s="12"/>
      <c r="AQ70" s="12"/>
      <c r="AR70" s="13"/>
      <c r="AS70" s="14"/>
    </row>
    <row r="71" spans="1:45" s="16" customFormat="1" ht="30.95" hidden="1" customHeight="1" x14ac:dyDescent="0.2">
      <c r="A71" s="35"/>
      <c r="B71" s="36"/>
      <c r="C71" s="43"/>
      <c r="D71" s="29">
        <v>3691106</v>
      </c>
      <c r="E71" s="29">
        <v>4161758</v>
      </c>
      <c r="F71" s="255" t="str">
        <f>IF(D71="","",VLOOKUP(D71,契約台帳!$A$3:$K$4986,6,FALSE)&amp;VLOOKUP(D71,契約台帳!$A$3:$K$4986,7,FALSE)&amp;VLOOKUP(D71,契約台帳!$A$3:$K$4986,8,FALSE)&amp;VLOOKUP(D71,契約台帳!$A$3:$K$4986,9,FALSE)&amp;VLOOKUP(D71,契約台帳!$A$3:$K$4986,11,FALSE))</f>
        <v>3SNMCLBMSNEYK</v>
      </c>
      <c r="G71" s="256" t="str">
        <f>IF(D71="","",VLOOKUP(F71,製品マスタ!$G$5:$H$4999,2,FALSE))</f>
        <v>S</v>
      </c>
      <c r="H71" s="256" t="str">
        <f>IF(D71="","",VLOOKUP(F71,製品マスタ!$G$5:$K$4999,5,FALSE))</f>
        <v>MSNEYK</v>
      </c>
      <c r="I71" s="200" t="str">
        <f>IF(D71="","",VLOOKUP(F71,製品マスタ!$G$5:$L$4999,6,FALSE))</f>
        <v>ＭＳＮ　ＥＹＫ</v>
      </c>
      <c r="J71" s="203" t="s">
        <v>736</v>
      </c>
      <c r="K71" s="200">
        <f>IF(D71="","",VLOOKUP(D71,契約台帳!$A$3:$L$4986,12,FALSE))</f>
        <v>50</v>
      </c>
      <c r="L71" s="200" t="str">
        <f>IF(D71="","",INDEX(製品マスタ!$Q$5:$Q$4999,MATCH('S4'!F71&amp;'S4'!K71,製品マスタ!$AO$5:$AO$4999,0)))</f>
        <v>N-MAT</v>
      </c>
      <c r="M71" s="37">
        <v>1120</v>
      </c>
      <c r="N71" s="37">
        <v>4000</v>
      </c>
      <c r="O71" s="153">
        <v>2</v>
      </c>
      <c r="P71" s="45">
        <v>2</v>
      </c>
      <c r="Q71" s="206">
        <v>44574</v>
      </c>
      <c r="R71" s="257">
        <f ca="1">IF(D71="","",IF(OFFSET(D71,-1,0)&lt;&gt;"","",IF(OR(J71="リード付け",J71="巻足し",J71="巻返しリード付け"),M71,VLOOKUP(D71,契約台帳!$A$3:$N$4986,14,FALSE))))</f>
        <v>1120</v>
      </c>
      <c r="S71" s="258">
        <f ca="1">IF(D71="","",IF(OFFSET(D71,-1,0)&lt;&gt;"","",IF(OR(J71="リード付け",J71="巻足し",J71="巻返しリード付け"),M71,VLOOKUP(D71,契約台帳!$A$3:$O$4986,15,FALSE))))</f>
        <v>1120</v>
      </c>
      <c r="T71" s="258">
        <f ca="1">IF(D71="","",IF(J71="リード付け",N71,IF(J71="巻返しリード付け",N71,IF(J71="巻足し",N71*P71+OFFSET(N71,1,0)*OFFSET(P71,1,0),VLOOKUP(D71,契約台帳!$A$3:$P$4986,16,FALSE)))))</f>
        <v>8000</v>
      </c>
      <c r="U71" s="38">
        <v>1</v>
      </c>
      <c r="V71" s="259" t="str">
        <f ca="1">IF(D71="","",IF(OFFSET(D71,-2,0)=D71,"",VLOOKUP(D71,契約台帳!$A$3:$R$4986,18,FALSE)))</f>
        <v/>
      </c>
      <c r="W71" s="256" t="str">
        <f ca="1">IF(D71="","",IF(T71="","",IF(OR(J71="巻足し",J71="巻返しリード付け"),"",IF(J71="巻返し",VLOOKUP(F71&amp;K71&amp;M71,製品マスタ!$M$5:$AD$4999,18,FALSE),IF(OR(J71="リード付け",J71="巻返しリード付け"),"原反コア",IF(J71="スリット",VLOOKUP(F71&amp;K71&amp;R71,製品マスタ!$N$5:$AD$4999,17,FALSE),""))))))</f>
        <v/>
      </c>
      <c r="X71" s="256" t="str">
        <f ca="1">IF(D71="","",IF(T71="","",IF(J71="巻足し","",IF(J71="巻返し",VLOOKUP(F71&amp;K71&amp;M71,製品マスタ!$M$5:$AE$4999,19,FALSE),IF(OR(J71="リード付け",J71="巻返しリード付け"),"",IF(J71="スリット",VLOOKUP(F71&amp;K71&amp;R71,製品マスタ!$N$5:$AE$4999,18,FALSE),""))))))</f>
        <v/>
      </c>
      <c r="Y71" s="256">
        <f ca="1">IF(D71="","",IF(T71="","",VLOOKUP(D71,契約台帳!$A$3:$Q$4986,17,FALSE)))</f>
        <v>2</v>
      </c>
      <c r="Z71" s="256" t="str">
        <f ca="1">IF(D71="","",IF(T71="","",VLOOKUP(D71,契約台帳!$A$3:$E$4986,5,FALSE)))</f>
        <v>新タック化成㈱</v>
      </c>
      <c r="AA71" s="54"/>
      <c r="AB71" s="200" t="str">
        <f>IFERROR((VLOOKUP(F71&amp;K71&amp;M71,製品マスタ!$M$5:$AM$4999,27,FALSE)),"")</f>
        <v>原反ケース再利用</v>
      </c>
      <c r="AC71" s="31"/>
      <c r="AD71" s="184"/>
      <c r="AE71" s="51"/>
      <c r="AF71" s="52"/>
      <c r="AG71" s="41"/>
      <c r="AH71" s="45"/>
      <c r="AI71" s="28"/>
      <c r="AJ71" s="28"/>
      <c r="AK71" s="28"/>
      <c r="AL71" s="28"/>
      <c r="AM71" s="12"/>
      <c r="AN71" s="12"/>
      <c r="AO71" s="12"/>
      <c r="AP71" s="12"/>
      <c r="AQ71" s="12"/>
      <c r="AR71" s="13"/>
      <c r="AS71" s="14"/>
    </row>
    <row r="72" spans="1:45" s="16" customFormat="1" ht="30.95" hidden="1" customHeight="1" x14ac:dyDescent="0.2">
      <c r="A72" s="35"/>
      <c r="B72" s="36"/>
      <c r="C72" s="43"/>
      <c r="D72" s="29"/>
      <c r="E72" s="29"/>
      <c r="F72" s="255" t="str">
        <f>IF(D72="","",VLOOKUP(D72,契約台帳!$A$3:$K$4986,6,FALSE)&amp;VLOOKUP(D72,契約台帳!$A$3:$K$4986,7,FALSE)&amp;VLOOKUP(D72,契約台帳!$A$3:$K$4986,8,FALSE)&amp;VLOOKUP(D72,契約台帳!$A$3:$K$4986,9,FALSE)&amp;VLOOKUP(D72,契約台帳!$A$3:$K$4986,11,FALSE))</f>
        <v/>
      </c>
      <c r="G72" s="256" t="str">
        <f>IF(D72="","",VLOOKUP(F72,製品マスタ!$G$5:$H$4999,2,FALSE))</f>
        <v/>
      </c>
      <c r="H72" s="256" t="str">
        <f>IF(D72="","",VLOOKUP(F72,製品マスタ!$G$5:$K$4999,5,FALSE))</f>
        <v/>
      </c>
      <c r="I72" s="200" t="str">
        <f>IF(D72="","",VLOOKUP(F72,製品マスタ!$G$5:$L$4999,6,FALSE))</f>
        <v/>
      </c>
      <c r="J72" s="203"/>
      <c r="K72" s="200" t="str">
        <f>IF(D72="","",VLOOKUP(D72,契約台帳!$A$3:$L$4986,12,FALSE))</f>
        <v/>
      </c>
      <c r="L72" s="200" t="str">
        <f>IF(D72="","",INDEX(製品マスタ!$Q$5:$Q$4999,MATCH('S4'!F72&amp;'S4'!K72,製品マスタ!$AO$5:$AO$4999,0)))</f>
        <v/>
      </c>
      <c r="M72" s="37"/>
      <c r="N72" s="37"/>
      <c r="O72" s="153"/>
      <c r="P72" s="45"/>
      <c r="Q72" s="54"/>
      <c r="R72" s="257" t="str">
        <f ca="1">IF(D72="","",IF(OFFSET(D72,-1,0)&lt;&gt;"","",IF(OR(J72="リード付け",J72="巻足し",J72="巻返しリード付け"),M72,VLOOKUP(D72,契約台帳!$A$3:$N$4986,14,FALSE))))</f>
        <v/>
      </c>
      <c r="S72" s="258" t="str">
        <f ca="1">IF(D72="","",IF(OFFSET(D72,-1,0)&lt;&gt;"","",IF(OR(J72="リード付け",J72="巻足し",J72="巻返しリード付け"),M72,VLOOKUP(D72,契約台帳!$A$3:$O$4986,15,FALSE))))</f>
        <v/>
      </c>
      <c r="T72" s="258" t="str">
        <f ca="1">IF(D72="","",IF(J72="リード付け",N72,IF(J72="巻返しリード付け",N72,IF(J72="巻足し",N72*P72+OFFSET(N72,1,0)*OFFSET(P72,1,0),VLOOKUP(D72,契約台帳!$A$3:$P$4986,16,FALSE)))))</f>
        <v/>
      </c>
      <c r="U72" s="38"/>
      <c r="V72" s="259" t="str">
        <f ca="1">IF(D72="","",IF(OFFSET(D72,-2,0)=D72,"",VLOOKUP(D72,契約台帳!$A$3:$R$4986,18,FALSE)))</f>
        <v/>
      </c>
      <c r="W72" s="256" t="str">
        <f>IF(D72="","",IF(T72="","",IF(OR(J72="巻足し",J72="巻返しリード付け"),"",IF(J72="巻返し",VLOOKUP(F72&amp;K72&amp;M72,製品マスタ!$M$5:$AD$4999,18,FALSE),IF(OR(J72="リード付け",J72="巻返しリード付け"),"原反コア",IF(J72="スリット",VLOOKUP(F72&amp;K72&amp;R72,製品マスタ!$N$5:$AD$4999,17,FALSE),""))))))</f>
        <v/>
      </c>
      <c r="X72" s="256" t="str">
        <f>IF(D72="","",IF(T72="","",IF(J72="巻足し","",IF(J72="巻返し",VLOOKUP(F72&amp;K72&amp;M72,製品マスタ!$M$5:$AE$4999,19,FALSE),IF(OR(J72="リード付け",J72="巻返しリード付け"),"",IF(J72="スリット",VLOOKUP(F72&amp;K72&amp;R72,製品マスタ!$N$5:$AE$4999,18,FALSE),""))))))</f>
        <v/>
      </c>
      <c r="Y72" s="256" t="str">
        <f>IF(D72="","",IF(T72="","",VLOOKUP(D72,契約台帳!$A$3:$Q$4986,17,FALSE)))</f>
        <v/>
      </c>
      <c r="Z72" s="256" t="str">
        <f>IF(D72="","",IF(T72="","",VLOOKUP(D72,契約台帳!$A$3:$E$4986,5,FALSE)))</f>
        <v/>
      </c>
      <c r="AA72" s="54"/>
      <c r="AB72" s="200" t="str">
        <f>IFERROR((VLOOKUP(F72&amp;K72&amp;M72,製品マスタ!$M$5:$AM$4999,27,FALSE)),"")</f>
        <v/>
      </c>
      <c r="AC72" s="31"/>
      <c r="AD72" s="184"/>
      <c r="AE72" s="51"/>
      <c r="AF72" s="52"/>
      <c r="AG72" s="41"/>
      <c r="AH72" s="45"/>
      <c r="AI72" s="28"/>
      <c r="AJ72" s="28"/>
      <c r="AK72" s="28"/>
      <c r="AL72" s="28"/>
      <c r="AM72" s="12"/>
      <c r="AN72" s="12"/>
      <c r="AO72" s="12"/>
      <c r="AP72" s="12"/>
      <c r="AQ72" s="12"/>
      <c r="AR72" s="13"/>
      <c r="AS72" s="14"/>
    </row>
    <row r="73" spans="1:45" s="16" customFormat="1" ht="30.95" hidden="1" customHeight="1" x14ac:dyDescent="0.2">
      <c r="A73" s="35"/>
      <c r="B73" s="36"/>
      <c r="C73" s="43"/>
      <c r="D73" s="29">
        <v>3694126</v>
      </c>
      <c r="E73" s="29">
        <v>4161780</v>
      </c>
      <c r="F73" s="255" t="str">
        <f>IF(D73="","",VLOOKUP(D73,契約台帳!$A$3:$K$4986,6,FALSE)&amp;VLOOKUP(D73,契約台帳!$A$3:$K$4986,7,FALSE)&amp;VLOOKUP(D73,契約台帳!$A$3:$K$4986,8,FALSE)&amp;VLOOKUP(D73,契約台帳!$A$3:$K$4986,9,FALSE)&amp;VLOOKUP(D73,契約台帳!$A$3:$K$4986,11,FALSE))</f>
        <v>3SYMLBMSSMBF</v>
      </c>
      <c r="G73" s="256" t="str">
        <f>IF(D73="","",VLOOKUP(F73,製品マスタ!$G$5:$H$4999,2,FALSE))</f>
        <v>S</v>
      </c>
      <c r="H73" s="256" t="str">
        <f>IF(D73="","",VLOOKUP(F73,製品マスタ!$G$5:$K$4999,5,FALSE))</f>
        <v>MSSMBF</v>
      </c>
      <c r="I73" s="200" t="str">
        <f>IF(D73="","",VLOOKUP(F73,製品マスタ!$G$5:$L$4999,6,FALSE))</f>
        <v>ＭＥＴＡＬＵＭＹ　ＳＩＬＶＥＲ　Ｓ－ＭＡＴＴＥ　Ｓ２８ＭＭ　Ｂ</v>
      </c>
      <c r="J73" s="203" t="s">
        <v>736</v>
      </c>
      <c r="K73" s="200">
        <f>IF(D73="","",VLOOKUP(D73,契約台帳!$A$3:$L$4986,12,FALSE))</f>
        <v>50</v>
      </c>
      <c r="L73" s="200" t="str">
        <f>IF(D73="","",INDEX(製品マスタ!$Q$5:$Q$4999,MATCH('S4'!F73&amp;'S4'!K73,製品マスタ!$AO$5:$AO$4999,0)))</f>
        <v>LI-MAT</v>
      </c>
      <c r="M73" s="37">
        <v>1120</v>
      </c>
      <c r="N73" s="37">
        <v>4000</v>
      </c>
      <c r="O73" s="153">
        <v>4</v>
      </c>
      <c r="P73" s="45">
        <v>2</v>
      </c>
      <c r="Q73" s="206">
        <v>44573</v>
      </c>
      <c r="R73" s="257">
        <f ca="1">IF(D73="","",IF(OFFSET(D73,-1,0)&lt;&gt;"","",IF(OR(J73="リード付け",J73="巻足し",J73="巻返しリード付け"),M73,VLOOKUP(D73,契約台帳!$A$3:$N$4986,14,FALSE))))</f>
        <v>1120</v>
      </c>
      <c r="S73" s="258">
        <f ca="1">IF(D73="","",IF(OFFSET(D73,-1,0)&lt;&gt;"","",IF(OR(J73="リード付け",J73="巻足し",J73="巻返しリード付け"),M73,VLOOKUP(D73,契約台帳!$A$3:$O$4986,15,FALSE))))</f>
        <v>1120</v>
      </c>
      <c r="T73" s="258">
        <f ca="1">IF(D73="","",IF(J73="リード付け",N73,IF(J73="巻返しリード付け",N73,IF(J73="巻足し",N73*P73+OFFSET(N73,1,0)*OFFSET(P73,1,0),VLOOKUP(D73,契約台帳!$A$3:$P$4986,16,FALSE)))))</f>
        <v>8000</v>
      </c>
      <c r="U73" s="38">
        <v>2</v>
      </c>
      <c r="V73" s="259">
        <f ca="1">IF(D73="","",IF(OFFSET(D73,-2,0)=D73,"",VLOOKUP(D73,契約台帳!$A$3:$R$4986,18,FALSE)))</f>
        <v>4</v>
      </c>
      <c r="W73" s="256" t="str">
        <f ca="1">IF(D73="","",IF(T73="","",IF(OR(J73="巻足し",J73="巻返しリード付け"),"",IF(J73="巻返し",VLOOKUP(F73&amp;K73&amp;M73,製品マスタ!$M$5:$AD$4999,18,FALSE),IF(OR(J73="リード付け",J73="巻返しリード付け"),"原反コア",IF(J73="スリット",VLOOKUP(F73&amp;K73&amp;R73,製品マスタ!$N$5:$AD$4999,17,FALSE),""))))))</f>
        <v/>
      </c>
      <c r="X73" s="256" t="str">
        <f ca="1">IF(D73="","",IF(T73="","",IF(J73="巻足し","",IF(J73="巻返し",VLOOKUP(F73&amp;K73&amp;M73,製品マスタ!$M$5:$AE$4999,19,FALSE),IF(OR(J73="リード付け",J73="巻返しリード付け"),"",IF(J73="スリット",VLOOKUP(F73&amp;K73&amp;R73,製品マスタ!$N$5:$AE$4999,18,FALSE),""))))))</f>
        <v/>
      </c>
      <c r="Y73" s="256">
        <f ca="1">IF(D73="","",IF(T73="","",VLOOKUP(D73,契約台帳!$A$3:$Q$4986,17,FALSE)))</f>
        <v>2</v>
      </c>
      <c r="Z73" s="256" t="str">
        <f ca="1">IF(D73="","",IF(T73="","",VLOOKUP(D73,契約台帳!$A$3:$E$4986,5,FALSE)))</f>
        <v>リンテック㈱</v>
      </c>
      <c r="AA73" s="54"/>
      <c r="AB73" s="200">
        <f>IFERROR((VLOOKUP(F73&amp;K73&amp;M73,製品マスタ!$M$5:$AM$4999,27,FALSE)),"")</f>
        <v>0</v>
      </c>
      <c r="AC73" s="31"/>
      <c r="AD73" s="184"/>
      <c r="AE73" s="51"/>
      <c r="AF73" s="52"/>
      <c r="AG73" s="41"/>
      <c r="AH73" s="45"/>
      <c r="AI73" s="28"/>
      <c r="AJ73" s="28"/>
      <c r="AK73" s="28"/>
      <c r="AL73" s="28"/>
      <c r="AM73" s="12"/>
      <c r="AN73" s="12"/>
      <c r="AO73" s="12"/>
      <c r="AP73" s="12"/>
      <c r="AQ73" s="12"/>
      <c r="AR73" s="13"/>
      <c r="AS73" s="14"/>
    </row>
    <row r="74" spans="1:45" s="16" customFormat="1" ht="30.95" hidden="1" customHeight="1" x14ac:dyDescent="0.2">
      <c r="A74" s="35"/>
      <c r="B74" s="36"/>
      <c r="C74" s="43"/>
      <c r="D74" s="29"/>
      <c r="E74" s="29"/>
      <c r="F74" s="255" t="str">
        <f>IF(D74="","",VLOOKUP(D74,契約台帳!$A$3:$K$4986,6,FALSE)&amp;VLOOKUP(D74,契約台帳!$A$3:$K$4986,7,FALSE)&amp;VLOOKUP(D74,契約台帳!$A$3:$K$4986,8,FALSE)&amp;VLOOKUP(D74,契約台帳!$A$3:$K$4986,9,FALSE)&amp;VLOOKUP(D74,契約台帳!$A$3:$K$4986,11,FALSE))</f>
        <v/>
      </c>
      <c r="G74" s="256" t="str">
        <f>IF(D74="","",VLOOKUP(F74,製品マスタ!$G$5:$H$4999,2,FALSE))</f>
        <v/>
      </c>
      <c r="H74" s="256" t="str">
        <f>IF(D74="","",VLOOKUP(F74,製品マスタ!$G$5:$K$4999,5,FALSE))</f>
        <v/>
      </c>
      <c r="I74" s="200" t="str">
        <f>IF(D74="","",VLOOKUP(F74,製品マスタ!$G$5:$L$4999,6,FALSE))</f>
        <v/>
      </c>
      <c r="J74" s="203"/>
      <c r="K74" s="200" t="str">
        <f>IF(D74="","",VLOOKUP(D74,契約台帳!$A$3:$L$4986,12,FALSE))</f>
        <v/>
      </c>
      <c r="L74" s="200" t="str">
        <f>IF(D74="","",INDEX(製品マスタ!$Q$5:$Q$4999,MATCH('S4'!F74&amp;'S4'!K74,製品マスタ!$AO$5:$AO$4999,0)))</f>
        <v/>
      </c>
      <c r="M74" s="37"/>
      <c r="N74" s="37"/>
      <c r="O74" s="153"/>
      <c r="P74" s="45"/>
      <c r="Q74" s="54"/>
      <c r="R74" s="257" t="str">
        <f ca="1">IF(D74="","",IF(OFFSET(D74,-1,0)&lt;&gt;"","",IF(OR(J74="リード付け",J74="巻足し",J74="巻返しリード付け"),M74,VLOOKUP(D74,契約台帳!$A$3:$N$4986,14,FALSE))))</f>
        <v/>
      </c>
      <c r="S74" s="258" t="str">
        <f ca="1">IF(D74="","",IF(OFFSET(D74,-1,0)&lt;&gt;"","",IF(OR(J74="リード付け",J74="巻足し",J74="巻返しリード付け"),M74,VLOOKUP(D74,契約台帳!$A$3:$O$4986,15,FALSE))))</f>
        <v/>
      </c>
      <c r="T74" s="258" t="str">
        <f ca="1">IF(D74="","",IF(J74="リード付け",N74,IF(J74="巻返しリード付け",N74,IF(J74="巻足し",N74*P74+OFFSET(N74,1,0)*OFFSET(P74,1,0),VLOOKUP(D74,契約台帳!$A$3:$P$4986,16,FALSE)))))</f>
        <v/>
      </c>
      <c r="U74" s="38"/>
      <c r="V74" s="259" t="str">
        <f ca="1">IF(D74="","",IF(OFFSET(D74,-2,0)=D74,"",VLOOKUP(D74,契約台帳!$A$3:$R$4986,18,FALSE)))</f>
        <v/>
      </c>
      <c r="W74" s="256" t="str">
        <f>IF(D74="","",IF(T74="","",IF(OR(J74="巻足し",J74="巻返しリード付け"),"",IF(J74="巻返し",VLOOKUP(F74&amp;K74&amp;M74,製品マスタ!$M$5:$AD$4999,18,FALSE),IF(OR(J74="リード付け",J74="巻返しリード付け"),"原反コア",IF(J74="スリット",VLOOKUP(F74&amp;K74&amp;R74,製品マスタ!$N$5:$AD$4999,17,FALSE),""))))))</f>
        <v/>
      </c>
      <c r="X74" s="256" t="str">
        <f>IF(D74="","",IF(T74="","",IF(J74="巻足し","",IF(J74="巻返し",VLOOKUP(F74&amp;K74&amp;M74,製品マスタ!$M$5:$AE$4999,19,FALSE),IF(OR(J74="リード付け",J74="巻返しリード付け"),"",IF(J74="スリット",VLOOKUP(F74&amp;K74&amp;R74,製品マスタ!$N$5:$AE$4999,18,FALSE),""))))))</f>
        <v/>
      </c>
      <c r="Y74" s="256" t="str">
        <f>IF(D74="","",IF(T74="","",VLOOKUP(D74,契約台帳!$A$3:$Q$4986,17,FALSE)))</f>
        <v/>
      </c>
      <c r="Z74" s="256" t="str">
        <f>IF(D74="","",IF(T74="","",VLOOKUP(D74,契約台帳!$A$3:$E$4986,5,FALSE)))</f>
        <v/>
      </c>
      <c r="AA74" s="54"/>
      <c r="AB74" s="200" t="str">
        <f>IFERROR((VLOOKUP(F74&amp;K74&amp;M74,製品マスタ!$M$5:$AM$4999,27,FALSE)),"")</f>
        <v/>
      </c>
      <c r="AC74" s="31"/>
      <c r="AD74" s="184"/>
      <c r="AE74" s="51"/>
      <c r="AF74" s="52"/>
      <c r="AG74" s="41"/>
      <c r="AH74" s="45"/>
      <c r="AI74" s="28"/>
      <c r="AJ74" s="28"/>
      <c r="AK74" s="28"/>
      <c r="AL74" s="28"/>
      <c r="AM74" s="12"/>
      <c r="AN74" s="12"/>
      <c r="AO74" s="12"/>
      <c r="AP74" s="12"/>
      <c r="AQ74" s="12"/>
      <c r="AR74" s="13"/>
      <c r="AS74" s="14"/>
    </row>
    <row r="75" spans="1:45" s="16" customFormat="1" ht="30.95" hidden="1" customHeight="1" x14ac:dyDescent="0.2">
      <c r="A75" s="35"/>
      <c r="B75" s="36"/>
      <c r="C75" s="43"/>
      <c r="D75" s="29">
        <v>3694125</v>
      </c>
      <c r="E75" s="29">
        <v>4161781</v>
      </c>
      <c r="F75" s="255" t="str">
        <f>IF(D75="","",VLOOKUP(D75,契約台帳!$A$3:$K$4986,6,FALSE)&amp;VLOOKUP(D75,契約台帳!$A$3:$K$4986,7,FALSE)&amp;VLOOKUP(D75,契約台帳!$A$3:$K$4986,8,FALSE)&amp;VLOOKUP(D75,契約台帳!$A$3:$K$4986,9,FALSE)&amp;VLOOKUP(D75,契約台帳!$A$3:$K$4986,11,FALSE))</f>
        <v>3SYMLBMSSMBZF</v>
      </c>
      <c r="G75" s="256" t="str">
        <f>IF(D75="","",VLOOKUP(F75,製品マスタ!$G$5:$H$4999,2,FALSE))</f>
        <v>S</v>
      </c>
      <c r="H75" s="256" t="str">
        <f>IF(D75="","",VLOOKUP(F75,製品マスタ!$G$5:$K$4999,5,FALSE))</f>
        <v>MSSMBZF</v>
      </c>
      <c r="I75" s="200" t="str">
        <f>IF(D75="","",VLOOKUP(F75,製品マスタ!$G$5:$L$4999,6,FALSE))</f>
        <v>ＭＥＴＡＬＵＭＹ　ＳＩＬＶＥＲ　Ｓ－ＭＡＴＴＥ　Ｂ</v>
      </c>
      <c r="J75" s="203" t="s">
        <v>736</v>
      </c>
      <c r="K75" s="200">
        <f>IF(D75="","",VLOOKUP(D75,契約台帳!$A$3:$L$4986,12,FALSE))</f>
        <v>50</v>
      </c>
      <c r="L75" s="200" t="str">
        <f>IF(D75="","",INDEX(製品マスタ!$Q$5:$Q$4999,MATCH('S4'!F75&amp;'S4'!K75,製品マスタ!$AO$5:$AO$4999,0)))</f>
        <v>LI-MAT</v>
      </c>
      <c r="M75" s="37">
        <v>1120</v>
      </c>
      <c r="N75" s="37">
        <v>4000</v>
      </c>
      <c r="O75" s="153">
        <v>2</v>
      </c>
      <c r="P75" s="45">
        <v>2</v>
      </c>
      <c r="Q75" s="206">
        <v>44573</v>
      </c>
      <c r="R75" s="257">
        <f ca="1">IF(D75="","",IF(OFFSET(D75,-1,0)&lt;&gt;"","",IF(OR(J75="リード付け",J75="巻足し",J75="巻返しリード付け"),M75,VLOOKUP(D75,契約台帳!$A$3:$N$4986,14,FALSE))))</f>
        <v>1120</v>
      </c>
      <c r="S75" s="258">
        <f ca="1">IF(D75="","",IF(OFFSET(D75,-1,0)&lt;&gt;"","",IF(OR(J75="リード付け",J75="巻足し",J75="巻返しリード付け"),M75,VLOOKUP(D75,契約台帳!$A$3:$O$4986,15,FALSE))))</f>
        <v>1120</v>
      </c>
      <c r="T75" s="258">
        <f ca="1">IF(D75="","",IF(J75="リード付け",N75,IF(J75="巻返しリード付け",N75,IF(J75="巻足し",N75*P75+OFFSET(N75,1,0)*OFFSET(P75,1,0),VLOOKUP(D75,契約台帳!$A$3:$P$4986,16,FALSE)))))</f>
        <v>8000</v>
      </c>
      <c r="U75" s="38">
        <v>1</v>
      </c>
      <c r="V75" s="259">
        <f ca="1">IF(D75="","",IF(OFFSET(D75,-2,0)=D75,"",VLOOKUP(D75,契約台帳!$A$3:$R$4986,18,FALSE)))</f>
        <v>2</v>
      </c>
      <c r="W75" s="256" t="str">
        <f ca="1">IF(D75="","",IF(T75="","",IF(OR(J75="巻足し",J75="巻返しリード付け"),"",IF(J75="巻返し",VLOOKUP(F75&amp;K75&amp;M75,製品マスタ!$M$5:$AD$4999,18,FALSE),IF(OR(J75="リード付け",J75="巻返しリード付け"),"原反コア",IF(J75="スリット",VLOOKUP(F75&amp;K75&amp;R75,製品マスタ!$N$5:$AD$4999,17,FALSE),""))))))</f>
        <v/>
      </c>
      <c r="X75" s="256" t="str">
        <f ca="1">IF(D75="","",IF(T75="","",IF(J75="巻足し","",IF(J75="巻返し",VLOOKUP(F75&amp;K75&amp;M75,製品マスタ!$M$5:$AE$4999,19,FALSE),IF(OR(J75="リード付け",J75="巻返しリード付け"),"",IF(J75="スリット",VLOOKUP(F75&amp;K75&amp;R75,製品マスタ!$N$5:$AE$4999,18,FALSE),""))))))</f>
        <v/>
      </c>
      <c r="Y75" s="256">
        <f ca="1">IF(D75="","",IF(T75="","",VLOOKUP(D75,契約台帳!$A$3:$Q$4986,17,FALSE)))</f>
        <v>2</v>
      </c>
      <c r="Z75" s="256" t="str">
        <f ca="1">IF(D75="","",IF(T75="","",VLOOKUP(D75,契約台帳!$A$3:$E$4986,5,FALSE)))</f>
        <v>リンテック㈱</v>
      </c>
      <c r="AA75" s="54"/>
      <c r="AB75" s="200">
        <f>IFERROR((VLOOKUP(F75&amp;K75&amp;M75,製品マスタ!$M$5:$AM$4999,27,FALSE)),"")</f>
        <v>0</v>
      </c>
      <c r="AC75" s="31"/>
      <c r="AD75" s="184"/>
      <c r="AE75" s="51"/>
      <c r="AF75" s="52"/>
      <c r="AG75" s="41"/>
      <c r="AH75" s="45"/>
      <c r="AI75" s="28"/>
      <c r="AJ75" s="28"/>
      <c r="AK75" s="28"/>
      <c r="AL75" s="28"/>
      <c r="AM75" s="12"/>
      <c r="AN75" s="12"/>
      <c r="AO75" s="12"/>
      <c r="AP75" s="12"/>
      <c r="AQ75" s="12"/>
      <c r="AR75" s="13"/>
      <c r="AS75" s="14"/>
    </row>
    <row r="76" spans="1:45" s="16" customFormat="1" ht="30.95" hidden="1" customHeight="1" x14ac:dyDescent="0.2">
      <c r="A76" s="35"/>
      <c r="B76" s="36"/>
      <c r="C76" s="43"/>
      <c r="D76" s="29"/>
      <c r="E76" s="29"/>
      <c r="F76" s="255" t="str">
        <f>IF(D76="","",VLOOKUP(D76,契約台帳!$A$3:$K$4986,6,FALSE)&amp;VLOOKUP(D76,契約台帳!$A$3:$K$4986,7,FALSE)&amp;VLOOKUP(D76,契約台帳!$A$3:$K$4986,8,FALSE)&amp;VLOOKUP(D76,契約台帳!$A$3:$K$4986,9,FALSE)&amp;VLOOKUP(D76,契約台帳!$A$3:$K$4986,11,FALSE))</f>
        <v/>
      </c>
      <c r="G76" s="256" t="str">
        <f>IF(D76="","",VLOOKUP(F76,製品マスタ!$G$5:$H$4999,2,FALSE))</f>
        <v/>
      </c>
      <c r="H76" s="256" t="str">
        <f>IF(D76="","",VLOOKUP(F76,製品マスタ!$G$5:$K$4999,5,FALSE))</f>
        <v/>
      </c>
      <c r="I76" s="200" t="str">
        <f>IF(D76="","",VLOOKUP(F76,製品マスタ!$G$5:$L$4999,6,FALSE))</f>
        <v/>
      </c>
      <c r="J76" s="203"/>
      <c r="K76" s="200" t="str">
        <f>IF(D76="","",VLOOKUP(D76,契約台帳!$A$3:$L$4986,12,FALSE))</f>
        <v/>
      </c>
      <c r="L76" s="200" t="str">
        <f>IF(D76="","",INDEX(製品マスタ!$Q$5:$Q$4999,MATCH('S4'!F76&amp;'S4'!K76,製品マスタ!$AO$5:$AO$4999,0)))</f>
        <v/>
      </c>
      <c r="M76" s="37"/>
      <c r="N76" s="37"/>
      <c r="O76" s="153"/>
      <c r="P76" s="45"/>
      <c r="Q76" s="54"/>
      <c r="R76" s="257" t="str">
        <f ca="1">IF(D76="","",IF(OFFSET(D76,-1,0)&lt;&gt;"","",IF(OR(J76="リード付け",J76="巻足し",J76="巻返しリード付け"),M76,VLOOKUP(D76,契約台帳!$A$3:$N$4986,14,FALSE))))</f>
        <v/>
      </c>
      <c r="S76" s="258" t="str">
        <f ca="1">IF(D76="","",IF(OFFSET(D76,-1,0)&lt;&gt;"","",IF(OR(J76="リード付け",J76="巻足し",J76="巻返しリード付け"),M76,VLOOKUP(D76,契約台帳!$A$3:$O$4986,15,FALSE))))</f>
        <v/>
      </c>
      <c r="T76" s="258" t="str">
        <f ca="1">IF(D76="","",IF(J76="リード付け",N76,IF(J76="巻返しリード付け",N76,IF(J76="巻足し",N76*P76+OFFSET(N76,1,0)*OFFSET(P76,1,0),VLOOKUP(D76,契約台帳!$A$3:$P$4986,16,FALSE)))))</f>
        <v/>
      </c>
      <c r="U76" s="38"/>
      <c r="V76" s="259" t="str">
        <f ca="1">IF(D76="","",IF(OFFSET(D76,-2,0)=D76,"",VLOOKUP(D76,契約台帳!$A$3:$R$4986,18,FALSE)))</f>
        <v/>
      </c>
      <c r="W76" s="256" t="str">
        <f>IF(D76="","",IF(T76="","",IF(OR(J76="巻足し",J76="巻返しリード付け"),"",IF(J76="巻返し",VLOOKUP(F76&amp;K76&amp;M76,製品マスタ!$M$5:$AD$4999,18,FALSE),IF(OR(J76="リード付け",J76="巻返しリード付け"),"原反コア",IF(J76="スリット",VLOOKUP(F76&amp;K76&amp;R76,製品マスタ!$N$5:$AD$4999,17,FALSE),""))))))</f>
        <v/>
      </c>
      <c r="X76" s="256" t="str">
        <f>IF(D76="","",IF(T76="","",IF(J76="巻足し","",IF(J76="巻返し",VLOOKUP(F76&amp;K76&amp;M76,製品マスタ!$M$5:$AE$4999,19,FALSE),IF(OR(J76="リード付け",J76="巻返しリード付け"),"",IF(J76="スリット",VLOOKUP(F76&amp;K76&amp;R76,製品マスタ!$N$5:$AE$4999,18,FALSE),""))))))</f>
        <v/>
      </c>
      <c r="Y76" s="256" t="str">
        <f>IF(D76="","",IF(T76="","",VLOOKUP(D76,契約台帳!$A$3:$Q$4986,17,FALSE)))</f>
        <v/>
      </c>
      <c r="Z76" s="256" t="str">
        <f>IF(D76="","",IF(T76="","",VLOOKUP(D76,契約台帳!$A$3:$E$4986,5,FALSE)))</f>
        <v/>
      </c>
      <c r="AA76" s="54"/>
      <c r="AB76" s="200" t="str">
        <f>IFERROR((VLOOKUP(F76&amp;K76&amp;M76,製品マスタ!$M$5:$AM$4999,27,FALSE)),"")</f>
        <v/>
      </c>
      <c r="AC76" s="31"/>
      <c r="AD76" s="184"/>
      <c r="AE76" s="51"/>
      <c r="AF76" s="52"/>
      <c r="AG76" s="41"/>
      <c r="AH76" s="45"/>
      <c r="AI76" s="28"/>
      <c r="AJ76" s="28"/>
      <c r="AK76" s="28"/>
      <c r="AL76" s="28"/>
      <c r="AM76" s="12"/>
      <c r="AN76" s="12"/>
      <c r="AO76" s="12"/>
      <c r="AP76" s="12"/>
      <c r="AQ76" s="12"/>
      <c r="AR76" s="13"/>
      <c r="AS76" s="14"/>
    </row>
    <row r="77" spans="1:45" s="16" customFormat="1" ht="30.95" hidden="1" customHeight="1" x14ac:dyDescent="0.2">
      <c r="A77" s="35"/>
      <c r="B77" s="36"/>
      <c r="C77" s="43"/>
      <c r="D77" s="29">
        <v>3694104</v>
      </c>
      <c r="E77" s="29">
        <v>4161769</v>
      </c>
      <c r="F77" s="255" t="str">
        <f>IF(D77="","",VLOOKUP(D77,契約台帳!$A$3:$K$4986,6,FALSE)&amp;VLOOKUP(D77,契約台帳!$A$3:$K$4986,7,FALSE)&amp;VLOOKUP(D77,契約台帳!$A$3:$K$4986,8,FALSE)&amp;VLOOKUP(D77,契約台帳!$A$3:$K$4986,9,FALSE)&amp;VLOOKUP(D77,契約台帳!$A$3:$K$4986,11,FALSE))</f>
        <v>3SNMLBMNGKKBF</v>
      </c>
      <c r="G77" s="256" t="str">
        <f>IF(D77="","",VLOOKUP(F77,製品マスタ!$G$5:$H$4999,2,FALSE))</f>
        <v>S</v>
      </c>
      <c r="H77" s="256" t="str">
        <f>IF(D77="","",VLOOKUP(F77,製品マスタ!$G$5:$K$4999,5,FALSE))</f>
        <v>MNGKKBF</v>
      </c>
      <c r="I77" s="200" t="str">
        <f>IF(D77="","",VLOOKUP(F77,製品マスタ!$G$5:$L$4999,6,FALSE))</f>
        <v>メタルミー　ネーマー銀消改　Ｂ</v>
      </c>
      <c r="J77" s="203" t="s">
        <v>736</v>
      </c>
      <c r="K77" s="200">
        <f>IF(D77="","",VLOOKUP(D77,契約台帳!$A$3:$L$4986,12,FALSE))</f>
        <v>50</v>
      </c>
      <c r="L77" s="200" t="str">
        <f>IF(D77="","",INDEX(製品マスタ!$Q$5:$Q$4999,MATCH('S4'!F77&amp;'S4'!K77,製品マスタ!$AO$5:$AO$4999,0)))</f>
        <v>S99-MAT</v>
      </c>
      <c r="M77" s="37">
        <v>1120</v>
      </c>
      <c r="N77" s="37">
        <v>4000</v>
      </c>
      <c r="O77" s="153">
        <v>3</v>
      </c>
      <c r="P77" s="45">
        <v>3</v>
      </c>
      <c r="Q77" s="206">
        <v>44573</v>
      </c>
      <c r="R77" s="257">
        <f ca="1">IF(D77="","",IF(OFFSET(D77,-1,0)&lt;&gt;"","",IF(OR(J77="リード付け",J77="巻足し",J77="巻返しリード付け"),M77,VLOOKUP(D77,契約台帳!$A$3:$N$4986,14,FALSE))))</f>
        <v>1120</v>
      </c>
      <c r="S77" s="258">
        <f ca="1">IF(D77="","",IF(OFFSET(D77,-1,0)&lt;&gt;"","",IF(OR(J77="リード付け",J77="巻足し",J77="巻返しリード付け"),M77,VLOOKUP(D77,契約台帳!$A$3:$O$4986,15,FALSE))))</f>
        <v>1120</v>
      </c>
      <c r="T77" s="258">
        <f ca="1">IF(D77="","",IF(J77="リード付け",N77,IF(J77="巻返しリード付け",N77,IF(J77="巻足し",N77*P77+OFFSET(N77,1,0)*OFFSET(P77,1,0),VLOOKUP(D77,契約台帳!$A$3:$P$4986,16,FALSE)))))</f>
        <v>12000</v>
      </c>
      <c r="U77" s="38">
        <v>1</v>
      </c>
      <c r="V77" s="259">
        <f ca="1">IF(D77="","",IF(OFFSET(D77,-2,0)=D77,"",VLOOKUP(D77,契約台帳!$A$3:$R$4986,18,FALSE)))</f>
        <v>24</v>
      </c>
      <c r="W77" s="256" t="str">
        <f ca="1">IF(D77="","",IF(T77="","",IF(OR(J77="巻足し",J77="巻返しリード付け"),"",IF(J77="巻返し",VLOOKUP(F77&amp;K77&amp;M77,製品マスタ!$M$5:$AD$4999,18,FALSE),IF(OR(J77="リード付け",J77="巻返しリード付け"),"原反コア",IF(J77="スリット",VLOOKUP(F77&amp;K77&amp;R77,製品マスタ!$N$5:$AD$4999,17,FALSE),""))))))</f>
        <v/>
      </c>
      <c r="X77" s="256" t="str">
        <f ca="1">IF(D77="","",IF(T77="","",IF(J77="巻足し","",IF(J77="巻返し",VLOOKUP(F77&amp;K77&amp;M77,製品マスタ!$M$5:$AE$4999,19,FALSE),IF(OR(J77="リード付け",J77="巻返しリード付け"),"",IF(J77="スリット",VLOOKUP(F77&amp;K77&amp;R77,製品マスタ!$N$5:$AE$4999,18,FALSE),""))))))</f>
        <v/>
      </c>
      <c r="Y77" s="256">
        <f ca="1">IF(D77="","",IF(T77="","",VLOOKUP(D77,契約台帳!$A$3:$Q$4986,17,FALSE)))</f>
        <v>2</v>
      </c>
      <c r="Z77" s="256" t="str">
        <f ca="1">IF(D77="","",IF(T77="","",VLOOKUP(D77,契約台帳!$A$3:$E$4986,5,FALSE)))</f>
        <v>リンテック㈱</v>
      </c>
      <c r="AA77" s="54"/>
      <c r="AB77" s="200">
        <f>IFERROR((VLOOKUP(F77&amp;K77&amp;M77,製品マスタ!$M$5:$AM$4999,27,FALSE)),"")</f>
        <v>0</v>
      </c>
      <c r="AC77" s="31"/>
      <c r="AD77" s="184"/>
      <c r="AE77" s="51"/>
      <c r="AF77" s="52"/>
      <c r="AG77" s="41"/>
      <c r="AH77" s="45"/>
      <c r="AI77" s="28"/>
      <c r="AJ77" s="28"/>
      <c r="AK77" s="28"/>
      <c r="AL77" s="28"/>
      <c r="AM77" s="12"/>
      <c r="AN77" s="12"/>
      <c r="AO77" s="12"/>
      <c r="AP77" s="12"/>
      <c r="AQ77" s="12"/>
      <c r="AR77" s="13"/>
      <c r="AS77" s="14"/>
    </row>
    <row r="78" spans="1:45" s="16" customFormat="1" ht="30.95" hidden="1" customHeight="1" x14ac:dyDescent="0.2">
      <c r="A78" s="35"/>
      <c r="B78" s="36"/>
      <c r="C78" s="43"/>
      <c r="D78" s="29"/>
      <c r="E78" s="29"/>
      <c r="F78" s="255" t="str">
        <f>IF(D78="","",VLOOKUP(D78,契約台帳!$A$3:$K$4986,6,FALSE)&amp;VLOOKUP(D78,契約台帳!$A$3:$K$4986,7,FALSE)&amp;VLOOKUP(D78,契約台帳!$A$3:$K$4986,8,FALSE)&amp;VLOOKUP(D78,契約台帳!$A$3:$K$4986,9,FALSE)&amp;VLOOKUP(D78,契約台帳!$A$3:$K$4986,11,FALSE))</f>
        <v/>
      </c>
      <c r="G78" s="256" t="str">
        <f>IF(D78="","",VLOOKUP(F78,製品マスタ!$G$5:$H$4999,2,FALSE))</f>
        <v/>
      </c>
      <c r="H78" s="256" t="str">
        <f>IF(D78="","",VLOOKUP(F78,製品マスタ!$G$5:$K$4999,5,FALSE))</f>
        <v/>
      </c>
      <c r="I78" s="200" t="str">
        <f>IF(D78="","",VLOOKUP(F78,製品マスタ!$G$5:$L$4999,6,FALSE))</f>
        <v/>
      </c>
      <c r="J78" s="203"/>
      <c r="K78" s="200" t="str">
        <f>IF(D78="","",VLOOKUP(D78,契約台帳!$A$3:$L$4986,12,FALSE))</f>
        <v/>
      </c>
      <c r="L78" s="200" t="str">
        <f>IF(D78="","",INDEX(製品マスタ!$Q$5:$Q$4999,MATCH('S4'!F78&amp;'S4'!K78,製品マスタ!$AO$5:$AO$4999,0)))</f>
        <v/>
      </c>
      <c r="M78" s="37"/>
      <c r="N78" s="37"/>
      <c r="O78" s="153"/>
      <c r="P78" s="45"/>
      <c r="Q78" s="54"/>
      <c r="R78" s="257" t="str">
        <f ca="1">IF(D78="","",IF(OFFSET(D78,-1,0)&lt;&gt;"","",IF(OR(J78="リード付け",J78="巻足し",J78="巻返しリード付け"),M78,VLOOKUP(D78,契約台帳!$A$3:$N$4986,14,FALSE))))</f>
        <v/>
      </c>
      <c r="S78" s="258" t="str">
        <f ca="1">IF(D78="","",IF(OFFSET(D78,-1,0)&lt;&gt;"","",IF(OR(J78="リード付け",J78="巻足し",J78="巻返しリード付け"),M78,VLOOKUP(D78,契約台帳!$A$3:$O$4986,15,FALSE))))</f>
        <v/>
      </c>
      <c r="T78" s="258" t="str">
        <f ca="1">IF(D78="","",IF(J78="リード付け",N78,IF(J78="巻返しリード付け",N78,IF(J78="巻足し",N78*P78+OFFSET(N78,1,0)*OFFSET(P78,1,0),VLOOKUP(D78,契約台帳!$A$3:$P$4986,16,FALSE)))))</f>
        <v/>
      </c>
      <c r="U78" s="38"/>
      <c r="V78" s="259" t="str">
        <f ca="1">IF(D78="","",IF(OFFSET(D78,-2,0)=D78,"",VLOOKUP(D78,契約台帳!$A$3:$R$4986,18,FALSE)))</f>
        <v/>
      </c>
      <c r="W78" s="256" t="str">
        <f>IF(D78="","",IF(T78="","",IF(OR(J78="巻足し",J78="巻返しリード付け"),"",IF(J78="巻返し",VLOOKUP(F78&amp;K78&amp;M78,製品マスタ!$M$5:$AD$4999,18,FALSE),IF(OR(J78="リード付け",J78="巻返しリード付け"),"原反コア",IF(J78="スリット",VLOOKUP(F78&amp;K78&amp;R78,製品マスタ!$N$5:$AD$4999,17,FALSE),""))))))</f>
        <v/>
      </c>
      <c r="X78" s="256" t="str">
        <f>IF(D78="","",IF(T78="","",IF(J78="巻足し","",IF(J78="巻返し",VLOOKUP(F78&amp;K78&amp;M78,製品マスタ!$M$5:$AE$4999,19,FALSE),IF(OR(J78="リード付け",J78="巻返しリード付け"),"",IF(J78="スリット",VLOOKUP(F78&amp;K78&amp;R78,製品マスタ!$N$5:$AE$4999,18,FALSE),""))))))</f>
        <v/>
      </c>
      <c r="Y78" s="256" t="str">
        <f>IF(D78="","",IF(T78="","",VLOOKUP(D78,契約台帳!$A$3:$Q$4986,17,FALSE)))</f>
        <v/>
      </c>
      <c r="Z78" s="256" t="str">
        <f>IF(D78="","",IF(T78="","",VLOOKUP(D78,契約台帳!$A$3:$E$4986,5,FALSE)))</f>
        <v/>
      </c>
      <c r="AA78" s="54"/>
      <c r="AB78" s="200" t="str">
        <f>IFERROR((VLOOKUP(F78&amp;K78&amp;M78,製品マスタ!$M$5:$AM$4999,27,FALSE)),"")</f>
        <v/>
      </c>
      <c r="AC78" s="31"/>
      <c r="AD78" s="184"/>
      <c r="AE78" s="51"/>
      <c r="AF78" s="52"/>
      <c r="AG78" s="41"/>
      <c r="AH78" s="45"/>
      <c r="AI78" s="28"/>
      <c r="AJ78" s="28"/>
      <c r="AK78" s="28"/>
      <c r="AL78" s="28"/>
      <c r="AM78" s="12"/>
      <c r="AN78" s="12"/>
      <c r="AO78" s="12"/>
      <c r="AP78" s="12"/>
      <c r="AQ78" s="12"/>
      <c r="AR78" s="13"/>
      <c r="AS78" s="14"/>
    </row>
    <row r="79" spans="1:45" s="16" customFormat="1" ht="30.95" hidden="1" customHeight="1" x14ac:dyDescent="0.2">
      <c r="A79" s="35" t="s">
        <v>766</v>
      </c>
      <c r="B79" s="36" t="s">
        <v>748</v>
      </c>
      <c r="C79" s="43"/>
      <c r="D79" s="29"/>
      <c r="E79" s="29"/>
      <c r="F79" s="255" t="str">
        <f>IF(D79="","",VLOOKUP(D79,契約台帳!$A$3:$K$4986,6,FALSE)&amp;VLOOKUP(D79,契約台帳!$A$3:$K$4986,7,FALSE)&amp;VLOOKUP(D79,契約台帳!$A$3:$K$4986,8,FALSE)&amp;VLOOKUP(D79,契約台帳!$A$3:$K$4986,9,FALSE)&amp;VLOOKUP(D79,契約台帳!$A$3:$K$4986,11,FALSE))</f>
        <v/>
      </c>
      <c r="G79" s="256" t="str">
        <f>IF(D79="","",VLOOKUP(F79,製品マスタ!$G$5:$H$4999,2,FALSE))</f>
        <v/>
      </c>
      <c r="H79" s="256" t="str">
        <f>IF(D79="","",VLOOKUP(F79,製品マスタ!$G$5:$K$4999,5,FALSE))</f>
        <v/>
      </c>
      <c r="I79" s="200" t="str">
        <f>IF(D79="","",VLOOKUP(F79,製品マスタ!$G$5:$L$4999,6,FALSE))</f>
        <v/>
      </c>
      <c r="J79" s="203" t="s">
        <v>448</v>
      </c>
      <c r="K79" s="200" t="str">
        <f>IF(D79="","",VLOOKUP(D79,契約台帳!$A$3:$L$4986,12,FALSE))</f>
        <v/>
      </c>
      <c r="L79" s="200" t="str">
        <f>IF(D79="","",INDEX(製品マスタ!$Q$5:$Q$4999,MATCH('S4'!F79&amp;'S4'!K79,製品マスタ!$AO$5:$AO$4999,0)))</f>
        <v/>
      </c>
      <c r="M79" s="37"/>
      <c r="N79" s="37"/>
      <c r="O79" s="153"/>
      <c r="P79" s="45"/>
      <c r="Q79" s="54"/>
      <c r="R79" s="257" t="str">
        <f ca="1">IF(D79="","",IF(OFFSET(D79,-1,0)&lt;&gt;"","",IF(OR(J79="リード付け",J79="巻足し",J79="巻返しリード付け"),M79,VLOOKUP(D79,契約台帳!$A$3:$N$4986,14,FALSE))))</f>
        <v/>
      </c>
      <c r="S79" s="258" t="str">
        <f ca="1">IF(D79="","",IF(OFFSET(D79,-1,0)&lt;&gt;"","",IF(OR(J79="リード付け",J79="巻足し",J79="巻返しリード付け"),M79,VLOOKUP(D79,契約台帳!$A$3:$O$4986,15,FALSE))))</f>
        <v/>
      </c>
      <c r="T79" s="258" t="str">
        <f ca="1">IF(D79="","",IF(J79="リード付け",N79,IF(J79="巻返しリード付け",N79,IF(J79="巻足し",N79*P79+OFFSET(N79,1,0)*OFFSET(P79,1,0),VLOOKUP(D79,契約台帳!$A$3:$P$4986,16,FALSE)))))</f>
        <v/>
      </c>
      <c r="U79" s="38"/>
      <c r="V79" s="259" t="str">
        <f ca="1">IF(D79="","",IF(OFFSET(D79,-2,0)=D79,"",VLOOKUP(D79,契約台帳!$A$3:$R$4986,18,FALSE)))</f>
        <v/>
      </c>
      <c r="W79" s="256" t="str">
        <f>IF(D79="","",IF(T79="","",IF(OR(J79="巻足し",J79="巻返しリード付け"),"",IF(J79="巻返し",VLOOKUP(F79&amp;K79&amp;M79,製品マスタ!$M$5:$AD$4999,18,FALSE),IF(OR(J79="リード付け",J79="巻返しリード付け"),"原反コア",IF(J79="スリット",VLOOKUP(F79&amp;K79&amp;R79,製品マスタ!$N$5:$AD$4999,17,FALSE),""))))))</f>
        <v/>
      </c>
      <c r="X79" s="256" t="str">
        <f>IF(D79="","",IF(T79="","",IF(J79="巻足し","",IF(J79="巻返し",VLOOKUP(F79&amp;K79&amp;M79,製品マスタ!$M$5:$AE$4999,19,FALSE),IF(OR(J79="リード付け",J79="巻返しリード付け"),"",IF(J79="スリット",VLOOKUP(F79&amp;K79&amp;R79,製品マスタ!$N$5:$AE$4999,18,FALSE),""))))))</f>
        <v/>
      </c>
      <c r="Y79" s="256" t="str">
        <f>IF(D79="","",IF(T79="","",VLOOKUP(D79,契約台帳!$A$3:$Q$4986,17,FALSE)))</f>
        <v/>
      </c>
      <c r="Z79" s="256" t="str">
        <f>IF(D79="","",IF(T79="","",VLOOKUP(D79,契約台帳!$A$3:$E$4986,5,FALSE)))</f>
        <v/>
      </c>
      <c r="AA79" s="54"/>
      <c r="AB79" s="200" t="str">
        <f>IFERROR((VLOOKUP(F79&amp;K79&amp;M79,製品マスタ!$M$5:$AM$4999,27,FALSE)),"")</f>
        <v/>
      </c>
      <c r="AC79" s="31"/>
      <c r="AD79" s="184"/>
      <c r="AE79" s="51"/>
      <c r="AF79" s="52"/>
      <c r="AG79" s="41"/>
      <c r="AH79" s="45"/>
      <c r="AI79" s="28"/>
      <c r="AJ79" s="28"/>
      <c r="AK79" s="28"/>
      <c r="AL79" s="28"/>
      <c r="AM79" s="12"/>
      <c r="AN79" s="12"/>
      <c r="AO79" s="12"/>
      <c r="AP79" s="12"/>
      <c r="AQ79" s="12"/>
      <c r="AR79" s="13"/>
      <c r="AS79" s="14"/>
    </row>
    <row r="80" spans="1:45" s="16" customFormat="1" ht="30.95" hidden="1" customHeight="1" x14ac:dyDescent="0.2">
      <c r="A80" s="35"/>
      <c r="B80" s="36"/>
      <c r="C80" s="43"/>
      <c r="D80" s="29"/>
      <c r="E80" s="29"/>
      <c r="F80" s="255" t="str">
        <f>IF(D80="","",VLOOKUP(D80,契約台帳!$A$3:$K$4986,6,FALSE)&amp;VLOOKUP(D80,契約台帳!$A$3:$K$4986,7,FALSE)&amp;VLOOKUP(D80,契約台帳!$A$3:$K$4986,8,FALSE)&amp;VLOOKUP(D80,契約台帳!$A$3:$K$4986,9,FALSE)&amp;VLOOKUP(D80,契約台帳!$A$3:$K$4986,11,FALSE))</f>
        <v/>
      </c>
      <c r="G80" s="256" t="str">
        <f>IF(D80="","",VLOOKUP(F80,製品マスタ!$G$5:$H$4999,2,FALSE))</f>
        <v/>
      </c>
      <c r="H80" s="256" t="str">
        <f>IF(D80="","",VLOOKUP(F80,製品マスタ!$G$5:$K$4999,5,FALSE))</f>
        <v/>
      </c>
      <c r="I80" s="200" t="str">
        <f>IF(D80="","",VLOOKUP(F80,製品マスタ!$G$5:$L$4999,6,FALSE))</f>
        <v/>
      </c>
      <c r="J80" s="203"/>
      <c r="K80" s="200" t="str">
        <f>IF(D80="","",VLOOKUP(D80,契約台帳!$A$3:$L$4986,12,FALSE))</f>
        <v/>
      </c>
      <c r="L80" s="200" t="str">
        <f>IF(D80="","",INDEX(製品マスタ!$Q$5:$Q$4999,MATCH('S4'!F80&amp;'S4'!K80,製品マスタ!$AO$5:$AO$4999,0)))</f>
        <v/>
      </c>
      <c r="M80" s="37"/>
      <c r="N80" s="37"/>
      <c r="O80" s="153"/>
      <c r="P80" s="45"/>
      <c r="Q80" s="54"/>
      <c r="R80" s="257" t="str">
        <f ca="1">IF(D80="","",IF(OFFSET(D80,-1,0)&lt;&gt;"","",IF(OR(J80="リード付け",J80="巻足し",J80="巻返しリード付け"),M80,VLOOKUP(D80,契約台帳!$A$3:$N$4986,14,FALSE))))</f>
        <v/>
      </c>
      <c r="S80" s="258" t="str">
        <f ca="1">IF(D80="","",IF(OFFSET(D80,-1,0)&lt;&gt;"","",IF(OR(J80="リード付け",J80="巻足し",J80="巻返しリード付け"),M80,VLOOKUP(D80,契約台帳!$A$3:$O$4986,15,FALSE))))</f>
        <v/>
      </c>
      <c r="T80" s="258" t="str">
        <f ca="1">IF(D80="","",IF(J80="リード付け",N80,IF(J80="巻返しリード付け",N80,IF(J80="巻足し",N80*P80+OFFSET(N80,1,0)*OFFSET(P80,1,0),VLOOKUP(D80,契約台帳!$A$3:$P$4986,16,FALSE)))))</f>
        <v/>
      </c>
      <c r="U80" s="38"/>
      <c r="V80" s="259" t="str">
        <f ca="1">IF(D80="","",IF(OFFSET(D80,-2,0)=D80,"",VLOOKUP(D80,契約台帳!$A$3:$R$4986,18,FALSE)))</f>
        <v/>
      </c>
      <c r="W80" s="256" t="str">
        <f>IF(D80="","",IF(T80="","",IF(OR(J80="巻足し",J80="巻返しリード付け"),"",IF(J80="巻返し",VLOOKUP(F80&amp;K80&amp;M80,製品マスタ!$M$5:$AD$4999,18,FALSE),IF(OR(J80="リード付け",J80="巻返しリード付け"),"原反コア",IF(J80="スリット",VLOOKUP(F80&amp;K80&amp;R80,製品マスタ!$N$5:$AD$4999,17,FALSE),""))))))</f>
        <v/>
      </c>
      <c r="X80" s="256" t="str">
        <f>IF(D80="","",IF(T80="","",IF(J80="巻足し","",IF(J80="巻返し",VLOOKUP(F80&amp;K80&amp;M80,製品マスタ!$M$5:$AE$4999,19,FALSE),IF(OR(J80="リード付け",J80="巻返しリード付け"),"",IF(J80="スリット",VLOOKUP(F80&amp;K80&amp;R80,製品マスタ!$N$5:$AE$4999,18,FALSE),""))))))</f>
        <v/>
      </c>
      <c r="Y80" s="256" t="str">
        <f>IF(D80="","",IF(T80="","",VLOOKUP(D80,契約台帳!$A$3:$Q$4986,17,FALSE)))</f>
        <v/>
      </c>
      <c r="Z80" s="256" t="str">
        <f>IF(D80="","",IF(T80="","",VLOOKUP(D80,契約台帳!$A$3:$E$4986,5,FALSE)))</f>
        <v/>
      </c>
      <c r="AA80" s="54"/>
      <c r="AB80" s="200" t="str">
        <f>IFERROR((VLOOKUP(F80&amp;K80&amp;M80,製品マスタ!$M$5:$AM$4999,27,FALSE)),"")</f>
        <v/>
      </c>
      <c r="AC80" s="31"/>
      <c r="AD80" s="184"/>
      <c r="AE80" s="51"/>
      <c r="AF80" s="52"/>
      <c r="AG80" s="41"/>
      <c r="AH80" s="45"/>
      <c r="AI80" s="28"/>
      <c r="AJ80" s="28"/>
      <c r="AK80" s="28"/>
      <c r="AL80" s="28"/>
      <c r="AM80" s="12"/>
      <c r="AN80" s="12"/>
      <c r="AO80" s="12"/>
      <c r="AP80" s="12"/>
      <c r="AQ80" s="12"/>
      <c r="AR80" s="13"/>
      <c r="AS80" s="14"/>
    </row>
    <row r="81" spans="1:45" s="16" customFormat="1" ht="30.95" hidden="1" customHeight="1" x14ac:dyDescent="0.2">
      <c r="A81" s="35" t="s">
        <v>767</v>
      </c>
      <c r="B81" s="36" t="s">
        <v>749</v>
      </c>
      <c r="C81" s="43"/>
      <c r="D81" s="29">
        <v>3694104</v>
      </c>
      <c r="E81" s="29">
        <v>4161769</v>
      </c>
      <c r="F81" s="255" t="str">
        <f>IF(D81="","",VLOOKUP(D81,契約台帳!$A$3:$K$4986,6,FALSE)&amp;VLOOKUP(D81,契約台帳!$A$3:$K$4986,7,FALSE)&amp;VLOOKUP(D81,契約台帳!$A$3:$K$4986,8,FALSE)&amp;VLOOKUP(D81,契約台帳!$A$3:$K$4986,9,FALSE)&amp;VLOOKUP(D81,契約台帳!$A$3:$K$4986,11,FALSE))</f>
        <v>3SNMLBMNGKKBF</v>
      </c>
      <c r="G81" s="256" t="str">
        <f>IF(D81="","",VLOOKUP(F81,製品マスタ!$G$5:$H$4999,2,FALSE))</f>
        <v>S</v>
      </c>
      <c r="H81" s="256" t="str">
        <f>IF(D81="","",VLOOKUP(F81,製品マスタ!$G$5:$K$4999,5,FALSE))</f>
        <v>MNGKKBF</v>
      </c>
      <c r="I81" s="200" t="str">
        <f>IF(D81="","",VLOOKUP(F81,製品マスタ!$G$5:$L$4999,6,FALSE))</f>
        <v>メタルミー　ネーマー銀消改　Ｂ</v>
      </c>
      <c r="J81" s="203" t="s">
        <v>736</v>
      </c>
      <c r="K81" s="200">
        <f>IF(D81="","",VLOOKUP(D81,契約台帳!$A$3:$L$4986,12,FALSE))</f>
        <v>50</v>
      </c>
      <c r="L81" s="200" t="str">
        <f>IF(D81="","",INDEX(製品マスタ!$Q$5:$Q$4999,MATCH('S4'!F81&amp;'S4'!K81,製品マスタ!$AO$5:$AO$4999,0)))</f>
        <v>S99-MAT</v>
      </c>
      <c r="M81" s="37">
        <v>1120</v>
      </c>
      <c r="N81" s="37">
        <v>4000</v>
      </c>
      <c r="O81" s="153">
        <v>21</v>
      </c>
      <c r="P81" s="45">
        <v>3</v>
      </c>
      <c r="Q81" s="206">
        <v>44573</v>
      </c>
      <c r="R81" s="257">
        <f ca="1">IF(D81="","",IF(OFFSET(D81,-1,0)&lt;&gt;"","",IF(OR(J81="リード付け",J81="巻足し",J81="巻返しリード付け"),M81,VLOOKUP(D81,契約台帳!$A$3:$N$4986,14,FALSE))))</f>
        <v>1120</v>
      </c>
      <c r="S81" s="258">
        <f ca="1">IF(D81="","",IF(OFFSET(D81,-1,0)&lt;&gt;"","",IF(OR(J81="リード付け",J81="巻足し",J81="巻返しリード付け"),M81,VLOOKUP(D81,契約台帳!$A$3:$O$4986,15,FALSE))))</f>
        <v>1120</v>
      </c>
      <c r="T81" s="258">
        <f ca="1">IF(D81="","",IF(J81="リード付け",N81,IF(J81="巻返しリード付け",N81,IF(J81="巻足し",N81*P81+OFFSET(N81,1,0)*OFFSET(P81,1,0),VLOOKUP(D81,契約台帳!$A$3:$P$4986,16,FALSE)))))</f>
        <v>12000</v>
      </c>
      <c r="U81" s="38">
        <v>7</v>
      </c>
      <c r="V81" s="259">
        <f ca="1">IF(D81="","",IF(OFFSET(D81,-2,0)=D81,"",VLOOKUP(D81,契約台帳!$A$3:$R$4986,18,FALSE)))</f>
        <v>24</v>
      </c>
      <c r="W81" s="256" t="str">
        <f ca="1">IF(D81="","",IF(T81="","",IF(OR(J81="巻足し",J81="巻返しリード付け"),"",IF(J81="巻返し",VLOOKUP(F81&amp;K81&amp;M81,製品マスタ!$M$5:$AD$4999,18,FALSE),IF(OR(J81="リード付け",J81="巻返しリード付け"),"原反コア",IF(J81="スリット",VLOOKUP(F81&amp;K81&amp;R81,製品マスタ!$N$5:$AD$4999,17,FALSE),""))))))</f>
        <v/>
      </c>
      <c r="X81" s="256" t="str">
        <f ca="1">IF(D81="","",IF(T81="","",IF(J81="巻足し","",IF(J81="巻返し",VLOOKUP(F81&amp;K81&amp;M81,製品マスタ!$M$5:$AE$4999,19,FALSE),IF(OR(J81="リード付け",J81="巻返しリード付け"),"",IF(J81="スリット",VLOOKUP(F81&amp;K81&amp;R81,製品マスタ!$N$5:$AE$4999,18,FALSE),""))))))</f>
        <v/>
      </c>
      <c r="Y81" s="256">
        <f ca="1">IF(D81="","",IF(T81="","",VLOOKUP(D81,契約台帳!$A$3:$Q$4986,17,FALSE)))</f>
        <v>2</v>
      </c>
      <c r="Z81" s="256" t="str">
        <f ca="1">IF(D81="","",IF(T81="","",VLOOKUP(D81,契約台帳!$A$3:$E$4986,5,FALSE)))</f>
        <v>リンテック㈱</v>
      </c>
      <c r="AA81" s="54"/>
      <c r="AB81" s="200">
        <f>IFERROR((VLOOKUP(F81&amp;K81&amp;M81,製品マスタ!$M$5:$AM$4999,27,FALSE)),"")</f>
        <v>0</v>
      </c>
      <c r="AC81" s="31"/>
      <c r="AD81" s="184"/>
      <c r="AE81" s="51"/>
      <c r="AF81" s="52"/>
      <c r="AG81" s="41"/>
      <c r="AH81" s="45"/>
      <c r="AI81" s="28"/>
      <c r="AJ81" s="28"/>
      <c r="AK81" s="28"/>
      <c r="AL81" s="28"/>
      <c r="AM81" s="12"/>
      <c r="AN81" s="12"/>
      <c r="AO81" s="12"/>
      <c r="AP81" s="12"/>
      <c r="AQ81" s="12"/>
      <c r="AR81" s="13"/>
      <c r="AS81" s="14"/>
    </row>
    <row r="82" spans="1:45" s="16" customFormat="1" ht="30.95" hidden="1" customHeight="1" x14ac:dyDescent="0.2">
      <c r="A82" s="35"/>
      <c r="B82" s="36"/>
      <c r="C82" s="43"/>
      <c r="D82" s="29"/>
      <c r="E82" s="29"/>
      <c r="F82" s="255" t="str">
        <f>IF(D82="","",VLOOKUP(D82,契約台帳!$A$3:$K$4986,6,FALSE)&amp;VLOOKUP(D82,契約台帳!$A$3:$K$4986,7,FALSE)&amp;VLOOKUP(D82,契約台帳!$A$3:$K$4986,8,FALSE)&amp;VLOOKUP(D82,契約台帳!$A$3:$K$4986,9,FALSE)&amp;VLOOKUP(D82,契約台帳!$A$3:$K$4986,11,FALSE))</f>
        <v/>
      </c>
      <c r="G82" s="256" t="str">
        <f>IF(D82="","",VLOOKUP(F82,製品マスタ!$G$5:$H$4999,2,FALSE))</f>
        <v/>
      </c>
      <c r="H82" s="256" t="str">
        <f>IF(D82="","",VLOOKUP(F82,製品マスタ!$G$5:$K$4999,5,FALSE))</f>
        <v/>
      </c>
      <c r="I82" s="200" t="str">
        <f>IF(D82="","",VLOOKUP(F82,製品マスタ!$G$5:$L$4999,6,FALSE))</f>
        <v/>
      </c>
      <c r="J82" s="203"/>
      <c r="K82" s="200" t="str">
        <f>IF(D82="","",VLOOKUP(D82,契約台帳!$A$3:$L$4986,12,FALSE))</f>
        <v/>
      </c>
      <c r="L82" s="200" t="str">
        <f>IF(D82="","",INDEX(製品マスタ!$Q$5:$Q$4999,MATCH('S4'!F82&amp;'S4'!K82,製品マスタ!$AO$5:$AO$4999,0)))</f>
        <v/>
      </c>
      <c r="M82" s="37"/>
      <c r="N82" s="37"/>
      <c r="O82" s="153"/>
      <c r="P82" s="45"/>
      <c r="Q82" s="54"/>
      <c r="R82" s="257" t="str">
        <f ca="1">IF(D82="","",IF(OFFSET(D82,-1,0)&lt;&gt;"","",IF(OR(J82="リード付け",J82="巻足し",J82="巻返しリード付け"),M82,VLOOKUP(D82,契約台帳!$A$3:$N$4986,14,FALSE))))</f>
        <v/>
      </c>
      <c r="S82" s="258" t="str">
        <f ca="1">IF(D82="","",IF(OFFSET(D82,-1,0)&lt;&gt;"","",IF(OR(J82="リード付け",J82="巻足し",J82="巻返しリード付け"),M82,VLOOKUP(D82,契約台帳!$A$3:$O$4986,15,FALSE))))</f>
        <v/>
      </c>
      <c r="T82" s="258" t="str">
        <f ca="1">IF(D82="","",IF(J82="リード付け",N82,IF(J82="巻返しリード付け",N82,IF(J82="巻足し",N82*P82+OFFSET(N82,1,0)*OFFSET(P82,1,0),VLOOKUP(D82,契約台帳!$A$3:$P$4986,16,FALSE)))))</f>
        <v/>
      </c>
      <c r="U82" s="38"/>
      <c r="V82" s="259" t="str">
        <f ca="1">IF(D82="","",IF(OFFSET(D82,-2,0)=D82,"",VLOOKUP(D82,契約台帳!$A$3:$R$4986,18,FALSE)))</f>
        <v/>
      </c>
      <c r="W82" s="256" t="str">
        <f>IF(D82="","",IF(T82="","",IF(OR(J82="巻足し",J82="巻返しリード付け"),"",IF(J82="巻返し",VLOOKUP(F82&amp;K82&amp;M82,製品マスタ!$M$5:$AD$4999,18,FALSE),IF(OR(J82="リード付け",J82="巻返しリード付け"),"原反コア",IF(J82="スリット",VLOOKUP(F82&amp;K82&amp;R82,製品マスタ!$N$5:$AD$4999,17,FALSE),""))))))</f>
        <v/>
      </c>
      <c r="X82" s="256" t="str">
        <f>IF(D82="","",IF(T82="","",IF(J82="巻足し","",IF(J82="巻返し",VLOOKUP(F82&amp;K82&amp;M82,製品マスタ!$M$5:$AE$4999,19,FALSE),IF(OR(J82="リード付け",J82="巻返しリード付け"),"",IF(J82="スリット",VLOOKUP(F82&amp;K82&amp;R82,製品マスタ!$N$5:$AE$4999,18,FALSE),""))))))</f>
        <v/>
      </c>
      <c r="Y82" s="256" t="str">
        <f>IF(D82="","",IF(T82="","",VLOOKUP(D82,契約台帳!$A$3:$Q$4986,17,FALSE)))</f>
        <v/>
      </c>
      <c r="Z82" s="256" t="str">
        <f>IF(D82="","",IF(T82="","",VLOOKUP(D82,契約台帳!$A$3:$E$4986,5,FALSE)))</f>
        <v/>
      </c>
      <c r="AA82" s="54"/>
      <c r="AB82" s="200" t="str">
        <f>IFERROR((VLOOKUP(F82&amp;K82&amp;M82,製品マスタ!$M$5:$AM$4999,27,FALSE)),"")</f>
        <v/>
      </c>
      <c r="AC82" s="31"/>
      <c r="AD82" s="184"/>
      <c r="AE82" s="51"/>
      <c r="AF82" s="52"/>
      <c r="AG82" s="41"/>
      <c r="AH82" s="45"/>
      <c r="AI82" s="28"/>
      <c r="AJ82" s="28"/>
      <c r="AK82" s="28"/>
      <c r="AL82" s="28"/>
      <c r="AM82" s="12"/>
      <c r="AN82" s="12"/>
      <c r="AO82" s="12"/>
      <c r="AP82" s="12"/>
      <c r="AQ82" s="12"/>
      <c r="AR82" s="13"/>
      <c r="AS82" s="14"/>
    </row>
    <row r="83" spans="1:45" s="16" customFormat="1" ht="30.95" hidden="1" customHeight="1" x14ac:dyDescent="0.2">
      <c r="A83" s="35" t="s">
        <v>768</v>
      </c>
      <c r="B83" s="36" t="s">
        <v>750</v>
      </c>
      <c r="C83" s="43"/>
      <c r="D83" s="29">
        <v>3694102</v>
      </c>
      <c r="E83" s="29">
        <v>4161767</v>
      </c>
      <c r="F83" s="255" t="str">
        <f>IF(D83="","",VLOOKUP(D83,契約台帳!$A$3:$K$4986,6,FALSE)&amp;VLOOKUP(D83,契約台帳!$A$3:$K$4986,7,FALSE)&amp;VLOOKUP(D83,契約台帳!$A$3:$K$4986,8,FALSE)&amp;VLOOKUP(D83,契約台帳!$A$3:$K$4986,9,FALSE)&amp;VLOOKUP(D83,契約台帳!$A$3:$K$4986,11,FALSE))</f>
        <v>3SNMLBMNGKKBF</v>
      </c>
      <c r="G83" s="256" t="str">
        <f>IF(D83="","",VLOOKUP(F83,製品マスタ!$G$5:$H$4999,2,FALSE))</f>
        <v>S</v>
      </c>
      <c r="H83" s="256" t="str">
        <f>IF(D83="","",VLOOKUP(F83,製品マスタ!$G$5:$K$4999,5,FALSE))</f>
        <v>MNGKKBF</v>
      </c>
      <c r="I83" s="200" t="str">
        <f>IF(D83="","",VLOOKUP(F83,製品マスタ!$G$5:$L$4999,6,FALSE))</f>
        <v>メタルミー　ネーマー銀消改　Ｂ</v>
      </c>
      <c r="J83" s="203" t="s">
        <v>736</v>
      </c>
      <c r="K83" s="200">
        <f>IF(D83="","",VLOOKUP(D83,契約台帳!$A$3:$L$4986,12,FALSE))</f>
        <v>25</v>
      </c>
      <c r="L83" s="200" t="str">
        <f>IF(D83="","",INDEX(製品マスタ!$Q$5:$Q$4999,MATCH('S4'!F83&amp;'S4'!K83,製品マスタ!$AO$5:$AO$4999,0)))</f>
        <v>FMATS99</v>
      </c>
      <c r="M83" s="37">
        <v>1000</v>
      </c>
      <c r="N83" s="37">
        <v>4000</v>
      </c>
      <c r="O83" s="153">
        <v>3</v>
      </c>
      <c r="P83" s="45">
        <v>3</v>
      </c>
      <c r="Q83" s="206">
        <v>44571</v>
      </c>
      <c r="R83" s="257">
        <f ca="1">IF(D83="","",IF(OFFSET(D83,-1,0)&lt;&gt;"","",IF(OR(J83="リード付け",J83="巻足し",J83="巻返しリード付け"),M83,VLOOKUP(D83,契約台帳!$A$3:$N$4986,14,FALSE))))</f>
        <v>1000</v>
      </c>
      <c r="S83" s="258">
        <f ca="1">IF(D83="","",IF(OFFSET(D83,-1,0)&lt;&gt;"","",IF(OR(J83="リード付け",J83="巻足し",J83="巻返しリード付け"),M83,VLOOKUP(D83,契約台帳!$A$3:$O$4986,15,FALSE))))</f>
        <v>1000</v>
      </c>
      <c r="T83" s="258">
        <f ca="1">IF(D83="","",IF(J83="リード付け",N83,IF(J83="巻返しリード付け",N83,IF(J83="巻足し",N83*P83+OFFSET(N83,1,0)*OFFSET(P83,1,0),VLOOKUP(D83,契約台帳!$A$3:$P$4986,16,FALSE)))))</f>
        <v>12000</v>
      </c>
      <c r="U83" s="38">
        <v>1</v>
      </c>
      <c r="V83" s="259">
        <f ca="1">IF(D83="","",IF(OFFSET(D83,-2,0)=D83,"",VLOOKUP(D83,契約台帳!$A$3:$R$4986,18,FALSE)))</f>
        <v>3</v>
      </c>
      <c r="W83" s="256" t="str">
        <f ca="1">IF(D83="","",IF(T83="","",IF(OR(J83="巻足し",J83="巻返しリード付け"),"",IF(J83="巻返し",VLOOKUP(F83&amp;K83&amp;M83,製品マスタ!$M$5:$AD$4999,18,FALSE),IF(OR(J83="リード付け",J83="巻返しリード付け"),"原反コア",IF(J83="スリット",VLOOKUP(F83&amp;K83&amp;R83,製品マスタ!$N$5:$AD$4999,17,FALSE),""))))))</f>
        <v/>
      </c>
      <c r="X83" s="256" t="str">
        <f ca="1">IF(D83="","",IF(T83="","",IF(J83="巻足し","",IF(J83="巻返し",VLOOKUP(F83&amp;K83&amp;M83,製品マスタ!$M$5:$AE$4999,19,FALSE),IF(OR(J83="リード付け",J83="巻返しリード付け"),"",IF(J83="スリット",VLOOKUP(F83&amp;K83&amp;R83,製品マスタ!$N$5:$AE$4999,18,FALSE),""))))))</f>
        <v/>
      </c>
      <c r="Y83" s="256">
        <f ca="1">IF(D83="","",IF(T83="","",VLOOKUP(D83,契約台帳!$A$3:$Q$4986,17,FALSE)))</f>
        <v>2</v>
      </c>
      <c r="Z83" s="256" t="str">
        <f ca="1">IF(D83="","",IF(T83="","",VLOOKUP(D83,契約台帳!$A$3:$E$4986,5,FALSE)))</f>
        <v>リンテック㈱</v>
      </c>
      <c r="AA83" s="54"/>
      <c r="AB83" s="200">
        <f>IFERROR((VLOOKUP(F83&amp;K83&amp;M83,製品マスタ!$M$5:$AM$4999,27,FALSE)),"")</f>
        <v>0</v>
      </c>
      <c r="AC83" s="31"/>
      <c r="AD83" s="184"/>
      <c r="AE83" s="51"/>
      <c r="AF83" s="52"/>
      <c r="AG83" s="41"/>
      <c r="AH83" s="45"/>
      <c r="AI83" s="28"/>
      <c r="AJ83" s="28"/>
      <c r="AK83" s="28"/>
      <c r="AL83" s="28"/>
      <c r="AM83" s="12"/>
      <c r="AN83" s="12"/>
      <c r="AO83" s="12"/>
      <c r="AP83" s="12"/>
      <c r="AQ83" s="12"/>
      <c r="AR83" s="13"/>
      <c r="AS83" s="14"/>
    </row>
    <row r="84" spans="1:45" s="16" customFormat="1" ht="30.95" hidden="1" customHeight="1" x14ac:dyDescent="0.2">
      <c r="A84" s="35"/>
      <c r="B84" s="36"/>
      <c r="C84" s="43"/>
      <c r="D84" s="29"/>
      <c r="E84" s="29"/>
      <c r="F84" s="255" t="str">
        <f>IF(D84="","",VLOOKUP(D84,契約台帳!$A$3:$K$4986,6,FALSE)&amp;VLOOKUP(D84,契約台帳!$A$3:$K$4986,7,FALSE)&amp;VLOOKUP(D84,契約台帳!$A$3:$K$4986,8,FALSE)&amp;VLOOKUP(D84,契約台帳!$A$3:$K$4986,9,FALSE)&amp;VLOOKUP(D84,契約台帳!$A$3:$K$4986,11,FALSE))</f>
        <v/>
      </c>
      <c r="G84" s="256" t="str">
        <f>IF(D84="","",VLOOKUP(F84,製品マスタ!$G$5:$H$4999,2,FALSE))</f>
        <v/>
      </c>
      <c r="H84" s="256" t="str">
        <f>IF(D84="","",VLOOKUP(F84,製品マスタ!$G$5:$K$4999,5,FALSE))</f>
        <v/>
      </c>
      <c r="I84" s="200" t="str">
        <f>IF(D84="","",VLOOKUP(F84,製品マスタ!$G$5:$L$4999,6,FALSE))</f>
        <v/>
      </c>
      <c r="J84" s="203"/>
      <c r="K84" s="200" t="str">
        <f>IF(D84="","",VLOOKUP(D84,契約台帳!$A$3:$L$4986,12,FALSE))</f>
        <v/>
      </c>
      <c r="L84" s="200" t="str">
        <f>IF(D84="","",INDEX(製品マスタ!$Q$5:$Q$4999,MATCH('S4'!F84&amp;'S4'!K84,製品マスタ!$AO$5:$AO$4999,0)))</f>
        <v/>
      </c>
      <c r="M84" s="37"/>
      <c r="N84" s="37"/>
      <c r="O84" s="153"/>
      <c r="P84" s="45"/>
      <c r="Q84" s="54"/>
      <c r="R84" s="257" t="str">
        <f ca="1">IF(D84="","",IF(OFFSET(D84,-1,0)&lt;&gt;"","",IF(OR(J84="リード付け",J84="巻足し",J84="巻返しリード付け"),M84,VLOOKUP(D84,契約台帳!$A$3:$N$4986,14,FALSE))))</f>
        <v/>
      </c>
      <c r="S84" s="258" t="str">
        <f ca="1">IF(D84="","",IF(OFFSET(D84,-1,0)&lt;&gt;"","",IF(OR(J84="リード付け",J84="巻足し",J84="巻返しリード付け"),M84,VLOOKUP(D84,契約台帳!$A$3:$O$4986,15,FALSE))))</f>
        <v/>
      </c>
      <c r="T84" s="258" t="str">
        <f ca="1">IF(D84="","",IF(J84="リード付け",N84,IF(J84="巻返しリード付け",N84,IF(J84="巻足し",N84*P84+OFFSET(N84,1,0)*OFFSET(P84,1,0),VLOOKUP(D84,契約台帳!$A$3:$P$4986,16,FALSE)))))</f>
        <v/>
      </c>
      <c r="U84" s="38"/>
      <c r="V84" s="259" t="str">
        <f ca="1">IF(D84="","",IF(OFFSET(D84,-2,0)=D84,"",VLOOKUP(D84,契約台帳!$A$3:$R$4986,18,FALSE)))</f>
        <v/>
      </c>
      <c r="W84" s="256" t="str">
        <f>IF(D84="","",IF(T84="","",IF(OR(J84="巻足し",J84="巻返しリード付け"),"",IF(J84="巻返し",VLOOKUP(F84&amp;K84&amp;M84,製品マスタ!$M$5:$AD$4999,18,FALSE),IF(OR(J84="リード付け",J84="巻返しリード付け"),"原反コア",IF(J84="スリット",VLOOKUP(F84&amp;K84&amp;R84,製品マスタ!$N$5:$AD$4999,17,FALSE),""))))))</f>
        <v/>
      </c>
      <c r="X84" s="256" t="str">
        <f>IF(D84="","",IF(T84="","",IF(J84="巻足し","",IF(J84="巻返し",VLOOKUP(F84&amp;K84&amp;M84,製品マスタ!$M$5:$AE$4999,19,FALSE),IF(OR(J84="リード付け",J84="巻返しリード付け"),"",IF(J84="スリット",VLOOKUP(F84&amp;K84&amp;R84,製品マスタ!$N$5:$AE$4999,18,FALSE),""))))))</f>
        <v/>
      </c>
      <c r="Y84" s="256" t="str">
        <f>IF(D84="","",IF(T84="","",VLOOKUP(D84,契約台帳!$A$3:$Q$4986,17,FALSE)))</f>
        <v/>
      </c>
      <c r="Z84" s="256" t="str">
        <f>IF(D84="","",IF(T84="","",VLOOKUP(D84,契約台帳!$A$3:$E$4986,5,FALSE)))</f>
        <v/>
      </c>
      <c r="AA84" s="54"/>
      <c r="AB84" s="200" t="str">
        <f>IFERROR((VLOOKUP(F84&amp;K84&amp;M84,製品マスタ!$M$5:$AM$4999,27,FALSE)),"")</f>
        <v/>
      </c>
      <c r="AC84" s="31"/>
      <c r="AD84" s="184"/>
      <c r="AE84" s="51"/>
      <c r="AF84" s="52"/>
      <c r="AG84" s="41"/>
      <c r="AH84" s="45"/>
      <c r="AI84" s="28"/>
      <c r="AJ84" s="28"/>
      <c r="AK84" s="28"/>
      <c r="AL84" s="28"/>
      <c r="AM84" s="12"/>
      <c r="AN84" s="12"/>
      <c r="AO84" s="12"/>
      <c r="AP84" s="12"/>
      <c r="AQ84" s="12"/>
      <c r="AR84" s="13"/>
      <c r="AS84" s="14"/>
    </row>
    <row r="85" spans="1:45" s="16" customFormat="1" ht="30.95" hidden="1" customHeight="1" x14ac:dyDescent="0.2">
      <c r="A85" s="35"/>
      <c r="B85" s="36"/>
      <c r="C85" s="43"/>
      <c r="D85" s="29">
        <v>3694123</v>
      </c>
      <c r="E85" s="29">
        <v>4140874</v>
      </c>
      <c r="F85" s="255" t="str">
        <f>IF(D85="","",VLOOKUP(D85,契約台帳!$A$3:$K$4986,6,FALSE)&amp;VLOOKUP(D85,契約台帳!$A$3:$K$4986,7,FALSE)&amp;VLOOKUP(D85,契約台帳!$A$3:$K$4986,8,FALSE)&amp;VLOOKUP(D85,契約台帳!$A$3:$K$4986,9,FALSE)&amp;VLOOKUP(D85,契約台帳!$A$3:$K$4986,11,FALSE))</f>
        <v>3SNCLBLMEYK</v>
      </c>
      <c r="G85" s="256" t="str">
        <f>IF(D85="","",VLOOKUP(F85,製品マスタ!$G$5:$H$4999,2,FALSE))</f>
        <v>S</v>
      </c>
      <c r="H85" s="256" t="str">
        <f>IF(D85="","",VLOOKUP(F85,製品マスタ!$G$5:$K$4999,5,FALSE))</f>
        <v>LMEYK</v>
      </c>
      <c r="I85" s="200" t="str">
        <f>IF(D85="","",VLOOKUP(F85,製品マスタ!$G$5:$L$4999,6,FALSE))</f>
        <v>ルミマットＥＹＫ</v>
      </c>
      <c r="J85" s="203" t="s">
        <v>801</v>
      </c>
      <c r="K85" s="200">
        <f>IF(D85="","",VLOOKUP(D85,契約台帳!$A$3:$L$4986,12,FALSE))</f>
        <v>38</v>
      </c>
      <c r="L85" s="200" t="str">
        <f>IF(D85="","",INDEX(製品マスタ!$Q$5:$Q$4999,MATCH('S4'!F85&amp;'S4'!K85,製品マスタ!$AO$5:$AO$4999,0)))</f>
        <v>LUMIMAT</v>
      </c>
      <c r="M85" s="37">
        <v>1005</v>
      </c>
      <c r="N85" s="37">
        <v>8000</v>
      </c>
      <c r="O85" s="153">
        <v>1</v>
      </c>
      <c r="P85" s="45"/>
      <c r="Q85" s="54"/>
      <c r="R85" s="257">
        <f ca="1">IF(D85="","",IF(OFFSET(D85,-1,0)&lt;&gt;"","",IF(OR(J85="リード付け",J85="巻足し",J85="巻返しリード付け"),M85,VLOOKUP(D85,契約台帳!$A$3:$N$4986,14,FALSE))))</f>
        <v>1005</v>
      </c>
      <c r="S85" s="258">
        <f ca="1">IF(D85="","",IF(OFFSET(D85,-1,0)&lt;&gt;"","",IF(OR(J85="リード付け",J85="巻足し",J85="巻返しリード付け"),M85,VLOOKUP(D85,契約台帳!$A$3:$O$4986,15,FALSE))))</f>
        <v>1000</v>
      </c>
      <c r="T85" s="258">
        <f ca="1">IF(D85="","",IF(J85="リード付け",N85,IF(J85="巻返しリード付け",N85,IF(J85="巻足し",N85*P85+OFFSET(N85,1,0)*OFFSET(P85,1,0),VLOOKUP(D85,契約台帳!$A$3:$P$4986,16,FALSE)))))</f>
        <v>4000</v>
      </c>
      <c r="U85" s="38">
        <v>2</v>
      </c>
      <c r="V85" s="259">
        <f ca="1">IF(D85="","",IF(OFFSET(D85,-2,0)=D85,"",VLOOKUP(D85,契約台帳!$A$3:$R$4986,18,FALSE)))</f>
        <v>2</v>
      </c>
      <c r="W85" s="256" t="str">
        <f ca="1">IF(D85="","",IF(T85="","",IF(OR(J85="巻足し",J85="巻返しリード付け"),"",IF(J85="巻返し",VLOOKUP(F85&amp;K85&amp;M85,製品マスタ!$M$5:$AD$4999,18,FALSE),IF(OR(J85="リード付け",J85="巻返しリード付け"),"原反コア",IF(J85="スリット",VLOOKUP(F85&amp;K85&amp;R85,製品マスタ!$N$5:$AD$4999,17,FALSE),""))))))</f>
        <v>3ｲﾝﾁSｺｱ</v>
      </c>
      <c r="X85" s="256">
        <f ca="1">IF(D85="","",IF(T85="","",IF(J85="巻足し","",IF(J85="巻返し",VLOOKUP(F85&amp;K85&amp;M85,製品マスタ!$M$5:$AE$4999,19,FALSE),IF(OR(J85="リード付け",J85="巻返しリード付け"),"",IF(J85="スリット",VLOOKUP(F85&amp;K85&amp;R85,製品マスタ!$N$5:$AE$4999,18,FALSE),""))))))</f>
        <v>1015</v>
      </c>
      <c r="Y85" s="256">
        <f ca="1">IF(D85="","",IF(T85="","",VLOOKUP(D85,契約台帳!$A$3:$Q$4986,17,FALSE)))</f>
        <v>2</v>
      </c>
      <c r="Z85" s="256" t="str">
        <f ca="1">IF(D85="","",IF(T85="","",VLOOKUP(D85,契約台帳!$A$3:$E$4986,5,FALSE)))</f>
        <v>リンテック㈱</v>
      </c>
      <c r="AA85" s="54">
        <v>44946</v>
      </c>
      <c r="AB85" s="200">
        <f>IFERROR((VLOOKUP(F85&amp;K85&amp;M85,製品マスタ!$M$5:$AM$4999,27,FALSE)),"")</f>
        <v>0</v>
      </c>
      <c r="AC85" s="31"/>
      <c r="AD85" s="184"/>
      <c r="AE85" s="51"/>
      <c r="AF85" s="52"/>
      <c r="AG85" s="41"/>
      <c r="AH85" s="45"/>
      <c r="AI85" s="28"/>
      <c r="AJ85" s="28"/>
      <c r="AK85" s="28"/>
      <c r="AL85" s="28"/>
      <c r="AM85" s="12"/>
      <c r="AN85" s="12"/>
      <c r="AO85" s="12"/>
      <c r="AP85" s="12"/>
      <c r="AQ85" s="12"/>
      <c r="AR85" s="13"/>
      <c r="AS85" s="14"/>
    </row>
    <row r="86" spans="1:45" s="16" customFormat="1" ht="30.95" hidden="1" customHeight="1" x14ac:dyDescent="0.2">
      <c r="A86" s="35"/>
      <c r="B86" s="36"/>
      <c r="C86" s="43"/>
      <c r="D86" s="29"/>
      <c r="E86" s="29"/>
      <c r="F86" s="255" t="str">
        <f>IF(D86="","",VLOOKUP(D86,契約台帳!$A$3:$K$4986,6,FALSE)&amp;VLOOKUP(D86,契約台帳!$A$3:$K$4986,7,FALSE)&amp;VLOOKUP(D86,契約台帳!$A$3:$K$4986,8,FALSE)&amp;VLOOKUP(D86,契約台帳!$A$3:$K$4986,9,FALSE)&amp;VLOOKUP(D86,契約台帳!$A$3:$K$4986,11,FALSE))</f>
        <v/>
      </c>
      <c r="G86" s="256" t="str">
        <f>IF(D86="","",VLOOKUP(F86,製品マスタ!$G$5:$H$4999,2,FALSE))</f>
        <v/>
      </c>
      <c r="H86" s="256" t="str">
        <f>IF(D86="","",VLOOKUP(F86,製品マスタ!$G$5:$K$4999,5,FALSE))</f>
        <v/>
      </c>
      <c r="I86" s="200" t="str">
        <f>IF(D86="","",VLOOKUP(F86,製品マスタ!$G$5:$L$4999,6,FALSE))</f>
        <v/>
      </c>
      <c r="J86" s="203"/>
      <c r="K86" s="200" t="str">
        <f>IF(D86="","",VLOOKUP(D86,契約台帳!$A$3:$L$4986,12,FALSE))</f>
        <v/>
      </c>
      <c r="L86" s="200" t="str">
        <f>IF(D86="","",INDEX(製品マスタ!$Q$5:$Q$4999,MATCH('S4'!F86&amp;'S4'!K86,製品マスタ!$AO$5:$AO$4999,0)))</f>
        <v/>
      </c>
      <c r="M86" s="37"/>
      <c r="N86" s="37"/>
      <c r="O86" s="153"/>
      <c r="P86" s="45"/>
      <c r="Q86" s="54"/>
      <c r="R86" s="257" t="str">
        <f ca="1">IF(D86="","",IF(OFFSET(D86,-1,0)&lt;&gt;"","",IF(OR(J86="リード付け",J86="巻足し",J86="巻返しリード付け"),M86,VLOOKUP(D86,契約台帳!$A$3:$N$4986,14,FALSE))))</f>
        <v/>
      </c>
      <c r="S86" s="258" t="str">
        <f ca="1">IF(D86="","",IF(OFFSET(D86,-1,0)&lt;&gt;"","",IF(OR(J86="リード付け",J86="巻足し",J86="巻返しリード付け"),M86,VLOOKUP(D86,契約台帳!$A$3:$O$4986,15,FALSE))))</f>
        <v/>
      </c>
      <c r="T86" s="258" t="str">
        <f ca="1">IF(D86="","",IF(J86="リード付け",N86,IF(J86="巻返しリード付け",N86,IF(J86="巻足し",N86*P86+OFFSET(N86,1,0)*OFFSET(P86,1,0),VLOOKUP(D86,契約台帳!$A$3:$P$4986,16,FALSE)))))</f>
        <v/>
      </c>
      <c r="U86" s="38"/>
      <c r="V86" s="259" t="str">
        <f ca="1">IF(D86="","",IF(OFFSET(D86,-2,0)=D86,"",VLOOKUP(D86,契約台帳!$A$3:$R$4986,18,FALSE)))</f>
        <v/>
      </c>
      <c r="W86" s="256" t="str">
        <f>IF(D86="","",IF(T86="","",IF(OR(J86="巻足し",J86="巻返しリード付け"),"",IF(J86="巻返し",VLOOKUP(F86&amp;K86&amp;M86,製品マスタ!$M$5:$AD$4999,18,FALSE),IF(OR(J86="リード付け",J86="巻返しリード付け"),"原反コア",IF(J86="スリット",VLOOKUP(F86&amp;K86&amp;R86,製品マスタ!$N$5:$AD$4999,17,FALSE),""))))))</f>
        <v/>
      </c>
      <c r="X86" s="256" t="str">
        <f>IF(D86="","",IF(T86="","",IF(J86="巻足し","",IF(J86="巻返し",VLOOKUP(F86&amp;K86&amp;M86,製品マスタ!$M$5:$AE$4999,19,FALSE),IF(OR(J86="リード付け",J86="巻返しリード付け"),"",IF(J86="スリット",VLOOKUP(F86&amp;K86&amp;R86,製品マスタ!$N$5:$AE$4999,18,FALSE),""))))))</f>
        <v/>
      </c>
      <c r="Y86" s="256" t="str">
        <f>IF(D86="","",IF(T86="","",VLOOKUP(D86,契約台帳!$A$3:$Q$4986,17,FALSE)))</f>
        <v/>
      </c>
      <c r="Z86" s="256" t="str">
        <f>IF(D86="","",IF(T86="","",VLOOKUP(D86,契約台帳!$A$3:$E$4986,5,FALSE)))</f>
        <v/>
      </c>
      <c r="AA86" s="54"/>
      <c r="AB86" s="200" t="str">
        <f>IFERROR((VLOOKUP(F86&amp;K86&amp;M86,製品マスタ!$M$5:$AM$4999,27,FALSE)),"")</f>
        <v/>
      </c>
      <c r="AC86" s="31"/>
      <c r="AD86" s="184"/>
      <c r="AE86" s="51"/>
      <c r="AF86" s="52"/>
      <c r="AG86" s="41"/>
      <c r="AH86" s="45"/>
      <c r="AI86" s="28"/>
      <c r="AJ86" s="28"/>
      <c r="AK86" s="28"/>
      <c r="AL86" s="28"/>
      <c r="AM86" s="12"/>
      <c r="AN86" s="12"/>
      <c r="AO86" s="12"/>
      <c r="AP86" s="12"/>
      <c r="AQ86" s="12"/>
      <c r="AR86" s="13"/>
      <c r="AS86" s="14"/>
    </row>
    <row r="87" spans="1:45" s="16" customFormat="1" ht="30.95" hidden="1" customHeight="1" x14ac:dyDescent="0.2">
      <c r="A87" s="35"/>
      <c r="B87" s="36"/>
      <c r="C87" s="43"/>
      <c r="D87" s="29">
        <v>3694124</v>
      </c>
      <c r="E87" s="29">
        <v>4140875</v>
      </c>
      <c r="F87" s="255" t="str">
        <f>IF(D87="","",VLOOKUP(D87,契約台帳!$A$3:$K$4986,6,FALSE)&amp;VLOOKUP(D87,契約台帳!$A$3:$K$4986,7,FALSE)&amp;VLOOKUP(D87,契約台帳!$A$3:$K$4986,8,FALSE)&amp;VLOOKUP(D87,契約台帳!$A$3:$K$4986,9,FALSE)&amp;VLOOKUP(D87,契約台帳!$A$3:$K$4986,11,FALSE))</f>
        <v>3SNCLBLMEYK</v>
      </c>
      <c r="G87" s="256" t="str">
        <f>IF(D87="","",VLOOKUP(F87,製品マスタ!$G$5:$H$4999,2,FALSE))</f>
        <v>S</v>
      </c>
      <c r="H87" s="256" t="str">
        <f>IF(D87="","",VLOOKUP(F87,製品マスタ!$G$5:$K$4999,5,FALSE))</f>
        <v>LMEYK</v>
      </c>
      <c r="I87" s="200" t="str">
        <f>IF(D87="","",VLOOKUP(F87,製品マスタ!$G$5:$L$4999,6,FALSE))</f>
        <v>ルミマットＥＹＫ</v>
      </c>
      <c r="J87" s="203" t="s">
        <v>801</v>
      </c>
      <c r="K87" s="200">
        <f>IF(D87="","",VLOOKUP(D87,契約台帳!$A$3:$L$4986,12,FALSE))</f>
        <v>38</v>
      </c>
      <c r="L87" s="200" t="str">
        <f>IF(D87="","",INDEX(製品マスタ!$Q$5:$Q$4999,MATCH('S4'!F87&amp;'S4'!K87,製品マスタ!$AO$5:$AO$4999,0)))</f>
        <v>LUMIMAT</v>
      </c>
      <c r="M87" s="37">
        <v>1005</v>
      </c>
      <c r="N87" s="37">
        <v>4000</v>
      </c>
      <c r="O87" s="153">
        <v>2</v>
      </c>
      <c r="P87" s="45"/>
      <c r="Q87" s="54"/>
      <c r="R87" s="257">
        <f ca="1">IF(D87="","",IF(OFFSET(D87,-1,0)&lt;&gt;"","",IF(OR(J87="リード付け",J87="巻足し",J87="巻返しリード付け"),M87,VLOOKUP(D87,契約台帳!$A$3:$N$4986,14,FALSE))))</f>
        <v>1005</v>
      </c>
      <c r="S87" s="258">
        <f ca="1">IF(D87="","",IF(OFFSET(D87,-1,0)&lt;&gt;"","",IF(OR(J87="リード付け",J87="巻足し",J87="巻返しリード付け"),M87,VLOOKUP(D87,契約台帳!$A$3:$O$4986,15,FALSE))))</f>
        <v>1000</v>
      </c>
      <c r="T87" s="258">
        <f ca="1">IF(D87="","",IF(J87="リード付け",N87,IF(J87="巻返しリード付け",N87,IF(J87="巻足し",N87*P87+OFFSET(N87,1,0)*OFFSET(P87,1,0),VLOOKUP(D87,契約台帳!$A$3:$P$4986,16,FALSE)))))</f>
        <v>4000</v>
      </c>
      <c r="U87" s="38">
        <v>2</v>
      </c>
      <c r="V87" s="259">
        <f ca="1">IF(D87="","",IF(OFFSET(D87,-2,0)=D87,"",VLOOKUP(D87,契約台帳!$A$3:$R$4986,18,FALSE)))</f>
        <v>2</v>
      </c>
      <c r="W87" s="256" t="str">
        <f ca="1">IF(D87="","",IF(T87="","",IF(OR(J87="巻足し",J87="巻返しリード付け"),"",IF(J87="巻返し",VLOOKUP(F87&amp;K87&amp;M87,製品マスタ!$M$5:$AD$4999,18,FALSE),IF(OR(J87="リード付け",J87="巻返しリード付け"),"原反コア",IF(J87="スリット",VLOOKUP(F87&amp;K87&amp;R87,製品マスタ!$N$5:$AD$4999,17,FALSE),""))))))</f>
        <v>3ｲﾝﾁSｺｱ</v>
      </c>
      <c r="X87" s="256">
        <f ca="1">IF(D87="","",IF(T87="","",IF(J87="巻足し","",IF(J87="巻返し",VLOOKUP(F87&amp;K87&amp;M87,製品マスタ!$M$5:$AE$4999,19,FALSE),IF(OR(J87="リード付け",J87="巻返しリード付け"),"",IF(J87="スリット",VLOOKUP(F87&amp;K87&amp;R87,製品マスタ!$N$5:$AE$4999,18,FALSE),""))))))</f>
        <v>1015</v>
      </c>
      <c r="Y87" s="256">
        <f ca="1">IF(D87="","",IF(T87="","",VLOOKUP(D87,契約台帳!$A$3:$Q$4986,17,FALSE)))</f>
        <v>2</v>
      </c>
      <c r="Z87" s="256" t="str">
        <f ca="1">IF(D87="","",IF(T87="","",VLOOKUP(D87,契約台帳!$A$3:$E$4986,5,FALSE)))</f>
        <v>リンテック㈱</v>
      </c>
      <c r="AA87" s="54">
        <v>44946</v>
      </c>
      <c r="AB87" s="200">
        <f>IFERROR((VLOOKUP(F87&amp;K87&amp;M87,製品マスタ!$M$5:$AM$4999,27,FALSE)),"")</f>
        <v>0</v>
      </c>
      <c r="AC87" s="31"/>
      <c r="AD87" s="184"/>
      <c r="AE87" s="51"/>
      <c r="AF87" s="52"/>
      <c r="AG87" s="41"/>
      <c r="AH87" s="45"/>
      <c r="AI87" s="28"/>
      <c r="AJ87" s="28"/>
      <c r="AK87" s="28"/>
      <c r="AL87" s="28"/>
      <c r="AM87" s="12"/>
      <c r="AN87" s="12"/>
      <c r="AO87" s="12"/>
      <c r="AP87" s="12"/>
      <c r="AQ87" s="12"/>
      <c r="AR87" s="13"/>
      <c r="AS87" s="14"/>
    </row>
    <row r="88" spans="1:45" s="16" customFormat="1" ht="30.95" hidden="1" customHeight="1" x14ac:dyDescent="0.2">
      <c r="A88" s="35"/>
      <c r="B88" s="36"/>
      <c r="C88" s="43"/>
      <c r="D88" s="29"/>
      <c r="E88" s="29"/>
      <c r="F88" s="255" t="str">
        <f>IF(D88="","",VLOOKUP(D88,契約台帳!$A$3:$K$4986,6,FALSE)&amp;VLOOKUP(D88,契約台帳!$A$3:$K$4986,7,FALSE)&amp;VLOOKUP(D88,契約台帳!$A$3:$K$4986,8,FALSE)&amp;VLOOKUP(D88,契約台帳!$A$3:$K$4986,9,FALSE)&amp;VLOOKUP(D88,契約台帳!$A$3:$K$4986,11,FALSE))</f>
        <v/>
      </c>
      <c r="G88" s="256" t="str">
        <f>IF(D88="","",VLOOKUP(F88,製品マスタ!$G$5:$H$4999,2,FALSE))</f>
        <v/>
      </c>
      <c r="H88" s="256" t="str">
        <f>IF(D88="","",VLOOKUP(F88,製品マスタ!$G$5:$K$4999,5,FALSE))</f>
        <v/>
      </c>
      <c r="I88" s="200" t="str">
        <f>IF(D88="","",VLOOKUP(F88,製品マスタ!$G$5:$L$4999,6,FALSE))</f>
        <v/>
      </c>
      <c r="J88" s="203"/>
      <c r="K88" s="200" t="str">
        <f>IF(D88="","",VLOOKUP(D88,契約台帳!$A$3:$L$4986,12,FALSE))</f>
        <v/>
      </c>
      <c r="L88" s="200" t="str">
        <f>IF(D88="","",INDEX(製品マスタ!$Q$5:$Q$4999,MATCH('S4'!F88&amp;'S4'!K88,製品マスタ!$AO$5:$AO$4999,0)))</f>
        <v/>
      </c>
      <c r="M88" s="37"/>
      <c r="N88" s="37"/>
      <c r="O88" s="153"/>
      <c r="P88" s="45"/>
      <c r="Q88" s="54"/>
      <c r="R88" s="257" t="str">
        <f ca="1">IF(D88="","",IF(OFFSET(D88,-1,0)&lt;&gt;"","",IF(OR(J88="リード付け",J88="巻足し",J88="巻返しリード付け"),M88,VLOOKUP(D88,契約台帳!$A$3:$N$4986,14,FALSE))))</f>
        <v/>
      </c>
      <c r="S88" s="258" t="str">
        <f ca="1">IF(D88="","",IF(OFFSET(D88,-1,0)&lt;&gt;"","",IF(OR(J88="リード付け",J88="巻足し",J88="巻返しリード付け"),M88,VLOOKUP(D88,契約台帳!$A$3:$O$4986,15,FALSE))))</f>
        <v/>
      </c>
      <c r="T88" s="258" t="str">
        <f ca="1">IF(D88="","",IF(J88="リード付け",N88,IF(J88="巻返しリード付け",N88,IF(J88="巻足し",N88*P88+OFFSET(N88,1,0)*OFFSET(P88,1,0),VLOOKUP(D88,契約台帳!$A$3:$P$4986,16,FALSE)))))</f>
        <v/>
      </c>
      <c r="U88" s="38"/>
      <c r="V88" s="259" t="str">
        <f ca="1">IF(D88="","",IF(OFFSET(D88,-2,0)=D88,"",VLOOKUP(D88,契約台帳!$A$3:$R$4986,18,FALSE)))</f>
        <v/>
      </c>
      <c r="W88" s="256" t="str">
        <f>IF(D88="","",IF(T88="","",IF(OR(J88="巻足し",J88="巻返しリード付け"),"",IF(J88="巻返し",VLOOKUP(F88&amp;K88&amp;M88,製品マスタ!$M$5:$AD$4999,18,FALSE),IF(OR(J88="リード付け",J88="巻返しリード付け"),"原反コア",IF(J88="スリット",VLOOKUP(F88&amp;K88&amp;R88,製品マスタ!$N$5:$AD$4999,17,FALSE),""))))))</f>
        <v/>
      </c>
      <c r="X88" s="256" t="str">
        <f>IF(D88="","",IF(T88="","",IF(J88="巻足し","",IF(J88="巻返し",VLOOKUP(F88&amp;K88&amp;M88,製品マスタ!$M$5:$AE$4999,19,FALSE),IF(OR(J88="リード付け",J88="巻返しリード付け"),"",IF(J88="スリット",VLOOKUP(F88&amp;K88&amp;R88,製品マスタ!$N$5:$AE$4999,18,FALSE),""))))))</f>
        <v/>
      </c>
      <c r="Y88" s="256" t="str">
        <f>IF(D88="","",IF(T88="","",VLOOKUP(D88,契約台帳!$A$3:$Q$4986,17,FALSE)))</f>
        <v/>
      </c>
      <c r="Z88" s="256" t="str">
        <f>IF(D88="","",IF(T88="","",VLOOKUP(D88,契約台帳!$A$3:$E$4986,5,FALSE)))</f>
        <v/>
      </c>
      <c r="AA88" s="54"/>
      <c r="AB88" s="200" t="str">
        <f>IFERROR((VLOOKUP(F88&amp;K88&amp;M88,製品マスタ!$M$5:$AM$4999,27,FALSE)),"")</f>
        <v/>
      </c>
      <c r="AC88" s="31"/>
      <c r="AD88" s="184"/>
      <c r="AE88" s="51"/>
      <c r="AF88" s="52"/>
      <c r="AG88" s="41"/>
      <c r="AH88" s="45"/>
      <c r="AI88" s="28"/>
      <c r="AJ88" s="28"/>
      <c r="AK88" s="28"/>
      <c r="AL88" s="28"/>
      <c r="AM88" s="12"/>
      <c r="AN88" s="12"/>
      <c r="AO88" s="12"/>
      <c r="AP88" s="12"/>
      <c r="AQ88" s="12"/>
      <c r="AR88" s="13"/>
      <c r="AS88" s="14"/>
    </row>
    <row r="89" spans="1:45" s="16" customFormat="1" ht="30.95" hidden="1" customHeight="1" x14ac:dyDescent="0.2">
      <c r="A89" s="35"/>
      <c r="B89" s="36"/>
      <c r="C89" s="43"/>
      <c r="D89" s="29">
        <v>3694109</v>
      </c>
      <c r="E89" s="29">
        <v>4140870</v>
      </c>
      <c r="F89" s="255" t="str">
        <f>IF(D89="","",VLOOKUP(D89,契約台帳!$A$3:$K$4986,6,FALSE)&amp;VLOOKUP(D89,契約台帳!$A$3:$K$4986,7,FALSE)&amp;VLOOKUP(D89,契約台帳!$A$3:$K$4986,8,FALSE)&amp;VLOOKUP(D89,契約台帳!$A$3:$K$4986,9,FALSE)&amp;VLOOKUP(D89,契約台帳!$A$3:$K$4986,11,FALSE))</f>
        <v>3SNMCLBNGKEYKB</v>
      </c>
      <c r="G89" s="256" t="str">
        <f>IF(D89="","",VLOOKUP(F89,製品マスタ!$G$5:$H$4999,2,FALSE))</f>
        <v>S</v>
      </c>
      <c r="H89" s="256" t="str">
        <f>IF(D89="","",VLOOKUP(F89,製品マスタ!$G$5:$K$4999,5,FALSE))</f>
        <v>NGKEYKB</v>
      </c>
      <c r="I89" s="200" t="str">
        <f>IF(D89="","",VLOOKUP(F89,製品マスタ!$G$5:$L$4999,6,FALSE))</f>
        <v>メタルミー　ネーマー銀消ＥＹＫ　Ｂ</v>
      </c>
      <c r="J89" s="203" t="s">
        <v>801</v>
      </c>
      <c r="K89" s="200">
        <f>IF(D89="","",VLOOKUP(D89,契約台帳!$A$3:$L$4986,12,FALSE))</f>
        <v>16</v>
      </c>
      <c r="L89" s="200" t="str">
        <f>IF(D89="","",INDEX(製品マスタ!$Q$5:$Q$4999,MATCH('S4'!F89&amp;'S4'!K89,製品マスタ!$AO$5:$AO$4999,0)))</f>
        <v>LUMIMAT</v>
      </c>
      <c r="M89" s="37">
        <v>1005</v>
      </c>
      <c r="N89" s="37">
        <v>3200</v>
      </c>
      <c r="O89" s="153">
        <v>1</v>
      </c>
      <c r="P89" s="45"/>
      <c r="Q89" s="54"/>
      <c r="R89" s="257">
        <f ca="1">IF(D89="","",IF(OFFSET(D89,-1,0)&lt;&gt;"","",IF(OR(J89="リード付け",J89="巻足し",J89="巻返しリード付け"),M89,VLOOKUP(D89,契約台帳!$A$3:$N$4986,14,FALSE))))</f>
        <v>1005</v>
      </c>
      <c r="S89" s="258">
        <f ca="1">IF(D89="","",IF(OFFSET(D89,-1,0)&lt;&gt;"","",IF(OR(J89="リード付け",J89="巻足し",J89="巻返しリード付け"),M89,VLOOKUP(D89,契約台帳!$A$3:$O$4986,15,FALSE))))</f>
        <v>1000</v>
      </c>
      <c r="T89" s="258">
        <f ca="1">IF(D89="","",IF(J89="リード付け",N89,IF(J89="巻返しリード付け",N89,IF(J89="巻足し",N89*P89+OFFSET(N89,1,0)*OFFSET(P89,1,0),VLOOKUP(D89,契約台帳!$A$3:$P$4986,16,FALSE)))))</f>
        <v>3200</v>
      </c>
      <c r="U89" s="38">
        <v>1</v>
      </c>
      <c r="V89" s="259">
        <f ca="1">IF(D89="","",IF(OFFSET(D89,-2,0)=D89,"",VLOOKUP(D89,契約台帳!$A$3:$R$4986,18,FALSE)))</f>
        <v>1</v>
      </c>
      <c r="W89" s="256" t="str">
        <f ca="1">IF(D89="","",IF(T89="","",IF(OR(J89="巻足し",J89="巻返しリード付け"),"",IF(J89="巻返し",VLOOKUP(F89&amp;K89&amp;M89,製品マスタ!$M$5:$AD$4999,18,FALSE),IF(OR(J89="リード付け",J89="巻返しリード付け"),"原反コア",IF(J89="スリット",VLOOKUP(F89&amp;K89&amp;R89,製品マスタ!$N$5:$AD$4999,17,FALSE),""))))))</f>
        <v>6ｲﾝﾁMｺｱ</v>
      </c>
      <c r="X89" s="256">
        <f ca="1">IF(D89="","",IF(T89="","",IF(J89="巻足し","",IF(J89="巻返し",VLOOKUP(F89&amp;K89&amp;M89,製品マスタ!$M$5:$AE$4999,19,FALSE),IF(OR(J89="リード付け",J89="巻返しリード付け"),"",IF(J89="スリット",VLOOKUP(F89&amp;K89&amp;R89,製品マスタ!$N$5:$AE$4999,18,FALSE),""))))))</f>
        <v>1020</v>
      </c>
      <c r="Y89" s="256">
        <f ca="1">IF(D89="","",IF(T89="","",VLOOKUP(D89,契約台帳!$A$3:$Q$4986,17,FALSE)))</f>
        <v>2</v>
      </c>
      <c r="Z89" s="256" t="str">
        <f ca="1">IF(D89="","",IF(T89="","",VLOOKUP(D89,契約台帳!$A$3:$E$4986,5,FALSE)))</f>
        <v>リンテック㈱</v>
      </c>
      <c r="AA89" s="54">
        <v>44946</v>
      </c>
      <c r="AB89" s="200">
        <f>IFERROR((VLOOKUP(F89&amp;K89&amp;M89,製品マスタ!$M$5:$AM$4999,27,FALSE)),"")</f>
        <v>0</v>
      </c>
      <c r="AC89" s="31"/>
      <c r="AD89" s="184"/>
      <c r="AE89" s="51"/>
      <c r="AF89" s="52"/>
      <c r="AG89" s="41"/>
      <c r="AH89" s="45"/>
      <c r="AI89" s="28"/>
      <c r="AJ89" s="28"/>
      <c r="AK89" s="28"/>
      <c r="AL89" s="28"/>
      <c r="AM89" s="12"/>
      <c r="AN89" s="12"/>
      <c r="AO89" s="12"/>
      <c r="AP89" s="12"/>
      <c r="AQ89" s="12"/>
      <c r="AR89" s="13"/>
      <c r="AS89" s="14"/>
    </row>
    <row r="90" spans="1:45" s="16" customFormat="1" ht="30.95" hidden="1" customHeight="1" x14ac:dyDescent="0.2">
      <c r="A90" s="35"/>
      <c r="B90" s="36"/>
      <c r="C90" s="43"/>
      <c r="D90" s="29"/>
      <c r="E90" s="29"/>
      <c r="F90" s="255" t="str">
        <f>IF(D90="","",VLOOKUP(D90,契約台帳!$A$3:$K$4986,6,FALSE)&amp;VLOOKUP(D90,契約台帳!$A$3:$K$4986,7,FALSE)&amp;VLOOKUP(D90,契約台帳!$A$3:$K$4986,8,FALSE)&amp;VLOOKUP(D90,契約台帳!$A$3:$K$4986,9,FALSE)&amp;VLOOKUP(D90,契約台帳!$A$3:$K$4986,11,FALSE))</f>
        <v/>
      </c>
      <c r="G90" s="256" t="str">
        <f>IF(D90="","",VLOOKUP(F90,製品マスタ!$G$5:$H$4999,2,FALSE))</f>
        <v/>
      </c>
      <c r="H90" s="256" t="str">
        <f>IF(D90="","",VLOOKUP(F90,製品マスタ!$G$5:$K$4999,5,FALSE))</f>
        <v/>
      </c>
      <c r="I90" s="200" t="str">
        <f>IF(D90="","",VLOOKUP(F90,製品マスタ!$G$5:$L$4999,6,FALSE))</f>
        <v/>
      </c>
      <c r="J90" s="203"/>
      <c r="K90" s="200" t="str">
        <f>IF(D90="","",VLOOKUP(D90,契約台帳!$A$3:$L$4986,12,FALSE))</f>
        <v/>
      </c>
      <c r="L90" s="200" t="str">
        <f>IF(D90="","",INDEX(製品マスタ!$Q$5:$Q$4999,MATCH('S4'!F90&amp;'S4'!K90,製品マスタ!$AO$5:$AO$4999,0)))</f>
        <v/>
      </c>
      <c r="M90" s="37"/>
      <c r="N90" s="37"/>
      <c r="O90" s="153"/>
      <c r="P90" s="45"/>
      <c r="Q90" s="54"/>
      <c r="R90" s="257" t="str">
        <f ca="1">IF(D90="","",IF(OFFSET(D90,-1,0)&lt;&gt;"","",IF(OR(J90="リード付け",J90="巻足し",J90="巻返しリード付け"),M90,VLOOKUP(D90,契約台帳!$A$3:$N$4986,14,FALSE))))</f>
        <v/>
      </c>
      <c r="S90" s="258" t="str">
        <f ca="1">IF(D90="","",IF(OFFSET(D90,-1,0)&lt;&gt;"","",IF(OR(J90="リード付け",J90="巻足し",J90="巻返しリード付け"),M90,VLOOKUP(D90,契約台帳!$A$3:$O$4986,15,FALSE))))</f>
        <v/>
      </c>
      <c r="T90" s="258" t="str">
        <f ca="1">IF(D90="","",IF(J90="リード付け",N90,IF(J90="巻返しリード付け",N90,IF(J90="巻足し",N90*P90+OFFSET(N90,1,0)*OFFSET(P90,1,0),VLOOKUP(D90,契約台帳!$A$3:$P$4986,16,FALSE)))))</f>
        <v/>
      </c>
      <c r="U90" s="38"/>
      <c r="V90" s="259" t="str">
        <f ca="1">IF(D90="","",IF(OFFSET(D90,-2,0)=D90,"",VLOOKUP(D90,契約台帳!$A$3:$R$4986,18,FALSE)))</f>
        <v/>
      </c>
      <c r="W90" s="256" t="str">
        <f>IF(D90="","",IF(T90="","",IF(OR(J90="巻足し",J90="巻返しリード付け"),"",IF(J90="巻返し",VLOOKUP(F90&amp;K90&amp;M90,製品マスタ!$M$5:$AD$4999,18,FALSE),IF(OR(J90="リード付け",J90="巻返しリード付け"),"原反コア",IF(J90="スリット",VLOOKUP(F90&amp;K90&amp;R90,製品マスタ!$N$5:$AD$4999,17,FALSE),""))))))</f>
        <v/>
      </c>
      <c r="X90" s="256" t="str">
        <f>IF(D90="","",IF(T90="","",IF(J90="巻足し","",IF(J90="巻返し",VLOOKUP(F90&amp;K90&amp;M90,製品マスタ!$M$5:$AE$4999,19,FALSE),IF(OR(J90="リード付け",J90="巻返しリード付け"),"",IF(J90="スリット",VLOOKUP(F90&amp;K90&amp;R90,製品マスタ!$N$5:$AE$4999,18,FALSE),""))))))</f>
        <v/>
      </c>
      <c r="Y90" s="256" t="str">
        <f>IF(D90="","",IF(T90="","",VLOOKUP(D90,契約台帳!$A$3:$Q$4986,17,FALSE)))</f>
        <v/>
      </c>
      <c r="Z90" s="256" t="str">
        <f>IF(D90="","",IF(T90="","",VLOOKUP(D90,契約台帳!$A$3:$E$4986,5,FALSE)))</f>
        <v/>
      </c>
      <c r="AA90" s="54"/>
      <c r="AB90" s="200" t="str">
        <f>IFERROR((VLOOKUP(F90&amp;K90&amp;M90,製品マスタ!$M$5:$AM$4999,27,FALSE)),"")</f>
        <v/>
      </c>
      <c r="AC90" s="31"/>
      <c r="AD90" s="184"/>
      <c r="AE90" s="51"/>
      <c r="AF90" s="52"/>
      <c r="AG90" s="41"/>
      <c r="AH90" s="45"/>
      <c r="AI90" s="28"/>
      <c r="AJ90" s="28"/>
      <c r="AK90" s="28"/>
      <c r="AL90" s="28"/>
      <c r="AM90" s="12"/>
      <c r="AN90" s="12"/>
      <c r="AO90" s="12"/>
      <c r="AP90" s="12"/>
      <c r="AQ90" s="12"/>
      <c r="AR90" s="13"/>
      <c r="AS90" s="14"/>
    </row>
    <row r="91" spans="1:45" s="16" customFormat="1" ht="30.95" hidden="1" customHeight="1" x14ac:dyDescent="0.2">
      <c r="A91" s="35"/>
      <c r="B91" s="36"/>
      <c r="C91" s="43"/>
      <c r="D91" s="29">
        <v>3694098</v>
      </c>
      <c r="E91" s="29">
        <v>4140862</v>
      </c>
      <c r="F91" s="255" t="str">
        <f>IF(D91="","",VLOOKUP(D91,契約台帳!$A$3:$K$4986,6,FALSE)&amp;VLOOKUP(D91,契約台帳!$A$3:$K$4986,7,FALSE)&amp;VLOOKUP(D91,契約台帳!$A$3:$K$4986,8,FALSE)&amp;VLOOKUP(D91,契約台帳!$A$3:$K$4986,9,FALSE)&amp;VLOOKUP(D91,契約台帳!$A$3:$K$4986,11,FALSE))</f>
        <v>3HSNMCLBEYK</v>
      </c>
      <c r="G91" s="256" t="str">
        <f>IF(D91="","",VLOOKUP(F91,製品マスタ!$G$5:$H$4999,2,FALSE))</f>
        <v>S</v>
      </c>
      <c r="H91" s="256" t="str">
        <f>IF(D91="","",VLOOKUP(F91,製品マスタ!$G$5:$K$4999,5,FALSE))</f>
        <v>EYK</v>
      </c>
      <c r="I91" s="200" t="str">
        <f>IF(D91="","",VLOOKUP(F91,製品マスタ!$G$5:$L$4999,6,FALSE))</f>
        <v>メタルミー　ＥＹＫ</v>
      </c>
      <c r="J91" s="203" t="s">
        <v>801</v>
      </c>
      <c r="K91" s="200">
        <f>IF(D91="","",VLOOKUP(D91,契約台帳!$A$3:$L$4986,12,FALSE))</f>
        <v>50</v>
      </c>
      <c r="L91" s="200" t="str">
        <f>IF(D91="","",INDEX(製品マスタ!$Q$5:$Q$4999,MATCH('S4'!F91&amp;'S4'!K91,製品マスタ!$AO$5:$AO$4999,0)))</f>
        <v>T62M</v>
      </c>
      <c r="M91" s="37">
        <v>1195</v>
      </c>
      <c r="N91" s="37">
        <v>12200</v>
      </c>
      <c r="O91" s="153">
        <v>3</v>
      </c>
      <c r="P91" s="45">
        <v>2</v>
      </c>
      <c r="Q91" s="54"/>
      <c r="R91" s="257">
        <f ca="1">IF(D91="","",IF(OFFSET(D91,-1,0)&lt;&gt;"","",IF(OR(J91="リード付け",J91="巻足し",J91="巻返しリード付け"),M91,VLOOKUP(D91,契約台帳!$A$3:$N$4986,14,FALSE))))</f>
        <v>1190</v>
      </c>
      <c r="S91" s="258">
        <f ca="1">IF(D91="","",IF(OFFSET(D91,-1,0)&lt;&gt;"","",IF(OR(J91="リード付け",J91="巻足し",J91="巻返しリード付け"),M91,VLOOKUP(D91,契約台帳!$A$3:$O$4986,15,FALSE))))</f>
        <v>1190</v>
      </c>
      <c r="T91" s="258">
        <f ca="1">IF(D91="","",IF(J91="リード付け",N91,IF(J91="巻返しリード付け",N91,IF(J91="巻足し",N91*P91+OFFSET(N91,1,0)*OFFSET(P91,1,0),VLOOKUP(D91,契約台帳!$A$3:$P$4986,16,FALSE)))))</f>
        <v>6000</v>
      </c>
      <c r="U91" s="38">
        <v>6</v>
      </c>
      <c r="V91" s="259">
        <f ca="1">IF(D91="","",IF(OFFSET(D91,-2,0)=D91,"",VLOOKUP(D91,契約台帳!$A$3:$R$4986,18,FALSE)))</f>
        <v>8</v>
      </c>
      <c r="W91" s="256" t="str">
        <f ca="1">IF(D91="","",IF(T91="","",IF(OR(J91="巻足し",J91="巻返しリード付け"),"",IF(J91="巻返し",VLOOKUP(F91&amp;K91&amp;M91,製品マスタ!$M$5:$AD$4999,18,FALSE),IF(OR(J91="リード付け",J91="巻返しリード付け"),"原反コア",IF(J91="スリット",VLOOKUP(F91&amp;K91&amp;R91,製品マスタ!$N$5:$AD$4999,17,FALSE),""))))))</f>
        <v>6ｲﾝﾁMｺｱ</v>
      </c>
      <c r="X91" s="256">
        <f ca="1">IF(D91="","",IF(T91="","",IF(J91="巻足し","",IF(J91="巻返し",VLOOKUP(F91&amp;K91&amp;M91,製品マスタ!$M$5:$AE$4999,19,FALSE),IF(OR(J91="リード付け",J91="巻返しリード付け"),"",IF(J91="スリット",VLOOKUP(F91&amp;K91&amp;R91,製品マスタ!$N$5:$AE$4999,18,FALSE),""))))))</f>
        <v>1220</v>
      </c>
      <c r="Y91" s="256">
        <f ca="1">IF(D91="","",IF(T91="","",VLOOKUP(D91,契約台帳!$A$3:$Q$4986,17,FALSE)))</f>
        <v>2</v>
      </c>
      <c r="Z91" s="256" t="str">
        <f ca="1">IF(D91="","",IF(T91="","",VLOOKUP(D91,契約台帳!$A$3:$E$4986,5,FALSE)))</f>
        <v>大阪シーリング印刷㈱</v>
      </c>
      <c r="AA91" s="54">
        <v>44946</v>
      </c>
      <c r="AB91" s="200" t="str">
        <f>IFERROR((VLOOKUP(F91&amp;K91&amp;M91,製品マスタ!$M$5:$AM$4999,27,FALSE)),"")</f>
        <v>原反ケース再利用</v>
      </c>
      <c r="AC91" s="31"/>
      <c r="AD91" s="184"/>
      <c r="AE91" s="51"/>
      <c r="AF91" s="52"/>
      <c r="AG91" s="41"/>
      <c r="AH91" s="45"/>
      <c r="AI91" s="28"/>
      <c r="AJ91" s="28"/>
      <c r="AK91" s="28"/>
      <c r="AL91" s="28"/>
      <c r="AM91" s="12"/>
      <c r="AN91" s="12"/>
      <c r="AO91" s="12"/>
      <c r="AP91" s="12"/>
      <c r="AQ91" s="12"/>
      <c r="AR91" s="13"/>
      <c r="AS91" s="14"/>
    </row>
    <row r="92" spans="1:45" s="16" customFormat="1" ht="30.95" hidden="1" customHeight="1" x14ac:dyDescent="0.2">
      <c r="A92" s="35"/>
      <c r="B92" s="36"/>
      <c r="C92" s="43"/>
      <c r="D92" s="29"/>
      <c r="E92" s="29"/>
      <c r="F92" s="255" t="str">
        <f>IF(D92="","",VLOOKUP(D92,契約台帳!$A$3:$K$4986,6,FALSE)&amp;VLOOKUP(D92,契約台帳!$A$3:$K$4986,7,FALSE)&amp;VLOOKUP(D92,契約台帳!$A$3:$K$4986,8,FALSE)&amp;VLOOKUP(D92,契約台帳!$A$3:$K$4986,9,FALSE)&amp;VLOOKUP(D92,契約台帳!$A$3:$K$4986,11,FALSE))</f>
        <v/>
      </c>
      <c r="G92" s="256" t="str">
        <f>IF(D92="","",VLOOKUP(F92,製品マスタ!$G$5:$H$4999,2,FALSE))</f>
        <v/>
      </c>
      <c r="H92" s="256" t="str">
        <f>IF(D92="","",VLOOKUP(F92,製品マスタ!$G$5:$K$4999,5,FALSE))</f>
        <v/>
      </c>
      <c r="I92" s="200" t="str">
        <f>IF(D92="","",VLOOKUP(F92,製品マスタ!$G$5:$L$4999,6,FALSE))</f>
        <v/>
      </c>
      <c r="J92" s="203"/>
      <c r="K92" s="200" t="str">
        <f>IF(D92="","",VLOOKUP(D92,契約台帳!$A$3:$L$4986,12,FALSE))</f>
        <v/>
      </c>
      <c r="L92" s="200" t="str">
        <f>IF(D92="","",INDEX(製品マスタ!$Q$5:$Q$4999,MATCH('S4'!F92&amp;'S4'!K92,製品マスタ!$AO$5:$AO$4999,0)))</f>
        <v/>
      </c>
      <c r="M92" s="37"/>
      <c r="N92" s="37"/>
      <c r="O92" s="153"/>
      <c r="P92" s="45"/>
      <c r="Q92" s="54"/>
      <c r="R92" s="257" t="str">
        <f ca="1">IF(D92="","",IF(OFFSET(D92,-1,0)&lt;&gt;"","",IF(OR(J92="リード付け",J92="巻足し",J92="巻返しリード付け"),M92,VLOOKUP(D92,契約台帳!$A$3:$N$4986,14,FALSE))))</f>
        <v/>
      </c>
      <c r="S92" s="258" t="str">
        <f ca="1">IF(D92="","",IF(OFFSET(D92,-1,0)&lt;&gt;"","",IF(OR(J92="リード付け",J92="巻足し",J92="巻返しリード付け"),M92,VLOOKUP(D92,契約台帳!$A$3:$O$4986,15,FALSE))))</f>
        <v/>
      </c>
      <c r="T92" s="258" t="str">
        <f ca="1">IF(D92="","",IF(J92="リード付け",N92,IF(J92="巻返しリード付け",N92,IF(J92="巻足し",N92*P92+OFFSET(N92,1,0)*OFFSET(P92,1,0),VLOOKUP(D92,契約台帳!$A$3:$P$4986,16,FALSE)))))</f>
        <v/>
      </c>
      <c r="U92" s="38"/>
      <c r="V92" s="259" t="str">
        <f ca="1">IF(D92="","",IF(OFFSET(D92,-2,0)=D92,"",VLOOKUP(D92,契約台帳!$A$3:$R$4986,18,FALSE)))</f>
        <v/>
      </c>
      <c r="W92" s="256" t="str">
        <f>IF(D92="","",IF(T92="","",IF(OR(J92="巻足し",J92="巻返しリード付け"),"",IF(J92="巻返し",VLOOKUP(F92&amp;K92&amp;M92,製品マスタ!$M$5:$AD$4999,18,FALSE),IF(OR(J92="リード付け",J92="巻返しリード付け"),"原反コア",IF(J92="スリット",VLOOKUP(F92&amp;K92&amp;R92,製品マスタ!$N$5:$AD$4999,17,FALSE),""))))))</f>
        <v/>
      </c>
      <c r="X92" s="256" t="str">
        <f>IF(D92="","",IF(T92="","",IF(J92="巻足し","",IF(J92="巻返し",VLOOKUP(F92&amp;K92&amp;M92,製品マスタ!$M$5:$AE$4999,19,FALSE),IF(OR(J92="リード付け",J92="巻返しリード付け"),"",IF(J92="スリット",VLOOKUP(F92&amp;K92&amp;R92,製品マスタ!$N$5:$AE$4999,18,FALSE),""))))))</f>
        <v/>
      </c>
      <c r="Y92" s="256" t="str">
        <f>IF(D92="","",IF(T92="","",VLOOKUP(D92,契約台帳!$A$3:$Q$4986,17,FALSE)))</f>
        <v/>
      </c>
      <c r="Z92" s="256" t="str">
        <f>IF(D92="","",IF(T92="","",VLOOKUP(D92,契約台帳!$A$3:$E$4986,5,FALSE)))</f>
        <v/>
      </c>
      <c r="AA92" s="54"/>
      <c r="AB92" s="200" t="str">
        <f>IFERROR((VLOOKUP(F92&amp;K92&amp;M92,製品マスタ!$M$5:$AM$4999,27,FALSE)),"")</f>
        <v/>
      </c>
      <c r="AC92" s="31"/>
      <c r="AD92" s="184"/>
      <c r="AE92" s="51"/>
      <c r="AF92" s="52"/>
      <c r="AG92" s="41"/>
      <c r="AH92" s="45"/>
      <c r="AI92" s="28"/>
      <c r="AJ92" s="28"/>
      <c r="AK92" s="28"/>
      <c r="AL92" s="28"/>
      <c r="AM92" s="12"/>
      <c r="AN92" s="12"/>
      <c r="AO92" s="12"/>
      <c r="AP92" s="12"/>
      <c r="AQ92" s="12"/>
      <c r="AR92" s="13"/>
      <c r="AS92" s="14"/>
    </row>
    <row r="93" spans="1:45" s="16" customFormat="1" ht="30.95" hidden="1" customHeight="1" x14ac:dyDescent="0.2">
      <c r="A93" s="35" t="s">
        <v>802</v>
      </c>
      <c r="B93" s="36" t="s">
        <v>803</v>
      </c>
      <c r="C93" s="43"/>
      <c r="D93" s="29">
        <v>3694098</v>
      </c>
      <c r="E93" s="29">
        <v>4140862</v>
      </c>
      <c r="F93" s="255" t="str">
        <f>IF(D93="","",VLOOKUP(D93,契約台帳!$A$3:$K$4986,6,FALSE)&amp;VLOOKUP(D93,契約台帳!$A$3:$K$4986,7,FALSE)&amp;VLOOKUP(D93,契約台帳!$A$3:$K$4986,8,FALSE)&amp;VLOOKUP(D93,契約台帳!$A$3:$K$4986,9,FALSE)&amp;VLOOKUP(D93,契約台帳!$A$3:$K$4986,11,FALSE))</f>
        <v>3HSNMCLBEYK</v>
      </c>
      <c r="G93" s="256" t="str">
        <f>IF(D93="","",VLOOKUP(F93,製品マスタ!$G$5:$H$4999,2,FALSE))</f>
        <v>S</v>
      </c>
      <c r="H93" s="256" t="str">
        <f>IF(D93="","",VLOOKUP(F93,製品マスタ!$G$5:$K$4999,5,FALSE))</f>
        <v>EYK</v>
      </c>
      <c r="I93" s="200" t="str">
        <f>IF(D93="","",VLOOKUP(F93,製品マスタ!$G$5:$L$4999,6,FALSE))</f>
        <v>メタルミー　ＥＹＫ</v>
      </c>
      <c r="J93" s="203" t="s">
        <v>801</v>
      </c>
      <c r="K93" s="200">
        <f>IF(D93="","",VLOOKUP(D93,契約台帳!$A$3:$L$4986,12,FALSE))</f>
        <v>50</v>
      </c>
      <c r="L93" s="200" t="str">
        <f>IF(D93="","",INDEX(製品マスタ!$Q$5:$Q$4999,MATCH('S4'!F93&amp;'S4'!K93,製品マスタ!$AO$5:$AO$4999,0)))</f>
        <v>T62M</v>
      </c>
      <c r="M93" s="37">
        <v>1195</v>
      </c>
      <c r="N93" s="37">
        <v>12200</v>
      </c>
      <c r="O93" s="153">
        <v>1</v>
      </c>
      <c r="P93" s="45">
        <v>2</v>
      </c>
      <c r="Q93" s="54"/>
      <c r="R93" s="257">
        <f ca="1">IF(D93="","",IF(OFFSET(D93,-1,0)&lt;&gt;"","",IF(OR(J93="リード付け",J93="巻足し",J93="巻返しリード付け"),M93,VLOOKUP(D93,契約台帳!$A$3:$N$4986,14,FALSE))))</f>
        <v>1190</v>
      </c>
      <c r="S93" s="258">
        <f ca="1">IF(D93="","",IF(OFFSET(D93,-1,0)&lt;&gt;"","",IF(OR(J93="リード付け",J93="巻足し",J93="巻返しリード付け"),M93,VLOOKUP(D93,契約台帳!$A$3:$O$4986,15,FALSE))))</f>
        <v>1190</v>
      </c>
      <c r="T93" s="258">
        <f ca="1">IF(D93="","",IF(J93="リード付け",N93,IF(J93="巻返しリード付け",N93,IF(J93="巻足し",N93*P93+OFFSET(N93,1,0)*OFFSET(P93,1,0),VLOOKUP(D93,契約台帳!$A$3:$P$4986,16,FALSE)))))</f>
        <v>6000</v>
      </c>
      <c r="U93" s="38">
        <v>2</v>
      </c>
      <c r="V93" s="259" t="str">
        <f ca="1">IF(D93="","",IF(OFFSET(D93,-2,0)=D93,"",VLOOKUP(D93,契約台帳!$A$3:$R$4986,18,FALSE)))</f>
        <v/>
      </c>
      <c r="W93" s="256" t="str">
        <f ca="1">IF(D93="","",IF(T93="","",IF(OR(J93="巻足し",J93="巻返しリード付け"),"",IF(J93="巻返し",VLOOKUP(F93&amp;K93&amp;M93,製品マスタ!$M$5:$AD$4999,18,FALSE),IF(OR(J93="リード付け",J93="巻返しリード付け"),"原反コア",IF(J93="スリット",VLOOKUP(F93&amp;K93&amp;R93,製品マスタ!$N$5:$AD$4999,17,FALSE),""))))))</f>
        <v>6ｲﾝﾁMｺｱ</v>
      </c>
      <c r="X93" s="256">
        <f ca="1">IF(D93="","",IF(T93="","",IF(J93="巻足し","",IF(J93="巻返し",VLOOKUP(F93&amp;K93&amp;M93,製品マスタ!$M$5:$AE$4999,19,FALSE),IF(OR(J93="リード付け",J93="巻返しリード付け"),"",IF(J93="スリット",VLOOKUP(F93&amp;K93&amp;R93,製品マスタ!$N$5:$AE$4999,18,FALSE),""))))))</f>
        <v>1220</v>
      </c>
      <c r="Y93" s="256">
        <f ca="1">IF(D93="","",IF(T93="","",VLOOKUP(D93,契約台帳!$A$3:$Q$4986,17,FALSE)))</f>
        <v>2</v>
      </c>
      <c r="Z93" s="256" t="str">
        <f ca="1">IF(D93="","",IF(T93="","",VLOOKUP(D93,契約台帳!$A$3:$E$4986,5,FALSE)))</f>
        <v>大阪シーリング印刷㈱</v>
      </c>
      <c r="AA93" s="54">
        <v>44949</v>
      </c>
      <c r="AB93" s="200" t="str">
        <f>IFERROR((VLOOKUP(F93&amp;K93&amp;M93,製品マスタ!$M$5:$AM$4999,27,FALSE)),"")</f>
        <v>原反ケース再利用</v>
      </c>
      <c r="AC93" s="31"/>
      <c r="AD93" s="184"/>
      <c r="AE93" s="51"/>
      <c r="AF93" s="52"/>
      <c r="AG93" s="41"/>
      <c r="AH93" s="45"/>
      <c r="AI93" s="28"/>
      <c r="AJ93" s="28"/>
      <c r="AK93" s="28"/>
      <c r="AL93" s="28"/>
      <c r="AM93" s="12"/>
      <c r="AN93" s="12"/>
      <c r="AO93" s="12"/>
      <c r="AP93" s="12"/>
      <c r="AQ93" s="12"/>
      <c r="AR93" s="13"/>
      <c r="AS93" s="14"/>
    </row>
    <row r="94" spans="1:45" s="16" customFormat="1" ht="30.95" hidden="1" customHeight="1" x14ac:dyDescent="0.2">
      <c r="A94" s="35"/>
      <c r="B94" s="36"/>
      <c r="C94" s="43"/>
      <c r="D94" s="29"/>
      <c r="E94" s="29"/>
      <c r="F94" s="255" t="str">
        <f>IF(D94="","",VLOOKUP(D94,契約台帳!$A$3:$K$4986,6,FALSE)&amp;VLOOKUP(D94,契約台帳!$A$3:$K$4986,7,FALSE)&amp;VLOOKUP(D94,契約台帳!$A$3:$K$4986,8,FALSE)&amp;VLOOKUP(D94,契約台帳!$A$3:$K$4986,9,FALSE)&amp;VLOOKUP(D94,契約台帳!$A$3:$K$4986,11,FALSE))</f>
        <v/>
      </c>
      <c r="G94" s="256" t="str">
        <f>IF(D94="","",VLOOKUP(F94,製品マスタ!$G$5:$H$4999,2,FALSE))</f>
        <v/>
      </c>
      <c r="H94" s="256" t="str">
        <f>IF(D94="","",VLOOKUP(F94,製品マスタ!$G$5:$K$4999,5,FALSE))</f>
        <v/>
      </c>
      <c r="I94" s="200" t="str">
        <f>IF(D94="","",VLOOKUP(F94,製品マスタ!$G$5:$L$4999,6,FALSE))</f>
        <v/>
      </c>
      <c r="J94" s="203"/>
      <c r="K94" s="200" t="str">
        <f>IF(D94="","",VLOOKUP(D94,契約台帳!$A$3:$L$4986,12,FALSE))</f>
        <v/>
      </c>
      <c r="L94" s="200" t="str">
        <f>IF(D94="","",INDEX(製品マスタ!$Q$5:$Q$4999,MATCH('S4'!F94&amp;'S4'!K94,製品マスタ!$AO$5:$AO$4999,0)))</f>
        <v/>
      </c>
      <c r="M94" s="37"/>
      <c r="N94" s="37"/>
      <c r="O94" s="153"/>
      <c r="P94" s="45"/>
      <c r="Q94" s="54"/>
      <c r="R94" s="257" t="str">
        <f ca="1">IF(D94="","",IF(OFFSET(D94,-1,0)&lt;&gt;"","",IF(OR(J94="リード付け",J94="巻足し",J94="巻返しリード付け"),M94,VLOOKUP(D94,契約台帳!$A$3:$N$4986,14,FALSE))))</f>
        <v/>
      </c>
      <c r="S94" s="258" t="str">
        <f ca="1">IF(D94="","",IF(OFFSET(D94,-1,0)&lt;&gt;"","",IF(OR(J94="リード付け",J94="巻足し",J94="巻返しリード付け"),M94,VLOOKUP(D94,契約台帳!$A$3:$O$4986,15,FALSE))))</f>
        <v/>
      </c>
      <c r="T94" s="258" t="str">
        <f ca="1">IF(D94="","",IF(J94="リード付け",N94,IF(J94="巻返しリード付け",N94,IF(J94="巻足し",N94*P94+OFFSET(N94,1,0)*OFFSET(P94,1,0),VLOOKUP(D94,契約台帳!$A$3:$P$4986,16,FALSE)))))</f>
        <v/>
      </c>
      <c r="U94" s="38"/>
      <c r="V94" s="259" t="str">
        <f ca="1">IF(D94="","",IF(OFFSET(D94,-2,0)=D94,"",VLOOKUP(D94,契約台帳!$A$3:$R$4986,18,FALSE)))</f>
        <v/>
      </c>
      <c r="W94" s="256" t="str">
        <f>IF(D94="","",IF(T94="","",IF(OR(J94="巻足し",J94="巻返しリード付け"),"",IF(J94="巻返し",VLOOKUP(F94&amp;K94&amp;M94,製品マスタ!$M$5:$AD$4999,18,FALSE),IF(OR(J94="リード付け",J94="巻返しリード付け"),"原反コア",IF(J94="スリット",VLOOKUP(F94&amp;K94&amp;R94,製品マスタ!$N$5:$AD$4999,17,FALSE),""))))))</f>
        <v/>
      </c>
      <c r="X94" s="256" t="str">
        <f>IF(D94="","",IF(T94="","",IF(J94="巻足し","",IF(J94="巻返し",VLOOKUP(F94&amp;K94&amp;M94,製品マスタ!$M$5:$AE$4999,19,FALSE),IF(OR(J94="リード付け",J94="巻返しリード付け"),"",IF(J94="スリット",VLOOKUP(F94&amp;K94&amp;R94,製品マスタ!$N$5:$AE$4999,18,FALSE),""))))))</f>
        <v/>
      </c>
      <c r="Y94" s="256" t="str">
        <f>IF(D94="","",IF(T94="","",VLOOKUP(D94,契約台帳!$A$3:$Q$4986,17,FALSE)))</f>
        <v/>
      </c>
      <c r="Z94" s="256" t="str">
        <f>IF(D94="","",IF(T94="","",VLOOKUP(D94,契約台帳!$A$3:$E$4986,5,FALSE)))</f>
        <v/>
      </c>
      <c r="AA94" s="54"/>
      <c r="AB94" s="200" t="str">
        <f>IFERROR((VLOOKUP(F94&amp;K94&amp;M94,製品マスタ!$M$5:$AM$4999,27,FALSE)),"")</f>
        <v/>
      </c>
      <c r="AC94" s="31"/>
      <c r="AD94" s="184"/>
      <c r="AE94" s="51"/>
      <c r="AF94" s="52"/>
      <c r="AG94" s="41"/>
      <c r="AH94" s="45"/>
      <c r="AI94" s="28"/>
      <c r="AJ94" s="28"/>
      <c r="AK94" s="28"/>
      <c r="AL94" s="28"/>
      <c r="AM94" s="12"/>
      <c r="AN94" s="12"/>
      <c r="AO94" s="12"/>
      <c r="AP94" s="12"/>
      <c r="AQ94" s="12"/>
      <c r="AR94" s="13"/>
      <c r="AS94" s="14"/>
    </row>
    <row r="95" spans="1:45" s="16" customFormat="1" ht="30.95" hidden="1" customHeight="1" x14ac:dyDescent="0.2">
      <c r="A95" s="35"/>
      <c r="B95" s="36"/>
      <c r="C95" s="43"/>
      <c r="D95" s="29">
        <v>3694099</v>
      </c>
      <c r="E95" s="29">
        <v>4140865</v>
      </c>
      <c r="F95" s="255" t="str">
        <f>IF(D95="","",VLOOKUP(D95,契約台帳!$A$3:$K$4986,6,FALSE)&amp;VLOOKUP(D95,契約台帳!$A$3:$K$4986,7,FALSE)&amp;VLOOKUP(D95,契約台帳!$A$3:$K$4986,8,FALSE)&amp;VLOOKUP(D95,契約台帳!$A$3:$K$4986,9,FALSE)&amp;VLOOKUP(D95,契約台帳!$A$3:$K$4986,11,FALSE))</f>
        <v>3SNMCLBEYK</v>
      </c>
      <c r="G95" s="256" t="str">
        <f>IF(D95="","",VLOOKUP(F95,製品マスタ!$G$5:$H$4999,2,FALSE))</f>
        <v>S</v>
      </c>
      <c r="H95" s="256" t="str">
        <f>IF(D95="","",VLOOKUP(F95,製品マスタ!$G$5:$K$4999,5,FALSE))</f>
        <v>EYK</v>
      </c>
      <c r="I95" s="200" t="str">
        <f>IF(D95="","",VLOOKUP(F95,製品マスタ!$G$5:$L$4999,6,FALSE))</f>
        <v>メタルミー　ＥＹＫ</v>
      </c>
      <c r="J95" s="203" t="s">
        <v>801</v>
      </c>
      <c r="K95" s="200">
        <f>IF(D95="","",VLOOKUP(D95,契約台帳!$A$3:$L$4986,12,FALSE))</f>
        <v>50</v>
      </c>
      <c r="L95" s="200" t="str">
        <f>IF(D95="","",INDEX(製品マスタ!$Q$5:$Q$4999,MATCH('S4'!F95&amp;'S4'!K95,製品マスタ!$AO$5:$AO$4999,0)))</f>
        <v>T62M</v>
      </c>
      <c r="M95" s="37">
        <v>1125</v>
      </c>
      <c r="N95" s="37">
        <v>12200</v>
      </c>
      <c r="O95" s="153">
        <v>1</v>
      </c>
      <c r="P95" s="45">
        <v>2</v>
      </c>
      <c r="Q95" s="54"/>
      <c r="R95" s="257">
        <f ca="1">IF(D95="","",IF(OFFSET(D95,-1,0)&lt;&gt;"","",IF(OR(J95="リード付け",J95="巻足し",J95="巻返しリード付け"),M95,VLOOKUP(D95,契約台帳!$A$3:$N$4986,14,FALSE))))</f>
        <v>1120</v>
      </c>
      <c r="S95" s="258">
        <f ca="1">IF(D95="","",IF(OFFSET(D95,-1,0)&lt;&gt;"","",IF(OR(J95="リード付け",J95="巻足し",J95="巻返しリード付け"),M95,VLOOKUP(D95,契約台帳!$A$3:$O$4986,15,FALSE))))</f>
        <v>1120</v>
      </c>
      <c r="T95" s="258">
        <f ca="1">IF(D95="","",IF(J95="リード付け",N95,IF(J95="巻返しリード付け",N95,IF(J95="巻足し",N95*P95+OFFSET(N95,1,0)*OFFSET(P95,1,0),VLOOKUP(D95,契約台帳!$A$3:$P$4986,16,FALSE)))))</f>
        <v>6000</v>
      </c>
      <c r="U95" s="38">
        <v>2</v>
      </c>
      <c r="V95" s="259">
        <f ca="1">IF(D95="","",IF(OFFSET(D95,-2,0)=D95,"",VLOOKUP(D95,契約台帳!$A$3:$R$4986,18,FALSE)))</f>
        <v>2</v>
      </c>
      <c r="W95" s="256" t="str">
        <f ca="1">IF(D95="","",IF(T95="","",IF(OR(J95="巻足し",J95="巻返しリード付け"),"",IF(J95="巻返し",VLOOKUP(F95&amp;K95&amp;M95,製品マスタ!$M$5:$AD$4999,18,FALSE),IF(OR(J95="リード付け",J95="巻返しリード付け"),"原反コア",IF(J95="スリット",VLOOKUP(F95&amp;K95&amp;R95,製品マスタ!$N$5:$AD$4999,17,FALSE),""))))))</f>
        <v>6ｲﾝﾁMｺｱ</v>
      </c>
      <c r="X95" s="256">
        <f ca="1">IF(D95="","",IF(T95="","",IF(J95="巻足し","",IF(J95="巻返し",VLOOKUP(F95&amp;K95&amp;M95,製品マスタ!$M$5:$AE$4999,19,FALSE),IF(OR(J95="リード付け",J95="巻返しリード付け"),"",IF(J95="スリット",VLOOKUP(F95&amp;K95&amp;R95,製品マスタ!$N$5:$AE$4999,18,FALSE),""))))))</f>
        <v>1140</v>
      </c>
      <c r="Y95" s="256">
        <f ca="1">IF(D95="","",IF(T95="","",VLOOKUP(D95,契約台帳!$A$3:$Q$4986,17,FALSE)))</f>
        <v>2</v>
      </c>
      <c r="Z95" s="256" t="str">
        <f ca="1">IF(D95="","",IF(T95="","",VLOOKUP(D95,契約台帳!$A$3:$E$4986,5,FALSE)))</f>
        <v>新タック化成㈱</v>
      </c>
      <c r="AA95" s="54">
        <v>44949</v>
      </c>
      <c r="AB95" s="200" t="str">
        <f>IFERROR((VLOOKUP(F95&amp;K95&amp;M95,製品マスタ!$M$5:$AM$4999,27,FALSE)),"")</f>
        <v>原反ケース再利用</v>
      </c>
      <c r="AC95" s="31"/>
      <c r="AD95" s="184"/>
      <c r="AE95" s="51"/>
      <c r="AF95" s="52"/>
      <c r="AG95" s="41"/>
      <c r="AH95" s="45"/>
      <c r="AI95" s="28"/>
      <c r="AJ95" s="28"/>
      <c r="AK95" s="28"/>
      <c r="AL95" s="28"/>
      <c r="AM95" s="12"/>
      <c r="AN95" s="12"/>
      <c r="AO95" s="12"/>
      <c r="AP95" s="12"/>
      <c r="AQ95" s="12"/>
      <c r="AR95" s="13"/>
      <c r="AS95" s="14"/>
    </row>
    <row r="96" spans="1:45" s="16" customFormat="1" ht="30.95" hidden="1" customHeight="1" x14ac:dyDescent="0.2">
      <c r="A96" s="35"/>
      <c r="B96" s="36"/>
      <c r="C96" s="43"/>
      <c r="D96" s="29"/>
      <c r="E96" s="29"/>
      <c r="F96" s="255" t="str">
        <f>IF(D96="","",VLOOKUP(D96,契約台帳!$A$3:$K$4986,6,FALSE)&amp;VLOOKUP(D96,契約台帳!$A$3:$K$4986,7,FALSE)&amp;VLOOKUP(D96,契約台帳!$A$3:$K$4986,8,FALSE)&amp;VLOOKUP(D96,契約台帳!$A$3:$K$4986,9,FALSE)&amp;VLOOKUP(D96,契約台帳!$A$3:$K$4986,11,FALSE))</f>
        <v/>
      </c>
      <c r="G96" s="256" t="str">
        <f>IF(D96="","",VLOOKUP(F96,製品マスタ!$G$5:$H$4999,2,FALSE))</f>
        <v/>
      </c>
      <c r="H96" s="256" t="str">
        <f>IF(D96="","",VLOOKUP(F96,製品マスタ!$G$5:$K$4999,5,FALSE))</f>
        <v/>
      </c>
      <c r="I96" s="200" t="str">
        <f>IF(D96="","",VLOOKUP(F96,製品マスタ!$G$5:$L$4999,6,FALSE))</f>
        <v/>
      </c>
      <c r="J96" s="203"/>
      <c r="K96" s="200" t="str">
        <f>IF(D96="","",VLOOKUP(D96,契約台帳!$A$3:$L$4986,12,FALSE))</f>
        <v/>
      </c>
      <c r="L96" s="200" t="str">
        <f>IF(D96="","",INDEX(製品マスタ!$Q$5:$Q$4999,MATCH('S4'!F96&amp;'S4'!K96,製品マスタ!$AO$5:$AO$4999,0)))</f>
        <v/>
      </c>
      <c r="M96" s="37"/>
      <c r="N96" s="37"/>
      <c r="O96" s="153"/>
      <c r="P96" s="45"/>
      <c r="Q96" s="54"/>
      <c r="R96" s="257" t="str">
        <f ca="1">IF(D96="","",IF(OFFSET(D96,-1,0)&lt;&gt;"","",IF(OR(J96="リード付け",J96="巻足し",J96="巻返しリード付け"),M96,VLOOKUP(D96,契約台帳!$A$3:$N$4986,14,FALSE))))</f>
        <v/>
      </c>
      <c r="S96" s="258" t="str">
        <f ca="1">IF(D96="","",IF(OFFSET(D96,-1,0)&lt;&gt;"","",IF(OR(J96="リード付け",J96="巻足し",J96="巻返しリード付け"),M96,VLOOKUP(D96,契約台帳!$A$3:$O$4986,15,FALSE))))</f>
        <v/>
      </c>
      <c r="T96" s="258" t="str">
        <f ca="1">IF(D96="","",IF(J96="リード付け",N96,IF(J96="巻返しリード付け",N96,IF(J96="巻足し",N96*P96+OFFSET(N96,1,0)*OFFSET(P96,1,0),VLOOKUP(D96,契約台帳!$A$3:$P$4986,16,FALSE)))))</f>
        <v/>
      </c>
      <c r="U96" s="38"/>
      <c r="V96" s="259" t="str">
        <f ca="1">IF(D96="","",IF(OFFSET(D96,-2,0)=D96,"",VLOOKUP(D96,契約台帳!$A$3:$R$4986,18,FALSE)))</f>
        <v/>
      </c>
      <c r="W96" s="256" t="str">
        <f>IF(D96="","",IF(T96="","",IF(OR(J96="巻足し",J96="巻返しリード付け"),"",IF(J96="巻返し",VLOOKUP(F96&amp;K96&amp;M96,製品マスタ!$M$5:$AD$4999,18,FALSE),IF(OR(J96="リード付け",J96="巻返しリード付け"),"原反コア",IF(J96="スリット",VLOOKUP(F96&amp;K96&amp;R96,製品マスタ!$N$5:$AD$4999,17,FALSE),""))))))</f>
        <v/>
      </c>
      <c r="X96" s="256" t="str">
        <f>IF(D96="","",IF(T96="","",IF(J96="巻足し","",IF(J96="巻返し",VLOOKUP(F96&amp;K96&amp;M96,製品マスタ!$M$5:$AE$4999,19,FALSE),IF(OR(J96="リード付け",J96="巻返しリード付け"),"",IF(J96="スリット",VLOOKUP(F96&amp;K96&amp;R96,製品マスタ!$N$5:$AE$4999,18,FALSE),""))))))</f>
        <v/>
      </c>
      <c r="Y96" s="256" t="str">
        <f>IF(D96="","",IF(T96="","",VLOOKUP(D96,契約台帳!$A$3:$Q$4986,17,FALSE)))</f>
        <v/>
      </c>
      <c r="Z96" s="256" t="str">
        <f>IF(D96="","",IF(T96="","",VLOOKUP(D96,契約台帳!$A$3:$E$4986,5,FALSE)))</f>
        <v/>
      </c>
      <c r="AA96" s="54"/>
      <c r="AB96" s="200" t="str">
        <f>IFERROR((VLOOKUP(F96&amp;K96&amp;M96,製品マスタ!$M$5:$AM$4999,27,FALSE)),"")</f>
        <v/>
      </c>
      <c r="AC96" s="31"/>
      <c r="AD96" s="184"/>
      <c r="AE96" s="51"/>
      <c r="AF96" s="52"/>
      <c r="AG96" s="41"/>
      <c r="AH96" s="45"/>
      <c r="AI96" s="28"/>
      <c r="AJ96" s="28"/>
      <c r="AK96" s="28"/>
      <c r="AL96" s="28"/>
      <c r="AM96" s="12"/>
      <c r="AN96" s="12"/>
      <c r="AO96" s="12"/>
      <c r="AP96" s="12"/>
      <c r="AQ96" s="12"/>
      <c r="AR96" s="13"/>
      <c r="AS96" s="14"/>
    </row>
    <row r="97" spans="1:45" s="16" customFormat="1" ht="30.95" hidden="1" customHeight="1" x14ac:dyDescent="0.2">
      <c r="A97" s="35"/>
      <c r="B97" s="36"/>
      <c r="C97" s="43"/>
      <c r="D97" s="29">
        <v>3694100</v>
      </c>
      <c r="E97" s="29">
        <v>4140869</v>
      </c>
      <c r="F97" s="255" t="str">
        <f>IF(D97="","",VLOOKUP(D97,契約台帳!$A$3:$K$4986,6,FALSE)&amp;VLOOKUP(D97,契約台帳!$A$3:$K$4986,7,FALSE)&amp;VLOOKUP(D97,契約台帳!$A$3:$K$4986,8,FALSE)&amp;VLOOKUP(D97,契約台帳!$A$3:$K$4986,9,FALSE)&amp;VLOOKUP(D97,契約台帳!$A$3:$K$4986,11,FALSE))</f>
        <v>3SNMCLBMSNEYK</v>
      </c>
      <c r="G97" s="256" t="str">
        <f>IF(D97="","",VLOOKUP(F97,製品マスタ!$G$5:$H$4999,2,FALSE))</f>
        <v>S</v>
      </c>
      <c r="H97" s="256" t="str">
        <f>IF(D97="","",VLOOKUP(F97,製品マスタ!$G$5:$K$4999,5,FALSE))</f>
        <v>MSNEYK</v>
      </c>
      <c r="I97" s="200" t="str">
        <f>IF(D97="","",VLOOKUP(F97,製品マスタ!$G$5:$L$4999,6,FALSE))</f>
        <v>ＭＳＮ　ＥＹＫ</v>
      </c>
      <c r="J97" s="203" t="s">
        <v>801</v>
      </c>
      <c r="K97" s="200">
        <f>IF(D97="","",VLOOKUP(D97,契約台帳!$A$3:$L$4986,12,FALSE))</f>
        <v>50</v>
      </c>
      <c r="L97" s="200" t="str">
        <f>IF(D97="","",INDEX(製品マスタ!$Q$5:$Q$4999,MATCH('S4'!F97&amp;'S4'!K97,製品マスタ!$AO$5:$AO$4999,0)))</f>
        <v>N-MAT</v>
      </c>
      <c r="M97" s="37">
        <v>1200</v>
      </c>
      <c r="N97" s="37">
        <v>12000</v>
      </c>
      <c r="O97" s="153">
        <v>2</v>
      </c>
      <c r="P97" s="45">
        <v>2</v>
      </c>
      <c r="Q97" s="54"/>
      <c r="R97" s="257">
        <f ca="1">IF(D97="","",IF(OFFSET(D97,-1,0)&lt;&gt;"","",IF(OR(J97="リード付け",J97="巻足し",J97="巻返しリード付け"),M97,VLOOKUP(D97,契約台帳!$A$3:$N$4986,14,FALSE))))</f>
        <v>1200</v>
      </c>
      <c r="S97" s="258">
        <f ca="1">IF(D97="","",IF(OFFSET(D97,-1,0)&lt;&gt;"","",IF(OR(J97="リード付け",J97="巻足し",J97="巻返しリード付け"),M97,VLOOKUP(D97,契約台帳!$A$3:$O$4986,15,FALSE))))</f>
        <v>1190</v>
      </c>
      <c r="T97" s="258">
        <f ca="1">IF(D97="","",IF(J97="リード付け",N97,IF(J97="巻返しリード付け",N97,IF(J97="巻足し",N97*P97+OFFSET(N97,1,0)*OFFSET(P97,1,0),VLOOKUP(D97,契約台帳!$A$3:$P$4986,16,FALSE)))))</f>
        <v>6000</v>
      </c>
      <c r="U97" s="38">
        <v>4</v>
      </c>
      <c r="V97" s="259">
        <f ca="1">IF(D97="","",IF(OFFSET(D97,-2,0)=D97,"",VLOOKUP(D97,契約台帳!$A$3:$R$4986,18,FALSE)))</f>
        <v>4</v>
      </c>
      <c r="W97" s="256" t="str">
        <f ca="1">IF(D97="","",IF(T97="","",IF(OR(J97="巻足し",J97="巻返しリード付け"),"",IF(J97="巻返し",VLOOKUP(F97&amp;K97&amp;M97,製品マスタ!$M$5:$AD$4999,18,FALSE),IF(OR(J97="リード付け",J97="巻返しリード付け"),"原反コア",IF(J97="スリット",VLOOKUP(F97&amp;K97&amp;R97,製品マスタ!$N$5:$AD$4999,17,FALSE),""))))))</f>
        <v>6ｲﾝﾁMｺｱ</v>
      </c>
      <c r="X97" s="256">
        <f ca="1">IF(D97="","",IF(T97="","",IF(J97="巻足し","",IF(J97="巻返し",VLOOKUP(F97&amp;K97&amp;M97,製品マスタ!$M$5:$AE$4999,19,FALSE),IF(OR(J97="リード付け",J97="巻返しリード付け"),"",IF(J97="スリット",VLOOKUP(F97&amp;K97&amp;R97,製品マスタ!$N$5:$AE$4999,18,FALSE),""))))))</f>
        <v>1220</v>
      </c>
      <c r="Y97" s="256">
        <f ca="1">IF(D97="","",IF(T97="","",VLOOKUP(D97,契約台帳!$A$3:$Q$4986,17,FALSE)))</f>
        <v>2</v>
      </c>
      <c r="Z97" s="256" t="str">
        <f ca="1">IF(D97="","",IF(T97="","",VLOOKUP(D97,契約台帳!$A$3:$E$4986,5,FALSE)))</f>
        <v>大阪シーリング印刷㈱</v>
      </c>
      <c r="AA97" s="54">
        <v>44949</v>
      </c>
      <c r="AB97" s="200" t="str">
        <f>IFERROR((VLOOKUP(F97&amp;K97&amp;M97,製品マスタ!$M$5:$AM$4999,27,FALSE)),"")</f>
        <v>原反ケース再利用</v>
      </c>
      <c r="AC97" s="31"/>
      <c r="AD97" s="184"/>
      <c r="AE97" s="51"/>
      <c r="AF97" s="52"/>
      <c r="AG97" s="41"/>
      <c r="AH97" s="45"/>
      <c r="AI97" s="28"/>
      <c r="AJ97" s="28"/>
      <c r="AK97" s="28"/>
      <c r="AL97" s="28"/>
      <c r="AM97" s="12"/>
      <c r="AN97" s="12"/>
      <c r="AO97" s="12"/>
      <c r="AP97" s="12"/>
      <c r="AQ97" s="12"/>
      <c r="AR97" s="13"/>
      <c r="AS97" s="14"/>
    </row>
    <row r="98" spans="1:45" s="16" customFormat="1" ht="30.95" hidden="1" customHeight="1" x14ac:dyDescent="0.2">
      <c r="A98" s="35"/>
      <c r="B98" s="36"/>
      <c r="C98" s="43"/>
      <c r="D98" s="29"/>
      <c r="E98" s="29"/>
      <c r="F98" s="255" t="str">
        <f>IF(D98="","",VLOOKUP(D98,契約台帳!$A$3:$K$4986,6,FALSE)&amp;VLOOKUP(D98,契約台帳!$A$3:$K$4986,7,FALSE)&amp;VLOOKUP(D98,契約台帳!$A$3:$K$4986,8,FALSE)&amp;VLOOKUP(D98,契約台帳!$A$3:$K$4986,9,FALSE)&amp;VLOOKUP(D98,契約台帳!$A$3:$K$4986,11,FALSE))</f>
        <v/>
      </c>
      <c r="G98" s="256" t="str">
        <f>IF(D98="","",VLOOKUP(F98,製品マスタ!$G$5:$H$4999,2,FALSE))</f>
        <v/>
      </c>
      <c r="H98" s="256" t="str">
        <f>IF(D98="","",VLOOKUP(F98,製品マスタ!$G$5:$K$4999,5,FALSE))</f>
        <v/>
      </c>
      <c r="I98" s="200" t="str">
        <f>IF(D98="","",VLOOKUP(F98,製品マスタ!$G$5:$L$4999,6,FALSE))</f>
        <v/>
      </c>
      <c r="J98" s="203"/>
      <c r="K98" s="200" t="str">
        <f>IF(D98="","",VLOOKUP(D98,契約台帳!$A$3:$L$4986,12,FALSE))</f>
        <v/>
      </c>
      <c r="L98" s="200" t="str">
        <f>IF(D98="","",INDEX(製品マスタ!$Q$5:$Q$4999,MATCH('S4'!F98&amp;'S4'!K98,製品マスタ!$AO$5:$AO$4999,0)))</f>
        <v/>
      </c>
      <c r="M98" s="37"/>
      <c r="N98" s="37"/>
      <c r="O98" s="153"/>
      <c r="P98" s="45"/>
      <c r="Q98" s="54"/>
      <c r="R98" s="257" t="str">
        <f ca="1">IF(D98="","",IF(OFFSET(D98,-1,0)&lt;&gt;"","",IF(OR(J98="リード付け",J98="巻足し",J98="巻返しリード付け"),M98,VLOOKUP(D98,契約台帳!$A$3:$N$4986,14,FALSE))))</f>
        <v/>
      </c>
      <c r="S98" s="258" t="str">
        <f ca="1">IF(D98="","",IF(OFFSET(D98,-1,0)&lt;&gt;"","",IF(OR(J98="リード付け",J98="巻足し",J98="巻返しリード付け"),M98,VLOOKUP(D98,契約台帳!$A$3:$O$4986,15,FALSE))))</f>
        <v/>
      </c>
      <c r="T98" s="258" t="str">
        <f ca="1">IF(D98="","",IF(J98="リード付け",N98,IF(J98="巻返しリード付け",N98,IF(J98="巻足し",N98*P98+OFFSET(N98,1,0)*OFFSET(P98,1,0),VLOOKUP(D98,契約台帳!$A$3:$P$4986,16,FALSE)))))</f>
        <v/>
      </c>
      <c r="U98" s="38"/>
      <c r="V98" s="259" t="str">
        <f ca="1">IF(D98="","",IF(OFFSET(D98,-2,0)=D98,"",VLOOKUP(D98,契約台帳!$A$3:$R$4986,18,FALSE)))</f>
        <v/>
      </c>
      <c r="W98" s="256" t="str">
        <f>IF(D98="","",IF(T98="","",IF(OR(J98="巻足し",J98="巻返しリード付け"),"",IF(J98="巻返し",VLOOKUP(F98&amp;K98&amp;M98,製品マスタ!$M$5:$AD$4999,18,FALSE),IF(OR(J98="リード付け",J98="巻返しリード付け"),"原反コア",IF(J98="スリット",VLOOKUP(F98&amp;K98&amp;R98,製品マスタ!$N$5:$AD$4999,17,FALSE),""))))))</f>
        <v/>
      </c>
      <c r="X98" s="256" t="str">
        <f>IF(D98="","",IF(T98="","",IF(J98="巻足し","",IF(J98="巻返し",VLOOKUP(F98&amp;K98&amp;M98,製品マスタ!$M$5:$AE$4999,19,FALSE),IF(OR(J98="リード付け",J98="巻返しリード付け"),"",IF(J98="スリット",VLOOKUP(F98&amp;K98&amp;R98,製品マスタ!$N$5:$AE$4999,18,FALSE),""))))))</f>
        <v/>
      </c>
      <c r="Y98" s="256" t="str">
        <f>IF(D98="","",IF(T98="","",VLOOKUP(D98,契約台帳!$A$3:$Q$4986,17,FALSE)))</f>
        <v/>
      </c>
      <c r="Z98" s="256" t="str">
        <f>IF(D98="","",IF(T98="","",VLOOKUP(D98,契約台帳!$A$3:$E$4986,5,FALSE)))</f>
        <v/>
      </c>
      <c r="AA98" s="54"/>
      <c r="AB98" s="200" t="str">
        <f>IFERROR((VLOOKUP(F98&amp;K98&amp;M98,製品マスタ!$M$5:$AM$4999,27,FALSE)),"")</f>
        <v/>
      </c>
      <c r="AC98" s="31"/>
      <c r="AD98" s="184"/>
      <c r="AE98" s="51"/>
      <c r="AF98" s="52"/>
      <c r="AG98" s="41"/>
      <c r="AH98" s="45"/>
      <c r="AI98" s="28"/>
      <c r="AJ98" s="28"/>
      <c r="AK98" s="28"/>
      <c r="AL98" s="28"/>
      <c r="AM98" s="12"/>
      <c r="AN98" s="12"/>
      <c r="AO98" s="12"/>
      <c r="AP98" s="12"/>
      <c r="AQ98" s="12"/>
      <c r="AR98" s="13"/>
      <c r="AS98" s="14"/>
    </row>
    <row r="99" spans="1:45" s="16" customFormat="1" ht="30.95" hidden="1" customHeight="1" x14ac:dyDescent="0.2">
      <c r="A99" s="35"/>
      <c r="B99" s="36"/>
      <c r="C99" s="43"/>
      <c r="D99" s="29">
        <v>3691104</v>
      </c>
      <c r="E99" s="29">
        <v>4140853</v>
      </c>
      <c r="F99" s="255" t="str">
        <f>IF(D99="","",VLOOKUP(D99,契約台帳!$A$3:$K$4986,6,FALSE)&amp;VLOOKUP(D99,契約台帳!$A$3:$K$4986,7,FALSE)&amp;VLOOKUP(D99,契約台帳!$A$3:$K$4986,8,FALSE)&amp;VLOOKUP(D99,契約台帳!$A$3:$K$4986,9,FALSE)&amp;VLOOKUP(D99,契約台帳!$A$3:$K$4986,11,FALSE))</f>
        <v>3SNMCLBMSNEYK</v>
      </c>
      <c r="G99" s="256" t="str">
        <f>IF(D99="","",VLOOKUP(F99,製品マスタ!$G$5:$H$4999,2,FALSE))</f>
        <v>S</v>
      </c>
      <c r="H99" s="256" t="str">
        <f>IF(D99="","",VLOOKUP(F99,製品マスタ!$G$5:$K$4999,5,FALSE))</f>
        <v>MSNEYK</v>
      </c>
      <c r="I99" s="200" t="str">
        <f>IF(D99="","",VLOOKUP(F99,製品マスタ!$G$5:$L$4999,6,FALSE))</f>
        <v>ＭＳＮ　ＥＹＫ</v>
      </c>
      <c r="J99" s="203" t="s">
        <v>447</v>
      </c>
      <c r="K99" s="200">
        <f>IF(D99="","",VLOOKUP(D99,契約台帳!$A$3:$L$4986,12,FALSE))</f>
        <v>50</v>
      </c>
      <c r="L99" s="200" t="str">
        <f>IF(D99="","",INDEX(製品マスタ!$Q$5:$Q$4999,MATCH('S4'!F99&amp;'S4'!K99,製品マスタ!$AO$5:$AO$4999,0)))</f>
        <v>N-MAT</v>
      </c>
      <c r="M99" s="37">
        <v>1120</v>
      </c>
      <c r="N99" s="37">
        <v>12000</v>
      </c>
      <c r="O99" s="153">
        <v>2</v>
      </c>
      <c r="P99" s="45">
        <v>3</v>
      </c>
      <c r="Q99" s="54"/>
      <c r="R99" s="257">
        <f ca="1">IF(D99="","",IF(OFFSET(D99,-1,0)&lt;&gt;"","",IF(OR(J99="リード付け",J99="巻足し",J99="巻返しリード付け"),M99,VLOOKUP(D99,契約台帳!$A$3:$N$4986,14,FALSE))))</f>
        <v>1120</v>
      </c>
      <c r="S99" s="258">
        <f ca="1">IF(D99="","",IF(OFFSET(D99,-1,0)&lt;&gt;"","",IF(OR(J99="リード付け",J99="巻足し",J99="巻返しリード付け"),M99,VLOOKUP(D99,契約台帳!$A$3:$O$4986,15,FALSE))))</f>
        <v>1120</v>
      </c>
      <c r="T99" s="258">
        <f ca="1">IF(D99="","",IF(J99="リード付け",N99,IF(J99="巻返しリード付け",N99,IF(J99="巻足し",N99*P99+OFFSET(N99,1,0)*OFFSET(P99,1,0),VLOOKUP(D99,契約台帳!$A$3:$P$4986,16,FALSE)))))</f>
        <v>4000</v>
      </c>
      <c r="U99" s="38">
        <v>6</v>
      </c>
      <c r="V99" s="259">
        <f ca="1">IF(D99="","",IF(OFFSET(D99,-2,0)=D99,"",VLOOKUP(D99,契約台帳!$A$3:$R$4986,18,FALSE)))</f>
        <v>8</v>
      </c>
      <c r="W99" s="256" t="str">
        <f ca="1">IF(D99="","",IF(T99="","",IF(OR(J99="巻足し",J99="巻返しリード付け"),"",IF(J99="巻返し",VLOOKUP(F99&amp;K99&amp;M99,製品マスタ!$M$5:$AD$4999,18,FALSE),IF(OR(J99="リード付け",J99="巻返しリード付け"),"原反コア",IF(J99="スリット",VLOOKUP(F99&amp;K99&amp;R99,製品マスタ!$N$5:$AD$4999,17,FALSE),""))))))</f>
        <v>6ｲﾝﾁMｺｱ</v>
      </c>
      <c r="X99" s="256">
        <f ca="1">IF(D99="","",IF(T99="","",IF(J99="巻足し","",IF(J99="巻返し",VLOOKUP(F99&amp;K99&amp;M99,製品マスタ!$M$5:$AE$4999,19,FALSE),IF(OR(J99="リード付け",J99="巻返しリード付け"),"",IF(J99="スリット",VLOOKUP(F99&amp;K99&amp;R99,製品マスタ!$N$5:$AE$4999,18,FALSE),""))))))</f>
        <v>1140</v>
      </c>
      <c r="Y99" s="256">
        <f ca="1">IF(D99="","",IF(T99="","",VLOOKUP(D99,契約台帳!$A$3:$Q$4986,17,FALSE)))</f>
        <v>2</v>
      </c>
      <c r="Z99" s="256" t="str">
        <f ca="1">IF(D99="","",IF(T99="","",VLOOKUP(D99,契約台帳!$A$3:$E$4986,5,FALSE)))</f>
        <v>新タック化成㈱</v>
      </c>
      <c r="AA99" s="54">
        <v>44949</v>
      </c>
      <c r="AB99" s="200" t="str">
        <f>IFERROR((VLOOKUP(F99&amp;K99&amp;M99,製品マスタ!$M$5:$AM$4999,27,FALSE)),"")</f>
        <v>原反ケース再利用</v>
      </c>
      <c r="AC99" s="31"/>
      <c r="AD99" s="184"/>
      <c r="AE99" s="51"/>
      <c r="AF99" s="52"/>
      <c r="AG99" s="41"/>
      <c r="AH99" s="45"/>
      <c r="AI99" s="28"/>
      <c r="AJ99" s="28"/>
      <c r="AK99" s="28"/>
      <c r="AL99" s="28"/>
      <c r="AM99" s="12"/>
      <c r="AN99" s="12"/>
      <c r="AO99" s="12"/>
      <c r="AP99" s="12"/>
      <c r="AQ99" s="12"/>
      <c r="AR99" s="13"/>
      <c r="AS99" s="14"/>
    </row>
    <row r="100" spans="1:45" s="16" customFormat="1" ht="30.95" hidden="1" customHeight="1" x14ac:dyDescent="0.2">
      <c r="A100" s="35"/>
      <c r="B100" s="36"/>
      <c r="C100" s="43"/>
      <c r="D100" s="29"/>
      <c r="E100" s="29"/>
      <c r="F100" s="255" t="str">
        <f>IF(D100="","",VLOOKUP(D100,契約台帳!$A$3:$K$4986,6,FALSE)&amp;VLOOKUP(D100,契約台帳!$A$3:$K$4986,7,FALSE)&amp;VLOOKUP(D100,契約台帳!$A$3:$K$4986,8,FALSE)&amp;VLOOKUP(D100,契約台帳!$A$3:$K$4986,9,FALSE)&amp;VLOOKUP(D100,契約台帳!$A$3:$K$4986,11,FALSE))</f>
        <v/>
      </c>
      <c r="G100" s="256" t="str">
        <f>IF(D100="","",VLOOKUP(F100,製品マスタ!$G$5:$H$4999,2,FALSE))</f>
        <v/>
      </c>
      <c r="H100" s="256" t="str">
        <f>IF(D100="","",VLOOKUP(F100,製品マスタ!$G$5:$K$4999,5,FALSE))</f>
        <v/>
      </c>
      <c r="I100" s="200" t="str">
        <f>IF(D100="","",VLOOKUP(F100,製品マスタ!$G$5:$L$4999,6,FALSE))</f>
        <v/>
      </c>
      <c r="J100" s="203"/>
      <c r="K100" s="200" t="str">
        <f>IF(D100="","",VLOOKUP(D100,契約台帳!$A$3:$L$4986,12,FALSE))</f>
        <v/>
      </c>
      <c r="L100" s="200" t="str">
        <f>IF(D100="","",INDEX(製品マスタ!$Q$5:$Q$4999,MATCH('S4'!F100&amp;'S4'!K100,製品マスタ!$AO$5:$AO$4999,0)))</f>
        <v/>
      </c>
      <c r="M100" s="37"/>
      <c r="N100" s="37"/>
      <c r="O100" s="153"/>
      <c r="P100" s="45"/>
      <c r="Q100" s="54"/>
      <c r="R100" s="257" t="str">
        <f ca="1">IF(D100="","",IF(OFFSET(D100,-1,0)&lt;&gt;"","",IF(OR(J100="リード付け",J100="巻足し",J100="巻返しリード付け"),M100,VLOOKUP(D100,契約台帳!$A$3:$N$4986,14,FALSE))))</f>
        <v/>
      </c>
      <c r="S100" s="258" t="str">
        <f ca="1">IF(D100="","",IF(OFFSET(D100,-1,0)&lt;&gt;"","",IF(OR(J100="リード付け",J100="巻足し",J100="巻返しリード付け"),M100,VLOOKUP(D100,契約台帳!$A$3:$O$4986,15,FALSE))))</f>
        <v/>
      </c>
      <c r="T100" s="258" t="str">
        <f ca="1">IF(D100="","",IF(J100="リード付け",N100,IF(J100="巻返しリード付け",N100,IF(J100="巻足し",N100*P100+OFFSET(N100,1,0)*OFFSET(P100,1,0),VLOOKUP(D100,契約台帳!$A$3:$P$4986,16,FALSE)))))</f>
        <v/>
      </c>
      <c r="U100" s="38"/>
      <c r="V100" s="259" t="str">
        <f ca="1">IF(D100="","",IF(OFFSET(D100,-2,0)=D100,"",VLOOKUP(D100,契約台帳!$A$3:$R$4986,18,FALSE)))</f>
        <v/>
      </c>
      <c r="W100" s="256" t="str">
        <f>IF(D100="","",IF(T100="","",IF(OR(J100="巻足し",J100="巻返しリード付け"),"",IF(J100="巻返し",VLOOKUP(F100&amp;K100&amp;M100,製品マスタ!$M$5:$AD$4999,18,FALSE),IF(OR(J100="リード付け",J100="巻返しリード付け"),"原反コア",IF(J100="スリット",VLOOKUP(F100&amp;K100&amp;R100,製品マスタ!$N$5:$AD$4999,17,FALSE),""))))))</f>
        <v/>
      </c>
      <c r="X100" s="256" t="str">
        <f>IF(D100="","",IF(T100="","",IF(J100="巻足し","",IF(J100="巻返し",VLOOKUP(F100&amp;K100&amp;M100,製品マスタ!$M$5:$AE$4999,19,FALSE),IF(OR(J100="リード付け",J100="巻返しリード付け"),"",IF(J100="スリット",VLOOKUP(F100&amp;K100&amp;R100,製品マスタ!$N$5:$AE$4999,18,FALSE),""))))))</f>
        <v/>
      </c>
      <c r="Y100" s="256" t="str">
        <f>IF(D100="","",IF(T100="","",VLOOKUP(D100,契約台帳!$A$3:$Q$4986,17,FALSE)))</f>
        <v/>
      </c>
      <c r="Z100" s="256" t="str">
        <f>IF(D100="","",IF(T100="","",VLOOKUP(D100,契約台帳!$A$3:$E$4986,5,FALSE)))</f>
        <v/>
      </c>
      <c r="AA100" s="54"/>
      <c r="AB100" s="200" t="str">
        <f>IFERROR((VLOOKUP(F100&amp;K100&amp;M100,製品マスタ!$M$5:$AM$4999,27,FALSE)),"")</f>
        <v/>
      </c>
      <c r="AC100" s="31"/>
      <c r="AD100" s="184"/>
      <c r="AE100" s="51"/>
      <c r="AF100" s="52"/>
      <c r="AG100" s="41"/>
      <c r="AH100" s="45"/>
      <c r="AI100" s="28"/>
      <c r="AJ100" s="28"/>
      <c r="AK100" s="28"/>
      <c r="AL100" s="28"/>
      <c r="AM100" s="12"/>
      <c r="AN100" s="12"/>
      <c r="AO100" s="12"/>
      <c r="AP100" s="12"/>
      <c r="AQ100" s="12"/>
      <c r="AR100" s="13"/>
      <c r="AS100" s="14"/>
    </row>
    <row r="101" spans="1:45" s="16" customFormat="1" ht="30.95" hidden="1" customHeight="1" x14ac:dyDescent="0.2">
      <c r="A101" s="35"/>
      <c r="B101" s="36"/>
      <c r="C101" s="43"/>
      <c r="D101" s="29">
        <v>3691104</v>
      </c>
      <c r="E101" s="29">
        <v>4140853</v>
      </c>
      <c r="F101" s="255" t="str">
        <f>IF(D101="","",VLOOKUP(D101,契約台帳!$A$3:$K$4986,6,FALSE)&amp;VLOOKUP(D101,契約台帳!$A$3:$K$4986,7,FALSE)&amp;VLOOKUP(D101,契約台帳!$A$3:$K$4986,8,FALSE)&amp;VLOOKUP(D101,契約台帳!$A$3:$K$4986,9,FALSE)&amp;VLOOKUP(D101,契約台帳!$A$3:$K$4986,11,FALSE))</f>
        <v>3SNMCLBMSNEYK</v>
      </c>
      <c r="G101" s="256" t="str">
        <f>IF(D101="","",VLOOKUP(F101,製品マスタ!$G$5:$H$4999,2,FALSE))</f>
        <v>S</v>
      </c>
      <c r="H101" s="256" t="str">
        <f>IF(D101="","",VLOOKUP(F101,製品マスタ!$G$5:$K$4999,5,FALSE))</f>
        <v>MSNEYK</v>
      </c>
      <c r="I101" s="200" t="str">
        <f>IF(D101="","",VLOOKUP(F101,製品マスタ!$G$5:$L$4999,6,FALSE))</f>
        <v>ＭＳＮ　ＥＹＫ</v>
      </c>
      <c r="J101" s="203" t="s">
        <v>447</v>
      </c>
      <c r="K101" s="200">
        <f>IF(D101="","",VLOOKUP(D101,契約台帳!$A$3:$L$4986,12,FALSE))</f>
        <v>50</v>
      </c>
      <c r="L101" s="200" t="str">
        <f>IF(D101="","",INDEX(製品マスタ!$Q$5:$Q$4999,MATCH('S4'!F101&amp;'S4'!K101,製品マスタ!$AO$5:$AO$4999,0)))</f>
        <v>N-MAT</v>
      </c>
      <c r="M101" s="37">
        <v>1120</v>
      </c>
      <c r="N101" s="37">
        <v>8000</v>
      </c>
      <c r="O101" s="153">
        <v>1</v>
      </c>
      <c r="P101" s="45">
        <v>2</v>
      </c>
      <c r="Q101" s="54"/>
      <c r="R101" s="257">
        <f ca="1">IF(D101="","",IF(OFFSET(D101,-1,0)&lt;&gt;"","",IF(OR(J101="リード付け",J101="巻足し",J101="巻返しリード付け"),M101,VLOOKUP(D101,契約台帳!$A$3:$N$4986,14,FALSE))))</f>
        <v>1120</v>
      </c>
      <c r="S101" s="258">
        <f ca="1">IF(D101="","",IF(OFFSET(D101,-1,0)&lt;&gt;"","",IF(OR(J101="リード付け",J101="巻足し",J101="巻返しリード付け"),M101,VLOOKUP(D101,契約台帳!$A$3:$O$4986,15,FALSE))))</f>
        <v>1120</v>
      </c>
      <c r="T101" s="258">
        <f ca="1">IF(D101="","",IF(J101="リード付け",N101,IF(J101="巻返しリード付け",N101,IF(J101="巻足し",N101*P101+OFFSET(N101,1,0)*OFFSET(P101,1,0),VLOOKUP(D101,契約台帳!$A$3:$P$4986,16,FALSE)))))</f>
        <v>4000</v>
      </c>
      <c r="U101" s="38">
        <v>2</v>
      </c>
      <c r="V101" s="259" t="str">
        <f ca="1">IF(D101="","",IF(OFFSET(D101,-2,0)=D101,"",VLOOKUP(D101,契約台帳!$A$3:$R$4986,18,FALSE)))</f>
        <v/>
      </c>
      <c r="W101" s="256" t="str">
        <f ca="1">IF(D101="","",IF(T101="","",IF(OR(J101="巻足し",J101="巻返しリード付け"),"",IF(J101="巻返し",VLOOKUP(F101&amp;K101&amp;M101,製品マスタ!$M$5:$AD$4999,18,FALSE),IF(OR(J101="リード付け",J101="巻返しリード付け"),"原反コア",IF(J101="スリット",VLOOKUP(F101&amp;K101&amp;R101,製品マスタ!$N$5:$AD$4999,17,FALSE),""))))))</f>
        <v>6ｲﾝﾁMｺｱ</v>
      </c>
      <c r="X101" s="256">
        <f ca="1">IF(D101="","",IF(T101="","",IF(J101="巻足し","",IF(J101="巻返し",VLOOKUP(F101&amp;K101&amp;M101,製品マスタ!$M$5:$AE$4999,19,FALSE),IF(OR(J101="リード付け",J101="巻返しリード付け"),"",IF(J101="スリット",VLOOKUP(F101&amp;K101&amp;R101,製品マスタ!$N$5:$AE$4999,18,FALSE),""))))))</f>
        <v>1140</v>
      </c>
      <c r="Y101" s="256">
        <f ca="1">IF(D101="","",IF(T101="","",VLOOKUP(D101,契約台帳!$A$3:$Q$4986,17,FALSE)))</f>
        <v>2</v>
      </c>
      <c r="Z101" s="256" t="str">
        <f ca="1">IF(D101="","",IF(T101="","",VLOOKUP(D101,契約台帳!$A$3:$E$4986,5,FALSE)))</f>
        <v>新タック化成㈱</v>
      </c>
      <c r="AA101" s="54">
        <v>44949</v>
      </c>
      <c r="AB101" s="200" t="str">
        <f>IFERROR((VLOOKUP(F101&amp;K101&amp;M101,製品マスタ!$M$5:$AM$4999,27,FALSE)),"")</f>
        <v>原反ケース再利用</v>
      </c>
      <c r="AC101" s="31"/>
      <c r="AD101" s="184"/>
      <c r="AE101" s="51"/>
      <c r="AF101" s="52"/>
      <c r="AG101" s="41"/>
      <c r="AH101" s="45"/>
      <c r="AI101" s="28"/>
      <c r="AJ101" s="28"/>
      <c r="AK101" s="28"/>
      <c r="AL101" s="28"/>
      <c r="AM101" s="12"/>
      <c r="AN101" s="12"/>
      <c r="AO101" s="12"/>
      <c r="AP101" s="12"/>
      <c r="AQ101" s="12"/>
      <c r="AR101" s="13"/>
      <c r="AS101" s="14"/>
    </row>
    <row r="102" spans="1:45" s="16" customFormat="1" ht="30.95" hidden="1" customHeight="1" x14ac:dyDescent="0.2">
      <c r="A102" s="35"/>
      <c r="B102" s="36"/>
      <c r="C102" s="43"/>
      <c r="D102" s="29"/>
      <c r="E102" s="29"/>
      <c r="F102" s="255" t="str">
        <f>IF(D102="","",VLOOKUP(D102,契約台帳!$A$3:$K$4986,6,FALSE)&amp;VLOOKUP(D102,契約台帳!$A$3:$K$4986,7,FALSE)&amp;VLOOKUP(D102,契約台帳!$A$3:$K$4986,8,FALSE)&amp;VLOOKUP(D102,契約台帳!$A$3:$K$4986,9,FALSE)&amp;VLOOKUP(D102,契約台帳!$A$3:$K$4986,11,FALSE))</f>
        <v/>
      </c>
      <c r="G102" s="256" t="str">
        <f>IF(D102="","",VLOOKUP(F102,製品マスタ!$G$5:$H$4999,2,FALSE))</f>
        <v/>
      </c>
      <c r="H102" s="256" t="str">
        <f>IF(D102="","",VLOOKUP(F102,製品マスタ!$G$5:$K$4999,5,FALSE))</f>
        <v/>
      </c>
      <c r="I102" s="200" t="str">
        <f>IF(D102="","",VLOOKUP(F102,製品マスタ!$G$5:$L$4999,6,FALSE))</f>
        <v/>
      </c>
      <c r="J102" s="203"/>
      <c r="K102" s="200" t="str">
        <f>IF(D102="","",VLOOKUP(D102,契約台帳!$A$3:$L$4986,12,FALSE))</f>
        <v/>
      </c>
      <c r="L102" s="200" t="str">
        <f>IF(D102="","",INDEX(製品マスタ!$Q$5:$Q$4999,MATCH('S4'!F102&amp;'S4'!K102,製品マスタ!$AO$5:$AO$4999,0)))</f>
        <v/>
      </c>
      <c r="M102" s="37"/>
      <c r="N102" s="37"/>
      <c r="O102" s="153"/>
      <c r="P102" s="45"/>
      <c r="Q102" s="54"/>
      <c r="R102" s="257" t="str">
        <f ca="1">IF(D102="","",IF(OFFSET(D102,-1,0)&lt;&gt;"","",IF(OR(J102="リード付け",J102="巻足し",J102="巻返しリード付け"),M102,VLOOKUP(D102,契約台帳!$A$3:$N$4986,14,FALSE))))</f>
        <v/>
      </c>
      <c r="S102" s="258" t="str">
        <f ca="1">IF(D102="","",IF(OFFSET(D102,-1,0)&lt;&gt;"","",IF(OR(J102="リード付け",J102="巻足し",J102="巻返しリード付け"),M102,VLOOKUP(D102,契約台帳!$A$3:$O$4986,15,FALSE))))</f>
        <v/>
      </c>
      <c r="T102" s="258" t="str">
        <f ca="1">IF(D102="","",IF(J102="リード付け",N102,IF(J102="巻返しリード付け",N102,IF(J102="巻足し",N102*P102+OFFSET(N102,1,0)*OFFSET(P102,1,0),VLOOKUP(D102,契約台帳!$A$3:$P$4986,16,FALSE)))))</f>
        <v/>
      </c>
      <c r="U102" s="38"/>
      <c r="V102" s="259" t="str">
        <f ca="1">IF(D102="","",IF(OFFSET(D102,-2,0)=D102,"",VLOOKUP(D102,契約台帳!$A$3:$R$4986,18,FALSE)))</f>
        <v/>
      </c>
      <c r="W102" s="256" t="str">
        <f>IF(D102="","",IF(T102="","",IF(OR(J102="巻足し",J102="巻返しリード付け"),"",IF(J102="巻返し",VLOOKUP(F102&amp;K102&amp;M102,製品マスタ!$M$5:$AD$4999,18,FALSE),IF(OR(J102="リード付け",J102="巻返しリード付け"),"原反コア",IF(J102="スリット",VLOOKUP(F102&amp;K102&amp;R102,製品マスタ!$N$5:$AD$4999,17,FALSE),""))))))</f>
        <v/>
      </c>
      <c r="X102" s="256" t="str">
        <f>IF(D102="","",IF(T102="","",IF(J102="巻足し","",IF(J102="巻返し",VLOOKUP(F102&amp;K102&amp;M102,製品マスタ!$M$5:$AE$4999,19,FALSE),IF(OR(J102="リード付け",J102="巻返しリード付け"),"",IF(J102="スリット",VLOOKUP(F102&amp;K102&amp;R102,製品マスタ!$N$5:$AE$4999,18,FALSE),""))))))</f>
        <v/>
      </c>
      <c r="Y102" s="256" t="str">
        <f>IF(D102="","",IF(T102="","",VLOOKUP(D102,契約台帳!$A$3:$Q$4986,17,FALSE)))</f>
        <v/>
      </c>
      <c r="Z102" s="256" t="str">
        <f>IF(D102="","",IF(T102="","",VLOOKUP(D102,契約台帳!$A$3:$E$4986,5,FALSE)))</f>
        <v/>
      </c>
      <c r="AA102" s="54"/>
      <c r="AB102" s="200" t="str">
        <f>IFERROR((VLOOKUP(F102&amp;K102&amp;M102,製品マスタ!$M$5:$AM$4999,27,FALSE)),"")</f>
        <v/>
      </c>
      <c r="AC102" s="31"/>
      <c r="AD102" s="184"/>
      <c r="AE102" s="51"/>
      <c r="AF102" s="52"/>
      <c r="AG102" s="41"/>
      <c r="AH102" s="45"/>
      <c r="AI102" s="28"/>
      <c r="AJ102" s="28"/>
      <c r="AK102" s="28"/>
      <c r="AL102" s="28"/>
      <c r="AM102" s="12"/>
      <c r="AN102" s="12"/>
      <c r="AO102" s="12"/>
      <c r="AP102" s="12"/>
      <c r="AQ102" s="12"/>
      <c r="AR102" s="13"/>
      <c r="AS102" s="14"/>
    </row>
    <row r="103" spans="1:45" s="16" customFormat="1" ht="30.95" hidden="1" customHeight="1" x14ac:dyDescent="0.2">
      <c r="A103" s="35" t="s">
        <v>791</v>
      </c>
      <c r="B103" s="36" t="s">
        <v>443</v>
      </c>
      <c r="C103" s="43"/>
      <c r="D103" s="29">
        <v>3691106</v>
      </c>
      <c r="E103" s="29">
        <v>4140854</v>
      </c>
      <c r="F103" s="255" t="str">
        <f>IF(D103="","",VLOOKUP(D103,契約台帳!$A$3:$K$4986,6,FALSE)&amp;VLOOKUP(D103,契約台帳!$A$3:$K$4986,7,FALSE)&amp;VLOOKUP(D103,契約台帳!$A$3:$K$4986,8,FALSE)&amp;VLOOKUP(D103,契約台帳!$A$3:$K$4986,9,FALSE)&amp;VLOOKUP(D103,契約台帳!$A$3:$K$4986,11,FALSE))</f>
        <v>3SNMCLBMSNEYK</v>
      </c>
      <c r="G103" s="256" t="str">
        <f>IF(D103="","",VLOOKUP(F103,製品マスタ!$G$5:$H$4999,2,FALSE))</f>
        <v>S</v>
      </c>
      <c r="H103" s="256" t="str">
        <f>IF(D103="","",VLOOKUP(F103,製品マスタ!$G$5:$K$4999,5,FALSE))</f>
        <v>MSNEYK</v>
      </c>
      <c r="I103" s="200" t="str">
        <f>IF(D103="","",VLOOKUP(F103,製品マスタ!$G$5:$L$4999,6,FALSE))</f>
        <v>ＭＳＮ　ＥＹＫ</v>
      </c>
      <c r="J103" s="203" t="s">
        <v>447</v>
      </c>
      <c r="K103" s="200">
        <f>IF(D103="","",VLOOKUP(D103,契約台帳!$A$3:$L$4986,12,FALSE))</f>
        <v>50</v>
      </c>
      <c r="L103" s="200" t="str">
        <f>IF(D103="","",INDEX(製品マスタ!$Q$5:$Q$4999,MATCH('S4'!F103&amp;'S4'!K103,製品マスタ!$AO$5:$AO$4999,0)))</f>
        <v>N-MAT</v>
      </c>
      <c r="M103" s="37">
        <v>1120</v>
      </c>
      <c r="N103" s="37">
        <v>12000</v>
      </c>
      <c r="O103" s="153">
        <v>2</v>
      </c>
      <c r="P103" s="45">
        <v>3</v>
      </c>
      <c r="Q103" s="54"/>
      <c r="R103" s="257">
        <f ca="1">IF(D103="","",IF(OFFSET(D103,-1,0)&lt;&gt;"","",IF(OR(J103="リード付け",J103="巻足し",J103="巻返しリード付け"),M103,VLOOKUP(D103,契約台帳!$A$3:$N$4986,14,FALSE))))</f>
        <v>1120</v>
      </c>
      <c r="S103" s="258">
        <f ca="1">IF(D103="","",IF(OFFSET(D103,-1,0)&lt;&gt;"","",IF(OR(J103="リード付け",J103="巻足し",J103="巻返しリード付け"),M103,VLOOKUP(D103,契約台帳!$A$3:$O$4986,15,FALSE))))</f>
        <v>1120</v>
      </c>
      <c r="T103" s="258">
        <f ca="1">IF(D103="","",IF(J103="リード付け",N103,IF(J103="巻返しリード付け",N103,IF(J103="巻足し",N103*P103+OFFSET(N103,1,0)*OFFSET(P103,1,0),VLOOKUP(D103,契約台帳!$A$3:$P$4986,16,FALSE)))))</f>
        <v>4000</v>
      </c>
      <c r="U103" s="38">
        <v>6</v>
      </c>
      <c r="V103" s="259">
        <f ca="1">IF(D103="","",IF(OFFSET(D103,-2,0)=D103,"",VLOOKUP(D103,契約台帳!$A$3:$R$4986,18,FALSE)))</f>
        <v>8</v>
      </c>
      <c r="W103" s="256" t="str">
        <f ca="1">IF(D103="","",IF(T103="","",IF(OR(J103="巻足し",J103="巻返しリード付け"),"",IF(J103="巻返し",VLOOKUP(F103&amp;K103&amp;M103,製品マスタ!$M$5:$AD$4999,18,FALSE),IF(OR(J103="リード付け",J103="巻返しリード付け"),"原反コア",IF(J103="スリット",VLOOKUP(F103&amp;K103&amp;R103,製品マスタ!$N$5:$AD$4999,17,FALSE),""))))))</f>
        <v>6ｲﾝﾁMｺｱ</v>
      </c>
      <c r="X103" s="256">
        <f ca="1">IF(D103="","",IF(T103="","",IF(J103="巻足し","",IF(J103="巻返し",VLOOKUP(F103&amp;K103&amp;M103,製品マスタ!$M$5:$AE$4999,19,FALSE),IF(OR(J103="リード付け",J103="巻返しリード付け"),"",IF(J103="スリット",VLOOKUP(F103&amp;K103&amp;R103,製品マスタ!$N$5:$AE$4999,18,FALSE),""))))))</f>
        <v>1140</v>
      </c>
      <c r="Y103" s="256">
        <f ca="1">IF(D103="","",IF(T103="","",VLOOKUP(D103,契約台帳!$A$3:$Q$4986,17,FALSE)))</f>
        <v>2</v>
      </c>
      <c r="Z103" s="256" t="str">
        <f ca="1">IF(D103="","",IF(T103="","",VLOOKUP(D103,契約台帳!$A$3:$E$4986,5,FALSE)))</f>
        <v>新タック化成㈱</v>
      </c>
      <c r="AA103" s="54">
        <v>44950</v>
      </c>
      <c r="AB103" s="200" t="str">
        <f>IFERROR((VLOOKUP(F103&amp;K103&amp;M103,製品マスタ!$M$5:$AM$4999,27,FALSE)),"")</f>
        <v>原反ケース再利用</v>
      </c>
      <c r="AC103" s="31"/>
      <c r="AD103" s="184"/>
      <c r="AE103" s="51"/>
      <c r="AF103" s="52"/>
      <c r="AG103" s="41"/>
      <c r="AH103" s="45"/>
      <c r="AI103" s="28"/>
      <c r="AJ103" s="28"/>
      <c r="AK103" s="28"/>
      <c r="AL103" s="28"/>
      <c r="AM103" s="12"/>
      <c r="AN103" s="12"/>
      <c r="AO103" s="12"/>
      <c r="AP103" s="12"/>
      <c r="AQ103" s="12"/>
      <c r="AR103" s="13"/>
      <c r="AS103" s="14"/>
    </row>
    <row r="104" spans="1:45" s="16" customFormat="1" ht="30.95" hidden="1" customHeight="1" x14ac:dyDescent="0.2">
      <c r="A104" s="35"/>
      <c r="B104" s="36"/>
      <c r="C104" s="43"/>
      <c r="D104" s="29"/>
      <c r="E104" s="29"/>
      <c r="F104" s="255" t="str">
        <f>IF(D104="","",VLOOKUP(D104,契約台帳!$A$3:$K$4986,6,FALSE)&amp;VLOOKUP(D104,契約台帳!$A$3:$K$4986,7,FALSE)&amp;VLOOKUP(D104,契約台帳!$A$3:$K$4986,8,FALSE)&amp;VLOOKUP(D104,契約台帳!$A$3:$K$4986,9,FALSE)&amp;VLOOKUP(D104,契約台帳!$A$3:$K$4986,11,FALSE))</f>
        <v/>
      </c>
      <c r="G104" s="256" t="str">
        <f>IF(D104="","",VLOOKUP(F104,製品マスタ!$G$5:$H$4999,2,FALSE))</f>
        <v/>
      </c>
      <c r="H104" s="256" t="str">
        <f>IF(D104="","",VLOOKUP(F104,製品マスタ!$G$5:$K$4999,5,FALSE))</f>
        <v/>
      </c>
      <c r="I104" s="200" t="str">
        <f>IF(D104="","",VLOOKUP(F104,製品マスタ!$G$5:$L$4999,6,FALSE))</f>
        <v/>
      </c>
      <c r="J104" s="203"/>
      <c r="K104" s="200" t="str">
        <f>IF(D104="","",VLOOKUP(D104,契約台帳!$A$3:$L$4986,12,FALSE))</f>
        <v/>
      </c>
      <c r="L104" s="200" t="str">
        <f>IF(D104="","",INDEX(製品マスタ!$Q$5:$Q$4999,MATCH('S4'!F104&amp;'S4'!K104,製品マスタ!$AO$5:$AO$4999,0)))</f>
        <v/>
      </c>
      <c r="M104" s="37"/>
      <c r="N104" s="37"/>
      <c r="O104" s="153"/>
      <c r="P104" s="45"/>
      <c r="Q104" s="54"/>
      <c r="R104" s="257" t="str">
        <f ca="1">IF(D104="","",IF(OFFSET(D104,-1,0)&lt;&gt;"","",IF(OR(J104="リード付け",J104="巻足し",J104="巻返しリード付け"),M104,VLOOKUP(D104,契約台帳!$A$3:$N$4986,14,FALSE))))</f>
        <v/>
      </c>
      <c r="S104" s="258" t="str">
        <f ca="1">IF(D104="","",IF(OFFSET(D104,-1,0)&lt;&gt;"","",IF(OR(J104="リード付け",J104="巻足し",J104="巻返しリード付け"),M104,VLOOKUP(D104,契約台帳!$A$3:$O$4986,15,FALSE))))</f>
        <v/>
      </c>
      <c r="T104" s="258" t="str">
        <f ca="1">IF(D104="","",IF(J104="リード付け",N104,IF(J104="巻返しリード付け",N104,IF(J104="巻足し",N104*P104+OFFSET(N104,1,0)*OFFSET(P104,1,0),VLOOKUP(D104,契約台帳!$A$3:$P$4986,16,FALSE)))))</f>
        <v/>
      </c>
      <c r="U104" s="38"/>
      <c r="V104" s="259" t="str">
        <f ca="1">IF(D104="","",IF(OFFSET(D104,-2,0)=D104,"",VLOOKUP(D104,契約台帳!$A$3:$R$4986,18,FALSE)))</f>
        <v/>
      </c>
      <c r="W104" s="256" t="str">
        <f>IF(D104="","",IF(T104="","",IF(OR(J104="巻足し",J104="巻返しリード付け"),"",IF(J104="巻返し",VLOOKUP(F104&amp;K104&amp;M104,製品マスタ!$M$5:$AD$4999,18,FALSE),IF(OR(J104="リード付け",J104="巻返しリード付け"),"原反コア",IF(J104="スリット",VLOOKUP(F104&amp;K104&amp;R104,製品マスタ!$N$5:$AD$4999,17,FALSE),""))))))</f>
        <v/>
      </c>
      <c r="X104" s="256" t="str">
        <f>IF(D104="","",IF(T104="","",IF(J104="巻足し","",IF(J104="巻返し",VLOOKUP(F104&amp;K104&amp;M104,製品マスタ!$M$5:$AE$4999,19,FALSE),IF(OR(J104="リード付け",J104="巻返しリード付け"),"",IF(J104="スリット",VLOOKUP(F104&amp;K104&amp;R104,製品マスタ!$N$5:$AE$4999,18,FALSE),""))))))</f>
        <v/>
      </c>
      <c r="Y104" s="256" t="str">
        <f>IF(D104="","",IF(T104="","",VLOOKUP(D104,契約台帳!$A$3:$Q$4986,17,FALSE)))</f>
        <v/>
      </c>
      <c r="Z104" s="256" t="str">
        <f>IF(D104="","",IF(T104="","",VLOOKUP(D104,契約台帳!$A$3:$E$4986,5,FALSE)))</f>
        <v/>
      </c>
      <c r="AA104" s="54"/>
      <c r="AB104" s="200" t="str">
        <f>IFERROR((VLOOKUP(F104&amp;K104&amp;M104,製品マスタ!$M$5:$AM$4999,27,FALSE)),"")</f>
        <v/>
      </c>
      <c r="AC104" s="31"/>
      <c r="AD104" s="184"/>
      <c r="AE104" s="51"/>
      <c r="AF104" s="52"/>
      <c r="AG104" s="41"/>
      <c r="AH104" s="45"/>
      <c r="AI104" s="28"/>
      <c r="AJ104" s="28"/>
      <c r="AK104" s="28"/>
      <c r="AL104" s="28"/>
      <c r="AM104" s="12"/>
      <c r="AN104" s="12"/>
      <c r="AO104" s="12"/>
      <c r="AP104" s="12"/>
      <c r="AQ104" s="12"/>
      <c r="AR104" s="13"/>
      <c r="AS104" s="14"/>
    </row>
    <row r="105" spans="1:45" s="16" customFormat="1" ht="30.95" hidden="1" customHeight="1" x14ac:dyDescent="0.2">
      <c r="A105" s="35"/>
      <c r="B105" s="36"/>
      <c r="C105" s="43"/>
      <c r="D105" s="29">
        <v>3691106</v>
      </c>
      <c r="E105" s="29">
        <v>4140854</v>
      </c>
      <c r="F105" s="255" t="str">
        <f>IF(D105="","",VLOOKUP(D105,契約台帳!$A$3:$K$4986,6,FALSE)&amp;VLOOKUP(D105,契約台帳!$A$3:$K$4986,7,FALSE)&amp;VLOOKUP(D105,契約台帳!$A$3:$K$4986,8,FALSE)&amp;VLOOKUP(D105,契約台帳!$A$3:$K$4986,9,FALSE)&amp;VLOOKUP(D105,契約台帳!$A$3:$K$4986,11,FALSE))</f>
        <v>3SNMCLBMSNEYK</v>
      </c>
      <c r="G105" s="256" t="str">
        <f>IF(D105="","",VLOOKUP(F105,製品マスタ!$G$5:$H$4999,2,FALSE))</f>
        <v>S</v>
      </c>
      <c r="H105" s="256" t="str">
        <f>IF(D105="","",VLOOKUP(F105,製品マスタ!$G$5:$K$4999,5,FALSE))</f>
        <v>MSNEYK</v>
      </c>
      <c r="I105" s="200" t="str">
        <f>IF(D105="","",VLOOKUP(F105,製品マスタ!$G$5:$L$4999,6,FALSE))</f>
        <v>ＭＳＮ　ＥＹＫ</v>
      </c>
      <c r="J105" s="203" t="s">
        <v>447</v>
      </c>
      <c r="K105" s="200">
        <f>IF(D105="","",VLOOKUP(D105,契約台帳!$A$3:$L$4986,12,FALSE))</f>
        <v>50</v>
      </c>
      <c r="L105" s="200" t="str">
        <f>IF(D105="","",INDEX(製品マスタ!$Q$5:$Q$4999,MATCH('S4'!F105&amp;'S4'!K105,製品マスタ!$AO$5:$AO$4999,0)))</f>
        <v>N-MAT</v>
      </c>
      <c r="M105" s="37">
        <v>1120</v>
      </c>
      <c r="N105" s="37">
        <v>8000</v>
      </c>
      <c r="O105" s="153">
        <v>1</v>
      </c>
      <c r="P105" s="45">
        <v>2</v>
      </c>
      <c r="Q105" s="54"/>
      <c r="R105" s="257">
        <f ca="1">IF(D105="","",IF(OFFSET(D105,-1,0)&lt;&gt;"","",IF(OR(J105="リード付け",J105="巻足し",J105="巻返しリード付け"),M105,VLOOKUP(D105,契約台帳!$A$3:$N$4986,14,FALSE))))</f>
        <v>1120</v>
      </c>
      <c r="S105" s="258">
        <f ca="1">IF(D105="","",IF(OFFSET(D105,-1,0)&lt;&gt;"","",IF(OR(J105="リード付け",J105="巻足し",J105="巻返しリード付け"),M105,VLOOKUP(D105,契約台帳!$A$3:$O$4986,15,FALSE))))</f>
        <v>1120</v>
      </c>
      <c r="T105" s="258">
        <f ca="1">IF(D105="","",IF(J105="リード付け",N105,IF(J105="巻返しリード付け",N105,IF(J105="巻足し",N105*P105+OFFSET(N105,1,0)*OFFSET(P105,1,0),VLOOKUP(D105,契約台帳!$A$3:$P$4986,16,FALSE)))))</f>
        <v>4000</v>
      </c>
      <c r="U105" s="38">
        <v>2</v>
      </c>
      <c r="V105" s="259" t="str">
        <f ca="1">IF(D105="","",IF(OFFSET(D105,-2,0)=D105,"",VLOOKUP(D105,契約台帳!$A$3:$R$4986,18,FALSE)))</f>
        <v/>
      </c>
      <c r="W105" s="256" t="str">
        <f ca="1">IF(D105="","",IF(T105="","",IF(OR(J105="巻足し",J105="巻返しリード付け"),"",IF(J105="巻返し",VLOOKUP(F105&amp;K105&amp;M105,製品マスタ!$M$5:$AD$4999,18,FALSE),IF(OR(J105="リード付け",J105="巻返しリード付け"),"原反コア",IF(J105="スリット",VLOOKUP(F105&amp;K105&amp;R105,製品マスタ!$N$5:$AD$4999,17,FALSE),""))))))</f>
        <v>6ｲﾝﾁMｺｱ</v>
      </c>
      <c r="X105" s="256">
        <f ca="1">IF(D105="","",IF(T105="","",IF(J105="巻足し","",IF(J105="巻返し",VLOOKUP(F105&amp;K105&amp;M105,製品マスタ!$M$5:$AE$4999,19,FALSE),IF(OR(J105="リード付け",J105="巻返しリード付け"),"",IF(J105="スリット",VLOOKUP(F105&amp;K105&amp;R105,製品マスタ!$N$5:$AE$4999,18,FALSE),""))))))</f>
        <v>1140</v>
      </c>
      <c r="Y105" s="256">
        <f ca="1">IF(D105="","",IF(T105="","",VLOOKUP(D105,契約台帳!$A$3:$Q$4986,17,FALSE)))</f>
        <v>2</v>
      </c>
      <c r="Z105" s="256" t="str">
        <f ca="1">IF(D105="","",IF(T105="","",VLOOKUP(D105,契約台帳!$A$3:$E$4986,5,FALSE)))</f>
        <v>新タック化成㈱</v>
      </c>
      <c r="AA105" s="54">
        <v>44950</v>
      </c>
      <c r="AB105" s="200" t="str">
        <f>IFERROR((VLOOKUP(F105&amp;K105&amp;M105,製品マスタ!$M$5:$AM$4999,27,FALSE)),"")</f>
        <v>原反ケース再利用</v>
      </c>
      <c r="AC105" s="31"/>
      <c r="AD105" s="184"/>
      <c r="AE105" s="51"/>
      <c r="AF105" s="52"/>
      <c r="AG105" s="41"/>
      <c r="AH105" s="45"/>
      <c r="AI105" s="28"/>
      <c r="AJ105" s="28"/>
      <c r="AK105" s="28"/>
      <c r="AL105" s="28"/>
      <c r="AM105" s="12"/>
      <c r="AN105" s="12"/>
      <c r="AO105" s="12"/>
      <c r="AP105" s="12"/>
      <c r="AQ105" s="12"/>
      <c r="AR105" s="13"/>
      <c r="AS105" s="14"/>
    </row>
    <row r="106" spans="1:45" s="16" customFormat="1" ht="30.95" hidden="1" customHeight="1" x14ac:dyDescent="0.2">
      <c r="A106" s="35"/>
      <c r="B106" s="36"/>
      <c r="C106" s="43"/>
      <c r="D106" s="29"/>
      <c r="E106" s="29"/>
      <c r="F106" s="255" t="str">
        <f>IF(D106="","",VLOOKUP(D106,契約台帳!$A$3:$K$4986,6,FALSE)&amp;VLOOKUP(D106,契約台帳!$A$3:$K$4986,7,FALSE)&amp;VLOOKUP(D106,契約台帳!$A$3:$K$4986,8,FALSE)&amp;VLOOKUP(D106,契約台帳!$A$3:$K$4986,9,FALSE)&amp;VLOOKUP(D106,契約台帳!$A$3:$K$4986,11,FALSE))</f>
        <v/>
      </c>
      <c r="G106" s="256" t="str">
        <f>IF(D106="","",VLOOKUP(F106,製品マスタ!$G$5:$H$4999,2,FALSE))</f>
        <v/>
      </c>
      <c r="H106" s="256" t="str">
        <f>IF(D106="","",VLOOKUP(F106,製品マスタ!$G$5:$K$4999,5,FALSE))</f>
        <v/>
      </c>
      <c r="I106" s="200" t="str">
        <f>IF(D106="","",VLOOKUP(F106,製品マスタ!$G$5:$L$4999,6,FALSE))</f>
        <v/>
      </c>
      <c r="J106" s="203"/>
      <c r="K106" s="200" t="str">
        <f>IF(D106="","",VLOOKUP(D106,契約台帳!$A$3:$L$4986,12,FALSE))</f>
        <v/>
      </c>
      <c r="L106" s="200" t="str">
        <f>IF(D106="","",INDEX(製品マスタ!$Q$5:$Q$4999,MATCH('S4'!F106&amp;'S4'!K106,製品マスタ!$AO$5:$AO$4999,0)))</f>
        <v/>
      </c>
      <c r="M106" s="37"/>
      <c r="N106" s="37"/>
      <c r="O106" s="153"/>
      <c r="P106" s="45"/>
      <c r="Q106" s="54"/>
      <c r="R106" s="257" t="str">
        <f ca="1">IF(D106="","",IF(OFFSET(D106,-1,0)&lt;&gt;"","",IF(OR(J106="リード付け",J106="巻足し",J106="巻返しリード付け"),M106,VLOOKUP(D106,契約台帳!$A$3:$N$4986,14,FALSE))))</f>
        <v/>
      </c>
      <c r="S106" s="258" t="str">
        <f ca="1">IF(D106="","",IF(OFFSET(D106,-1,0)&lt;&gt;"","",IF(OR(J106="リード付け",J106="巻足し",J106="巻返しリード付け"),M106,VLOOKUP(D106,契約台帳!$A$3:$O$4986,15,FALSE))))</f>
        <v/>
      </c>
      <c r="T106" s="258" t="str">
        <f ca="1">IF(D106="","",IF(J106="リード付け",N106,IF(J106="巻返しリード付け",N106,IF(J106="巻足し",N106*P106+OFFSET(N106,1,0)*OFFSET(P106,1,0),VLOOKUP(D106,契約台帳!$A$3:$P$4986,16,FALSE)))))</f>
        <v/>
      </c>
      <c r="U106" s="38"/>
      <c r="V106" s="259" t="str">
        <f ca="1">IF(D106="","",IF(OFFSET(D106,-2,0)=D106,"",VLOOKUP(D106,契約台帳!$A$3:$R$4986,18,FALSE)))</f>
        <v/>
      </c>
      <c r="W106" s="256" t="str">
        <f>IF(D106="","",IF(T106="","",IF(OR(J106="巻足し",J106="巻返しリード付け"),"",IF(J106="巻返し",VLOOKUP(F106&amp;K106&amp;M106,製品マスタ!$M$5:$AD$4999,18,FALSE),IF(OR(J106="リード付け",J106="巻返しリード付け"),"原反コア",IF(J106="スリット",VLOOKUP(F106&amp;K106&amp;R106,製品マスタ!$N$5:$AD$4999,17,FALSE),""))))))</f>
        <v/>
      </c>
      <c r="X106" s="256" t="str">
        <f>IF(D106="","",IF(T106="","",IF(J106="巻足し","",IF(J106="巻返し",VLOOKUP(F106&amp;K106&amp;M106,製品マスタ!$M$5:$AE$4999,19,FALSE),IF(OR(J106="リード付け",J106="巻返しリード付け"),"",IF(J106="スリット",VLOOKUP(F106&amp;K106&amp;R106,製品マスタ!$N$5:$AE$4999,18,FALSE),""))))))</f>
        <v/>
      </c>
      <c r="Y106" s="256" t="str">
        <f>IF(D106="","",IF(T106="","",VLOOKUP(D106,契約台帳!$A$3:$Q$4986,17,FALSE)))</f>
        <v/>
      </c>
      <c r="Z106" s="256" t="str">
        <f>IF(D106="","",IF(T106="","",VLOOKUP(D106,契約台帳!$A$3:$E$4986,5,FALSE)))</f>
        <v/>
      </c>
      <c r="AA106" s="54"/>
      <c r="AB106" s="200" t="str">
        <f>IFERROR((VLOOKUP(F106&amp;K106&amp;M106,製品マスタ!$M$5:$AM$4999,27,FALSE)),"")</f>
        <v/>
      </c>
      <c r="AC106" s="31"/>
      <c r="AD106" s="184"/>
      <c r="AE106" s="51"/>
      <c r="AF106" s="52"/>
      <c r="AG106" s="41"/>
      <c r="AH106" s="45"/>
      <c r="AI106" s="28"/>
      <c r="AJ106" s="28"/>
      <c r="AK106" s="28"/>
      <c r="AL106" s="28"/>
      <c r="AM106" s="12"/>
      <c r="AN106" s="12"/>
      <c r="AO106" s="12"/>
      <c r="AP106" s="12"/>
      <c r="AQ106" s="12"/>
      <c r="AR106" s="13"/>
      <c r="AS106" s="14"/>
    </row>
    <row r="107" spans="1:45" s="16" customFormat="1" ht="30.95" hidden="1" customHeight="1" x14ac:dyDescent="0.2">
      <c r="A107" s="35"/>
      <c r="B107" s="36"/>
      <c r="C107" s="43"/>
      <c r="D107" s="29">
        <v>3691103</v>
      </c>
      <c r="E107" s="29">
        <v>4140850</v>
      </c>
      <c r="F107" s="255" t="str">
        <f>IF(D107="","",VLOOKUP(D107,契約台帳!$A$3:$K$4986,6,FALSE)&amp;VLOOKUP(D107,契約台帳!$A$3:$K$4986,7,FALSE)&amp;VLOOKUP(D107,契約台帳!$A$3:$K$4986,8,FALSE)&amp;VLOOKUP(D107,契約台帳!$A$3:$K$4986,9,FALSE)&amp;VLOOKUP(D107,契約台帳!$A$3:$K$4986,11,FALSE))</f>
        <v>3SNMCLBMSNEYK</v>
      </c>
      <c r="G107" s="256" t="str">
        <f>IF(D107="","",VLOOKUP(F107,製品マスタ!$G$5:$H$4999,2,FALSE))</f>
        <v>S</v>
      </c>
      <c r="H107" s="256" t="str">
        <f>IF(D107="","",VLOOKUP(F107,製品マスタ!$G$5:$K$4999,5,FALSE))</f>
        <v>MSNEYK</v>
      </c>
      <c r="I107" s="200" t="str">
        <f>IF(D107="","",VLOOKUP(F107,製品マスタ!$G$5:$L$4999,6,FALSE))</f>
        <v>ＭＳＮ　ＥＹＫ</v>
      </c>
      <c r="J107" s="203" t="s">
        <v>447</v>
      </c>
      <c r="K107" s="200">
        <f>IF(D107="","",VLOOKUP(D107,契約台帳!$A$3:$L$4986,12,FALSE))</f>
        <v>25</v>
      </c>
      <c r="L107" s="200" t="str">
        <f>IF(D107="","",INDEX(製品マスタ!$Q$5:$Q$4999,MATCH('S4'!F107&amp;'S4'!K107,製品マスタ!$AO$5:$AO$4999,0)))</f>
        <v>N-MAT</v>
      </c>
      <c r="M107" s="37">
        <v>1120</v>
      </c>
      <c r="N107" s="37">
        <v>8000</v>
      </c>
      <c r="O107" s="153">
        <v>1</v>
      </c>
      <c r="P107" s="45">
        <v>2</v>
      </c>
      <c r="Q107" s="54"/>
      <c r="R107" s="257">
        <f ca="1">IF(D107="","",IF(OFFSET(D107,-1,0)&lt;&gt;"","",IF(OR(J107="リード付け",J107="巻足し",J107="巻返しリード付け"),M107,VLOOKUP(D107,契約台帳!$A$3:$N$4986,14,FALSE))))</f>
        <v>1120</v>
      </c>
      <c r="S107" s="258">
        <f ca="1">IF(D107="","",IF(OFFSET(D107,-1,0)&lt;&gt;"","",IF(OR(J107="リード付け",J107="巻足し",J107="巻返しリード付け"),M107,VLOOKUP(D107,契約台帳!$A$3:$O$4986,15,FALSE))))</f>
        <v>1120</v>
      </c>
      <c r="T107" s="258">
        <f ca="1">IF(D107="","",IF(J107="リード付け",N107,IF(J107="巻返しリード付け",N107,IF(J107="巻足し",N107*P107+OFFSET(N107,1,0)*OFFSET(P107,1,0),VLOOKUP(D107,契約台帳!$A$3:$P$4986,16,FALSE)))))</f>
        <v>4000</v>
      </c>
      <c r="U107" s="38">
        <v>2</v>
      </c>
      <c r="V107" s="259">
        <f ca="1">IF(D107="","",IF(OFFSET(D107,-2,0)=D107,"",VLOOKUP(D107,契約台帳!$A$3:$R$4986,18,FALSE)))</f>
        <v>2</v>
      </c>
      <c r="W107" s="256" t="str">
        <f ca="1">IF(D107="","",IF(T107="","",IF(OR(J107="巻足し",J107="巻返しリード付け"),"",IF(J107="巻返し",VLOOKUP(F107&amp;K107&amp;M107,製品マスタ!$M$5:$AD$4999,18,FALSE),IF(OR(J107="リード付け",J107="巻返しリード付け"),"原反コア",IF(J107="スリット",VLOOKUP(F107&amp;K107&amp;R107,製品マスタ!$N$5:$AD$4999,17,FALSE),""))))))</f>
        <v>6ｲﾝﾁMｺｱ</v>
      </c>
      <c r="X107" s="256">
        <f ca="1">IF(D107="","",IF(T107="","",IF(J107="巻足し","",IF(J107="巻返し",VLOOKUP(F107&amp;K107&amp;M107,製品マスタ!$M$5:$AE$4999,19,FALSE),IF(OR(J107="リード付け",J107="巻返しリード付け"),"",IF(J107="スリット",VLOOKUP(F107&amp;K107&amp;R107,製品マスタ!$N$5:$AE$4999,18,FALSE),""))))))</f>
        <v>1140</v>
      </c>
      <c r="Y107" s="256">
        <f ca="1">IF(D107="","",IF(T107="","",VLOOKUP(D107,契約台帳!$A$3:$Q$4986,17,FALSE)))</f>
        <v>2</v>
      </c>
      <c r="Z107" s="256" t="str">
        <f ca="1">IF(D107="","",IF(T107="","",VLOOKUP(D107,契約台帳!$A$3:$E$4986,5,FALSE)))</f>
        <v>新タック化成㈱</v>
      </c>
      <c r="AA107" s="54">
        <v>44950</v>
      </c>
      <c r="AB107" s="200">
        <f>IFERROR((VLOOKUP(F107&amp;K107&amp;M107,製品マスタ!$M$5:$AM$4999,27,FALSE)),"")</f>
        <v>0</v>
      </c>
      <c r="AC107" s="31"/>
      <c r="AD107" s="184"/>
      <c r="AE107" s="51"/>
      <c r="AF107" s="52"/>
      <c r="AG107" s="41"/>
      <c r="AH107" s="45"/>
      <c r="AI107" s="28"/>
      <c r="AJ107" s="28"/>
      <c r="AK107" s="28"/>
      <c r="AL107" s="28"/>
      <c r="AM107" s="12"/>
      <c r="AN107" s="12"/>
      <c r="AO107" s="12"/>
      <c r="AP107" s="12"/>
      <c r="AQ107" s="12"/>
      <c r="AR107" s="13"/>
      <c r="AS107" s="14"/>
    </row>
    <row r="108" spans="1:45" s="16" customFormat="1" ht="30.95" hidden="1" customHeight="1" x14ac:dyDescent="0.2">
      <c r="A108" s="35"/>
      <c r="B108" s="36"/>
      <c r="C108" s="43"/>
      <c r="D108" s="29"/>
      <c r="E108" s="29"/>
      <c r="F108" s="255" t="str">
        <f>IF(D108="","",VLOOKUP(D108,契約台帳!$A$3:$K$4986,6,FALSE)&amp;VLOOKUP(D108,契約台帳!$A$3:$K$4986,7,FALSE)&amp;VLOOKUP(D108,契約台帳!$A$3:$K$4986,8,FALSE)&amp;VLOOKUP(D108,契約台帳!$A$3:$K$4986,9,FALSE)&amp;VLOOKUP(D108,契約台帳!$A$3:$K$4986,11,FALSE))</f>
        <v/>
      </c>
      <c r="G108" s="256" t="str">
        <f>IF(D108="","",VLOOKUP(F108,製品マスタ!$G$5:$H$4999,2,FALSE))</f>
        <v/>
      </c>
      <c r="H108" s="256" t="str">
        <f>IF(D108="","",VLOOKUP(F108,製品マスタ!$G$5:$K$4999,5,FALSE))</f>
        <v/>
      </c>
      <c r="I108" s="200" t="str">
        <f>IF(D108="","",VLOOKUP(F108,製品マスタ!$G$5:$L$4999,6,FALSE))</f>
        <v/>
      </c>
      <c r="J108" s="203"/>
      <c r="K108" s="200" t="str">
        <f>IF(D108="","",VLOOKUP(D108,契約台帳!$A$3:$L$4986,12,FALSE))</f>
        <v/>
      </c>
      <c r="L108" s="200" t="str">
        <f>IF(D108="","",INDEX(製品マスタ!$Q$5:$Q$4999,MATCH('S4'!F108&amp;'S4'!K108,製品マスタ!$AO$5:$AO$4999,0)))</f>
        <v/>
      </c>
      <c r="M108" s="37"/>
      <c r="N108" s="37"/>
      <c r="O108" s="153"/>
      <c r="P108" s="45"/>
      <c r="Q108" s="54"/>
      <c r="R108" s="257" t="str">
        <f ca="1">IF(D108="","",IF(OFFSET(D108,-1,0)&lt;&gt;"","",IF(OR(J108="リード付け",J108="巻足し",J108="巻返しリード付け"),M108,VLOOKUP(D108,契約台帳!$A$3:$N$4986,14,FALSE))))</f>
        <v/>
      </c>
      <c r="S108" s="258" t="str">
        <f ca="1">IF(D108="","",IF(OFFSET(D108,-1,0)&lt;&gt;"","",IF(OR(J108="リード付け",J108="巻足し",J108="巻返しリード付け"),M108,VLOOKUP(D108,契約台帳!$A$3:$O$4986,15,FALSE))))</f>
        <v/>
      </c>
      <c r="T108" s="258" t="str">
        <f ca="1">IF(D108="","",IF(J108="リード付け",N108,IF(J108="巻返しリード付け",N108,IF(J108="巻足し",N108*P108+OFFSET(N108,1,0)*OFFSET(P108,1,0),VLOOKUP(D108,契約台帳!$A$3:$P$4986,16,FALSE)))))</f>
        <v/>
      </c>
      <c r="U108" s="38"/>
      <c r="V108" s="259" t="str">
        <f ca="1">IF(D108="","",IF(OFFSET(D108,-2,0)=D108,"",VLOOKUP(D108,契約台帳!$A$3:$R$4986,18,FALSE)))</f>
        <v/>
      </c>
      <c r="W108" s="256" t="str">
        <f>IF(D108="","",IF(T108="","",IF(OR(J108="巻足し",J108="巻返しリード付け"),"",IF(J108="巻返し",VLOOKUP(F108&amp;K108&amp;M108,製品マスタ!$M$5:$AD$4999,18,FALSE),IF(OR(J108="リード付け",J108="巻返しリード付け"),"原反コア",IF(J108="スリット",VLOOKUP(F108&amp;K108&amp;R108,製品マスタ!$N$5:$AD$4999,17,FALSE),""))))))</f>
        <v/>
      </c>
      <c r="X108" s="256" t="str">
        <f>IF(D108="","",IF(T108="","",IF(J108="巻足し","",IF(J108="巻返し",VLOOKUP(F108&amp;K108&amp;M108,製品マスタ!$M$5:$AE$4999,19,FALSE),IF(OR(J108="リード付け",J108="巻返しリード付け"),"",IF(J108="スリット",VLOOKUP(F108&amp;K108&amp;R108,製品マスタ!$N$5:$AE$4999,18,FALSE),""))))))</f>
        <v/>
      </c>
      <c r="Y108" s="256" t="str">
        <f>IF(D108="","",IF(T108="","",VLOOKUP(D108,契約台帳!$A$3:$Q$4986,17,FALSE)))</f>
        <v/>
      </c>
      <c r="Z108" s="256" t="str">
        <f>IF(D108="","",IF(T108="","",VLOOKUP(D108,契約台帳!$A$3:$E$4986,5,FALSE)))</f>
        <v/>
      </c>
      <c r="AA108" s="54"/>
      <c r="AB108" s="200" t="str">
        <f>IFERROR((VLOOKUP(F108&amp;K108&amp;M108,製品マスタ!$M$5:$AM$4999,27,FALSE)),"")</f>
        <v/>
      </c>
      <c r="AC108" s="31"/>
      <c r="AD108" s="184"/>
      <c r="AE108" s="51"/>
      <c r="AF108" s="52"/>
      <c r="AG108" s="41"/>
      <c r="AH108" s="45"/>
      <c r="AI108" s="28"/>
      <c r="AJ108" s="28"/>
      <c r="AK108" s="28"/>
      <c r="AL108" s="28"/>
      <c r="AM108" s="12"/>
      <c r="AN108" s="12"/>
      <c r="AO108" s="12"/>
      <c r="AP108" s="12"/>
      <c r="AQ108" s="12"/>
      <c r="AR108" s="13"/>
      <c r="AS108" s="14"/>
    </row>
    <row r="109" spans="1:45" s="16" customFormat="1" ht="30.95" hidden="1" customHeight="1" x14ac:dyDescent="0.2">
      <c r="A109" s="35"/>
      <c r="B109" s="36"/>
      <c r="C109" s="43"/>
      <c r="D109" s="29">
        <v>3691105</v>
      </c>
      <c r="E109" s="29">
        <v>4140851</v>
      </c>
      <c r="F109" s="255" t="str">
        <f>IF(D109="","",VLOOKUP(D109,契約台帳!$A$3:$K$4986,6,FALSE)&amp;VLOOKUP(D109,契約台帳!$A$3:$K$4986,7,FALSE)&amp;VLOOKUP(D109,契約台帳!$A$3:$K$4986,8,FALSE)&amp;VLOOKUP(D109,契約台帳!$A$3:$K$4986,9,FALSE)&amp;VLOOKUP(D109,契約台帳!$A$3:$K$4986,11,FALSE))</f>
        <v>3SNMCLBMSNEYK</v>
      </c>
      <c r="G109" s="256" t="str">
        <f>IF(D109="","",VLOOKUP(F109,製品マスタ!$G$5:$H$4999,2,FALSE))</f>
        <v>S</v>
      </c>
      <c r="H109" s="256" t="str">
        <f>IF(D109="","",VLOOKUP(F109,製品マスタ!$G$5:$K$4999,5,FALSE))</f>
        <v>MSNEYK</v>
      </c>
      <c r="I109" s="200" t="str">
        <f>IF(D109="","",VLOOKUP(F109,製品マスタ!$G$5:$L$4999,6,FALSE))</f>
        <v>ＭＳＮ　ＥＹＫ</v>
      </c>
      <c r="J109" s="203" t="s">
        <v>447</v>
      </c>
      <c r="K109" s="200">
        <f>IF(D109="","",VLOOKUP(D109,契約台帳!$A$3:$L$4986,12,FALSE))</f>
        <v>25</v>
      </c>
      <c r="L109" s="200" t="str">
        <f>IF(D109="","",INDEX(製品マスタ!$Q$5:$Q$4999,MATCH('S4'!F109&amp;'S4'!K109,製品マスタ!$AO$5:$AO$4999,0)))</f>
        <v>N-MAT</v>
      </c>
      <c r="M109" s="37">
        <v>1120</v>
      </c>
      <c r="N109" s="37">
        <v>8000</v>
      </c>
      <c r="O109" s="153">
        <v>1</v>
      </c>
      <c r="P109" s="45">
        <v>2</v>
      </c>
      <c r="Q109" s="54"/>
      <c r="R109" s="257">
        <f ca="1">IF(D109="","",IF(OFFSET(D109,-1,0)&lt;&gt;"","",IF(OR(J109="リード付け",J109="巻足し",J109="巻返しリード付け"),M109,VLOOKUP(D109,契約台帳!$A$3:$N$4986,14,FALSE))))</f>
        <v>1120</v>
      </c>
      <c r="S109" s="258">
        <f ca="1">IF(D109="","",IF(OFFSET(D109,-1,0)&lt;&gt;"","",IF(OR(J109="リード付け",J109="巻足し",J109="巻返しリード付け"),M109,VLOOKUP(D109,契約台帳!$A$3:$O$4986,15,FALSE))))</f>
        <v>1120</v>
      </c>
      <c r="T109" s="258">
        <f ca="1">IF(D109="","",IF(J109="リード付け",N109,IF(J109="巻返しリード付け",N109,IF(J109="巻足し",N109*P109+OFFSET(N109,1,0)*OFFSET(P109,1,0),VLOOKUP(D109,契約台帳!$A$3:$P$4986,16,FALSE)))))</f>
        <v>4000</v>
      </c>
      <c r="U109" s="38">
        <v>2</v>
      </c>
      <c r="V109" s="259">
        <f ca="1">IF(D109="","",IF(OFFSET(D109,-2,0)=D109,"",VLOOKUP(D109,契約台帳!$A$3:$R$4986,18,FALSE)))</f>
        <v>2</v>
      </c>
      <c r="W109" s="256" t="str">
        <f ca="1">IF(D109="","",IF(T109="","",IF(OR(J109="巻足し",J109="巻返しリード付け"),"",IF(J109="巻返し",VLOOKUP(F109&amp;K109&amp;M109,製品マスタ!$M$5:$AD$4999,18,FALSE),IF(OR(J109="リード付け",J109="巻返しリード付け"),"原反コア",IF(J109="スリット",VLOOKUP(F109&amp;K109&amp;R109,製品マスタ!$N$5:$AD$4999,17,FALSE),""))))))</f>
        <v>6ｲﾝﾁMｺｱ</v>
      </c>
      <c r="X109" s="256">
        <f ca="1">IF(D109="","",IF(T109="","",IF(J109="巻足し","",IF(J109="巻返し",VLOOKUP(F109&amp;K109&amp;M109,製品マスタ!$M$5:$AE$4999,19,FALSE),IF(OR(J109="リード付け",J109="巻返しリード付け"),"",IF(J109="スリット",VLOOKUP(F109&amp;K109&amp;R109,製品マスタ!$N$5:$AE$4999,18,FALSE),""))))))</f>
        <v>1140</v>
      </c>
      <c r="Y109" s="256">
        <f ca="1">IF(D109="","",IF(T109="","",VLOOKUP(D109,契約台帳!$A$3:$Q$4986,17,FALSE)))</f>
        <v>2</v>
      </c>
      <c r="Z109" s="256" t="str">
        <f ca="1">IF(D109="","",IF(T109="","",VLOOKUP(D109,契約台帳!$A$3:$E$4986,5,FALSE)))</f>
        <v>新タック化成㈱</v>
      </c>
      <c r="AA109" s="54">
        <v>44950</v>
      </c>
      <c r="AB109" s="200">
        <f>IFERROR((VLOOKUP(F109&amp;K109&amp;M109,製品マスタ!$M$5:$AM$4999,27,FALSE)),"")</f>
        <v>0</v>
      </c>
      <c r="AC109" s="31"/>
      <c r="AD109" s="184"/>
      <c r="AE109" s="51"/>
      <c r="AF109" s="52"/>
      <c r="AG109" s="41"/>
      <c r="AH109" s="45"/>
      <c r="AI109" s="28"/>
      <c r="AJ109" s="28"/>
      <c r="AK109" s="28"/>
      <c r="AL109" s="28"/>
      <c r="AM109" s="12"/>
      <c r="AN109" s="12"/>
      <c r="AO109" s="12"/>
      <c r="AP109" s="12"/>
      <c r="AQ109" s="12"/>
      <c r="AR109" s="13"/>
      <c r="AS109" s="14"/>
    </row>
    <row r="110" spans="1:45" s="16" customFormat="1" ht="30.95" hidden="1" customHeight="1" x14ac:dyDescent="0.2">
      <c r="A110" s="35"/>
      <c r="B110" s="36"/>
      <c r="C110" s="43"/>
      <c r="D110" s="29"/>
      <c r="E110" s="29"/>
      <c r="F110" s="255" t="str">
        <f>IF(D110="","",VLOOKUP(D110,契約台帳!$A$3:$K$4986,6,FALSE)&amp;VLOOKUP(D110,契約台帳!$A$3:$K$4986,7,FALSE)&amp;VLOOKUP(D110,契約台帳!$A$3:$K$4986,8,FALSE)&amp;VLOOKUP(D110,契約台帳!$A$3:$K$4986,9,FALSE)&amp;VLOOKUP(D110,契約台帳!$A$3:$K$4986,11,FALSE))</f>
        <v/>
      </c>
      <c r="G110" s="256" t="str">
        <f>IF(D110="","",VLOOKUP(F110,製品マスタ!$G$5:$H$4999,2,FALSE))</f>
        <v/>
      </c>
      <c r="H110" s="256" t="str">
        <f>IF(D110="","",VLOOKUP(F110,製品マスタ!$G$5:$K$4999,5,FALSE))</f>
        <v/>
      </c>
      <c r="I110" s="200" t="str">
        <f>IF(D110="","",VLOOKUP(F110,製品マスタ!$G$5:$L$4999,6,FALSE))</f>
        <v/>
      </c>
      <c r="J110" s="203"/>
      <c r="K110" s="200" t="str">
        <f>IF(D110="","",VLOOKUP(D110,契約台帳!$A$3:$L$4986,12,FALSE))</f>
        <v/>
      </c>
      <c r="L110" s="200" t="str">
        <f>IF(D110="","",INDEX(製品マスタ!$Q$5:$Q$4999,MATCH('S4'!F110&amp;'S4'!K110,製品マスタ!$AO$5:$AO$4999,0)))</f>
        <v/>
      </c>
      <c r="M110" s="37"/>
      <c r="N110" s="37"/>
      <c r="O110" s="153"/>
      <c r="P110" s="45"/>
      <c r="Q110" s="54"/>
      <c r="R110" s="257" t="str">
        <f ca="1">IF(D110="","",IF(OFFSET(D110,-1,0)&lt;&gt;"","",IF(OR(J110="リード付け",J110="巻足し",J110="巻返しリード付け"),M110,VLOOKUP(D110,契約台帳!$A$3:$N$4986,14,FALSE))))</f>
        <v/>
      </c>
      <c r="S110" s="258" t="str">
        <f ca="1">IF(D110="","",IF(OFFSET(D110,-1,0)&lt;&gt;"","",IF(OR(J110="リード付け",J110="巻足し",J110="巻返しリード付け"),M110,VLOOKUP(D110,契約台帳!$A$3:$O$4986,15,FALSE))))</f>
        <v/>
      </c>
      <c r="T110" s="258" t="str">
        <f ca="1">IF(D110="","",IF(J110="リード付け",N110,IF(J110="巻返しリード付け",N110,IF(J110="巻足し",N110*P110+OFFSET(N110,1,0)*OFFSET(P110,1,0),VLOOKUP(D110,契約台帳!$A$3:$P$4986,16,FALSE)))))</f>
        <v/>
      </c>
      <c r="U110" s="38"/>
      <c r="V110" s="259" t="str">
        <f ca="1">IF(D110="","",IF(OFFSET(D110,-2,0)=D110,"",VLOOKUP(D110,契約台帳!$A$3:$R$4986,18,FALSE)))</f>
        <v/>
      </c>
      <c r="W110" s="256" t="str">
        <f>IF(D110="","",IF(T110="","",IF(OR(J110="巻足し",J110="巻返しリード付け"),"",IF(J110="巻返し",VLOOKUP(F110&amp;K110&amp;M110,製品マスタ!$M$5:$AD$4999,18,FALSE),IF(OR(J110="リード付け",J110="巻返しリード付け"),"原反コア",IF(J110="スリット",VLOOKUP(F110&amp;K110&amp;R110,製品マスタ!$N$5:$AD$4999,17,FALSE),""))))))</f>
        <v/>
      </c>
      <c r="X110" s="256" t="str">
        <f>IF(D110="","",IF(T110="","",IF(J110="巻足し","",IF(J110="巻返し",VLOOKUP(F110&amp;K110&amp;M110,製品マスタ!$M$5:$AE$4999,19,FALSE),IF(OR(J110="リード付け",J110="巻返しリード付け"),"",IF(J110="スリット",VLOOKUP(F110&amp;K110&amp;R110,製品マスタ!$N$5:$AE$4999,18,FALSE),""))))))</f>
        <v/>
      </c>
      <c r="Y110" s="256" t="str">
        <f>IF(D110="","",IF(T110="","",VLOOKUP(D110,契約台帳!$A$3:$Q$4986,17,FALSE)))</f>
        <v/>
      </c>
      <c r="Z110" s="256" t="str">
        <f>IF(D110="","",IF(T110="","",VLOOKUP(D110,契約台帳!$A$3:$E$4986,5,FALSE)))</f>
        <v/>
      </c>
      <c r="AA110" s="54"/>
      <c r="AB110" s="200" t="str">
        <f>IFERROR((VLOOKUP(F110&amp;K110&amp;M110,製品マスタ!$M$5:$AM$4999,27,FALSE)),"")</f>
        <v/>
      </c>
      <c r="AC110" s="31"/>
      <c r="AD110" s="184"/>
      <c r="AE110" s="51"/>
      <c r="AF110" s="52"/>
      <c r="AG110" s="41"/>
      <c r="AH110" s="45"/>
      <c r="AI110" s="28"/>
      <c r="AJ110" s="28"/>
      <c r="AK110" s="28"/>
      <c r="AL110" s="28"/>
      <c r="AM110" s="12"/>
      <c r="AN110" s="12"/>
      <c r="AO110" s="12"/>
      <c r="AP110" s="12"/>
      <c r="AQ110" s="12"/>
      <c r="AR110" s="13"/>
      <c r="AS110" s="14"/>
    </row>
    <row r="111" spans="1:45" s="16" customFormat="1" ht="30.95" hidden="1" customHeight="1" x14ac:dyDescent="0.2">
      <c r="A111" s="35" t="s">
        <v>804</v>
      </c>
      <c r="B111" s="36" t="s">
        <v>805</v>
      </c>
      <c r="C111" s="43"/>
      <c r="D111" s="29"/>
      <c r="E111" s="29"/>
      <c r="F111" s="255" t="str">
        <f>IF(D111="","",VLOOKUP(D111,契約台帳!$A$3:$K$4986,6,FALSE)&amp;VLOOKUP(D111,契約台帳!$A$3:$K$4986,7,FALSE)&amp;VLOOKUP(D111,契約台帳!$A$3:$K$4986,8,FALSE)&amp;VLOOKUP(D111,契約台帳!$A$3:$K$4986,9,FALSE)&amp;VLOOKUP(D111,契約台帳!$A$3:$K$4986,11,FALSE))</f>
        <v/>
      </c>
      <c r="G111" s="256" t="str">
        <f>IF(D111="","",VLOOKUP(F111,製品マスタ!$G$5:$H$4999,2,FALSE))</f>
        <v/>
      </c>
      <c r="H111" s="256" t="str">
        <f>IF(D111="","",VLOOKUP(F111,製品マスタ!$G$5:$K$4999,5,FALSE))</f>
        <v/>
      </c>
      <c r="I111" s="200" t="str">
        <f>IF(D111="","",VLOOKUP(F111,製品マスタ!$G$5:$L$4999,6,FALSE))</f>
        <v/>
      </c>
      <c r="J111" s="203"/>
      <c r="K111" s="200" t="str">
        <f>IF(D111="","",VLOOKUP(D111,契約台帳!$A$3:$L$4986,12,FALSE))</f>
        <v/>
      </c>
      <c r="L111" s="200" t="str">
        <f>IF(D111="","",INDEX(製品マスタ!$Q$5:$Q$4999,MATCH('S4'!F111&amp;'S4'!K111,製品マスタ!$AO$5:$AO$4999,0)))</f>
        <v/>
      </c>
      <c r="M111" s="37"/>
      <c r="N111" s="37"/>
      <c r="O111" s="153"/>
      <c r="P111" s="45"/>
      <c r="Q111" s="54"/>
      <c r="R111" s="257" t="str">
        <f ca="1">IF(D111="","",IF(OFFSET(D111,-1,0)&lt;&gt;"","",IF(OR(J111="リード付け",J111="巻足し",J111="巻返しリード付け"),M111,VLOOKUP(D111,契約台帳!$A$3:$N$4986,14,FALSE))))</f>
        <v/>
      </c>
      <c r="S111" s="258" t="str">
        <f ca="1">IF(D111="","",IF(OFFSET(D111,-1,0)&lt;&gt;"","",IF(OR(J111="リード付け",J111="巻足し",J111="巻返しリード付け"),M111,VLOOKUP(D111,契約台帳!$A$3:$O$4986,15,FALSE))))</f>
        <v/>
      </c>
      <c r="T111" s="258" t="str">
        <f ca="1">IF(D111="","",IF(J111="リード付け",N111,IF(J111="巻返しリード付け",N111,IF(J111="巻足し",N111*P111+OFFSET(N111,1,0)*OFFSET(P111,1,0),VLOOKUP(D111,契約台帳!$A$3:$P$4986,16,FALSE)))))</f>
        <v/>
      </c>
      <c r="U111" s="38"/>
      <c r="V111" s="259" t="str">
        <f ca="1">IF(D111="","",IF(OFFSET(D111,-2,0)=D111,"",VLOOKUP(D111,契約台帳!$A$3:$R$4986,18,FALSE)))</f>
        <v/>
      </c>
      <c r="W111" s="256" t="str">
        <f>IF(D111="","",IF(T111="","",IF(OR(J111="巻足し",J111="巻返しリード付け"),"",IF(J111="巻返し",VLOOKUP(F111&amp;K111&amp;M111,製品マスタ!$M$5:$AD$4999,18,FALSE),IF(OR(J111="リード付け",J111="巻返しリード付け"),"原反コア",IF(J111="スリット",VLOOKUP(F111&amp;K111&amp;R111,製品マスタ!$N$5:$AD$4999,17,FALSE),""))))))</f>
        <v/>
      </c>
      <c r="X111" s="256" t="str">
        <f>IF(D111="","",IF(T111="","",IF(J111="巻足し","",IF(J111="巻返し",VLOOKUP(F111&amp;K111&amp;M111,製品マスタ!$M$5:$AE$4999,19,FALSE),IF(OR(J111="リード付け",J111="巻返しリード付け"),"",IF(J111="スリット",VLOOKUP(F111&amp;K111&amp;R111,製品マスタ!$N$5:$AE$4999,18,FALSE),""))))))</f>
        <v/>
      </c>
      <c r="Y111" s="256" t="str">
        <f>IF(D111="","",IF(T111="","",VLOOKUP(D111,契約台帳!$A$3:$Q$4986,17,FALSE)))</f>
        <v/>
      </c>
      <c r="Z111" s="256" t="str">
        <f>IF(D111="","",IF(T111="","",VLOOKUP(D111,契約台帳!$A$3:$E$4986,5,FALSE)))</f>
        <v/>
      </c>
      <c r="AA111" s="54"/>
      <c r="AB111" s="200" t="str">
        <f>IFERROR((VLOOKUP(F111&amp;K111&amp;M111,製品マスタ!$M$5:$AM$4999,27,FALSE)),"")</f>
        <v/>
      </c>
      <c r="AC111" s="31"/>
      <c r="AD111" s="184"/>
      <c r="AE111" s="51"/>
      <c r="AF111" s="52"/>
      <c r="AG111" s="41"/>
      <c r="AH111" s="45"/>
      <c r="AI111" s="28"/>
      <c r="AJ111" s="28"/>
      <c r="AK111" s="28"/>
      <c r="AL111" s="28"/>
      <c r="AM111" s="12"/>
      <c r="AN111" s="12"/>
      <c r="AO111" s="12"/>
      <c r="AP111" s="12"/>
      <c r="AQ111" s="12"/>
      <c r="AR111" s="13"/>
      <c r="AS111" s="14"/>
    </row>
    <row r="112" spans="1:45" s="16" customFormat="1" ht="30.95" hidden="1" customHeight="1" x14ac:dyDescent="0.2">
      <c r="A112" s="35"/>
      <c r="B112" s="36"/>
      <c r="C112" s="43"/>
      <c r="D112" s="29"/>
      <c r="E112" s="29"/>
      <c r="F112" s="255" t="str">
        <f>IF(D112="","",VLOOKUP(D112,契約台帳!$A$3:$K$4986,6,FALSE)&amp;VLOOKUP(D112,契約台帳!$A$3:$K$4986,7,FALSE)&amp;VLOOKUP(D112,契約台帳!$A$3:$K$4986,8,FALSE)&amp;VLOOKUP(D112,契約台帳!$A$3:$K$4986,9,FALSE)&amp;VLOOKUP(D112,契約台帳!$A$3:$K$4986,11,FALSE))</f>
        <v/>
      </c>
      <c r="G112" s="256" t="str">
        <f>IF(D112="","",VLOOKUP(F112,製品マスタ!$G$5:$H$4999,2,FALSE))</f>
        <v/>
      </c>
      <c r="H112" s="256" t="str">
        <f>IF(D112="","",VLOOKUP(F112,製品マスタ!$G$5:$K$4999,5,FALSE))</f>
        <v/>
      </c>
      <c r="I112" s="200" t="str">
        <f>IF(D112="","",VLOOKUP(F112,製品マスタ!$G$5:$L$4999,6,FALSE))</f>
        <v/>
      </c>
      <c r="J112" s="203"/>
      <c r="K112" s="200" t="str">
        <f>IF(D112="","",VLOOKUP(D112,契約台帳!$A$3:$L$4986,12,FALSE))</f>
        <v/>
      </c>
      <c r="L112" s="200" t="str">
        <f>IF(D112="","",INDEX(製品マスタ!$Q$5:$Q$4999,MATCH('S4'!F112&amp;'S4'!K112,製品マスタ!$AO$5:$AO$4999,0)))</f>
        <v/>
      </c>
      <c r="M112" s="37"/>
      <c r="N112" s="37"/>
      <c r="O112" s="153"/>
      <c r="P112" s="45"/>
      <c r="Q112" s="54"/>
      <c r="R112" s="257" t="str">
        <f ca="1">IF(D112="","",IF(OFFSET(D112,-1,0)&lt;&gt;"","",IF(OR(J112="リード付け",J112="巻足し",J112="巻返しリード付け"),M112,VLOOKUP(D112,契約台帳!$A$3:$N$4986,14,FALSE))))</f>
        <v/>
      </c>
      <c r="S112" s="258" t="str">
        <f ca="1">IF(D112="","",IF(OFFSET(D112,-1,0)&lt;&gt;"","",IF(OR(J112="リード付け",J112="巻足し",J112="巻返しリード付け"),M112,VLOOKUP(D112,契約台帳!$A$3:$O$4986,15,FALSE))))</f>
        <v/>
      </c>
      <c r="T112" s="258" t="str">
        <f ca="1">IF(D112="","",IF(J112="リード付け",N112,IF(J112="巻返しリード付け",N112,IF(J112="巻足し",N112*P112+OFFSET(N112,1,0)*OFFSET(P112,1,0),VLOOKUP(D112,契約台帳!$A$3:$P$4986,16,FALSE)))))</f>
        <v/>
      </c>
      <c r="U112" s="38"/>
      <c r="V112" s="259" t="str">
        <f ca="1">IF(D112="","",IF(OFFSET(D112,-2,0)=D112,"",VLOOKUP(D112,契約台帳!$A$3:$R$4986,18,FALSE)))</f>
        <v/>
      </c>
      <c r="W112" s="256" t="str">
        <f>IF(D112="","",IF(T112="","",IF(OR(J112="巻足し",J112="巻返しリード付け"),"",IF(J112="巻返し",VLOOKUP(F112&amp;K112&amp;M112,製品マスタ!$M$5:$AD$4999,18,FALSE),IF(OR(J112="リード付け",J112="巻返しリード付け"),"原反コア",IF(J112="スリット",VLOOKUP(F112&amp;K112&amp;R112,製品マスタ!$N$5:$AD$4999,17,FALSE),""))))))</f>
        <v/>
      </c>
      <c r="X112" s="256" t="str">
        <f>IF(D112="","",IF(T112="","",IF(J112="巻足し","",IF(J112="巻返し",VLOOKUP(F112&amp;K112&amp;M112,製品マスタ!$M$5:$AE$4999,19,FALSE),IF(OR(J112="リード付け",J112="巻返しリード付け"),"",IF(J112="スリット",VLOOKUP(F112&amp;K112&amp;R112,製品マスタ!$N$5:$AE$4999,18,FALSE),""))))))</f>
        <v/>
      </c>
      <c r="Y112" s="256" t="str">
        <f>IF(D112="","",IF(T112="","",VLOOKUP(D112,契約台帳!$A$3:$Q$4986,17,FALSE)))</f>
        <v/>
      </c>
      <c r="Z112" s="256" t="str">
        <f>IF(D112="","",IF(T112="","",VLOOKUP(D112,契約台帳!$A$3:$E$4986,5,FALSE)))</f>
        <v/>
      </c>
      <c r="AA112" s="54"/>
      <c r="AB112" s="200" t="str">
        <f>IFERROR((VLOOKUP(F112&amp;K112&amp;M112,製品マスタ!$M$5:$AM$4999,27,FALSE)),"")</f>
        <v/>
      </c>
      <c r="AC112" s="31"/>
      <c r="AD112" s="184"/>
      <c r="AE112" s="51"/>
      <c r="AF112" s="52"/>
      <c r="AG112" s="41"/>
      <c r="AH112" s="45"/>
      <c r="AI112" s="28"/>
      <c r="AJ112" s="28"/>
      <c r="AK112" s="28"/>
      <c r="AL112" s="28"/>
      <c r="AM112" s="12"/>
      <c r="AN112" s="12"/>
      <c r="AO112" s="12"/>
      <c r="AP112" s="12"/>
      <c r="AQ112" s="12"/>
      <c r="AR112" s="13"/>
      <c r="AS112" s="14"/>
    </row>
    <row r="113" spans="1:45" s="16" customFormat="1" ht="30.95" hidden="1" customHeight="1" x14ac:dyDescent="0.2">
      <c r="A113" s="35"/>
      <c r="B113" s="36"/>
      <c r="C113" s="43"/>
      <c r="D113" s="29">
        <v>3694112</v>
      </c>
      <c r="E113" s="29">
        <v>4140872</v>
      </c>
      <c r="F113" s="255" t="str">
        <f>IF(D113="","",VLOOKUP(D113,契約台帳!$A$3:$K$4986,6,FALSE)&amp;VLOOKUP(D113,契約台帳!$A$3:$K$4986,7,FALSE)&amp;VLOOKUP(D113,契約台帳!$A$3:$K$4986,8,FALSE)&amp;VLOOKUP(D113,契約台帳!$A$3:$K$4986,9,FALSE)&amp;VLOOKUP(D113,契約台帳!$A$3:$K$4986,11,FALSE))</f>
        <v>3SNMCLBNGTVB</v>
      </c>
      <c r="G113" s="256" t="str">
        <f>IF(D113="","",VLOOKUP(F113,製品マスタ!$G$5:$H$4999,2,FALSE))</f>
        <v>S</v>
      </c>
      <c r="H113" s="256" t="str">
        <f>IF(D113="","",VLOOKUP(F113,製品マスタ!$G$5:$K$4999,5,FALSE))</f>
        <v>NGTVB</v>
      </c>
      <c r="I113" s="200" t="str">
        <f>IF(D113="","",VLOOKUP(F113,製品マスタ!$G$5:$L$4999,6,FALSE))</f>
        <v>メタルミー　ネーマー　銀艶ＶＢ</v>
      </c>
      <c r="J113" s="203" t="s">
        <v>463</v>
      </c>
      <c r="K113" s="200">
        <f>IF(D113="","",VLOOKUP(D113,契約台帳!$A$3:$L$4986,12,FALSE))</f>
        <v>50</v>
      </c>
      <c r="L113" s="200" t="str">
        <f>IF(D113="","",INDEX(製品マスタ!$Q$5:$Q$4999,MATCH('S4'!F113&amp;'S4'!K113,製品マスタ!$AO$5:$AO$4999,0)))</f>
        <v>T62</v>
      </c>
      <c r="M113" s="37">
        <v>1040</v>
      </c>
      <c r="N113" s="37">
        <v>6000</v>
      </c>
      <c r="O113" s="153">
        <v>1</v>
      </c>
      <c r="P113" s="45"/>
      <c r="Q113" s="54"/>
      <c r="R113" s="257">
        <f ca="1">IF(D113="","",IF(OFFSET(D113,-1,0)&lt;&gt;"","",IF(OR(J113="リード付け",J113="巻足し",J113="巻返しリード付け"),M113,VLOOKUP(D113,契約台帳!$A$3:$N$4986,14,FALSE))))</f>
        <v>1000</v>
      </c>
      <c r="S113" s="258">
        <f ca="1">IF(D113="","",IF(OFFSET(D113,-1,0)&lt;&gt;"","",IF(OR(J113="リード付け",J113="巻足し",J113="巻返しリード付け"),M113,VLOOKUP(D113,契約台帳!$A$3:$O$4986,15,FALSE))))</f>
        <v>1000</v>
      </c>
      <c r="T113" s="258">
        <f ca="1">IF(D113="","",IF(J113="リード付け",N113,IF(J113="巻返しリード付け",N113,IF(J113="巻足し",N113*P113+OFFSET(N113,1,0)*OFFSET(P113,1,0),VLOOKUP(D113,契約台帳!$A$3:$P$4986,16,FALSE)))))</f>
        <v>3000</v>
      </c>
      <c r="U113" s="38">
        <v>2</v>
      </c>
      <c r="V113" s="259">
        <f ca="1">IF(D113="","",IF(OFFSET(D113,-2,0)=D113,"",VLOOKUP(D113,契約台帳!$A$3:$R$4986,18,FALSE)))</f>
        <v>2</v>
      </c>
      <c r="W113" s="256" t="str">
        <f ca="1">IF(D113="","",IF(T113="","",IF(OR(J113="巻足し",J113="巻返しリード付け"),"",IF(J113="巻返し",VLOOKUP(F113&amp;K113&amp;M113,製品マスタ!$M$5:$AD$4999,18,FALSE),IF(OR(J113="リード付け",J113="巻返しリード付け"),"原反コア",IF(J113="スリット",VLOOKUP(F113&amp;K113&amp;R113,製品マスタ!$N$5:$AD$4999,17,FALSE),""))))))</f>
        <v>6ｲﾝﾁMｺｱ</v>
      </c>
      <c r="X113" s="256">
        <f ca="1">IF(D113="","",IF(T113="","",IF(J113="巻足し","",IF(J113="巻返し",VLOOKUP(F113&amp;K113&amp;M113,製品マスタ!$M$5:$AE$4999,19,FALSE),IF(OR(J113="リード付け",J113="巻返しリード付け"),"",IF(J113="スリット",VLOOKUP(F113&amp;K113&amp;R113,製品マスタ!$N$5:$AE$4999,18,FALSE),""))))))</f>
        <v>1020</v>
      </c>
      <c r="Y113" s="256">
        <f ca="1">IF(D113="","",IF(T113="","",VLOOKUP(D113,契約台帳!$A$3:$Q$4986,17,FALSE)))</f>
        <v>2</v>
      </c>
      <c r="Z113" s="256" t="str">
        <f ca="1">IF(D113="","",IF(T113="","",VLOOKUP(D113,契約台帳!$A$3:$E$4986,5,FALSE)))</f>
        <v>リンテック㈱</v>
      </c>
      <c r="AA113" s="54">
        <v>44951</v>
      </c>
      <c r="AB113" s="200">
        <f>IFERROR((VLOOKUP(F113&amp;K113&amp;M113,製品マスタ!$M$5:$AM$4999,27,FALSE)),"")</f>
        <v>0</v>
      </c>
      <c r="AC113" s="31"/>
      <c r="AD113" s="184"/>
      <c r="AE113" s="51"/>
      <c r="AF113" s="52"/>
      <c r="AG113" s="41"/>
      <c r="AH113" s="45"/>
      <c r="AI113" s="28"/>
      <c r="AJ113" s="28"/>
      <c r="AK113" s="28"/>
      <c r="AL113" s="28"/>
      <c r="AM113" s="12"/>
      <c r="AN113" s="12"/>
      <c r="AO113" s="12"/>
      <c r="AP113" s="12"/>
      <c r="AQ113" s="12"/>
      <c r="AR113" s="13"/>
      <c r="AS113" s="14"/>
    </row>
    <row r="114" spans="1:45" s="16" customFormat="1" ht="30.95" hidden="1" customHeight="1" x14ac:dyDescent="0.2">
      <c r="A114" s="35"/>
      <c r="B114" s="36"/>
      <c r="C114" s="43"/>
      <c r="D114" s="29"/>
      <c r="E114" s="29"/>
      <c r="F114" s="255" t="str">
        <f>IF(D114="","",VLOOKUP(D114,契約台帳!$A$3:$K$4986,6,FALSE)&amp;VLOOKUP(D114,契約台帳!$A$3:$K$4986,7,FALSE)&amp;VLOOKUP(D114,契約台帳!$A$3:$K$4986,8,FALSE)&amp;VLOOKUP(D114,契約台帳!$A$3:$K$4986,9,FALSE)&amp;VLOOKUP(D114,契約台帳!$A$3:$K$4986,11,FALSE))</f>
        <v/>
      </c>
      <c r="G114" s="256" t="str">
        <f>IF(D114="","",VLOOKUP(F114,製品マスタ!$G$5:$H$4999,2,FALSE))</f>
        <v/>
      </c>
      <c r="H114" s="256" t="str">
        <f>IF(D114="","",VLOOKUP(F114,製品マスタ!$G$5:$K$4999,5,FALSE))</f>
        <v/>
      </c>
      <c r="I114" s="200" t="str">
        <f>IF(D114="","",VLOOKUP(F114,製品マスタ!$G$5:$L$4999,6,FALSE))</f>
        <v/>
      </c>
      <c r="J114" s="203"/>
      <c r="K114" s="200" t="str">
        <f>IF(D114="","",VLOOKUP(D114,契約台帳!$A$3:$L$4986,12,FALSE))</f>
        <v/>
      </c>
      <c r="L114" s="200" t="str">
        <f>IF(D114="","",INDEX(製品マスタ!$Q$5:$Q$4999,MATCH('S4'!F114&amp;'S4'!K114,製品マスタ!$AO$5:$AO$4999,0)))</f>
        <v/>
      </c>
      <c r="M114" s="37"/>
      <c r="N114" s="37"/>
      <c r="O114" s="153"/>
      <c r="P114" s="45"/>
      <c r="Q114" s="54"/>
      <c r="R114" s="257" t="str">
        <f ca="1">IF(D114="","",IF(OFFSET(D114,-1,0)&lt;&gt;"","",IF(OR(J114="リード付け",J114="巻足し",J114="巻返しリード付け"),M114,VLOOKUP(D114,契約台帳!$A$3:$N$4986,14,FALSE))))</f>
        <v/>
      </c>
      <c r="S114" s="258" t="str">
        <f ca="1">IF(D114="","",IF(OFFSET(D114,-1,0)&lt;&gt;"","",IF(OR(J114="リード付け",J114="巻足し",J114="巻返しリード付け"),M114,VLOOKUP(D114,契約台帳!$A$3:$O$4986,15,FALSE))))</f>
        <v/>
      </c>
      <c r="T114" s="258" t="str">
        <f ca="1">IF(D114="","",IF(J114="リード付け",N114,IF(J114="巻返しリード付け",N114,IF(J114="巻足し",N114*P114+OFFSET(N114,1,0)*OFFSET(P114,1,0),VLOOKUP(D114,契約台帳!$A$3:$P$4986,16,FALSE)))))</f>
        <v/>
      </c>
      <c r="U114" s="38"/>
      <c r="V114" s="259" t="str">
        <f ca="1">IF(D114="","",IF(OFFSET(D114,-2,0)=D114,"",VLOOKUP(D114,契約台帳!$A$3:$R$4986,18,FALSE)))</f>
        <v/>
      </c>
      <c r="W114" s="256" t="str">
        <f>IF(D114="","",IF(T114="","",IF(OR(J114="巻足し",J114="巻返しリード付け"),"",IF(J114="巻返し",VLOOKUP(F114&amp;K114&amp;M114,製品マスタ!$M$5:$AD$4999,18,FALSE),IF(OR(J114="リード付け",J114="巻返しリード付け"),"原反コア",IF(J114="スリット",VLOOKUP(F114&amp;K114&amp;R114,製品マスタ!$N$5:$AD$4999,17,FALSE),""))))))</f>
        <v/>
      </c>
      <c r="X114" s="256" t="str">
        <f>IF(D114="","",IF(T114="","",IF(J114="巻足し","",IF(J114="巻返し",VLOOKUP(F114&amp;K114&amp;M114,製品マスタ!$M$5:$AE$4999,19,FALSE),IF(OR(J114="リード付け",J114="巻返しリード付け"),"",IF(J114="スリット",VLOOKUP(F114&amp;K114&amp;R114,製品マスタ!$N$5:$AE$4999,18,FALSE),""))))))</f>
        <v/>
      </c>
      <c r="Y114" s="256" t="str">
        <f>IF(D114="","",IF(T114="","",VLOOKUP(D114,契約台帳!$A$3:$Q$4986,17,FALSE)))</f>
        <v/>
      </c>
      <c r="Z114" s="256" t="str">
        <f>IF(D114="","",IF(T114="","",VLOOKUP(D114,契約台帳!$A$3:$E$4986,5,FALSE)))</f>
        <v/>
      </c>
      <c r="AA114" s="54"/>
      <c r="AB114" s="200" t="str">
        <f>IFERROR((VLOOKUP(F114&amp;K114&amp;M114,製品マスタ!$M$5:$AM$4999,27,FALSE)),"")</f>
        <v/>
      </c>
      <c r="AC114" s="31"/>
      <c r="AD114" s="184"/>
      <c r="AE114" s="51"/>
      <c r="AF114" s="52"/>
      <c r="AG114" s="41"/>
      <c r="AH114" s="45"/>
      <c r="AI114" s="28"/>
      <c r="AJ114" s="28"/>
      <c r="AK114" s="28"/>
      <c r="AL114" s="28"/>
      <c r="AM114" s="12"/>
      <c r="AN114" s="12"/>
      <c r="AO114" s="12"/>
      <c r="AP114" s="12"/>
      <c r="AQ114" s="12"/>
      <c r="AR114" s="13"/>
      <c r="AS114" s="14"/>
    </row>
    <row r="115" spans="1:45" s="16" customFormat="1" ht="30.95" hidden="1" customHeight="1" x14ac:dyDescent="0.2">
      <c r="A115" s="35"/>
      <c r="B115" s="36"/>
      <c r="C115" s="43"/>
      <c r="D115" s="29">
        <v>3694107</v>
      </c>
      <c r="E115" s="29">
        <v>4140871</v>
      </c>
      <c r="F115" s="255" t="str">
        <f>IF(D115="","",VLOOKUP(D115,契約台帳!$A$3:$K$4986,6,FALSE)&amp;VLOOKUP(D115,契約台帳!$A$3:$K$4986,7,FALSE)&amp;VLOOKUP(D115,契約台帳!$A$3:$K$4986,8,FALSE)&amp;VLOOKUP(D115,契約台帳!$A$3:$K$4986,9,FALSE)&amp;VLOOKUP(D115,契約台帳!$A$3:$K$4986,11,FALSE))</f>
        <v>3SNMCLBNGKVB</v>
      </c>
      <c r="G115" s="256" t="str">
        <f>IF(D115="","",VLOOKUP(F115,製品マスタ!$G$5:$H$4999,2,FALSE))</f>
        <v>S</v>
      </c>
      <c r="H115" s="256" t="str">
        <f>IF(D115="","",VLOOKUP(F115,製品マスタ!$G$5:$K$4999,5,FALSE))</f>
        <v>NGKVB</v>
      </c>
      <c r="I115" s="200" t="str">
        <f>IF(D115="","",VLOOKUP(F115,製品マスタ!$G$5:$L$4999,6,FALSE))</f>
        <v>メタルミー　ネーマー銀消　ＶＢ</v>
      </c>
      <c r="J115" s="203" t="s">
        <v>801</v>
      </c>
      <c r="K115" s="200">
        <f>IF(D115="","",VLOOKUP(D115,契約台帳!$A$3:$L$4986,12,FALSE))</f>
        <v>50</v>
      </c>
      <c r="L115" s="200" t="str">
        <f>IF(D115="","",INDEX(製品マスタ!$Q$5:$Q$4999,MATCH('S4'!F115&amp;'S4'!K115,製品マスタ!$AO$5:$AO$4999,0)))</f>
        <v>MAT</v>
      </c>
      <c r="M115" s="37">
        <v>1005</v>
      </c>
      <c r="N115" s="37">
        <v>12300</v>
      </c>
      <c r="O115" s="153">
        <v>1</v>
      </c>
      <c r="P115" s="45">
        <v>3</v>
      </c>
      <c r="Q115" s="54"/>
      <c r="R115" s="257">
        <f ca="1">IF(D115="","",IF(OFFSET(D115,-1,0)&lt;&gt;"","",IF(OR(J115="リード付け",J115="巻足し",J115="巻返しリード付け"),M115,VLOOKUP(D115,契約台帳!$A$3:$N$4986,14,FALSE))))</f>
        <v>1005</v>
      </c>
      <c r="S115" s="258">
        <f ca="1">IF(D115="","",IF(OFFSET(D115,-1,0)&lt;&gt;"","",IF(OR(J115="リード付け",J115="巻足し",J115="巻返しリード付け"),M115,VLOOKUP(D115,契約台帳!$A$3:$O$4986,15,FALSE))))</f>
        <v>1000</v>
      </c>
      <c r="T115" s="258">
        <f ca="1">IF(D115="","",IF(J115="リード付け",N115,IF(J115="巻返しリード付け",N115,IF(J115="巻足し",N115*P115+OFFSET(N115,1,0)*OFFSET(P115,1,0),VLOOKUP(D115,契約台帳!$A$3:$P$4986,16,FALSE)))))</f>
        <v>4000</v>
      </c>
      <c r="U115" s="38">
        <v>3</v>
      </c>
      <c r="V115" s="259">
        <f ca="1">IF(D115="","",IF(OFFSET(D115,-2,0)=D115,"",VLOOKUP(D115,契約台帳!$A$3:$R$4986,18,FALSE)))</f>
        <v>3</v>
      </c>
      <c r="W115" s="256" t="str">
        <f ca="1">IF(D115="","",IF(T115="","",IF(OR(J115="巻足し",J115="巻返しリード付け"),"",IF(J115="巻返し",VLOOKUP(F115&amp;K115&amp;M115,製品マスタ!$M$5:$AD$4999,18,FALSE),IF(OR(J115="リード付け",J115="巻返しリード付け"),"原反コア",IF(J115="スリット",VLOOKUP(F115&amp;K115&amp;R115,製品マスタ!$N$5:$AD$4999,17,FALSE),""))))))</f>
        <v>6ｲﾝﾁMｺｱ</v>
      </c>
      <c r="X115" s="256">
        <f ca="1">IF(D115="","",IF(T115="","",IF(J115="巻足し","",IF(J115="巻返し",VLOOKUP(F115&amp;K115&amp;M115,製品マスタ!$M$5:$AE$4999,19,FALSE),IF(OR(J115="リード付け",J115="巻返しリード付け"),"",IF(J115="スリット",VLOOKUP(F115&amp;K115&amp;R115,製品マスタ!$N$5:$AE$4999,18,FALSE),""))))))</f>
        <v>1020</v>
      </c>
      <c r="Y115" s="256">
        <f ca="1">IF(D115="","",IF(T115="","",VLOOKUP(D115,契約台帳!$A$3:$Q$4986,17,FALSE)))</f>
        <v>2</v>
      </c>
      <c r="Z115" s="256" t="str">
        <f ca="1">IF(D115="","",IF(T115="","",VLOOKUP(D115,契約台帳!$A$3:$E$4986,5,FALSE)))</f>
        <v>リンテック㈱</v>
      </c>
      <c r="AA115" s="54">
        <v>44951</v>
      </c>
      <c r="AB115" s="200">
        <f>IFERROR((VLOOKUP(F115&amp;K115&amp;M115,製品マスタ!$M$5:$AM$4999,27,FALSE)),"")</f>
        <v>0</v>
      </c>
      <c r="AC115" s="31"/>
      <c r="AD115" s="184"/>
      <c r="AE115" s="51"/>
      <c r="AF115" s="52"/>
      <c r="AG115" s="41"/>
      <c r="AH115" s="45"/>
      <c r="AI115" s="28"/>
      <c r="AJ115" s="28"/>
      <c r="AK115" s="28"/>
      <c r="AL115" s="28"/>
      <c r="AM115" s="12"/>
      <c r="AN115" s="12"/>
      <c r="AO115" s="12"/>
      <c r="AP115" s="12"/>
      <c r="AQ115" s="12"/>
      <c r="AR115" s="13"/>
      <c r="AS115" s="14"/>
    </row>
    <row r="116" spans="1:45" s="16" customFormat="1" ht="30.95" hidden="1" customHeight="1" x14ac:dyDescent="0.2">
      <c r="A116" s="35"/>
      <c r="B116" s="36"/>
      <c r="C116" s="43"/>
      <c r="D116" s="29"/>
      <c r="E116" s="29"/>
      <c r="F116" s="255" t="str">
        <f>IF(D116="","",VLOOKUP(D116,契約台帳!$A$3:$K$4986,6,FALSE)&amp;VLOOKUP(D116,契約台帳!$A$3:$K$4986,7,FALSE)&amp;VLOOKUP(D116,契約台帳!$A$3:$K$4986,8,FALSE)&amp;VLOOKUP(D116,契約台帳!$A$3:$K$4986,9,FALSE)&amp;VLOOKUP(D116,契約台帳!$A$3:$K$4986,11,FALSE))</f>
        <v/>
      </c>
      <c r="G116" s="256" t="str">
        <f>IF(D116="","",VLOOKUP(F116,製品マスタ!$G$5:$H$4999,2,FALSE))</f>
        <v/>
      </c>
      <c r="H116" s="256" t="str">
        <f>IF(D116="","",VLOOKUP(F116,製品マスタ!$G$5:$K$4999,5,FALSE))</f>
        <v/>
      </c>
      <c r="I116" s="200" t="str">
        <f>IF(D116="","",VLOOKUP(F116,製品マスタ!$G$5:$L$4999,6,FALSE))</f>
        <v/>
      </c>
      <c r="J116" s="203"/>
      <c r="K116" s="200" t="str">
        <f>IF(D116="","",VLOOKUP(D116,契約台帳!$A$3:$L$4986,12,FALSE))</f>
        <v/>
      </c>
      <c r="L116" s="200" t="str">
        <f>IF(D116="","",INDEX(製品マスタ!$Q$5:$Q$4999,MATCH('S4'!F116&amp;'S4'!K116,製品マスタ!$AO$5:$AO$4999,0)))</f>
        <v/>
      </c>
      <c r="M116" s="37"/>
      <c r="N116" s="37"/>
      <c r="O116" s="153"/>
      <c r="P116" s="45"/>
      <c r="Q116" s="54"/>
      <c r="R116" s="257" t="str">
        <f ca="1">IF(D116="","",IF(OFFSET(D116,-1,0)&lt;&gt;"","",IF(OR(J116="リード付け",J116="巻足し",J116="巻返しリード付け"),M116,VLOOKUP(D116,契約台帳!$A$3:$N$4986,14,FALSE))))</f>
        <v/>
      </c>
      <c r="S116" s="258" t="str">
        <f ca="1">IF(D116="","",IF(OFFSET(D116,-1,0)&lt;&gt;"","",IF(OR(J116="リード付け",J116="巻足し",J116="巻返しリード付け"),M116,VLOOKUP(D116,契約台帳!$A$3:$O$4986,15,FALSE))))</f>
        <v/>
      </c>
      <c r="T116" s="258" t="str">
        <f ca="1">IF(D116="","",IF(J116="リード付け",N116,IF(J116="巻返しリード付け",N116,IF(J116="巻足し",N116*P116+OFFSET(N116,1,0)*OFFSET(P116,1,0),VLOOKUP(D116,契約台帳!$A$3:$P$4986,16,FALSE)))))</f>
        <v/>
      </c>
      <c r="U116" s="38"/>
      <c r="V116" s="259" t="str">
        <f ca="1">IF(D116="","",IF(OFFSET(D116,-2,0)=D116,"",VLOOKUP(D116,契約台帳!$A$3:$R$4986,18,FALSE)))</f>
        <v/>
      </c>
      <c r="W116" s="256" t="str">
        <f>IF(D116="","",IF(T116="","",IF(OR(J116="巻足し",J116="巻返しリード付け"),"",IF(J116="巻返し",VLOOKUP(F116&amp;K116&amp;M116,製品マスタ!$M$5:$AD$4999,18,FALSE),IF(OR(J116="リード付け",J116="巻返しリード付け"),"原反コア",IF(J116="スリット",VLOOKUP(F116&amp;K116&amp;R116,製品マスタ!$N$5:$AD$4999,17,FALSE),""))))))</f>
        <v/>
      </c>
      <c r="X116" s="256" t="str">
        <f>IF(D116="","",IF(T116="","",IF(J116="巻足し","",IF(J116="巻返し",VLOOKUP(F116&amp;K116&amp;M116,製品マスタ!$M$5:$AE$4999,19,FALSE),IF(OR(J116="リード付け",J116="巻返しリード付け"),"",IF(J116="スリット",VLOOKUP(F116&amp;K116&amp;R116,製品マスタ!$N$5:$AE$4999,18,FALSE),""))))))</f>
        <v/>
      </c>
      <c r="Y116" s="256" t="str">
        <f>IF(D116="","",IF(T116="","",VLOOKUP(D116,契約台帳!$A$3:$Q$4986,17,FALSE)))</f>
        <v/>
      </c>
      <c r="Z116" s="256" t="str">
        <f>IF(D116="","",IF(T116="","",VLOOKUP(D116,契約台帳!$A$3:$E$4986,5,FALSE)))</f>
        <v/>
      </c>
      <c r="AA116" s="54"/>
      <c r="AB116" s="200" t="str">
        <f>IFERROR((VLOOKUP(F116&amp;K116&amp;M116,製品マスタ!$M$5:$AM$4999,27,FALSE)),"")</f>
        <v/>
      </c>
      <c r="AC116" s="31"/>
      <c r="AD116" s="184"/>
      <c r="AE116" s="51"/>
      <c r="AF116" s="52"/>
      <c r="AG116" s="41"/>
      <c r="AH116" s="45"/>
      <c r="AI116" s="28"/>
      <c r="AJ116" s="28"/>
      <c r="AK116" s="28"/>
      <c r="AL116" s="28"/>
      <c r="AM116" s="12"/>
      <c r="AN116" s="12"/>
      <c r="AO116" s="12"/>
      <c r="AP116" s="12"/>
      <c r="AQ116" s="12"/>
      <c r="AR116" s="13"/>
      <c r="AS116" s="14"/>
    </row>
    <row r="117" spans="1:45" s="16" customFormat="1" ht="30.95" hidden="1" customHeight="1" x14ac:dyDescent="0.2">
      <c r="A117" s="35"/>
      <c r="B117" s="36"/>
      <c r="C117" s="43"/>
      <c r="D117" s="29">
        <v>3694116</v>
      </c>
      <c r="E117" s="29">
        <v>4140860</v>
      </c>
      <c r="F117" s="255" t="str">
        <f>IF(D117="","",VLOOKUP(D117,契約台帳!$A$3:$K$4986,6,FALSE)&amp;VLOOKUP(D117,契約台帳!$A$3:$K$4986,7,FALSE)&amp;VLOOKUP(D117,契約台帳!$A$3:$K$4986,8,FALSE)&amp;VLOOKUP(D117,契約台帳!$A$3:$K$4986,9,FALSE)&amp;VLOOKUP(D117,契約台帳!$A$3:$K$4986,11,FALSE))</f>
        <v>33SSNMCLBTEKKFV</v>
      </c>
      <c r="G117" s="256" t="str">
        <f>IF(D117="","",VLOOKUP(F117,製品マスタ!$G$5:$H$4999,2,FALSE))</f>
        <v>S</v>
      </c>
      <c r="H117" s="256" t="str">
        <f>IF(D117="","",VLOOKUP(F117,製品マスタ!$G$5:$K$4999,5,FALSE))</f>
        <v>TEKKFV</v>
      </c>
      <c r="I117" s="200" t="str">
        <f>IF(D117="","",VLOOKUP(F117,製品マスタ!$G$5:$L$4999,6,FALSE))</f>
        <v>メタルミー　ＴＥＳ消開封　Ｖ</v>
      </c>
      <c r="J117" s="203" t="s">
        <v>801</v>
      </c>
      <c r="K117" s="200">
        <f>IF(D117="","",VLOOKUP(D117,契約台帳!$A$3:$L$4986,12,FALSE))</f>
        <v>50</v>
      </c>
      <c r="L117" s="200" t="str">
        <f>IF(D117="","",INDEX(製品マスタ!$Q$5:$Q$4999,MATCH('S4'!F117&amp;'S4'!K117,製品マスタ!$AO$5:$AO$4999,0)))</f>
        <v>X44SEPA</v>
      </c>
      <c r="M117" s="37">
        <v>1005</v>
      </c>
      <c r="N117" s="37">
        <v>12000</v>
      </c>
      <c r="O117" s="153">
        <v>1</v>
      </c>
      <c r="P117" s="45">
        <v>3</v>
      </c>
      <c r="Q117" s="54"/>
      <c r="R117" s="257">
        <f ca="1">IF(D117="","",IF(OFFSET(D117,-1,0)&lt;&gt;"","",IF(OR(J117="リード付け",J117="巻足し",J117="巻返しリード付け"),M117,VLOOKUP(D117,契約台帳!$A$3:$N$4986,14,FALSE))))</f>
        <v>1005</v>
      </c>
      <c r="S117" s="258">
        <f ca="1">IF(D117="","",IF(OFFSET(D117,-1,0)&lt;&gt;"","",IF(OR(J117="リード付け",J117="巻足し",J117="巻返しリード付け"),M117,VLOOKUP(D117,契約台帳!$A$3:$O$4986,15,FALSE))))</f>
        <v>1000</v>
      </c>
      <c r="T117" s="258">
        <f ca="1">IF(D117="","",IF(J117="リード付け",N117,IF(J117="巻返しリード付け",N117,IF(J117="巻足し",N117*P117+OFFSET(N117,1,0)*OFFSET(P117,1,0),VLOOKUP(D117,契約台帳!$A$3:$P$4986,16,FALSE)))))</f>
        <v>4000</v>
      </c>
      <c r="U117" s="38">
        <v>3</v>
      </c>
      <c r="V117" s="259">
        <f ca="1">IF(D117="","",IF(OFFSET(D117,-2,0)=D117,"",VLOOKUP(D117,契約台帳!$A$3:$R$4986,18,FALSE)))</f>
        <v>3</v>
      </c>
      <c r="W117" s="256" t="str">
        <f ca="1">IF(D117="","",IF(T117="","",IF(OR(J117="巻足し",J117="巻返しリード付け"),"",IF(J117="巻返し",VLOOKUP(F117&amp;K117&amp;M117,製品マスタ!$M$5:$AD$4999,18,FALSE),IF(OR(J117="リード付け",J117="巻返しリード付け"),"原反コア",IF(J117="スリット",VLOOKUP(F117&amp;K117&amp;R117,製品マスタ!$N$5:$AD$4999,17,FALSE),""))))))</f>
        <v>6ｲﾝﾁSｺｱ</v>
      </c>
      <c r="X117" s="256">
        <f ca="1">IF(D117="","",IF(T117="","",IF(J117="巻足し","",IF(J117="巻返し",VLOOKUP(F117&amp;K117&amp;M117,製品マスタ!$M$5:$AE$4999,19,FALSE),IF(OR(J117="リード付け",J117="巻返しリード付け"),"",IF(J117="スリット",VLOOKUP(F117&amp;K117&amp;R117,製品マスタ!$N$5:$AE$4999,18,FALSE),""))))))</f>
        <v>1015</v>
      </c>
      <c r="Y117" s="256">
        <f ca="1">IF(D117="","",IF(T117="","",VLOOKUP(D117,契約台帳!$A$3:$Q$4986,17,FALSE)))</f>
        <v>2</v>
      </c>
      <c r="Z117" s="256" t="str">
        <f ca="1">IF(D117="","",IF(T117="","",VLOOKUP(D117,契約台帳!$A$3:$E$4986,5,FALSE)))</f>
        <v>リンテック㈱</v>
      </c>
      <c r="AA117" s="54">
        <v>44951</v>
      </c>
      <c r="AB117" s="200">
        <f>IFERROR((VLOOKUP(F117&amp;K117&amp;M117,製品マスタ!$M$5:$AM$4999,27,FALSE)),"")</f>
        <v>0</v>
      </c>
      <c r="AC117" s="31"/>
      <c r="AD117" s="184"/>
      <c r="AE117" s="51"/>
      <c r="AF117" s="52"/>
      <c r="AG117" s="41"/>
      <c r="AH117" s="45"/>
      <c r="AI117" s="28"/>
      <c r="AJ117" s="28"/>
      <c r="AK117" s="28"/>
      <c r="AL117" s="28"/>
      <c r="AM117" s="12"/>
      <c r="AN117" s="12"/>
      <c r="AO117" s="12"/>
      <c r="AP117" s="12"/>
      <c r="AQ117" s="12"/>
      <c r="AR117" s="13"/>
      <c r="AS117" s="14"/>
    </row>
    <row r="118" spans="1:45" s="16" customFormat="1" ht="30.95" hidden="1" customHeight="1" x14ac:dyDescent="0.2">
      <c r="A118" s="35"/>
      <c r="B118" s="36"/>
      <c r="C118" s="43"/>
      <c r="D118" s="29"/>
      <c r="E118" s="29"/>
      <c r="F118" s="255" t="str">
        <f>IF(D118="","",VLOOKUP(D118,契約台帳!$A$3:$K$4986,6,FALSE)&amp;VLOOKUP(D118,契約台帳!$A$3:$K$4986,7,FALSE)&amp;VLOOKUP(D118,契約台帳!$A$3:$K$4986,8,FALSE)&amp;VLOOKUP(D118,契約台帳!$A$3:$K$4986,9,FALSE)&amp;VLOOKUP(D118,契約台帳!$A$3:$K$4986,11,FALSE))</f>
        <v/>
      </c>
      <c r="G118" s="256" t="str">
        <f>IF(D118="","",VLOOKUP(F118,製品マスタ!$G$5:$H$4999,2,FALSE))</f>
        <v/>
      </c>
      <c r="H118" s="256" t="str">
        <f>IF(D118="","",VLOOKUP(F118,製品マスタ!$G$5:$K$4999,5,FALSE))</f>
        <v/>
      </c>
      <c r="I118" s="200" t="str">
        <f>IF(D118="","",VLOOKUP(F118,製品マスタ!$G$5:$L$4999,6,FALSE))</f>
        <v/>
      </c>
      <c r="J118" s="203"/>
      <c r="K118" s="200" t="str">
        <f>IF(D118="","",VLOOKUP(D118,契約台帳!$A$3:$L$4986,12,FALSE))</f>
        <v/>
      </c>
      <c r="L118" s="200" t="str">
        <f>IF(D118="","",INDEX(製品マスタ!$Q$5:$Q$4999,MATCH('S4'!F118&amp;'S4'!K118,製品マスタ!$AO$5:$AO$4999,0)))</f>
        <v/>
      </c>
      <c r="M118" s="37"/>
      <c r="N118" s="37"/>
      <c r="O118" s="153"/>
      <c r="P118" s="45"/>
      <c r="Q118" s="54"/>
      <c r="R118" s="257" t="str">
        <f ca="1">IF(D118="","",IF(OFFSET(D118,-1,0)&lt;&gt;"","",IF(OR(J118="リード付け",J118="巻足し",J118="巻返しリード付け"),M118,VLOOKUP(D118,契約台帳!$A$3:$N$4986,14,FALSE))))</f>
        <v/>
      </c>
      <c r="S118" s="258" t="str">
        <f ca="1">IF(D118="","",IF(OFFSET(D118,-1,0)&lt;&gt;"","",IF(OR(J118="リード付け",J118="巻足し",J118="巻返しリード付け"),M118,VLOOKUP(D118,契約台帳!$A$3:$O$4986,15,FALSE))))</f>
        <v/>
      </c>
      <c r="T118" s="258" t="str">
        <f ca="1">IF(D118="","",IF(J118="リード付け",N118,IF(J118="巻返しリード付け",N118,IF(J118="巻足し",N118*P118+OFFSET(N118,1,0)*OFFSET(P118,1,0),VLOOKUP(D118,契約台帳!$A$3:$P$4986,16,FALSE)))))</f>
        <v/>
      </c>
      <c r="U118" s="38"/>
      <c r="V118" s="259" t="str">
        <f ca="1">IF(D118="","",IF(OFFSET(D118,-2,0)=D118,"",VLOOKUP(D118,契約台帳!$A$3:$R$4986,18,FALSE)))</f>
        <v/>
      </c>
      <c r="W118" s="256" t="str">
        <f>IF(D118="","",IF(T118="","",IF(OR(J118="巻足し",J118="巻返しリード付け"),"",IF(J118="巻返し",VLOOKUP(F118&amp;K118&amp;M118,製品マスタ!$M$5:$AD$4999,18,FALSE),IF(OR(J118="リード付け",J118="巻返しリード付け"),"原反コア",IF(J118="スリット",VLOOKUP(F118&amp;K118&amp;R118,製品マスタ!$N$5:$AD$4999,17,FALSE),""))))))</f>
        <v/>
      </c>
      <c r="X118" s="256" t="str">
        <f>IF(D118="","",IF(T118="","",IF(J118="巻足し","",IF(J118="巻返し",VLOOKUP(F118&amp;K118&amp;M118,製品マスタ!$M$5:$AE$4999,19,FALSE),IF(OR(J118="リード付け",J118="巻返しリード付け"),"",IF(J118="スリット",VLOOKUP(F118&amp;K118&amp;R118,製品マスタ!$N$5:$AE$4999,18,FALSE),""))))))</f>
        <v/>
      </c>
      <c r="Y118" s="256" t="str">
        <f>IF(D118="","",IF(T118="","",VLOOKUP(D118,契約台帳!$A$3:$Q$4986,17,FALSE)))</f>
        <v/>
      </c>
      <c r="Z118" s="256" t="str">
        <f>IF(D118="","",IF(T118="","",VLOOKUP(D118,契約台帳!$A$3:$E$4986,5,FALSE)))</f>
        <v/>
      </c>
      <c r="AA118" s="54"/>
      <c r="AB118" s="200" t="str">
        <f>IFERROR((VLOOKUP(F118&amp;K118&amp;M118,製品マスタ!$M$5:$AM$4999,27,FALSE)),"")</f>
        <v/>
      </c>
      <c r="AC118" s="31"/>
      <c r="AD118" s="184"/>
      <c r="AE118" s="51"/>
      <c r="AF118" s="52"/>
      <c r="AG118" s="41"/>
      <c r="AH118" s="45"/>
      <c r="AI118" s="28"/>
      <c r="AJ118" s="28"/>
      <c r="AK118" s="28"/>
      <c r="AL118" s="28"/>
      <c r="AM118" s="12"/>
      <c r="AN118" s="12"/>
      <c r="AO118" s="12"/>
      <c r="AP118" s="12"/>
      <c r="AQ118" s="12"/>
      <c r="AR118" s="13"/>
      <c r="AS118" s="14"/>
    </row>
    <row r="119" spans="1:45" s="16" customFormat="1" ht="30.95" hidden="1" customHeight="1" x14ac:dyDescent="0.2">
      <c r="A119" s="35"/>
      <c r="B119" s="36"/>
      <c r="C119" s="43"/>
      <c r="D119" s="29">
        <v>3694117</v>
      </c>
      <c r="E119" s="29">
        <v>4140861</v>
      </c>
      <c r="F119" s="255" t="str">
        <f>IF(D119="","",VLOOKUP(D119,契約台帳!$A$3:$K$4986,6,FALSE)&amp;VLOOKUP(D119,契約台帳!$A$3:$K$4986,7,FALSE)&amp;VLOOKUP(D119,契約台帳!$A$3:$K$4986,8,FALSE)&amp;VLOOKUP(D119,契約台帳!$A$3:$K$4986,9,FALSE)&amp;VLOOKUP(D119,契約台帳!$A$3:$K$4986,11,FALSE))</f>
        <v>33SSNMCLBTEKV0V</v>
      </c>
      <c r="G119" s="256" t="str">
        <f>IF(D119="","",VLOOKUP(F119,製品マスタ!$G$5:$H$4999,2,FALSE))</f>
        <v>S</v>
      </c>
      <c r="H119" s="256" t="str">
        <f>IF(D119="","",VLOOKUP(F119,製品マスタ!$G$5:$K$4999,5,FALSE))</f>
        <v>TEKV0V</v>
      </c>
      <c r="I119" s="200" t="str">
        <f>IF(D119="","",VLOOKUP(F119,製品マスタ!$G$5:$L$4999,6,FALSE))</f>
        <v>メタルミー　ＴＥ－Ｓ消　ＶＯＩＤ　Ｖ</v>
      </c>
      <c r="J119" s="203" t="s">
        <v>801</v>
      </c>
      <c r="K119" s="200">
        <f>IF(D119="","",VLOOKUP(D119,契約台帳!$A$3:$L$4986,12,FALSE))</f>
        <v>50</v>
      </c>
      <c r="L119" s="200" t="str">
        <f>IF(D119="","",INDEX(製品マスタ!$Q$5:$Q$4999,MATCH('S4'!F119&amp;'S4'!K119,製品マスタ!$AO$5:$AO$4999,0)))</f>
        <v>X44SEPA</v>
      </c>
      <c r="M119" s="37">
        <v>1005</v>
      </c>
      <c r="N119" s="37">
        <v>12000</v>
      </c>
      <c r="O119" s="153">
        <v>1</v>
      </c>
      <c r="P119" s="45">
        <v>3</v>
      </c>
      <c r="Q119" s="54"/>
      <c r="R119" s="257">
        <f ca="1">IF(D119="","",IF(OFFSET(D119,-1,0)&lt;&gt;"","",IF(OR(J119="リード付け",J119="巻足し",J119="巻返しリード付け"),M119,VLOOKUP(D119,契約台帳!$A$3:$N$4986,14,FALSE))))</f>
        <v>1005</v>
      </c>
      <c r="S119" s="258">
        <f ca="1">IF(D119="","",IF(OFFSET(D119,-1,0)&lt;&gt;"","",IF(OR(J119="リード付け",J119="巻足し",J119="巻返しリード付け"),M119,VLOOKUP(D119,契約台帳!$A$3:$O$4986,15,FALSE))))</f>
        <v>1000</v>
      </c>
      <c r="T119" s="258">
        <f ca="1">IF(D119="","",IF(J119="リード付け",N119,IF(J119="巻返しリード付け",N119,IF(J119="巻足し",N119*P119+OFFSET(N119,1,0)*OFFSET(P119,1,0),VLOOKUP(D119,契約台帳!$A$3:$P$4986,16,FALSE)))))</f>
        <v>4000</v>
      </c>
      <c r="U119" s="38">
        <v>3</v>
      </c>
      <c r="V119" s="259">
        <f ca="1">IF(D119="","",IF(OFFSET(D119,-2,0)=D119,"",VLOOKUP(D119,契約台帳!$A$3:$R$4986,18,FALSE)))</f>
        <v>3</v>
      </c>
      <c r="W119" s="256" t="str">
        <f ca="1">IF(D119="","",IF(T119="","",IF(OR(J119="巻足し",J119="巻返しリード付け"),"",IF(J119="巻返し",VLOOKUP(F119&amp;K119&amp;M119,製品マスタ!$M$5:$AD$4999,18,FALSE),IF(OR(J119="リード付け",J119="巻返しリード付け"),"原反コア",IF(J119="スリット",VLOOKUP(F119&amp;K119&amp;R119,製品マスタ!$N$5:$AD$4999,17,FALSE),""))))))</f>
        <v>6ｲﾝﾁSｺｱ</v>
      </c>
      <c r="X119" s="256">
        <f ca="1">IF(D119="","",IF(T119="","",IF(J119="巻足し","",IF(J119="巻返し",VLOOKUP(F119&amp;K119&amp;M119,製品マスタ!$M$5:$AE$4999,19,FALSE),IF(OR(J119="リード付け",J119="巻返しリード付け"),"",IF(J119="スリット",VLOOKUP(F119&amp;K119&amp;R119,製品マスタ!$N$5:$AE$4999,18,FALSE),""))))))</f>
        <v>1015</v>
      </c>
      <c r="Y119" s="256">
        <f ca="1">IF(D119="","",IF(T119="","",VLOOKUP(D119,契約台帳!$A$3:$Q$4986,17,FALSE)))</f>
        <v>2</v>
      </c>
      <c r="Z119" s="256" t="str">
        <f ca="1">IF(D119="","",IF(T119="","",VLOOKUP(D119,契約台帳!$A$3:$E$4986,5,FALSE)))</f>
        <v>リンテック㈱</v>
      </c>
      <c r="AA119" s="54">
        <v>44951</v>
      </c>
      <c r="AB119" s="200">
        <f>IFERROR((VLOOKUP(F119&amp;K119&amp;M119,製品マスタ!$M$5:$AM$4999,27,FALSE)),"")</f>
        <v>0</v>
      </c>
      <c r="AC119" s="31"/>
      <c r="AD119" s="184"/>
      <c r="AE119" s="51"/>
      <c r="AF119" s="52"/>
      <c r="AG119" s="41"/>
      <c r="AH119" s="45"/>
      <c r="AI119" s="28"/>
      <c r="AJ119" s="28"/>
      <c r="AK119" s="28"/>
      <c r="AL119" s="28"/>
      <c r="AM119" s="12"/>
      <c r="AN119" s="12"/>
      <c r="AO119" s="12"/>
      <c r="AP119" s="12"/>
      <c r="AQ119" s="12"/>
      <c r="AR119" s="13"/>
      <c r="AS119" s="14"/>
    </row>
    <row r="120" spans="1:45" s="16" customFormat="1" ht="30.95" hidden="1" customHeight="1" x14ac:dyDescent="0.2">
      <c r="A120" s="35"/>
      <c r="B120" s="36"/>
      <c r="C120" s="43"/>
      <c r="D120" s="29"/>
      <c r="E120" s="29"/>
      <c r="F120" s="255" t="str">
        <f>IF(D120="","",VLOOKUP(D120,契約台帳!$A$3:$K$4986,6,FALSE)&amp;VLOOKUP(D120,契約台帳!$A$3:$K$4986,7,FALSE)&amp;VLOOKUP(D120,契約台帳!$A$3:$K$4986,8,FALSE)&amp;VLOOKUP(D120,契約台帳!$A$3:$K$4986,9,FALSE)&amp;VLOOKUP(D120,契約台帳!$A$3:$K$4986,11,FALSE))</f>
        <v/>
      </c>
      <c r="G120" s="256" t="str">
        <f>IF(D120="","",VLOOKUP(F120,製品マスタ!$G$5:$H$4999,2,FALSE))</f>
        <v/>
      </c>
      <c r="H120" s="256" t="str">
        <f>IF(D120="","",VLOOKUP(F120,製品マスタ!$G$5:$K$4999,5,FALSE))</f>
        <v/>
      </c>
      <c r="I120" s="200" t="str">
        <f>IF(D120="","",VLOOKUP(F120,製品マスタ!$G$5:$L$4999,6,FALSE))</f>
        <v/>
      </c>
      <c r="J120" s="203"/>
      <c r="K120" s="200" t="str">
        <f>IF(D120="","",VLOOKUP(D120,契約台帳!$A$3:$L$4986,12,FALSE))</f>
        <v/>
      </c>
      <c r="L120" s="200" t="str">
        <f>IF(D120="","",INDEX(製品マスタ!$Q$5:$Q$4999,MATCH('S4'!F120&amp;'S4'!K120,製品マスタ!$AO$5:$AO$4999,0)))</f>
        <v/>
      </c>
      <c r="M120" s="37"/>
      <c r="N120" s="37"/>
      <c r="O120" s="153"/>
      <c r="P120" s="45"/>
      <c r="Q120" s="54"/>
      <c r="R120" s="257" t="str">
        <f ca="1">IF(D120="","",IF(OFFSET(D120,-1,0)&lt;&gt;"","",IF(OR(J120="リード付け",J120="巻足し",J120="巻返しリード付け"),M120,VLOOKUP(D120,契約台帳!$A$3:$N$4986,14,FALSE))))</f>
        <v/>
      </c>
      <c r="S120" s="258" t="str">
        <f ca="1">IF(D120="","",IF(OFFSET(D120,-1,0)&lt;&gt;"","",IF(OR(J120="リード付け",J120="巻足し",J120="巻返しリード付け"),M120,VLOOKUP(D120,契約台帳!$A$3:$O$4986,15,FALSE))))</f>
        <v/>
      </c>
      <c r="T120" s="258" t="str">
        <f ca="1">IF(D120="","",IF(J120="リード付け",N120,IF(J120="巻返しリード付け",N120,IF(J120="巻足し",N120*P120+OFFSET(N120,1,0)*OFFSET(P120,1,0),VLOOKUP(D120,契約台帳!$A$3:$P$4986,16,FALSE)))))</f>
        <v/>
      </c>
      <c r="U120" s="38"/>
      <c r="V120" s="259" t="str">
        <f ca="1">IF(D120="","",IF(OFFSET(D120,-2,0)=D120,"",VLOOKUP(D120,契約台帳!$A$3:$R$4986,18,FALSE)))</f>
        <v/>
      </c>
      <c r="W120" s="256" t="str">
        <f>IF(D120="","",IF(T120="","",IF(OR(J120="巻足し",J120="巻返しリード付け"),"",IF(J120="巻返し",VLOOKUP(F120&amp;K120&amp;M120,製品マスタ!$M$5:$AD$4999,18,FALSE),IF(OR(J120="リード付け",J120="巻返しリード付け"),"原反コア",IF(J120="スリット",VLOOKUP(F120&amp;K120&amp;R120,製品マスタ!$N$5:$AD$4999,17,FALSE),""))))))</f>
        <v/>
      </c>
      <c r="X120" s="256" t="str">
        <f>IF(D120="","",IF(T120="","",IF(J120="巻足し","",IF(J120="巻返し",VLOOKUP(F120&amp;K120&amp;M120,製品マスタ!$M$5:$AE$4999,19,FALSE),IF(OR(J120="リード付け",J120="巻返しリード付け"),"",IF(J120="スリット",VLOOKUP(F120&amp;K120&amp;R120,製品マスタ!$N$5:$AE$4999,18,FALSE),""))))))</f>
        <v/>
      </c>
      <c r="Y120" s="256" t="str">
        <f>IF(D120="","",IF(T120="","",VLOOKUP(D120,契約台帳!$A$3:$Q$4986,17,FALSE)))</f>
        <v/>
      </c>
      <c r="Z120" s="256" t="str">
        <f>IF(D120="","",IF(T120="","",VLOOKUP(D120,契約台帳!$A$3:$E$4986,5,FALSE)))</f>
        <v/>
      </c>
      <c r="AA120" s="54"/>
      <c r="AB120" s="200" t="str">
        <f>IFERROR((VLOOKUP(F120&amp;K120&amp;M120,製品マスタ!$M$5:$AM$4999,27,FALSE)),"")</f>
        <v/>
      </c>
      <c r="AC120" s="31"/>
      <c r="AD120" s="184"/>
      <c r="AE120" s="51"/>
      <c r="AF120" s="52"/>
      <c r="AG120" s="41"/>
      <c r="AH120" s="45"/>
      <c r="AI120" s="28"/>
      <c r="AJ120" s="28"/>
      <c r="AK120" s="28"/>
      <c r="AL120" s="28"/>
      <c r="AM120" s="12"/>
      <c r="AN120" s="12"/>
      <c r="AO120" s="12"/>
      <c r="AP120" s="12"/>
      <c r="AQ120" s="12"/>
      <c r="AR120" s="13"/>
      <c r="AS120" s="14"/>
    </row>
    <row r="121" spans="1:45" s="16" customFormat="1" ht="30.95" hidden="1" customHeight="1" x14ac:dyDescent="0.2">
      <c r="A121" s="35"/>
      <c r="B121" s="36"/>
      <c r="C121" s="43"/>
      <c r="D121" s="29">
        <v>3694121</v>
      </c>
      <c r="E121" s="29">
        <v>4140863</v>
      </c>
      <c r="F121" s="255" t="str">
        <f>IF(D121="","",VLOOKUP(D121,契約台帳!$A$3:$K$4986,6,FALSE)&amp;VLOOKUP(D121,契約台帳!$A$3:$K$4986,7,FALSE)&amp;VLOOKUP(D121,契約台帳!$A$3:$K$4986,8,FALSE)&amp;VLOOKUP(D121,契約台帳!$A$3:$K$4986,9,FALSE)&amp;VLOOKUP(D121,契約台帳!$A$3:$K$4986,11,FALSE))</f>
        <v>3SNMCLBHLGTV</v>
      </c>
      <c r="G121" s="256" t="str">
        <f>IF(D121="","",VLOOKUP(F121,製品マスタ!$G$5:$H$4999,2,FALSE))</f>
        <v>S</v>
      </c>
      <c r="H121" s="256" t="str">
        <f>IF(D121="","",VLOOKUP(F121,製品マスタ!$G$5:$K$4999,5,FALSE))</f>
        <v>HLGTV</v>
      </c>
      <c r="I121" s="200" t="str">
        <f>IF(D121="","",VLOOKUP(F121,製品マスタ!$G$5:$L$4999,6,FALSE))</f>
        <v>メタルミー　ヘヤライン　銀艶Ｖ</v>
      </c>
      <c r="J121" s="203" t="s">
        <v>801</v>
      </c>
      <c r="K121" s="200">
        <f>IF(D121="","",VLOOKUP(D121,契約台帳!$A$3:$L$4986,12,FALSE))</f>
        <v>25</v>
      </c>
      <c r="L121" s="200" t="str">
        <f>IF(D121="","",INDEX(製品マスタ!$Q$5:$Q$4999,MATCH('S4'!F121&amp;'S4'!K121,製品マスタ!$AO$5:$AO$4999,0)))</f>
        <v>BRIGHT</v>
      </c>
      <c r="M121" s="37">
        <v>1005</v>
      </c>
      <c r="N121" s="37">
        <v>8000</v>
      </c>
      <c r="O121" s="153">
        <v>1</v>
      </c>
      <c r="P121" s="45"/>
      <c r="Q121" s="54"/>
      <c r="R121" s="257">
        <f ca="1">IF(D121="","",IF(OFFSET(D121,-1,0)&lt;&gt;"","",IF(OR(J121="リード付け",J121="巻足し",J121="巻返しリード付け"),M121,VLOOKUP(D121,契約台帳!$A$3:$N$4986,14,FALSE))))</f>
        <v>1005</v>
      </c>
      <c r="S121" s="258">
        <f ca="1">IF(D121="","",IF(OFFSET(D121,-1,0)&lt;&gt;"","",IF(OR(J121="リード付け",J121="巻足し",J121="巻返しリード付け"),M121,VLOOKUP(D121,契約台帳!$A$3:$O$4986,15,FALSE))))</f>
        <v>1000</v>
      </c>
      <c r="T121" s="258">
        <f ca="1">IF(D121="","",IF(J121="リード付け",N121,IF(J121="巻返しリード付け",N121,IF(J121="巻足し",N121*P121+OFFSET(N121,1,0)*OFFSET(P121,1,0),VLOOKUP(D121,契約台帳!$A$3:$P$4986,16,FALSE)))))</f>
        <v>2000</v>
      </c>
      <c r="U121" s="38">
        <v>1</v>
      </c>
      <c r="V121" s="259">
        <f ca="1">IF(D121="","",IF(OFFSET(D121,-2,0)=D121,"",VLOOKUP(D121,契約台帳!$A$3:$R$4986,18,FALSE)))</f>
        <v>1</v>
      </c>
      <c r="W121" s="256" t="str">
        <f ca="1">IF(D121="","",IF(T121="","",IF(OR(J121="巻足し",J121="巻返しリード付け"),"",IF(J121="巻返し",VLOOKUP(F121&amp;K121&amp;M121,製品マスタ!$M$5:$AD$4999,18,FALSE),IF(OR(J121="リード付け",J121="巻返しリード付け"),"原反コア",IF(J121="スリット",VLOOKUP(F121&amp;K121&amp;R121,製品マスタ!$N$5:$AD$4999,17,FALSE),""))))))</f>
        <v>6ｲﾝﾁSｺｱ</v>
      </c>
      <c r="X121" s="256">
        <f ca="1">IF(D121="","",IF(T121="","",IF(J121="巻足し","",IF(J121="巻返し",VLOOKUP(F121&amp;K121&amp;M121,製品マスタ!$M$5:$AE$4999,19,FALSE),IF(OR(J121="リード付け",J121="巻返しリード付け"),"",IF(J121="スリット",VLOOKUP(F121&amp;K121&amp;R121,製品マスタ!$N$5:$AE$4999,18,FALSE),""))))))</f>
        <v>1015</v>
      </c>
      <c r="Y121" s="256">
        <f ca="1">IF(D121="","",IF(T121="","",VLOOKUP(D121,契約台帳!$A$3:$Q$4986,17,FALSE)))</f>
        <v>2</v>
      </c>
      <c r="Z121" s="256" t="str">
        <f ca="1">IF(D121="","",IF(T121="","",VLOOKUP(D121,契約台帳!$A$3:$E$4986,5,FALSE)))</f>
        <v>リンテック㈱</v>
      </c>
      <c r="AA121" s="54">
        <v>44951</v>
      </c>
      <c r="AB121" s="200">
        <f>IFERROR((VLOOKUP(F121&amp;K121&amp;M121,製品マスタ!$M$5:$AM$4999,27,FALSE)),"")</f>
        <v>0</v>
      </c>
      <c r="AC121" s="31"/>
      <c r="AD121" s="184"/>
      <c r="AE121" s="51"/>
      <c r="AF121" s="52"/>
      <c r="AG121" s="41"/>
      <c r="AH121" s="45"/>
      <c r="AI121" s="28"/>
      <c r="AJ121" s="28"/>
      <c r="AK121" s="28"/>
      <c r="AL121" s="28"/>
      <c r="AM121" s="12"/>
      <c r="AN121" s="12"/>
      <c r="AO121" s="12"/>
      <c r="AP121" s="12"/>
      <c r="AQ121" s="12"/>
      <c r="AR121" s="13"/>
      <c r="AS121" s="14"/>
    </row>
    <row r="122" spans="1:45" s="16" customFormat="1" ht="30.95" hidden="1" customHeight="1" x14ac:dyDescent="0.2">
      <c r="A122" s="35"/>
      <c r="B122" s="36"/>
      <c r="C122" s="43"/>
      <c r="D122" s="29"/>
      <c r="E122" s="29"/>
      <c r="F122" s="255" t="str">
        <f>IF(D122="","",VLOOKUP(D122,契約台帳!$A$3:$K$4986,6,FALSE)&amp;VLOOKUP(D122,契約台帳!$A$3:$K$4986,7,FALSE)&amp;VLOOKUP(D122,契約台帳!$A$3:$K$4986,8,FALSE)&amp;VLOOKUP(D122,契約台帳!$A$3:$K$4986,9,FALSE)&amp;VLOOKUP(D122,契約台帳!$A$3:$K$4986,11,FALSE))</f>
        <v/>
      </c>
      <c r="G122" s="256" t="str">
        <f>IF(D122="","",VLOOKUP(F122,製品マスタ!$G$5:$H$4999,2,FALSE))</f>
        <v/>
      </c>
      <c r="H122" s="256" t="str">
        <f>IF(D122="","",VLOOKUP(F122,製品マスタ!$G$5:$K$4999,5,FALSE))</f>
        <v/>
      </c>
      <c r="I122" s="200" t="str">
        <f>IF(D122="","",VLOOKUP(F122,製品マスタ!$G$5:$L$4999,6,FALSE))</f>
        <v/>
      </c>
      <c r="J122" s="203"/>
      <c r="K122" s="200" t="str">
        <f>IF(D122="","",VLOOKUP(D122,契約台帳!$A$3:$L$4986,12,FALSE))</f>
        <v/>
      </c>
      <c r="L122" s="200" t="str">
        <f>IF(D122="","",INDEX(製品マスタ!$Q$5:$Q$4999,MATCH('S4'!F122&amp;'S4'!K122,製品マスタ!$AO$5:$AO$4999,0)))</f>
        <v/>
      </c>
      <c r="M122" s="37"/>
      <c r="N122" s="37"/>
      <c r="O122" s="153"/>
      <c r="P122" s="45"/>
      <c r="Q122" s="54"/>
      <c r="R122" s="257">
        <v>1005</v>
      </c>
      <c r="S122" s="258">
        <v>1000</v>
      </c>
      <c r="T122" s="258">
        <v>6000</v>
      </c>
      <c r="U122" s="38">
        <v>1</v>
      </c>
      <c r="V122" s="259">
        <v>1</v>
      </c>
      <c r="W122" s="256" t="s">
        <v>806</v>
      </c>
      <c r="X122" s="256">
        <v>1015</v>
      </c>
      <c r="Y122" s="256">
        <v>2</v>
      </c>
      <c r="Z122" s="256" t="s">
        <v>116</v>
      </c>
      <c r="AA122" s="54">
        <v>44951</v>
      </c>
      <c r="AB122" s="200" t="str">
        <f>IFERROR((VLOOKUP(F122&amp;K122&amp;M122,製品マスタ!$M$5:$AM$4999,27,FALSE)),"")</f>
        <v/>
      </c>
      <c r="AC122" s="31"/>
      <c r="AD122" s="184"/>
      <c r="AE122" s="51"/>
      <c r="AF122" s="52"/>
      <c r="AG122" s="41"/>
      <c r="AH122" s="45"/>
      <c r="AI122" s="28"/>
      <c r="AJ122" s="28"/>
      <c r="AK122" s="28"/>
      <c r="AL122" s="28"/>
      <c r="AM122" s="12"/>
      <c r="AN122" s="12"/>
      <c r="AO122" s="12"/>
      <c r="AP122" s="12"/>
      <c r="AQ122" s="12"/>
      <c r="AR122" s="13"/>
      <c r="AS122" s="14"/>
    </row>
    <row r="123" spans="1:45" s="16" customFormat="1" ht="30.95" hidden="1" customHeight="1" x14ac:dyDescent="0.2">
      <c r="A123" s="35"/>
      <c r="B123" s="36"/>
      <c r="C123" s="43"/>
      <c r="D123" s="29"/>
      <c r="E123" s="29"/>
      <c r="F123" s="255" t="str">
        <f>IF(D123="","",VLOOKUP(D123,契約台帳!$A$3:$K$4986,6,FALSE)&amp;VLOOKUP(D123,契約台帳!$A$3:$K$4986,7,FALSE)&amp;VLOOKUP(D123,契約台帳!$A$3:$K$4986,8,FALSE)&amp;VLOOKUP(D123,契約台帳!$A$3:$K$4986,9,FALSE)&amp;VLOOKUP(D123,契約台帳!$A$3:$K$4986,11,FALSE))</f>
        <v/>
      </c>
      <c r="G123" s="256" t="str">
        <f>IF(D123="","",VLOOKUP(F123,製品マスタ!$G$5:$H$4999,2,FALSE))</f>
        <v/>
      </c>
      <c r="H123" s="256" t="str">
        <f>IF(D123="","",VLOOKUP(F123,製品マスタ!$G$5:$K$4999,5,FALSE))</f>
        <v/>
      </c>
      <c r="I123" s="200" t="str">
        <f>IF(D123="","",VLOOKUP(F123,製品マスタ!$G$5:$L$4999,6,FALSE))</f>
        <v/>
      </c>
      <c r="J123" s="203"/>
      <c r="K123" s="200" t="str">
        <f>IF(D123="","",VLOOKUP(D123,契約台帳!$A$3:$L$4986,12,FALSE))</f>
        <v/>
      </c>
      <c r="L123" s="200" t="str">
        <f>IF(D123="","",INDEX(製品マスタ!$Q$5:$Q$4999,MATCH('S4'!F123&amp;'S4'!K123,製品マスタ!$AO$5:$AO$4999,0)))</f>
        <v/>
      </c>
      <c r="M123" s="37"/>
      <c r="N123" s="37"/>
      <c r="O123" s="153"/>
      <c r="P123" s="45"/>
      <c r="Q123" s="54"/>
      <c r="R123" s="257" t="str">
        <f ca="1">IF(D123="","",IF(OFFSET(D123,-1,0)&lt;&gt;"","",IF(OR(J123="リード付け",J123="巻足し",J123="巻返しリード付け"),M123,VLOOKUP(D123,契約台帳!$A$3:$N$4986,14,FALSE))))</f>
        <v/>
      </c>
      <c r="S123" s="258" t="str">
        <f ca="1">IF(D123="","",IF(OFFSET(D123,-1,0)&lt;&gt;"","",IF(OR(J123="リード付け",J123="巻足し",J123="巻返しリード付け"),M123,VLOOKUP(D123,契約台帳!$A$3:$O$4986,15,FALSE))))</f>
        <v/>
      </c>
      <c r="T123" s="258" t="str">
        <f ca="1">IF(D123="","",IF(J123="リード付け",N123,IF(J123="巻返しリード付け",N123,IF(J123="巻足し",N123*P123+OFFSET(N123,1,0)*OFFSET(P123,1,0),VLOOKUP(D123,契約台帳!$A$3:$P$4986,16,FALSE)))))</f>
        <v/>
      </c>
      <c r="U123" s="38"/>
      <c r="V123" s="259" t="str">
        <f ca="1">IF(D123="","",IF(OFFSET(D123,-2,0)=D123,"",VLOOKUP(D123,契約台帳!$A$3:$R$4986,18,FALSE)))</f>
        <v/>
      </c>
      <c r="W123" s="256" t="str">
        <f>IF(D123="","",IF(T123="","",IF(OR(J123="巻足し",J123="巻返しリード付け"),"",IF(J123="巻返し",VLOOKUP(F123&amp;K123&amp;M123,製品マスタ!$M$5:$AD$4999,18,FALSE),IF(OR(J123="リード付け",J123="巻返しリード付け"),"原反コア",IF(J123="スリット",VLOOKUP(F123&amp;K123&amp;R123,製品マスタ!$N$5:$AD$4999,17,FALSE),""))))))</f>
        <v/>
      </c>
      <c r="X123" s="256" t="str">
        <f>IF(D123="","",IF(T123="","",IF(J123="巻足し","",IF(J123="巻返し",VLOOKUP(F123&amp;K123&amp;M123,製品マスタ!$M$5:$AE$4999,19,FALSE),IF(OR(J123="リード付け",J123="巻返しリード付け"),"",IF(J123="スリット",VLOOKUP(F123&amp;K123&amp;R123,製品マスタ!$N$5:$AE$4999,18,FALSE),""))))))</f>
        <v/>
      </c>
      <c r="Y123" s="256" t="str">
        <f>IF(D123="","",IF(T123="","",VLOOKUP(D123,契約台帳!$A$3:$Q$4986,17,FALSE)))</f>
        <v/>
      </c>
      <c r="Z123" s="256" t="str">
        <f>IF(D123="","",IF(T123="","",VLOOKUP(D123,契約台帳!$A$3:$E$4986,5,FALSE)))</f>
        <v/>
      </c>
      <c r="AA123" s="54"/>
      <c r="AB123" s="200" t="str">
        <f>IFERROR((VLOOKUP(F123&amp;K123&amp;M123,製品マスタ!$M$5:$AM$4999,27,FALSE)),"")</f>
        <v/>
      </c>
      <c r="AC123" s="31"/>
      <c r="AD123" s="184"/>
      <c r="AE123" s="51"/>
      <c r="AF123" s="52"/>
      <c r="AG123" s="41"/>
      <c r="AH123" s="45"/>
      <c r="AI123" s="28"/>
      <c r="AJ123" s="28"/>
      <c r="AK123" s="28"/>
      <c r="AL123" s="28"/>
      <c r="AM123" s="12"/>
      <c r="AN123" s="12"/>
      <c r="AO123" s="12"/>
      <c r="AP123" s="12"/>
      <c r="AQ123" s="12"/>
      <c r="AR123" s="13"/>
      <c r="AS123" s="14"/>
    </row>
    <row r="124" spans="1:45" s="16" customFormat="1" ht="30.95" hidden="1" customHeight="1" x14ac:dyDescent="0.2">
      <c r="A124" s="35"/>
      <c r="B124" s="36"/>
      <c r="C124" s="43"/>
      <c r="D124" s="29">
        <v>3694122</v>
      </c>
      <c r="E124" s="29">
        <v>4140864</v>
      </c>
      <c r="F124" s="255" t="str">
        <f>IF(D124="","",VLOOKUP(D124,契約台帳!$A$3:$K$4986,6,FALSE)&amp;VLOOKUP(D124,契約台帳!$A$3:$K$4986,7,FALSE)&amp;VLOOKUP(D124,契約台帳!$A$3:$K$4986,8,FALSE)&amp;VLOOKUP(D124,契約台帳!$A$3:$K$4986,9,FALSE)&amp;VLOOKUP(D124,契約台帳!$A$3:$K$4986,11,FALSE))</f>
        <v>3SNMCLBHLGTV</v>
      </c>
      <c r="G124" s="256" t="str">
        <f>IF(D124="","",VLOOKUP(F124,製品マスタ!$G$5:$H$4999,2,FALSE))</f>
        <v>S</v>
      </c>
      <c r="H124" s="256" t="str">
        <f>IF(D124="","",VLOOKUP(F124,製品マスタ!$G$5:$K$4999,5,FALSE))</f>
        <v>HLGTV</v>
      </c>
      <c r="I124" s="200" t="str">
        <f>IF(D124="","",VLOOKUP(F124,製品マスタ!$G$5:$L$4999,6,FALSE))</f>
        <v>メタルミー　ヘヤライン　銀艶Ｖ</v>
      </c>
      <c r="J124" s="203" t="s">
        <v>801</v>
      </c>
      <c r="K124" s="200">
        <f>IF(D124="","",VLOOKUP(D124,契約台帳!$A$3:$L$4986,12,FALSE))</f>
        <v>50</v>
      </c>
      <c r="L124" s="200" t="str">
        <f>IF(D124="","",INDEX(製品マスタ!$Q$5:$Q$4999,MATCH('S4'!F124&amp;'S4'!K124,製品マスタ!$AO$5:$AO$4999,0)))</f>
        <v>BRIGHT</v>
      </c>
      <c r="M124" s="37">
        <v>1005</v>
      </c>
      <c r="N124" s="37">
        <v>12300</v>
      </c>
      <c r="O124" s="153">
        <v>1</v>
      </c>
      <c r="P124" s="45">
        <v>3</v>
      </c>
      <c r="Q124" s="54"/>
      <c r="R124" s="257">
        <f ca="1">IF(D124="","",IF(OFFSET(D124,-1,0)&lt;&gt;"","",IF(OR(J124="リード付け",J124="巻足し",J124="巻返しリード付け"),M124,VLOOKUP(D124,契約台帳!$A$3:$N$4986,14,FALSE))))</f>
        <v>1005</v>
      </c>
      <c r="S124" s="258">
        <f ca="1">IF(D124="","",IF(OFFSET(D124,-1,0)&lt;&gt;"","",IF(OR(J124="リード付け",J124="巻足し",J124="巻返しリード付け"),M124,VLOOKUP(D124,契約台帳!$A$3:$O$4986,15,FALSE))))</f>
        <v>1000</v>
      </c>
      <c r="T124" s="258">
        <f ca="1">IF(D124="","",IF(J124="リード付け",N124,IF(J124="巻返しリード付け",N124,IF(J124="巻足し",N124*P124+OFFSET(N124,1,0)*OFFSET(P124,1,0),VLOOKUP(D124,契約台帳!$A$3:$P$4986,16,FALSE)))))</f>
        <v>4000</v>
      </c>
      <c r="U124" s="38">
        <v>3</v>
      </c>
      <c r="V124" s="259">
        <f ca="1">IF(D124="","",IF(OFFSET(D124,-2,0)=D124,"",VLOOKUP(D124,契約台帳!$A$3:$R$4986,18,FALSE)))</f>
        <v>9</v>
      </c>
      <c r="W124" s="256" t="str">
        <f ca="1">IF(D124="","",IF(T124="","",IF(OR(J124="巻足し",J124="巻返しリード付け"),"",IF(J124="巻返し",VLOOKUP(F124&amp;K124&amp;M124,製品マスタ!$M$5:$AD$4999,18,FALSE),IF(OR(J124="リード付け",J124="巻返しリード付け"),"原反コア",IF(J124="スリット",VLOOKUP(F124&amp;K124&amp;R124,製品マスタ!$N$5:$AD$4999,17,FALSE),""))))))</f>
        <v>6ｲﾝﾁSｺｱ</v>
      </c>
      <c r="X124" s="256">
        <f ca="1">IF(D124="","",IF(T124="","",IF(J124="巻足し","",IF(J124="巻返し",VLOOKUP(F124&amp;K124&amp;M124,製品マスタ!$M$5:$AE$4999,19,FALSE),IF(OR(J124="リード付け",J124="巻返しリード付け"),"",IF(J124="スリット",VLOOKUP(F124&amp;K124&amp;R124,製品マスタ!$N$5:$AE$4999,18,FALSE),""))))))</f>
        <v>1015</v>
      </c>
      <c r="Y124" s="256">
        <f ca="1">IF(D124="","",IF(T124="","",VLOOKUP(D124,契約台帳!$A$3:$Q$4986,17,FALSE)))</f>
        <v>2</v>
      </c>
      <c r="Z124" s="256" t="str">
        <f ca="1">IF(D124="","",IF(T124="","",VLOOKUP(D124,契約台帳!$A$3:$E$4986,5,FALSE)))</f>
        <v>リンテック㈱</v>
      </c>
      <c r="AA124" s="54">
        <v>44951</v>
      </c>
      <c r="AB124" s="200">
        <f>IFERROR((VLOOKUP(F124&amp;K124&amp;M124,製品マスタ!$M$5:$AM$4999,27,FALSE)),"")</f>
        <v>0</v>
      </c>
      <c r="AC124" s="31"/>
      <c r="AD124" s="184"/>
      <c r="AE124" s="51"/>
      <c r="AF124" s="52"/>
      <c r="AG124" s="41"/>
      <c r="AH124" s="45"/>
      <c r="AI124" s="28"/>
      <c r="AJ124" s="28"/>
      <c r="AK124" s="28"/>
      <c r="AL124" s="28"/>
      <c r="AM124" s="12"/>
      <c r="AN124" s="12"/>
      <c r="AO124" s="12"/>
      <c r="AP124" s="12"/>
      <c r="AQ124" s="12"/>
      <c r="AR124" s="13"/>
      <c r="AS124" s="14"/>
    </row>
    <row r="125" spans="1:45" s="16" customFormat="1" ht="30.95" hidden="1" customHeight="1" x14ac:dyDescent="0.2">
      <c r="A125" s="35"/>
      <c r="B125" s="36"/>
      <c r="C125" s="43"/>
      <c r="D125" s="29"/>
      <c r="E125" s="29"/>
      <c r="F125" s="255" t="str">
        <f>IF(D125="","",VLOOKUP(D125,契約台帳!$A$3:$K$4986,6,FALSE)&amp;VLOOKUP(D125,契約台帳!$A$3:$K$4986,7,FALSE)&amp;VLOOKUP(D125,契約台帳!$A$3:$K$4986,8,FALSE)&amp;VLOOKUP(D125,契約台帳!$A$3:$K$4986,9,FALSE)&amp;VLOOKUP(D125,契約台帳!$A$3:$K$4986,11,FALSE))</f>
        <v/>
      </c>
      <c r="G125" s="256" t="str">
        <f>IF(D125="","",VLOOKUP(F125,製品マスタ!$G$5:$H$4999,2,FALSE))</f>
        <v/>
      </c>
      <c r="H125" s="256" t="str">
        <f>IF(D125="","",VLOOKUP(F125,製品マスタ!$G$5:$K$4999,5,FALSE))</f>
        <v/>
      </c>
      <c r="I125" s="200" t="str">
        <f>IF(D125="","",VLOOKUP(F125,製品マスタ!$G$5:$L$4999,6,FALSE))</f>
        <v/>
      </c>
      <c r="J125" s="203"/>
      <c r="K125" s="200" t="str">
        <f>IF(D125="","",VLOOKUP(D125,契約台帳!$A$3:$L$4986,12,FALSE))</f>
        <v/>
      </c>
      <c r="L125" s="200" t="str">
        <f>IF(D125="","",INDEX(製品マスタ!$Q$5:$Q$4999,MATCH('S4'!F125&amp;'S4'!K125,製品マスタ!$AO$5:$AO$4999,0)))</f>
        <v/>
      </c>
      <c r="M125" s="37"/>
      <c r="N125" s="37"/>
      <c r="O125" s="153"/>
      <c r="P125" s="45"/>
      <c r="Q125" s="54"/>
      <c r="R125" s="257" t="str">
        <f ca="1">IF(D125="","",IF(OFFSET(D125,-1,0)&lt;&gt;"","",IF(OR(J125="リード付け",J125="巻足し",J125="巻返しリード付け"),M125,VLOOKUP(D125,契約台帳!$A$3:$N$4986,14,FALSE))))</f>
        <v/>
      </c>
      <c r="S125" s="258" t="str">
        <f ca="1">IF(D125="","",IF(OFFSET(D125,-1,0)&lt;&gt;"","",IF(OR(J125="リード付け",J125="巻足し",J125="巻返しリード付け"),M125,VLOOKUP(D125,契約台帳!$A$3:$O$4986,15,FALSE))))</f>
        <v/>
      </c>
      <c r="T125" s="258" t="str">
        <f ca="1">IF(D125="","",IF(J125="リード付け",N125,IF(J125="巻返しリード付け",N125,IF(J125="巻足し",N125*P125+OFFSET(N125,1,0)*OFFSET(P125,1,0),VLOOKUP(D125,契約台帳!$A$3:$P$4986,16,FALSE)))))</f>
        <v/>
      </c>
      <c r="U125" s="38"/>
      <c r="V125" s="259" t="str">
        <f ca="1">IF(D125="","",IF(OFFSET(D125,-2,0)=D125,"",VLOOKUP(D125,契約台帳!$A$3:$R$4986,18,FALSE)))</f>
        <v/>
      </c>
      <c r="W125" s="256" t="str">
        <f>IF(D125="","",IF(T125="","",IF(OR(J125="巻足し",J125="巻返しリード付け"),"",IF(J125="巻返し",VLOOKUP(F125&amp;K125&amp;M125,製品マスタ!$M$5:$AD$4999,18,FALSE),IF(OR(J125="リード付け",J125="巻返しリード付け"),"原反コア",IF(J125="スリット",VLOOKUP(F125&amp;K125&amp;R125,製品マスタ!$N$5:$AD$4999,17,FALSE),""))))))</f>
        <v/>
      </c>
      <c r="X125" s="256" t="str">
        <f>IF(D125="","",IF(T125="","",IF(J125="巻足し","",IF(J125="巻返し",VLOOKUP(F125&amp;K125&amp;M125,製品マスタ!$M$5:$AE$4999,19,FALSE),IF(OR(J125="リード付け",J125="巻返しリード付け"),"",IF(J125="スリット",VLOOKUP(F125&amp;K125&amp;R125,製品マスタ!$N$5:$AE$4999,18,FALSE),""))))))</f>
        <v/>
      </c>
      <c r="Y125" s="256" t="str">
        <f>IF(D125="","",IF(T125="","",VLOOKUP(D125,契約台帳!$A$3:$Q$4986,17,FALSE)))</f>
        <v/>
      </c>
      <c r="Z125" s="256" t="str">
        <f>IF(D125="","",IF(T125="","",VLOOKUP(D125,契約台帳!$A$3:$E$4986,5,FALSE)))</f>
        <v/>
      </c>
      <c r="AA125" s="54"/>
      <c r="AB125" s="200" t="str">
        <f>IFERROR((VLOOKUP(F125&amp;K125&amp;M125,製品マスタ!$M$5:$AM$4999,27,FALSE)),"")</f>
        <v/>
      </c>
      <c r="AC125" s="31"/>
      <c r="AD125" s="184"/>
      <c r="AE125" s="51"/>
      <c r="AF125" s="52"/>
      <c r="AG125" s="41"/>
      <c r="AH125" s="45"/>
      <c r="AI125" s="28"/>
      <c r="AJ125" s="28"/>
      <c r="AK125" s="28"/>
      <c r="AL125" s="28"/>
      <c r="AM125" s="12"/>
      <c r="AN125" s="12"/>
      <c r="AO125" s="12"/>
      <c r="AP125" s="12"/>
      <c r="AQ125" s="12"/>
      <c r="AR125" s="13"/>
      <c r="AS125" s="14"/>
    </row>
    <row r="126" spans="1:45" s="16" customFormat="1" ht="30.95" hidden="1" customHeight="1" x14ac:dyDescent="0.2">
      <c r="A126" s="35" t="s">
        <v>807</v>
      </c>
      <c r="B126" s="36" t="s">
        <v>810</v>
      </c>
      <c r="C126" s="43"/>
      <c r="D126" s="29"/>
      <c r="E126" s="29"/>
      <c r="F126" s="255" t="str">
        <f>IF(D126="","",VLOOKUP(D126,契約台帳!$A$3:$K$4986,6,FALSE)&amp;VLOOKUP(D126,契約台帳!$A$3:$K$4986,7,FALSE)&amp;VLOOKUP(D126,契約台帳!$A$3:$K$4986,8,FALSE)&amp;VLOOKUP(D126,契約台帳!$A$3:$K$4986,9,FALSE)&amp;VLOOKUP(D126,契約台帳!$A$3:$K$4986,11,FALSE))</f>
        <v/>
      </c>
      <c r="G126" s="256" t="str">
        <f>IF(D126="","",VLOOKUP(F126,製品マスタ!$G$5:$H$4999,2,FALSE))</f>
        <v/>
      </c>
      <c r="H126" s="256" t="str">
        <f>IF(D126="","",VLOOKUP(F126,製品マスタ!$G$5:$K$4999,5,FALSE))</f>
        <v/>
      </c>
      <c r="I126" s="200" t="str">
        <f>IF(D126="","",VLOOKUP(F126,製品マスタ!$G$5:$L$4999,6,FALSE))</f>
        <v/>
      </c>
      <c r="J126" s="203" t="s">
        <v>448</v>
      </c>
      <c r="K126" s="200" t="str">
        <f>IF(D126="","",VLOOKUP(D126,契約台帳!$A$3:$L$4986,12,FALSE))</f>
        <v/>
      </c>
      <c r="L126" s="200" t="str">
        <f>IF(D126="","",INDEX(製品マスタ!$Q$5:$Q$4999,MATCH('S4'!F126&amp;'S4'!K126,製品マスタ!$AO$5:$AO$4999,0)))</f>
        <v/>
      </c>
      <c r="M126" s="37"/>
      <c r="N126" s="37"/>
      <c r="O126" s="153"/>
      <c r="P126" s="45"/>
      <c r="Q126" s="54"/>
      <c r="R126" s="257" t="str">
        <f ca="1">IF(D126="","",IF(OFFSET(D126,-1,0)&lt;&gt;"","",IF(OR(J126="リード付け",J126="巻足し",J126="巻返しリード付け"),M126,VLOOKUP(D126,契約台帳!$A$3:$N$4986,14,FALSE))))</f>
        <v/>
      </c>
      <c r="S126" s="258" t="str">
        <f ca="1">IF(D126="","",IF(OFFSET(D126,-1,0)&lt;&gt;"","",IF(OR(J126="リード付け",J126="巻足し",J126="巻返しリード付け"),M126,VLOOKUP(D126,契約台帳!$A$3:$O$4986,15,FALSE))))</f>
        <v/>
      </c>
      <c r="T126" s="258" t="str">
        <f ca="1">IF(D126="","",IF(J126="リード付け",N126,IF(J126="巻返しリード付け",N126,IF(J126="巻足し",N126*P126+OFFSET(N126,1,0)*OFFSET(P126,1,0),VLOOKUP(D126,契約台帳!$A$3:$P$4986,16,FALSE)))))</f>
        <v/>
      </c>
      <c r="U126" s="38"/>
      <c r="V126" s="259" t="str">
        <f ca="1">IF(D126="","",IF(OFFSET(D126,-2,0)=D126,"",VLOOKUP(D126,契約台帳!$A$3:$R$4986,18,FALSE)))</f>
        <v/>
      </c>
      <c r="W126" s="256" t="str">
        <f>IF(D126="","",IF(T126="","",IF(OR(J126="巻足し",J126="巻返しリード付け"),"",IF(J126="巻返し",VLOOKUP(F126&amp;K126&amp;M126,製品マスタ!$M$5:$AD$4999,18,FALSE),IF(OR(J126="リード付け",J126="巻返しリード付け"),"原反コア",IF(J126="スリット",VLOOKUP(F126&amp;K126&amp;R126,製品マスタ!$N$5:$AD$4999,17,FALSE),""))))))</f>
        <v/>
      </c>
      <c r="X126" s="256" t="str">
        <f>IF(D126="","",IF(T126="","",IF(J126="巻足し","",IF(J126="巻返し",VLOOKUP(F126&amp;K126&amp;M126,製品マスタ!$M$5:$AE$4999,19,FALSE),IF(OR(J126="リード付け",J126="巻返しリード付け"),"",IF(J126="スリット",VLOOKUP(F126&amp;K126&amp;R126,製品マスタ!$N$5:$AE$4999,18,FALSE),""))))))</f>
        <v/>
      </c>
      <c r="Y126" s="256" t="str">
        <f>IF(D126="","",IF(T126="","",VLOOKUP(D126,契約台帳!$A$3:$Q$4986,17,FALSE)))</f>
        <v/>
      </c>
      <c r="Z126" s="256" t="str">
        <f>IF(D126="","",IF(T126="","",VLOOKUP(D126,契約台帳!$A$3:$E$4986,5,FALSE)))</f>
        <v/>
      </c>
      <c r="AA126" s="54"/>
      <c r="AB126" s="200" t="str">
        <f>IFERROR((VLOOKUP(F126&amp;K126&amp;M126,製品マスタ!$M$5:$AM$4999,27,FALSE)),"")</f>
        <v/>
      </c>
      <c r="AC126" s="31"/>
      <c r="AD126" s="184"/>
      <c r="AE126" s="51"/>
      <c r="AF126" s="52"/>
      <c r="AG126" s="41"/>
      <c r="AH126" s="45"/>
      <c r="AI126" s="28"/>
      <c r="AJ126" s="28"/>
      <c r="AK126" s="28"/>
      <c r="AL126" s="28"/>
      <c r="AM126" s="12"/>
      <c r="AN126" s="12"/>
      <c r="AO126" s="12"/>
      <c r="AP126" s="12"/>
      <c r="AQ126" s="12"/>
      <c r="AR126" s="13"/>
      <c r="AS126" s="14"/>
    </row>
    <row r="127" spans="1:45" s="16" customFormat="1" ht="30.95" hidden="1" customHeight="1" x14ac:dyDescent="0.2">
      <c r="A127" s="35"/>
      <c r="B127" s="36"/>
      <c r="C127" s="43"/>
      <c r="D127" s="29"/>
      <c r="E127" s="29"/>
      <c r="F127" s="255" t="str">
        <f>IF(D127="","",VLOOKUP(D127,契約台帳!$A$3:$K$4986,6,FALSE)&amp;VLOOKUP(D127,契約台帳!$A$3:$K$4986,7,FALSE)&amp;VLOOKUP(D127,契約台帳!$A$3:$K$4986,8,FALSE)&amp;VLOOKUP(D127,契約台帳!$A$3:$K$4986,9,FALSE)&amp;VLOOKUP(D127,契約台帳!$A$3:$K$4986,11,FALSE))</f>
        <v/>
      </c>
      <c r="G127" s="256" t="str">
        <f>IF(D127="","",VLOOKUP(F127,製品マスタ!$G$5:$H$4999,2,FALSE))</f>
        <v/>
      </c>
      <c r="H127" s="256" t="str">
        <f>IF(D127="","",VLOOKUP(F127,製品マスタ!$G$5:$K$4999,5,FALSE))</f>
        <v/>
      </c>
      <c r="I127" s="200" t="str">
        <f>IF(D127="","",VLOOKUP(F127,製品マスタ!$G$5:$L$4999,6,FALSE))</f>
        <v/>
      </c>
      <c r="J127" s="203"/>
      <c r="K127" s="200" t="str">
        <f>IF(D127="","",VLOOKUP(D127,契約台帳!$A$3:$L$4986,12,FALSE))</f>
        <v/>
      </c>
      <c r="L127" s="200" t="str">
        <f>IF(D127="","",INDEX(製品マスタ!$Q$5:$Q$4999,MATCH('S4'!F127&amp;'S4'!K127,製品マスタ!$AO$5:$AO$4999,0)))</f>
        <v/>
      </c>
      <c r="M127" s="37"/>
      <c r="N127" s="37"/>
      <c r="O127" s="153"/>
      <c r="P127" s="45"/>
      <c r="Q127" s="54"/>
      <c r="R127" s="257" t="str">
        <f ca="1">IF(D127="","",IF(OFFSET(D127,-1,0)&lt;&gt;"","",IF(OR(J127="リード付け",J127="巻足し",J127="巻返しリード付け"),M127,VLOOKUP(D127,契約台帳!$A$3:$N$4986,14,FALSE))))</f>
        <v/>
      </c>
      <c r="S127" s="258" t="str">
        <f ca="1">IF(D127="","",IF(OFFSET(D127,-1,0)&lt;&gt;"","",IF(OR(J127="リード付け",J127="巻足し",J127="巻返しリード付け"),M127,VLOOKUP(D127,契約台帳!$A$3:$O$4986,15,FALSE))))</f>
        <v/>
      </c>
      <c r="T127" s="258" t="str">
        <f ca="1">IF(D127="","",IF(J127="リード付け",N127,IF(J127="巻返しリード付け",N127,IF(J127="巻足し",N127*P127+OFFSET(N127,1,0)*OFFSET(P127,1,0),VLOOKUP(D127,契約台帳!$A$3:$P$4986,16,FALSE)))))</f>
        <v/>
      </c>
      <c r="U127" s="38"/>
      <c r="V127" s="259" t="str">
        <f ca="1">IF(D127="","",IF(OFFSET(D127,-2,0)=D127,"",VLOOKUP(D127,契約台帳!$A$3:$R$4986,18,FALSE)))</f>
        <v/>
      </c>
      <c r="W127" s="256" t="str">
        <f>IF(D127="","",IF(T127="","",IF(OR(J127="巻足し",J127="巻返しリード付け"),"",IF(J127="巻返し",VLOOKUP(F127&amp;K127&amp;M127,製品マスタ!$M$5:$AD$4999,18,FALSE),IF(OR(J127="リード付け",J127="巻返しリード付け"),"原反コア",IF(J127="スリット",VLOOKUP(F127&amp;K127&amp;R127,製品マスタ!$N$5:$AD$4999,17,FALSE),""))))))</f>
        <v/>
      </c>
      <c r="X127" s="256" t="str">
        <f>IF(D127="","",IF(T127="","",IF(J127="巻足し","",IF(J127="巻返し",VLOOKUP(F127&amp;K127&amp;M127,製品マスタ!$M$5:$AE$4999,19,FALSE),IF(OR(J127="リード付け",J127="巻返しリード付け"),"",IF(J127="スリット",VLOOKUP(F127&amp;K127&amp;R127,製品マスタ!$N$5:$AE$4999,18,FALSE),""))))))</f>
        <v/>
      </c>
      <c r="Y127" s="256" t="str">
        <f>IF(D127="","",IF(T127="","",VLOOKUP(D127,契約台帳!$A$3:$Q$4986,17,FALSE)))</f>
        <v/>
      </c>
      <c r="Z127" s="256" t="str">
        <f>IF(D127="","",IF(T127="","",VLOOKUP(D127,契約台帳!$A$3:$E$4986,5,FALSE)))</f>
        <v/>
      </c>
      <c r="AA127" s="54"/>
      <c r="AB127" s="200" t="str">
        <f>IFERROR((VLOOKUP(F127&amp;K127&amp;M127,製品マスタ!$M$5:$AM$4999,27,FALSE)),"")</f>
        <v/>
      </c>
      <c r="AC127" s="31"/>
      <c r="AD127" s="184"/>
      <c r="AE127" s="51"/>
      <c r="AF127" s="52"/>
      <c r="AG127" s="41"/>
      <c r="AH127" s="45"/>
      <c r="AI127" s="28"/>
      <c r="AJ127" s="28"/>
      <c r="AK127" s="28"/>
      <c r="AL127" s="28"/>
      <c r="AM127" s="12"/>
      <c r="AN127" s="12"/>
      <c r="AO127" s="12"/>
      <c r="AP127" s="12"/>
      <c r="AQ127" s="12"/>
      <c r="AR127" s="13"/>
      <c r="AS127" s="14"/>
    </row>
    <row r="128" spans="1:45" s="16" customFormat="1" ht="30.95" hidden="1" customHeight="1" x14ac:dyDescent="0.2">
      <c r="A128" s="35" t="s">
        <v>808</v>
      </c>
      <c r="B128" s="36" t="s">
        <v>811</v>
      </c>
      <c r="C128" s="43"/>
      <c r="D128" s="29"/>
      <c r="E128" s="29"/>
      <c r="F128" s="255" t="str">
        <f>IF(D128="","",VLOOKUP(D128,契約台帳!$A$3:$K$4986,6,FALSE)&amp;VLOOKUP(D128,契約台帳!$A$3:$K$4986,7,FALSE)&amp;VLOOKUP(D128,契約台帳!$A$3:$K$4986,8,FALSE)&amp;VLOOKUP(D128,契約台帳!$A$3:$K$4986,9,FALSE)&amp;VLOOKUP(D128,契約台帳!$A$3:$K$4986,11,FALSE))</f>
        <v/>
      </c>
      <c r="G128" s="256" t="str">
        <f>IF(D128="","",VLOOKUP(F128,製品マスタ!$G$5:$H$4999,2,FALSE))</f>
        <v/>
      </c>
      <c r="H128" s="256" t="str">
        <f>IF(D128="","",VLOOKUP(F128,製品マスタ!$G$5:$K$4999,5,FALSE))</f>
        <v/>
      </c>
      <c r="I128" s="200" t="str">
        <f>IF(D128="","",VLOOKUP(F128,製品マスタ!$G$5:$L$4999,6,FALSE))</f>
        <v/>
      </c>
      <c r="J128" s="203" t="s">
        <v>448</v>
      </c>
      <c r="K128" s="200" t="str">
        <f>IF(D128="","",VLOOKUP(D128,契約台帳!$A$3:$L$4986,12,FALSE))</f>
        <v/>
      </c>
      <c r="L128" s="200" t="str">
        <f>IF(D128="","",INDEX(製品マスタ!$Q$5:$Q$4999,MATCH('S4'!F128&amp;'S4'!K128,製品マスタ!$AO$5:$AO$4999,0)))</f>
        <v/>
      </c>
      <c r="M128" s="37"/>
      <c r="N128" s="37"/>
      <c r="O128" s="153"/>
      <c r="P128" s="45"/>
      <c r="Q128" s="54"/>
      <c r="R128" s="257" t="str">
        <f ca="1">IF(D128="","",IF(OFFSET(D128,-1,0)&lt;&gt;"","",IF(OR(J128="リード付け",J128="巻足し",J128="巻返しリード付け"),M128,VLOOKUP(D128,契約台帳!$A$3:$N$4986,14,FALSE))))</f>
        <v/>
      </c>
      <c r="S128" s="258" t="str">
        <f ca="1">IF(D128="","",IF(OFFSET(D128,-1,0)&lt;&gt;"","",IF(OR(J128="リード付け",J128="巻足し",J128="巻返しリード付け"),M128,VLOOKUP(D128,契約台帳!$A$3:$O$4986,15,FALSE))))</f>
        <v/>
      </c>
      <c r="T128" s="258" t="str">
        <f ca="1">IF(D128="","",IF(J128="リード付け",N128,IF(J128="巻返しリード付け",N128,IF(J128="巻足し",N128*P128+OFFSET(N128,1,0)*OFFSET(P128,1,0),VLOOKUP(D128,契約台帳!$A$3:$P$4986,16,FALSE)))))</f>
        <v/>
      </c>
      <c r="U128" s="38"/>
      <c r="V128" s="259" t="str">
        <f ca="1">IF(D128="","",IF(OFFSET(D128,-2,0)=D128,"",VLOOKUP(D128,契約台帳!$A$3:$R$4986,18,FALSE)))</f>
        <v/>
      </c>
      <c r="W128" s="256" t="str">
        <f>IF(D128="","",IF(T128="","",IF(OR(J128="巻足し",J128="巻返しリード付け"),"",IF(J128="巻返し",VLOOKUP(F128&amp;K128&amp;M128,製品マスタ!$M$5:$AD$4999,18,FALSE),IF(OR(J128="リード付け",J128="巻返しリード付け"),"原反コア",IF(J128="スリット",VLOOKUP(F128&amp;K128&amp;R128,製品マスタ!$N$5:$AD$4999,17,FALSE),""))))))</f>
        <v/>
      </c>
      <c r="X128" s="256" t="str">
        <f>IF(D128="","",IF(T128="","",IF(J128="巻足し","",IF(J128="巻返し",VLOOKUP(F128&amp;K128&amp;M128,製品マスタ!$M$5:$AE$4999,19,FALSE),IF(OR(J128="リード付け",J128="巻返しリード付け"),"",IF(J128="スリット",VLOOKUP(F128&amp;K128&amp;R128,製品マスタ!$N$5:$AE$4999,18,FALSE),""))))))</f>
        <v/>
      </c>
      <c r="Y128" s="256" t="str">
        <f>IF(D128="","",IF(T128="","",VLOOKUP(D128,契約台帳!$A$3:$Q$4986,17,FALSE)))</f>
        <v/>
      </c>
      <c r="Z128" s="256" t="str">
        <f>IF(D128="","",IF(T128="","",VLOOKUP(D128,契約台帳!$A$3:$E$4986,5,FALSE)))</f>
        <v/>
      </c>
      <c r="AA128" s="54"/>
      <c r="AB128" s="200" t="str">
        <f>IFERROR((VLOOKUP(F128&amp;K128&amp;M128,製品マスタ!$M$5:$AM$4999,27,FALSE)),"")</f>
        <v/>
      </c>
      <c r="AC128" s="31"/>
      <c r="AD128" s="184"/>
      <c r="AE128" s="51"/>
      <c r="AF128" s="52"/>
      <c r="AG128" s="41"/>
      <c r="AH128" s="45"/>
      <c r="AI128" s="28"/>
      <c r="AJ128" s="28"/>
      <c r="AK128" s="28"/>
      <c r="AL128" s="28"/>
      <c r="AM128" s="12"/>
      <c r="AN128" s="12"/>
      <c r="AO128" s="12"/>
      <c r="AP128" s="12"/>
      <c r="AQ128" s="12"/>
      <c r="AR128" s="13"/>
      <c r="AS128" s="14"/>
    </row>
    <row r="129" spans="1:45" s="16" customFormat="1" ht="30.95" hidden="1" customHeight="1" x14ac:dyDescent="0.2">
      <c r="A129" s="35"/>
      <c r="B129" s="36"/>
      <c r="C129" s="43"/>
      <c r="D129" s="29"/>
      <c r="E129" s="29"/>
      <c r="F129" s="255" t="str">
        <f>IF(D129="","",VLOOKUP(D129,契約台帳!$A$3:$K$4986,6,FALSE)&amp;VLOOKUP(D129,契約台帳!$A$3:$K$4986,7,FALSE)&amp;VLOOKUP(D129,契約台帳!$A$3:$K$4986,8,FALSE)&amp;VLOOKUP(D129,契約台帳!$A$3:$K$4986,9,FALSE)&amp;VLOOKUP(D129,契約台帳!$A$3:$K$4986,11,FALSE))</f>
        <v/>
      </c>
      <c r="G129" s="256" t="str">
        <f>IF(D129="","",VLOOKUP(F129,製品マスタ!$G$5:$H$4999,2,FALSE))</f>
        <v/>
      </c>
      <c r="H129" s="256" t="str">
        <f>IF(D129="","",VLOOKUP(F129,製品マスタ!$G$5:$K$4999,5,FALSE))</f>
        <v/>
      </c>
      <c r="I129" s="200" t="str">
        <f>IF(D129="","",VLOOKUP(F129,製品マスタ!$G$5:$L$4999,6,FALSE))</f>
        <v/>
      </c>
      <c r="J129" s="203"/>
      <c r="K129" s="200" t="str">
        <f>IF(D129="","",VLOOKUP(D129,契約台帳!$A$3:$L$4986,12,FALSE))</f>
        <v/>
      </c>
      <c r="L129" s="200" t="str">
        <f>IF(D129="","",INDEX(製品マスタ!$Q$5:$Q$4999,MATCH('S4'!F129&amp;'S4'!K129,製品マスタ!$AO$5:$AO$4999,0)))</f>
        <v/>
      </c>
      <c r="M129" s="37"/>
      <c r="N129" s="37"/>
      <c r="O129" s="153"/>
      <c r="P129" s="45"/>
      <c r="Q129" s="54"/>
      <c r="R129" s="257" t="str">
        <f ca="1">IF(D129="","",IF(OFFSET(D129,-1,0)&lt;&gt;"","",IF(OR(J129="リード付け",J129="巻足し",J129="巻返しリード付け"),M129,VLOOKUP(D129,契約台帳!$A$3:$N$4986,14,FALSE))))</f>
        <v/>
      </c>
      <c r="S129" s="258" t="str">
        <f ca="1">IF(D129="","",IF(OFFSET(D129,-1,0)&lt;&gt;"","",IF(OR(J129="リード付け",J129="巻足し",J129="巻返しリード付け"),M129,VLOOKUP(D129,契約台帳!$A$3:$O$4986,15,FALSE))))</f>
        <v/>
      </c>
      <c r="T129" s="258" t="str">
        <f ca="1">IF(D129="","",IF(J129="リード付け",N129,IF(J129="巻返しリード付け",N129,IF(J129="巻足し",N129*P129+OFFSET(N129,1,0)*OFFSET(P129,1,0),VLOOKUP(D129,契約台帳!$A$3:$P$4986,16,FALSE)))))</f>
        <v/>
      </c>
      <c r="U129" s="38"/>
      <c r="V129" s="259" t="str">
        <f ca="1">IF(D129="","",IF(OFFSET(D129,-2,0)=D129,"",VLOOKUP(D129,契約台帳!$A$3:$R$4986,18,FALSE)))</f>
        <v/>
      </c>
      <c r="W129" s="256" t="str">
        <f>IF(D129="","",IF(T129="","",IF(OR(J129="巻足し",J129="巻返しリード付け"),"",IF(J129="巻返し",VLOOKUP(F129&amp;K129&amp;M129,製品マスタ!$M$5:$AD$4999,18,FALSE),IF(OR(J129="リード付け",J129="巻返しリード付け"),"原反コア",IF(J129="スリット",VLOOKUP(F129&amp;K129&amp;R129,製品マスタ!$N$5:$AD$4999,17,FALSE),""))))))</f>
        <v/>
      </c>
      <c r="X129" s="256" t="str">
        <f>IF(D129="","",IF(T129="","",IF(J129="巻足し","",IF(J129="巻返し",VLOOKUP(F129&amp;K129&amp;M129,製品マスタ!$M$5:$AE$4999,19,FALSE),IF(OR(J129="リード付け",J129="巻返しリード付け"),"",IF(J129="スリット",VLOOKUP(F129&amp;K129&amp;R129,製品マスタ!$N$5:$AE$4999,18,FALSE),""))))))</f>
        <v/>
      </c>
      <c r="Y129" s="256" t="str">
        <f>IF(D129="","",IF(T129="","",VLOOKUP(D129,契約台帳!$A$3:$Q$4986,17,FALSE)))</f>
        <v/>
      </c>
      <c r="Z129" s="256" t="str">
        <f>IF(D129="","",IF(T129="","",VLOOKUP(D129,契約台帳!$A$3:$E$4986,5,FALSE)))</f>
        <v/>
      </c>
      <c r="AA129" s="54"/>
      <c r="AB129" s="200" t="str">
        <f>IFERROR((VLOOKUP(F129&amp;K129&amp;M129,製品マスタ!$M$5:$AM$4999,27,FALSE)),"")</f>
        <v/>
      </c>
      <c r="AC129" s="31"/>
      <c r="AD129" s="184"/>
      <c r="AE129" s="51"/>
      <c r="AF129" s="52"/>
      <c r="AG129" s="41"/>
      <c r="AH129" s="45"/>
      <c r="AI129" s="28"/>
      <c r="AJ129" s="28"/>
      <c r="AK129" s="28"/>
      <c r="AL129" s="28"/>
      <c r="AM129" s="12"/>
      <c r="AN129" s="12"/>
      <c r="AO129" s="12"/>
      <c r="AP129" s="12"/>
      <c r="AQ129" s="12"/>
      <c r="AR129" s="13"/>
      <c r="AS129" s="14"/>
    </row>
    <row r="130" spans="1:45" s="16" customFormat="1" ht="30.95" hidden="1" customHeight="1" x14ac:dyDescent="0.2">
      <c r="A130" s="35" t="s">
        <v>809</v>
      </c>
      <c r="B130" s="36" t="s">
        <v>812</v>
      </c>
      <c r="C130" s="43"/>
      <c r="D130" s="29">
        <v>3694122</v>
      </c>
      <c r="E130" s="29">
        <v>4140864</v>
      </c>
      <c r="F130" s="255" t="str">
        <f>IF(D130="","",VLOOKUP(D130,契約台帳!$A$3:$K$4986,6,FALSE)&amp;VLOOKUP(D130,契約台帳!$A$3:$K$4986,7,FALSE)&amp;VLOOKUP(D130,契約台帳!$A$3:$K$4986,8,FALSE)&amp;VLOOKUP(D130,契約台帳!$A$3:$K$4986,9,FALSE)&amp;VLOOKUP(D130,契約台帳!$A$3:$K$4986,11,FALSE))</f>
        <v>3SNMCLBHLGTV</v>
      </c>
      <c r="G130" s="256" t="str">
        <f>IF(D130="","",VLOOKUP(F130,製品マスタ!$G$5:$H$4999,2,FALSE))</f>
        <v>S</v>
      </c>
      <c r="H130" s="256" t="str">
        <f>IF(D130="","",VLOOKUP(F130,製品マスタ!$G$5:$K$4999,5,FALSE))</f>
        <v>HLGTV</v>
      </c>
      <c r="I130" s="200" t="str">
        <f>IF(D130="","",VLOOKUP(F130,製品マスタ!$G$5:$L$4999,6,FALSE))</f>
        <v>メタルミー　ヘヤライン　銀艶Ｖ</v>
      </c>
      <c r="J130" s="203" t="s">
        <v>801</v>
      </c>
      <c r="K130" s="200">
        <f>IF(D130="","",VLOOKUP(D130,契約台帳!$A$3:$L$4986,12,FALSE))</f>
        <v>50</v>
      </c>
      <c r="L130" s="200" t="str">
        <f>IF(D130="","",INDEX(製品マスタ!$Q$5:$Q$4999,MATCH('S4'!F130&amp;'S4'!K130,製品マスタ!$AO$5:$AO$4999,0)))</f>
        <v>BRIGHT</v>
      </c>
      <c r="M130" s="37">
        <v>1005</v>
      </c>
      <c r="N130" s="37">
        <v>12300</v>
      </c>
      <c r="O130" s="153">
        <v>2</v>
      </c>
      <c r="P130" s="45">
        <v>3</v>
      </c>
      <c r="Q130" s="54"/>
      <c r="R130" s="257">
        <f ca="1">IF(D130="","",IF(OFFSET(D130,-1,0)&lt;&gt;"","",IF(OR(J130="リード付け",J130="巻足し",J130="巻返しリード付け"),M130,VLOOKUP(D130,契約台帳!$A$3:$N$4986,14,FALSE))))</f>
        <v>1005</v>
      </c>
      <c r="S130" s="258">
        <f ca="1">IF(D130="","",IF(OFFSET(D130,-1,0)&lt;&gt;"","",IF(OR(J130="リード付け",J130="巻足し",J130="巻返しリード付け"),M130,VLOOKUP(D130,契約台帳!$A$3:$O$4986,15,FALSE))))</f>
        <v>1000</v>
      </c>
      <c r="T130" s="258">
        <f ca="1">IF(D130="","",IF(J130="リード付け",N130,IF(J130="巻返しリード付け",N130,IF(J130="巻足し",N130*P130+OFFSET(N130,1,0)*OFFSET(P130,1,0),VLOOKUP(D130,契約台帳!$A$3:$P$4986,16,FALSE)))))</f>
        <v>4000</v>
      </c>
      <c r="U130" s="38">
        <v>6</v>
      </c>
      <c r="V130" s="259">
        <f ca="1">IF(D130="","",IF(OFFSET(D130,-2,0)=D130,"",VLOOKUP(D130,契約台帳!$A$3:$R$4986,18,FALSE)))</f>
        <v>9</v>
      </c>
      <c r="W130" s="256" t="str">
        <f ca="1">IF(D130="","",IF(T130="","",IF(OR(J130="巻足し",J130="巻返しリード付け"),"",IF(J130="巻返し",VLOOKUP(F130&amp;K130&amp;M130,製品マスタ!$M$5:$AD$4999,18,FALSE),IF(OR(J130="リード付け",J130="巻返しリード付け"),"原反コア",IF(J130="スリット",VLOOKUP(F130&amp;K130&amp;R130,製品マスタ!$N$5:$AD$4999,17,FALSE),""))))))</f>
        <v>6ｲﾝﾁSｺｱ</v>
      </c>
      <c r="X130" s="256">
        <f ca="1">IF(D130="","",IF(T130="","",IF(J130="巻足し","",IF(J130="巻返し",VLOOKUP(F130&amp;K130&amp;M130,製品マスタ!$M$5:$AE$4999,19,FALSE),IF(OR(J130="リード付け",J130="巻返しリード付け"),"",IF(J130="スリット",VLOOKUP(F130&amp;K130&amp;R130,製品マスタ!$N$5:$AE$4999,18,FALSE),""))))))</f>
        <v>1015</v>
      </c>
      <c r="Y130" s="256">
        <f ca="1">IF(D130="","",IF(T130="","",VLOOKUP(D130,契約台帳!$A$3:$Q$4986,17,FALSE)))</f>
        <v>2</v>
      </c>
      <c r="Z130" s="256" t="str">
        <f ca="1">IF(D130="","",IF(T130="","",VLOOKUP(D130,契約台帳!$A$3:$E$4986,5,FALSE)))</f>
        <v>リンテック㈱</v>
      </c>
      <c r="AA130" s="54">
        <v>44952</v>
      </c>
      <c r="AB130" s="200">
        <f>IFERROR((VLOOKUP(F130&amp;K130&amp;M130,製品マスタ!$M$5:$AM$4999,27,FALSE)),"")</f>
        <v>0</v>
      </c>
      <c r="AC130" s="31"/>
      <c r="AD130" s="184"/>
      <c r="AE130" s="51"/>
      <c r="AF130" s="52"/>
      <c r="AG130" s="41"/>
      <c r="AH130" s="45"/>
      <c r="AI130" s="28"/>
      <c r="AJ130" s="28"/>
      <c r="AK130" s="28"/>
      <c r="AL130" s="28"/>
      <c r="AM130" s="12"/>
      <c r="AN130" s="12"/>
      <c r="AO130" s="12"/>
      <c r="AP130" s="12"/>
      <c r="AQ130" s="12"/>
      <c r="AR130" s="13"/>
      <c r="AS130" s="14"/>
    </row>
    <row r="131" spans="1:45" s="16" customFormat="1" ht="30.95" hidden="1" customHeight="1" x14ac:dyDescent="0.2">
      <c r="A131" s="35"/>
      <c r="B131" s="36"/>
      <c r="C131" s="43"/>
      <c r="D131" s="29"/>
      <c r="E131" s="29"/>
      <c r="F131" s="255" t="str">
        <f>IF(D131="","",VLOOKUP(D131,契約台帳!$A$3:$K$4986,6,FALSE)&amp;VLOOKUP(D131,契約台帳!$A$3:$K$4986,7,FALSE)&amp;VLOOKUP(D131,契約台帳!$A$3:$K$4986,8,FALSE)&amp;VLOOKUP(D131,契約台帳!$A$3:$K$4986,9,FALSE)&amp;VLOOKUP(D131,契約台帳!$A$3:$K$4986,11,FALSE))</f>
        <v/>
      </c>
      <c r="G131" s="256" t="str">
        <f>IF(D131="","",VLOOKUP(F131,製品マスタ!$G$5:$H$4999,2,FALSE))</f>
        <v/>
      </c>
      <c r="H131" s="256" t="str">
        <f>IF(D131="","",VLOOKUP(F131,製品マスタ!$G$5:$K$4999,5,FALSE))</f>
        <v/>
      </c>
      <c r="I131" s="200" t="str">
        <f>IF(D131="","",VLOOKUP(F131,製品マスタ!$G$5:$L$4999,6,FALSE))</f>
        <v/>
      </c>
      <c r="J131" s="203"/>
      <c r="K131" s="200" t="str">
        <f>IF(D131="","",VLOOKUP(D131,契約台帳!$A$3:$L$4986,12,FALSE))</f>
        <v/>
      </c>
      <c r="L131" s="200" t="str">
        <f>IF(D131="","",INDEX(製品マスタ!$Q$5:$Q$4999,MATCH('S4'!F131&amp;'S4'!K131,製品マスタ!$AO$5:$AO$4999,0)))</f>
        <v/>
      </c>
      <c r="M131" s="37"/>
      <c r="N131" s="37"/>
      <c r="O131" s="153"/>
      <c r="P131" s="45"/>
      <c r="Q131" s="54"/>
      <c r="R131" s="257" t="str">
        <f ca="1">IF(D131="","",IF(OFFSET(D131,-1,0)&lt;&gt;"","",IF(OR(J131="リード付け",J131="巻足し",J131="巻返しリード付け"),M131,VLOOKUP(D131,契約台帳!$A$3:$N$4986,14,FALSE))))</f>
        <v/>
      </c>
      <c r="S131" s="258" t="str">
        <f ca="1">IF(D131="","",IF(OFFSET(D131,-1,0)&lt;&gt;"","",IF(OR(J131="リード付け",J131="巻足し",J131="巻返しリード付け"),M131,VLOOKUP(D131,契約台帳!$A$3:$O$4986,15,FALSE))))</f>
        <v/>
      </c>
      <c r="T131" s="258" t="str">
        <f ca="1">IF(D131="","",IF(J131="リード付け",N131,IF(J131="巻返しリード付け",N131,IF(J131="巻足し",N131*P131+OFFSET(N131,1,0)*OFFSET(P131,1,0),VLOOKUP(D131,契約台帳!$A$3:$P$4986,16,FALSE)))))</f>
        <v/>
      </c>
      <c r="U131" s="38"/>
      <c r="V131" s="259" t="str">
        <f ca="1">IF(D131="","",IF(OFFSET(D131,-2,0)=D131,"",VLOOKUP(D131,契約台帳!$A$3:$R$4986,18,FALSE)))</f>
        <v/>
      </c>
      <c r="W131" s="256" t="str">
        <f>IF(D131="","",IF(T131="","",IF(OR(J131="巻足し",J131="巻返しリード付け"),"",IF(J131="巻返し",VLOOKUP(F131&amp;K131&amp;M131,製品マスタ!$M$5:$AD$4999,18,FALSE),IF(OR(J131="リード付け",J131="巻返しリード付け"),"原反コア",IF(J131="スリット",VLOOKUP(F131&amp;K131&amp;R131,製品マスタ!$N$5:$AD$4999,17,FALSE),""))))))</f>
        <v/>
      </c>
      <c r="X131" s="256" t="str">
        <f>IF(D131="","",IF(T131="","",IF(J131="巻足し","",IF(J131="巻返し",VLOOKUP(F131&amp;K131&amp;M131,製品マスタ!$M$5:$AE$4999,19,FALSE),IF(OR(J131="リード付け",J131="巻返しリード付け"),"",IF(J131="スリット",VLOOKUP(F131&amp;K131&amp;R131,製品マスタ!$N$5:$AE$4999,18,FALSE),""))))))</f>
        <v/>
      </c>
      <c r="Y131" s="256" t="str">
        <f>IF(D131="","",IF(T131="","",VLOOKUP(D131,契約台帳!$A$3:$Q$4986,17,FALSE)))</f>
        <v/>
      </c>
      <c r="Z131" s="256" t="str">
        <f>IF(D131="","",IF(T131="","",VLOOKUP(D131,契約台帳!$A$3:$E$4986,5,FALSE)))</f>
        <v/>
      </c>
      <c r="AA131" s="54"/>
      <c r="AB131" s="200" t="str">
        <f>IFERROR((VLOOKUP(F131&amp;K131&amp;M131,製品マスタ!$M$5:$AM$4999,27,FALSE)),"")</f>
        <v/>
      </c>
      <c r="AC131" s="31"/>
      <c r="AD131" s="184"/>
      <c r="AE131" s="51"/>
      <c r="AF131" s="52"/>
      <c r="AG131" s="41"/>
      <c r="AH131" s="45"/>
      <c r="AI131" s="28"/>
      <c r="AJ131" s="28"/>
      <c r="AK131" s="28"/>
      <c r="AL131" s="28"/>
      <c r="AM131" s="12"/>
      <c r="AN131" s="12"/>
      <c r="AO131" s="12"/>
      <c r="AP131" s="12"/>
      <c r="AQ131" s="12"/>
      <c r="AR131" s="13"/>
      <c r="AS131" s="14"/>
    </row>
    <row r="132" spans="1:45" s="16" customFormat="1" ht="30.95" hidden="1" customHeight="1" x14ac:dyDescent="0.2">
      <c r="A132" s="35"/>
      <c r="B132" s="36"/>
      <c r="C132" s="43"/>
      <c r="D132" s="29">
        <v>3694127</v>
      </c>
      <c r="E132" s="29">
        <v>4151263</v>
      </c>
      <c r="F132" s="255" t="str">
        <f>IF(D132="","",VLOOKUP(D132,契約台帳!$A$3:$K$4986,6,FALSE)&amp;VLOOKUP(D132,契約台帳!$A$3:$K$4986,7,FALSE)&amp;VLOOKUP(D132,契約台帳!$A$3:$K$4986,8,FALSE)&amp;VLOOKUP(D132,契約台帳!$A$3:$K$4986,9,FALSE)&amp;VLOOKUP(D132,契約台帳!$A$3:$K$4986,11,FALSE))</f>
        <v>3SYMLBMSNMBF</v>
      </c>
      <c r="G132" s="256" t="str">
        <f>IF(D132="","",VLOOKUP(F132,製品マスタ!$G$5:$H$4999,2,FALSE))</f>
        <v>S</v>
      </c>
      <c r="H132" s="256" t="str">
        <f>IF(D132="","",VLOOKUP(F132,製品マスタ!$G$5:$K$4999,5,FALSE))</f>
        <v>MSNMBF</v>
      </c>
      <c r="I132" s="200" t="str">
        <f>IF(D132="","",VLOOKUP(F132,製品マスタ!$G$5:$L$4999,6,FALSE))</f>
        <v>ＭＥＴＡＬＵＭＹ　ＳＩＬＶＥＲ　Ｎ－ＭＡＴＴＥ　Ｘ４４Ｍ　Ｂ</v>
      </c>
      <c r="J132" s="203" t="s">
        <v>801</v>
      </c>
      <c r="K132" s="200">
        <f>IF(D132="","",VLOOKUP(D132,契約台帳!$A$3:$L$4986,12,FALSE))</f>
        <v>50</v>
      </c>
      <c r="L132" s="200" t="str">
        <f>IF(D132="","",INDEX(製品マスタ!$Q$5:$Q$4999,MATCH('S4'!F132&amp;'S4'!K132,製品マスタ!$AO$5:$AO$4999,0)))</f>
        <v>X44</v>
      </c>
      <c r="M132" s="37">
        <v>1120</v>
      </c>
      <c r="N132" s="37">
        <v>8000</v>
      </c>
      <c r="O132" s="153">
        <v>2</v>
      </c>
      <c r="P132" s="45">
        <v>2</v>
      </c>
      <c r="Q132" s="206">
        <v>44948</v>
      </c>
      <c r="R132" s="257">
        <f ca="1">IF(D132="","",IF(OFFSET(D132,-1,0)&lt;&gt;"","",IF(OR(J132="リード付け",J132="巻足し",J132="巻返しリード付け"),M132,VLOOKUP(D132,契約台帳!$A$3:$N$4986,14,FALSE))))</f>
        <v>1120</v>
      </c>
      <c r="S132" s="258">
        <f ca="1">IF(D132="","",IF(OFFSET(D132,-1,0)&lt;&gt;"","",IF(OR(J132="リード付け",J132="巻足し",J132="巻返しリード付け"),M132,VLOOKUP(D132,契約台帳!$A$3:$O$4986,15,FALSE))))</f>
        <v>1120</v>
      </c>
      <c r="T132" s="258">
        <f ca="1">IF(D132="","",IF(J132="リード付け",N132,IF(J132="巻返しリード付け",N132,IF(J132="巻足し",N132*P132+OFFSET(N132,1,0)*OFFSET(P132,1,0),VLOOKUP(D132,契約台帳!$A$3:$P$4986,16,FALSE)))))</f>
        <v>4000</v>
      </c>
      <c r="U132" s="38">
        <v>4</v>
      </c>
      <c r="V132" s="259">
        <f ca="1">IF(D132="","",IF(OFFSET(D132,-2,0)=D132,"",VLOOKUP(D132,契約台帳!$A$3:$R$4986,18,FALSE)))</f>
        <v>4</v>
      </c>
      <c r="W132" s="256" t="str">
        <f ca="1">IF(D132="","",IF(T132="","",IF(OR(J132="巻足し",J132="巻返しリード付け"),"",IF(J132="巻返し",VLOOKUP(F132&amp;K132&amp;M132,製品マスタ!$M$5:$AD$4999,18,FALSE),IF(OR(J132="リード付け",J132="巻返しリード付け"),"原反コア",IF(J132="スリット",VLOOKUP(F132&amp;K132&amp;R132,製品マスタ!$N$5:$AD$4999,17,FALSE),""))))))</f>
        <v>6ｲﾝﾁMｺｱ</v>
      </c>
      <c r="X132" s="256">
        <f ca="1">IF(D132="","",IF(T132="","",IF(J132="巻足し","",IF(J132="巻返し",VLOOKUP(F132&amp;K132&amp;M132,製品マスタ!$M$5:$AE$4999,19,FALSE),IF(OR(J132="リード付け",J132="巻返しリード付け"),"",IF(J132="スリット",VLOOKUP(F132&amp;K132&amp;R132,製品マスタ!$N$5:$AE$4999,18,FALSE),""))))))</f>
        <v>1125</v>
      </c>
      <c r="Y132" s="256">
        <f ca="1">IF(D132="","",IF(T132="","",VLOOKUP(D132,契約台帳!$A$3:$Q$4986,17,FALSE)))</f>
        <v>2</v>
      </c>
      <c r="Z132" s="256" t="str">
        <f ca="1">IF(D132="","",IF(T132="","",VLOOKUP(D132,契約台帳!$A$3:$E$4986,5,FALSE)))</f>
        <v>リンテック㈱</v>
      </c>
      <c r="AA132" s="54">
        <v>44952</v>
      </c>
      <c r="AB132" s="200" t="s">
        <v>814</v>
      </c>
      <c r="AC132" s="31"/>
      <c r="AD132" s="184"/>
      <c r="AE132" s="51" t="str">
        <f>IF(F132="","",+F132&amp;K132)</f>
        <v>3SYMLBMSNMBF50</v>
      </c>
      <c r="AF132" s="52">
        <f>+M132*N132*O132/1000</f>
        <v>17920</v>
      </c>
      <c r="AG132" s="41"/>
      <c r="AH132" s="45">
        <f>IF(AE132="","",VLOOKUP(AE132,原価マスタ!$A$2:$AJ$1693,13,FALSE))</f>
        <v>98.8</v>
      </c>
      <c r="AI132" s="207">
        <f>IF(AH132="","",+AF132*AH132/100)</f>
        <v>17704.96</v>
      </c>
      <c r="AJ132" s="28"/>
      <c r="AK132" s="28"/>
      <c r="AL132" s="28"/>
      <c r="AM132" s="12"/>
      <c r="AN132" s="12"/>
      <c r="AO132" s="12"/>
      <c r="AP132" s="12"/>
      <c r="AQ132" s="12"/>
      <c r="AR132" s="13"/>
      <c r="AS132" s="14"/>
    </row>
    <row r="133" spans="1:45" s="16" customFormat="1" ht="30.95" hidden="1" customHeight="1" x14ac:dyDescent="0.2">
      <c r="A133" s="35"/>
      <c r="B133" s="36"/>
      <c r="C133" s="43"/>
      <c r="D133" s="29"/>
      <c r="E133" s="29"/>
      <c r="F133" s="255" t="str">
        <f>IF(D133="","",VLOOKUP(D133,契約台帳!$A$3:$K$4986,6,FALSE)&amp;VLOOKUP(D133,契約台帳!$A$3:$K$4986,7,FALSE)&amp;VLOOKUP(D133,契約台帳!$A$3:$K$4986,8,FALSE)&amp;VLOOKUP(D133,契約台帳!$A$3:$K$4986,9,FALSE)&amp;VLOOKUP(D133,契約台帳!$A$3:$K$4986,11,FALSE))</f>
        <v/>
      </c>
      <c r="G133" s="256" t="str">
        <f>IF(D133="","",VLOOKUP(F133,製品マスタ!$G$5:$H$4999,2,FALSE))</f>
        <v/>
      </c>
      <c r="H133" s="256" t="str">
        <f>IF(D133="","",VLOOKUP(F133,製品マスタ!$G$5:$K$4999,5,FALSE))</f>
        <v/>
      </c>
      <c r="I133" s="200" t="str">
        <f>IF(D133="","",VLOOKUP(F133,製品マスタ!$G$5:$L$4999,6,FALSE))</f>
        <v/>
      </c>
      <c r="J133" s="203"/>
      <c r="K133" s="200" t="str">
        <f>IF(D133="","",VLOOKUP(D133,契約台帳!$A$3:$L$4986,12,FALSE))</f>
        <v/>
      </c>
      <c r="L133" s="200" t="str">
        <f>IF(D133="","",INDEX(製品マスタ!$Q$5:$Q$4999,MATCH('S4'!F133&amp;'S4'!K133,製品マスタ!$AO$5:$AO$4999,0)))</f>
        <v/>
      </c>
      <c r="M133" s="37"/>
      <c r="N133" s="37"/>
      <c r="O133" s="153"/>
      <c r="P133" s="45"/>
      <c r="Q133" s="54"/>
      <c r="R133" s="257" t="str">
        <f ca="1">IF(D133="","",IF(OFFSET(D133,-1,0)&lt;&gt;"","",IF(OR(J133="リード付け",J133="巻足し",J133="巻返しリード付け"),M133,VLOOKUP(D133,契約台帳!$A$3:$N$4986,14,FALSE))))</f>
        <v/>
      </c>
      <c r="S133" s="258" t="str">
        <f ca="1">IF(D133="","",IF(OFFSET(D133,-1,0)&lt;&gt;"","",IF(OR(J133="リード付け",J133="巻足し",J133="巻返しリード付け"),M133,VLOOKUP(D133,契約台帳!$A$3:$O$4986,15,FALSE))))</f>
        <v/>
      </c>
      <c r="T133" s="258" t="str">
        <f ca="1">IF(D133="","",IF(J133="リード付け",N133,IF(J133="巻返しリード付け",N133,IF(J133="巻足し",N133*P133+OFFSET(N133,1,0)*OFFSET(P133,1,0),VLOOKUP(D133,契約台帳!$A$3:$P$4986,16,FALSE)))))</f>
        <v/>
      </c>
      <c r="U133" s="38"/>
      <c r="V133" s="259" t="str">
        <f ca="1">IF(D133="","",IF(OFFSET(D133,-2,0)=D133,"",VLOOKUP(D133,契約台帳!$A$3:$R$4986,18,FALSE)))</f>
        <v/>
      </c>
      <c r="W133" s="256" t="str">
        <f>IF(D133="","",IF(T133="","",IF(OR(J133="巻足し",J133="巻返しリード付け"),"",IF(J133="巻返し",VLOOKUP(F133&amp;K133&amp;M133,製品マスタ!$M$5:$AD$4999,18,FALSE),IF(OR(J133="リード付け",J133="巻返しリード付け"),"原反コア",IF(J133="スリット",VLOOKUP(F133&amp;K133&amp;R133,製品マスタ!$N$5:$AD$4999,17,FALSE),""))))))</f>
        <v/>
      </c>
      <c r="X133" s="256" t="str">
        <f>IF(D133="","",IF(T133="","",IF(J133="巻足し","",IF(J133="巻返し",VLOOKUP(F133&amp;K133&amp;M133,製品マスタ!$M$5:$AE$4999,19,FALSE),IF(OR(J133="リード付け",J133="巻返しリード付け"),"",IF(J133="スリット",VLOOKUP(F133&amp;K133&amp;R133,製品マスタ!$N$5:$AE$4999,18,FALSE),""))))))</f>
        <v/>
      </c>
      <c r="Y133" s="256" t="str">
        <f>IF(D133="","",IF(T133="","",VLOOKUP(D133,契約台帳!$A$3:$Q$4986,17,FALSE)))</f>
        <v/>
      </c>
      <c r="Z133" s="256" t="str">
        <f>IF(D133="","",IF(T133="","",VLOOKUP(D133,契約台帳!$A$3:$E$4986,5,FALSE)))</f>
        <v/>
      </c>
      <c r="AA133" s="54"/>
      <c r="AB133" s="200" t="str">
        <f>IFERROR((VLOOKUP(F133&amp;K133&amp;M133,製品マスタ!$M$5:$AM$4999,27,FALSE)),"")</f>
        <v/>
      </c>
      <c r="AC133" s="31"/>
      <c r="AD133" s="184"/>
      <c r="AE133" s="51"/>
      <c r="AF133" s="52"/>
      <c r="AG133" s="41"/>
      <c r="AH133" s="45"/>
      <c r="AI133" s="207"/>
      <c r="AJ133" s="28"/>
      <c r="AK133" s="28"/>
      <c r="AL133" s="28"/>
      <c r="AM133" s="12"/>
      <c r="AN133" s="12"/>
      <c r="AO133" s="12"/>
      <c r="AP133" s="12"/>
      <c r="AQ133" s="12"/>
      <c r="AR133" s="13"/>
      <c r="AS133" s="14"/>
    </row>
    <row r="134" spans="1:45" s="16" customFormat="1" ht="30.95" hidden="1" customHeight="1" x14ac:dyDescent="0.2">
      <c r="A134" s="35"/>
      <c r="B134" s="36"/>
      <c r="C134" s="43"/>
      <c r="D134" s="29">
        <v>3694126</v>
      </c>
      <c r="E134" s="29">
        <v>4151264</v>
      </c>
      <c r="F134" s="255" t="str">
        <f>IF(D134="","",VLOOKUP(D134,契約台帳!$A$3:$K$4986,6,FALSE)&amp;VLOOKUP(D134,契約台帳!$A$3:$K$4986,7,FALSE)&amp;VLOOKUP(D134,契約台帳!$A$3:$K$4986,8,FALSE)&amp;VLOOKUP(D134,契約台帳!$A$3:$K$4986,9,FALSE)&amp;VLOOKUP(D134,契約台帳!$A$3:$K$4986,11,FALSE))</f>
        <v>3SYMLBMSSMBF</v>
      </c>
      <c r="G134" s="256" t="str">
        <f>IF(D134="","",VLOOKUP(F134,製品マスタ!$G$5:$H$4999,2,FALSE))</f>
        <v>S</v>
      </c>
      <c r="H134" s="256" t="str">
        <f>IF(D134="","",VLOOKUP(F134,製品マスタ!$G$5:$K$4999,5,FALSE))</f>
        <v>MSSMBF</v>
      </c>
      <c r="I134" s="200" t="str">
        <f>IF(D134="","",VLOOKUP(F134,製品マスタ!$G$5:$L$4999,6,FALSE))</f>
        <v>ＭＥＴＡＬＵＭＹ　ＳＩＬＶＥＲ　Ｓ－ＭＡＴＴＥ　Ｓ２８ＭＭ　Ｂ</v>
      </c>
      <c r="J134" s="203" t="s">
        <v>801</v>
      </c>
      <c r="K134" s="200">
        <f>IF(D134="","",VLOOKUP(D134,契約台帳!$A$3:$L$4986,12,FALSE))</f>
        <v>50</v>
      </c>
      <c r="L134" s="200" t="str">
        <f>IF(D134="","",INDEX(製品マスタ!$Q$5:$Q$4999,MATCH('S4'!F134&amp;'S4'!K134,製品マスタ!$AO$5:$AO$4999,0)))</f>
        <v>LI-MAT</v>
      </c>
      <c r="M134" s="37">
        <v>1120</v>
      </c>
      <c r="N134" s="37">
        <v>8000</v>
      </c>
      <c r="O134" s="153">
        <v>2</v>
      </c>
      <c r="P134" s="45">
        <v>2</v>
      </c>
      <c r="Q134" s="206">
        <v>44949</v>
      </c>
      <c r="R134" s="257">
        <f ca="1">IF(D134="","",IF(OFFSET(D134,-1,0)&lt;&gt;"","",IF(OR(J134="リード付け",J134="巻足し",J134="巻返しリード付け"),M134,VLOOKUP(D134,契約台帳!$A$3:$N$4986,14,FALSE))))</f>
        <v>1120</v>
      </c>
      <c r="S134" s="258">
        <f ca="1">IF(D134="","",IF(OFFSET(D134,-1,0)&lt;&gt;"","",IF(OR(J134="リード付け",J134="巻足し",J134="巻返しリード付け"),M134,VLOOKUP(D134,契約台帳!$A$3:$O$4986,15,FALSE))))</f>
        <v>1120</v>
      </c>
      <c r="T134" s="258">
        <f ca="1">IF(D134="","",IF(J134="リード付け",N134,IF(J134="巻返しリード付け",N134,IF(J134="巻足し",N134*P134+OFFSET(N134,1,0)*OFFSET(P134,1,0),VLOOKUP(D134,契約台帳!$A$3:$P$4986,16,FALSE)))))</f>
        <v>4000</v>
      </c>
      <c r="U134" s="38">
        <v>4</v>
      </c>
      <c r="V134" s="259">
        <f ca="1">IF(D134="","",IF(OFFSET(D134,-2,0)=D134,"",VLOOKUP(D134,契約台帳!$A$3:$R$4986,18,FALSE)))</f>
        <v>4</v>
      </c>
      <c r="W134" s="256" t="str">
        <f ca="1">IF(D134="","",IF(T134="","",IF(OR(J134="巻足し",J134="巻返しリード付け"),"",IF(J134="巻返し",VLOOKUP(F134&amp;K134&amp;M134,製品マスタ!$M$5:$AD$4999,18,FALSE),IF(OR(J134="リード付け",J134="巻返しリード付け"),"原反コア",IF(J134="スリット",VLOOKUP(F134&amp;K134&amp;R134,製品マスタ!$N$5:$AD$4999,17,FALSE),""))))))</f>
        <v>6ｲﾝﾁSｺｱ</v>
      </c>
      <c r="X134" s="256">
        <f ca="1">IF(D134="","",IF(T134="","",IF(J134="巻足し","",IF(J134="巻返し",VLOOKUP(F134&amp;K134&amp;M134,製品マスタ!$M$5:$AE$4999,19,FALSE),IF(OR(J134="リード付け",J134="巻返しリード付け"),"",IF(J134="スリット",VLOOKUP(F134&amp;K134&amp;R134,製品マスタ!$N$5:$AE$4999,18,FALSE),""))))))</f>
        <v>1125</v>
      </c>
      <c r="Y134" s="256">
        <f ca="1">IF(D134="","",IF(T134="","",VLOOKUP(D134,契約台帳!$A$3:$Q$4986,17,FALSE)))</f>
        <v>2</v>
      </c>
      <c r="Z134" s="256" t="str">
        <f ca="1">IF(D134="","",IF(T134="","",VLOOKUP(D134,契約台帳!$A$3:$E$4986,5,FALSE)))</f>
        <v>リンテック㈱</v>
      </c>
      <c r="AA134" s="54">
        <v>44952</v>
      </c>
      <c r="AB134" s="200" t="s">
        <v>814</v>
      </c>
      <c r="AC134" s="31"/>
      <c r="AD134" s="184"/>
      <c r="AE134" s="51" t="str">
        <f>IF(F134="","",+F134&amp;K134)</f>
        <v>3SYMLBMSSMBF50</v>
      </c>
      <c r="AF134" s="52">
        <f>+M134*N134*O134/1000</f>
        <v>17920</v>
      </c>
      <c r="AG134" s="41"/>
      <c r="AH134" s="45">
        <f>IF(AE134="","",VLOOKUP(AE134,原価マスタ!$A$2:$AJ$1693,13,FALSE))</f>
        <v>98</v>
      </c>
      <c r="AI134" s="207">
        <f>IF(AH134="","",+AF134*AH134/100)</f>
        <v>17561.599999999999</v>
      </c>
      <c r="AJ134" s="28"/>
      <c r="AK134" s="28"/>
      <c r="AL134" s="28"/>
      <c r="AM134" s="12"/>
      <c r="AN134" s="12"/>
      <c r="AO134" s="12"/>
      <c r="AP134" s="12"/>
      <c r="AQ134" s="12"/>
      <c r="AR134" s="13"/>
      <c r="AS134" s="14"/>
    </row>
    <row r="135" spans="1:45" s="16" customFormat="1" ht="30.95" hidden="1" customHeight="1" x14ac:dyDescent="0.2">
      <c r="A135" s="35"/>
      <c r="B135" s="36"/>
      <c r="C135" s="43"/>
      <c r="D135" s="29"/>
      <c r="E135" s="29"/>
      <c r="F135" s="255" t="str">
        <f>IF(D135="","",VLOOKUP(D135,契約台帳!$A$3:$K$4986,6,FALSE)&amp;VLOOKUP(D135,契約台帳!$A$3:$K$4986,7,FALSE)&amp;VLOOKUP(D135,契約台帳!$A$3:$K$4986,8,FALSE)&amp;VLOOKUP(D135,契約台帳!$A$3:$K$4986,9,FALSE)&amp;VLOOKUP(D135,契約台帳!$A$3:$K$4986,11,FALSE))</f>
        <v/>
      </c>
      <c r="G135" s="256" t="str">
        <f>IF(D135="","",VLOOKUP(F135,製品マスタ!$G$5:$H$4999,2,FALSE))</f>
        <v/>
      </c>
      <c r="H135" s="256" t="str">
        <f>IF(D135="","",VLOOKUP(F135,製品マスタ!$G$5:$K$4999,5,FALSE))</f>
        <v/>
      </c>
      <c r="I135" s="200" t="str">
        <f>IF(D135="","",VLOOKUP(F135,製品マスタ!$G$5:$L$4999,6,FALSE))</f>
        <v/>
      </c>
      <c r="J135" s="203"/>
      <c r="K135" s="200" t="str">
        <f>IF(D135="","",VLOOKUP(D135,契約台帳!$A$3:$L$4986,12,FALSE))</f>
        <v/>
      </c>
      <c r="L135" s="200" t="str">
        <f>IF(D135="","",INDEX(製品マスタ!$Q$5:$Q$4999,MATCH('S4'!F135&amp;'S4'!K135,製品マスタ!$AO$5:$AO$4999,0)))</f>
        <v/>
      </c>
      <c r="M135" s="37"/>
      <c r="N135" s="37"/>
      <c r="O135" s="153"/>
      <c r="P135" s="45"/>
      <c r="Q135" s="54"/>
      <c r="R135" s="257" t="str">
        <f ca="1">IF(D135="","",IF(OFFSET(D135,-1,0)&lt;&gt;"","",IF(OR(J135="リード付け",J135="巻足し",J135="巻返しリード付け"),M135,VLOOKUP(D135,契約台帳!$A$3:$N$4986,14,FALSE))))</f>
        <v/>
      </c>
      <c r="S135" s="258" t="str">
        <f ca="1">IF(D135="","",IF(OFFSET(D135,-1,0)&lt;&gt;"","",IF(OR(J135="リード付け",J135="巻足し",J135="巻返しリード付け"),M135,VLOOKUP(D135,契約台帳!$A$3:$O$4986,15,FALSE))))</f>
        <v/>
      </c>
      <c r="T135" s="258" t="str">
        <f ca="1">IF(D135="","",IF(J135="リード付け",N135,IF(J135="巻返しリード付け",N135,IF(J135="巻足し",N135*P135+OFFSET(N135,1,0)*OFFSET(P135,1,0),VLOOKUP(D135,契約台帳!$A$3:$P$4986,16,FALSE)))))</f>
        <v/>
      </c>
      <c r="U135" s="38"/>
      <c r="V135" s="259" t="str">
        <f ca="1">IF(D135="","",IF(OFFSET(D135,-2,0)=D135,"",VLOOKUP(D135,契約台帳!$A$3:$R$4986,18,FALSE)))</f>
        <v/>
      </c>
      <c r="W135" s="256" t="str">
        <f>IF(D135="","",IF(T135="","",IF(OR(J135="巻足し",J135="巻返しリード付け"),"",IF(J135="巻返し",VLOOKUP(F135&amp;K135&amp;M135,製品マスタ!$M$5:$AD$4999,18,FALSE),IF(OR(J135="リード付け",J135="巻返しリード付け"),"原反コア",IF(J135="スリット",VLOOKUP(F135&amp;K135&amp;R135,製品マスタ!$N$5:$AD$4999,17,FALSE),""))))))</f>
        <v/>
      </c>
      <c r="X135" s="256" t="str">
        <f>IF(D135="","",IF(T135="","",IF(J135="巻足し","",IF(J135="巻返し",VLOOKUP(F135&amp;K135&amp;M135,製品マスタ!$M$5:$AE$4999,19,FALSE),IF(OR(J135="リード付け",J135="巻返しリード付け"),"",IF(J135="スリット",VLOOKUP(F135&amp;K135&amp;R135,製品マスタ!$N$5:$AE$4999,18,FALSE),""))))))</f>
        <v/>
      </c>
      <c r="Y135" s="256" t="str">
        <f>IF(D135="","",IF(T135="","",VLOOKUP(D135,契約台帳!$A$3:$Q$4986,17,FALSE)))</f>
        <v/>
      </c>
      <c r="Z135" s="256" t="str">
        <f>IF(D135="","",IF(T135="","",VLOOKUP(D135,契約台帳!$A$3:$E$4986,5,FALSE)))</f>
        <v/>
      </c>
      <c r="AA135" s="54"/>
      <c r="AB135" s="200" t="str">
        <f>IFERROR((VLOOKUP(F135&amp;K135&amp;M135,製品マスタ!$M$5:$AM$4999,27,FALSE)),"")</f>
        <v/>
      </c>
      <c r="AC135" s="31"/>
      <c r="AD135" s="184"/>
      <c r="AE135" s="51"/>
      <c r="AF135" s="52"/>
      <c r="AG135" s="41"/>
      <c r="AH135" s="45"/>
      <c r="AI135" s="207"/>
      <c r="AJ135" s="28"/>
      <c r="AK135" s="28"/>
      <c r="AL135" s="28"/>
      <c r="AM135" s="12"/>
      <c r="AN135" s="12"/>
      <c r="AO135" s="12"/>
      <c r="AP135" s="12"/>
      <c r="AQ135" s="12"/>
      <c r="AR135" s="13"/>
      <c r="AS135" s="14"/>
    </row>
    <row r="136" spans="1:45" s="16" customFormat="1" ht="30.95" hidden="1" customHeight="1" x14ac:dyDescent="0.2">
      <c r="A136" s="35" t="s">
        <v>815</v>
      </c>
      <c r="B136" s="36" t="s">
        <v>816</v>
      </c>
      <c r="C136" s="43"/>
      <c r="D136" s="29">
        <v>3694125</v>
      </c>
      <c r="E136" s="29">
        <v>4151265</v>
      </c>
      <c r="F136" s="255" t="str">
        <f>IF(D136="","",VLOOKUP(D136,契約台帳!$A$3:$K$4986,6,FALSE)&amp;VLOOKUP(D136,契約台帳!$A$3:$K$4986,7,FALSE)&amp;VLOOKUP(D136,契約台帳!$A$3:$K$4986,8,FALSE)&amp;VLOOKUP(D136,契約台帳!$A$3:$K$4986,9,FALSE)&amp;VLOOKUP(D136,契約台帳!$A$3:$K$4986,11,FALSE))</f>
        <v>3SYMLBMSSMBZF</v>
      </c>
      <c r="G136" s="256" t="str">
        <f>IF(D136="","",VLOOKUP(F136,製品マスタ!$G$5:$H$4999,2,FALSE))</f>
        <v>S</v>
      </c>
      <c r="H136" s="256" t="str">
        <f>IF(D136="","",VLOOKUP(F136,製品マスタ!$G$5:$K$4999,5,FALSE))</f>
        <v>MSSMBZF</v>
      </c>
      <c r="I136" s="200" t="str">
        <f>IF(D136="","",VLOOKUP(F136,製品マスタ!$G$5:$L$4999,6,FALSE))</f>
        <v>ＭＥＴＡＬＵＭＹ　ＳＩＬＶＥＲ　Ｓ－ＭＡＴＴＥ　Ｂ</v>
      </c>
      <c r="J136" s="203" t="s">
        <v>801</v>
      </c>
      <c r="K136" s="200">
        <f>IF(D136="","",VLOOKUP(D136,契約台帳!$A$3:$L$4986,12,FALSE))</f>
        <v>50</v>
      </c>
      <c r="L136" s="200" t="str">
        <f>IF(D136="","",INDEX(製品マスタ!$Q$5:$Q$4999,MATCH('S4'!F136&amp;'S4'!K136,製品マスタ!$AO$5:$AO$4999,0)))</f>
        <v>LI-MAT</v>
      </c>
      <c r="M136" s="37">
        <v>1120</v>
      </c>
      <c r="N136" s="37">
        <v>8000</v>
      </c>
      <c r="O136" s="153">
        <v>1</v>
      </c>
      <c r="P136" s="45">
        <v>2</v>
      </c>
      <c r="Q136" s="206">
        <v>44949</v>
      </c>
      <c r="R136" s="257">
        <f ca="1">IF(D136="","",IF(OFFSET(D136,-1,0)&lt;&gt;"","",IF(OR(J136="リード付け",J136="巻足し",J136="巻返しリード付け"),M136,VLOOKUP(D136,契約台帳!$A$3:$N$4986,14,FALSE))))</f>
        <v>1120</v>
      </c>
      <c r="S136" s="258">
        <f ca="1">IF(D136="","",IF(OFFSET(D136,-1,0)&lt;&gt;"","",IF(OR(J136="リード付け",J136="巻足し",J136="巻返しリード付け"),M136,VLOOKUP(D136,契約台帳!$A$3:$O$4986,15,FALSE))))</f>
        <v>1120</v>
      </c>
      <c r="T136" s="258">
        <f ca="1">IF(D136="","",IF(J136="リード付け",N136,IF(J136="巻返しリード付け",N136,IF(J136="巻足し",N136*P136+OFFSET(N136,1,0)*OFFSET(P136,1,0),VLOOKUP(D136,契約台帳!$A$3:$P$4986,16,FALSE)))))</f>
        <v>4000</v>
      </c>
      <c r="U136" s="38">
        <v>2</v>
      </c>
      <c r="V136" s="259">
        <f ca="1">IF(D136="","",IF(OFFSET(D136,-2,0)=D136,"",VLOOKUP(D136,契約台帳!$A$3:$R$4986,18,FALSE)))</f>
        <v>2</v>
      </c>
      <c r="W136" s="256" t="str">
        <f ca="1">IF(D136="","",IF(T136="","",IF(OR(J136="巻足し",J136="巻返しリード付け"),"",IF(J136="巻返し",VLOOKUP(F136&amp;K136&amp;M136,製品マスタ!$M$5:$AD$4999,18,FALSE),IF(OR(J136="リード付け",J136="巻返しリード付け"),"原反コア",IF(J136="スリット",VLOOKUP(F136&amp;K136&amp;R136,製品マスタ!$N$5:$AD$4999,17,FALSE),""))))))</f>
        <v>6ｲﾝﾁSｺｱ</v>
      </c>
      <c r="X136" s="256">
        <f ca="1">IF(D136="","",IF(T136="","",IF(J136="巻足し","",IF(J136="巻返し",VLOOKUP(F136&amp;K136&amp;M136,製品マスタ!$M$5:$AE$4999,19,FALSE),IF(OR(J136="リード付け",J136="巻返しリード付け"),"",IF(J136="スリット",VLOOKUP(F136&amp;K136&amp;R136,製品マスタ!$N$5:$AE$4999,18,FALSE),""))))))</f>
        <v>1125</v>
      </c>
      <c r="Y136" s="256">
        <f ca="1">IF(D136="","",IF(T136="","",VLOOKUP(D136,契約台帳!$A$3:$Q$4986,17,FALSE)))</f>
        <v>2</v>
      </c>
      <c r="Z136" s="256" t="str">
        <f ca="1">IF(D136="","",IF(T136="","",VLOOKUP(D136,契約台帳!$A$3:$E$4986,5,FALSE)))</f>
        <v>リンテック㈱</v>
      </c>
      <c r="AA136" s="54">
        <v>44953</v>
      </c>
      <c r="AB136" s="200" t="s">
        <v>814</v>
      </c>
      <c r="AC136" s="31"/>
      <c r="AD136" s="184"/>
      <c r="AE136" s="51" t="s">
        <v>825</v>
      </c>
      <c r="AF136" s="52">
        <f>+M136*N136*O136/1000</f>
        <v>8960</v>
      </c>
      <c r="AG136" s="41"/>
      <c r="AH136" s="45">
        <f>IF(AE136="","",VLOOKUP(AE136,原価マスタ!$A$2:$AJ$1693,13,FALSE))</f>
        <v>98.8</v>
      </c>
      <c r="AI136" s="207">
        <f>IF(AH136="","",+AF136*AH136/100)</f>
        <v>8852.48</v>
      </c>
      <c r="AJ136" s="28"/>
      <c r="AK136" s="28"/>
      <c r="AL136" s="28"/>
      <c r="AM136" s="12"/>
      <c r="AN136" s="12"/>
      <c r="AO136" s="12"/>
      <c r="AP136" s="12"/>
      <c r="AQ136" s="12"/>
      <c r="AR136" s="13"/>
      <c r="AS136" s="14"/>
    </row>
    <row r="137" spans="1:45" s="16" customFormat="1" ht="30.95" hidden="1" customHeight="1" x14ac:dyDescent="0.2">
      <c r="A137" s="35"/>
      <c r="B137" s="36"/>
      <c r="C137" s="43"/>
      <c r="D137" s="29"/>
      <c r="E137" s="29"/>
      <c r="F137" s="255" t="str">
        <f>IF(D137="","",VLOOKUP(D137,契約台帳!$A$3:$K$4986,6,FALSE)&amp;VLOOKUP(D137,契約台帳!$A$3:$K$4986,7,FALSE)&amp;VLOOKUP(D137,契約台帳!$A$3:$K$4986,8,FALSE)&amp;VLOOKUP(D137,契約台帳!$A$3:$K$4986,9,FALSE)&amp;VLOOKUP(D137,契約台帳!$A$3:$K$4986,11,FALSE))</f>
        <v/>
      </c>
      <c r="G137" s="256" t="str">
        <f>IF(D137="","",VLOOKUP(F137,製品マスタ!$G$5:$H$4999,2,FALSE))</f>
        <v/>
      </c>
      <c r="H137" s="256" t="str">
        <f>IF(D137="","",VLOOKUP(F137,製品マスタ!$G$5:$K$4999,5,FALSE))</f>
        <v/>
      </c>
      <c r="I137" s="200" t="str">
        <f>IF(D137="","",VLOOKUP(F137,製品マスタ!$G$5:$L$4999,6,FALSE))</f>
        <v/>
      </c>
      <c r="J137" s="203"/>
      <c r="K137" s="200" t="str">
        <f>IF(D137="","",VLOOKUP(D137,契約台帳!$A$3:$L$4986,12,FALSE))</f>
        <v/>
      </c>
      <c r="L137" s="200" t="str">
        <f>IF(D137="","",INDEX(製品マスタ!$Q$5:$Q$4999,MATCH('S4'!F137&amp;'S4'!K137,製品マスタ!$AO$5:$AO$4999,0)))</f>
        <v/>
      </c>
      <c r="M137" s="37"/>
      <c r="N137" s="37"/>
      <c r="O137" s="153"/>
      <c r="P137" s="45"/>
      <c r="Q137" s="54"/>
      <c r="R137" s="257" t="str">
        <f ca="1">IF(D137="","",IF(OFFSET(D137,-1,0)&lt;&gt;"","",IF(OR(J137="リード付け",J137="巻足し",J137="巻返しリード付け"),M137,VLOOKUP(D137,契約台帳!$A$3:$N$4986,14,FALSE))))</f>
        <v/>
      </c>
      <c r="S137" s="258" t="str">
        <f ca="1">IF(D137="","",IF(OFFSET(D137,-1,0)&lt;&gt;"","",IF(OR(J137="リード付け",J137="巻足し",J137="巻返しリード付け"),M137,VLOOKUP(D137,契約台帳!$A$3:$O$4986,15,FALSE))))</f>
        <v/>
      </c>
      <c r="T137" s="258" t="str">
        <f ca="1">IF(D137="","",IF(J137="リード付け",N137,IF(J137="巻返しリード付け",N137,IF(J137="巻足し",N137*P137+OFFSET(N137,1,0)*OFFSET(P137,1,0),VLOOKUP(D137,契約台帳!$A$3:$P$4986,16,FALSE)))))</f>
        <v/>
      </c>
      <c r="U137" s="38"/>
      <c r="V137" s="259" t="str">
        <f ca="1">IF(D137="","",IF(OFFSET(D137,-2,0)=D137,"",VLOOKUP(D137,契約台帳!$A$3:$R$4986,18,FALSE)))</f>
        <v/>
      </c>
      <c r="W137" s="256" t="str">
        <f>IF(D137="","",IF(T137="","",IF(OR(J137="巻足し",J137="巻返しリード付け"),"",IF(J137="巻返し",VLOOKUP(F137&amp;K137&amp;M137,製品マスタ!$M$5:$AD$4999,18,FALSE),IF(OR(J137="リード付け",J137="巻返しリード付け"),"原反コア",IF(J137="スリット",VLOOKUP(F137&amp;K137&amp;R137,製品マスタ!$N$5:$AD$4999,17,FALSE),""))))))</f>
        <v/>
      </c>
      <c r="X137" s="256" t="str">
        <f>IF(D137="","",IF(T137="","",IF(J137="巻足し","",IF(J137="巻返し",VLOOKUP(F137&amp;K137&amp;M137,製品マスタ!$M$5:$AE$4999,19,FALSE),IF(OR(J137="リード付け",J137="巻返しリード付け"),"",IF(J137="スリット",VLOOKUP(F137&amp;K137&amp;R137,製品マスタ!$N$5:$AE$4999,18,FALSE),""))))))</f>
        <v/>
      </c>
      <c r="Y137" s="256" t="str">
        <f>IF(D137="","",IF(T137="","",VLOOKUP(D137,契約台帳!$A$3:$Q$4986,17,FALSE)))</f>
        <v/>
      </c>
      <c r="Z137" s="256" t="str">
        <f>IF(D137="","",IF(T137="","",VLOOKUP(D137,契約台帳!$A$3:$E$4986,5,FALSE)))</f>
        <v/>
      </c>
      <c r="AA137" s="54"/>
      <c r="AB137" s="200" t="str">
        <f>IFERROR((VLOOKUP(F137&amp;K137&amp;M137,製品マスタ!$M$5:$AM$4999,27,FALSE)),"")</f>
        <v/>
      </c>
      <c r="AC137" s="31"/>
      <c r="AD137" s="184"/>
      <c r="AE137" s="51"/>
      <c r="AF137" s="52"/>
      <c r="AG137" s="41"/>
      <c r="AH137" s="45"/>
      <c r="AI137" s="28"/>
      <c r="AJ137" s="28"/>
      <c r="AK137" s="28"/>
      <c r="AL137" s="28"/>
      <c r="AM137" s="12"/>
      <c r="AN137" s="12"/>
      <c r="AO137" s="12"/>
      <c r="AP137" s="12"/>
      <c r="AQ137" s="12"/>
      <c r="AR137" s="13"/>
      <c r="AS137" s="14"/>
    </row>
    <row r="138" spans="1:45" s="225" customFormat="1" ht="30.95" hidden="1" customHeight="1" x14ac:dyDescent="0.2">
      <c r="A138" s="209"/>
      <c r="B138" s="210"/>
      <c r="C138" s="262"/>
      <c r="D138" s="211"/>
      <c r="E138" s="211"/>
      <c r="F138" s="263"/>
      <c r="G138" s="264"/>
      <c r="H138" s="264"/>
      <c r="I138" s="265"/>
      <c r="J138" s="268"/>
      <c r="K138" s="265"/>
      <c r="L138" s="265"/>
      <c r="M138" s="213"/>
      <c r="N138" s="213"/>
      <c r="O138" s="269"/>
      <c r="P138" s="214"/>
      <c r="Q138" s="206"/>
      <c r="R138" s="270"/>
      <c r="S138" s="271"/>
      <c r="T138" s="271"/>
      <c r="U138" s="216"/>
      <c r="V138" s="272"/>
      <c r="W138" s="264"/>
      <c r="X138" s="264"/>
      <c r="Y138" s="264"/>
      <c r="Z138" s="264"/>
      <c r="AA138" s="206"/>
      <c r="AB138" s="265"/>
      <c r="AC138" s="217"/>
      <c r="AD138" s="218"/>
      <c r="AE138" s="219"/>
      <c r="AF138" s="220"/>
      <c r="AG138" s="215"/>
      <c r="AH138" s="214"/>
      <c r="AI138" s="273">
        <f>SUM(AI132:AI136)</f>
        <v>44119.039999999994</v>
      </c>
      <c r="AJ138" s="221"/>
      <c r="AK138" s="221"/>
      <c r="AL138" s="221"/>
      <c r="AM138" s="222"/>
      <c r="AN138" s="222"/>
      <c r="AO138" s="222"/>
      <c r="AP138" s="222"/>
      <c r="AQ138" s="222"/>
      <c r="AR138" s="223"/>
      <c r="AS138" s="224"/>
    </row>
    <row r="139" spans="1:45" s="16" customFormat="1" ht="30.95" hidden="1" customHeight="1" x14ac:dyDescent="0.2">
      <c r="A139" s="35"/>
      <c r="B139" s="36"/>
      <c r="C139" s="43"/>
      <c r="D139" s="29"/>
      <c r="E139" s="29"/>
      <c r="F139" s="255"/>
      <c r="G139" s="256"/>
      <c r="H139" s="256"/>
      <c r="I139" s="200"/>
      <c r="J139" s="203"/>
      <c r="K139" s="200"/>
      <c r="L139" s="200"/>
      <c r="M139" s="37"/>
      <c r="N139" s="37"/>
      <c r="O139" s="153"/>
      <c r="P139" s="45"/>
      <c r="Q139" s="54"/>
      <c r="R139" s="257"/>
      <c r="S139" s="258"/>
      <c r="T139" s="258"/>
      <c r="U139" s="38"/>
      <c r="V139" s="259"/>
      <c r="W139" s="256"/>
      <c r="X139" s="256"/>
      <c r="Y139" s="256"/>
      <c r="Z139" s="256"/>
      <c r="AA139" s="54"/>
      <c r="AB139" s="200"/>
      <c r="AC139" s="31"/>
      <c r="AD139" s="184"/>
      <c r="AE139" s="51"/>
      <c r="AF139" s="52"/>
      <c r="AG139" s="41"/>
      <c r="AH139" s="45"/>
      <c r="AI139" s="28"/>
      <c r="AJ139" s="28"/>
      <c r="AK139" s="28"/>
      <c r="AL139" s="28"/>
      <c r="AM139" s="12"/>
      <c r="AN139" s="12"/>
      <c r="AO139" s="12"/>
      <c r="AP139" s="12"/>
      <c r="AQ139" s="12"/>
      <c r="AR139" s="13"/>
      <c r="AS139" s="14"/>
    </row>
    <row r="140" spans="1:45" s="16" customFormat="1" ht="30.95" hidden="1" customHeight="1" x14ac:dyDescent="0.2">
      <c r="A140" s="35"/>
      <c r="B140" s="36"/>
      <c r="C140" s="43"/>
      <c r="D140" s="29">
        <v>3694104</v>
      </c>
      <c r="E140" s="29">
        <v>4151257</v>
      </c>
      <c r="F140" s="255" t="str">
        <f>IF(D140="","",VLOOKUP(D140,契約台帳!$A$3:$K$4986,6,FALSE)&amp;VLOOKUP(D140,契約台帳!$A$3:$K$4986,7,FALSE)&amp;VLOOKUP(D140,契約台帳!$A$3:$K$4986,8,FALSE)&amp;VLOOKUP(D140,契約台帳!$A$3:$K$4986,9,FALSE)&amp;VLOOKUP(D140,契約台帳!$A$3:$K$4986,11,FALSE))</f>
        <v>3SNMLBMNGKKBF</v>
      </c>
      <c r="G140" s="256" t="str">
        <f>IF(D140="","",VLOOKUP(F140,製品マスタ!$G$5:$H$4999,2,FALSE))</f>
        <v>S</v>
      </c>
      <c r="H140" s="256" t="str">
        <f>IF(D140="","",VLOOKUP(F140,製品マスタ!$G$5:$K$4999,5,FALSE))</f>
        <v>MNGKKBF</v>
      </c>
      <c r="I140" s="200" t="str">
        <f>IF(D140="","",VLOOKUP(F140,製品マスタ!$G$5:$L$4999,6,FALSE))</f>
        <v>メタルミー　ネーマー銀消改　Ｂ</v>
      </c>
      <c r="J140" s="203" t="s">
        <v>801</v>
      </c>
      <c r="K140" s="200">
        <f>IF(D140="","",VLOOKUP(D140,契約台帳!$A$3:$L$4986,12,FALSE))</f>
        <v>50</v>
      </c>
      <c r="L140" s="200" t="str">
        <f>IF(D140="","",INDEX(製品マスタ!$Q$5:$Q$4999,MATCH('S4'!F140&amp;'S4'!K140,製品マスタ!$AO$5:$AO$4999,0)))</f>
        <v>S99-MAT</v>
      </c>
      <c r="M140" s="37">
        <v>1120</v>
      </c>
      <c r="N140" s="37">
        <v>12000</v>
      </c>
      <c r="O140" s="153">
        <v>4</v>
      </c>
      <c r="P140" s="45">
        <v>3</v>
      </c>
      <c r="Q140" s="206">
        <v>44949</v>
      </c>
      <c r="R140" s="257">
        <f ca="1">IF(D140="","",IF(OFFSET(D140,-1,0)&lt;&gt;"","",IF(OR(J140="リード付け",J140="巻足し",J140="巻返しリード付け"),M140,VLOOKUP(D140,契約台帳!$A$3:$N$4986,14,FALSE))))</f>
        <v>1120</v>
      </c>
      <c r="S140" s="258">
        <f ca="1">IF(D140="","",IF(OFFSET(D140,-1,0)&lt;&gt;"","",IF(OR(J140="リード付け",J140="巻足し",J140="巻返しリード付け"),M140,VLOOKUP(D140,契約台帳!$A$3:$O$4986,15,FALSE))))</f>
        <v>1120</v>
      </c>
      <c r="T140" s="258">
        <f ca="1">IF(D140="","",IF(J140="リード付け",N140,IF(J140="巻返しリード付け",N140,IF(J140="巻足し",N140*P140+OFFSET(N140,1,0)*OFFSET(P140,1,0),VLOOKUP(D140,契約台帳!$A$3:$P$4986,16,FALSE)))))</f>
        <v>4000</v>
      </c>
      <c r="U140" s="38">
        <v>12</v>
      </c>
      <c r="V140" s="259">
        <f ca="1">IF(D140="","",IF(OFFSET(D140,-2,0)=D140,"",VLOOKUP(D140,契約台帳!$A$3:$R$4986,18,FALSE)))</f>
        <v>24</v>
      </c>
      <c r="W140" s="256" t="str">
        <f ca="1">IF(D140="","",IF(T140="","",IF(OR(J140="巻足し",J140="巻返しリード付け"),"",IF(J140="巻返し",VLOOKUP(F140&amp;K140&amp;M140,製品マスタ!$M$5:$AD$4999,18,FALSE),IF(OR(J140="リード付け",J140="巻返しリード付け"),"原反コア",IF(J140="スリット",VLOOKUP(F140&amp;K140&amp;R140,製品マスタ!$N$5:$AD$4999,17,FALSE),""))))))</f>
        <v>6ｲﾝﾁSｺｱ</v>
      </c>
      <c r="X140" s="256">
        <f ca="1">IF(D140="","",IF(T140="","",IF(J140="巻足し","",IF(J140="巻返し",VLOOKUP(F140&amp;K140&amp;M140,製品マスタ!$M$5:$AE$4999,19,FALSE),IF(OR(J140="リード付け",J140="巻返しリード付け"),"",IF(J140="スリット",VLOOKUP(F140&amp;K140&amp;R140,製品マスタ!$N$5:$AE$4999,18,FALSE),""))))))</f>
        <v>1125</v>
      </c>
      <c r="Y140" s="256">
        <f ca="1">IF(D140="","",IF(T140="","",VLOOKUP(D140,契約台帳!$A$3:$Q$4986,17,FALSE)))</f>
        <v>2</v>
      </c>
      <c r="Z140" s="256" t="str">
        <f ca="1">IF(D140="","",IF(T140="","",VLOOKUP(D140,契約台帳!$A$3:$E$4986,5,FALSE)))</f>
        <v>リンテック㈱</v>
      </c>
      <c r="AA140" s="54"/>
      <c r="AB140" s="200" t="s">
        <v>814</v>
      </c>
      <c r="AC140" s="31"/>
      <c r="AD140" s="184"/>
      <c r="AE140" s="51" t="str">
        <f>IF(F140="","",+F140&amp;K140)</f>
        <v>3SNMLBMNGKKBF50</v>
      </c>
      <c r="AF140" s="52">
        <f>+M140*N140*O140/1000</f>
        <v>53760</v>
      </c>
      <c r="AG140" s="41"/>
      <c r="AH140" s="45">
        <f>IF(AE140="","",VLOOKUP(AE140,原価マスタ!$A$2:$AJ$1693,13,FALSE))</f>
        <v>99</v>
      </c>
      <c r="AI140" s="207">
        <f>IF(AH140="","",+AF140*AH140/100)</f>
        <v>53222.400000000001</v>
      </c>
      <c r="AJ140" s="28"/>
      <c r="AK140" s="28"/>
      <c r="AL140" s="28"/>
      <c r="AM140" s="12"/>
      <c r="AN140" s="12"/>
      <c r="AO140" s="12"/>
      <c r="AP140" s="12"/>
      <c r="AQ140" s="12"/>
      <c r="AR140" s="13"/>
      <c r="AS140" s="14"/>
    </row>
    <row r="141" spans="1:45" s="16" customFormat="1" ht="30.95" hidden="1" customHeight="1" x14ac:dyDescent="0.2">
      <c r="A141" s="35"/>
      <c r="B141" s="36"/>
      <c r="C141" s="43"/>
      <c r="D141" s="29"/>
      <c r="E141" s="29"/>
      <c r="F141" s="255" t="str">
        <f>IF(D141="","",VLOOKUP(D141,契約台帳!$A$3:$K$4986,6,FALSE)&amp;VLOOKUP(D141,契約台帳!$A$3:$K$4986,7,FALSE)&amp;VLOOKUP(D141,契約台帳!$A$3:$K$4986,8,FALSE)&amp;VLOOKUP(D141,契約台帳!$A$3:$K$4986,9,FALSE)&amp;VLOOKUP(D141,契約台帳!$A$3:$K$4986,11,FALSE))</f>
        <v/>
      </c>
      <c r="G141" s="256" t="str">
        <f>IF(D141="","",VLOOKUP(F141,製品マスタ!$G$5:$H$4999,2,FALSE))</f>
        <v/>
      </c>
      <c r="H141" s="256" t="str">
        <f>IF(D141="","",VLOOKUP(F141,製品マスタ!$G$5:$K$4999,5,FALSE))</f>
        <v/>
      </c>
      <c r="I141" s="200" t="str">
        <f>IF(D141="","",VLOOKUP(F141,製品マスタ!$G$5:$L$4999,6,FALSE))</f>
        <v/>
      </c>
      <c r="J141" s="203"/>
      <c r="K141" s="200" t="str">
        <f>IF(D141="","",VLOOKUP(D141,契約台帳!$A$3:$L$4986,12,FALSE))</f>
        <v/>
      </c>
      <c r="L141" s="200" t="str">
        <f>IF(D141="","",INDEX(製品マスタ!$Q$5:$Q$4999,MATCH('S4'!F141&amp;'S4'!K141,製品マスタ!$AO$5:$AO$4999,0)))</f>
        <v/>
      </c>
      <c r="M141" s="37"/>
      <c r="N141" s="37"/>
      <c r="O141" s="153"/>
      <c r="P141" s="45"/>
      <c r="Q141" s="54"/>
      <c r="R141" s="257" t="str">
        <f ca="1">IF(D141="","",IF(OFFSET(D141,-1,0)&lt;&gt;"","",IF(OR(J141="リード付け",J141="巻足し",J141="巻返しリード付け"),M141,VLOOKUP(D141,契約台帳!$A$3:$N$4986,14,FALSE))))</f>
        <v/>
      </c>
      <c r="S141" s="258" t="str">
        <f ca="1">IF(D141="","",IF(OFFSET(D141,-1,0)&lt;&gt;"","",IF(OR(J141="リード付け",J141="巻足し",J141="巻返しリード付け"),M141,VLOOKUP(D141,契約台帳!$A$3:$O$4986,15,FALSE))))</f>
        <v/>
      </c>
      <c r="T141" s="258" t="str">
        <f ca="1">IF(D141="","",IF(J141="リード付け",N141,IF(J141="巻返しリード付け",N141,IF(J141="巻足し",N141*P141+OFFSET(N141,1,0)*OFFSET(P141,1,0),VLOOKUP(D141,契約台帳!$A$3:$P$4986,16,FALSE)))))</f>
        <v/>
      </c>
      <c r="U141" s="38"/>
      <c r="V141" s="259" t="str">
        <f ca="1">IF(D141="","",IF(OFFSET(D141,-2,0)=D141,"",VLOOKUP(D141,契約台帳!$A$3:$R$4986,18,FALSE)))</f>
        <v/>
      </c>
      <c r="W141" s="256" t="str">
        <f>IF(D141="","",IF(T141="","",IF(OR(J141="巻足し",J141="巻返しリード付け"),"",IF(J141="巻返し",VLOOKUP(F141&amp;K141&amp;M141,製品マスタ!$M$5:$AD$4999,18,FALSE),IF(OR(J141="リード付け",J141="巻返しリード付け"),"原反コア",IF(J141="スリット",VLOOKUP(F141&amp;K141&amp;R141,製品マスタ!$N$5:$AD$4999,17,FALSE),""))))))</f>
        <v/>
      </c>
      <c r="X141" s="256" t="str">
        <f>IF(D141="","",IF(T141="","",IF(J141="巻足し","",IF(J141="巻返し",VLOOKUP(F141&amp;K141&amp;M141,製品マスタ!$M$5:$AE$4999,19,FALSE),IF(OR(J141="リード付け",J141="巻返しリード付け"),"",IF(J141="スリット",VLOOKUP(F141&amp;K141&amp;R141,製品マスタ!$N$5:$AE$4999,18,FALSE),""))))))</f>
        <v/>
      </c>
      <c r="Y141" s="256" t="str">
        <f>IF(D141="","",IF(T141="","",VLOOKUP(D141,契約台帳!$A$3:$Q$4986,17,FALSE)))</f>
        <v/>
      </c>
      <c r="Z141" s="256" t="str">
        <f>IF(D141="","",IF(T141="","",VLOOKUP(D141,契約台帳!$A$3:$E$4986,5,FALSE)))</f>
        <v/>
      </c>
      <c r="AA141" s="54"/>
      <c r="AB141" s="200" t="str">
        <f>IFERROR((VLOOKUP(F141&amp;K141&amp;M141,製品マスタ!$M$5:$AM$4999,27,FALSE)),"")</f>
        <v/>
      </c>
      <c r="AC141" s="31"/>
      <c r="AD141" s="184"/>
      <c r="AE141" s="51"/>
      <c r="AF141" s="52"/>
      <c r="AG141" s="41"/>
      <c r="AH141" s="45"/>
      <c r="AI141" s="207"/>
      <c r="AJ141" s="28"/>
      <c r="AK141" s="28"/>
      <c r="AL141" s="28"/>
      <c r="AM141" s="12"/>
      <c r="AN141" s="12"/>
      <c r="AO141" s="12"/>
      <c r="AP141" s="12"/>
      <c r="AQ141" s="12"/>
      <c r="AR141" s="13"/>
      <c r="AS141" s="14"/>
    </row>
    <row r="142" spans="1:45" s="16" customFormat="1" ht="30.95" hidden="1" customHeight="1" x14ac:dyDescent="0.2">
      <c r="A142" s="35" t="s">
        <v>817</v>
      </c>
      <c r="B142" s="36" t="s">
        <v>803</v>
      </c>
      <c r="C142" s="43"/>
      <c r="D142" s="29">
        <v>3694104</v>
      </c>
      <c r="E142" s="29">
        <v>4151257</v>
      </c>
      <c r="F142" s="255" t="str">
        <f>IF(D142="","",VLOOKUP(D142,契約台帳!$A$3:$K$4986,6,FALSE)&amp;VLOOKUP(D142,契約台帳!$A$3:$K$4986,7,FALSE)&amp;VLOOKUP(D142,契約台帳!$A$3:$K$4986,8,FALSE)&amp;VLOOKUP(D142,契約台帳!$A$3:$K$4986,9,FALSE)&amp;VLOOKUP(D142,契約台帳!$A$3:$K$4986,11,FALSE))</f>
        <v>3SNMLBMNGKKBF</v>
      </c>
      <c r="G142" s="256" t="str">
        <f>IF(D142="","",VLOOKUP(F142,製品マスタ!$G$5:$H$4999,2,FALSE))</f>
        <v>S</v>
      </c>
      <c r="H142" s="256" t="str">
        <f>IF(D142="","",VLOOKUP(F142,製品マスタ!$G$5:$K$4999,5,FALSE))</f>
        <v>MNGKKBF</v>
      </c>
      <c r="I142" s="200" t="str">
        <f>IF(D142="","",VLOOKUP(F142,製品マスタ!$G$5:$L$4999,6,FALSE))</f>
        <v>メタルミー　ネーマー銀消改　Ｂ</v>
      </c>
      <c r="J142" s="203" t="s">
        <v>801</v>
      </c>
      <c r="K142" s="200">
        <f>IF(D142="","",VLOOKUP(D142,契約台帳!$A$3:$L$4986,12,FALSE))</f>
        <v>50</v>
      </c>
      <c r="L142" s="200" t="str">
        <f>IF(D142="","",INDEX(製品マスタ!$Q$5:$Q$4999,MATCH('S4'!F142&amp;'S4'!K142,製品マスタ!$AO$5:$AO$4999,0)))</f>
        <v>S99-MAT</v>
      </c>
      <c r="M142" s="37">
        <v>1120</v>
      </c>
      <c r="N142" s="37">
        <v>12000</v>
      </c>
      <c r="O142" s="153">
        <v>4</v>
      </c>
      <c r="P142" s="45">
        <v>3</v>
      </c>
      <c r="Q142" s="206">
        <v>44949</v>
      </c>
      <c r="R142" s="257">
        <f ca="1">IF(D142="","",IF(OFFSET(D142,-1,0)&lt;&gt;"","",IF(OR(J142="リード付け",J142="巻足し",J142="巻返しリード付け"),M142,VLOOKUP(D142,契約台帳!$A$3:$N$4986,14,FALSE))))</f>
        <v>1120</v>
      </c>
      <c r="S142" s="258">
        <f ca="1">IF(D142="","",IF(OFFSET(D142,-1,0)&lt;&gt;"","",IF(OR(J142="リード付け",J142="巻足し",J142="巻返しリード付け"),M142,VLOOKUP(D142,契約台帳!$A$3:$O$4986,15,FALSE))))</f>
        <v>1120</v>
      </c>
      <c r="T142" s="258">
        <f ca="1">IF(D142="","",IF(J142="リード付け",N142,IF(J142="巻返しリード付け",N142,IF(J142="巻足し",N142*P142+OFFSET(N142,1,0)*OFFSET(P142,1,0),VLOOKUP(D142,契約台帳!$A$3:$P$4986,16,FALSE)))))</f>
        <v>4000</v>
      </c>
      <c r="U142" s="38">
        <v>12</v>
      </c>
      <c r="V142" s="259" t="str">
        <f ca="1">IF(D142="","",IF(OFFSET(D142,-2,0)=D142,"",VLOOKUP(D142,契約台帳!$A$3:$R$4986,18,FALSE)))</f>
        <v/>
      </c>
      <c r="W142" s="256" t="str">
        <f ca="1">IF(D142="","",IF(T142="","",IF(OR(J142="巻足し",J142="巻返しリード付け"),"",IF(J142="巻返し",VLOOKUP(F142&amp;K142&amp;M142,製品マスタ!$M$5:$AD$4999,18,FALSE),IF(OR(J142="リード付け",J142="巻返しリード付け"),"原反コア",IF(J142="スリット",VLOOKUP(F142&amp;K142&amp;R142,製品マスタ!$N$5:$AD$4999,17,FALSE),""))))))</f>
        <v>6ｲﾝﾁSｺｱ</v>
      </c>
      <c r="X142" s="256">
        <f ca="1">IF(D142="","",IF(T142="","",IF(J142="巻足し","",IF(J142="巻返し",VLOOKUP(F142&amp;K142&amp;M142,製品マスタ!$M$5:$AE$4999,19,FALSE),IF(OR(J142="リード付け",J142="巻返しリード付け"),"",IF(J142="スリット",VLOOKUP(F142&amp;K142&amp;R142,製品マスタ!$N$5:$AE$4999,18,FALSE),""))))))</f>
        <v>1125</v>
      </c>
      <c r="Y142" s="256">
        <f ca="1">IF(D142="","",IF(T142="","",VLOOKUP(D142,契約台帳!$A$3:$Q$4986,17,FALSE)))</f>
        <v>2</v>
      </c>
      <c r="Z142" s="256" t="str">
        <f ca="1">IF(D142="","",IF(T142="","",VLOOKUP(D142,契約台帳!$A$3:$E$4986,5,FALSE)))</f>
        <v>リンテック㈱</v>
      </c>
      <c r="AA142" s="54"/>
      <c r="AB142" s="200" t="s">
        <v>814</v>
      </c>
      <c r="AC142" s="31"/>
      <c r="AD142" s="184"/>
      <c r="AE142" s="51" t="str">
        <f>IF(F142="","",+F142&amp;K142)</f>
        <v>3SNMLBMNGKKBF50</v>
      </c>
      <c r="AF142" s="52">
        <f>+M142*N142*O142/1000</f>
        <v>53760</v>
      </c>
      <c r="AG142" s="41"/>
      <c r="AH142" s="45">
        <f>IF(AE142="","",VLOOKUP(AE142,原価マスタ!$A$2:$AJ$1693,13,FALSE))</f>
        <v>99</v>
      </c>
      <c r="AI142" s="207">
        <f>IF(AH142="","",+AF142*AH142/100)</f>
        <v>53222.400000000001</v>
      </c>
      <c r="AJ142" s="28"/>
      <c r="AK142" s="28"/>
      <c r="AL142" s="28"/>
      <c r="AM142" s="12"/>
      <c r="AN142" s="12"/>
      <c r="AO142" s="12"/>
      <c r="AP142" s="12"/>
      <c r="AQ142" s="12"/>
      <c r="AR142" s="13"/>
      <c r="AS142" s="14"/>
    </row>
    <row r="143" spans="1:45" s="16" customFormat="1" ht="30.95" hidden="1" customHeight="1" x14ac:dyDescent="0.2">
      <c r="A143" s="35"/>
      <c r="B143" s="36"/>
      <c r="C143" s="43"/>
      <c r="D143" s="29"/>
      <c r="E143" s="29"/>
      <c r="F143" s="255" t="str">
        <f>IF(D143="","",VLOOKUP(D143,契約台帳!$A$3:$K$4986,6,FALSE)&amp;VLOOKUP(D143,契約台帳!$A$3:$K$4986,7,FALSE)&amp;VLOOKUP(D143,契約台帳!$A$3:$K$4986,8,FALSE)&amp;VLOOKUP(D143,契約台帳!$A$3:$K$4986,9,FALSE)&amp;VLOOKUP(D143,契約台帳!$A$3:$K$4986,11,FALSE))</f>
        <v/>
      </c>
      <c r="G143" s="256" t="str">
        <f>IF(D143="","",VLOOKUP(F143,製品マスタ!$G$5:$H$4999,2,FALSE))</f>
        <v/>
      </c>
      <c r="H143" s="256" t="str">
        <f>IF(D143="","",VLOOKUP(F143,製品マスタ!$G$5:$K$4999,5,FALSE))</f>
        <v/>
      </c>
      <c r="I143" s="200" t="str">
        <f>IF(D143="","",VLOOKUP(F143,製品マスタ!$G$5:$L$4999,6,FALSE))</f>
        <v/>
      </c>
      <c r="J143" s="203"/>
      <c r="K143" s="200" t="str">
        <f>IF(D143="","",VLOOKUP(D143,契約台帳!$A$3:$L$4986,12,FALSE))</f>
        <v/>
      </c>
      <c r="L143" s="200" t="str">
        <f>IF(D143="","",INDEX(製品マスタ!$Q$5:$Q$4999,MATCH('S4'!F143&amp;'S4'!K143,製品マスタ!$AO$5:$AO$4999,0)))</f>
        <v/>
      </c>
      <c r="M143" s="37"/>
      <c r="N143" s="37"/>
      <c r="O143" s="153"/>
      <c r="P143" s="45"/>
      <c r="Q143" s="54"/>
      <c r="R143" s="257" t="str">
        <f ca="1">IF(D143="","",IF(OFFSET(D143,-1,0)&lt;&gt;"","",IF(OR(J143="リード付け",J143="巻足し",J143="巻返しリード付け"),M143,VLOOKUP(D143,契約台帳!$A$3:$N$4986,14,FALSE))))</f>
        <v/>
      </c>
      <c r="S143" s="258" t="str">
        <f ca="1">IF(D143="","",IF(OFFSET(D143,-1,0)&lt;&gt;"","",IF(OR(J143="リード付け",J143="巻足し",J143="巻返しリード付け"),M143,VLOOKUP(D143,契約台帳!$A$3:$O$4986,15,FALSE))))</f>
        <v/>
      </c>
      <c r="T143" s="258" t="str">
        <f ca="1">IF(D143="","",IF(J143="リード付け",N143,IF(J143="巻返しリード付け",N143,IF(J143="巻足し",N143*P143+OFFSET(N143,1,0)*OFFSET(P143,1,0),VLOOKUP(D143,契約台帳!$A$3:$P$4986,16,FALSE)))))</f>
        <v/>
      </c>
      <c r="U143" s="38"/>
      <c r="V143" s="259" t="str">
        <f ca="1">IF(D143="","",IF(OFFSET(D143,-2,0)=D143,"",VLOOKUP(D143,契約台帳!$A$3:$R$4986,18,FALSE)))</f>
        <v/>
      </c>
      <c r="W143" s="256" t="str">
        <f>IF(D143="","",IF(T143="","",IF(OR(J143="巻足し",J143="巻返しリード付け"),"",IF(J143="巻返し",VLOOKUP(F143&amp;K143&amp;M143,製品マスタ!$M$5:$AD$4999,18,FALSE),IF(OR(J143="リード付け",J143="巻返しリード付け"),"原反コア",IF(J143="スリット",VLOOKUP(F143&amp;K143&amp;R143,製品マスタ!$N$5:$AD$4999,17,FALSE),""))))))</f>
        <v/>
      </c>
      <c r="X143" s="256" t="str">
        <f>IF(D143="","",IF(T143="","",IF(J143="巻足し","",IF(J143="巻返し",VLOOKUP(F143&amp;K143&amp;M143,製品マスタ!$M$5:$AE$4999,19,FALSE),IF(OR(J143="リード付け",J143="巻返しリード付け"),"",IF(J143="スリット",VLOOKUP(F143&amp;K143&amp;R143,製品マスタ!$N$5:$AE$4999,18,FALSE),""))))))</f>
        <v/>
      </c>
      <c r="Y143" s="256" t="str">
        <f>IF(D143="","",IF(T143="","",VLOOKUP(D143,契約台帳!$A$3:$Q$4986,17,FALSE)))</f>
        <v/>
      </c>
      <c r="Z143" s="256" t="str">
        <f>IF(D143="","",IF(T143="","",VLOOKUP(D143,契約台帳!$A$3:$E$4986,5,FALSE)))</f>
        <v/>
      </c>
      <c r="AA143" s="54"/>
      <c r="AB143" s="200" t="str">
        <f>IFERROR((VLOOKUP(F143&amp;K143&amp;M143,製品マスタ!$M$5:$AM$4999,27,FALSE)),"")</f>
        <v/>
      </c>
      <c r="AC143" s="31"/>
      <c r="AD143" s="184"/>
      <c r="AE143" s="51"/>
      <c r="AF143" s="52"/>
      <c r="AG143" s="41"/>
      <c r="AH143" s="45"/>
      <c r="AI143" s="28"/>
      <c r="AJ143" s="28"/>
      <c r="AK143" s="28"/>
      <c r="AL143" s="28"/>
      <c r="AM143" s="12"/>
      <c r="AN143" s="12"/>
      <c r="AO143" s="12"/>
      <c r="AP143" s="12"/>
      <c r="AQ143" s="12"/>
      <c r="AR143" s="13"/>
      <c r="AS143" s="14"/>
    </row>
    <row r="144" spans="1:45" s="16" customFormat="1" ht="30.95" hidden="1" customHeight="1" x14ac:dyDescent="0.2">
      <c r="A144" s="35"/>
      <c r="B144" s="36"/>
      <c r="C144" s="43"/>
      <c r="D144" s="29"/>
      <c r="E144" s="29"/>
      <c r="F144" s="255" t="str">
        <f>IF(D144="","",VLOOKUP(D144,契約台帳!$A$3:$K$4986,6,FALSE)&amp;VLOOKUP(D144,契約台帳!$A$3:$K$4986,7,FALSE)&amp;VLOOKUP(D144,契約台帳!$A$3:$K$4986,8,FALSE)&amp;VLOOKUP(D144,契約台帳!$A$3:$K$4986,9,FALSE)&amp;VLOOKUP(D144,契約台帳!$A$3:$K$4986,11,FALSE))</f>
        <v/>
      </c>
      <c r="G144" s="256" t="s">
        <v>19</v>
      </c>
      <c r="H144" s="256" t="s">
        <v>187</v>
      </c>
      <c r="I144" s="200" t="s">
        <v>188</v>
      </c>
      <c r="J144" s="203" t="s">
        <v>828</v>
      </c>
      <c r="K144" s="200">
        <v>50</v>
      </c>
      <c r="L144" s="200" t="s">
        <v>189</v>
      </c>
      <c r="M144" s="37">
        <v>1160</v>
      </c>
      <c r="N144" s="37">
        <v>6200</v>
      </c>
      <c r="O144" s="153">
        <v>1</v>
      </c>
      <c r="P144" s="45">
        <v>1</v>
      </c>
      <c r="Q144" s="54"/>
      <c r="R144" s="257">
        <v>1120</v>
      </c>
      <c r="S144" s="258">
        <v>1120</v>
      </c>
      <c r="T144" s="258">
        <v>6000</v>
      </c>
      <c r="U144" s="38">
        <v>1</v>
      </c>
      <c r="V144" s="259">
        <v>1</v>
      </c>
      <c r="W144" s="256" t="s">
        <v>829</v>
      </c>
      <c r="X144" s="256">
        <v>1140</v>
      </c>
      <c r="Y144" s="256">
        <v>2</v>
      </c>
      <c r="Z144" s="256" t="s">
        <v>116</v>
      </c>
      <c r="AA144" s="54"/>
      <c r="AB144" s="200" t="str">
        <f>IFERROR((VLOOKUP(F144&amp;K144&amp;M144,製品マスタ!$M$5:$AM$4999,27,FALSE)),"")</f>
        <v/>
      </c>
      <c r="AC144" s="31"/>
      <c r="AD144" s="184"/>
      <c r="AE144" s="51"/>
      <c r="AF144" s="52"/>
      <c r="AG144" s="41"/>
      <c r="AH144" s="45"/>
      <c r="AI144" s="28"/>
      <c r="AJ144" s="28"/>
      <c r="AK144" s="28"/>
      <c r="AL144" s="28"/>
      <c r="AM144" s="12"/>
      <c r="AN144" s="12"/>
      <c r="AO144" s="12"/>
      <c r="AP144" s="12"/>
      <c r="AQ144" s="12"/>
      <c r="AR144" s="13"/>
      <c r="AS144" s="14"/>
    </row>
    <row r="145" spans="1:45" s="16" customFormat="1" ht="30.95" hidden="1" customHeight="1" x14ac:dyDescent="0.2">
      <c r="A145" s="35"/>
      <c r="B145" s="36"/>
      <c r="C145" s="43"/>
      <c r="D145" s="29"/>
      <c r="E145" s="29"/>
      <c r="F145" s="255" t="str">
        <f>IF(D145="","",VLOOKUP(D145,契約台帳!$A$3:$K$4986,6,FALSE)&amp;VLOOKUP(D145,契約台帳!$A$3:$K$4986,7,FALSE)&amp;VLOOKUP(D145,契約台帳!$A$3:$K$4986,8,FALSE)&amp;VLOOKUP(D145,契約台帳!$A$3:$K$4986,9,FALSE)&amp;VLOOKUP(D145,契約台帳!$A$3:$K$4986,11,FALSE))</f>
        <v/>
      </c>
      <c r="G145" s="256" t="str">
        <f>IF(D145="","",VLOOKUP(F145,製品マスタ!$G$5:$H$4999,2,FALSE))</f>
        <v/>
      </c>
      <c r="H145" s="256" t="str">
        <f>IF(D145="","",VLOOKUP(F145,製品マスタ!$G$5:$K$4999,5,FALSE))</f>
        <v/>
      </c>
      <c r="I145" s="200" t="str">
        <f>IF(D145="","",VLOOKUP(F145,製品マスタ!$G$5:$L$4999,6,FALSE))</f>
        <v/>
      </c>
      <c r="J145" s="203"/>
      <c r="K145" s="200" t="str">
        <f>IF(D145="","",VLOOKUP(D145,契約台帳!$A$3:$L$4986,12,FALSE))</f>
        <v/>
      </c>
      <c r="L145" s="200" t="str">
        <f>IF(D145="","",INDEX(製品マスタ!$Q$5:$Q$4999,MATCH('S4'!F145&amp;'S4'!K145,製品マスタ!$AO$5:$AO$4999,0)))</f>
        <v/>
      </c>
      <c r="M145" s="37"/>
      <c r="N145" s="37"/>
      <c r="O145" s="153"/>
      <c r="P145" s="45"/>
      <c r="Q145" s="54"/>
      <c r="R145" s="257" t="str">
        <f ca="1">IF(D145="","",IF(OFFSET(D145,-1,0)&lt;&gt;"","",IF(OR(J145="リード付け",J145="巻足し",J145="巻返しリード付け"),M145,VLOOKUP(D145,契約台帳!$A$3:$N$4986,14,FALSE))))</f>
        <v/>
      </c>
      <c r="S145" s="258" t="str">
        <f ca="1">IF(D145="","",IF(OFFSET(D145,-1,0)&lt;&gt;"","",IF(OR(J145="リード付け",J145="巻足し",J145="巻返しリード付け"),M145,VLOOKUP(D145,契約台帳!$A$3:$O$4986,15,FALSE))))</f>
        <v/>
      </c>
      <c r="T145" s="258" t="str">
        <f ca="1">IF(D145="","",IF(J145="リード付け",N145,IF(J145="巻返しリード付け",N145,IF(J145="巻足し",N145*P145+OFFSET(N145,1,0)*OFFSET(P145,1,0),VLOOKUP(D145,契約台帳!$A$3:$P$4986,16,FALSE)))))</f>
        <v/>
      </c>
      <c r="U145" s="38"/>
      <c r="V145" s="259" t="str">
        <f ca="1">IF(D145="","",IF(OFFSET(D145,-2,0)=D145,"",VLOOKUP(D145,契約台帳!$A$3:$R$4986,18,FALSE)))</f>
        <v/>
      </c>
      <c r="W145" s="256" t="str">
        <f>IF(D145="","",IF(T145="","",IF(OR(J145="巻足し",J145="巻返しリード付け"),"",IF(J145="巻返し",VLOOKUP(F145&amp;K145&amp;M145,製品マスタ!$M$5:$AD$4999,18,FALSE),IF(OR(J145="リード付け",J145="巻返しリード付け"),"原反コア",IF(J145="スリット",VLOOKUP(F145&amp;K145&amp;R145,製品マスタ!$N$5:$AD$4999,17,FALSE),""))))))</f>
        <v/>
      </c>
      <c r="X145" s="256" t="str">
        <f>IF(D145="","",IF(T145="","",IF(J145="巻足し","",IF(J145="巻返し",VLOOKUP(F145&amp;K145&amp;M145,製品マスタ!$M$5:$AE$4999,19,FALSE),IF(OR(J145="リード付け",J145="巻返しリード付け"),"",IF(J145="スリット",VLOOKUP(F145&amp;K145&amp;R145,製品マスタ!$N$5:$AE$4999,18,FALSE),""))))))</f>
        <v/>
      </c>
      <c r="Y145" s="256" t="str">
        <f>IF(D145="","",IF(T145="","",VLOOKUP(D145,契約台帳!$A$3:$Q$4986,17,FALSE)))</f>
        <v/>
      </c>
      <c r="Z145" s="256" t="str">
        <f>IF(D145="","",IF(T145="","",VLOOKUP(D145,契約台帳!$A$3:$E$4986,5,FALSE)))</f>
        <v/>
      </c>
      <c r="AA145" s="54"/>
      <c r="AB145" s="200" t="str">
        <f>IFERROR((VLOOKUP(F145&amp;K145&amp;M145,製品マスタ!$M$5:$AM$4999,27,FALSE)),"")</f>
        <v/>
      </c>
      <c r="AC145" s="31"/>
      <c r="AD145" s="184"/>
      <c r="AE145" s="51"/>
      <c r="AF145" s="52"/>
      <c r="AG145" s="41"/>
      <c r="AH145" s="45"/>
      <c r="AI145" s="28"/>
      <c r="AJ145" s="28"/>
      <c r="AK145" s="28"/>
      <c r="AL145" s="28"/>
      <c r="AM145" s="12"/>
      <c r="AN145" s="12"/>
      <c r="AO145" s="12"/>
      <c r="AP145" s="12"/>
      <c r="AQ145" s="12"/>
      <c r="AR145" s="13"/>
      <c r="AS145" s="14"/>
    </row>
    <row r="146" spans="1:45" s="16" customFormat="1" ht="30.95" hidden="1" customHeight="1" x14ac:dyDescent="0.2">
      <c r="A146" s="35"/>
      <c r="B146" s="36"/>
      <c r="C146" s="43"/>
      <c r="D146" s="29"/>
      <c r="E146" s="29"/>
      <c r="F146" s="255" t="str">
        <f>IF(D146="","",VLOOKUP(D146,契約台帳!$A$3:$K$4986,6,FALSE)&amp;VLOOKUP(D146,契約台帳!$A$3:$K$4986,7,FALSE)&amp;VLOOKUP(D146,契約台帳!$A$3:$K$4986,8,FALSE)&amp;VLOOKUP(D146,契約台帳!$A$3:$K$4986,9,FALSE)&amp;VLOOKUP(D146,契約台帳!$A$3:$K$4986,11,FALSE))</f>
        <v/>
      </c>
      <c r="G146" s="256" t="str">
        <f>IF(D146="","",VLOOKUP(F146,製品マスタ!$G$5:$H$4999,2,FALSE))</f>
        <v/>
      </c>
      <c r="H146" s="256" t="str">
        <f>IF(D146="","",VLOOKUP(F146,製品マスタ!$G$5:$K$4999,5,FALSE))</f>
        <v/>
      </c>
      <c r="I146" s="200" t="str">
        <f>IF(D146="","",VLOOKUP(F146,製品マスタ!$G$5:$L$4999,6,FALSE))</f>
        <v/>
      </c>
      <c r="J146" s="203" t="s">
        <v>655</v>
      </c>
      <c r="K146" s="200" t="str">
        <f>IF(D146="","",VLOOKUP(D146,契約台帳!$A$3:$L$4986,12,FALSE))</f>
        <v/>
      </c>
      <c r="L146" s="200" t="str">
        <f>IF(D146="","",INDEX(製品マスタ!$Q$5:$Q$4999,MATCH('S4'!F146&amp;'S4'!K146,製品マスタ!$AO$5:$AO$4999,0)))</f>
        <v/>
      </c>
      <c r="M146" s="37"/>
      <c r="N146" s="37"/>
      <c r="O146" s="153"/>
      <c r="P146" s="45"/>
      <c r="Q146" s="54"/>
      <c r="R146" s="257" t="str">
        <f ca="1">IF(D146="","",IF(OFFSET(D146,-1,0)&lt;&gt;"","",IF(OR(J146="リード付け",J146="巻足し",J146="巻返しリード付け"),M146,VLOOKUP(D146,契約台帳!$A$3:$N$4986,14,FALSE))))</f>
        <v/>
      </c>
      <c r="S146" s="258" t="str">
        <f ca="1">IF(D146="","",IF(OFFSET(D146,-1,0)&lt;&gt;"","",IF(OR(J146="リード付け",J146="巻足し",J146="巻返しリード付け"),M146,VLOOKUP(D146,契約台帳!$A$3:$O$4986,15,FALSE))))</f>
        <v/>
      </c>
      <c r="T146" s="258" t="str">
        <f ca="1">IF(D146="","",IF(J146="リード付け",N146,IF(J146="巻返しリード付け",N146,IF(J146="巻足し",N146*P146+OFFSET(N146,1,0)*OFFSET(P146,1,0),VLOOKUP(D146,契約台帳!$A$3:$P$4986,16,FALSE)))))</f>
        <v/>
      </c>
      <c r="U146" s="38"/>
      <c r="V146" s="259" t="str">
        <f ca="1">IF(D146="","",IF(OFFSET(D146,-2,0)=D146,"",VLOOKUP(D146,契約台帳!$A$3:$R$4986,18,FALSE)))</f>
        <v/>
      </c>
      <c r="W146" s="256" t="str">
        <f>IF(D146="","",IF(T146="","",IF(OR(J146="巻足し",J146="巻返しリード付け"),"",IF(J146="巻返し",VLOOKUP(F146&amp;K146&amp;M146,製品マスタ!$M$5:$AD$4999,18,FALSE),IF(OR(J146="リード付け",J146="巻返しリード付け"),"原反コア",IF(J146="スリット",VLOOKUP(F146&amp;K146&amp;R146,製品マスタ!$N$5:$AD$4999,17,FALSE),""))))))</f>
        <v/>
      </c>
      <c r="X146" s="256" t="str">
        <f>IF(D146="","",IF(T146="","",IF(J146="巻足し","",IF(J146="巻返し",VLOOKUP(F146&amp;K146&amp;M146,製品マスタ!$M$5:$AE$4999,19,FALSE),IF(OR(J146="リード付け",J146="巻返しリード付け"),"",IF(J146="スリット",VLOOKUP(F146&amp;K146&amp;R146,製品マスタ!$N$5:$AE$4999,18,FALSE),""))))))</f>
        <v/>
      </c>
      <c r="Y146" s="256" t="str">
        <f>IF(D146="","",IF(T146="","",VLOOKUP(D146,契約台帳!$A$3:$Q$4986,17,FALSE)))</f>
        <v/>
      </c>
      <c r="Z146" s="256" t="str">
        <f>IF(D146="","",IF(T146="","",VLOOKUP(D146,契約台帳!$A$3:$E$4986,5,FALSE)))</f>
        <v/>
      </c>
      <c r="AA146" s="54"/>
      <c r="AB146" s="200" t="str">
        <f>IFERROR((VLOOKUP(F146&amp;K146&amp;M146,製品マスタ!$M$5:$AM$4999,27,FALSE)),"")</f>
        <v/>
      </c>
      <c r="AC146" s="31"/>
      <c r="AD146" s="184"/>
      <c r="AE146" s="51"/>
      <c r="AF146" s="52"/>
      <c r="AG146" s="41"/>
      <c r="AH146" s="45"/>
      <c r="AI146" s="28"/>
      <c r="AJ146" s="28"/>
      <c r="AK146" s="28"/>
      <c r="AL146" s="28"/>
      <c r="AM146" s="12"/>
      <c r="AN146" s="12"/>
      <c r="AO146" s="12"/>
      <c r="AP146" s="12"/>
      <c r="AQ146" s="12"/>
      <c r="AR146" s="13"/>
      <c r="AS146" s="14"/>
    </row>
    <row r="147" spans="1:45" s="16" customFormat="1" ht="30.95" hidden="1" customHeight="1" x14ac:dyDescent="0.2">
      <c r="A147" s="35"/>
      <c r="B147" s="36"/>
      <c r="C147" s="43"/>
      <c r="D147" s="29"/>
      <c r="E147" s="29"/>
      <c r="F147" s="255" t="str">
        <f>IF(D147="","",VLOOKUP(D147,契約台帳!$A$3:$K$4986,6,FALSE)&amp;VLOOKUP(D147,契約台帳!$A$3:$K$4986,7,FALSE)&amp;VLOOKUP(D147,契約台帳!$A$3:$K$4986,8,FALSE)&amp;VLOOKUP(D147,契約台帳!$A$3:$K$4986,9,FALSE)&amp;VLOOKUP(D147,契約台帳!$A$3:$K$4986,11,FALSE))</f>
        <v/>
      </c>
      <c r="G147" s="256" t="str">
        <f>IF(D147="","",VLOOKUP(F147,製品マスタ!$G$5:$H$4999,2,FALSE))</f>
        <v/>
      </c>
      <c r="H147" s="256" t="str">
        <f>IF(D147="","",VLOOKUP(F147,製品マスタ!$G$5:$K$4999,5,FALSE))</f>
        <v/>
      </c>
      <c r="I147" s="200" t="str">
        <f>IF(D147="","",VLOOKUP(F147,製品マスタ!$G$5:$L$4999,6,FALSE))</f>
        <v/>
      </c>
      <c r="J147" s="203"/>
      <c r="K147" s="200" t="str">
        <f>IF(D147="","",VLOOKUP(D147,契約台帳!$A$3:$L$4986,12,FALSE))</f>
        <v/>
      </c>
      <c r="L147" s="200" t="str">
        <f>IF(D147="","",INDEX(製品マスタ!$Q$5:$Q$4999,MATCH('S4'!F147&amp;'S4'!K147,製品マスタ!$AO$5:$AO$4999,0)))</f>
        <v/>
      </c>
      <c r="M147" s="37"/>
      <c r="N147" s="37"/>
      <c r="O147" s="153"/>
      <c r="P147" s="45"/>
      <c r="Q147" s="54"/>
      <c r="R147" s="257" t="str">
        <f ca="1">IF(D147="","",IF(OFFSET(D147,-1,0)&lt;&gt;"","",IF(OR(J147="リード付け",J147="巻足し",J147="巻返しリード付け"),M147,VLOOKUP(D147,契約台帳!$A$3:$N$4986,14,FALSE))))</f>
        <v/>
      </c>
      <c r="S147" s="258" t="str">
        <f ca="1">IF(D147="","",IF(OFFSET(D147,-1,0)&lt;&gt;"","",IF(OR(J147="リード付け",J147="巻足し",J147="巻返しリード付け"),M147,VLOOKUP(D147,契約台帳!$A$3:$O$4986,15,FALSE))))</f>
        <v/>
      </c>
      <c r="T147" s="258" t="str">
        <f ca="1">IF(D147="","",IF(J147="リード付け",N147,IF(J147="巻返しリード付け",N147,IF(J147="巻足し",N147*P147+OFFSET(N147,1,0)*OFFSET(P147,1,0),VLOOKUP(D147,契約台帳!$A$3:$P$4986,16,FALSE)))))</f>
        <v/>
      </c>
      <c r="U147" s="38"/>
      <c r="V147" s="259" t="str">
        <f ca="1">IF(D147="","",IF(OFFSET(D147,-2,0)=D147,"",VLOOKUP(D147,契約台帳!$A$3:$R$4986,18,FALSE)))</f>
        <v/>
      </c>
      <c r="W147" s="256" t="str">
        <f>IF(D147="","",IF(T147="","",IF(OR(J147="巻足し",J147="巻返しリード付け"),"",IF(J147="巻返し",VLOOKUP(F147&amp;K147&amp;M147,製品マスタ!$M$5:$AD$4999,18,FALSE),IF(OR(J147="リード付け",J147="巻返しリード付け"),"原反コア",IF(J147="スリット",VLOOKUP(F147&amp;K147&amp;R147,製品マスタ!$N$5:$AD$4999,17,FALSE),""))))))</f>
        <v/>
      </c>
      <c r="X147" s="256" t="str">
        <f>IF(D147="","",IF(T147="","",IF(J147="巻足し","",IF(J147="巻返し",VLOOKUP(F147&amp;K147&amp;M147,製品マスタ!$M$5:$AE$4999,19,FALSE),IF(OR(J147="リード付け",J147="巻返しリード付け"),"",IF(J147="スリット",VLOOKUP(F147&amp;K147&amp;R147,製品マスタ!$N$5:$AE$4999,18,FALSE),""))))))</f>
        <v/>
      </c>
      <c r="Y147" s="256" t="str">
        <f>IF(D147="","",IF(T147="","",VLOOKUP(D147,契約台帳!$A$3:$Q$4986,17,FALSE)))</f>
        <v/>
      </c>
      <c r="Z147" s="256" t="str">
        <f>IF(D147="","",IF(T147="","",VLOOKUP(D147,契約台帳!$A$3:$E$4986,5,FALSE)))</f>
        <v/>
      </c>
      <c r="AA147" s="54"/>
      <c r="AB147" s="200" t="str">
        <f>IFERROR((VLOOKUP(F147&amp;K147&amp;M147,製品マスタ!$M$5:$AM$4999,27,FALSE)),"")</f>
        <v/>
      </c>
      <c r="AC147" s="31"/>
      <c r="AD147" s="184"/>
      <c r="AE147" s="51"/>
      <c r="AF147" s="52"/>
      <c r="AG147" s="41"/>
      <c r="AH147" s="45"/>
      <c r="AI147" s="28"/>
      <c r="AJ147" s="28"/>
      <c r="AK147" s="28"/>
      <c r="AL147" s="28"/>
      <c r="AM147" s="12"/>
      <c r="AN147" s="12"/>
      <c r="AO147" s="12"/>
      <c r="AP147" s="12"/>
      <c r="AQ147" s="12"/>
      <c r="AR147" s="13"/>
      <c r="AS147" s="14"/>
    </row>
    <row r="148" spans="1:45" s="16" customFormat="1" ht="30.95" hidden="1" customHeight="1" x14ac:dyDescent="0.2">
      <c r="A148" s="35"/>
      <c r="B148" s="36"/>
      <c r="C148" s="43"/>
      <c r="D148" s="29"/>
      <c r="E148" s="29"/>
      <c r="F148" s="255" t="str">
        <f>IF(D148="","",VLOOKUP(D148,契約台帳!$A$3:$K$4986,6,FALSE)&amp;VLOOKUP(D148,契約台帳!$A$3:$K$4986,7,FALSE)&amp;VLOOKUP(D148,契約台帳!$A$3:$K$4986,8,FALSE)&amp;VLOOKUP(D148,契約台帳!$A$3:$K$4986,9,FALSE)&amp;VLOOKUP(D148,契約台帳!$A$3:$K$4986,11,FALSE))</f>
        <v/>
      </c>
      <c r="G148" s="256" t="str">
        <f>IF(D148="","",VLOOKUP(F148,製品マスタ!$G$5:$H$4999,2,FALSE))</f>
        <v/>
      </c>
      <c r="H148" s="256" t="str">
        <f>IF(D148="","",VLOOKUP(F148,製品マスタ!$G$5:$K$4999,5,FALSE))</f>
        <v/>
      </c>
      <c r="I148" s="200" t="str">
        <f>IF(D148="","",VLOOKUP(F148,製品マスタ!$G$5:$L$4999,6,FALSE))</f>
        <v/>
      </c>
      <c r="J148" s="203" t="s">
        <v>824</v>
      </c>
      <c r="K148" s="200" t="str">
        <f>IF(D148="","",VLOOKUP(D148,契約台帳!$A$3:$L$4986,12,FALSE))</f>
        <v/>
      </c>
      <c r="L148" s="200" t="str">
        <f>IF(D148="","",INDEX(製品マスタ!$Q$5:$Q$4999,MATCH('S4'!F148&amp;'S4'!K148,製品マスタ!$AO$5:$AO$4999,0)))</f>
        <v/>
      </c>
      <c r="M148" s="37"/>
      <c r="N148" s="37"/>
      <c r="O148" s="153"/>
      <c r="P148" s="45"/>
      <c r="Q148" s="54"/>
      <c r="R148" s="257" t="str">
        <f ca="1">IF(D148="","",IF(OFFSET(D148,-1,0)&lt;&gt;"","",IF(OR(J148="リード付け",J148="巻足し",J148="巻返しリード付け"),M148,VLOOKUP(D148,契約台帳!$A$3:$N$4986,14,FALSE))))</f>
        <v/>
      </c>
      <c r="S148" s="258" t="str">
        <f ca="1">IF(D148="","",IF(OFFSET(D148,-1,0)&lt;&gt;"","",IF(OR(J148="リード付け",J148="巻足し",J148="巻返しリード付け"),M148,VLOOKUP(D148,契約台帳!$A$3:$O$4986,15,FALSE))))</f>
        <v/>
      </c>
      <c r="T148" s="258" t="str">
        <f ca="1">IF(D148="","",IF(J148="リード付け",N148,IF(J148="巻返しリード付け",N148,IF(J148="巻足し",N148*P148+OFFSET(N148,1,0)*OFFSET(P148,1,0),VLOOKUP(D148,契約台帳!$A$3:$P$4986,16,FALSE)))))</f>
        <v/>
      </c>
      <c r="U148" s="38"/>
      <c r="V148" s="259" t="str">
        <f ca="1">IF(D148="","",IF(OFFSET(D148,-2,0)=D148,"",VLOOKUP(D148,契約台帳!$A$3:$R$4986,18,FALSE)))</f>
        <v/>
      </c>
      <c r="W148" s="256" t="str">
        <f>IF(D148="","",IF(T148="","",IF(OR(J148="巻足し",J148="巻返しリード付け"),"",IF(J148="巻返し",VLOOKUP(F148&amp;K148&amp;M148,製品マスタ!$M$5:$AD$4999,18,FALSE),IF(OR(J148="リード付け",J148="巻返しリード付け"),"原反コア",IF(J148="スリット",VLOOKUP(F148&amp;K148&amp;R148,製品マスタ!$N$5:$AD$4999,17,FALSE),""))))))</f>
        <v/>
      </c>
      <c r="X148" s="256" t="str">
        <f>IF(D148="","",IF(T148="","",IF(J148="巻足し","",IF(J148="巻返し",VLOOKUP(F148&amp;K148&amp;M148,製品マスタ!$M$5:$AE$4999,19,FALSE),IF(OR(J148="リード付け",J148="巻返しリード付け"),"",IF(J148="スリット",VLOOKUP(F148&amp;K148&amp;R148,製品マスタ!$N$5:$AE$4999,18,FALSE),""))))))</f>
        <v/>
      </c>
      <c r="Y148" s="256" t="str">
        <f>IF(D148="","",IF(T148="","",VLOOKUP(D148,契約台帳!$A$3:$Q$4986,17,FALSE)))</f>
        <v/>
      </c>
      <c r="Z148" s="256" t="str">
        <f>IF(D148="","",IF(T148="","",VLOOKUP(D148,契約台帳!$A$3:$E$4986,5,FALSE)))</f>
        <v/>
      </c>
      <c r="AA148" s="54"/>
      <c r="AB148" s="200" t="str">
        <f>IFERROR((VLOOKUP(F148&amp;K148&amp;M148,製品マスタ!$M$5:$AM$4999,27,FALSE)),"")</f>
        <v/>
      </c>
      <c r="AC148" s="31"/>
      <c r="AD148" s="184"/>
      <c r="AE148" s="51"/>
      <c r="AF148" s="52"/>
      <c r="AG148" s="41"/>
      <c r="AH148" s="45"/>
      <c r="AI148" s="28"/>
      <c r="AJ148" s="28"/>
      <c r="AK148" s="28"/>
      <c r="AL148" s="28"/>
      <c r="AM148" s="12"/>
      <c r="AN148" s="12"/>
      <c r="AO148" s="12"/>
      <c r="AP148" s="12"/>
      <c r="AQ148" s="12"/>
      <c r="AR148" s="13"/>
      <c r="AS148" s="14"/>
    </row>
    <row r="149" spans="1:45" s="16" customFormat="1" ht="30.95" hidden="1" customHeight="1" x14ac:dyDescent="0.2">
      <c r="A149" s="35"/>
      <c r="B149" s="36"/>
      <c r="C149" s="43"/>
      <c r="D149" s="29"/>
      <c r="E149" s="29"/>
      <c r="F149" s="255" t="str">
        <f>IF(D149="","",VLOOKUP(D149,契約台帳!$A$3:$K$4986,6,FALSE)&amp;VLOOKUP(D149,契約台帳!$A$3:$K$4986,7,FALSE)&amp;VLOOKUP(D149,契約台帳!$A$3:$K$4986,8,FALSE)&amp;VLOOKUP(D149,契約台帳!$A$3:$K$4986,9,FALSE)&amp;VLOOKUP(D149,契約台帳!$A$3:$K$4986,11,FALSE))</f>
        <v/>
      </c>
      <c r="G149" s="256" t="str">
        <f>IF(D149="","",VLOOKUP(F149,製品マスタ!$G$5:$H$4999,2,FALSE))</f>
        <v/>
      </c>
      <c r="H149" s="256" t="str">
        <f>IF(D149="","",VLOOKUP(F149,製品マスタ!$G$5:$K$4999,5,FALSE))</f>
        <v/>
      </c>
      <c r="I149" s="200" t="str">
        <f>IF(D149="","",VLOOKUP(F149,製品マスタ!$G$5:$L$4999,6,FALSE))</f>
        <v/>
      </c>
      <c r="J149" s="203"/>
      <c r="K149" s="200" t="str">
        <f>IF(D149="","",VLOOKUP(D149,契約台帳!$A$3:$L$4986,12,FALSE))</f>
        <v/>
      </c>
      <c r="L149" s="200" t="str">
        <f>IF(D149="","",INDEX(製品マスタ!$Q$5:$Q$4999,MATCH('S4'!F149&amp;'S4'!K149,製品マスタ!$AO$5:$AO$4999,0)))</f>
        <v/>
      </c>
      <c r="M149" s="37"/>
      <c r="N149" s="37"/>
      <c r="O149" s="153"/>
      <c r="P149" s="45"/>
      <c r="Q149" s="54"/>
      <c r="R149" s="257" t="str">
        <f ca="1">IF(D149="","",IF(OFFSET(D149,-1,0)&lt;&gt;"","",IF(OR(J149="リード付け",J149="巻足し",J149="巻返しリード付け"),M149,VLOOKUP(D149,契約台帳!$A$3:$N$4986,14,FALSE))))</f>
        <v/>
      </c>
      <c r="S149" s="258" t="str">
        <f ca="1">IF(D149="","",IF(OFFSET(D149,-1,0)&lt;&gt;"","",IF(OR(J149="リード付け",J149="巻足し",J149="巻返しリード付け"),M149,VLOOKUP(D149,契約台帳!$A$3:$O$4986,15,FALSE))))</f>
        <v/>
      </c>
      <c r="T149" s="258" t="str">
        <f ca="1">IF(D149="","",IF(J149="リード付け",N149,IF(J149="巻返しリード付け",N149,IF(J149="巻足し",N149*P149+OFFSET(N149,1,0)*OFFSET(P149,1,0),VLOOKUP(D149,契約台帳!$A$3:$P$4986,16,FALSE)))))</f>
        <v/>
      </c>
      <c r="U149" s="38"/>
      <c r="V149" s="259" t="str">
        <f ca="1">IF(D149="","",IF(OFFSET(D149,-2,0)=D149,"",VLOOKUP(D149,契約台帳!$A$3:$R$4986,18,FALSE)))</f>
        <v/>
      </c>
      <c r="W149" s="256" t="str">
        <f>IF(D149="","",IF(T149="","",IF(OR(J149="巻足し",J149="巻返しリード付け"),"",IF(J149="巻返し",VLOOKUP(F149&amp;K149&amp;M149,製品マスタ!$M$5:$AD$4999,18,FALSE),IF(OR(J149="リード付け",J149="巻返しリード付け"),"原反コア",IF(J149="スリット",VLOOKUP(F149&amp;K149&amp;R149,製品マスタ!$N$5:$AD$4999,17,FALSE),""))))))</f>
        <v/>
      </c>
      <c r="X149" s="256" t="str">
        <f>IF(D149="","",IF(T149="","",IF(J149="巻足し","",IF(J149="巻返し",VLOOKUP(F149&amp;K149&amp;M149,製品マスタ!$M$5:$AE$4999,19,FALSE),IF(OR(J149="リード付け",J149="巻返しリード付け"),"",IF(J149="スリット",VLOOKUP(F149&amp;K149&amp;R149,製品マスタ!$N$5:$AE$4999,18,FALSE),""))))))</f>
        <v/>
      </c>
      <c r="Y149" s="256" t="str">
        <f>IF(D149="","",IF(T149="","",VLOOKUP(D149,契約台帳!$A$3:$Q$4986,17,FALSE)))</f>
        <v/>
      </c>
      <c r="Z149" s="256" t="str">
        <f>IF(D149="","",IF(T149="","",VLOOKUP(D149,契約台帳!$A$3:$E$4986,5,FALSE)))</f>
        <v/>
      </c>
      <c r="AA149" s="54"/>
      <c r="AB149" s="200" t="str">
        <f>IFERROR((VLOOKUP(F149&amp;K149&amp;M149,製品マスタ!$M$5:$AM$4999,27,FALSE)),"")</f>
        <v/>
      </c>
      <c r="AC149" s="31"/>
      <c r="AD149" s="184"/>
      <c r="AE149" s="51"/>
      <c r="AF149" s="52"/>
      <c r="AG149" s="41"/>
      <c r="AH149" s="45"/>
      <c r="AI149" s="28"/>
      <c r="AJ149" s="28"/>
      <c r="AK149" s="28"/>
      <c r="AL149" s="28"/>
      <c r="AM149" s="12"/>
      <c r="AN149" s="12"/>
      <c r="AO149" s="12"/>
      <c r="AP149" s="12"/>
      <c r="AQ149" s="12"/>
      <c r="AR149" s="13"/>
      <c r="AS149" s="14"/>
    </row>
    <row r="150" spans="1:45" s="16" customFormat="1" ht="30.95" hidden="1" customHeight="1" x14ac:dyDescent="0.2">
      <c r="A150" s="35" t="s">
        <v>798</v>
      </c>
      <c r="B150" s="36" t="s">
        <v>443</v>
      </c>
      <c r="C150" s="43"/>
      <c r="D150" s="29"/>
      <c r="E150" s="29"/>
      <c r="F150" s="255" t="str">
        <f>IF(D150="","",VLOOKUP(D150,契約台帳!$A$3:$K$4986,6,FALSE)&amp;VLOOKUP(D150,契約台帳!$A$3:$K$4986,7,FALSE)&amp;VLOOKUP(D150,契約台帳!$A$3:$K$4986,8,FALSE)&amp;VLOOKUP(D150,契約台帳!$A$3:$K$4986,9,FALSE)&amp;VLOOKUP(D150,契約台帳!$A$3:$K$4986,11,FALSE))</f>
        <v/>
      </c>
      <c r="G150" s="256" t="str">
        <f>IF(D150="","",VLOOKUP(F150,製品マスタ!$G$5:$H$4999,2,FALSE))</f>
        <v/>
      </c>
      <c r="H150" s="256" t="str">
        <f>IF(D150="","",VLOOKUP(F150,製品マスタ!$G$5:$K$4999,5,FALSE))</f>
        <v/>
      </c>
      <c r="I150" s="200" t="str">
        <f>IF(D150="","",VLOOKUP(F150,製品マスタ!$G$5:$L$4999,6,FALSE))</f>
        <v/>
      </c>
      <c r="J150" s="203" t="s">
        <v>665</v>
      </c>
      <c r="K150" s="200" t="str">
        <f>IF(D150="","",VLOOKUP(D150,契約台帳!$A$3:$L$4986,12,FALSE))</f>
        <v/>
      </c>
      <c r="L150" s="200" t="str">
        <f>IF(D150="","",INDEX(製品マスタ!$Q$5:$Q$4999,MATCH('S4'!F150&amp;'S4'!K150,製品マスタ!$AO$5:$AO$4999,0)))</f>
        <v/>
      </c>
      <c r="M150" s="37"/>
      <c r="N150" s="37"/>
      <c r="O150" s="153"/>
      <c r="P150" s="45"/>
      <c r="Q150" s="54"/>
      <c r="R150" s="257" t="str">
        <f ca="1">IF(D150="","",IF(OFFSET(D150,-1,0)&lt;&gt;"","",IF(OR(J150="リード付け",J150="巻足し",J150="巻返しリード付け"),M150,VLOOKUP(D150,契約台帳!$A$3:$N$4986,14,FALSE))))</f>
        <v/>
      </c>
      <c r="S150" s="258" t="str">
        <f ca="1">IF(D150="","",IF(OFFSET(D150,-1,0)&lt;&gt;"","",IF(OR(J150="リード付け",J150="巻足し",J150="巻返しリード付け"),M150,VLOOKUP(D150,契約台帳!$A$3:$O$4986,15,FALSE))))</f>
        <v/>
      </c>
      <c r="T150" s="258" t="str">
        <f ca="1">IF(D150="","",IF(J150="リード付け",N150,IF(J150="巻返しリード付け",N150,IF(J150="巻足し",N150*P150+OFFSET(N150,1,0)*OFFSET(P150,1,0),VLOOKUP(D150,契約台帳!$A$3:$P$4986,16,FALSE)))))</f>
        <v/>
      </c>
      <c r="U150" s="38"/>
      <c r="V150" s="259" t="str">
        <f ca="1">IF(D150="","",IF(OFFSET(D150,-2,0)=D150,"",VLOOKUP(D150,契約台帳!$A$3:$R$4986,18,FALSE)))</f>
        <v/>
      </c>
      <c r="W150" s="256" t="str">
        <f>IF(D150="","",IF(T150="","",IF(OR(J150="巻足し",J150="巻返しリード付け"),"",IF(J150="巻返し",VLOOKUP(F150&amp;K150&amp;M150,製品マスタ!$M$5:$AD$4999,18,FALSE),IF(OR(J150="リード付け",J150="巻返しリード付け"),"原反コア",IF(J150="スリット",VLOOKUP(F150&amp;K150&amp;R150,製品マスタ!$N$5:$AD$4999,17,FALSE),""))))))</f>
        <v/>
      </c>
      <c r="X150" s="256" t="str">
        <f>IF(D150="","",IF(T150="","",IF(J150="巻足し","",IF(J150="巻返し",VLOOKUP(F150&amp;K150&amp;M150,製品マスタ!$M$5:$AE$4999,19,FALSE),IF(OR(J150="リード付け",J150="巻返しリード付け"),"",IF(J150="スリット",VLOOKUP(F150&amp;K150&amp;R150,製品マスタ!$N$5:$AE$4999,18,FALSE),""))))))</f>
        <v/>
      </c>
      <c r="Y150" s="256" t="str">
        <f>IF(D150="","",IF(T150="","",VLOOKUP(D150,契約台帳!$A$3:$Q$4986,17,FALSE)))</f>
        <v/>
      </c>
      <c r="Z150" s="256" t="str">
        <f>IF(D150="","",IF(T150="","",VLOOKUP(D150,契約台帳!$A$3:$E$4986,5,FALSE)))</f>
        <v/>
      </c>
      <c r="AA150" s="54"/>
      <c r="AB150" s="200" t="str">
        <f>IFERROR((VLOOKUP(F150&amp;K150&amp;M150,製品マスタ!$M$5:$AM$4999,27,FALSE)),"")</f>
        <v/>
      </c>
      <c r="AC150" s="31"/>
      <c r="AD150" s="184"/>
      <c r="AE150" s="51"/>
      <c r="AF150" s="52"/>
      <c r="AG150" s="41"/>
      <c r="AH150" s="45"/>
      <c r="AI150" s="28"/>
      <c r="AJ150" s="28"/>
      <c r="AK150" s="28"/>
      <c r="AL150" s="28"/>
      <c r="AM150" s="12"/>
      <c r="AN150" s="12"/>
      <c r="AO150" s="12"/>
      <c r="AP150" s="12"/>
      <c r="AQ150" s="12"/>
      <c r="AR150" s="13"/>
      <c r="AS150" s="14"/>
    </row>
    <row r="151" spans="1:45" s="16" customFormat="1" ht="30.95" hidden="1" customHeight="1" x14ac:dyDescent="0.2">
      <c r="A151" s="35"/>
      <c r="B151" s="36"/>
      <c r="C151" s="43"/>
      <c r="D151" s="29"/>
      <c r="E151" s="29"/>
      <c r="F151" s="255" t="str">
        <f>IF(D151="","",VLOOKUP(D151,契約台帳!$A$3:$K$4986,6,FALSE)&amp;VLOOKUP(D151,契約台帳!$A$3:$K$4986,7,FALSE)&amp;VLOOKUP(D151,契約台帳!$A$3:$K$4986,8,FALSE)&amp;VLOOKUP(D151,契約台帳!$A$3:$K$4986,9,FALSE)&amp;VLOOKUP(D151,契約台帳!$A$3:$K$4986,11,FALSE))</f>
        <v/>
      </c>
      <c r="G151" s="256" t="str">
        <f>IF(D151="","",VLOOKUP(F151,製品マスタ!$G$5:$H$4999,2,FALSE))</f>
        <v/>
      </c>
      <c r="H151" s="256" t="str">
        <f>IF(D151="","",VLOOKUP(F151,製品マスタ!$G$5:$K$4999,5,FALSE))</f>
        <v/>
      </c>
      <c r="I151" s="200" t="str">
        <f>IF(D151="","",VLOOKUP(F151,製品マスタ!$G$5:$L$4999,6,FALSE))</f>
        <v/>
      </c>
      <c r="J151" s="203"/>
      <c r="K151" s="200" t="str">
        <f>IF(D151="","",VLOOKUP(D151,契約台帳!$A$3:$L$4986,12,FALSE))</f>
        <v/>
      </c>
      <c r="L151" s="200" t="str">
        <f>IF(D151="","",INDEX(製品マスタ!$Q$5:$Q$4999,MATCH('S4'!F151&amp;'S4'!K151,製品マスタ!$AO$5:$AO$4999,0)))</f>
        <v/>
      </c>
      <c r="M151" s="37"/>
      <c r="N151" s="37"/>
      <c r="O151" s="153"/>
      <c r="P151" s="45"/>
      <c r="Q151" s="54"/>
      <c r="R151" s="257" t="str">
        <f ca="1">IF(D151="","",IF(OFFSET(D151,-1,0)&lt;&gt;"","",IF(OR(J151="リード付け",J151="巻足し",J151="巻返しリード付け"),M151,VLOOKUP(D151,契約台帳!$A$3:$N$4986,14,FALSE))))</f>
        <v/>
      </c>
      <c r="S151" s="258" t="str">
        <f ca="1">IF(D151="","",IF(OFFSET(D151,-1,0)&lt;&gt;"","",IF(OR(J151="リード付け",J151="巻足し",J151="巻返しリード付け"),M151,VLOOKUP(D151,契約台帳!$A$3:$O$4986,15,FALSE))))</f>
        <v/>
      </c>
      <c r="T151" s="258" t="str">
        <f ca="1">IF(D151="","",IF(J151="リード付け",N151,IF(J151="巻返しリード付け",N151,IF(J151="巻足し",N151*P151+OFFSET(N151,1,0)*OFFSET(P151,1,0),VLOOKUP(D151,契約台帳!$A$3:$P$4986,16,FALSE)))))</f>
        <v/>
      </c>
      <c r="U151" s="38"/>
      <c r="V151" s="259" t="str">
        <f ca="1">IF(D151="","",IF(OFFSET(D151,-2,0)=D151,"",VLOOKUP(D151,契約台帳!$A$3:$R$4986,18,FALSE)))</f>
        <v/>
      </c>
      <c r="W151" s="256" t="str">
        <f>IF(D151="","",IF(T151="","",IF(OR(J151="巻足し",J151="巻返しリード付け"),"",IF(J151="巻返し",VLOOKUP(F151&amp;K151&amp;M151,製品マスタ!$M$5:$AD$4999,18,FALSE),IF(OR(J151="リード付け",J151="巻返しリード付け"),"原反コア",IF(J151="スリット",VLOOKUP(F151&amp;K151&amp;R151,製品マスタ!$N$5:$AD$4999,17,FALSE),""))))))</f>
        <v/>
      </c>
      <c r="X151" s="256" t="str">
        <f>IF(D151="","",IF(T151="","",IF(J151="巻足し","",IF(J151="巻返し",VLOOKUP(F151&amp;K151&amp;M151,製品マスタ!$M$5:$AE$4999,19,FALSE),IF(OR(J151="リード付け",J151="巻返しリード付け"),"",IF(J151="スリット",VLOOKUP(F151&amp;K151&amp;R151,製品マスタ!$N$5:$AE$4999,18,FALSE),""))))))</f>
        <v/>
      </c>
      <c r="Y151" s="256" t="str">
        <f>IF(D151="","",IF(T151="","",VLOOKUP(D151,契約台帳!$A$3:$Q$4986,17,FALSE)))</f>
        <v/>
      </c>
      <c r="Z151" s="256" t="str">
        <f>IF(D151="","",IF(T151="","",VLOOKUP(D151,契約台帳!$A$3:$E$4986,5,FALSE)))</f>
        <v/>
      </c>
      <c r="AA151" s="54"/>
      <c r="AB151" s="200" t="str">
        <f>IFERROR((VLOOKUP(F151&amp;K151&amp;M151,製品マスタ!$M$5:$AM$4999,27,FALSE)),"")</f>
        <v/>
      </c>
      <c r="AC151" s="31"/>
      <c r="AD151" s="184"/>
      <c r="AE151" s="51"/>
      <c r="AF151" s="52"/>
      <c r="AG151" s="41"/>
      <c r="AH151" s="45"/>
      <c r="AI151" s="28"/>
      <c r="AJ151" s="28"/>
      <c r="AK151" s="28"/>
      <c r="AL151" s="28"/>
      <c r="AM151" s="12"/>
      <c r="AN151" s="12"/>
      <c r="AO151" s="12"/>
      <c r="AP151" s="12"/>
      <c r="AQ151" s="12"/>
      <c r="AR151" s="13"/>
      <c r="AS151" s="14"/>
    </row>
    <row r="152" spans="1:45" s="16" customFormat="1" ht="30.95" hidden="1" customHeight="1" x14ac:dyDescent="0.2">
      <c r="A152" s="35"/>
      <c r="B152" s="36"/>
      <c r="C152" s="43"/>
      <c r="D152" s="29">
        <v>3697653</v>
      </c>
      <c r="E152" s="29">
        <v>4161793</v>
      </c>
      <c r="F152" s="255" t="str">
        <f>IF(D152="","",VLOOKUP(D152,契約台帳!$A$3:$K$4986,6,FALSE)&amp;VLOOKUP(D152,契約台帳!$A$3:$K$4986,7,FALSE)&amp;VLOOKUP(D152,契約台帳!$A$3:$K$4986,8,FALSE)&amp;VLOOKUP(D152,契約台帳!$A$3:$K$4986,9,FALSE)&amp;VLOOKUP(D152,契約台帳!$A$3:$K$4986,11,FALSE))</f>
        <v>3HSNMCLBEYK</v>
      </c>
      <c r="G152" s="256" t="str">
        <f>IF(D152="","",VLOOKUP(F152,製品マスタ!$G$5:$H$4999,2,FALSE))</f>
        <v>S</v>
      </c>
      <c r="H152" s="256" t="str">
        <f>IF(D152="","",VLOOKUP(F152,製品マスタ!$G$5:$K$4999,5,FALSE))</f>
        <v>EYK</v>
      </c>
      <c r="I152" s="200" t="str">
        <f>IF(D152="","",VLOOKUP(F152,製品マスタ!$G$5:$L$4999,6,FALSE))</f>
        <v>メタルミー　ＥＹＫ</v>
      </c>
      <c r="J152" s="203" t="s">
        <v>832</v>
      </c>
      <c r="K152" s="200">
        <f>IF(D152="","",VLOOKUP(D152,契約台帳!$A$3:$L$4986,12,FALSE))</f>
        <v>50</v>
      </c>
      <c r="L152" s="200" t="str">
        <f>IF(D152="","",INDEX(製品マスタ!$Q$5:$Q$4999,MATCH('S4'!F152&amp;'S4'!K152,製品マスタ!$AO$5:$AO$4999,0)))</f>
        <v>T62M</v>
      </c>
      <c r="M152" s="37">
        <v>1195</v>
      </c>
      <c r="N152" s="37">
        <v>6100</v>
      </c>
      <c r="O152" s="153">
        <v>6</v>
      </c>
      <c r="P152" s="45">
        <v>2</v>
      </c>
      <c r="Q152" s="206">
        <v>44952</v>
      </c>
      <c r="R152" s="257">
        <f ca="1">IF(D152="","",IF(OFFSET(D152,-1,0)&lt;&gt;"","",IF(OR(J152="リード付け",J152="巻足し",J152="巻返しリード付け"),M152,VLOOKUP(D152,契約台帳!$A$3:$N$4986,14,FALSE))))</f>
        <v>1195</v>
      </c>
      <c r="S152" s="258">
        <f ca="1">IF(D152="","",IF(OFFSET(D152,-1,0)&lt;&gt;"","",IF(OR(J152="リード付け",J152="巻足し",J152="巻返しリード付け"),M152,VLOOKUP(D152,契約台帳!$A$3:$O$4986,15,FALSE))))</f>
        <v>1195</v>
      </c>
      <c r="T152" s="258">
        <f ca="1">IF(D152="","",IF(J152="リード付け",N152,IF(J152="巻返しリード付け",N152,IF(J152="巻足し",N152*P152+OFFSET(N152,1,0)*OFFSET(P152,1,0),VLOOKUP(D152,契約台帳!$A$3:$P$4986,16,FALSE)))))</f>
        <v>12200</v>
      </c>
      <c r="U152" s="38">
        <v>3</v>
      </c>
      <c r="V152" s="259">
        <f ca="1">IF(D152="","",IF(OFFSET(D152,-2,0)=D152,"",VLOOKUP(D152,契約台帳!$A$3:$R$4986,18,FALSE)))</f>
        <v>6</v>
      </c>
      <c r="W152" s="256" t="str">
        <f ca="1">IF(D152="","",IF(T152="","",IF(OR(J152="巻足し",J152="巻返しリード付け"),"",IF(J152="巻返し",VLOOKUP(F152&amp;K152&amp;M152,製品マスタ!$M$5:$AD$4999,18,FALSE),IF(OR(J152="リード付け",J152="巻返しリード付け"),"原反コア",IF(J152="スリット",VLOOKUP(F152&amp;K152&amp;R152,製品マスタ!$N$5:$AD$4999,17,FALSE),""))))))</f>
        <v/>
      </c>
      <c r="X152" s="256" t="str">
        <f ca="1">IF(D152="","",IF(T152="","",IF(J152="巻足し","",IF(J152="巻返し",VLOOKUP(F152&amp;K152&amp;M152,製品マスタ!$M$5:$AE$4999,19,FALSE),IF(OR(J152="リード付け",J152="巻返しリード付け"),"",IF(J152="スリット",VLOOKUP(F152&amp;K152&amp;R152,製品マスタ!$N$5:$AE$4999,18,FALSE),""))))))</f>
        <v/>
      </c>
      <c r="Y152" s="256">
        <f ca="1">IF(D152="","",IF(T152="","",VLOOKUP(D152,契約台帳!$A$3:$Q$4986,17,FALSE)))</f>
        <v>2</v>
      </c>
      <c r="Z152" s="256" t="str">
        <f ca="1">IF(D152="","",IF(T152="","",VLOOKUP(D152,契約台帳!$A$3:$E$4986,5,FALSE)))</f>
        <v>大阪シーリング印刷㈱</v>
      </c>
      <c r="AA152" s="54"/>
      <c r="AB152" s="200" t="str">
        <f>IFERROR((VLOOKUP(F152&amp;K152&amp;M152,製品マスタ!$M$5:$AM$4999,27,FALSE)),"")</f>
        <v>原反ケース再利用</v>
      </c>
      <c r="AC152" s="31"/>
      <c r="AD152" s="184"/>
      <c r="AE152" s="51"/>
      <c r="AF152" s="52"/>
      <c r="AG152" s="41"/>
      <c r="AH152" s="45"/>
      <c r="AI152" s="28"/>
      <c r="AJ152" s="28"/>
      <c r="AK152" s="28"/>
      <c r="AL152" s="28"/>
      <c r="AM152" s="12"/>
      <c r="AN152" s="12"/>
      <c r="AO152" s="12"/>
      <c r="AP152" s="12"/>
      <c r="AQ152" s="12"/>
      <c r="AR152" s="13"/>
      <c r="AS152" s="14"/>
    </row>
    <row r="153" spans="1:45" s="16" customFormat="1" ht="30.95" hidden="1" customHeight="1" x14ac:dyDescent="0.2">
      <c r="A153" s="35"/>
      <c r="B153" s="36"/>
      <c r="C153" s="43"/>
      <c r="D153" s="29"/>
      <c r="E153" s="29"/>
      <c r="F153" s="255" t="str">
        <f>IF(D153="","",VLOOKUP(D153,契約台帳!$A$3:$K$4986,6,FALSE)&amp;VLOOKUP(D153,契約台帳!$A$3:$K$4986,7,FALSE)&amp;VLOOKUP(D153,契約台帳!$A$3:$K$4986,8,FALSE)&amp;VLOOKUP(D153,契約台帳!$A$3:$K$4986,9,FALSE)&amp;VLOOKUP(D153,契約台帳!$A$3:$K$4986,11,FALSE))</f>
        <v/>
      </c>
      <c r="G153" s="256" t="str">
        <f>IF(D153="","",VLOOKUP(F153,製品マスタ!$G$5:$H$4999,2,FALSE))</f>
        <v/>
      </c>
      <c r="H153" s="256" t="str">
        <f>IF(D153="","",VLOOKUP(F153,製品マスタ!$G$5:$K$4999,5,FALSE))</f>
        <v/>
      </c>
      <c r="I153" s="200" t="str">
        <f>IF(D153="","",VLOOKUP(F153,製品マスタ!$G$5:$L$4999,6,FALSE))</f>
        <v/>
      </c>
      <c r="J153" s="203"/>
      <c r="K153" s="200" t="str">
        <f>IF(D153="","",VLOOKUP(D153,契約台帳!$A$3:$L$4986,12,FALSE))</f>
        <v/>
      </c>
      <c r="L153" s="200" t="str">
        <f>IF(D153="","",INDEX(製品マスタ!$Q$5:$Q$4999,MATCH('S4'!F153&amp;'S4'!K153,製品マスタ!$AO$5:$AO$4999,0)))</f>
        <v/>
      </c>
      <c r="M153" s="37"/>
      <c r="N153" s="37"/>
      <c r="O153" s="153"/>
      <c r="P153" s="45"/>
      <c r="Q153" s="54"/>
      <c r="R153" s="257" t="str">
        <f ca="1">IF(D153="","",IF(OFFSET(D153,-1,0)&lt;&gt;"","",IF(OR(J153="リード付け",J153="巻足し",J153="巻返しリード付け"),M153,VLOOKUP(D153,契約台帳!$A$3:$N$4986,14,FALSE))))</f>
        <v/>
      </c>
      <c r="S153" s="258" t="str">
        <f ca="1">IF(D153="","",IF(OFFSET(D153,-1,0)&lt;&gt;"","",IF(OR(J153="リード付け",J153="巻足し",J153="巻返しリード付け"),M153,VLOOKUP(D153,契約台帳!$A$3:$O$4986,15,FALSE))))</f>
        <v/>
      </c>
      <c r="T153" s="258" t="str">
        <f ca="1">IF(D153="","",IF(J153="リード付け",N153,IF(J153="巻返しリード付け",N153,IF(J153="巻足し",N153*P153+OFFSET(N153,1,0)*OFFSET(P153,1,0),VLOOKUP(D153,契約台帳!$A$3:$P$4986,16,FALSE)))))</f>
        <v/>
      </c>
      <c r="U153" s="38"/>
      <c r="V153" s="259" t="str">
        <f ca="1">IF(D153="","",IF(OFFSET(D153,-2,0)=D153,"",VLOOKUP(D153,契約台帳!$A$3:$R$4986,18,FALSE)))</f>
        <v/>
      </c>
      <c r="W153" s="256" t="str">
        <f>IF(D153="","",IF(T153="","",IF(OR(J153="巻足し",J153="巻返しリード付け"),"",IF(J153="巻返し",VLOOKUP(F153&amp;K153&amp;M153,製品マスタ!$M$5:$AD$4999,18,FALSE),IF(OR(J153="リード付け",J153="巻返しリード付け"),"原反コア",IF(J153="スリット",VLOOKUP(F153&amp;K153&amp;R153,製品マスタ!$N$5:$AD$4999,17,FALSE),""))))))</f>
        <v/>
      </c>
      <c r="X153" s="256" t="str">
        <f>IF(D153="","",IF(T153="","",IF(J153="巻足し","",IF(J153="巻返し",VLOOKUP(F153&amp;K153&amp;M153,製品マスタ!$M$5:$AE$4999,19,FALSE),IF(OR(J153="リード付け",J153="巻返しリード付け"),"",IF(J153="スリット",VLOOKUP(F153&amp;K153&amp;R153,製品マスタ!$N$5:$AE$4999,18,FALSE),""))))))</f>
        <v/>
      </c>
      <c r="Y153" s="256" t="str">
        <f>IF(D153="","",IF(T153="","",VLOOKUP(D153,契約台帳!$A$3:$Q$4986,17,FALSE)))</f>
        <v/>
      </c>
      <c r="Z153" s="256" t="str">
        <f>IF(D153="","",IF(T153="","",VLOOKUP(D153,契約台帳!$A$3:$E$4986,5,FALSE)))</f>
        <v/>
      </c>
      <c r="AA153" s="54"/>
      <c r="AB153" s="200" t="str">
        <f>IFERROR((VLOOKUP(F153&amp;K153&amp;M153,製品マスタ!$M$5:$AM$4999,27,FALSE)),"")</f>
        <v/>
      </c>
      <c r="AC153" s="31"/>
      <c r="AD153" s="184"/>
      <c r="AE153" s="51"/>
      <c r="AF153" s="52"/>
      <c r="AG153" s="41"/>
      <c r="AH153" s="45"/>
      <c r="AI153" s="28"/>
      <c r="AJ153" s="28"/>
      <c r="AK153" s="28"/>
      <c r="AL153" s="28"/>
      <c r="AM153" s="12"/>
      <c r="AN153" s="12"/>
      <c r="AO153" s="12"/>
      <c r="AP153" s="12"/>
      <c r="AQ153" s="12"/>
      <c r="AR153" s="13"/>
      <c r="AS153" s="14"/>
    </row>
    <row r="154" spans="1:45" s="16" customFormat="1" ht="30.95" hidden="1" customHeight="1" x14ac:dyDescent="0.2">
      <c r="A154" s="35" t="s">
        <v>857</v>
      </c>
      <c r="B154" s="36" t="s">
        <v>858</v>
      </c>
      <c r="C154" s="43"/>
      <c r="D154" s="29">
        <v>3697656</v>
      </c>
      <c r="E154" s="29">
        <v>4161820</v>
      </c>
      <c r="F154" s="255" t="str">
        <f>IF(D154="","",VLOOKUP(D154,契約台帳!$A$3:$K$4986,6,FALSE)&amp;VLOOKUP(D154,契約台帳!$A$3:$K$4986,7,FALSE)&amp;VLOOKUP(D154,契約台帳!$A$3:$K$4986,8,FALSE)&amp;VLOOKUP(D154,契約台帳!$A$3:$K$4986,9,FALSE)&amp;VLOOKUP(D154,契約台帳!$A$3:$K$4986,11,FALSE))</f>
        <v>3SNMCLBEYK</v>
      </c>
      <c r="G154" s="256" t="str">
        <f>IF(D154="","",VLOOKUP(F154,製品マスタ!$G$5:$H$4999,2,FALSE))</f>
        <v>S</v>
      </c>
      <c r="H154" s="256" t="str">
        <f>IF(D154="","",VLOOKUP(F154,製品マスタ!$G$5:$K$4999,5,FALSE))</f>
        <v>EYK</v>
      </c>
      <c r="I154" s="200" t="str">
        <f>IF(D154="","",VLOOKUP(F154,製品マスタ!$G$5:$L$4999,6,FALSE))</f>
        <v>メタルミー　ＥＹＫ</v>
      </c>
      <c r="J154" s="203" t="s">
        <v>832</v>
      </c>
      <c r="K154" s="200">
        <f>IF(D154="","",VLOOKUP(D154,契約台帳!$A$3:$L$4986,12,FALSE))</f>
        <v>50</v>
      </c>
      <c r="L154" s="200" t="str">
        <f>IF(D154="","",INDEX(製品マスタ!$Q$5:$Q$4999,MATCH('S4'!F154&amp;'S4'!K154,製品マスタ!$AO$5:$AO$4999,0)))</f>
        <v>T62M</v>
      </c>
      <c r="M154" s="37">
        <v>1125</v>
      </c>
      <c r="N154" s="37">
        <v>6100</v>
      </c>
      <c r="O154" s="153">
        <v>4</v>
      </c>
      <c r="P154" s="45">
        <v>2</v>
      </c>
      <c r="Q154" s="206">
        <v>44952</v>
      </c>
      <c r="R154" s="257">
        <f ca="1">IF(D154="","",IF(OFFSET(D154,-1,0)&lt;&gt;"","",IF(OR(J154="リード付け",J154="巻足し",J154="巻返しリード付け"),M154,VLOOKUP(D154,契約台帳!$A$3:$N$4986,14,FALSE))))</f>
        <v>1125</v>
      </c>
      <c r="S154" s="258">
        <f ca="1">IF(D154="","",IF(OFFSET(D154,-1,0)&lt;&gt;"","",IF(OR(J154="リード付け",J154="巻足し",J154="巻返しリード付け"),M154,VLOOKUP(D154,契約台帳!$A$3:$O$4986,15,FALSE))))</f>
        <v>1125</v>
      </c>
      <c r="T154" s="258">
        <f ca="1">IF(D154="","",IF(J154="リード付け",N154,IF(J154="巻返しリード付け",N154,IF(J154="巻足し",N154*P154+OFFSET(N154,1,0)*OFFSET(P154,1,0),VLOOKUP(D154,契約台帳!$A$3:$P$4986,16,FALSE)))))</f>
        <v>12200</v>
      </c>
      <c r="U154" s="38">
        <v>2</v>
      </c>
      <c r="V154" s="259">
        <f ca="1">IF(D154="","",IF(OFFSET(D154,-2,0)=D154,"",VLOOKUP(D154,契約台帳!$A$3:$R$4986,18,FALSE)))</f>
        <v>4</v>
      </c>
      <c r="W154" s="256" t="str">
        <f ca="1">IF(D154="","",IF(T154="","",IF(OR(J154="巻足し",J154="巻返しリード付け"),"",IF(J154="巻返し",VLOOKUP(F154&amp;K154&amp;M154,製品マスタ!$M$5:$AD$4999,18,FALSE),IF(OR(J154="リード付け",J154="巻返しリード付け"),"原反コア",IF(J154="スリット",VLOOKUP(F154&amp;K154&amp;R154,製品マスタ!$N$5:$AD$4999,17,FALSE),""))))))</f>
        <v/>
      </c>
      <c r="X154" s="256" t="str">
        <f ca="1">IF(D154="","",IF(T154="","",IF(J154="巻足し","",IF(J154="巻返し",VLOOKUP(F154&amp;K154&amp;M154,製品マスタ!$M$5:$AE$4999,19,FALSE),IF(OR(J154="リード付け",J154="巻返しリード付け"),"",IF(J154="スリット",VLOOKUP(F154&amp;K154&amp;R154,製品マスタ!$N$5:$AE$4999,18,FALSE),""))))))</f>
        <v/>
      </c>
      <c r="Y154" s="256">
        <f ca="1">IF(D154="","",IF(T154="","",VLOOKUP(D154,契約台帳!$A$3:$Q$4986,17,FALSE)))</f>
        <v>2</v>
      </c>
      <c r="Z154" s="256" t="str">
        <f ca="1">IF(D154="","",IF(T154="","",VLOOKUP(D154,契約台帳!$A$3:$E$4986,5,FALSE)))</f>
        <v>新タック化成㈱</v>
      </c>
      <c r="AA154" s="54"/>
      <c r="AB154" s="200" t="str">
        <f>IFERROR((VLOOKUP(F154&amp;K154&amp;M154,製品マスタ!$M$5:$AM$4999,27,FALSE)),"")</f>
        <v>原反ケース再利用</v>
      </c>
      <c r="AC154" s="31"/>
      <c r="AD154" s="184"/>
      <c r="AE154" s="51"/>
      <c r="AF154" s="52"/>
      <c r="AG154" s="41"/>
      <c r="AH154" s="45"/>
      <c r="AI154" s="28"/>
      <c r="AJ154" s="28"/>
      <c r="AK154" s="28"/>
      <c r="AL154" s="28"/>
      <c r="AM154" s="12"/>
      <c r="AN154" s="12"/>
      <c r="AO154" s="12"/>
      <c r="AP154" s="12"/>
      <c r="AQ154" s="12"/>
      <c r="AR154" s="13"/>
      <c r="AS154" s="14"/>
    </row>
    <row r="155" spans="1:45" s="16" customFormat="1" ht="30.95" hidden="1" customHeight="1" x14ac:dyDescent="0.2">
      <c r="A155" s="35"/>
      <c r="B155" s="36"/>
      <c r="C155" s="43"/>
      <c r="D155" s="29"/>
      <c r="E155" s="29"/>
      <c r="F155" s="255" t="str">
        <f>IF(D155="","",VLOOKUP(D155,契約台帳!$A$3:$K$4986,6,FALSE)&amp;VLOOKUP(D155,契約台帳!$A$3:$K$4986,7,FALSE)&amp;VLOOKUP(D155,契約台帳!$A$3:$K$4986,8,FALSE)&amp;VLOOKUP(D155,契約台帳!$A$3:$K$4986,9,FALSE)&amp;VLOOKUP(D155,契約台帳!$A$3:$K$4986,11,FALSE))</f>
        <v/>
      </c>
      <c r="G155" s="256" t="str">
        <f>IF(D155="","",VLOOKUP(F155,製品マスタ!$G$5:$H$4999,2,FALSE))</f>
        <v/>
      </c>
      <c r="H155" s="256" t="str">
        <f>IF(D155="","",VLOOKUP(F155,製品マスタ!$G$5:$K$4999,5,FALSE))</f>
        <v/>
      </c>
      <c r="I155" s="200" t="str">
        <f>IF(D155="","",VLOOKUP(F155,製品マスタ!$G$5:$L$4999,6,FALSE))</f>
        <v/>
      </c>
      <c r="J155" s="203"/>
      <c r="K155" s="200" t="str">
        <f>IF(D155="","",VLOOKUP(D155,契約台帳!$A$3:$L$4986,12,FALSE))</f>
        <v/>
      </c>
      <c r="L155" s="200" t="str">
        <f>IF(D155="","",INDEX(製品マスタ!$Q$5:$Q$4999,MATCH('S4'!F155&amp;'S4'!K155,製品マスタ!$AO$5:$AO$4999,0)))</f>
        <v/>
      </c>
      <c r="M155" s="37"/>
      <c r="N155" s="37"/>
      <c r="O155" s="153"/>
      <c r="P155" s="45"/>
      <c r="Q155" s="54"/>
      <c r="R155" s="257" t="str">
        <f ca="1">IF(D155="","",IF(OFFSET(D155,-1,0)&lt;&gt;"","",IF(OR(J155="リード付け",J155="巻足し",J155="巻返しリード付け"),M155,VLOOKUP(D155,契約台帳!$A$3:$N$4986,14,FALSE))))</f>
        <v/>
      </c>
      <c r="S155" s="258" t="str">
        <f ca="1">IF(D155="","",IF(OFFSET(D155,-1,0)&lt;&gt;"","",IF(OR(J155="リード付け",J155="巻足し",J155="巻返しリード付け"),M155,VLOOKUP(D155,契約台帳!$A$3:$O$4986,15,FALSE))))</f>
        <v/>
      </c>
      <c r="T155" s="258" t="str">
        <f ca="1">IF(D155="","",IF(J155="リード付け",N155,IF(J155="巻返しリード付け",N155,IF(J155="巻足し",N155*P155+OFFSET(N155,1,0)*OFFSET(P155,1,0),VLOOKUP(D155,契約台帳!$A$3:$P$4986,16,FALSE)))))</f>
        <v/>
      </c>
      <c r="U155" s="38"/>
      <c r="V155" s="259" t="str">
        <f ca="1">IF(D155="","",IF(OFFSET(D155,-2,0)=D155,"",VLOOKUP(D155,契約台帳!$A$3:$R$4986,18,FALSE)))</f>
        <v/>
      </c>
      <c r="W155" s="256" t="str">
        <f>IF(D155="","",IF(T155="","",IF(OR(J155="巻足し",J155="巻返しリード付け"),"",IF(J155="巻返し",VLOOKUP(F155&amp;K155&amp;M155,製品マスタ!$M$5:$AD$4999,18,FALSE),IF(OR(J155="リード付け",J155="巻返しリード付け"),"原反コア",IF(J155="スリット",VLOOKUP(F155&amp;K155&amp;R155,製品マスタ!$N$5:$AD$4999,17,FALSE),""))))))</f>
        <v/>
      </c>
      <c r="X155" s="256" t="str">
        <f>IF(D155="","",IF(T155="","",IF(J155="巻足し","",IF(J155="巻返し",VLOOKUP(F155&amp;K155&amp;M155,製品マスタ!$M$5:$AE$4999,19,FALSE),IF(OR(J155="リード付け",J155="巻返しリード付け"),"",IF(J155="スリット",VLOOKUP(F155&amp;K155&amp;R155,製品マスタ!$N$5:$AE$4999,18,FALSE),""))))))</f>
        <v/>
      </c>
      <c r="Y155" s="256" t="str">
        <f>IF(D155="","",IF(T155="","",VLOOKUP(D155,契約台帳!$A$3:$Q$4986,17,FALSE)))</f>
        <v/>
      </c>
      <c r="Z155" s="256" t="str">
        <f>IF(D155="","",IF(T155="","",VLOOKUP(D155,契約台帳!$A$3:$E$4986,5,FALSE)))</f>
        <v/>
      </c>
      <c r="AA155" s="54"/>
      <c r="AB155" s="200" t="str">
        <f>IFERROR((VLOOKUP(F155&amp;K155&amp;M155,製品マスタ!$M$5:$AM$4999,27,FALSE)),"")</f>
        <v/>
      </c>
      <c r="AC155" s="31"/>
      <c r="AD155" s="184"/>
      <c r="AE155" s="51"/>
      <c r="AF155" s="52"/>
      <c r="AG155" s="41"/>
      <c r="AH155" s="45"/>
      <c r="AI155" s="28"/>
      <c r="AJ155" s="28"/>
      <c r="AK155" s="28"/>
      <c r="AL155" s="28"/>
      <c r="AM155" s="12"/>
      <c r="AN155" s="12"/>
      <c r="AO155" s="12"/>
      <c r="AP155" s="12"/>
      <c r="AQ155" s="12"/>
      <c r="AR155" s="13"/>
      <c r="AS155" s="14"/>
    </row>
    <row r="156" spans="1:45" s="16" customFormat="1" ht="30.95" hidden="1" customHeight="1" x14ac:dyDescent="0.2">
      <c r="A156" s="35"/>
      <c r="B156" s="36"/>
      <c r="C156" s="43"/>
      <c r="D156" s="29">
        <v>3697664</v>
      </c>
      <c r="E156" s="29">
        <v>4161806</v>
      </c>
      <c r="F156" s="255" t="str">
        <f>IF(D156="","",VLOOKUP(D156,契約台帳!$A$3:$K$4986,6,FALSE)&amp;VLOOKUP(D156,契約台帳!$A$3:$K$4986,7,FALSE)&amp;VLOOKUP(D156,契約台帳!$A$3:$K$4986,8,FALSE)&amp;VLOOKUP(D156,契約台帳!$A$3:$K$4986,9,FALSE)&amp;VLOOKUP(D156,契約台帳!$A$3:$K$4986,11,FALSE))</f>
        <v>3SNMLBMNGTBF</v>
      </c>
      <c r="G156" s="256" t="str">
        <f>IF(D156="","",VLOOKUP(F156,製品マスタ!$G$5:$H$4999,2,FALSE))</f>
        <v>S</v>
      </c>
      <c r="H156" s="256" t="str">
        <f>IF(D156="","",VLOOKUP(F156,製品マスタ!$G$5:$K$4999,5,FALSE))</f>
        <v>MNGTBF</v>
      </c>
      <c r="I156" s="200" t="str">
        <f>IF(D156="","",VLOOKUP(F156,製品マスタ!$G$5:$L$4999,6,FALSE))</f>
        <v>メタルミー　ネーマー　銀艶　Ｂ</v>
      </c>
      <c r="J156" s="203" t="s">
        <v>832</v>
      </c>
      <c r="K156" s="200">
        <f>IF(D156="","",VLOOKUP(D156,契約台帳!$A$3:$L$4986,12,FALSE))</f>
        <v>50</v>
      </c>
      <c r="L156" s="200" t="str">
        <f>IF(D156="","",INDEX(製品マスタ!$Q$5:$Q$4999,MATCH('S4'!F156&amp;'S4'!K156,製品マスタ!$AO$5:$AO$4999,0)))</f>
        <v>T62</v>
      </c>
      <c r="M156" s="37">
        <v>1120</v>
      </c>
      <c r="N156" s="37">
        <v>5000</v>
      </c>
      <c r="O156" s="153">
        <v>12</v>
      </c>
      <c r="P156" s="45">
        <v>2</v>
      </c>
      <c r="Q156" s="206">
        <v>44952</v>
      </c>
      <c r="R156" s="257">
        <f ca="1">IF(D156="","",IF(OFFSET(D156,-1,0)&lt;&gt;"","",IF(OR(J156="リード付け",J156="巻足し",J156="巻返しリード付け"),M156,VLOOKUP(D156,契約台帳!$A$3:$N$4986,14,FALSE))))</f>
        <v>1120</v>
      </c>
      <c r="S156" s="258">
        <f ca="1">IF(D156="","",IF(OFFSET(D156,-1,0)&lt;&gt;"","",IF(OR(J156="リード付け",J156="巻足し",J156="巻返しリード付け"),M156,VLOOKUP(D156,契約台帳!$A$3:$O$4986,15,FALSE))))</f>
        <v>1120</v>
      </c>
      <c r="T156" s="258">
        <f ca="1">IF(D156="","",IF(J156="リード付け",N156,IF(J156="巻返しリード付け",N156,IF(J156="巻足し",N156*P156+OFFSET(N156,1,0)*OFFSET(P156,1,0),VLOOKUP(D156,契約台帳!$A$3:$P$4986,16,FALSE)))))</f>
        <v>10000</v>
      </c>
      <c r="U156" s="38">
        <v>6</v>
      </c>
      <c r="V156" s="259">
        <f ca="1">IF(D156="","",IF(OFFSET(D156,-2,0)=D156,"",VLOOKUP(D156,契約台帳!$A$3:$R$4986,18,FALSE)))</f>
        <v>12</v>
      </c>
      <c r="W156" s="256" t="str">
        <f ca="1">IF(D156="","",IF(T156="","",IF(OR(J156="巻足し",J156="巻返しリード付け"),"",IF(J156="巻返し",VLOOKUP(F156&amp;K156&amp;M156,製品マスタ!$M$5:$AD$4999,18,FALSE),IF(OR(J156="リード付け",J156="巻返しリード付け"),"原反コア",IF(J156="スリット",VLOOKUP(F156&amp;K156&amp;R156,製品マスタ!$N$5:$AD$4999,17,FALSE),""))))))</f>
        <v/>
      </c>
      <c r="X156" s="256" t="str">
        <f ca="1">IF(D156="","",IF(T156="","",IF(J156="巻足し","",IF(J156="巻返し",VLOOKUP(F156&amp;K156&amp;M156,製品マスタ!$M$5:$AE$4999,19,FALSE),IF(OR(J156="リード付け",J156="巻返しリード付け"),"",IF(J156="スリット",VLOOKUP(F156&amp;K156&amp;R156,製品マスタ!$N$5:$AE$4999,18,FALSE),""))))))</f>
        <v/>
      </c>
      <c r="Y156" s="256">
        <f ca="1">IF(D156="","",IF(T156="","",VLOOKUP(D156,契約台帳!$A$3:$Q$4986,17,FALSE)))</f>
        <v>2</v>
      </c>
      <c r="Z156" s="256" t="str">
        <f ca="1">IF(D156="","",IF(T156="","",VLOOKUP(D156,契約台帳!$A$3:$E$4986,5,FALSE)))</f>
        <v>リンテック㈱</v>
      </c>
      <c r="AA156" s="54"/>
      <c r="AB156" s="200" t="str">
        <f>IFERROR((VLOOKUP(F156&amp;K156&amp;M156,製品マスタ!$M$5:$AM$4999,27,FALSE)),"")</f>
        <v>原反ケース再利用</v>
      </c>
      <c r="AC156" s="31"/>
      <c r="AD156" s="184"/>
      <c r="AE156" s="51"/>
      <c r="AF156" s="52"/>
      <c r="AG156" s="41"/>
      <c r="AH156" s="45"/>
      <c r="AI156" s="28"/>
      <c r="AJ156" s="28"/>
      <c r="AK156" s="28"/>
      <c r="AL156" s="28"/>
      <c r="AM156" s="12"/>
      <c r="AN156" s="12"/>
      <c r="AO156" s="12"/>
      <c r="AP156" s="12"/>
      <c r="AQ156" s="12"/>
      <c r="AR156" s="13"/>
      <c r="AS156" s="14"/>
    </row>
    <row r="157" spans="1:45" s="16" customFormat="1" ht="30.95" hidden="1" customHeight="1" x14ac:dyDescent="0.2">
      <c r="A157" s="35"/>
      <c r="B157" s="36"/>
      <c r="C157" s="43"/>
      <c r="D157" s="29"/>
      <c r="E157" s="29"/>
      <c r="F157" s="255" t="str">
        <f>IF(D157="","",VLOOKUP(D157,契約台帳!$A$3:$K$4986,6,FALSE)&amp;VLOOKUP(D157,契約台帳!$A$3:$K$4986,7,FALSE)&amp;VLOOKUP(D157,契約台帳!$A$3:$K$4986,8,FALSE)&amp;VLOOKUP(D157,契約台帳!$A$3:$K$4986,9,FALSE)&amp;VLOOKUP(D157,契約台帳!$A$3:$K$4986,11,FALSE))</f>
        <v/>
      </c>
      <c r="G157" s="256" t="str">
        <f>IF(D157="","",VLOOKUP(F157,製品マスタ!$G$5:$H$4999,2,FALSE))</f>
        <v/>
      </c>
      <c r="H157" s="256" t="str">
        <f>IF(D157="","",VLOOKUP(F157,製品マスタ!$G$5:$K$4999,5,FALSE))</f>
        <v/>
      </c>
      <c r="I157" s="200" t="str">
        <f>IF(D157="","",VLOOKUP(F157,製品マスタ!$G$5:$L$4999,6,FALSE))</f>
        <v/>
      </c>
      <c r="J157" s="203"/>
      <c r="K157" s="200" t="str">
        <f>IF(D157="","",VLOOKUP(D157,契約台帳!$A$3:$L$4986,12,FALSE))</f>
        <v/>
      </c>
      <c r="L157" s="200" t="str">
        <f>IF(D157="","",INDEX(製品マスタ!$Q$5:$Q$4999,MATCH('S4'!F157&amp;'S4'!K157,製品マスタ!$AO$5:$AO$4999,0)))</f>
        <v/>
      </c>
      <c r="M157" s="37"/>
      <c r="N157" s="37"/>
      <c r="O157" s="153"/>
      <c r="P157" s="45"/>
      <c r="Q157" s="54"/>
      <c r="R157" s="257" t="str">
        <f ca="1">IF(D157="","",IF(OFFSET(D157,-1,0)&lt;&gt;"","",IF(OR(J157="リード付け",J157="巻足し",J157="巻返しリード付け"),M157,VLOOKUP(D157,契約台帳!$A$3:$N$4986,14,FALSE))))</f>
        <v/>
      </c>
      <c r="S157" s="258" t="str">
        <f ca="1">IF(D157="","",IF(OFFSET(D157,-1,0)&lt;&gt;"","",IF(OR(J157="リード付け",J157="巻足し",J157="巻返しリード付け"),M157,VLOOKUP(D157,契約台帳!$A$3:$O$4986,15,FALSE))))</f>
        <v/>
      </c>
      <c r="T157" s="258" t="str">
        <f ca="1">IF(D157="","",IF(J157="リード付け",N157,IF(J157="巻返しリード付け",N157,IF(J157="巻足し",N157*P157+OFFSET(N157,1,0)*OFFSET(P157,1,0),VLOOKUP(D157,契約台帳!$A$3:$P$4986,16,FALSE)))))</f>
        <v/>
      </c>
      <c r="U157" s="38"/>
      <c r="V157" s="259" t="str">
        <f ca="1">IF(D157="","",IF(OFFSET(D157,-2,0)=D157,"",VLOOKUP(D157,契約台帳!$A$3:$R$4986,18,FALSE)))</f>
        <v/>
      </c>
      <c r="W157" s="256" t="str">
        <f>IF(D157="","",IF(T157="","",IF(OR(J157="巻足し",J157="巻返しリード付け"),"",IF(J157="巻返し",VLOOKUP(F157&amp;K157&amp;M157,製品マスタ!$M$5:$AD$4999,18,FALSE),IF(OR(J157="リード付け",J157="巻返しリード付け"),"原反コア",IF(J157="スリット",VLOOKUP(F157&amp;K157&amp;R157,製品マスタ!$N$5:$AD$4999,17,FALSE),""))))))</f>
        <v/>
      </c>
      <c r="X157" s="256" t="str">
        <f>IF(D157="","",IF(T157="","",IF(J157="巻足し","",IF(J157="巻返し",VLOOKUP(F157&amp;K157&amp;M157,製品マスタ!$M$5:$AE$4999,19,FALSE),IF(OR(J157="リード付け",J157="巻返しリード付け"),"",IF(J157="スリット",VLOOKUP(F157&amp;K157&amp;R157,製品マスタ!$N$5:$AE$4999,18,FALSE),""))))))</f>
        <v/>
      </c>
      <c r="Y157" s="256" t="str">
        <f>IF(D157="","",IF(T157="","",VLOOKUP(D157,契約台帳!$A$3:$Q$4986,17,FALSE)))</f>
        <v/>
      </c>
      <c r="Z157" s="256" t="str">
        <f>IF(D157="","",IF(T157="","",VLOOKUP(D157,契約台帳!$A$3:$E$4986,5,FALSE)))</f>
        <v/>
      </c>
      <c r="AA157" s="54"/>
      <c r="AB157" s="200" t="str">
        <f>IFERROR((VLOOKUP(F157&amp;K157&amp;M157,製品マスタ!$M$5:$AM$4999,27,FALSE)),"")</f>
        <v/>
      </c>
      <c r="AC157" s="31"/>
      <c r="AD157" s="184"/>
      <c r="AE157" s="51"/>
      <c r="AF157" s="52"/>
      <c r="AG157" s="41"/>
      <c r="AH157" s="45"/>
      <c r="AI157" s="28"/>
      <c r="AJ157" s="28"/>
      <c r="AK157" s="28"/>
      <c r="AL157" s="28"/>
      <c r="AM157" s="12"/>
      <c r="AN157" s="12"/>
      <c r="AO157" s="12"/>
      <c r="AP157" s="12"/>
      <c r="AQ157" s="12"/>
      <c r="AR157" s="13"/>
      <c r="AS157" s="14"/>
    </row>
    <row r="158" spans="1:45" s="16" customFormat="1" ht="30.95" hidden="1" customHeight="1" x14ac:dyDescent="0.2">
      <c r="A158" s="35" t="s">
        <v>859</v>
      </c>
      <c r="B158" s="36" t="s">
        <v>860</v>
      </c>
      <c r="C158" s="43"/>
      <c r="D158" s="29">
        <v>3697665</v>
      </c>
      <c r="E158" s="29">
        <v>4161807</v>
      </c>
      <c r="F158" s="255" t="str">
        <f>IF(D158="","",VLOOKUP(D158,契約台帳!$A$3:$K$4986,6,FALSE)&amp;VLOOKUP(D158,契約台帳!$A$3:$K$4986,7,FALSE)&amp;VLOOKUP(D158,契約台帳!$A$3:$K$4986,8,FALSE)&amp;VLOOKUP(D158,契約台帳!$A$3:$K$4986,9,FALSE)&amp;VLOOKUP(D158,契約台帳!$A$3:$K$4986,11,FALSE))</f>
        <v>3SNMLBMNGTBF</v>
      </c>
      <c r="G158" s="256" t="str">
        <f>IF(D158="","",VLOOKUP(F158,製品マスタ!$G$5:$H$4999,2,FALSE))</f>
        <v>S</v>
      </c>
      <c r="H158" s="256" t="str">
        <f>IF(D158="","",VLOOKUP(F158,製品マスタ!$G$5:$K$4999,5,FALSE))</f>
        <v>MNGTBF</v>
      </c>
      <c r="I158" s="200" t="str">
        <f>IF(D158="","",VLOOKUP(F158,製品マスタ!$G$5:$L$4999,6,FALSE))</f>
        <v>メタルミー　ネーマー　銀艶　Ｂ</v>
      </c>
      <c r="J158" s="203" t="s">
        <v>832</v>
      </c>
      <c r="K158" s="200">
        <f>IF(D158="","",VLOOKUP(D158,契約台帳!$A$3:$L$4986,12,FALSE))</f>
        <v>50</v>
      </c>
      <c r="L158" s="200" t="str">
        <f>IF(D158="","",INDEX(製品マスタ!$Q$5:$Q$4999,MATCH('S4'!F158&amp;'S4'!K158,製品マスタ!$AO$5:$AO$4999,0)))</f>
        <v>T62</v>
      </c>
      <c r="M158" s="37">
        <v>1120</v>
      </c>
      <c r="N158" s="37">
        <v>5000</v>
      </c>
      <c r="O158" s="153">
        <v>8</v>
      </c>
      <c r="P158" s="45">
        <v>2</v>
      </c>
      <c r="Q158" s="206">
        <v>44952</v>
      </c>
      <c r="R158" s="257">
        <f ca="1">IF(D158="","",IF(OFFSET(D158,-1,0)&lt;&gt;"","",IF(OR(J158="リード付け",J158="巻足し",J158="巻返しリード付け"),M158,VLOOKUP(D158,契約台帳!$A$3:$N$4986,14,FALSE))))</f>
        <v>1120</v>
      </c>
      <c r="S158" s="258">
        <f ca="1">IF(D158="","",IF(OFFSET(D158,-1,0)&lt;&gt;"","",IF(OR(J158="リード付け",J158="巻足し",J158="巻返しリード付け"),M158,VLOOKUP(D158,契約台帳!$A$3:$O$4986,15,FALSE))))</f>
        <v>1120</v>
      </c>
      <c r="T158" s="258">
        <f ca="1">IF(D158="","",IF(J158="リード付け",N158,IF(J158="巻返しリード付け",N158,IF(J158="巻足し",N158*P158+OFFSET(N158,1,0)*OFFSET(P158,1,0),VLOOKUP(D158,契約台帳!$A$3:$P$4986,16,FALSE)))))</f>
        <v>10000</v>
      </c>
      <c r="U158" s="38">
        <v>4</v>
      </c>
      <c r="V158" s="259">
        <f ca="1">IF(D158="","",IF(OFFSET(D158,-2,0)=D158,"",VLOOKUP(D158,契約台帳!$A$3:$R$4986,18,FALSE)))</f>
        <v>12</v>
      </c>
      <c r="W158" s="256" t="str">
        <f ca="1">IF(D158="","",IF(T158="","",IF(OR(J158="巻足し",J158="巻返しリード付け"),"",IF(J158="巻返し",VLOOKUP(F158&amp;K158&amp;M158,製品マスタ!$M$5:$AD$4999,18,FALSE),IF(OR(J158="リード付け",J158="巻返しリード付け"),"原反コア",IF(J158="スリット",VLOOKUP(F158&amp;K158&amp;R158,製品マスタ!$N$5:$AD$4999,17,FALSE),""))))))</f>
        <v/>
      </c>
      <c r="X158" s="256" t="str">
        <f ca="1">IF(D158="","",IF(T158="","",IF(J158="巻足し","",IF(J158="巻返し",VLOOKUP(F158&amp;K158&amp;M158,製品マスタ!$M$5:$AE$4999,19,FALSE),IF(OR(J158="リード付け",J158="巻返しリード付け"),"",IF(J158="スリット",VLOOKUP(F158&amp;K158&amp;R158,製品マスタ!$N$5:$AE$4999,18,FALSE),""))))))</f>
        <v/>
      </c>
      <c r="Y158" s="256">
        <f ca="1">IF(D158="","",IF(T158="","",VLOOKUP(D158,契約台帳!$A$3:$Q$4986,17,FALSE)))</f>
        <v>2</v>
      </c>
      <c r="Z158" s="256" t="str">
        <f ca="1">IF(D158="","",IF(T158="","",VLOOKUP(D158,契約台帳!$A$3:$E$4986,5,FALSE)))</f>
        <v>リンテック㈱</v>
      </c>
      <c r="AA158" s="54"/>
      <c r="AB158" s="200" t="str">
        <f>IFERROR((VLOOKUP(F158&amp;K158&amp;M158,製品マスタ!$M$5:$AM$4999,27,FALSE)),"")</f>
        <v>原反ケース再利用</v>
      </c>
      <c r="AC158" s="31"/>
      <c r="AD158" s="184"/>
      <c r="AE158" s="51"/>
      <c r="AF158" s="52"/>
      <c r="AG158" s="41"/>
      <c r="AH158" s="45"/>
      <c r="AI158" s="28"/>
      <c r="AJ158" s="28"/>
      <c r="AK158" s="28"/>
      <c r="AL158" s="28"/>
      <c r="AM158" s="12"/>
      <c r="AN158" s="12"/>
      <c r="AO158" s="12"/>
      <c r="AP158" s="12"/>
      <c r="AQ158" s="12"/>
      <c r="AR158" s="13"/>
      <c r="AS158" s="14"/>
    </row>
    <row r="159" spans="1:45" s="16" customFormat="1" ht="30.95" hidden="1" customHeight="1" x14ac:dyDescent="0.2">
      <c r="A159" s="35"/>
      <c r="B159" s="36"/>
      <c r="C159" s="43"/>
      <c r="D159" s="29"/>
      <c r="E159" s="29"/>
      <c r="F159" s="255" t="str">
        <f>IF(D159="","",VLOOKUP(D159,契約台帳!$A$3:$K$4986,6,FALSE)&amp;VLOOKUP(D159,契約台帳!$A$3:$K$4986,7,FALSE)&amp;VLOOKUP(D159,契約台帳!$A$3:$K$4986,8,FALSE)&amp;VLOOKUP(D159,契約台帳!$A$3:$K$4986,9,FALSE)&amp;VLOOKUP(D159,契約台帳!$A$3:$K$4986,11,FALSE))</f>
        <v/>
      </c>
      <c r="G159" s="256" t="str">
        <f>IF(D159="","",VLOOKUP(F159,製品マスタ!$G$5:$H$4999,2,FALSE))</f>
        <v/>
      </c>
      <c r="H159" s="256" t="str">
        <f>IF(D159="","",VLOOKUP(F159,製品マスタ!$G$5:$K$4999,5,FALSE))</f>
        <v/>
      </c>
      <c r="I159" s="200" t="str">
        <f>IF(D159="","",VLOOKUP(F159,製品マスタ!$G$5:$L$4999,6,FALSE))</f>
        <v/>
      </c>
      <c r="J159" s="203"/>
      <c r="K159" s="200" t="str">
        <f>IF(D159="","",VLOOKUP(D159,契約台帳!$A$3:$L$4986,12,FALSE))</f>
        <v/>
      </c>
      <c r="L159" s="200" t="str">
        <f>IF(D159="","",INDEX(製品マスタ!$Q$5:$Q$4999,MATCH('S4'!F159&amp;'S4'!K159,製品マスタ!$AO$5:$AO$4999,0)))</f>
        <v/>
      </c>
      <c r="M159" s="37"/>
      <c r="N159" s="37"/>
      <c r="O159" s="153"/>
      <c r="P159" s="45"/>
      <c r="Q159" s="54"/>
      <c r="R159" s="257" t="str">
        <f ca="1">IF(D159="","",IF(OFFSET(D159,-1,0)&lt;&gt;"","",IF(OR(J159="リード付け",J159="巻足し",J159="巻返しリード付け"),M159,VLOOKUP(D159,契約台帳!$A$3:$N$4986,14,FALSE))))</f>
        <v/>
      </c>
      <c r="S159" s="258" t="str">
        <f ca="1">IF(D159="","",IF(OFFSET(D159,-1,0)&lt;&gt;"","",IF(OR(J159="リード付け",J159="巻足し",J159="巻返しリード付け"),M159,VLOOKUP(D159,契約台帳!$A$3:$O$4986,15,FALSE))))</f>
        <v/>
      </c>
      <c r="T159" s="258" t="str">
        <f ca="1">IF(D159="","",IF(J159="リード付け",N159,IF(J159="巻返しリード付け",N159,IF(J159="巻足し",N159*P159+OFFSET(N159,1,0)*OFFSET(P159,1,0),VLOOKUP(D159,契約台帳!$A$3:$P$4986,16,FALSE)))))</f>
        <v/>
      </c>
      <c r="U159" s="38"/>
      <c r="V159" s="259" t="str">
        <f ca="1">IF(D159="","",IF(OFFSET(D159,-2,0)=D159,"",VLOOKUP(D159,契約台帳!$A$3:$R$4986,18,FALSE)))</f>
        <v/>
      </c>
      <c r="W159" s="256" t="str">
        <f>IF(D159="","",IF(T159="","",IF(OR(J159="巻足し",J159="巻返しリード付け"),"",IF(J159="巻返し",VLOOKUP(F159&amp;K159&amp;M159,製品マスタ!$M$5:$AD$4999,18,FALSE),IF(OR(J159="リード付け",J159="巻返しリード付け"),"原反コア",IF(J159="スリット",VLOOKUP(F159&amp;K159&amp;R159,製品マスタ!$N$5:$AD$4999,17,FALSE),""))))))</f>
        <v/>
      </c>
      <c r="X159" s="256" t="str">
        <f>IF(D159="","",IF(T159="","",IF(J159="巻足し","",IF(J159="巻返し",VLOOKUP(F159&amp;K159&amp;M159,製品マスタ!$M$5:$AE$4999,19,FALSE),IF(OR(J159="リード付け",J159="巻返しリード付け"),"",IF(J159="スリット",VLOOKUP(F159&amp;K159&amp;R159,製品マスタ!$N$5:$AE$4999,18,FALSE),""))))))</f>
        <v/>
      </c>
      <c r="Y159" s="256" t="str">
        <f>IF(D159="","",IF(T159="","",VLOOKUP(D159,契約台帳!$A$3:$Q$4986,17,FALSE)))</f>
        <v/>
      </c>
      <c r="Z159" s="256" t="str">
        <f>IF(D159="","",IF(T159="","",VLOOKUP(D159,契約台帳!$A$3:$E$4986,5,FALSE)))</f>
        <v/>
      </c>
      <c r="AA159" s="54"/>
      <c r="AB159" s="200" t="str">
        <f>IFERROR((VLOOKUP(F159&amp;K159&amp;M159,製品マスタ!$M$5:$AM$4999,27,FALSE)),"")</f>
        <v/>
      </c>
      <c r="AC159" s="31"/>
      <c r="AD159" s="184"/>
      <c r="AE159" s="51"/>
      <c r="AF159" s="52"/>
      <c r="AG159" s="41"/>
      <c r="AH159" s="45"/>
      <c r="AI159" s="28"/>
      <c r="AJ159" s="28"/>
      <c r="AK159" s="28"/>
      <c r="AL159" s="28"/>
      <c r="AM159" s="12"/>
      <c r="AN159" s="12"/>
      <c r="AO159" s="12"/>
      <c r="AP159" s="12"/>
      <c r="AQ159" s="12"/>
      <c r="AR159" s="13"/>
      <c r="AS159" s="14"/>
    </row>
    <row r="160" spans="1:45" s="16" customFormat="1" ht="30.95" hidden="1" customHeight="1" x14ac:dyDescent="0.2">
      <c r="A160" s="35" t="s">
        <v>834</v>
      </c>
      <c r="B160" s="36" t="s">
        <v>835</v>
      </c>
      <c r="C160" s="43"/>
      <c r="D160" s="29"/>
      <c r="E160" s="29"/>
      <c r="F160" s="255" t="str">
        <f>IF(D160="","",VLOOKUP(D160,契約台帳!$A$3:$K$4986,6,FALSE)&amp;VLOOKUP(D160,契約台帳!$A$3:$K$4986,7,FALSE)&amp;VLOOKUP(D160,契約台帳!$A$3:$K$4986,8,FALSE)&amp;VLOOKUP(D160,契約台帳!$A$3:$K$4986,9,FALSE)&amp;VLOOKUP(D160,契約台帳!$A$3:$K$4986,11,FALSE))</f>
        <v/>
      </c>
      <c r="G160" s="256" t="str">
        <f>IF(D160="","",VLOOKUP(F160,製品マスタ!$G$5:$H$4999,2,FALSE))</f>
        <v/>
      </c>
      <c r="H160" s="256" t="str">
        <f>IF(D160="","",VLOOKUP(F160,製品マスタ!$G$5:$K$4999,5,FALSE))</f>
        <v/>
      </c>
      <c r="I160" s="200" t="str">
        <f>IF(D160="","",VLOOKUP(F160,製品マスタ!$G$5:$L$4999,6,FALSE))</f>
        <v/>
      </c>
      <c r="J160" s="203" t="s">
        <v>836</v>
      </c>
      <c r="K160" s="200" t="str">
        <f>IF(D160="","",VLOOKUP(D160,契約台帳!$A$3:$L$4986,12,FALSE))</f>
        <v/>
      </c>
      <c r="L160" s="200" t="str">
        <f>IF(D160="","",INDEX(製品マスタ!$Q$5:$Q$4999,MATCH('S4'!F160&amp;'S4'!K160,製品マスタ!$AO$5:$AO$4999,0)))</f>
        <v/>
      </c>
      <c r="M160" s="37"/>
      <c r="N160" s="37"/>
      <c r="O160" s="153"/>
      <c r="P160" s="45"/>
      <c r="Q160" s="54"/>
      <c r="R160" s="257" t="str">
        <f ca="1">IF(D160="","",IF(OFFSET(D160,-1,0)&lt;&gt;"","",IF(OR(J160="リード付け",J160="巻足し",J160="巻返しリード付け"),M160,VLOOKUP(D160,契約台帳!$A$3:$N$4986,14,FALSE))))</f>
        <v/>
      </c>
      <c r="S160" s="258" t="str">
        <f ca="1">IF(D160="","",IF(OFFSET(D160,-1,0)&lt;&gt;"","",IF(OR(J160="リード付け",J160="巻足し",J160="巻返しリード付け"),M160,VLOOKUP(D160,契約台帳!$A$3:$O$4986,15,FALSE))))</f>
        <v/>
      </c>
      <c r="T160" s="258" t="str">
        <f ca="1">IF(D160="","",IF(J160="リード付け",N160,IF(J160="巻返しリード付け",N160,IF(J160="巻足し",N160*P160+OFFSET(N160,1,0)*OFFSET(P160,1,0),VLOOKUP(D160,契約台帳!$A$3:$P$4986,16,FALSE)))))</f>
        <v/>
      </c>
      <c r="U160" s="38"/>
      <c r="V160" s="259" t="str">
        <f ca="1">IF(D160="","",IF(OFFSET(D160,-2,0)=D160,"",VLOOKUP(D160,契約台帳!$A$3:$R$4986,18,FALSE)))</f>
        <v/>
      </c>
      <c r="W160" s="256" t="str">
        <f>IF(D160="","",IF(T160="","",IF(OR(J160="巻足し",J160="巻返しリード付け"),"",IF(J160="巻返し",VLOOKUP(F160&amp;K160&amp;M160,製品マスタ!$M$5:$AD$4999,18,FALSE),IF(OR(J160="リード付け",J160="巻返しリード付け"),"原反コア",IF(J160="スリット",VLOOKUP(F160&amp;K160&amp;R160,製品マスタ!$N$5:$AD$4999,17,FALSE),""))))))</f>
        <v/>
      </c>
      <c r="X160" s="256" t="str">
        <f>IF(D160="","",IF(T160="","",IF(J160="巻足し","",IF(J160="巻返し",VLOOKUP(F160&amp;K160&amp;M160,製品マスタ!$M$5:$AE$4999,19,FALSE),IF(OR(J160="リード付け",J160="巻返しリード付け"),"",IF(J160="スリット",VLOOKUP(F160&amp;K160&amp;R160,製品マスタ!$N$5:$AE$4999,18,FALSE),""))))))</f>
        <v/>
      </c>
      <c r="Y160" s="256" t="str">
        <f>IF(D160="","",IF(T160="","",VLOOKUP(D160,契約台帳!$A$3:$Q$4986,17,FALSE)))</f>
        <v/>
      </c>
      <c r="Z160" s="256" t="str">
        <f>IF(D160="","",IF(T160="","",VLOOKUP(D160,契約台帳!$A$3:$E$4986,5,FALSE)))</f>
        <v/>
      </c>
      <c r="AA160" s="54"/>
      <c r="AB160" s="200" t="str">
        <f>IFERROR((VLOOKUP(F160&amp;K160&amp;M160,製品マスタ!$M$5:$AM$4999,27,FALSE)),"")</f>
        <v/>
      </c>
      <c r="AC160" s="31"/>
      <c r="AD160" s="184"/>
      <c r="AE160" s="51"/>
      <c r="AF160" s="52"/>
      <c r="AG160" s="41"/>
      <c r="AH160" s="45"/>
      <c r="AI160" s="28"/>
      <c r="AJ160" s="28"/>
      <c r="AK160" s="28"/>
      <c r="AL160" s="28"/>
      <c r="AM160" s="12"/>
      <c r="AN160" s="12"/>
      <c r="AO160" s="12"/>
      <c r="AP160" s="12"/>
      <c r="AQ160" s="12"/>
      <c r="AR160" s="13"/>
      <c r="AS160" s="14"/>
    </row>
    <row r="161" spans="1:45" s="16" customFormat="1" ht="30.95" hidden="1" customHeight="1" x14ac:dyDescent="0.2">
      <c r="A161" s="35"/>
      <c r="B161" s="36"/>
      <c r="C161" s="43"/>
      <c r="D161" s="29"/>
      <c r="E161" s="29"/>
      <c r="F161" s="255" t="str">
        <f>IF(D161="","",VLOOKUP(D161,契約台帳!$A$3:$K$4986,6,FALSE)&amp;VLOOKUP(D161,契約台帳!$A$3:$K$4986,7,FALSE)&amp;VLOOKUP(D161,契約台帳!$A$3:$K$4986,8,FALSE)&amp;VLOOKUP(D161,契約台帳!$A$3:$K$4986,9,FALSE)&amp;VLOOKUP(D161,契約台帳!$A$3:$K$4986,11,FALSE))</f>
        <v/>
      </c>
      <c r="G161" s="256" t="str">
        <f>IF(D161="","",VLOOKUP(F161,製品マスタ!$G$5:$H$4999,2,FALSE))</f>
        <v/>
      </c>
      <c r="H161" s="256" t="str">
        <f>IF(D161="","",VLOOKUP(F161,製品マスタ!$G$5:$K$4999,5,FALSE))</f>
        <v/>
      </c>
      <c r="I161" s="200" t="str">
        <f>IF(D161="","",VLOOKUP(F161,製品マスタ!$G$5:$L$4999,6,FALSE))</f>
        <v/>
      </c>
      <c r="J161" s="203"/>
      <c r="K161" s="200" t="str">
        <f>IF(D161="","",VLOOKUP(D161,契約台帳!$A$3:$L$4986,12,FALSE))</f>
        <v/>
      </c>
      <c r="L161" s="200" t="str">
        <f>IF(D161="","",INDEX(製品マスタ!$Q$5:$Q$4999,MATCH('S4'!F161&amp;'S4'!K161,製品マスタ!$AO$5:$AO$4999,0)))</f>
        <v/>
      </c>
      <c r="M161" s="37"/>
      <c r="N161" s="37"/>
      <c r="O161" s="153"/>
      <c r="P161" s="45"/>
      <c r="Q161" s="54"/>
      <c r="R161" s="257" t="str">
        <f ca="1">IF(D161="","",IF(OFFSET(D161,-1,0)&lt;&gt;"","",IF(OR(J161="リード付け",J161="巻足し",J161="巻返しリード付け"),M161,VLOOKUP(D161,契約台帳!$A$3:$N$4986,14,FALSE))))</f>
        <v/>
      </c>
      <c r="S161" s="258" t="str">
        <f ca="1">IF(D161="","",IF(OFFSET(D161,-1,0)&lt;&gt;"","",IF(OR(J161="リード付け",J161="巻足し",J161="巻返しリード付け"),M161,VLOOKUP(D161,契約台帳!$A$3:$O$4986,15,FALSE))))</f>
        <v/>
      </c>
      <c r="T161" s="258" t="str">
        <f ca="1">IF(D161="","",IF(J161="リード付け",N161,IF(J161="巻返しリード付け",N161,IF(J161="巻足し",N161*P161+OFFSET(N161,1,0)*OFFSET(P161,1,0),VLOOKUP(D161,契約台帳!$A$3:$P$4986,16,FALSE)))))</f>
        <v/>
      </c>
      <c r="U161" s="38"/>
      <c r="V161" s="259" t="str">
        <f ca="1">IF(D161="","",IF(OFFSET(D161,-2,0)=D161,"",VLOOKUP(D161,契約台帳!$A$3:$R$4986,18,FALSE)))</f>
        <v/>
      </c>
      <c r="W161" s="256" t="str">
        <f>IF(D161="","",IF(T161="","",IF(OR(J161="巻足し",J161="巻返しリード付け"),"",IF(J161="巻返し",VLOOKUP(F161&amp;K161&amp;M161,製品マスタ!$M$5:$AD$4999,18,FALSE),IF(OR(J161="リード付け",J161="巻返しリード付け"),"原反コア",IF(J161="スリット",VLOOKUP(F161&amp;K161&amp;R161,製品マスタ!$N$5:$AD$4999,17,FALSE),""))))))</f>
        <v/>
      </c>
      <c r="X161" s="256" t="str">
        <f>IF(D161="","",IF(T161="","",IF(J161="巻足し","",IF(J161="巻返し",VLOOKUP(F161&amp;K161&amp;M161,製品マスタ!$M$5:$AE$4999,19,FALSE),IF(OR(J161="リード付け",J161="巻返しリード付け"),"",IF(J161="スリット",VLOOKUP(F161&amp;K161&amp;R161,製品マスタ!$N$5:$AE$4999,18,FALSE),""))))))</f>
        <v/>
      </c>
      <c r="Y161" s="256" t="str">
        <f>IF(D161="","",IF(T161="","",VLOOKUP(D161,契約台帳!$A$3:$Q$4986,17,FALSE)))</f>
        <v/>
      </c>
      <c r="Z161" s="256" t="str">
        <f>IF(D161="","",IF(T161="","",VLOOKUP(D161,契約台帳!$A$3:$E$4986,5,FALSE)))</f>
        <v/>
      </c>
      <c r="AA161" s="54"/>
      <c r="AB161" s="200" t="str">
        <f>IFERROR((VLOOKUP(F161&amp;K161&amp;M161,製品マスタ!$M$5:$AM$4999,27,FALSE)),"")</f>
        <v/>
      </c>
      <c r="AC161" s="31"/>
      <c r="AD161" s="184"/>
      <c r="AE161" s="51"/>
      <c r="AF161" s="52"/>
      <c r="AG161" s="41"/>
      <c r="AH161" s="45"/>
      <c r="AI161" s="28"/>
      <c r="AJ161" s="28"/>
      <c r="AK161" s="28"/>
      <c r="AL161" s="28"/>
      <c r="AM161" s="12"/>
      <c r="AN161" s="12"/>
      <c r="AO161" s="12"/>
      <c r="AP161" s="12"/>
      <c r="AQ161" s="12"/>
      <c r="AR161" s="13"/>
      <c r="AS161" s="14"/>
    </row>
    <row r="162" spans="1:45" s="16" customFormat="1" ht="30.95" hidden="1" customHeight="1" x14ac:dyDescent="0.2">
      <c r="A162" s="35" t="s">
        <v>837</v>
      </c>
      <c r="B162" s="36" t="s">
        <v>838</v>
      </c>
      <c r="C162" s="43"/>
      <c r="D162" s="29">
        <v>3697665</v>
      </c>
      <c r="E162" s="29">
        <v>4161807</v>
      </c>
      <c r="F162" s="255" t="str">
        <f>IF(D162="","",VLOOKUP(D162,契約台帳!$A$3:$K$4986,6,FALSE)&amp;VLOOKUP(D162,契約台帳!$A$3:$K$4986,7,FALSE)&amp;VLOOKUP(D162,契約台帳!$A$3:$K$4986,8,FALSE)&amp;VLOOKUP(D162,契約台帳!$A$3:$K$4986,9,FALSE)&amp;VLOOKUP(D162,契約台帳!$A$3:$K$4986,11,FALSE))</f>
        <v>3SNMLBMNGTBF</v>
      </c>
      <c r="G162" s="256" t="str">
        <f>IF(D162="","",VLOOKUP(F162,製品マスタ!$G$5:$H$4999,2,FALSE))</f>
        <v>S</v>
      </c>
      <c r="H162" s="256" t="str">
        <f>IF(D162="","",VLOOKUP(F162,製品マスタ!$G$5:$K$4999,5,FALSE))</f>
        <v>MNGTBF</v>
      </c>
      <c r="I162" s="200" t="str">
        <f>IF(D162="","",VLOOKUP(F162,製品マスタ!$G$5:$L$4999,6,FALSE))</f>
        <v>メタルミー　ネーマー　銀艶　Ｂ</v>
      </c>
      <c r="J162" s="203" t="s">
        <v>832</v>
      </c>
      <c r="K162" s="200">
        <f>IF(D162="","",VLOOKUP(D162,契約台帳!$A$3:$L$4986,12,FALSE))</f>
        <v>50</v>
      </c>
      <c r="L162" s="200" t="str">
        <f>IF(D162="","",INDEX(製品マスタ!$Q$5:$Q$4999,MATCH('S4'!F162&amp;'S4'!K162,製品マスタ!$AO$5:$AO$4999,0)))</f>
        <v>T62</v>
      </c>
      <c r="M162" s="37">
        <v>1120</v>
      </c>
      <c r="N162" s="37">
        <v>5000</v>
      </c>
      <c r="O162" s="153">
        <v>4</v>
      </c>
      <c r="P162" s="45">
        <v>2</v>
      </c>
      <c r="Q162" s="206">
        <v>44952</v>
      </c>
      <c r="R162" s="257">
        <f ca="1">IF(D162="","",IF(OFFSET(D162,-1,0)&lt;&gt;"","",IF(OR(J162="リード付け",J162="巻足し",J162="巻返しリード付け"),M162,VLOOKUP(D162,契約台帳!$A$3:$N$4986,14,FALSE))))</f>
        <v>1120</v>
      </c>
      <c r="S162" s="258">
        <f ca="1">IF(D162="","",IF(OFFSET(D162,-1,0)&lt;&gt;"","",IF(OR(J162="リード付け",J162="巻足し",J162="巻返しリード付け"),M162,VLOOKUP(D162,契約台帳!$A$3:$O$4986,15,FALSE))))</f>
        <v>1120</v>
      </c>
      <c r="T162" s="258">
        <f ca="1">IF(D162="","",IF(J162="リード付け",N162,IF(J162="巻返しリード付け",N162,IF(J162="巻足し",N162*P162+OFFSET(N162,1,0)*OFFSET(P162,1,0),VLOOKUP(D162,契約台帳!$A$3:$P$4986,16,FALSE)))))</f>
        <v>10000</v>
      </c>
      <c r="U162" s="38">
        <v>2</v>
      </c>
      <c r="V162" s="259">
        <f ca="1">IF(D162="","",IF(OFFSET(D162,-2,0)=D162,"",VLOOKUP(D162,契約台帳!$A$3:$R$4986,18,FALSE)))</f>
        <v>12</v>
      </c>
      <c r="W162" s="256" t="str">
        <f ca="1">IF(D162="","",IF(T162="","",IF(OR(J162="巻足し",J162="巻返しリード付け"),"",IF(J162="巻返し",VLOOKUP(F162&amp;K162&amp;M162,製品マスタ!$M$5:$AD$4999,18,FALSE),IF(OR(J162="リード付け",J162="巻返しリード付け"),"原反コア",IF(J162="スリット",VLOOKUP(F162&amp;K162&amp;R162,製品マスタ!$N$5:$AD$4999,17,FALSE),""))))))</f>
        <v/>
      </c>
      <c r="X162" s="256" t="str">
        <f ca="1">IF(D162="","",IF(T162="","",IF(J162="巻足し","",IF(J162="巻返し",VLOOKUP(F162&amp;K162&amp;M162,製品マスタ!$M$5:$AE$4999,19,FALSE),IF(OR(J162="リード付け",J162="巻返しリード付け"),"",IF(J162="スリット",VLOOKUP(F162&amp;K162&amp;R162,製品マスタ!$N$5:$AE$4999,18,FALSE),""))))))</f>
        <v/>
      </c>
      <c r="Y162" s="256">
        <f ca="1">IF(D162="","",IF(T162="","",VLOOKUP(D162,契約台帳!$A$3:$Q$4986,17,FALSE)))</f>
        <v>2</v>
      </c>
      <c r="Z162" s="256" t="str">
        <f ca="1">IF(D162="","",IF(T162="","",VLOOKUP(D162,契約台帳!$A$3:$E$4986,5,FALSE)))</f>
        <v>リンテック㈱</v>
      </c>
      <c r="AA162" s="54"/>
      <c r="AB162" s="200" t="str">
        <f>IFERROR((VLOOKUP(F162&amp;K162&amp;M162,製品マスタ!$M$5:$AM$4999,27,FALSE)),"")</f>
        <v>原反ケース再利用</v>
      </c>
      <c r="AC162" s="31"/>
      <c r="AD162" s="184"/>
      <c r="AE162" s="51"/>
      <c r="AF162" s="52"/>
      <c r="AG162" s="41"/>
      <c r="AH162" s="45"/>
      <c r="AI162" s="28"/>
      <c r="AJ162" s="28"/>
      <c r="AK162" s="28"/>
      <c r="AL162" s="28"/>
      <c r="AM162" s="12"/>
      <c r="AN162" s="12"/>
      <c r="AO162" s="12"/>
      <c r="AP162" s="12"/>
      <c r="AQ162" s="12"/>
      <c r="AR162" s="13"/>
      <c r="AS162" s="14"/>
    </row>
    <row r="163" spans="1:45" s="16" customFormat="1" ht="30.95" hidden="1" customHeight="1" x14ac:dyDescent="0.2">
      <c r="A163" s="35"/>
      <c r="B163" s="36"/>
      <c r="C163" s="43"/>
      <c r="D163" s="29"/>
      <c r="E163" s="29"/>
      <c r="F163" s="255" t="str">
        <f>IF(D163="","",VLOOKUP(D163,契約台帳!$A$3:$K$4986,6,FALSE)&amp;VLOOKUP(D163,契約台帳!$A$3:$K$4986,7,FALSE)&amp;VLOOKUP(D163,契約台帳!$A$3:$K$4986,8,FALSE)&amp;VLOOKUP(D163,契約台帳!$A$3:$K$4986,9,FALSE)&amp;VLOOKUP(D163,契約台帳!$A$3:$K$4986,11,FALSE))</f>
        <v/>
      </c>
      <c r="G163" s="256" t="str">
        <f>IF(D163="","",VLOOKUP(F163,製品マスタ!$G$5:$H$4999,2,FALSE))</f>
        <v/>
      </c>
      <c r="H163" s="256" t="str">
        <f>IF(D163="","",VLOOKUP(F163,製品マスタ!$G$5:$K$4999,5,FALSE))</f>
        <v/>
      </c>
      <c r="I163" s="200" t="str">
        <f>IF(D163="","",VLOOKUP(F163,製品マスタ!$G$5:$L$4999,6,FALSE))</f>
        <v/>
      </c>
      <c r="J163" s="203"/>
      <c r="K163" s="200" t="str">
        <f>IF(D163="","",VLOOKUP(D163,契約台帳!$A$3:$L$4986,12,FALSE))</f>
        <v/>
      </c>
      <c r="L163" s="200" t="str">
        <f>IF(D163="","",INDEX(製品マスタ!$Q$5:$Q$4999,MATCH('S4'!F163&amp;'S4'!K163,製品マスタ!$AO$5:$AO$4999,0)))</f>
        <v/>
      </c>
      <c r="M163" s="37"/>
      <c r="N163" s="37"/>
      <c r="O163" s="153"/>
      <c r="P163" s="45"/>
      <c r="Q163" s="54"/>
      <c r="R163" s="257" t="str">
        <f ca="1">IF(D163="","",IF(OFFSET(D163,-1,0)&lt;&gt;"","",IF(OR(J163="リード付け",J163="巻足し",J163="巻返しリード付け"),M163,VLOOKUP(D163,契約台帳!$A$3:$N$4986,14,FALSE))))</f>
        <v/>
      </c>
      <c r="S163" s="258" t="str">
        <f ca="1">IF(D163="","",IF(OFFSET(D163,-1,0)&lt;&gt;"","",IF(OR(J163="リード付け",J163="巻足し",J163="巻返しリード付け"),M163,VLOOKUP(D163,契約台帳!$A$3:$O$4986,15,FALSE))))</f>
        <v/>
      </c>
      <c r="T163" s="258" t="str">
        <f ca="1">IF(D163="","",IF(J163="リード付け",N163,IF(J163="巻返しリード付け",N163,IF(J163="巻足し",N163*P163+OFFSET(N163,1,0)*OFFSET(P163,1,0),VLOOKUP(D163,契約台帳!$A$3:$P$4986,16,FALSE)))))</f>
        <v/>
      </c>
      <c r="U163" s="38"/>
      <c r="V163" s="259" t="str">
        <f ca="1">IF(D163="","",IF(OFFSET(D163,-2,0)=D163,"",VLOOKUP(D163,契約台帳!$A$3:$R$4986,18,FALSE)))</f>
        <v/>
      </c>
      <c r="W163" s="256" t="str">
        <f>IF(D163="","",IF(T163="","",IF(OR(J163="巻足し",J163="巻返しリード付け"),"",IF(J163="巻返し",VLOOKUP(F163&amp;K163&amp;M163,製品マスタ!$M$5:$AD$4999,18,FALSE),IF(OR(J163="リード付け",J163="巻返しリード付け"),"原反コア",IF(J163="スリット",VLOOKUP(F163&amp;K163&amp;R163,製品マスタ!$N$5:$AD$4999,17,FALSE),""))))))</f>
        <v/>
      </c>
      <c r="X163" s="256" t="str">
        <f>IF(D163="","",IF(T163="","",IF(J163="巻足し","",IF(J163="巻返し",VLOOKUP(F163&amp;K163&amp;M163,製品マスタ!$M$5:$AE$4999,19,FALSE),IF(OR(J163="リード付け",J163="巻返しリード付け"),"",IF(J163="スリット",VLOOKUP(F163&amp;K163&amp;R163,製品マスタ!$N$5:$AE$4999,18,FALSE),""))))))</f>
        <v/>
      </c>
      <c r="Y163" s="256" t="str">
        <f>IF(D163="","",IF(T163="","",VLOOKUP(D163,契約台帳!$A$3:$Q$4986,17,FALSE)))</f>
        <v/>
      </c>
      <c r="Z163" s="256" t="str">
        <f>IF(D163="","",IF(T163="","",VLOOKUP(D163,契約台帳!$A$3:$E$4986,5,FALSE)))</f>
        <v/>
      </c>
      <c r="AA163" s="54"/>
      <c r="AB163" s="200" t="str">
        <f>IFERROR((VLOOKUP(F163&amp;K163&amp;M163,製品マスタ!$M$5:$AM$4999,27,FALSE)),"")</f>
        <v/>
      </c>
      <c r="AC163" s="31"/>
      <c r="AD163" s="184"/>
      <c r="AE163" s="51"/>
      <c r="AF163" s="52"/>
      <c r="AG163" s="41"/>
      <c r="AH163" s="45"/>
      <c r="AI163" s="28"/>
      <c r="AJ163" s="28"/>
      <c r="AK163" s="28"/>
      <c r="AL163" s="28"/>
      <c r="AM163" s="12"/>
      <c r="AN163" s="12"/>
      <c r="AO163" s="12"/>
      <c r="AP163" s="12"/>
      <c r="AQ163" s="12"/>
      <c r="AR163" s="13"/>
      <c r="AS163" s="14"/>
    </row>
    <row r="164" spans="1:45" s="16" customFormat="1" ht="30.95" hidden="1" customHeight="1" x14ac:dyDescent="0.2">
      <c r="A164" s="35"/>
      <c r="B164" s="36"/>
      <c r="C164" s="43"/>
      <c r="D164" s="29">
        <v>3697666</v>
      </c>
      <c r="E164" s="29">
        <v>4161808</v>
      </c>
      <c r="F164" s="255" t="str">
        <f>IF(D164="","",VLOOKUP(D164,契約台帳!$A$3:$K$4986,6,FALSE)&amp;VLOOKUP(D164,契約台帳!$A$3:$K$4986,7,FALSE)&amp;VLOOKUP(D164,契約台帳!$A$3:$K$4986,8,FALSE)&amp;VLOOKUP(D164,契約台帳!$A$3:$K$4986,9,FALSE)&amp;VLOOKUP(D164,契約台帳!$A$3:$K$4986,11,FALSE))</f>
        <v>3SNMLBMNGTBF</v>
      </c>
      <c r="G164" s="256" t="str">
        <f>IF(D164="","",VLOOKUP(F164,製品マスタ!$G$5:$H$4999,2,FALSE))</f>
        <v>S</v>
      </c>
      <c r="H164" s="256" t="str">
        <f>IF(D164="","",VLOOKUP(F164,製品マスタ!$G$5:$K$4999,5,FALSE))</f>
        <v>MNGTBF</v>
      </c>
      <c r="I164" s="200" t="str">
        <f>IF(D164="","",VLOOKUP(F164,製品マスタ!$G$5:$L$4999,6,FALSE))</f>
        <v>メタルミー　ネーマー　銀艶　Ｂ</v>
      </c>
      <c r="J164" s="203" t="s">
        <v>832</v>
      </c>
      <c r="K164" s="200">
        <f>IF(D164="","",VLOOKUP(D164,契約台帳!$A$3:$L$4986,12,FALSE))</f>
        <v>50</v>
      </c>
      <c r="L164" s="200" t="str">
        <f>IF(D164="","",INDEX(製品マスタ!$Q$5:$Q$4999,MATCH('S4'!F164&amp;'S4'!K164,製品マスタ!$AO$5:$AO$4999,0)))</f>
        <v>T62</v>
      </c>
      <c r="M164" s="37">
        <v>1120</v>
      </c>
      <c r="N164" s="37">
        <v>5000</v>
      </c>
      <c r="O164" s="153">
        <v>14</v>
      </c>
      <c r="P164" s="45">
        <v>2</v>
      </c>
      <c r="Q164" s="206">
        <v>44953</v>
      </c>
      <c r="R164" s="257">
        <f ca="1">IF(D164="","",IF(OFFSET(D164,-1,0)&lt;&gt;"","",IF(OR(J164="リード付け",J164="巻足し",J164="巻返しリード付け"),M164,VLOOKUP(D164,契約台帳!$A$3:$N$4986,14,FALSE))))</f>
        <v>1120</v>
      </c>
      <c r="S164" s="258">
        <f ca="1">IF(D164="","",IF(OFFSET(D164,-1,0)&lt;&gt;"","",IF(OR(J164="リード付け",J164="巻足し",J164="巻返しリード付け"),M164,VLOOKUP(D164,契約台帳!$A$3:$O$4986,15,FALSE))))</f>
        <v>1120</v>
      </c>
      <c r="T164" s="258">
        <f ca="1">IF(D164="","",IF(J164="リード付け",N164,IF(J164="巻返しリード付け",N164,IF(J164="巻足し",N164*P164+OFFSET(N164,1,0)*OFFSET(P164,1,0),VLOOKUP(D164,契約台帳!$A$3:$P$4986,16,FALSE)))))</f>
        <v>10000</v>
      </c>
      <c r="U164" s="38">
        <v>7</v>
      </c>
      <c r="V164" s="259">
        <f ca="1">IF(D164="","",IF(OFFSET(D164,-2,0)=D164,"",VLOOKUP(D164,契約台帳!$A$3:$R$4986,18,FALSE)))</f>
        <v>14</v>
      </c>
      <c r="W164" s="256" t="str">
        <f ca="1">IF(D164="","",IF(T164="","",IF(OR(J164="巻足し",J164="巻返しリード付け"),"",IF(J164="巻返し",VLOOKUP(F164&amp;K164&amp;M164,製品マスタ!$M$5:$AD$4999,18,FALSE),IF(OR(J164="リード付け",J164="巻返しリード付け"),"原反コア",IF(J164="スリット",VLOOKUP(F164&amp;K164&amp;R164,製品マスタ!$N$5:$AD$4999,17,FALSE),""))))))</f>
        <v/>
      </c>
      <c r="X164" s="256" t="str">
        <f ca="1">IF(D164="","",IF(T164="","",IF(J164="巻足し","",IF(J164="巻返し",VLOOKUP(F164&amp;K164&amp;M164,製品マスタ!$M$5:$AE$4999,19,FALSE),IF(OR(J164="リード付け",J164="巻返しリード付け"),"",IF(J164="スリット",VLOOKUP(F164&amp;K164&amp;R164,製品マスタ!$N$5:$AE$4999,18,FALSE),""))))))</f>
        <v/>
      </c>
      <c r="Y164" s="256">
        <f ca="1">IF(D164="","",IF(T164="","",VLOOKUP(D164,契約台帳!$A$3:$Q$4986,17,FALSE)))</f>
        <v>2</v>
      </c>
      <c r="Z164" s="256" t="str">
        <f ca="1">IF(D164="","",IF(T164="","",VLOOKUP(D164,契約台帳!$A$3:$E$4986,5,FALSE)))</f>
        <v>リンテック㈱</v>
      </c>
      <c r="AA164" s="54"/>
      <c r="AB164" s="200" t="str">
        <f>IFERROR((VLOOKUP(F164&amp;K164&amp;M164,製品マスタ!$M$5:$AM$4999,27,FALSE)),"")</f>
        <v>原反ケース再利用</v>
      </c>
      <c r="AC164" s="31"/>
      <c r="AD164" s="184"/>
      <c r="AE164" s="51"/>
      <c r="AF164" s="52"/>
      <c r="AG164" s="41"/>
      <c r="AH164" s="45"/>
      <c r="AI164" s="28"/>
      <c r="AJ164" s="28"/>
      <c r="AK164" s="28"/>
      <c r="AL164" s="28"/>
      <c r="AM164" s="12"/>
      <c r="AN164" s="12"/>
      <c r="AO164" s="12"/>
      <c r="AP164" s="12"/>
      <c r="AQ164" s="12"/>
      <c r="AR164" s="13"/>
      <c r="AS164" s="14"/>
    </row>
    <row r="165" spans="1:45" s="16" customFormat="1" ht="30.95" hidden="1" customHeight="1" x14ac:dyDescent="0.2">
      <c r="A165" s="35"/>
      <c r="B165" s="36"/>
      <c r="C165" s="43"/>
      <c r="D165" s="29"/>
      <c r="E165" s="29"/>
      <c r="F165" s="255" t="str">
        <f>IF(D165="","",VLOOKUP(D165,契約台帳!$A$3:$K$4986,6,FALSE)&amp;VLOOKUP(D165,契約台帳!$A$3:$K$4986,7,FALSE)&amp;VLOOKUP(D165,契約台帳!$A$3:$K$4986,8,FALSE)&amp;VLOOKUP(D165,契約台帳!$A$3:$K$4986,9,FALSE)&amp;VLOOKUP(D165,契約台帳!$A$3:$K$4986,11,FALSE))</f>
        <v/>
      </c>
      <c r="G165" s="256" t="str">
        <f>IF(D165="","",VLOOKUP(F165,製品マスタ!$G$5:$H$4999,2,FALSE))</f>
        <v/>
      </c>
      <c r="H165" s="256" t="str">
        <f>IF(D165="","",VLOOKUP(F165,製品マスタ!$G$5:$K$4999,5,FALSE))</f>
        <v/>
      </c>
      <c r="I165" s="200" t="str">
        <f>IF(D165="","",VLOOKUP(F165,製品マスタ!$G$5:$L$4999,6,FALSE))</f>
        <v/>
      </c>
      <c r="J165" s="203"/>
      <c r="K165" s="200" t="str">
        <f>IF(D165="","",VLOOKUP(D165,契約台帳!$A$3:$L$4986,12,FALSE))</f>
        <v/>
      </c>
      <c r="L165" s="200" t="str">
        <f>IF(D165="","",INDEX(製品マスタ!$Q$5:$Q$4999,MATCH('S4'!F165&amp;'S4'!K165,製品マスタ!$AO$5:$AO$4999,0)))</f>
        <v/>
      </c>
      <c r="M165" s="37"/>
      <c r="N165" s="37"/>
      <c r="O165" s="153"/>
      <c r="P165" s="45"/>
      <c r="Q165" s="54"/>
      <c r="R165" s="257" t="str">
        <f ca="1">IF(D165="","",IF(OFFSET(D165,-1,0)&lt;&gt;"","",IF(OR(J165="リード付け",J165="巻足し",J165="巻返しリード付け"),M165,VLOOKUP(D165,契約台帳!$A$3:$N$4986,14,FALSE))))</f>
        <v/>
      </c>
      <c r="S165" s="258" t="str">
        <f ca="1">IF(D165="","",IF(OFFSET(D165,-1,0)&lt;&gt;"","",IF(OR(J165="リード付け",J165="巻足し",J165="巻返しリード付け"),M165,VLOOKUP(D165,契約台帳!$A$3:$O$4986,15,FALSE))))</f>
        <v/>
      </c>
      <c r="T165" s="258" t="str">
        <f ca="1">IF(D165="","",IF(J165="リード付け",N165,IF(J165="巻返しリード付け",N165,IF(J165="巻足し",N165*P165+OFFSET(N165,1,0)*OFFSET(P165,1,0),VLOOKUP(D165,契約台帳!$A$3:$P$4986,16,FALSE)))))</f>
        <v/>
      </c>
      <c r="U165" s="38"/>
      <c r="V165" s="259" t="str">
        <f ca="1">IF(D165="","",IF(OFFSET(D165,-2,0)=D165,"",VLOOKUP(D165,契約台帳!$A$3:$R$4986,18,FALSE)))</f>
        <v/>
      </c>
      <c r="W165" s="256" t="str">
        <f>IF(D165="","",IF(T165="","",IF(OR(J165="巻足し",J165="巻返しリード付け"),"",IF(J165="巻返し",VLOOKUP(F165&amp;K165&amp;M165,製品マスタ!$M$5:$AD$4999,18,FALSE),IF(OR(J165="リード付け",J165="巻返しリード付け"),"原反コア",IF(J165="スリット",VLOOKUP(F165&amp;K165&amp;R165,製品マスタ!$N$5:$AD$4999,17,FALSE),""))))))</f>
        <v/>
      </c>
      <c r="X165" s="256" t="str">
        <f>IF(D165="","",IF(T165="","",IF(J165="巻足し","",IF(J165="巻返し",VLOOKUP(F165&amp;K165&amp;M165,製品マスタ!$M$5:$AE$4999,19,FALSE),IF(OR(J165="リード付け",J165="巻返しリード付け"),"",IF(J165="スリット",VLOOKUP(F165&amp;K165&amp;R165,製品マスタ!$N$5:$AE$4999,18,FALSE),""))))))</f>
        <v/>
      </c>
      <c r="Y165" s="256" t="str">
        <f>IF(D165="","",IF(T165="","",VLOOKUP(D165,契約台帳!$A$3:$Q$4986,17,FALSE)))</f>
        <v/>
      </c>
      <c r="Z165" s="256" t="str">
        <f>IF(D165="","",IF(T165="","",VLOOKUP(D165,契約台帳!$A$3:$E$4986,5,FALSE)))</f>
        <v/>
      </c>
      <c r="AA165" s="54"/>
      <c r="AB165" s="200" t="str">
        <f>IFERROR((VLOOKUP(F165&amp;K165&amp;M165,製品マスタ!$M$5:$AM$4999,27,FALSE)),"")</f>
        <v/>
      </c>
      <c r="AC165" s="31"/>
      <c r="AD165" s="184"/>
      <c r="AE165" s="51"/>
      <c r="AF165" s="52"/>
      <c r="AG165" s="41"/>
      <c r="AH165" s="45"/>
      <c r="AI165" s="28"/>
      <c r="AJ165" s="28"/>
      <c r="AK165" s="28"/>
      <c r="AL165" s="28"/>
      <c r="AM165" s="12"/>
      <c r="AN165" s="12"/>
      <c r="AO165" s="12"/>
      <c r="AP165" s="12"/>
      <c r="AQ165" s="12"/>
      <c r="AR165" s="13"/>
      <c r="AS165" s="14"/>
    </row>
    <row r="166" spans="1:45" s="16" customFormat="1" ht="30.95" hidden="1" customHeight="1" x14ac:dyDescent="0.2">
      <c r="A166" s="35" t="s">
        <v>839</v>
      </c>
      <c r="B166" s="36" t="s">
        <v>840</v>
      </c>
      <c r="C166" s="43"/>
      <c r="D166" s="29">
        <v>3697667</v>
      </c>
      <c r="E166" s="29">
        <v>4161809</v>
      </c>
      <c r="F166" s="255" t="str">
        <f>IF(D166="","",VLOOKUP(D166,契約台帳!$A$3:$K$4986,6,FALSE)&amp;VLOOKUP(D166,契約台帳!$A$3:$K$4986,7,FALSE)&amp;VLOOKUP(D166,契約台帳!$A$3:$K$4986,8,FALSE)&amp;VLOOKUP(D166,契約台帳!$A$3:$K$4986,9,FALSE)&amp;VLOOKUP(D166,契約台帳!$A$3:$K$4986,11,FALSE))</f>
        <v>3SNMLBMNGTBF</v>
      </c>
      <c r="G166" s="256" t="str">
        <f>IF(D166="","",VLOOKUP(F166,製品マスタ!$G$5:$H$4999,2,FALSE))</f>
        <v>S</v>
      </c>
      <c r="H166" s="256" t="str">
        <f>IF(D166="","",VLOOKUP(F166,製品マスタ!$G$5:$K$4999,5,FALSE))</f>
        <v>MNGTBF</v>
      </c>
      <c r="I166" s="200" t="str">
        <f>IF(D166="","",VLOOKUP(F166,製品マスタ!$G$5:$L$4999,6,FALSE))</f>
        <v>メタルミー　ネーマー　銀艶　Ｂ</v>
      </c>
      <c r="J166" s="203" t="s">
        <v>832</v>
      </c>
      <c r="K166" s="200">
        <f>IF(D166="","",VLOOKUP(D166,契約台帳!$A$3:$L$4986,12,FALSE))</f>
        <v>50</v>
      </c>
      <c r="L166" s="200" t="str">
        <f>IF(D166="","",INDEX(製品マスタ!$Q$5:$Q$4999,MATCH('S4'!F166&amp;'S4'!K166,製品マスタ!$AO$5:$AO$4999,0)))</f>
        <v>T62</v>
      </c>
      <c r="M166" s="37">
        <v>1120</v>
      </c>
      <c r="N166" s="37">
        <v>5000</v>
      </c>
      <c r="O166" s="153">
        <v>14</v>
      </c>
      <c r="P166" s="45">
        <v>2</v>
      </c>
      <c r="Q166" s="206">
        <v>44953</v>
      </c>
      <c r="R166" s="257">
        <f ca="1">IF(D166="","",IF(OFFSET(D166,-1,0)&lt;&gt;"","",IF(OR(J166="リード付け",J166="巻足し",J166="巻返しリード付け"),M166,VLOOKUP(D166,契約台帳!$A$3:$N$4986,14,FALSE))))</f>
        <v>1120</v>
      </c>
      <c r="S166" s="258">
        <f ca="1">IF(D166="","",IF(OFFSET(D166,-1,0)&lt;&gt;"","",IF(OR(J166="リード付け",J166="巻足し",J166="巻返しリード付け"),M166,VLOOKUP(D166,契約台帳!$A$3:$O$4986,15,FALSE))))</f>
        <v>1120</v>
      </c>
      <c r="T166" s="258">
        <f ca="1">IF(D166="","",IF(J166="リード付け",N166,IF(J166="巻返しリード付け",N166,IF(J166="巻足し",N166*P166+OFFSET(N166,1,0)*OFFSET(P166,1,0),VLOOKUP(D166,契約台帳!$A$3:$P$4986,16,FALSE)))))</f>
        <v>10000</v>
      </c>
      <c r="U166" s="38">
        <v>7</v>
      </c>
      <c r="V166" s="259">
        <f ca="1">IF(D166="","",IF(OFFSET(D166,-2,0)=D166,"",VLOOKUP(D166,契約台帳!$A$3:$R$4986,18,FALSE)))</f>
        <v>14</v>
      </c>
      <c r="W166" s="256" t="str">
        <f ca="1">IF(D166="","",IF(T166="","",IF(OR(J166="巻足し",J166="巻返しリード付け"),"",IF(J166="巻返し",VLOOKUP(F166&amp;K166&amp;M166,製品マスタ!$M$5:$AD$4999,18,FALSE),IF(OR(J166="リード付け",J166="巻返しリード付け"),"原反コア",IF(J166="スリット",VLOOKUP(F166&amp;K166&amp;R166,製品マスタ!$N$5:$AD$4999,17,FALSE),""))))))</f>
        <v/>
      </c>
      <c r="X166" s="256" t="str">
        <f ca="1">IF(D166="","",IF(T166="","",IF(J166="巻足し","",IF(J166="巻返し",VLOOKUP(F166&amp;K166&amp;M166,製品マスタ!$M$5:$AE$4999,19,FALSE),IF(OR(J166="リード付け",J166="巻返しリード付け"),"",IF(J166="スリット",VLOOKUP(F166&amp;K166&amp;R166,製品マスタ!$N$5:$AE$4999,18,FALSE),""))))))</f>
        <v/>
      </c>
      <c r="Y166" s="256">
        <f ca="1">IF(D166="","",IF(T166="","",VLOOKUP(D166,契約台帳!$A$3:$Q$4986,17,FALSE)))</f>
        <v>2</v>
      </c>
      <c r="Z166" s="256" t="str">
        <f ca="1">IF(D166="","",IF(T166="","",VLOOKUP(D166,契約台帳!$A$3:$E$4986,5,FALSE)))</f>
        <v>リンテック㈱</v>
      </c>
      <c r="AA166" s="54"/>
      <c r="AB166" s="200" t="str">
        <f>IFERROR((VLOOKUP(F166&amp;K166&amp;M166,製品マスタ!$M$5:$AM$4999,27,FALSE)),"")</f>
        <v>原反ケース再利用</v>
      </c>
      <c r="AC166" s="31"/>
      <c r="AD166" s="184"/>
      <c r="AE166" s="51"/>
      <c r="AF166" s="52"/>
      <c r="AG166" s="41"/>
      <c r="AH166" s="45"/>
      <c r="AI166" s="28"/>
      <c r="AJ166" s="28"/>
      <c r="AK166" s="28"/>
      <c r="AL166" s="28"/>
      <c r="AM166" s="12"/>
      <c r="AN166" s="12"/>
      <c r="AO166" s="12"/>
      <c r="AP166" s="12"/>
      <c r="AQ166" s="12"/>
      <c r="AR166" s="13"/>
      <c r="AS166" s="14"/>
    </row>
    <row r="167" spans="1:45" s="16" customFormat="1" ht="30.95" hidden="1" customHeight="1" x14ac:dyDescent="0.2">
      <c r="A167" s="35"/>
      <c r="B167" s="36"/>
      <c r="C167" s="43"/>
      <c r="D167" s="29"/>
      <c r="E167" s="29"/>
      <c r="F167" s="255" t="str">
        <f>IF(D167="","",VLOOKUP(D167,契約台帳!$A$3:$K$4986,6,FALSE)&amp;VLOOKUP(D167,契約台帳!$A$3:$K$4986,7,FALSE)&amp;VLOOKUP(D167,契約台帳!$A$3:$K$4986,8,FALSE)&amp;VLOOKUP(D167,契約台帳!$A$3:$K$4986,9,FALSE)&amp;VLOOKUP(D167,契約台帳!$A$3:$K$4986,11,FALSE))</f>
        <v/>
      </c>
      <c r="G167" s="256" t="str">
        <f>IF(D167="","",VLOOKUP(F167,製品マスタ!$G$5:$H$4999,2,FALSE))</f>
        <v/>
      </c>
      <c r="H167" s="256" t="str">
        <f>IF(D167="","",VLOOKUP(F167,製品マスタ!$G$5:$K$4999,5,FALSE))</f>
        <v/>
      </c>
      <c r="I167" s="200" t="str">
        <f>IF(D167="","",VLOOKUP(F167,製品マスタ!$G$5:$L$4999,6,FALSE))</f>
        <v/>
      </c>
      <c r="J167" s="203"/>
      <c r="K167" s="200" t="str">
        <f>IF(D167="","",VLOOKUP(D167,契約台帳!$A$3:$L$4986,12,FALSE))</f>
        <v/>
      </c>
      <c r="L167" s="200" t="str">
        <f>IF(D167="","",INDEX(製品マスタ!$Q$5:$Q$4999,MATCH('S4'!F167&amp;'S4'!K167,製品マスタ!$AO$5:$AO$4999,0)))</f>
        <v/>
      </c>
      <c r="M167" s="37"/>
      <c r="N167" s="37"/>
      <c r="O167" s="153"/>
      <c r="P167" s="45"/>
      <c r="Q167" s="54"/>
      <c r="R167" s="257" t="str">
        <f ca="1">IF(D167="","",IF(OFFSET(D167,-1,0)&lt;&gt;"","",IF(OR(J167="リード付け",J167="巻足し",J167="巻返しリード付け"),M167,VLOOKUP(D167,契約台帳!$A$3:$N$4986,14,FALSE))))</f>
        <v/>
      </c>
      <c r="S167" s="258" t="str">
        <f ca="1">IF(D167="","",IF(OFFSET(D167,-1,0)&lt;&gt;"","",IF(OR(J167="リード付け",J167="巻足し",J167="巻返しリード付け"),M167,VLOOKUP(D167,契約台帳!$A$3:$O$4986,15,FALSE))))</f>
        <v/>
      </c>
      <c r="T167" s="258" t="str">
        <f ca="1">IF(D167="","",IF(J167="リード付け",N167,IF(J167="巻返しリード付け",N167,IF(J167="巻足し",N167*P167+OFFSET(N167,1,0)*OFFSET(P167,1,0),VLOOKUP(D167,契約台帳!$A$3:$P$4986,16,FALSE)))))</f>
        <v/>
      </c>
      <c r="U167" s="38"/>
      <c r="V167" s="259" t="str">
        <f ca="1">IF(D167="","",IF(OFFSET(D167,-2,0)=D167,"",VLOOKUP(D167,契約台帳!$A$3:$R$4986,18,FALSE)))</f>
        <v/>
      </c>
      <c r="W167" s="256" t="str">
        <f>IF(D167="","",IF(T167="","",IF(OR(J167="巻足し",J167="巻返しリード付け"),"",IF(J167="巻返し",VLOOKUP(F167&amp;K167&amp;M167,製品マスタ!$M$5:$AD$4999,18,FALSE),IF(OR(J167="リード付け",J167="巻返しリード付け"),"原反コア",IF(J167="スリット",VLOOKUP(F167&amp;K167&amp;R167,製品マスタ!$N$5:$AD$4999,17,FALSE),""))))))</f>
        <v/>
      </c>
      <c r="X167" s="256" t="str">
        <f>IF(D167="","",IF(T167="","",IF(J167="巻足し","",IF(J167="巻返し",VLOOKUP(F167&amp;K167&amp;M167,製品マスタ!$M$5:$AE$4999,19,FALSE),IF(OR(J167="リード付け",J167="巻返しリード付け"),"",IF(J167="スリット",VLOOKUP(F167&amp;K167&amp;R167,製品マスタ!$N$5:$AE$4999,18,FALSE),""))))))</f>
        <v/>
      </c>
      <c r="Y167" s="256" t="str">
        <f>IF(D167="","",IF(T167="","",VLOOKUP(D167,契約台帳!$A$3:$Q$4986,17,FALSE)))</f>
        <v/>
      </c>
      <c r="Z167" s="256" t="str">
        <f>IF(D167="","",IF(T167="","",VLOOKUP(D167,契約台帳!$A$3:$E$4986,5,FALSE)))</f>
        <v/>
      </c>
      <c r="AA167" s="54"/>
      <c r="AB167" s="200" t="str">
        <f>IFERROR((VLOOKUP(F167&amp;K167&amp;M167,製品マスタ!$M$5:$AM$4999,27,FALSE)),"")</f>
        <v/>
      </c>
      <c r="AC167" s="31"/>
      <c r="AD167" s="184"/>
      <c r="AE167" s="51"/>
      <c r="AF167" s="52"/>
      <c r="AG167" s="41"/>
      <c r="AH167" s="45"/>
      <c r="AI167" s="28"/>
      <c r="AJ167" s="28"/>
      <c r="AK167" s="28"/>
      <c r="AL167" s="28"/>
      <c r="AM167" s="12"/>
      <c r="AN167" s="12"/>
      <c r="AO167" s="12"/>
      <c r="AP167" s="12"/>
      <c r="AQ167" s="12"/>
      <c r="AR167" s="13"/>
      <c r="AS167" s="14"/>
    </row>
    <row r="168" spans="1:45" s="16" customFormat="1" ht="30.95" hidden="1" customHeight="1" x14ac:dyDescent="0.2">
      <c r="A168" s="35"/>
      <c r="B168" s="36"/>
      <c r="C168" s="43"/>
      <c r="D168" s="29">
        <v>3697668</v>
      </c>
      <c r="E168" s="29">
        <v>4161810</v>
      </c>
      <c r="F168" s="255" t="str">
        <f>IF(D168="","",VLOOKUP(D168,契約台帳!$A$3:$K$4986,6,FALSE)&amp;VLOOKUP(D168,契約台帳!$A$3:$K$4986,7,FALSE)&amp;VLOOKUP(D168,契約台帳!$A$3:$K$4986,8,FALSE)&amp;VLOOKUP(D168,契約台帳!$A$3:$K$4986,9,FALSE)&amp;VLOOKUP(D168,契約台帳!$A$3:$K$4986,11,FALSE))</f>
        <v>3SNMLBMNGTBF</v>
      </c>
      <c r="G168" s="256" t="str">
        <f>IF(D168="","",VLOOKUP(F168,製品マスタ!$G$5:$H$4999,2,FALSE))</f>
        <v>S</v>
      </c>
      <c r="H168" s="256" t="str">
        <f>IF(D168="","",VLOOKUP(F168,製品マスタ!$G$5:$K$4999,5,FALSE))</f>
        <v>MNGTBF</v>
      </c>
      <c r="I168" s="200" t="str">
        <f>IF(D168="","",VLOOKUP(F168,製品マスタ!$G$5:$L$4999,6,FALSE))</f>
        <v>メタルミー　ネーマー　銀艶　Ｂ</v>
      </c>
      <c r="J168" s="203" t="s">
        <v>832</v>
      </c>
      <c r="K168" s="200">
        <f>IF(D168="","",VLOOKUP(D168,契約台帳!$A$3:$L$4986,12,FALSE))</f>
        <v>50</v>
      </c>
      <c r="L168" s="200" t="str">
        <f>IF(D168="","",INDEX(製品マスタ!$Q$5:$Q$4999,MATCH('S4'!F168&amp;'S4'!K168,製品マスタ!$AO$5:$AO$4999,0)))</f>
        <v>T62</v>
      </c>
      <c r="M168" s="37">
        <v>1120</v>
      </c>
      <c r="N168" s="37">
        <v>5000</v>
      </c>
      <c r="O168" s="153">
        <v>6</v>
      </c>
      <c r="P168" s="45">
        <v>2</v>
      </c>
      <c r="Q168" s="206">
        <v>44953</v>
      </c>
      <c r="R168" s="257">
        <f ca="1">IF(D168="","",IF(OFFSET(D168,-1,0)&lt;&gt;"","",IF(OR(J168="リード付け",J168="巻足し",J168="巻返しリード付け"),M168,VLOOKUP(D168,契約台帳!$A$3:$N$4986,14,FALSE))))</f>
        <v>1120</v>
      </c>
      <c r="S168" s="258">
        <f ca="1">IF(D168="","",IF(OFFSET(D168,-1,0)&lt;&gt;"","",IF(OR(J168="リード付け",J168="巻足し",J168="巻返しリード付け"),M168,VLOOKUP(D168,契約台帳!$A$3:$O$4986,15,FALSE))))</f>
        <v>1120</v>
      </c>
      <c r="T168" s="258">
        <f ca="1">IF(D168="","",IF(J168="リード付け",N168,IF(J168="巻返しリード付け",N168,IF(J168="巻足し",N168*P168+OFFSET(N168,1,0)*OFFSET(P168,1,0),VLOOKUP(D168,契約台帳!$A$3:$P$4986,16,FALSE)))))</f>
        <v>10000</v>
      </c>
      <c r="U168" s="38">
        <v>3</v>
      </c>
      <c r="V168" s="259">
        <f ca="1">IF(D168="","",IF(OFFSET(D168,-2,0)=D168,"",VLOOKUP(D168,契約台帳!$A$3:$R$4986,18,FALSE)))</f>
        <v>12</v>
      </c>
      <c r="W168" s="256" t="str">
        <f ca="1">IF(D168="","",IF(T168="","",IF(OR(J168="巻足し",J168="巻返しリード付け"),"",IF(J168="巻返し",VLOOKUP(F168&amp;K168&amp;M168,製品マスタ!$M$5:$AD$4999,18,FALSE),IF(OR(J168="リード付け",J168="巻返しリード付け"),"原反コア",IF(J168="スリット",VLOOKUP(F168&amp;K168&amp;R168,製品マスタ!$N$5:$AD$4999,17,FALSE),""))))))</f>
        <v/>
      </c>
      <c r="X168" s="256" t="str">
        <f ca="1">IF(D168="","",IF(T168="","",IF(J168="巻足し","",IF(J168="巻返し",VLOOKUP(F168&amp;K168&amp;M168,製品マスタ!$M$5:$AE$4999,19,FALSE),IF(OR(J168="リード付け",J168="巻返しリード付け"),"",IF(J168="スリット",VLOOKUP(F168&amp;K168&amp;R168,製品マスタ!$N$5:$AE$4999,18,FALSE),""))))))</f>
        <v/>
      </c>
      <c r="Y168" s="256">
        <f ca="1">IF(D168="","",IF(T168="","",VLOOKUP(D168,契約台帳!$A$3:$Q$4986,17,FALSE)))</f>
        <v>2</v>
      </c>
      <c r="Z168" s="256" t="str">
        <f ca="1">IF(D168="","",IF(T168="","",VLOOKUP(D168,契約台帳!$A$3:$E$4986,5,FALSE)))</f>
        <v>リンテック㈱</v>
      </c>
      <c r="AA168" s="54"/>
      <c r="AB168" s="200" t="str">
        <f>IFERROR((VLOOKUP(F168&amp;K168&amp;M168,製品マスタ!$M$5:$AM$4999,27,FALSE)),"")</f>
        <v>原反ケース再利用</v>
      </c>
      <c r="AC168" s="31"/>
      <c r="AD168" s="184"/>
      <c r="AE168" s="51"/>
      <c r="AF168" s="52"/>
      <c r="AG168" s="41"/>
      <c r="AH168" s="45"/>
      <c r="AI168" s="28"/>
      <c r="AJ168" s="28"/>
      <c r="AK168" s="28"/>
      <c r="AL168" s="28"/>
      <c r="AM168" s="12"/>
      <c r="AN168" s="12"/>
      <c r="AO168" s="12"/>
      <c r="AP168" s="12"/>
      <c r="AQ168" s="12"/>
      <c r="AR168" s="13"/>
      <c r="AS168" s="14"/>
    </row>
    <row r="169" spans="1:45" s="16" customFormat="1" ht="30.95" hidden="1" customHeight="1" x14ac:dyDescent="0.2">
      <c r="A169" s="35"/>
      <c r="B169" s="36"/>
      <c r="C169" s="43"/>
      <c r="D169" s="29"/>
      <c r="E169" s="29"/>
      <c r="F169" s="255" t="str">
        <f>IF(D169="","",VLOOKUP(D169,契約台帳!$A$3:$K$4986,6,FALSE)&amp;VLOOKUP(D169,契約台帳!$A$3:$K$4986,7,FALSE)&amp;VLOOKUP(D169,契約台帳!$A$3:$K$4986,8,FALSE)&amp;VLOOKUP(D169,契約台帳!$A$3:$K$4986,9,FALSE)&amp;VLOOKUP(D169,契約台帳!$A$3:$K$4986,11,FALSE))</f>
        <v/>
      </c>
      <c r="G169" s="256" t="str">
        <f>IF(D169="","",VLOOKUP(F169,製品マスタ!$G$5:$H$4999,2,FALSE))</f>
        <v/>
      </c>
      <c r="H169" s="256" t="str">
        <f>IF(D169="","",VLOOKUP(F169,製品マスタ!$G$5:$K$4999,5,FALSE))</f>
        <v/>
      </c>
      <c r="I169" s="200" t="str">
        <f>IF(D169="","",VLOOKUP(F169,製品マスタ!$G$5:$L$4999,6,FALSE))</f>
        <v/>
      </c>
      <c r="J169" s="203"/>
      <c r="K169" s="200" t="str">
        <f>IF(D169="","",VLOOKUP(D169,契約台帳!$A$3:$L$4986,12,FALSE))</f>
        <v/>
      </c>
      <c r="L169" s="200" t="str">
        <f>IF(D169="","",INDEX(製品マスタ!$Q$5:$Q$4999,MATCH('S4'!F169&amp;'S4'!K169,製品マスタ!$AO$5:$AO$4999,0)))</f>
        <v/>
      </c>
      <c r="M169" s="37"/>
      <c r="N169" s="37"/>
      <c r="O169" s="153"/>
      <c r="P169" s="45"/>
      <c r="Q169" s="54"/>
      <c r="R169" s="257" t="str">
        <f ca="1">IF(D169="","",IF(OFFSET(D169,-1,0)&lt;&gt;"","",IF(OR(J169="リード付け",J169="巻足し",J169="巻返しリード付け"),M169,VLOOKUP(D169,契約台帳!$A$3:$N$4986,14,FALSE))))</f>
        <v/>
      </c>
      <c r="S169" s="258" t="str">
        <f ca="1">IF(D169="","",IF(OFFSET(D169,-1,0)&lt;&gt;"","",IF(OR(J169="リード付け",J169="巻足し",J169="巻返しリード付け"),M169,VLOOKUP(D169,契約台帳!$A$3:$O$4986,15,FALSE))))</f>
        <v/>
      </c>
      <c r="T169" s="258" t="str">
        <f ca="1">IF(D169="","",IF(J169="リード付け",N169,IF(J169="巻返しリード付け",N169,IF(J169="巻足し",N169*P169+OFFSET(N169,1,0)*OFFSET(P169,1,0),VLOOKUP(D169,契約台帳!$A$3:$P$4986,16,FALSE)))))</f>
        <v/>
      </c>
      <c r="U169" s="38"/>
      <c r="V169" s="259" t="str">
        <f ca="1">IF(D169="","",IF(OFFSET(D169,-2,0)=D169,"",VLOOKUP(D169,契約台帳!$A$3:$R$4986,18,FALSE)))</f>
        <v/>
      </c>
      <c r="W169" s="256" t="str">
        <f>IF(D169="","",IF(T169="","",IF(OR(J169="巻足し",J169="巻返しリード付け"),"",IF(J169="巻返し",VLOOKUP(F169&amp;K169&amp;M169,製品マスタ!$M$5:$AD$4999,18,FALSE),IF(OR(J169="リード付け",J169="巻返しリード付け"),"原反コア",IF(J169="スリット",VLOOKUP(F169&amp;K169&amp;R169,製品マスタ!$N$5:$AD$4999,17,FALSE),""))))))</f>
        <v/>
      </c>
      <c r="X169" s="256" t="str">
        <f>IF(D169="","",IF(T169="","",IF(J169="巻足し","",IF(J169="巻返し",VLOOKUP(F169&amp;K169&amp;M169,製品マスタ!$M$5:$AE$4999,19,FALSE),IF(OR(J169="リード付け",J169="巻返しリード付け"),"",IF(J169="スリット",VLOOKUP(F169&amp;K169&amp;R169,製品マスタ!$N$5:$AE$4999,18,FALSE),""))))))</f>
        <v/>
      </c>
      <c r="Y169" s="256" t="str">
        <f>IF(D169="","",IF(T169="","",VLOOKUP(D169,契約台帳!$A$3:$Q$4986,17,FALSE)))</f>
        <v/>
      </c>
      <c r="Z169" s="256" t="str">
        <f>IF(D169="","",IF(T169="","",VLOOKUP(D169,契約台帳!$A$3:$E$4986,5,FALSE)))</f>
        <v/>
      </c>
      <c r="AA169" s="54"/>
      <c r="AB169" s="200" t="str">
        <f>IFERROR((VLOOKUP(F169&amp;K169&amp;M169,製品マスタ!$M$5:$AM$4999,27,FALSE)),"")</f>
        <v/>
      </c>
      <c r="AC169" s="31"/>
      <c r="AD169" s="184"/>
      <c r="AE169" s="51"/>
      <c r="AF169" s="52"/>
      <c r="AG169" s="41"/>
      <c r="AH169" s="45"/>
      <c r="AI169" s="28"/>
      <c r="AJ169" s="28"/>
      <c r="AK169" s="28"/>
      <c r="AL169" s="28"/>
      <c r="AM169" s="12"/>
      <c r="AN169" s="12"/>
      <c r="AO169" s="12"/>
      <c r="AP169" s="12"/>
      <c r="AQ169" s="12"/>
      <c r="AR169" s="13"/>
      <c r="AS169" s="14"/>
    </row>
    <row r="170" spans="1:45" s="16" customFormat="1" ht="30.95" hidden="1" customHeight="1" x14ac:dyDescent="0.2">
      <c r="A170" s="35" t="s">
        <v>841</v>
      </c>
      <c r="B170" s="36" t="s">
        <v>842</v>
      </c>
      <c r="C170" s="43"/>
      <c r="D170" s="29">
        <v>3697668</v>
      </c>
      <c r="E170" s="29">
        <v>4161810</v>
      </c>
      <c r="F170" s="255" t="str">
        <f>IF(D170="","",VLOOKUP(D170,契約台帳!$A$3:$K$4986,6,FALSE)&amp;VLOOKUP(D170,契約台帳!$A$3:$K$4986,7,FALSE)&amp;VLOOKUP(D170,契約台帳!$A$3:$K$4986,8,FALSE)&amp;VLOOKUP(D170,契約台帳!$A$3:$K$4986,9,FALSE)&amp;VLOOKUP(D170,契約台帳!$A$3:$K$4986,11,FALSE))</f>
        <v>3SNMLBMNGTBF</v>
      </c>
      <c r="G170" s="256" t="str">
        <f>IF(D170="","",VLOOKUP(F170,製品マスタ!$G$5:$H$4999,2,FALSE))</f>
        <v>S</v>
      </c>
      <c r="H170" s="256" t="str">
        <f>IF(D170="","",VLOOKUP(F170,製品マスタ!$G$5:$K$4999,5,FALSE))</f>
        <v>MNGTBF</v>
      </c>
      <c r="I170" s="200" t="str">
        <f>IF(D170="","",VLOOKUP(F170,製品マスタ!$G$5:$L$4999,6,FALSE))</f>
        <v>メタルミー　ネーマー　銀艶　Ｂ</v>
      </c>
      <c r="J170" s="203" t="s">
        <v>832</v>
      </c>
      <c r="K170" s="200">
        <f>IF(D170="","",VLOOKUP(D170,契約台帳!$A$3:$L$4986,12,FALSE))</f>
        <v>50</v>
      </c>
      <c r="L170" s="200" t="str">
        <f>IF(D170="","",INDEX(製品マスタ!$Q$5:$Q$4999,MATCH('S4'!F170&amp;'S4'!K170,製品マスタ!$AO$5:$AO$4999,0)))</f>
        <v>T62</v>
      </c>
      <c r="M170" s="37">
        <v>1120</v>
      </c>
      <c r="N170" s="37">
        <v>5000</v>
      </c>
      <c r="O170" s="153">
        <v>6</v>
      </c>
      <c r="P170" s="45">
        <v>2</v>
      </c>
      <c r="Q170" s="206">
        <v>44953</v>
      </c>
      <c r="R170" s="257">
        <f ca="1">IF(D170="","",IF(OFFSET(D170,-1,0)&lt;&gt;"","",IF(OR(J170="リード付け",J170="巻足し",J170="巻返しリード付け"),M170,VLOOKUP(D170,契約台帳!$A$3:$N$4986,14,FALSE))))</f>
        <v>1120</v>
      </c>
      <c r="S170" s="258">
        <f ca="1">IF(D170="","",IF(OFFSET(D170,-1,0)&lt;&gt;"","",IF(OR(J170="リード付け",J170="巻足し",J170="巻返しリード付け"),M170,VLOOKUP(D170,契約台帳!$A$3:$O$4986,15,FALSE))))</f>
        <v>1120</v>
      </c>
      <c r="T170" s="258">
        <f ca="1">IF(D170="","",IF(J170="リード付け",N170,IF(J170="巻返しリード付け",N170,IF(J170="巻足し",N170*P170+OFFSET(N170,1,0)*OFFSET(P170,1,0),VLOOKUP(D170,契約台帳!$A$3:$P$4986,16,FALSE)))))</f>
        <v>10000</v>
      </c>
      <c r="U170" s="38">
        <v>3</v>
      </c>
      <c r="V170" s="259" t="str">
        <f ca="1">IF(D170="","",IF(OFFSET(D170,-2,0)=D170,"",VLOOKUP(D170,契約台帳!$A$3:$R$4986,18,FALSE)))</f>
        <v/>
      </c>
      <c r="W170" s="256" t="str">
        <f ca="1">IF(D170="","",IF(T170="","",IF(OR(J170="巻足し",J170="巻返しリード付け"),"",IF(J170="巻返し",VLOOKUP(F170&amp;K170&amp;M170,製品マスタ!$M$5:$AD$4999,18,FALSE),IF(OR(J170="リード付け",J170="巻返しリード付け"),"原反コア",IF(J170="スリット",VLOOKUP(F170&amp;K170&amp;R170,製品マスタ!$N$5:$AD$4999,17,FALSE),""))))))</f>
        <v/>
      </c>
      <c r="X170" s="256" t="str">
        <f ca="1">IF(D170="","",IF(T170="","",IF(J170="巻足し","",IF(J170="巻返し",VLOOKUP(F170&amp;K170&amp;M170,製品マスタ!$M$5:$AE$4999,19,FALSE),IF(OR(J170="リード付け",J170="巻返しリード付け"),"",IF(J170="スリット",VLOOKUP(F170&amp;K170&amp;R170,製品マスタ!$N$5:$AE$4999,18,FALSE),""))))))</f>
        <v/>
      </c>
      <c r="Y170" s="256">
        <f ca="1">IF(D170="","",IF(T170="","",VLOOKUP(D170,契約台帳!$A$3:$Q$4986,17,FALSE)))</f>
        <v>2</v>
      </c>
      <c r="Z170" s="256" t="str">
        <f ca="1">IF(D170="","",IF(T170="","",VLOOKUP(D170,契約台帳!$A$3:$E$4986,5,FALSE)))</f>
        <v>リンテック㈱</v>
      </c>
      <c r="AA170" s="54"/>
      <c r="AB170" s="200" t="str">
        <f>IFERROR((VLOOKUP(F170&amp;K170&amp;M170,製品マスタ!$M$5:$AM$4999,27,FALSE)),"")</f>
        <v>原反ケース再利用</v>
      </c>
      <c r="AC170" s="31"/>
      <c r="AD170" s="184"/>
      <c r="AE170" s="51"/>
      <c r="AF170" s="52"/>
      <c r="AG170" s="41"/>
      <c r="AH170" s="45"/>
      <c r="AI170" s="28"/>
      <c r="AJ170" s="28"/>
      <c r="AK170" s="28"/>
      <c r="AL170" s="28"/>
      <c r="AM170" s="12"/>
      <c r="AN170" s="12"/>
      <c r="AO170" s="12"/>
      <c r="AP170" s="12"/>
      <c r="AQ170" s="12"/>
      <c r="AR170" s="13"/>
      <c r="AS170" s="14"/>
    </row>
    <row r="171" spans="1:45" s="16" customFormat="1" ht="30.95" hidden="1" customHeight="1" x14ac:dyDescent="0.2">
      <c r="A171" s="35"/>
      <c r="B171" s="36"/>
      <c r="C171" s="43"/>
      <c r="D171" s="29"/>
      <c r="E171" s="29"/>
      <c r="F171" s="255" t="str">
        <f>IF(D171="","",VLOOKUP(D171,契約台帳!$A$3:$K$4986,6,FALSE)&amp;VLOOKUP(D171,契約台帳!$A$3:$K$4986,7,FALSE)&amp;VLOOKUP(D171,契約台帳!$A$3:$K$4986,8,FALSE)&amp;VLOOKUP(D171,契約台帳!$A$3:$K$4986,9,FALSE)&amp;VLOOKUP(D171,契約台帳!$A$3:$K$4986,11,FALSE))</f>
        <v/>
      </c>
      <c r="G171" s="256" t="str">
        <f>IF(D171="","",VLOOKUP(F171,製品マスタ!$G$5:$H$4999,2,FALSE))</f>
        <v/>
      </c>
      <c r="H171" s="256" t="str">
        <f>IF(D171="","",VLOOKUP(F171,製品マスタ!$G$5:$K$4999,5,FALSE))</f>
        <v/>
      </c>
      <c r="I171" s="200" t="str">
        <f>IF(D171="","",VLOOKUP(F171,製品マスタ!$G$5:$L$4999,6,FALSE))</f>
        <v/>
      </c>
      <c r="J171" s="203"/>
      <c r="K171" s="200" t="str">
        <f>IF(D171="","",VLOOKUP(D171,契約台帳!$A$3:$L$4986,12,FALSE))</f>
        <v/>
      </c>
      <c r="L171" s="200" t="str">
        <f>IF(D171="","",INDEX(製品マスタ!$Q$5:$Q$4999,MATCH('S4'!F171&amp;'S4'!K171,製品マスタ!$AO$5:$AO$4999,0)))</f>
        <v/>
      </c>
      <c r="M171" s="37"/>
      <c r="N171" s="37"/>
      <c r="O171" s="153"/>
      <c r="P171" s="45"/>
      <c r="Q171" s="54"/>
      <c r="R171" s="257" t="str">
        <f ca="1">IF(D171="","",IF(OFFSET(D171,-1,0)&lt;&gt;"","",IF(OR(J171="リード付け",J171="巻足し",J171="巻返しリード付け"),M171,VLOOKUP(D171,契約台帳!$A$3:$N$4986,14,FALSE))))</f>
        <v/>
      </c>
      <c r="S171" s="258" t="str">
        <f ca="1">IF(D171="","",IF(OFFSET(D171,-1,0)&lt;&gt;"","",IF(OR(J171="リード付け",J171="巻足し",J171="巻返しリード付け"),M171,VLOOKUP(D171,契約台帳!$A$3:$O$4986,15,FALSE))))</f>
        <v/>
      </c>
      <c r="T171" s="258" t="str">
        <f ca="1">IF(D171="","",IF(J171="リード付け",N171,IF(J171="巻返しリード付け",N171,IF(J171="巻足し",N171*P171+OFFSET(N171,1,0)*OFFSET(P171,1,0),VLOOKUP(D171,契約台帳!$A$3:$P$4986,16,FALSE)))))</f>
        <v/>
      </c>
      <c r="U171" s="38"/>
      <c r="V171" s="259" t="str">
        <f ca="1">IF(D171="","",IF(OFFSET(D171,-2,0)=D171,"",VLOOKUP(D171,契約台帳!$A$3:$R$4986,18,FALSE)))</f>
        <v/>
      </c>
      <c r="W171" s="256" t="str">
        <f>IF(D171="","",IF(T171="","",IF(OR(J171="巻足し",J171="巻返しリード付け"),"",IF(J171="巻返し",VLOOKUP(F171&amp;K171&amp;M171,製品マスタ!$M$5:$AD$4999,18,FALSE),IF(OR(J171="リード付け",J171="巻返しリード付け"),"原反コア",IF(J171="スリット",VLOOKUP(F171&amp;K171&amp;R171,製品マスタ!$N$5:$AD$4999,17,FALSE),""))))))</f>
        <v/>
      </c>
      <c r="X171" s="256" t="str">
        <f>IF(D171="","",IF(T171="","",IF(J171="巻足し","",IF(J171="巻返し",VLOOKUP(F171&amp;K171&amp;M171,製品マスタ!$M$5:$AE$4999,19,FALSE),IF(OR(J171="リード付け",J171="巻返しリード付け"),"",IF(J171="スリット",VLOOKUP(F171&amp;K171&amp;R171,製品マスタ!$N$5:$AE$4999,18,FALSE),""))))))</f>
        <v/>
      </c>
      <c r="Y171" s="256" t="str">
        <f>IF(D171="","",IF(T171="","",VLOOKUP(D171,契約台帳!$A$3:$Q$4986,17,FALSE)))</f>
        <v/>
      </c>
      <c r="Z171" s="256" t="str">
        <f>IF(D171="","",IF(T171="","",VLOOKUP(D171,契約台帳!$A$3:$E$4986,5,FALSE)))</f>
        <v/>
      </c>
      <c r="AA171" s="54"/>
      <c r="AB171" s="200" t="str">
        <f>IFERROR((VLOOKUP(F171&amp;K171&amp;M171,製品マスタ!$M$5:$AM$4999,27,FALSE)),"")</f>
        <v/>
      </c>
      <c r="AC171" s="31"/>
      <c r="AD171" s="184"/>
      <c r="AE171" s="51"/>
      <c r="AF171" s="52"/>
      <c r="AG171" s="41"/>
      <c r="AH171" s="45"/>
      <c r="AI171" s="28"/>
      <c r="AJ171" s="28"/>
      <c r="AK171" s="28"/>
      <c r="AL171" s="28"/>
      <c r="AM171" s="12"/>
      <c r="AN171" s="12"/>
      <c r="AO171" s="12"/>
      <c r="AP171" s="12"/>
      <c r="AQ171" s="12"/>
      <c r="AR171" s="13"/>
      <c r="AS171" s="14"/>
    </row>
    <row r="172" spans="1:45" s="16" customFormat="1" ht="30.95" hidden="1" customHeight="1" x14ac:dyDescent="0.2">
      <c r="A172" s="35"/>
      <c r="B172" s="36"/>
      <c r="C172" s="43"/>
      <c r="D172" s="29">
        <v>3697676</v>
      </c>
      <c r="E172" s="29">
        <v>4161827</v>
      </c>
      <c r="F172" s="255" t="str">
        <f>IF(D172="","",VLOOKUP(D172,契約台帳!$A$3:$K$4986,6,FALSE)&amp;VLOOKUP(D172,契約台帳!$A$3:$K$4986,7,FALSE)&amp;VLOOKUP(D172,契約台帳!$A$3:$K$4986,8,FALSE)&amp;VLOOKUP(D172,契約台帳!$A$3:$K$4986,9,FALSE)&amp;VLOOKUP(D172,契約台帳!$A$3:$K$4986,11,FALSE))</f>
        <v>3SNMLBMNQR66F</v>
      </c>
      <c r="G172" s="256" t="str">
        <f>IF(D172="","",VLOOKUP(F172,製品マスタ!$G$5:$H$4999,2,FALSE))</f>
        <v>S</v>
      </c>
      <c r="H172" s="256" t="str">
        <f>IF(D172="","",VLOOKUP(F172,製品マスタ!$G$5:$K$4999,5,FALSE))</f>
        <v>MNQR66F</v>
      </c>
      <c r="I172" s="200" t="str">
        <f>IF(D172="","",VLOOKUP(F172,製品マスタ!$G$5:$L$4999,6,FALSE))</f>
        <v>ＱＲ６６蒸着品</v>
      </c>
      <c r="J172" s="203" t="s">
        <v>832</v>
      </c>
      <c r="K172" s="200">
        <f>IF(D172="","",VLOOKUP(D172,契約台帳!$A$3:$L$4986,12,FALSE))</f>
        <v>25</v>
      </c>
      <c r="L172" s="200" t="str">
        <f>IF(D172="","",INDEX(製品マスタ!$Q$5:$Q$4999,MATCH('S4'!F172&amp;'S4'!K172,製品マスタ!$AO$5:$AO$4999,0)))</f>
        <v>E315</v>
      </c>
      <c r="M172" s="37">
        <v>1100</v>
      </c>
      <c r="N172" s="37">
        <v>6000</v>
      </c>
      <c r="O172" s="153">
        <v>12</v>
      </c>
      <c r="P172" s="45">
        <v>4</v>
      </c>
      <c r="Q172" s="206">
        <v>44956</v>
      </c>
      <c r="R172" s="257">
        <f ca="1">IF(D172="","",IF(OFFSET(D172,-1,0)&lt;&gt;"","",IF(OR(J172="リード付け",J172="巻足し",J172="巻返しリード付け"),M172,VLOOKUP(D172,契約台帳!$A$3:$N$4986,14,FALSE))))</f>
        <v>1100</v>
      </c>
      <c r="S172" s="258">
        <f ca="1">IF(D172="","",IF(OFFSET(D172,-1,0)&lt;&gt;"","",IF(OR(J172="リード付け",J172="巻足し",J172="巻返しリード付け"),M172,VLOOKUP(D172,契約台帳!$A$3:$O$4986,15,FALSE))))</f>
        <v>1100</v>
      </c>
      <c r="T172" s="258">
        <f ca="1">IF(D172="","",IF(J172="リード付け",N172,IF(J172="巻返しリード付け",N172,IF(J172="巻足し",N172*P172+OFFSET(N172,1,0)*OFFSET(P172,1,0),VLOOKUP(D172,契約台帳!$A$3:$P$4986,16,FALSE)))))</f>
        <v>24000</v>
      </c>
      <c r="U172" s="38">
        <v>3</v>
      </c>
      <c r="V172" s="259">
        <f ca="1">IF(D172="","",IF(OFFSET(D172,-2,0)=D172,"",VLOOKUP(D172,契約台帳!$A$3:$R$4986,18,FALSE)))</f>
        <v>20</v>
      </c>
      <c r="W172" s="256" t="str">
        <f ca="1">IF(D172="","",IF(T172="","",IF(OR(J172="巻足し",J172="巻返しリード付け"),"",IF(J172="巻返し",VLOOKUP(F172&amp;K172&amp;M172,製品マスタ!$M$5:$AD$4999,18,FALSE),IF(OR(J172="リード付け",J172="巻返しリード付け"),"原反コア",IF(J172="スリット",VLOOKUP(F172&amp;K172&amp;R172,製品マスタ!$N$5:$AD$4999,17,FALSE),""))))))</f>
        <v/>
      </c>
      <c r="X172" s="256" t="str">
        <f ca="1">IF(D172="","",IF(T172="","",IF(J172="巻足し","",IF(J172="巻返し",VLOOKUP(F172&amp;K172&amp;M172,製品マスタ!$M$5:$AE$4999,19,FALSE),IF(OR(J172="リード付け",J172="巻返しリード付け"),"",IF(J172="スリット",VLOOKUP(F172&amp;K172&amp;R172,製品マスタ!$N$5:$AE$4999,18,FALSE),""))))))</f>
        <v/>
      </c>
      <c r="Y172" s="256">
        <f ca="1">IF(D172="","",IF(T172="","",VLOOKUP(D172,契約台帳!$A$3:$Q$4986,17,FALSE)))</f>
        <v>2</v>
      </c>
      <c r="Z172" s="256" t="str">
        <f ca="1">IF(D172="","",IF(T172="","",VLOOKUP(D172,契約台帳!$A$3:$E$4986,5,FALSE)))</f>
        <v>リンテック㈱</v>
      </c>
      <c r="AA172" s="54"/>
      <c r="AB172" s="200" t="str">
        <f>IFERROR((VLOOKUP(F172&amp;K172&amp;M172,製品マスタ!$M$5:$AM$4999,27,FALSE)),"")</f>
        <v>原反ケース再利用</v>
      </c>
      <c r="AC172" s="31"/>
      <c r="AD172" s="184"/>
      <c r="AE172" s="51"/>
      <c r="AF172" s="52"/>
      <c r="AG172" s="41"/>
      <c r="AH172" s="45"/>
      <c r="AI172" s="28"/>
      <c r="AJ172" s="28"/>
      <c r="AK172" s="28"/>
      <c r="AL172" s="28"/>
      <c r="AM172" s="12"/>
      <c r="AN172" s="12"/>
      <c r="AO172" s="12"/>
      <c r="AP172" s="12"/>
      <c r="AQ172" s="12"/>
      <c r="AR172" s="13"/>
      <c r="AS172" s="14"/>
    </row>
    <row r="173" spans="1:45" s="16" customFormat="1" ht="30.95" hidden="1" customHeight="1" x14ac:dyDescent="0.2">
      <c r="A173" s="35"/>
      <c r="B173" s="36"/>
      <c r="C173" s="43"/>
      <c r="D173" s="29"/>
      <c r="E173" s="29"/>
      <c r="F173" s="255" t="str">
        <f>IF(D173="","",VLOOKUP(D173,契約台帳!$A$3:$K$4986,6,FALSE)&amp;VLOOKUP(D173,契約台帳!$A$3:$K$4986,7,FALSE)&amp;VLOOKUP(D173,契約台帳!$A$3:$K$4986,8,FALSE)&amp;VLOOKUP(D173,契約台帳!$A$3:$K$4986,9,FALSE)&amp;VLOOKUP(D173,契約台帳!$A$3:$K$4986,11,FALSE))</f>
        <v/>
      </c>
      <c r="G173" s="256" t="str">
        <f>IF(D173="","",VLOOKUP(F173,製品マスタ!$G$5:$H$4999,2,FALSE))</f>
        <v/>
      </c>
      <c r="H173" s="256" t="str">
        <f>IF(D173="","",VLOOKUP(F173,製品マスタ!$G$5:$K$4999,5,FALSE))</f>
        <v/>
      </c>
      <c r="I173" s="200" t="str">
        <f>IF(D173="","",VLOOKUP(F173,製品マスタ!$G$5:$L$4999,6,FALSE))</f>
        <v/>
      </c>
      <c r="J173" s="203"/>
      <c r="K173" s="200" t="str">
        <f>IF(D173="","",VLOOKUP(D173,契約台帳!$A$3:$L$4986,12,FALSE))</f>
        <v/>
      </c>
      <c r="L173" s="200" t="str">
        <f>IF(D173="","",INDEX(製品マスタ!$Q$5:$Q$4999,MATCH('S4'!F173&amp;'S4'!K173,製品マスタ!$AO$5:$AO$4999,0)))</f>
        <v/>
      </c>
      <c r="M173" s="37"/>
      <c r="N173" s="37"/>
      <c r="O173" s="153"/>
      <c r="P173" s="45"/>
      <c r="Q173" s="54"/>
      <c r="R173" s="257" t="str">
        <f ca="1">IF(D173="","",IF(OFFSET(D173,-1,0)&lt;&gt;"","",IF(OR(J173="リード付け",J173="巻足し",J173="巻返しリード付け"),M173,VLOOKUP(D173,契約台帳!$A$3:$N$4986,14,FALSE))))</f>
        <v/>
      </c>
      <c r="S173" s="258" t="str">
        <f ca="1">IF(D173="","",IF(OFFSET(D173,-1,0)&lt;&gt;"","",IF(OR(J173="リード付け",J173="巻足し",J173="巻返しリード付け"),M173,VLOOKUP(D173,契約台帳!$A$3:$O$4986,15,FALSE))))</f>
        <v/>
      </c>
      <c r="T173" s="258" t="str">
        <f ca="1">IF(D173="","",IF(J173="リード付け",N173,IF(J173="巻返しリード付け",N173,IF(J173="巻足し",N173*P173+OFFSET(N173,1,0)*OFFSET(P173,1,0),VLOOKUP(D173,契約台帳!$A$3:$P$4986,16,FALSE)))))</f>
        <v/>
      </c>
      <c r="U173" s="38"/>
      <c r="V173" s="259" t="str">
        <f ca="1">IF(D173="","",IF(OFFSET(D173,-2,0)=D173,"",VLOOKUP(D173,契約台帳!$A$3:$R$4986,18,FALSE)))</f>
        <v/>
      </c>
      <c r="W173" s="256" t="str">
        <f>IF(D173="","",IF(T173="","",IF(OR(J173="巻足し",J173="巻返しリード付け"),"",IF(J173="巻返し",VLOOKUP(F173&amp;K173&amp;M173,製品マスタ!$M$5:$AD$4999,18,FALSE),IF(OR(J173="リード付け",J173="巻返しリード付け"),"原反コア",IF(J173="スリット",VLOOKUP(F173&amp;K173&amp;R173,製品マスタ!$N$5:$AD$4999,17,FALSE),""))))))</f>
        <v/>
      </c>
      <c r="X173" s="256" t="str">
        <f>IF(D173="","",IF(T173="","",IF(J173="巻足し","",IF(J173="巻返し",VLOOKUP(F173&amp;K173&amp;M173,製品マスタ!$M$5:$AE$4999,19,FALSE),IF(OR(J173="リード付け",J173="巻返しリード付け"),"",IF(J173="スリット",VLOOKUP(F173&amp;K173&amp;R173,製品マスタ!$N$5:$AE$4999,18,FALSE),""))))))</f>
        <v/>
      </c>
      <c r="Y173" s="256" t="str">
        <f>IF(D173="","",IF(T173="","",VLOOKUP(D173,契約台帳!$A$3:$Q$4986,17,FALSE)))</f>
        <v/>
      </c>
      <c r="Z173" s="256" t="str">
        <f>IF(D173="","",IF(T173="","",VLOOKUP(D173,契約台帳!$A$3:$E$4986,5,FALSE)))</f>
        <v/>
      </c>
      <c r="AA173" s="54"/>
      <c r="AB173" s="200" t="str">
        <f>IFERROR((VLOOKUP(F173&amp;K173&amp;M173,製品マスタ!$M$5:$AM$4999,27,FALSE)),"")</f>
        <v/>
      </c>
      <c r="AC173" s="31"/>
      <c r="AD173" s="184"/>
      <c r="AE173" s="51"/>
      <c r="AF173" s="52"/>
      <c r="AG173" s="41"/>
      <c r="AH173" s="45"/>
      <c r="AI173" s="28"/>
      <c r="AJ173" s="28"/>
      <c r="AK173" s="28"/>
      <c r="AL173" s="28"/>
      <c r="AM173" s="12"/>
      <c r="AN173" s="12"/>
      <c r="AO173" s="12"/>
      <c r="AP173" s="12"/>
      <c r="AQ173" s="12"/>
      <c r="AR173" s="13"/>
      <c r="AS173" s="14"/>
    </row>
    <row r="174" spans="1:45" s="16" customFormat="1" ht="30.95" hidden="1" customHeight="1" x14ac:dyDescent="0.2">
      <c r="A174" s="35" t="s">
        <v>843</v>
      </c>
      <c r="B174" s="36" t="s">
        <v>844</v>
      </c>
      <c r="C174" s="43"/>
      <c r="D174" s="29">
        <v>3697676</v>
      </c>
      <c r="E174" s="29">
        <v>4161827</v>
      </c>
      <c r="F174" s="255" t="str">
        <f>IF(D174="","",VLOOKUP(D174,契約台帳!$A$3:$K$4986,6,FALSE)&amp;VLOOKUP(D174,契約台帳!$A$3:$K$4986,7,FALSE)&amp;VLOOKUP(D174,契約台帳!$A$3:$K$4986,8,FALSE)&amp;VLOOKUP(D174,契約台帳!$A$3:$K$4986,9,FALSE)&amp;VLOOKUP(D174,契約台帳!$A$3:$K$4986,11,FALSE))</f>
        <v>3SNMLBMNQR66F</v>
      </c>
      <c r="G174" s="256" t="str">
        <f>IF(D174="","",VLOOKUP(F174,製品マスタ!$G$5:$H$4999,2,FALSE))</f>
        <v>S</v>
      </c>
      <c r="H174" s="256" t="str">
        <f>IF(D174="","",VLOOKUP(F174,製品マスタ!$G$5:$K$4999,5,FALSE))</f>
        <v>MNQR66F</v>
      </c>
      <c r="I174" s="200" t="str">
        <f>IF(D174="","",VLOOKUP(F174,製品マスタ!$G$5:$L$4999,6,FALSE))</f>
        <v>ＱＲ６６蒸着品</v>
      </c>
      <c r="J174" s="203" t="s">
        <v>832</v>
      </c>
      <c r="K174" s="200">
        <f>IF(D174="","",VLOOKUP(D174,契約台帳!$A$3:$L$4986,12,FALSE))</f>
        <v>25</v>
      </c>
      <c r="L174" s="200" t="str">
        <f>IF(D174="","",INDEX(製品マスタ!$Q$5:$Q$4999,MATCH('S4'!F174&amp;'S4'!K174,製品マスタ!$AO$5:$AO$4999,0)))</f>
        <v>E315</v>
      </c>
      <c r="M174" s="37">
        <v>1100</v>
      </c>
      <c r="N174" s="37">
        <v>6000</v>
      </c>
      <c r="O174" s="153">
        <v>8</v>
      </c>
      <c r="P174" s="45">
        <v>4</v>
      </c>
      <c r="Q174" s="206">
        <v>44956</v>
      </c>
      <c r="R174" s="257">
        <f ca="1">IF(D174="","",IF(OFFSET(D174,-1,0)&lt;&gt;"","",IF(OR(J174="リード付け",J174="巻足し",J174="巻返しリード付け"),M174,VLOOKUP(D174,契約台帳!$A$3:$N$4986,14,FALSE))))</f>
        <v>1100</v>
      </c>
      <c r="S174" s="258">
        <f ca="1">IF(D174="","",IF(OFFSET(D174,-1,0)&lt;&gt;"","",IF(OR(J174="リード付け",J174="巻足し",J174="巻返しリード付け"),M174,VLOOKUP(D174,契約台帳!$A$3:$O$4986,15,FALSE))))</f>
        <v>1100</v>
      </c>
      <c r="T174" s="258">
        <f ca="1">IF(D174="","",IF(J174="リード付け",N174,IF(J174="巻返しリード付け",N174,IF(J174="巻足し",N174*P174+OFFSET(N174,1,0)*OFFSET(P174,1,0),VLOOKUP(D174,契約台帳!$A$3:$P$4986,16,FALSE)))))</f>
        <v>24000</v>
      </c>
      <c r="U174" s="38">
        <v>2</v>
      </c>
      <c r="V174" s="259" t="str">
        <f ca="1">IF(D174="","",IF(OFFSET(D174,-2,0)=D174,"",VLOOKUP(D174,契約台帳!$A$3:$R$4986,18,FALSE)))</f>
        <v/>
      </c>
      <c r="W174" s="256" t="str">
        <f ca="1">IF(D174="","",IF(T174="","",IF(OR(J174="巻足し",J174="巻返しリード付け"),"",IF(J174="巻返し",VLOOKUP(F174&amp;K174&amp;M174,製品マスタ!$M$5:$AD$4999,18,FALSE),IF(OR(J174="リード付け",J174="巻返しリード付け"),"原反コア",IF(J174="スリット",VLOOKUP(F174&amp;K174&amp;R174,製品マスタ!$N$5:$AD$4999,17,FALSE),""))))))</f>
        <v/>
      </c>
      <c r="X174" s="256" t="str">
        <f ca="1">IF(D174="","",IF(T174="","",IF(J174="巻足し","",IF(J174="巻返し",VLOOKUP(F174&amp;K174&amp;M174,製品マスタ!$M$5:$AE$4999,19,FALSE),IF(OR(J174="リード付け",J174="巻返しリード付け"),"",IF(J174="スリット",VLOOKUP(F174&amp;K174&amp;R174,製品マスタ!$N$5:$AE$4999,18,FALSE),""))))))</f>
        <v/>
      </c>
      <c r="Y174" s="256">
        <f ca="1">IF(D174="","",IF(T174="","",VLOOKUP(D174,契約台帳!$A$3:$Q$4986,17,FALSE)))</f>
        <v>2</v>
      </c>
      <c r="Z174" s="256" t="str">
        <f ca="1">IF(D174="","",IF(T174="","",VLOOKUP(D174,契約台帳!$A$3:$E$4986,5,FALSE)))</f>
        <v>リンテック㈱</v>
      </c>
      <c r="AA174" s="54"/>
      <c r="AB174" s="200" t="str">
        <f>IFERROR((VLOOKUP(F174&amp;K174&amp;M174,製品マスタ!$M$5:$AM$4999,27,FALSE)),"")</f>
        <v>原反ケース再利用</v>
      </c>
      <c r="AC174" s="31"/>
      <c r="AD174" s="184"/>
      <c r="AE174" s="51"/>
      <c r="AF174" s="52"/>
      <c r="AG174" s="41"/>
      <c r="AH174" s="45"/>
      <c r="AI174" s="28"/>
      <c r="AJ174" s="28"/>
      <c r="AK174" s="28"/>
      <c r="AL174" s="28"/>
      <c r="AM174" s="12"/>
      <c r="AN174" s="12"/>
      <c r="AO174" s="12"/>
      <c r="AP174" s="12"/>
      <c r="AQ174" s="12"/>
      <c r="AR174" s="13"/>
      <c r="AS174" s="14"/>
    </row>
    <row r="175" spans="1:45" s="16" customFormat="1" ht="30.95" hidden="1" customHeight="1" x14ac:dyDescent="0.2">
      <c r="A175" s="35"/>
      <c r="B175" s="36"/>
      <c r="C175" s="43"/>
      <c r="D175" s="29"/>
      <c r="E175" s="29"/>
      <c r="F175" s="255" t="str">
        <f>IF(D175="","",VLOOKUP(D175,契約台帳!$A$3:$K$4986,6,FALSE)&amp;VLOOKUP(D175,契約台帳!$A$3:$K$4986,7,FALSE)&amp;VLOOKUP(D175,契約台帳!$A$3:$K$4986,8,FALSE)&amp;VLOOKUP(D175,契約台帳!$A$3:$K$4986,9,FALSE)&amp;VLOOKUP(D175,契約台帳!$A$3:$K$4986,11,FALSE))</f>
        <v/>
      </c>
      <c r="G175" s="256" t="str">
        <f>IF(D175="","",VLOOKUP(F175,製品マスタ!$G$5:$H$4999,2,FALSE))</f>
        <v/>
      </c>
      <c r="H175" s="256" t="str">
        <f>IF(D175="","",VLOOKUP(F175,製品マスタ!$G$5:$K$4999,5,FALSE))</f>
        <v/>
      </c>
      <c r="I175" s="200" t="str">
        <f>IF(D175="","",VLOOKUP(F175,製品マスタ!$G$5:$L$4999,6,FALSE))</f>
        <v/>
      </c>
      <c r="J175" s="203"/>
      <c r="K175" s="200" t="str">
        <f>IF(D175="","",VLOOKUP(D175,契約台帳!$A$3:$L$4986,12,FALSE))</f>
        <v/>
      </c>
      <c r="L175" s="200" t="str">
        <f>IF(D175="","",INDEX(製品マスタ!$Q$5:$Q$4999,MATCH('S4'!F175&amp;'S4'!K175,製品マスタ!$AO$5:$AO$4999,0)))</f>
        <v/>
      </c>
      <c r="M175" s="37"/>
      <c r="N175" s="37"/>
      <c r="O175" s="153"/>
      <c r="P175" s="45"/>
      <c r="Q175" s="54"/>
      <c r="R175" s="257" t="str">
        <f ca="1">IF(D175="","",IF(OFFSET(D175,-1,0)&lt;&gt;"","",IF(OR(J175="リード付け",J175="巻足し",J175="巻返しリード付け"),M175,VLOOKUP(D175,契約台帳!$A$3:$N$4986,14,FALSE))))</f>
        <v/>
      </c>
      <c r="S175" s="258" t="str">
        <f ca="1">IF(D175="","",IF(OFFSET(D175,-1,0)&lt;&gt;"","",IF(OR(J175="リード付け",J175="巻足し",J175="巻返しリード付け"),M175,VLOOKUP(D175,契約台帳!$A$3:$O$4986,15,FALSE))))</f>
        <v/>
      </c>
      <c r="T175" s="258" t="str">
        <f ca="1">IF(D175="","",IF(J175="リード付け",N175,IF(J175="巻返しリード付け",N175,IF(J175="巻足し",N175*P175+OFFSET(N175,1,0)*OFFSET(P175,1,0),VLOOKUP(D175,契約台帳!$A$3:$P$4986,16,FALSE)))))</f>
        <v/>
      </c>
      <c r="U175" s="38"/>
      <c r="V175" s="259" t="str">
        <f ca="1">IF(D175="","",IF(OFFSET(D175,-2,0)=D175,"",VLOOKUP(D175,契約台帳!$A$3:$R$4986,18,FALSE)))</f>
        <v/>
      </c>
      <c r="W175" s="256" t="str">
        <f>IF(D175="","",IF(T175="","",IF(OR(J175="巻足し",J175="巻返しリード付け"),"",IF(J175="巻返し",VLOOKUP(F175&amp;K175&amp;M175,製品マスタ!$M$5:$AD$4999,18,FALSE),IF(OR(J175="リード付け",J175="巻返しリード付け"),"原反コア",IF(J175="スリット",VLOOKUP(F175&amp;K175&amp;R175,製品マスタ!$N$5:$AD$4999,17,FALSE),""))))))</f>
        <v/>
      </c>
      <c r="X175" s="256" t="str">
        <f>IF(D175="","",IF(T175="","",IF(J175="巻足し","",IF(J175="巻返し",VLOOKUP(F175&amp;K175&amp;M175,製品マスタ!$M$5:$AE$4999,19,FALSE),IF(OR(J175="リード付け",J175="巻返しリード付け"),"",IF(J175="スリット",VLOOKUP(F175&amp;K175&amp;R175,製品マスタ!$N$5:$AE$4999,18,FALSE),""))))))</f>
        <v/>
      </c>
      <c r="Y175" s="256" t="str">
        <f>IF(D175="","",IF(T175="","",VLOOKUP(D175,契約台帳!$A$3:$Q$4986,17,FALSE)))</f>
        <v/>
      </c>
      <c r="Z175" s="256" t="str">
        <f>IF(D175="","",IF(T175="","",VLOOKUP(D175,契約台帳!$A$3:$E$4986,5,FALSE)))</f>
        <v/>
      </c>
      <c r="AA175" s="54"/>
      <c r="AB175" s="200" t="str">
        <f>IFERROR((VLOOKUP(F175&amp;K175&amp;M175,製品マスタ!$M$5:$AM$4999,27,FALSE)),"")</f>
        <v/>
      </c>
      <c r="AC175" s="31"/>
      <c r="AD175" s="184"/>
      <c r="AE175" s="51"/>
      <c r="AF175" s="52"/>
      <c r="AG175" s="41"/>
      <c r="AH175" s="45"/>
      <c r="AI175" s="28"/>
      <c r="AJ175" s="28"/>
      <c r="AK175" s="28"/>
      <c r="AL175" s="28"/>
      <c r="AM175" s="12"/>
      <c r="AN175" s="12"/>
      <c r="AO175" s="12"/>
      <c r="AP175" s="12"/>
      <c r="AQ175" s="12"/>
      <c r="AR175" s="13"/>
      <c r="AS175" s="14"/>
    </row>
    <row r="176" spans="1:45" s="16" customFormat="1" ht="30.95" hidden="1" customHeight="1" x14ac:dyDescent="0.2">
      <c r="A176" s="35"/>
      <c r="B176" s="36"/>
      <c r="C176" s="43"/>
      <c r="D176" s="29">
        <v>3698435</v>
      </c>
      <c r="E176" s="29">
        <v>4161829</v>
      </c>
      <c r="F176" s="255" t="str">
        <f>IF(D176="","",VLOOKUP(D176,契約台帳!$A$3:$K$4986,6,FALSE)&amp;VLOOKUP(D176,契約台帳!$A$3:$K$4986,7,FALSE)&amp;VLOOKUP(D176,契約台帳!$A$3:$K$4986,8,FALSE)&amp;VLOOKUP(D176,契約台帳!$A$3:$K$4986,9,FALSE)&amp;VLOOKUP(D176,契約台帳!$A$3:$K$4986,11,FALSE))</f>
        <v>3SNMLBMDMSJF</v>
      </c>
      <c r="G176" s="256" t="str">
        <f>IF(D176="","",VLOOKUP(F176,製品マスタ!$G$5:$H$4999,2,FALSE))</f>
        <v>S</v>
      </c>
      <c r="H176" s="256" t="str">
        <f>IF(D176="","",VLOOKUP(F176,製品マスタ!$G$5:$K$4999,5,FALSE))</f>
        <v>MDMSJF</v>
      </c>
      <c r="I176" s="200" t="str">
        <f>IF(D176="","",VLOOKUP(F176,製品マスタ!$G$5:$L$4999,6,FALSE))</f>
        <v>ＤＭＳ蒸着（Ｘ－４４）</v>
      </c>
      <c r="J176" s="203" t="s">
        <v>832</v>
      </c>
      <c r="K176" s="200">
        <f>IF(D176="","",VLOOKUP(D176,契約台帳!$A$3:$L$4986,12,FALSE))</f>
        <v>50</v>
      </c>
      <c r="L176" s="200" t="str">
        <f>IF(D176="","",INDEX(製品マスタ!$Q$5:$Q$4999,MATCH('S4'!F176&amp;'S4'!K176,製品マスタ!$AO$5:$AO$4999,0)))</f>
        <v>X44</v>
      </c>
      <c r="M176" s="37">
        <v>1100</v>
      </c>
      <c r="N176" s="37">
        <v>4000</v>
      </c>
      <c r="O176" s="153">
        <v>2</v>
      </c>
      <c r="P176" s="45">
        <v>2</v>
      </c>
      <c r="Q176" s="206">
        <v>44956</v>
      </c>
      <c r="R176" s="257">
        <f ca="1">IF(D176="","",IF(OFFSET(D176,-1,0)&lt;&gt;"","",IF(OR(J176="リード付け",J176="巻足し",J176="巻返しリード付け"),M176,VLOOKUP(D176,契約台帳!$A$3:$N$4986,14,FALSE))))</f>
        <v>1100</v>
      </c>
      <c r="S176" s="258">
        <f ca="1">IF(D176="","",IF(OFFSET(D176,-1,0)&lt;&gt;"","",IF(OR(J176="リード付け",J176="巻足し",J176="巻返しリード付け"),M176,VLOOKUP(D176,契約台帳!$A$3:$O$4986,15,FALSE))))</f>
        <v>1100</v>
      </c>
      <c r="T176" s="258">
        <f ca="1">IF(D176="","",IF(J176="リード付け",N176,IF(J176="巻返しリード付け",N176,IF(J176="巻足し",N176*P176+OFFSET(N176,1,0)*OFFSET(P176,1,0),VLOOKUP(D176,契約台帳!$A$3:$P$4986,16,FALSE)))))</f>
        <v>8000</v>
      </c>
      <c r="U176" s="38">
        <v>1</v>
      </c>
      <c r="V176" s="259">
        <f ca="1">IF(D176="","",IF(OFFSET(D176,-2,0)=D176,"",VLOOKUP(D176,契約台帳!$A$3:$R$4986,18,FALSE)))</f>
        <v>2</v>
      </c>
      <c r="W176" s="256" t="str">
        <f ca="1">IF(D176="","",IF(T176="","",IF(OR(J176="巻足し",J176="巻返しリード付け"),"",IF(J176="巻返し",VLOOKUP(F176&amp;K176&amp;M176,製品マスタ!$M$5:$AD$4999,18,FALSE),IF(OR(J176="リード付け",J176="巻返しリード付け"),"原反コア",IF(J176="スリット",VLOOKUP(F176&amp;K176&amp;R176,製品マスタ!$N$5:$AD$4999,17,FALSE),""))))))</f>
        <v/>
      </c>
      <c r="X176" s="256" t="str">
        <f ca="1">IF(D176="","",IF(T176="","",IF(J176="巻足し","",IF(J176="巻返し",VLOOKUP(F176&amp;K176&amp;M176,製品マスタ!$M$5:$AE$4999,19,FALSE),IF(OR(J176="リード付け",J176="巻返しリード付け"),"",IF(J176="スリット",VLOOKUP(F176&amp;K176&amp;R176,製品マスタ!$N$5:$AE$4999,18,FALSE),""))))))</f>
        <v/>
      </c>
      <c r="Y176" s="256">
        <f ca="1">IF(D176="","",IF(T176="","",VLOOKUP(D176,契約台帳!$A$3:$Q$4986,17,FALSE)))</f>
        <v>2</v>
      </c>
      <c r="Z176" s="256" t="str">
        <f ca="1">IF(D176="","",IF(T176="","",VLOOKUP(D176,契約台帳!$A$3:$E$4986,5,FALSE)))</f>
        <v>五洋紙工㈱</v>
      </c>
      <c r="AA176" s="54"/>
      <c r="AB176" s="200" t="str">
        <f>IFERROR((VLOOKUP(F176&amp;K176&amp;M176,製品マスタ!$M$5:$AM$4999,27,FALSE)),"")</f>
        <v/>
      </c>
      <c r="AC176" s="31"/>
      <c r="AD176" s="184"/>
      <c r="AE176" s="51"/>
      <c r="AF176" s="52"/>
      <c r="AG176" s="41"/>
      <c r="AH176" s="45"/>
      <c r="AI176" s="28"/>
      <c r="AJ176" s="28"/>
      <c r="AK176" s="28"/>
      <c r="AL176" s="28"/>
      <c r="AM176" s="12"/>
      <c r="AN176" s="12"/>
      <c r="AO176" s="12"/>
      <c r="AP176" s="12"/>
      <c r="AQ176" s="12"/>
      <c r="AR176" s="13"/>
      <c r="AS176" s="14"/>
    </row>
    <row r="177" spans="1:45" s="16" customFormat="1" ht="30.95" hidden="1" customHeight="1" x14ac:dyDescent="0.2">
      <c r="A177" s="35"/>
      <c r="B177" s="36"/>
      <c r="C177" s="43"/>
      <c r="D177" s="29"/>
      <c r="E177" s="29"/>
      <c r="F177" s="255" t="str">
        <f>IF(D177="","",VLOOKUP(D177,契約台帳!$A$3:$K$4986,6,FALSE)&amp;VLOOKUP(D177,契約台帳!$A$3:$K$4986,7,FALSE)&amp;VLOOKUP(D177,契約台帳!$A$3:$K$4986,8,FALSE)&amp;VLOOKUP(D177,契約台帳!$A$3:$K$4986,9,FALSE)&amp;VLOOKUP(D177,契約台帳!$A$3:$K$4986,11,FALSE))</f>
        <v/>
      </c>
      <c r="G177" s="256" t="str">
        <f>IF(D177="","",VLOOKUP(F177,製品マスタ!$G$5:$H$4999,2,FALSE))</f>
        <v/>
      </c>
      <c r="H177" s="256" t="str">
        <f>IF(D177="","",VLOOKUP(F177,製品マスタ!$G$5:$K$4999,5,FALSE))</f>
        <v/>
      </c>
      <c r="I177" s="200" t="str">
        <f>IF(D177="","",VLOOKUP(F177,製品マスタ!$G$5:$L$4999,6,FALSE))</f>
        <v/>
      </c>
      <c r="J177" s="203"/>
      <c r="K177" s="200" t="str">
        <f>IF(D177="","",VLOOKUP(D177,契約台帳!$A$3:$L$4986,12,FALSE))</f>
        <v/>
      </c>
      <c r="L177" s="200" t="str">
        <f>IF(D177="","",INDEX(製品マスタ!$Q$5:$Q$4999,MATCH('S4'!F177&amp;'S4'!K177,製品マスタ!$AO$5:$AO$4999,0)))</f>
        <v/>
      </c>
      <c r="M177" s="37"/>
      <c r="N177" s="37"/>
      <c r="O177" s="153"/>
      <c r="P177" s="45"/>
      <c r="Q177" s="54"/>
      <c r="R177" s="257" t="str">
        <f ca="1">IF(D177="","",IF(OFFSET(D177,-1,0)&lt;&gt;"","",IF(OR(J177="リード付け",J177="巻足し",J177="巻返しリード付け"),M177,VLOOKUP(D177,契約台帳!$A$3:$N$4986,14,FALSE))))</f>
        <v/>
      </c>
      <c r="S177" s="258" t="str">
        <f ca="1">IF(D177="","",IF(OFFSET(D177,-1,0)&lt;&gt;"","",IF(OR(J177="リード付け",J177="巻足し",J177="巻返しリード付け"),M177,VLOOKUP(D177,契約台帳!$A$3:$O$4986,15,FALSE))))</f>
        <v/>
      </c>
      <c r="T177" s="258" t="str">
        <f ca="1">IF(D177="","",IF(J177="リード付け",N177,IF(J177="巻返しリード付け",N177,IF(J177="巻足し",N177*P177+OFFSET(N177,1,0)*OFFSET(P177,1,0),VLOOKUP(D177,契約台帳!$A$3:$P$4986,16,FALSE)))))</f>
        <v/>
      </c>
      <c r="U177" s="38"/>
      <c r="V177" s="259" t="str">
        <f ca="1">IF(D177="","",IF(OFFSET(D177,-2,0)=D177,"",VLOOKUP(D177,契約台帳!$A$3:$R$4986,18,FALSE)))</f>
        <v/>
      </c>
      <c r="W177" s="256" t="str">
        <f>IF(D177="","",IF(T177="","",IF(OR(J177="巻足し",J177="巻返しリード付け"),"",IF(J177="巻返し",VLOOKUP(F177&amp;K177&amp;M177,製品マスタ!$M$5:$AD$4999,18,FALSE),IF(OR(J177="リード付け",J177="巻返しリード付け"),"原反コア",IF(J177="スリット",VLOOKUP(F177&amp;K177&amp;R177,製品マスタ!$N$5:$AD$4999,17,FALSE),""))))))</f>
        <v/>
      </c>
      <c r="X177" s="256" t="str">
        <f>IF(D177="","",IF(T177="","",IF(J177="巻足し","",IF(J177="巻返し",VLOOKUP(F177&amp;K177&amp;M177,製品マスタ!$M$5:$AE$4999,19,FALSE),IF(OR(J177="リード付け",J177="巻返しリード付け"),"",IF(J177="スリット",VLOOKUP(F177&amp;K177&amp;R177,製品マスタ!$N$5:$AE$4999,18,FALSE),""))))))</f>
        <v/>
      </c>
      <c r="Y177" s="256" t="str">
        <f>IF(D177="","",IF(T177="","",VLOOKUP(D177,契約台帳!$A$3:$Q$4986,17,FALSE)))</f>
        <v/>
      </c>
      <c r="Z177" s="256" t="str">
        <f>IF(D177="","",IF(T177="","",VLOOKUP(D177,契約台帳!$A$3:$E$4986,5,FALSE)))</f>
        <v/>
      </c>
      <c r="AA177" s="54"/>
      <c r="AB177" s="200" t="str">
        <f>IFERROR((VLOOKUP(F177&amp;K177&amp;M177,製品マスタ!$M$5:$AM$4999,27,FALSE)),"")</f>
        <v/>
      </c>
      <c r="AC177" s="31"/>
      <c r="AD177" s="184"/>
      <c r="AE177" s="51"/>
      <c r="AF177" s="52"/>
      <c r="AG177" s="41"/>
      <c r="AH177" s="45"/>
      <c r="AI177" s="28"/>
      <c r="AJ177" s="28"/>
      <c r="AK177" s="28"/>
      <c r="AL177" s="28"/>
      <c r="AM177" s="12"/>
      <c r="AN177" s="12"/>
      <c r="AO177" s="12"/>
      <c r="AP177" s="12"/>
      <c r="AQ177" s="12"/>
      <c r="AR177" s="13"/>
      <c r="AS177" s="14"/>
    </row>
    <row r="178" spans="1:45" s="16" customFormat="1" ht="30.95" hidden="1" customHeight="1" x14ac:dyDescent="0.2">
      <c r="A178" s="35"/>
      <c r="B178" s="36"/>
      <c r="C178" s="43"/>
      <c r="D178" s="29">
        <v>3697669</v>
      </c>
      <c r="E178" s="29">
        <v>4161830</v>
      </c>
      <c r="F178" s="255" t="str">
        <f>IF(D178="","",VLOOKUP(D178,契約台帳!$A$3:$K$4986,6,FALSE)&amp;VLOOKUP(D178,契約台帳!$A$3:$K$4986,7,FALSE)&amp;VLOOKUP(D178,契約台帳!$A$3:$K$4986,8,FALSE)&amp;VLOOKUP(D178,契約台帳!$A$3:$K$4986,9,FALSE)&amp;VLOOKUP(D178,契約台帳!$A$3:$K$4986,11,FALSE))</f>
        <v>3SNMLBMNNGKBF</v>
      </c>
      <c r="G178" s="256" t="str">
        <f>IF(D178="","",VLOOKUP(F178,製品マスタ!$G$5:$H$4999,2,FALSE))</f>
        <v>S</v>
      </c>
      <c r="H178" s="256" t="str">
        <f>IF(D178="","",VLOOKUP(F178,製品マスタ!$G$5:$K$4999,5,FALSE))</f>
        <v>MNNGKBF</v>
      </c>
      <c r="I178" s="200" t="str">
        <f>IF(D178="","",VLOOKUP(F178,製品マスタ!$G$5:$L$4999,6,FALSE))</f>
        <v>メタルミー　ニューネーマー銀消　Ｂ</v>
      </c>
      <c r="J178" s="203" t="s">
        <v>832</v>
      </c>
      <c r="K178" s="200">
        <f>IF(D178="","",VLOOKUP(D178,契約台帳!$A$3:$L$4986,12,FALSE))</f>
        <v>25</v>
      </c>
      <c r="L178" s="200" t="str">
        <f>IF(D178="","",INDEX(製品マスタ!$Q$5:$Q$4999,MATCH('S4'!F178&amp;'S4'!K178,製品マスタ!$AO$5:$AO$4999,0)))</f>
        <v>X44C</v>
      </c>
      <c r="M178" s="37">
        <v>1005</v>
      </c>
      <c r="N178" s="37">
        <v>8000</v>
      </c>
      <c r="O178" s="153">
        <v>2</v>
      </c>
      <c r="P178" s="45">
        <v>2</v>
      </c>
      <c r="Q178" s="206">
        <v>44956</v>
      </c>
      <c r="R178" s="257">
        <f ca="1">IF(D178="","",IF(OFFSET(D178,-1,0)&lt;&gt;"","",IF(OR(J178="リード付け",J178="巻足し",J178="巻返しリード付け"),M178,VLOOKUP(D178,契約台帳!$A$3:$N$4986,14,FALSE))))</f>
        <v>1005</v>
      </c>
      <c r="S178" s="258">
        <f ca="1">IF(D178="","",IF(OFFSET(D178,-1,0)&lt;&gt;"","",IF(OR(J178="リード付け",J178="巻足し",J178="巻返しリード付け"),M178,VLOOKUP(D178,契約台帳!$A$3:$O$4986,15,FALSE))))</f>
        <v>1005</v>
      </c>
      <c r="T178" s="258">
        <f ca="1">IF(D178="","",IF(J178="リード付け",N178,IF(J178="巻返しリード付け",N178,IF(J178="巻足し",N178*P178+OFFSET(N178,1,0)*OFFSET(P178,1,0),VLOOKUP(D178,契約台帳!$A$3:$P$4986,16,FALSE)))))</f>
        <v>16000</v>
      </c>
      <c r="U178" s="38">
        <v>1</v>
      </c>
      <c r="V178" s="259">
        <f ca="1">IF(D178="","",IF(OFFSET(D178,-2,0)=D178,"",VLOOKUP(D178,契約台帳!$A$3:$R$4986,18,FALSE)))</f>
        <v>4</v>
      </c>
      <c r="W178" s="256" t="str">
        <f ca="1">IF(D178="","",IF(T178="","",IF(OR(J178="巻足し",J178="巻返しリード付け"),"",IF(J178="巻返し",VLOOKUP(F178&amp;K178&amp;M178,製品マスタ!$M$5:$AD$4999,18,FALSE),IF(OR(J178="リード付け",J178="巻返しリード付け"),"原反コア",IF(J178="スリット",VLOOKUP(F178&amp;K178&amp;R178,製品マスタ!$N$5:$AD$4999,17,FALSE),""))))))</f>
        <v/>
      </c>
      <c r="X178" s="256" t="str">
        <f ca="1">IF(D178="","",IF(T178="","",IF(J178="巻足し","",IF(J178="巻返し",VLOOKUP(F178&amp;K178&amp;M178,製品マスタ!$M$5:$AE$4999,19,FALSE),IF(OR(J178="リード付け",J178="巻返しリード付け"),"",IF(J178="スリット",VLOOKUP(F178&amp;K178&amp;R178,製品マスタ!$N$5:$AE$4999,18,FALSE),""))))))</f>
        <v/>
      </c>
      <c r="Y178" s="256">
        <f ca="1">IF(D178="","",IF(T178="","",VLOOKUP(D178,契約台帳!$A$3:$Q$4986,17,FALSE)))</f>
        <v>2</v>
      </c>
      <c r="Z178" s="256" t="str">
        <f ca="1">IF(D178="","",IF(T178="","",VLOOKUP(D178,契約台帳!$A$3:$E$4986,5,FALSE)))</f>
        <v>リンテック㈱</v>
      </c>
      <c r="AA178" s="54"/>
      <c r="AB178" s="200">
        <f>IFERROR((VLOOKUP(F178&amp;K178&amp;M178,製品マスタ!$M$5:$AM$4999,27,FALSE)),"")</f>
        <v>0</v>
      </c>
      <c r="AC178" s="31"/>
      <c r="AD178" s="184"/>
      <c r="AE178" s="51"/>
      <c r="AF178" s="52"/>
      <c r="AG178" s="41"/>
      <c r="AH178" s="45"/>
      <c r="AI178" s="28"/>
      <c r="AJ178" s="28"/>
      <c r="AK178" s="28"/>
      <c r="AL178" s="28"/>
      <c r="AM178" s="12"/>
      <c r="AN178" s="12"/>
      <c r="AO178" s="12"/>
      <c r="AP178" s="12"/>
      <c r="AQ178" s="12"/>
      <c r="AR178" s="13"/>
      <c r="AS178" s="14"/>
    </row>
    <row r="179" spans="1:45" s="16" customFormat="1" ht="30.95" hidden="1" customHeight="1" x14ac:dyDescent="0.2">
      <c r="A179" s="35"/>
      <c r="B179" s="36"/>
      <c r="C179" s="43"/>
      <c r="D179" s="29"/>
      <c r="E179" s="29"/>
      <c r="F179" s="255" t="str">
        <f>IF(D179="","",VLOOKUP(D179,契約台帳!$A$3:$K$4986,6,FALSE)&amp;VLOOKUP(D179,契約台帳!$A$3:$K$4986,7,FALSE)&amp;VLOOKUP(D179,契約台帳!$A$3:$K$4986,8,FALSE)&amp;VLOOKUP(D179,契約台帳!$A$3:$K$4986,9,FALSE)&amp;VLOOKUP(D179,契約台帳!$A$3:$K$4986,11,FALSE))</f>
        <v/>
      </c>
      <c r="G179" s="256" t="str">
        <f>IF(D179="","",VLOOKUP(F179,製品マスタ!$G$5:$H$4999,2,FALSE))</f>
        <v/>
      </c>
      <c r="H179" s="256" t="str">
        <f>IF(D179="","",VLOOKUP(F179,製品マスタ!$G$5:$K$4999,5,FALSE))</f>
        <v/>
      </c>
      <c r="I179" s="200" t="str">
        <f>IF(D179="","",VLOOKUP(F179,製品マスタ!$G$5:$L$4999,6,FALSE))</f>
        <v/>
      </c>
      <c r="J179" s="203"/>
      <c r="K179" s="200" t="str">
        <f>IF(D179="","",VLOOKUP(D179,契約台帳!$A$3:$L$4986,12,FALSE))</f>
        <v/>
      </c>
      <c r="L179" s="200" t="str">
        <f>IF(D179="","",INDEX(製品マスタ!$Q$5:$Q$4999,MATCH('S4'!F179&amp;'S4'!K179,製品マスタ!$AO$5:$AO$4999,0)))</f>
        <v/>
      </c>
      <c r="M179" s="37"/>
      <c r="N179" s="37"/>
      <c r="O179" s="153"/>
      <c r="P179" s="45"/>
      <c r="Q179" s="54"/>
      <c r="R179" s="257" t="str">
        <f ca="1">IF(D179="","",IF(OFFSET(D179,-1,0)&lt;&gt;"","",IF(OR(J179="リード付け",J179="巻足し",J179="巻返しリード付け"),M179,VLOOKUP(D179,契約台帳!$A$3:$N$4986,14,FALSE))))</f>
        <v/>
      </c>
      <c r="S179" s="258" t="str">
        <f ca="1">IF(D179="","",IF(OFFSET(D179,-1,0)&lt;&gt;"","",IF(OR(J179="リード付け",J179="巻足し",J179="巻返しリード付け"),M179,VLOOKUP(D179,契約台帳!$A$3:$O$4986,15,FALSE))))</f>
        <v/>
      </c>
      <c r="T179" s="258" t="str">
        <f ca="1">IF(D179="","",IF(J179="リード付け",N179,IF(J179="巻返しリード付け",N179,IF(J179="巻足し",N179*P179+OFFSET(N179,1,0)*OFFSET(P179,1,0),VLOOKUP(D179,契約台帳!$A$3:$P$4986,16,FALSE)))))</f>
        <v/>
      </c>
      <c r="U179" s="38"/>
      <c r="V179" s="259" t="str">
        <f ca="1">IF(D179="","",IF(OFFSET(D179,-2,0)=D179,"",VLOOKUP(D179,契約台帳!$A$3:$R$4986,18,FALSE)))</f>
        <v/>
      </c>
      <c r="W179" s="256" t="str">
        <f>IF(D179="","",IF(T179="","",IF(OR(J179="巻足し",J179="巻返しリード付け"),"",IF(J179="巻返し",VLOOKUP(F179&amp;K179&amp;M179,製品マスタ!$M$5:$AD$4999,18,FALSE),IF(OR(J179="リード付け",J179="巻返しリード付け"),"原反コア",IF(J179="スリット",VLOOKUP(F179&amp;K179&amp;R179,製品マスタ!$N$5:$AD$4999,17,FALSE),""))))))</f>
        <v/>
      </c>
      <c r="X179" s="256" t="str">
        <f>IF(D179="","",IF(T179="","",IF(J179="巻足し","",IF(J179="巻返し",VLOOKUP(F179&amp;K179&amp;M179,製品マスタ!$M$5:$AE$4999,19,FALSE),IF(OR(J179="リード付け",J179="巻返しリード付け"),"",IF(J179="スリット",VLOOKUP(F179&amp;K179&amp;R179,製品マスタ!$N$5:$AE$4999,18,FALSE),""))))))</f>
        <v/>
      </c>
      <c r="Y179" s="256" t="str">
        <f>IF(D179="","",IF(T179="","",VLOOKUP(D179,契約台帳!$A$3:$Q$4986,17,FALSE)))</f>
        <v/>
      </c>
      <c r="Z179" s="256" t="str">
        <f>IF(D179="","",IF(T179="","",VLOOKUP(D179,契約台帳!$A$3:$E$4986,5,FALSE)))</f>
        <v/>
      </c>
      <c r="AA179" s="54"/>
      <c r="AB179" s="200" t="str">
        <f>IFERROR((VLOOKUP(F179&amp;K179&amp;M179,製品マスタ!$M$5:$AM$4999,27,FALSE)),"")</f>
        <v/>
      </c>
      <c r="AC179" s="31"/>
      <c r="AD179" s="184"/>
      <c r="AE179" s="51"/>
      <c r="AF179" s="52"/>
      <c r="AG179" s="41"/>
      <c r="AH179" s="45"/>
      <c r="AI179" s="28"/>
      <c r="AJ179" s="28"/>
      <c r="AK179" s="28"/>
      <c r="AL179" s="28"/>
      <c r="AM179" s="12"/>
      <c r="AN179" s="12"/>
      <c r="AO179" s="12"/>
      <c r="AP179" s="12"/>
      <c r="AQ179" s="12"/>
      <c r="AR179" s="13"/>
      <c r="AS179" s="14"/>
    </row>
    <row r="180" spans="1:45" s="16" customFormat="1" ht="30.95" hidden="1" customHeight="1" x14ac:dyDescent="0.2">
      <c r="A180" s="35" t="s">
        <v>845</v>
      </c>
      <c r="B180" s="36" t="s">
        <v>846</v>
      </c>
      <c r="C180" s="43"/>
      <c r="D180" s="29">
        <v>3697674</v>
      </c>
      <c r="E180" s="29">
        <v>4161794</v>
      </c>
      <c r="F180" s="255" t="str">
        <f>IF(D180="","",VLOOKUP(D180,契約台帳!$A$3:$K$4986,6,FALSE)&amp;VLOOKUP(D180,契約台帳!$A$3:$K$4986,7,FALSE)&amp;VLOOKUP(D180,契約台帳!$A$3:$K$4986,8,FALSE)&amp;VLOOKUP(D180,契約台帳!$A$3:$K$4986,9,FALSE)&amp;VLOOKUP(D180,契約台帳!$A$3:$K$4986,11,FALSE))</f>
        <v>3SNMCLBDMSV</v>
      </c>
      <c r="G180" s="256" t="str">
        <f>IF(D180="","",VLOOKUP(F180,製品マスタ!$G$5:$H$4999,2,FALSE))</f>
        <v>S</v>
      </c>
      <c r="H180" s="256" t="str">
        <f>IF(D180="","",VLOOKUP(F180,製品マスタ!$G$5:$K$4999,5,FALSE))</f>
        <v>DMSV</v>
      </c>
      <c r="I180" s="200" t="str">
        <f>IF(D180="","",VLOOKUP(F180,製品マスタ!$G$5:$L$4999,6,FALSE))</f>
        <v>ＤＭＳ　Ｖ</v>
      </c>
      <c r="J180" s="203" t="s">
        <v>832</v>
      </c>
      <c r="K180" s="200">
        <f>IF(D180="","",VLOOKUP(D180,契約台帳!$A$3:$L$4986,12,FALSE))</f>
        <v>50</v>
      </c>
      <c r="L180" s="200" t="str">
        <f>IF(D180="","",INDEX(製品マスタ!$Q$5:$Q$4999,MATCH('S4'!F180&amp;'S4'!K180,製品マスタ!$AO$5:$AO$4999,0)))</f>
        <v>X44</v>
      </c>
      <c r="M180" s="37">
        <v>1005</v>
      </c>
      <c r="N180" s="37">
        <v>4000</v>
      </c>
      <c r="O180" s="153">
        <v>1</v>
      </c>
      <c r="P180" s="45">
        <v>2</v>
      </c>
      <c r="Q180" s="206">
        <v>44956</v>
      </c>
      <c r="R180" s="257">
        <f ca="1">IF(D180="","",IF(OFFSET(D180,-1,0)&lt;&gt;"","",IF(OR(J180="リード付け",J180="巻足し",J180="巻返しリード付け"),M180,VLOOKUP(D180,契約台帳!$A$3:$N$4986,14,FALSE))))</f>
        <v>1005</v>
      </c>
      <c r="S180" s="258">
        <f ca="1">IF(D180="","",IF(OFFSET(D180,-1,0)&lt;&gt;"","",IF(OR(J180="リード付け",J180="巻足し",J180="巻返しリード付け"),M180,VLOOKUP(D180,契約台帳!$A$3:$O$4986,15,FALSE))))</f>
        <v>1005</v>
      </c>
      <c r="T180" s="258">
        <f ca="1">IF(D180="","",IF(J180="リード付け",N180,IF(J180="巻返しリード付け",N180,IF(J180="巻足し",N180*P180+OFFSET(N180,1,0)*OFFSET(P180,1,0),VLOOKUP(D180,契約台帳!$A$3:$P$4986,16,FALSE)))))</f>
        <v>8000</v>
      </c>
      <c r="U180" s="38"/>
      <c r="V180" s="259">
        <f ca="1">IF(D180="","",IF(OFFSET(D180,-2,0)=D180,"",VLOOKUP(D180,契約台帳!$A$3:$R$4986,18,FALSE)))</f>
        <v>2</v>
      </c>
      <c r="W180" s="256" t="str">
        <f ca="1">IF(D180="","",IF(T180="","",IF(OR(J180="巻足し",J180="巻返しリード付け"),"",IF(J180="巻返し",VLOOKUP(F180&amp;K180&amp;M180,製品マスタ!$M$5:$AD$4999,18,FALSE),IF(OR(J180="リード付け",J180="巻返しリード付け"),"原反コア",IF(J180="スリット",VLOOKUP(F180&amp;K180&amp;R180,製品マスタ!$N$5:$AD$4999,17,FALSE),""))))))</f>
        <v/>
      </c>
      <c r="X180" s="256" t="str">
        <f ca="1">IF(D180="","",IF(T180="","",IF(J180="巻足し","",IF(J180="巻返し",VLOOKUP(F180&amp;K180&amp;M180,製品マスタ!$M$5:$AE$4999,19,FALSE),IF(OR(J180="リード付け",J180="巻返しリード付け"),"",IF(J180="スリット",VLOOKUP(F180&amp;K180&amp;R180,製品マスタ!$N$5:$AE$4999,18,FALSE),""))))))</f>
        <v/>
      </c>
      <c r="Y180" s="256">
        <f ca="1">IF(D180="","",IF(T180="","",VLOOKUP(D180,契約台帳!$A$3:$Q$4986,17,FALSE)))</f>
        <v>2</v>
      </c>
      <c r="Z180" s="256" t="str">
        <f ca="1">IF(D180="","",IF(T180="","",VLOOKUP(D180,契約台帳!$A$3:$E$4986,5,FALSE)))</f>
        <v>リンテック㈱</v>
      </c>
      <c r="AA180" s="54"/>
      <c r="AB180" s="200">
        <f>IFERROR((VLOOKUP(F180&amp;K180&amp;M180,製品マスタ!$M$5:$AM$4999,27,FALSE)),"")</f>
        <v>0</v>
      </c>
      <c r="AC180" s="31"/>
      <c r="AD180" s="184"/>
      <c r="AE180" s="51"/>
      <c r="AF180" s="52"/>
      <c r="AG180" s="41"/>
      <c r="AH180" s="45"/>
      <c r="AI180" s="28"/>
      <c r="AJ180" s="28"/>
      <c r="AK180" s="28"/>
      <c r="AL180" s="28"/>
      <c r="AM180" s="12"/>
      <c r="AN180" s="12"/>
      <c r="AO180" s="12"/>
      <c r="AP180" s="12"/>
      <c r="AQ180" s="12"/>
      <c r="AR180" s="13"/>
      <c r="AS180" s="14"/>
    </row>
    <row r="181" spans="1:45" s="16" customFormat="1" ht="30.95" hidden="1" customHeight="1" x14ac:dyDescent="0.2">
      <c r="A181" s="35"/>
      <c r="B181" s="36"/>
      <c r="C181" s="43"/>
      <c r="D181" s="29">
        <v>3697675</v>
      </c>
      <c r="E181" s="29"/>
      <c r="F181" s="255" t="str">
        <f>IF(D181="","",VLOOKUP(D181,契約台帳!$A$3:$K$4986,6,FALSE)&amp;VLOOKUP(D181,契約台帳!$A$3:$K$4986,7,FALSE)&amp;VLOOKUP(D181,契約台帳!$A$3:$K$4986,8,FALSE)&amp;VLOOKUP(D181,契約台帳!$A$3:$K$4986,9,FALSE)&amp;VLOOKUP(D181,契約台帳!$A$3:$K$4986,11,FALSE))</f>
        <v>3SNMCLBDMSV</v>
      </c>
      <c r="G181" s="256" t="str">
        <f>IF(D181="","",VLOOKUP(F181,製品マスタ!$G$5:$H$4999,2,FALSE))</f>
        <v>S</v>
      </c>
      <c r="H181" s="256" t="str">
        <f>IF(D181="","",VLOOKUP(F181,製品マスタ!$G$5:$K$4999,5,FALSE))</f>
        <v>DMSV</v>
      </c>
      <c r="I181" s="200" t="str">
        <f>IF(D181="","",VLOOKUP(F181,製品マスタ!$G$5:$L$4999,6,FALSE))</f>
        <v>ＤＭＳ　Ｖ</v>
      </c>
      <c r="J181" s="203" t="s">
        <v>832</v>
      </c>
      <c r="K181" s="200">
        <f>IF(D181="","",VLOOKUP(D181,契約台帳!$A$3:$L$4986,12,FALSE))</f>
        <v>50</v>
      </c>
      <c r="L181" s="200" t="str">
        <f>IF(D181="","",INDEX(製品マスタ!$Q$5:$Q$4999,MATCH('S4'!F181&amp;'S4'!K181,製品マスタ!$AO$5:$AO$4999,0)))</f>
        <v>X44</v>
      </c>
      <c r="M181" s="37">
        <v>1005</v>
      </c>
      <c r="N181" s="37">
        <v>4000</v>
      </c>
      <c r="O181" s="153">
        <v>1</v>
      </c>
      <c r="P181" s="45"/>
      <c r="Q181" s="206">
        <v>44956</v>
      </c>
      <c r="R181" s="257" t="str">
        <f ca="1">IF(D181="","",IF(OFFSET(D181,-1,0)&lt;&gt;"","",IF(OR(J181="リード付け",J181="巻足し",J181="巻返しリード付け"),M181,VLOOKUP(D181,契約台帳!$A$3:$N$4986,14,FALSE))))</f>
        <v/>
      </c>
      <c r="S181" s="258" t="str">
        <f ca="1">IF(D181="","",IF(OFFSET(D181,-1,0)&lt;&gt;"","",IF(OR(J181="リード付け",J181="巻足し",J181="巻返しリード付け"),M181,VLOOKUP(D181,契約台帳!$A$3:$O$4986,15,FALSE))))</f>
        <v/>
      </c>
      <c r="T181" s="258">
        <f ca="1">IF(D181="","",IF(J181="リード付け",N181,IF(J181="巻返しリード付け",N181,IF(J181="巻足し",N181*P181+OFFSET(N181,1,0)*OFFSET(P181,1,0),VLOOKUP(D181,契約台帳!$A$3:$P$4986,16,FALSE)))))</f>
        <v>0</v>
      </c>
      <c r="U181" s="38"/>
      <c r="V181" s="259">
        <f ca="1">IF(D181="","",IF(OFFSET(D181,-2,0)=D181,"",VLOOKUP(D181,契約台帳!$A$3:$R$4986,18,FALSE)))</f>
        <v>2</v>
      </c>
      <c r="W181" s="256" t="str">
        <f ca="1">IF(D181="","",IF(T181="","",IF(OR(J181="巻足し",J181="巻返しリード付け"),"",IF(J181="巻返し",VLOOKUP(F181&amp;K181&amp;M181,製品マスタ!$M$5:$AD$4999,18,FALSE),IF(OR(J181="リード付け",J181="巻返しリード付け"),"原反コア",IF(J181="スリット",VLOOKUP(F181&amp;K181&amp;R181,製品マスタ!$N$5:$AD$4999,17,FALSE),""))))))</f>
        <v/>
      </c>
      <c r="X181" s="256" t="str">
        <f ca="1">IF(D181="","",IF(T181="","",IF(J181="巻足し","",IF(J181="巻返し",VLOOKUP(F181&amp;K181&amp;M181,製品マスタ!$M$5:$AE$4999,19,FALSE),IF(OR(J181="リード付け",J181="巻返しリード付け"),"",IF(J181="スリット",VLOOKUP(F181&amp;K181&amp;R181,製品マスタ!$N$5:$AE$4999,18,FALSE),""))))))</f>
        <v/>
      </c>
      <c r="Y181" s="256">
        <f ca="1">IF(D181="","",IF(T181="","",VLOOKUP(D181,契約台帳!$A$3:$Q$4986,17,FALSE)))</f>
        <v>2</v>
      </c>
      <c r="Z181" s="256" t="str">
        <f ca="1">IF(D181="","",IF(T181="","",VLOOKUP(D181,契約台帳!$A$3:$E$4986,5,FALSE)))</f>
        <v>リンテック㈱</v>
      </c>
      <c r="AA181" s="54"/>
      <c r="AB181" s="200">
        <f>IFERROR((VLOOKUP(F181&amp;K181&amp;M181,製品マスタ!$M$5:$AM$4999,27,FALSE)),"")</f>
        <v>0</v>
      </c>
      <c r="AC181" s="31"/>
      <c r="AD181" s="184"/>
      <c r="AE181" s="51"/>
      <c r="AF181" s="52"/>
      <c r="AG181" s="41"/>
      <c r="AH181" s="45"/>
      <c r="AI181" s="28"/>
      <c r="AJ181" s="28"/>
      <c r="AK181" s="28"/>
      <c r="AL181" s="28"/>
      <c r="AM181" s="12"/>
      <c r="AN181" s="12"/>
      <c r="AO181" s="12"/>
      <c r="AP181" s="12"/>
      <c r="AQ181" s="12"/>
      <c r="AR181" s="13"/>
      <c r="AS181" s="14"/>
    </row>
    <row r="182" spans="1:45" s="16" customFormat="1" ht="30.95" hidden="1" customHeight="1" x14ac:dyDescent="0.2">
      <c r="A182" s="35"/>
      <c r="B182" s="36"/>
      <c r="C182" s="43"/>
      <c r="D182" s="29"/>
      <c r="E182" s="29"/>
      <c r="F182" s="255" t="str">
        <f>IF(D182="","",VLOOKUP(D182,契約台帳!$A$3:$K$4986,6,FALSE)&amp;VLOOKUP(D182,契約台帳!$A$3:$K$4986,7,FALSE)&amp;VLOOKUP(D182,契約台帳!$A$3:$K$4986,8,FALSE)&amp;VLOOKUP(D182,契約台帳!$A$3:$K$4986,9,FALSE)&amp;VLOOKUP(D182,契約台帳!$A$3:$K$4986,11,FALSE))</f>
        <v/>
      </c>
      <c r="G182" s="256" t="str">
        <f>IF(D182="","",VLOOKUP(F182,製品マスタ!$G$5:$H$4999,2,FALSE))</f>
        <v/>
      </c>
      <c r="H182" s="256" t="str">
        <f>IF(D182="","",VLOOKUP(F182,製品マスタ!$G$5:$K$4999,5,FALSE))</f>
        <v/>
      </c>
      <c r="I182" s="200" t="str">
        <f>IF(D182="","",VLOOKUP(F182,製品マスタ!$G$5:$L$4999,6,FALSE))</f>
        <v/>
      </c>
      <c r="J182" s="203"/>
      <c r="K182" s="200" t="str">
        <f>IF(D182="","",VLOOKUP(D182,契約台帳!$A$3:$L$4986,12,FALSE))</f>
        <v/>
      </c>
      <c r="L182" s="200" t="str">
        <f>IF(D182="","",INDEX(製品マスタ!$Q$5:$Q$4999,MATCH('S4'!F182&amp;'S4'!K182,製品マスタ!$AO$5:$AO$4999,0)))</f>
        <v/>
      </c>
      <c r="M182" s="37"/>
      <c r="N182" s="37"/>
      <c r="O182" s="153"/>
      <c r="P182" s="45"/>
      <c r="Q182" s="54"/>
      <c r="R182" s="257" t="str">
        <f ca="1">IF(D182="","",IF(OFFSET(D182,-1,0)&lt;&gt;"","",IF(OR(J182="リード付け",J182="巻足し",J182="巻返しリード付け"),M182,VLOOKUP(D182,契約台帳!$A$3:$N$4986,14,FALSE))))</f>
        <v/>
      </c>
      <c r="S182" s="258" t="str">
        <f ca="1">IF(D182="","",IF(OFFSET(D182,-1,0)&lt;&gt;"","",IF(OR(J182="リード付け",J182="巻足し",J182="巻返しリード付け"),M182,VLOOKUP(D182,契約台帳!$A$3:$O$4986,15,FALSE))))</f>
        <v/>
      </c>
      <c r="T182" s="258" t="str">
        <f ca="1">IF(D182="","",IF(J182="リード付け",N182,IF(J182="巻返しリード付け",N182,IF(J182="巻足し",N182*P182+OFFSET(N182,1,0)*OFFSET(P182,1,0),VLOOKUP(D182,契約台帳!$A$3:$P$4986,16,FALSE)))))</f>
        <v/>
      </c>
      <c r="U182" s="38"/>
      <c r="V182" s="259" t="str">
        <f ca="1">IF(D182="","",IF(OFFSET(D182,-2,0)=D182,"",VLOOKUP(D182,契約台帳!$A$3:$R$4986,18,FALSE)))</f>
        <v/>
      </c>
      <c r="W182" s="256" t="str">
        <f>IF(D182="","",IF(T182="","",IF(OR(J182="巻足し",J182="巻返しリード付け"),"",IF(J182="巻返し",VLOOKUP(F182&amp;K182&amp;M182,製品マスタ!$M$5:$AD$4999,18,FALSE),IF(OR(J182="リード付け",J182="巻返しリード付け"),"原反コア",IF(J182="スリット",VLOOKUP(F182&amp;K182&amp;R182,製品マスタ!$N$5:$AD$4999,17,FALSE),""))))))</f>
        <v/>
      </c>
      <c r="X182" s="256" t="str">
        <f>IF(D182="","",IF(T182="","",IF(J182="巻足し","",IF(J182="巻返し",VLOOKUP(F182&amp;K182&amp;M182,製品マスタ!$M$5:$AE$4999,19,FALSE),IF(OR(J182="リード付け",J182="巻返しリード付け"),"",IF(J182="スリット",VLOOKUP(F182&amp;K182&amp;R182,製品マスタ!$N$5:$AE$4999,18,FALSE),""))))))</f>
        <v/>
      </c>
      <c r="Y182" s="256" t="str">
        <f>IF(D182="","",IF(T182="","",VLOOKUP(D182,契約台帳!$A$3:$Q$4986,17,FALSE)))</f>
        <v/>
      </c>
      <c r="Z182" s="256" t="str">
        <f>IF(D182="","",IF(T182="","",VLOOKUP(D182,契約台帳!$A$3:$E$4986,5,FALSE)))</f>
        <v/>
      </c>
      <c r="AA182" s="54"/>
      <c r="AB182" s="200" t="str">
        <f>IFERROR((VLOOKUP(F182&amp;K182&amp;M182,製品マスタ!$M$5:$AM$4999,27,FALSE)),"")</f>
        <v/>
      </c>
      <c r="AC182" s="31"/>
      <c r="AD182" s="184"/>
      <c r="AE182" s="51"/>
      <c r="AF182" s="52"/>
      <c r="AG182" s="41"/>
      <c r="AH182" s="45"/>
      <c r="AI182" s="28"/>
      <c r="AJ182" s="28"/>
      <c r="AK182" s="28"/>
      <c r="AL182" s="28"/>
      <c r="AM182" s="12"/>
      <c r="AN182" s="12"/>
      <c r="AO182" s="12"/>
      <c r="AP182" s="12"/>
      <c r="AQ182" s="12"/>
      <c r="AR182" s="13"/>
      <c r="AS182" s="14"/>
    </row>
    <row r="183" spans="1:45" s="16" customFormat="1" ht="30.95" hidden="1" customHeight="1" x14ac:dyDescent="0.2">
      <c r="A183" s="35"/>
      <c r="B183" s="36"/>
      <c r="C183" s="43"/>
      <c r="D183" s="29">
        <v>3697670</v>
      </c>
      <c r="E183" s="29">
        <v>4161812</v>
      </c>
      <c r="F183" s="255" t="str">
        <f>IF(D183="","",VLOOKUP(D183,契約台帳!$A$3:$K$4986,6,FALSE)&amp;VLOOKUP(D183,契約台帳!$A$3:$K$4986,7,FALSE)&amp;VLOOKUP(D183,契約台帳!$A$3:$K$4986,8,FALSE)&amp;VLOOKUP(D183,契約台帳!$A$3:$K$4986,9,FALSE)&amp;VLOOKUP(D183,契約台帳!$A$3:$K$4986,11,FALSE))</f>
        <v>3SNMLBMNNGKBF</v>
      </c>
      <c r="G183" s="256" t="str">
        <f>IF(D183="","",VLOOKUP(F183,製品マスタ!$G$5:$H$4999,2,FALSE))</f>
        <v>S</v>
      </c>
      <c r="H183" s="256" t="str">
        <f>IF(D183="","",VLOOKUP(F183,製品マスタ!$G$5:$K$4999,5,FALSE))</f>
        <v>MNNGKBF</v>
      </c>
      <c r="I183" s="200" t="str">
        <f>IF(D183="","",VLOOKUP(F183,製品マスタ!$G$5:$L$4999,6,FALSE))</f>
        <v>メタルミー　ニューネーマー銀消　Ｂ</v>
      </c>
      <c r="J183" s="203" t="s">
        <v>832</v>
      </c>
      <c r="K183" s="200">
        <f>IF(D183="","",VLOOKUP(D183,契約台帳!$A$3:$L$4986,12,FALSE))</f>
        <v>50</v>
      </c>
      <c r="L183" s="200" t="str">
        <f>IF(D183="","",INDEX(製品マスタ!$Q$5:$Q$4999,MATCH('S4'!F183&amp;'S4'!K183,製品マスタ!$AO$5:$AO$4999,0)))</f>
        <v>X44</v>
      </c>
      <c r="M183" s="37">
        <v>1000</v>
      </c>
      <c r="N183" s="37">
        <v>4000</v>
      </c>
      <c r="O183" s="153">
        <v>15</v>
      </c>
      <c r="P183" s="45">
        <v>3</v>
      </c>
      <c r="Q183" s="206">
        <v>44958</v>
      </c>
      <c r="R183" s="257">
        <f ca="1">IF(D183="","",IF(OFFSET(D183,-1,0)&lt;&gt;"","",IF(OR(J183="リード付け",J183="巻足し",J183="巻返しリード付け"),M183,VLOOKUP(D183,契約台帳!$A$3:$N$4986,14,FALSE))))</f>
        <v>1000</v>
      </c>
      <c r="S183" s="258">
        <f ca="1">IF(D183="","",IF(OFFSET(D183,-1,0)&lt;&gt;"","",IF(OR(J183="リード付け",J183="巻足し",J183="巻返しリード付け"),M183,VLOOKUP(D183,契約台帳!$A$3:$O$4986,15,FALSE))))</f>
        <v>1000</v>
      </c>
      <c r="T183" s="258">
        <f ca="1">IF(D183="","",IF(J183="リード付け",N183,IF(J183="巻返しリード付け",N183,IF(J183="巻足し",N183*P183+OFFSET(N183,1,0)*OFFSET(P183,1,0),VLOOKUP(D183,契約台帳!$A$3:$P$4986,16,FALSE)))))</f>
        <v>12000</v>
      </c>
      <c r="U183" s="38">
        <v>5</v>
      </c>
      <c r="V183" s="259">
        <f ca="1">IF(D183="","",IF(OFFSET(D183,-2,0)=D183,"",VLOOKUP(D183,契約台帳!$A$3:$R$4986,18,FALSE)))</f>
        <v>15</v>
      </c>
      <c r="W183" s="256" t="str">
        <f ca="1">IF(D183="","",IF(T183="","",IF(OR(J183="巻足し",J183="巻返しリード付け"),"",IF(J183="巻返し",VLOOKUP(F183&amp;K183&amp;M183,製品マスタ!$M$5:$AD$4999,18,FALSE),IF(OR(J183="リード付け",J183="巻返しリード付け"),"原反コア",IF(J183="スリット",VLOOKUP(F183&amp;K183&amp;R183,製品マスタ!$N$5:$AD$4999,17,FALSE),""))))))</f>
        <v/>
      </c>
      <c r="X183" s="256" t="str">
        <f ca="1">IF(D183="","",IF(T183="","",IF(J183="巻足し","",IF(J183="巻返し",VLOOKUP(F183&amp;K183&amp;M183,製品マスタ!$M$5:$AE$4999,19,FALSE),IF(OR(J183="リード付け",J183="巻返しリード付け"),"",IF(J183="スリット",VLOOKUP(F183&amp;K183&amp;R183,製品マスタ!$N$5:$AE$4999,18,FALSE),""))))))</f>
        <v/>
      </c>
      <c r="Y183" s="256">
        <f ca="1">IF(D183="","",IF(T183="","",VLOOKUP(D183,契約台帳!$A$3:$Q$4986,17,FALSE)))</f>
        <v>2</v>
      </c>
      <c r="Z183" s="256" t="str">
        <f ca="1">IF(D183="","",IF(T183="","",VLOOKUP(D183,契約台帳!$A$3:$E$4986,5,FALSE)))</f>
        <v>リンテック㈱</v>
      </c>
      <c r="AA183" s="54"/>
      <c r="AB183" s="200" t="str">
        <f>IFERROR((VLOOKUP(F183&amp;K183&amp;M183,製品マスタ!$M$5:$AM$4999,27,FALSE)),"")</f>
        <v>原反ケース再利用</v>
      </c>
      <c r="AC183" s="31"/>
      <c r="AD183" s="184"/>
      <c r="AE183" s="51"/>
      <c r="AF183" s="52"/>
      <c r="AG183" s="41"/>
      <c r="AH183" s="45"/>
      <c r="AI183" s="28"/>
      <c r="AJ183" s="28"/>
      <c r="AK183" s="28"/>
      <c r="AL183" s="28"/>
      <c r="AM183" s="12"/>
      <c r="AN183" s="12"/>
      <c r="AO183" s="12"/>
      <c r="AP183" s="12"/>
      <c r="AQ183" s="12"/>
      <c r="AR183" s="13"/>
      <c r="AS183" s="14"/>
    </row>
    <row r="184" spans="1:45" s="16" customFormat="1" ht="30.95" hidden="1" customHeight="1" x14ac:dyDescent="0.2">
      <c r="A184" s="35"/>
      <c r="B184" s="36"/>
      <c r="C184" s="43"/>
      <c r="D184" s="29"/>
      <c r="E184" s="29"/>
      <c r="F184" s="255" t="str">
        <f>IF(D184="","",VLOOKUP(D184,契約台帳!$A$3:$K$4986,6,FALSE)&amp;VLOOKUP(D184,契約台帳!$A$3:$K$4986,7,FALSE)&amp;VLOOKUP(D184,契約台帳!$A$3:$K$4986,8,FALSE)&amp;VLOOKUP(D184,契約台帳!$A$3:$K$4986,9,FALSE)&amp;VLOOKUP(D184,契約台帳!$A$3:$K$4986,11,FALSE))</f>
        <v/>
      </c>
      <c r="G184" s="256" t="str">
        <f>IF(D184="","",VLOOKUP(F184,製品マスタ!$G$5:$H$4999,2,FALSE))</f>
        <v/>
      </c>
      <c r="H184" s="256" t="str">
        <f>IF(D184="","",VLOOKUP(F184,製品マスタ!$G$5:$K$4999,5,FALSE))</f>
        <v/>
      </c>
      <c r="I184" s="200" t="str">
        <f>IF(D184="","",VLOOKUP(F184,製品マスタ!$G$5:$L$4999,6,FALSE))</f>
        <v/>
      </c>
      <c r="J184" s="203"/>
      <c r="K184" s="200" t="str">
        <f>IF(D184="","",VLOOKUP(D184,契約台帳!$A$3:$L$4986,12,FALSE))</f>
        <v/>
      </c>
      <c r="L184" s="200" t="str">
        <f>IF(D184="","",INDEX(製品マスタ!$Q$5:$Q$4999,MATCH('S4'!F184&amp;'S4'!K184,製品マスタ!$AO$5:$AO$4999,0)))</f>
        <v/>
      </c>
      <c r="M184" s="37"/>
      <c r="N184" s="37"/>
      <c r="O184" s="153"/>
      <c r="P184" s="45"/>
      <c r="Q184" s="54"/>
      <c r="R184" s="257" t="str">
        <f ca="1">IF(D184="","",IF(OFFSET(D184,-1,0)&lt;&gt;"","",IF(OR(J184="リード付け",J184="巻足し",J184="巻返しリード付け"),M184,VLOOKUP(D184,契約台帳!$A$3:$N$4986,14,FALSE))))</f>
        <v/>
      </c>
      <c r="S184" s="258" t="str">
        <f ca="1">IF(D184="","",IF(OFFSET(D184,-1,0)&lt;&gt;"","",IF(OR(J184="リード付け",J184="巻足し",J184="巻返しリード付け"),M184,VLOOKUP(D184,契約台帳!$A$3:$O$4986,15,FALSE))))</f>
        <v/>
      </c>
      <c r="T184" s="258" t="str">
        <f ca="1">IF(D184="","",IF(J184="リード付け",N184,IF(J184="巻返しリード付け",N184,IF(J184="巻足し",N184*P184+OFFSET(N184,1,0)*OFFSET(P184,1,0),VLOOKUP(D184,契約台帳!$A$3:$P$4986,16,FALSE)))))</f>
        <v/>
      </c>
      <c r="U184" s="38"/>
      <c r="V184" s="259" t="str">
        <f ca="1">IF(D184="","",IF(OFFSET(D184,-2,0)=D184,"",VLOOKUP(D184,契約台帳!$A$3:$R$4986,18,FALSE)))</f>
        <v/>
      </c>
      <c r="W184" s="256" t="str">
        <f>IF(D184="","",IF(T184="","",IF(OR(J184="巻足し",J184="巻返しリード付け"),"",IF(J184="巻返し",VLOOKUP(F184&amp;K184&amp;M184,製品マスタ!$M$5:$AD$4999,18,FALSE),IF(OR(J184="リード付け",J184="巻返しリード付け"),"原反コア",IF(J184="スリット",VLOOKUP(F184&amp;K184&amp;R184,製品マスタ!$N$5:$AD$4999,17,FALSE),""))))))</f>
        <v/>
      </c>
      <c r="X184" s="256" t="str">
        <f>IF(D184="","",IF(T184="","",IF(J184="巻足し","",IF(J184="巻返し",VLOOKUP(F184&amp;K184&amp;M184,製品マスタ!$M$5:$AE$4999,19,FALSE),IF(OR(J184="リード付け",J184="巻返しリード付け"),"",IF(J184="スリット",VLOOKUP(F184&amp;K184&amp;R184,製品マスタ!$N$5:$AE$4999,18,FALSE),""))))))</f>
        <v/>
      </c>
      <c r="Y184" s="256" t="str">
        <f>IF(D184="","",IF(T184="","",VLOOKUP(D184,契約台帳!$A$3:$Q$4986,17,FALSE)))</f>
        <v/>
      </c>
      <c r="Z184" s="256" t="str">
        <f>IF(D184="","",IF(T184="","",VLOOKUP(D184,契約台帳!$A$3:$E$4986,5,FALSE)))</f>
        <v/>
      </c>
      <c r="AA184" s="54"/>
      <c r="AB184" s="200" t="str">
        <f>IFERROR((VLOOKUP(F184&amp;K184&amp;M184,製品マスタ!$M$5:$AM$4999,27,FALSE)),"")</f>
        <v/>
      </c>
      <c r="AC184" s="31"/>
      <c r="AD184" s="184"/>
      <c r="AE184" s="51"/>
      <c r="AF184" s="52"/>
      <c r="AG184" s="41"/>
      <c r="AH184" s="45"/>
      <c r="AI184" s="28"/>
      <c r="AJ184" s="28"/>
      <c r="AK184" s="28"/>
      <c r="AL184" s="28"/>
      <c r="AM184" s="12"/>
      <c r="AN184" s="12"/>
      <c r="AO184" s="12"/>
      <c r="AP184" s="12"/>
      <c r="AQ184" s="12"/>
      <c r="AR184" s="13"/>
      <c r="AS184" s="14"/>
    </row>
    <row r="185" spans="1:45" s="16" customFormat="1" ht="30.95" hidden="1" customHeight="1" x14ac:dyDescent="0.2">
      <c r="A185" s="35"/>
      <c r="B185" s="36"/>
      <c r="C185" s="43"/>
      <c r="D185" s="29">
        <v>3697677</v>
      </c>
      <c r="E185" s="29">
        <v>4161796</v>
      </c>
      <c r="F185" s="255" t="str">
        <f>IF(D185="","",VLOOKUP(D185,契約台帳!$A$3:$K$4986,6,FALSE)&amp;VLOOKUP(D185,契約台帳!$A$3:$K$4986,7,FALSE)&amp;VLOOKUP(D185,契約台帳!$A$3:$K$4986,8,FALSE)&amp;VLOOKUP(D185,契約台帳!$A$3:$K$4986,9,FALSE)&amp;VLOOKUP(D185,契約台帳!$A$3:$K$4986,11,FALSE))</f>
        <v>3SNMCLBHLGKJV</v>
      </c>
      <c r="G185" s="256" t="str">
        <f>IF(D185="","",VLOOKUP(F185,製品マスタ!$G$5:$H$4999,2,FALSE))</f>
        <v>S</v>
      </c>
      <c r="H185" s="256" t="str">
        <f>IF(D185="","",VLOOKUP(F185,製品マスタ!$G$5:$K$4999,5,FALSE))</f>
        <v>HLGKJV</v>
      </c>
      <c r="I185" s="200" t="str">
        <f>IF(D185="","",VLOOKUP(F185,製品マスタ!$G$5:$L$4999,6,FALSE))</f>
        <v>メタルミー　ヘヤライン　銀消Ｖ</v>
      </c>
      <c r="J185" s="203" t="s">
        <v>832</v>
      </c>
      <c r="K185" s="200">
        <f>IF(D185="","",VLOOKUP(D185,契約台帳!$A$3:$L$4986,12,FALSE))</f>
        <v>50</v>
      </c>
      <c r="L185" s="200" t="str">
        <f>IF(D185="","",INDEX(製品マスタ!$Q$5:$Q$4999,MATCH('S4'!F185&amp;'S4'!K185,製品マスタ!$AO$5:$AO$4999,0)))</f>
        <v>HL-MAT</v>
      </c>
      <c r="M185" s="37">
        <v>1005</v>
      </c>
      <c r="N185" s="37">
        <v>4000</v>
      </c>
      <c r="O185" s="153">
        <v>1</v>
      </c>
      <c r="P185" s="45">
        <v>2</v>
      </c>
      <c r="Q185" s="206">
        <v>44956</v>
      </c>
      <c r="R185" s="257">
        <f ca="1">IF(D185="","",IF(OFFSET(D185,-1,0)&lt;&gt;"","",IF(OR(J185="リード付け",J185="巻足し",J185="巻返しリード付け"),M185,VLOOKUP(D185,契約台帳!$A$3:$N$4986,14,FALSE))))</f>
        <v>1005</v>
      </c>
      <c r="S185" s="258">
        <f ca="1">IF(D185="","",IF(OFFSET(D185,-1,0)&lt;&gt;"","",IF(OR(J185="リード付け",J185="巻足し",J185="巻返しリード付け"),M185,VLOOKUP(D185,契約台帳!$A$3:$O$4986,15,FALSE))))</f>
        <v>1005</v>
      </c>
      <c r="T185" s="258">
        <f ca="1">IF(D185="","",IF(J185="リード付け",N185,IF(J185="巻返しリード付け",N185,IF(J185="巻足し",N185*P185+OFFSET(N185,1,0)*OFFSET(P185,1,0),VLOOKUP(D185,契約台帳!$A$3:$P$4986,16,FALSE)))))</f>
        <v>8000</v>
      </c>
      <c r="U185" s="38">
        <v>1</v>
      </c>
      <c r="V185" s="259">
        <f ca="1">IF(D185="","",IF(OFFSET(D185,-2,0)=D185,"",VLOOKUP(D185,契約台帳!$A$3:$R$4986,18,FALSE)))</f>
        <v>2</v>
      </c>
      <c r="W185" s="256" t="str">
        <f ca="1">IF(D185="","",IF(T185="","",IF(OR(J185="巻足し",J185="巻返しリード付け"),"",IF(J185="巻返し",VLOOKUP(F185&amp;K185&amp;M185,製品マスタ!$M$5:$AD$4999,18,FALSE),IF(OR(J185="リード付け",J185="巻返しリード付け"),"原反コア",IF(J185="スリット",VLOOKUP(F185&amp;K185&amp;R185,製品マスタ!$N$5:$AD$4999,17,FALSE),""))))))</f>
        <v/>
      </c>
      <c r="X185" s="256" t="str">
        <f ca="1">IF(D185="","",IF(T185="","",IF(J185="巻足し","",IF(J185="巻返し",VLOOKUP(F185&amp;K185&amp;M185,製品マスタ!$M$5:$AE$4999,19,FALSE),IF(OR(J185="リード付け",J185="巻返しリード付け"),"",IF(J185="スリット",VLOOKUP(F185&amp;K185&amp;R185,製品マスタ!$N$5:$AE$4999,18,FALSE),""))))))</f>
        <v/>
      </c>
      <c r="Y185" s="256">
        <f ca="1">IF(D185="","",IF(T185="","",VLOOKUP(D185,契約台帳!$A$3:$Q$4986,17,FALSE)))</f>
        <v>2</v>
      </c>
      <c r="Z185" s="256" t="str">
        <f ca="1">IF(D185="","",IF(T185="","",VLOOKUP(D185,契約台帳!$A$3:$E$4986,5,FALSE)))</f>
        <v>リンテック㈱</v>
      </c>
      <c r="AA185" s="54"/>
      <c r="AB185" s="200">
        <f>IFERROR((VLOOKUP(F185&amp;K185&amp;M185,製品マスタ!$M$5:$AM$4999,27,FALSE)),"")</f>
        <v>0</v>
      </c>
      <c r="AC185" s="31"/>
      <c r="AD185" s="184"/>
      <c r="AE185" s="51"/>
      <c r="AF185" s="52"/>
      <c r="AG185" s="41"/>
      <c r="AH185" s="45"/>
      <c r="AI185" s="28"/>
      <c r="AJ185" s="28"/>
      <c r="AK185" s="28"/>
      <c r="AL185" s="28"/>
      <c r="AM185" s="12"/>
      <c r="AN185" s="12"/>
      <c r="AO185" s="12"/>
      <c r="AP185" s="12"/>
      <c r="AQ185" s="12"/>
      <c r="AR185" s="13"/>
      <c r="AS185" s="14"/>
    </row>
    <row r="186" spans="1:45" s="16" customFormat="1" ht="30.95" hidden="1" customHeight="1" x14ac:dyDescent="0.2">
      <c r="A186" s="35"/>
      <c r="B186" s="36"/>
      <c r="C186" s="43"/>
      <c r="D186" s="29">
        <v>3697678</v>
      </c>
      <c r="E186" s="29"/>
      <c r="F186" s="255" t="str">
        <f>IF(D186="","",VLOOKUP(D186,契約台帳!$A$3:$K$4986,6,FALSE)&amp;VLOOKUP(D186,契約台帳!$A$3:$K$4986,7,FALSE)&amp;VLOOKUP(D186,契約台帳!$A$3:$K$4986,8,FALSE)&amp;VLOOKUP(D186,契約台帳!$A$3:$K$4986,9,FALSE)&amp;VLOOKUP(D186,契約台帳!$A$3:$K$4986,11,FALSE))</f>
        <v>3TNMCLBHLGKJV</v>
      </c>
      <c r="G186" s="256" t="str">
        <f>IF(D186="","",VLOOKUP(F186,製品マスタ!$G$5:$H$4999,2,FALSE))</f>
        <v>T</v>
      </c>
      <c r="H186" s="256" t="str">
        <f>IF(D186="","",VLOOKUP(F186,製品マスタ!$G$5:$K$4999,5,FALSE))</f>
        <v>HLGKJV</v>
      </c>
      <c r="I186" s="200" t="str">
        <f>IF(D186="","",VLOOKUP(F186,製品マスタ!$G$5:$L$4999,6,FALSE))</f>
        <v>メタルミー　ヘヤライン　銀消Ｖ</v>
      </c>
      <c r="J186" s="203" t="s">
        <v>832</v>
      </c>
      <c r="K186" s="200">
        <f>IF(D186="","",VLOOKUP(D186,契約台帳!$A$3:$L$4986,12,FALSE))</f>
        <v>50</v>
      </c>
      <c r="L186" s="200" t="str">
        <f>IF(D186="","",INDEX(製品マスタ!$Q$5:$Q$4999,MATCH('S4'!F186&amp;'S4'!K186,製品マスタ!$AO$5:$AO$4999,0)))</f>
        <v>HL-MAT</v>
      </c>
      <c r="M186" s="37">
        <v>1005</v>
      </c>
      <c r="N186" s="37">
        <v>4000</v>
      </c>
      <c r="O186" s="153">
        <v>1</v>
      </c>
      <c r="P186" s="45"/>
      <c r="Q186" s="206">
        <v>44956</v>
      </c>
      <c r="R186" s="257" t="str">
        <f ca="1">IF(D186="","",IF(OFFSET(D186,-1,0)&lt;&gt;"","",IF(OR(J186="リード付け",J186="巻足し",J186="巻返しリード付け"),M186,VLOOKUP(D186,契約台帳!$A$3:$N$4986,14,FALSE))))</f>
        <v/>
      </c>
      <c r="S186" s="258" t="str">
        <f ca="1">IF(D186="","",IF(OFFSET(D186,-1,0)&lt;&gt;"","",IF(OR(J186="リード付け",J186="巻足し",J186="巻返しリード付け"),M186,VLOOKUP(D186,契約台帳!$A$3:$O$4986,15,FALSE))))</f>
        <v/>
      </c>
      <c r="T186" s="258">
        <f ca="1">IF(D186="","",IF(J186="リード付け",N186,IF(J186="巻返しリード付け",N186,IF(J186="巻足し",N186*P186+OFFSET(N186,1,0)*OFFSET(P186,1,0),VLOOKUP(D186,契約台帳!$A$3:$P$4986,16,FALSE)))))</f>
        <v>0</v>
      </c>
      <c r="U186" s="38"/>
      <c r="V186" s="259">
        <f ca="1">IF(D186="","",IF(OFFSET(D186,-2,0)=D186,"",VLOOKUP(D186,契約台帳!$A$3:$R$4986,18,FALSE)))</f>
        <v>1</v>
      </c>
      <c r="W186" s="256" t="str">
        <f ca="1">IF(D186="","",IF(T186="","",IF(OR(J186="巻足し",J186="巻返しリード付け"),"",IF(J186="巻返し",VLOOKUP(F186&amp;K186&amp;M186,製品マスタ!$M$5:$AD$4999,18,FALSE),IF(OR(J186="リード付け",J186="巻返しリード付け"),"原反コア",IF(J186="スリット",VLOOKUP(F186&amp;K186&amp;R186,製品マスタ!$N$5:$AD$4999,17,FALSE),""))))))</f>
        <v/>
      </c>
      <c r="X186" s="256" t="str">
        <f ca="1">IF(D186="","",IF(T186="","",IF(J186="巻足し","",IF(J186="巻返し",VLOOKUP(F186&amp;K186&amp;M186,製品マスタ!$M$5:$AE$4999,19,FALSE),IF(OR(J186="リード付け",J186="巻返しリード付け"),"",IF(J186="スリット",VLOOKUP(F186&amp;K186&amp;R186,製品マスタ!$N$5:$AE$4999,18,FALSE),""))))))</f>
        <v/>
      </c>
      <c r="Y186" s="256">
        <f ca="1">IF(D186="","",IF(T186="","",VLOOKUP(D186,契約台帳!$A$3:$Q$4986,17,FALSE)))</f>
        <v>2</v>
      </c>
      <c r="Z186" s="256" t="str">
        <f ca="1">IF(D186="","",IF(T186="","",VLOOKUP(D186,契約台帳!$A$3:$E$4986,5,FALSE)))</f>
        <v>リンテック㈱</v>
      </c>
      <c r="AA186" s="54"/>
      <c r="AB186" s="200">
        <f>IFERROR((VLOOKUP(F186&amp;K186&amp;M186,製品マスタ!$M$5:$AM$4999,27,FALSE)),"")</f>
        <v>0</v>
      </c>
      <c r="AC186" s="31"/>
      <c r="AD186" s="184"/>
      <c r="AE186" s="51"/>
      <c r="AF186" s="52"/>
      <c r="AG186" s="41"/>
      <c r="AH186" s="45"/>
      <c r="AI186" s="28"/>
      <c r="AJ186" s="28"/>
      <c r="AK186" s="28"/>
      <c r="AL186" s="28"/>
      <c r="AM186" s="12"/>
      <c r="AN186" s="12"/>
      <c r="AO186" s="12"/>
      <c r="AP186" s="12"/>
      <c r="AQ186" s="12"/>
      <c r="AR186" s="13"/>
      <c r="AS186" s="14"/>
    </row>
    <row r="187" spans="1:45" s="16" customFormat="1" ht="30.95" hidden="1" customHeight="1" x14ac:dyDescent="0.2">
      <c r="A187" s="35"/>
      <c r="B187" s="36"/>
      <c r="C187" s="43"/>
      <c r="D187" s="29"/>
      <c r="E187" s="29"/>
      <c r="F187" s="255" t="str">
        <f>IF(D187="","",VLOOKUP(D187,契約台帳!$A$3:$K$4986,6,FALSE)&amp;VLOOKUP(D187,契約台帳!$A$3:$K$4986,7,FALSE)&amp;VLOOKUP(D187,契約台帳!$A$3:$K$4986,8,FALSE)&amp;VLOOKUP(D187,契約台帳!$A$3:$K$4986,9,FALSE)&amp;VLOOKUP(D187,契約台帳!$A$3:$K$4986,11,FALSE))</f>
        <v/>
      </c>
      <c r="G187" s="256" t="str">
        <f>IF(D187="","",VLOOKUP(F187,製品マスタ!$G$5:$H$4999,2,FALSE))</f>
        <v/>
      </c>
      <c r="H187" s="256" t="str">
        <f>IF(D187="","",VLOOKUP(F187,製品マスタ!$G$5:$K$4999,5,FALSE))</f>
        <v/>
      </c>
      <c r="I187" s="200" t="str">
        <f>IF(D187="","",VLOOKUP(F187,製品マスタ!$G$5:$L$4999,6,FALSE))</f>
        <v/>
      </c>
      <c r="J187" s="203"/>
      <c r="K187" s="200" t="str">
        <f>IF(D187="","",VLOOKUP(D187,契約台帳!$A$3:$L$4986,12,FALSE))</f>
        <v/>
      </c>
      <c r="L187" s="200" t="str">
        <f>IF(D187="","",INDEX(製品マスタ!$Q$5:$Q$4999,MATCH('S4'!F187&amp;'S4'!K187,製品マスタ!$AO$5:$AO$4999,0)))</f>
        <v/>
      </c>
      <c r="M187" s="37"/>
      <c r="N187" s="37"/>
      <c r="O187" s="153"/>
      <c r="P187" s="45"/>
      <c r="Q187" s="54"/>
      <c r="R187" s="257" t="str">
        <f ca="1">IF(D187="","",IF(OFFSET(D187,-1,0)&lt;&gt;"","",IF(OR(J187="リード付け",J187="巻足し",J187="巻返しリード付け"),M187,VLOOKUP(D187,契約台帳!$A$3:$N$4986,14,FALSE))))</f>
        <v/>
      </c>
      <c r="S187" s="258" t="str">
        <f ca="1">IF(D187="","",IF(OFFSET(D187,-1,0)&lt;&gt;"","",IF(OR(J187="リード付け",J187="巻足し",J187="巻返しリード付け"),M187,VLOOKUP(D187,契約台帳!$A$3:$O$4986,15,FALSE))))</f>
        <v/>
      </c>
      <c r="T187" s="258" t="str">
        <f ca="1">IF(D187="","",IF(J187="リード付け",N187,IF(J187="巻返しリード付け",N187,IF(J187="巻足し",N187*P187+OFFSET(N187,1,0)*OFFSET(P187,1,0),VLOOKUP(D187,契約台帳!$A$3:$P$4986,16,FALSE)))))</f>
        <v/>
      </c>
      <c r="U187" s="38"/>
      <c r="V187" s="259" t="str">
        <f ca="1">IF(D187="","",IF(OFFSET(D187,-2,0)=D187,"",VLOOKUP(D187,契約台帳!$A$3:$R$4986,18,FALSE)))</f>
        <v/>
      </c>
      <c r="W187" s="256" t="str">
        <f>IF(D187="","",IF(T187="","",IF(OR(J187="巻足し",J187="巻返しリード付け"),"",IF(J187="巻返し",VLOOKUP(F187&amp;K187&amp;M187,製品マスタ!$M$5:$AD$4999,18,FALSE),IF(OR(J187="リード付け",J187="巻返しリード付け"),"原反コア",IF(J187="スリット",VLOOKUP(F187&amp;K187&amp;R187,製品マスタ!$N$5:$AD$4999,17,FALSE),""))))))</f>
        <v/>
      </c>
      <c r="X187" s="256" t="str">
        <f>IF(D187="","",IF(T187="","",IF(J187="巻足し","",IF(J187="巻返し",VLOOKUP(F187&amp;K187&amp;M187,製品マスタ!$M$5:$AE$4999,19,FALSE),IF(OR(J187="リード付け",J187="巻返しリード付け"),"",IF(J187="スリット",VLOOKUP(F187&amp;K187&amp;R187,製品マスタ!$N$5:$AE$4999,18,FALSE),""))))))</f>
        <v/>
      </c>
      <c r="Y187" s="256" t="str">
        <f>IF(D187="","",IF(T187="","",VLOOKUP(D187,契約台帳!$A$3:$Q$4986,17,FALSE)))</f>
        <v/>
      </c>
      <c r="Z187" s="256" t="str">
        <f>IF(D187="","",IF(T187="","",VLOOKUP(D187,契約台帳!$A$3:$E$4986,5,FALSE)))</f>
        <v/>
      </c>
      <c r="AA187" s="54"/>
      <c r="AB187" s="200" t="str">
        <f>IFERROR((VLOOKUP(F187&amp;K187&amp;M187,製品マスタ!$M$5:$AM$4999,27,FALSE)),"")</f>
        <v/>
      </c>
      <c r="AC187" s="31"/>
      <c r="AD187" s="184"/>
      <c r="AE187" s="51"/>
      <c r="AF187" s="52"/>
      <c r="AG187" s="41"/>
      <c r="AH187" s="45"/>
      <c r="AI187" s="28"/>
      <c r="AJ187" s="28"/>
      <c r="AK187" s="28"/>
      <c r="AL187" s="28"/>
      <c r="AM187" s="12"/>
      <c r="AN187" s="12"/>
      <c r="AO187" s="12"/>
      <c r="AP187" s="12"/>
      <c r="AQ187" s="12"/>
      <c r="AR187" s="13"/>
      <c r="AS187" s="14"/>
    </row>
    <row r="188" spans="1:45" s="16" customFormat="1" ht="30.95" hidden="1" customHeight="1" x14ac:dyDescent="0.2">
      <c r="A188" s="35" t="s">
        <v>847</v>
      </c>
      <c r="B188" s="36" t="s">
        <v>833</v>
      </c>
      <c r="C188" s="43"/>
      <c r="D188" s="29"/>
      <c r="E188" s="29"/>
      <c r="F188" s="255" t="str">
        <f>IF(D188="","",VLOOKUP(D188,契約台帳!$A$3:$K$4986,6,FALSE)&amp;VLOOKUP(D188,契約台帳!$A$3:$K$4986,7,FALSE)&amp;VLOOKUP(D188,契約台帳!$A$3:$K$4986,8,FALSE)&amp;VLOOKUP(D188,契約台帳!$A$3:$K$4986,9,FALSE)&amp;VLOOKUP(D188,契約台帳!$A$3:$K$4986,11,FALSE))</f>
        <v/>
      </c>
      <c r="G188" s="256" t="str">
        <f>IF(D188="","",VLOOKUP(F188,製品マスタ!$G$5:$H$4999,2,FALSE))</f>
        <v/>
      </c>
      <c r="H188" s="256" t="str">
        <f>IF(D188="","",VLOOKUP(F188,製品マスタ!$G$5:$K$4999,5,FALSE))</f>
        <v/>
      </c>
      <c r="I188" s="200" t="str">
        <f>IF(D188="","",VLOOKUP(F188,製品マスタ!$G$5:$L$4999,6,FALSE))</f>
        <v/>
      </c>
      <c r="J188" s="203" t="s">
        <v>836</v>
      </c>
      <c r="K188" s="200" t="str">
        <f>IF(D188="","",VLOOKUP(D188,契約台帳!$A$3:$L$4986,12,FALSE))</f>
        <v/>
      </c>
      <c r="L188" s="200" t="str">
        <f>IF(D188="","",INDEX(製品マスタ!$Q$5:$Q$4999,MATCH('S4'!F188&amp;'S4'!K188,製品マスタ!$AO$5:$AO$4999,0)))</f>
        <v/>
      </c>
      <c r="M188" s="37"/>
      <c r="N188" s="37"/>
      <c r="O188" s="153"/>
      <c r="P188" s="45"/>
      <c r="Q188" s="54"/>
      <c r="R188" s="257" t="str">
        <f ca="1">IF(D188="","",IF(OFFSET(D188,-1,0)&lt;&gt;"","",IF(OR(J188="リード付け",J188="巻足し",J188="巻返しリード付け"),M188,VLOOKUP(D188,契約台帳!$A$3:$N$4986,14,FALSE))))</f>
        <v/>
      </c>
      <c r="S188" s="258" t="str">
        <f ca="1">IF(D188="","",IF(OFFSET(D188,-1,0)&lt;&gt;"","",IF(OR(J188="リード付け",J188="巻足し",J188="巻返しリード付け"),M188,VLOOKUP(D188,契約台帳!$A$3:$O$4986,15,FALSE))))</f>
        <v/>
      </c>
      <c r="T188" s="258" t="str">
        <f ca="1">IF(D188="","",IF(J188="リード付け",N188,IF(J188="巻返しリード付け",N188,IF(J188="巻足し",N188*P188+OFFSET(N188,1,0)*OFFSET(P188,1,0),VLOOKUP(D188,契約台帳!$A$3:$P$4986,16,FALSE)))))</f>
        <v/>
      </c>
      <c r="U188" s="38"/>
      <c r="V188" s="259" t="str">
        <f ca="1">IF(D188="","",IF(OFFSET(D188,-2,0)=D188,"",VLOOKUP(D188,契約台帳!$A$3:$R$4986,18,FALSE)))</f>
        <v/>
      </c>
      <c r="W188" s="256" t="str">
        <f>IF(D188="","",IF(T188="","",IF(OR(J188="巻足し",J188="巻返しリード付け"),"",IF(J188="巻返し",VLOOKUP(F188&amp;K188&amp;M188,製品マスタ!$M$5:$AD$4999,18,FALSE),IF(OR(J188="リード付け",J188="巻返しリード付け"),"原反コア",IF(J188="スリット",VLOOKUP(F188&amp;K188&amp;R188,製品マスタ!$N$5:$AD$4999,17,FALSE),""))))))</f>
        <v/>
      </c>
      <c r="X188" s="256" t="str">
        <f>IF(D188="","",IF(T188="","",IF(J188="巻足し","",IF(J188="巻返し",VLOOKUP(F188&amp;K188&amp;M188,製品マスタ!$M$5:$AE$4999,19,FALSE),IF(OR(J188="リード付け",J188="巻返しリード付け"),"",IF(J188="スリット",VLOOKUP(F188&amp;K188&amp;R188,製品マスタ!$N$5:$AE$4999,18,FALSE),""))))))</f>
        <v/>
      </c>
      <c r="Y188" s="256" t="str">
        <f>IF(D188="","",IF(T188="","",VLOOKUP(D188,契約台帳!$A$3:$Q$4986,17,FALSE)))</f>
        <v/>
      </c>
      <c r="Z188" s="256" t="str">
        <f>IF(D188="","",IF(T188="","",VLOOKUP(D188,契約台帳!$A$3:$E$4986,5,FALSE)))</f>
        <v/>
      </c>
      <c r="AA188" s="54"/>
      <c r="AB188" s="200" t="str">
        <f>IFERROR((VLOOKUP(F188&amp;K188&amp;M188,製品マスタ!$M$5:$AM$4999,27,FALSE)),"")</f>
        <v/>
      </c>
      <c r="AC188" s="31"/>
      <c r="AD188" s="184"/>
      <c r="AE188" s="51"/>
      <c r="AF188" s="52"/>
      <c r="AG188" s="41"/>
      <c r="AH188" s="45"/>
      <c r="AI188" s="28"/>
      <c r="AJ188" s="28"/>
      <c r="AK188" s="28"/>
      <c r="AL188" s="28"/>
      <c r="AM188" s="12"/>
      <c r="AN188" s="12"/>
      <c r="AO188" s="12"/>
      <c r="AP188" s="12"/>
      <c r="AQ188" s="12"/>
      <c r="AR188" s="13"/>
      <c r="AS188" s="14"/>
    </row>
    <row r="189" spans="1:45" s="16" customFormat="1" ht="30.95" hidden="1" customHeight="1" x14ac:dyDescent="0.2">
      <c r="A189" s="35"/>
      <c r="B189" s="36"/>
      <c r="C189" s="43"/>
      <c r="D189" s="29"/>
      <c r="E189" s="29"/>
      <c r="F189" s="255" t="str">
        <f>IF(D189="","",VLOOKUP(D189,契約台帳!$A$3:$K$4986,6,FALSE)&amp;VLOOKUP(D189,契約台帳!$A$3:$K$4986,7,FALSE)&amp;VLOOKUP(D189,契約台帳!$A$3:$K$4986,8,FALSE)&amp;VLOOKUP(D189,契約台帳!$A$3:$K$4986,9,FALSE)&amp;VLOOKUP(D189,契約台帳!$A$3:$K$4986,11,FALSE))</f>
        <v/>
      </c>
      <c r="G189" s="256" t="str">
        <f>IF(D189="","",VLOOKUP(F189,製品マスタ!$G$5:$H$4999,2,FALSE))</f>
        <v/>
      </c>
      <c r="H189" s="256" t="str">
        <f>IF(D189="","",VLOOKUP(F189,製品マスタ!$G$5:$K$4999,5,FALSE))</f>
        <v/>
      </c>
      <c r="I189" s="200" t="str">
        <f>IF(D189="","",VLOOKUP(F189,製品マスタ!$G$5:$L$4999,6,FALSE))</f>
        <v/>
      </c>
      <c r="J189" s="203"/>
      <c r="K189" s="200" t="str">
        <f>IF(D189="","",VLOOKUP(D189,契約台帳!$A$3:$L$4986,12,FALSE))</f>
        <v/>
      </c>
      <c r="L189" s="200" t="str">
        <f>IF(D189="","",INDEX(製品マスタ!$Q$5:$Q$4999,MATCH('S4'!F189&amp;'S4'!K189,製品マスタ!$AO$5:$AO$4999,0)))</f>
        <v/>
      </c>
      <c r="M189" s="37"/>
      <c r="N189" s="37"/>
      <c r="O189" s="153"/>
      <c r="P189" s="45"/>
      <c r="Q189" s="54"/>
      <c r="R189" s="257" t="str">
        <f ca="1">IF(D189="","",IF(OFFSET(D189,-1,0)&lt;&gt;"","",IF(OR(J189="リード付け",J189="巻足し",J189="巻返しリード付け"),M189,VLOOKUP(D189,契約台帳!$A$3:$N$4986,14,FALSE))))</f>
        <v/>
      </c>
      <c r="S189" s="258" t="str">
        <f ca="1">IF(D189="","",IF(OFFSET(D189,-1,0)&lt;&gt;"","",IF(OR(J189="リード付け",J189="巻足し",J189="巻返しリード付け"),M189,VLOOKUP(D189,契約台帳!$A$3:$O$4986,15,FALSE))))</f>
        <v/>
      </c>
      <c r="T189" s="258" t="str">
        <f ca="1">IF(D189="","",IF(J189="リード付け",N189,IF(J189="巻返しリード付け",N189,IF(J189="巻足し",N189*P189+OFFSET(N189,1,0)*OFFSET(P189,1,0),VLOOKUP(D189,契約台帳!$A$3:$P$4986,16,FALSE)))))</f>
        <v/>
      </c>
      <c r="U189" s="38"/>
      <c r="V189" s="259" t="str">
        <f ca="1">IF(D189="","",IF(OFFSET(D189,-2,0)=D189,"",VLOOKUP(D189,契約台帳!$A$3:$R$4986,18,FALSE)))</f>
        <v/>
      </c>
      <c r="W189" s="256" t="str">
        <f>IF(D189="","",IF(T189="","",IF(OR(J189="巻足し",J189="巻返しリード付け"),"",IF(J189="巻返し",VLOOKUP(F189&amp;K189&amp;M189,製品マスタ!$M$5:$AD$4999,18,FALSE),IF(OR(J189="リード付け",J189="巻返しリード付け"),"原反コア",IF(J189="スリット",VLOOKUP(F189&amp;K189&amp;R189,製品マスタ!$N$5:$AD$4999,17,FALSE),""))))))</f>
        <v/>
      </c>
      <c r="X189" s="256" t="str">
        <f>IF(D189="","",IF(T189="","",IF(J189="巻足し","",IF(J189="巻返し",VLOOKUP(F189&amp;K189&amp;M189,製品マスタ!$M$5:$AE$4999,19,FALSE),IF(OR(J189="リード付け",J189="巻返しリード付け"),"",IF(J189="スリット",VLOOKUP(F189&amp;K189&amp;R189,製品マスタ!$N$5:$AE$4999,18,FALSE),""))))))</f>
        <v/>
      </c>
      <c r="Y189" s="256" t="str">
        <f>IF(D189="","",IF(T189="","",VLOOKUP(D189,契約台帳!$A$3:$Q$4986,17,FALSE)))</f>
        <v/>
      </c>
      <c r="Z189" s="256" t="str">
        <f>IF(D189="","",IF(T189="","",VLOOKUP(D189,契約台帳!$A$3:$E$4986,5,FALSE)))</f>
        <v/>
      </c>
      <c r="AA189" s="54"/>
      <c r="AB189" s="200" t="str">
        <f>IFERROR((VLOOKUP(F189&amp;K189&amp;M189,製品マスタ!$M$5:$AM$4999,27,FALSE)),"")</f>
        <v/>
      </c>
      <c r="AC189" s="31"/>
      <c r="AD189" s="184"/>
      <c r="AE189" s="51"/>
      <c r="AF189" s="52"/>
      <c r="AG189" s="41"/>
      <c r="AH189" s="45"/>
      <c r="AI189" s="28"/>
      <c r="AJ189" s="28"/>
      <c r="AK189" s="28"/>
      <c r="AL189" s="28"/>
      <c r="AM189" s="12"/>
      <c r="AN189" s="12"/>
      <c r="AO189" s="12"/>
      <c r="AP189" s="12"/>
      <c r="AQ189" s="12"/>
      <c r="AR189" s="13"/>
      <c r="AS189" s="14"/>
    </row>
    <row r="190" spans="1:45" s="16" customFormat="1" ht="30.95" hidden="1" customHeight="1" x14ac:dyDescent="0.2">
      <c r="A190" s="35" t="s">
        <v>848</v>
      </c>
      <c r="B190" s="36" t="s">
        <v>835</v>
      </c>
      <c r="C190" s="43"/>
      <c r="D190" s="29"/>
      <c r="E190" s="29"/>
      <c r="F190" s="255" t="str">
        <f>IF(D190="","",VLOOKUP(D190,契約台帳!$A$3:$K$4986,6,FALSE)&amp;VLOOKUP(D190,契約台帳!$A$3:$K$4986,7,FALSE)&amp;VLOOKUP(D190,契約台帳!$A$3:$K$4986,8,FALSE)&amp;VLOOKUP(D190,契約台帳!$A$3:$K$4986,9,FALSE)&amp;VLOOKUP(D190,契約台帳!$A$3:$K$4986,11,FALSE))</f>
        <v/>
      </c>
      <c r="G190" s="256" t="str">
        <f>IF(D190="","",VLOOKUP(F190,製品マスタ!$G$5:$H$4999,2,FALSE))</f>
        <v/>
      </c>
      <c r="H190" s="256" t="str">
        <f>IF(D190="","",VLOOKUP(F190,製品マスタ!$G$5:$K$4999,5,FALSE))</f>
        <v/>
      </c>
      <c r="I190" s="200" t="str">
        <f>IF(D190="","",VLOOKUP(F190,製品マスタ!$G$5:$L$4999,6,FALSE))</f>
        <v/>
      </c>
      <c r="J190" s="203" t="s">
        <v>836</v>
      </c>
      <c r="K190" s="200" t="str">
        <f>IF(D190="","",VLOOKUP(D190,契約台帳!$A$3:$L$4986,12,FALSE))</f>
        <v/>
      </c>
      <c r="L190" s="200" t="str">
        <f>IF(D190="","",INDEX(製品マスタ!$Q$5:$Q$4999,MATCH('S4'!F190&amp;'S4'!K190,製品マスタ!$AO$5:$AO$4999,0)))</f>
        <v/>
      </c>
      <c r="M190" s="37"/>
      <c r="N190" s="37"/>
      <c r="O190" s="153"/>
      <c r="P190" s="45"/>
      <c r="Q190" s="54"/>
      <c r="R190" s="257" t="str">
        <f ca="1">IF(D190="","",IF(OFFSET(D190,-1,0)&lt;&gt;"","",IF(OR(J190="リード付け",J190="巻足し",J190="巻返しリード付け"),M190,VLOOKUP(D190,契約台帳!$A$3:$N$4986,14,FALSE))))</f>
        <v/>
      </c>
      <c r="S190" s="258" t="str">
        <f ca="1">IF(D190="","",IF(OFFSET(D190,-1,0)&lt;&gt;"","",IF(OR(J190="リード付け",J190="巻足し",J190="巻返しリード付け"),M190,VLOOKUP(D190,契約台帳!$A$3:$O$4986,15,FALSE))))</f>
        <v/>
      </c>
      <c r="T190" s="258" t="str">
        <f ca="1">IF(D190="","",IF(J190="リード付け",N190,IF(J190="巻返しリード付け",N190,IF(J190="巻足し",N190*P190+OFFSET(N190,1,0)*OFFSET(P190,1,0),VLOOKUP(D190,契約台帳!$A$3:$P$4986,16,FALSE)))))</f>
        <v/>
      </c>
      <c r="U190" s="38"/>
      <c r="V190" s="259" t="str">
        <f ca="1">IF(D190="","",IF(OFFSET(D190,-2,0)=D190,"",VLOOKUP(D190,契約台帳!$A$3:$R$4986,18,FALSE)))</f>
        <v/>
      </c>
      <c r="W190" s="256" t="str">
        <f>IF(D190="","",IF(T190="","",IF(OR(J190="巻足し",J190="巻返しリード付け"),"",IF(J190="巻返し",VLOOKUP(F190&amp;K190&amp;M190,製品マスタ!$M$5:$AD$4999,18,FALSE),IF(OR(J190="リード付け",J190="巻返しリード付け"),"原反コア",IF(J190="スリット",VLOOKUP(F190&amp;K190&amp;R190,製品マスタ!$N$5:$AD$4999,17,FALSE),""))))))</f>
        <v/>
      </c>
      <c r="X190" s="256" t="str">
        <f>IF(D190="","",IF(T190="","",IF(J190="巻足し","",IF(J190="巻返し",VLOOKUP(F190&amp;K190&amp;M190,製品マスタ!$M$5:$AE$4999,19,FALSE),IF(OR(J190="リード付け",J190="巻返しリード付け"),"",IF(J190="スリット",VLOOKUP(F190&amp;K190&amp;R190,製品マスタ!$N$5:$AE$4999,18,FALSE),""))))))</f>
        <v/>
      </c>
      <c r="Y190" s="256" t="str">
        <f>IF(D190="","",IF(T190="","",VLOOKUP(D190,契約台帳!$A$3:$Q$4986,17,FALSE)))</f>
        <v/>
      </c>
      <c r="Z190" s="256" t="str">
        <f>IF(D190="","",IF(T190="","",VLOOKUP(D190,契約台帳!$A$3:$E$4986,5,FALSE)))</f>
        <v/>
      </c>
      <c r="AA190" s="54"/>
      <c r="AB190" s="200" t="str">
        <f>IFERROR((VLOOKUP(F190&amp;K190&amp;M190,製品マスタ!$M$5:$AM$4999,27,FALSE)),"")</f>
        <v/>
      </c>
      <c r="AC190" s="31"/>
      <c r="AD190" s="184"/>
      <c r="AE190" s="51"/>
      <c r="AF190" s="52"/>
      <c r="AG190" s="41"/>
      <c r="AH190" s="45"/>
      <c r="AI190" s="28"/>
      <c r="AJ190" s="28"/>
      <c r="AK190" s="28"/>
      <c r="AL190" s="28"/>
      <c r="AM190" s="12"/>
      <c r="AN190" s="12"/>
      <c r="AO190" s="12"/>
      <c r="AP190" s="12"/>
      <c r="AQ190" s="12"/>
      <c r="AR190" s="13"/>
      <c r="AS190" s="14"/>
    </row>
    <row r="191" spans="1:45" s="16" customFormat="1" ht="30.95" hidden="1" customHeight="1" x14ac:dyDescent="0.2">
      <c r="A191" s="35"/>
      <c r="B191" s="36"/>
      <c r="C191" s="43"/>
      <c r="D191" s="29"/>
      <c r="E191" s="29"/>
      <c r="F191" s="255" t="str">
        <f>IF(D191="","",VLOOKUP(D191,契約台帳!$A$3:$K$4986,6,FALSE)&amp;VLOOKUP(D191,契約台帳!$A$3:$K$4986,7,FALSE)&amp;VLOOKUP(D191,契約台帳!$A$3:$K$4986,8,FALSE)&amp;VLOOKUP(D191,契約台帳!$A$3:$K$4986,9,FALSE)&amp;VLOOKUP(D191,契約台帳!$A$3:$K$4986,11,FALSE))</f>
        <v/>
      </c>
      <c r="G191" s="256" t="str">
        <f>IF(D191="","",VLOOKUP(F191,製品マスタ!$G$5:$H$4999,2,FALSE))</f>
        <v/>
      </c>
      <c r="H191" s="256" t="str">
        <f>IF(D191="","",VLOOKUP(F191,製品マスタ!$G$5:$K$4999,5,FALSE))</f>
        <v/>
      </c>
      <c r="I191" s="200" t="str">
        <f>IF(D191="","",VLOOKUP(F191,製品マスタ!$G$5:$L$4999,6,FALSE))</f>
        <v/>
      </c>
      <c r="J191" s="203"/>
      <c r="K191" s="200" t="str">
        <f>IF(D191="","",VLOOKUP(D191,契約台帳!$A$3:$L$4986,12,FALSE))</f>
        <v/>
      </c>
      <c r="L191" s="200" t="str">
        <f>IF(D191="","",INDEX(製品マスタ!$Q$5:$Q$4999,MATCH('S4'!F191&amp;'S4'!K191,製品マスタ!$AO$5:$AO$4999,0)))</f>
        <v/>
      </c>
      <c r="M191" s="37"/>
      <c r="N191" s="37"/>
      <c r="O191" s="153"/>
      <c r="P191" s="45"/>
      <c r="Q191" s="54"/>
      <c r="R191" s="257" t="str">
        <f ca="1">IF(D191="","",IF(OFFSET(D191,-1,0)&lt;&gt;"","",IF(OR(J191="リード付け",J191="巻足し",J191="巻返しリード付け"),M191,VLOOKUP(D191,契約台帳!$A$3:$N$4986,14,FALSE))))</f>
        <v/>
      </c>
      <c r="S191" s="258" t="str">
        <f ca="1">IF(D191="","",IF(OFFSET(D191,-1,0)&lt;&gt;"","",IF(OR(J191="リード付け",J191="巻足し",J191="巻返しリード付け"),M191,VLOOKUP(D191,契約台帳!$A$3:$O$4986,15,FALSE))))</f>
        <v/>
      </c>
      <c r="T191" s="258" t="str">
        <f ca="1">IF(D191="","",IF(J191="リード付け",N191,IF(J191="巻返しリード付け",N191,IF(J191="巻足し",N191*P191+OFFSET(N191,1,0)*OFFSET(P191,1,0),VLOOKUP(D191,契約台帳!$A$3:$P$4986,16,FALSE)))))</f>
        <v/>
      </c>
      <c r="U191" s="38"/>
      <c r="V191" s="259" t="str">
        <f ca="1">IF(D191="","",IF(OFFSET(D191,-2,0)=D191,"",VLOOKUP(D191,契約台帳!$A$3:$R$4986,18,FALSE)))</f>
        <v/>
      </c>
      <c r="W191" s="256" t="str">
        <f>IF(D191="","",IF(T191="","",IF(OR(J191="巻足し",J191="巻返しリード付け"),"",IF(J191="巻返し",VLOOKUP(F191&amp;K191&amp;M191,製品マスタ!$M$5:$AD$4999,18,FALSE),IF(OR(J191="リード付け",J191="巻返しリード付け"),"原反コア",IF(J191="スリット",VLOOKUP(F191&amp;K191&amp;R191,製品マスタ!$N$5:$AD$4999,17,FALSE),""))))))</f>
        <v/>
      </c>
      <c r="X191" s="256" t="str">
        <f>IF(D191="","",IF(T191="","",IF(J191="巻足し","",IF(J191="巻返し",VLOOKUP(F191&amp;K191&amp;M191,製品マスタ!$M$5:$AE$4999,19,FALSE),IF(OR(J191="リード付け",J191="巻返しリード付け"),"",IF(J191="スリット",VLOOKUP(F191&amp;K191&amp;R191,製品マスタ!$N$5:$AE$4999,18,FALSE),""))))))</f>
        <v/>
      </c>
      <c r="Y191" s="256" t="str">
        <f>IF(D191="","",IF(T191="","",VLOOKUP(D191,契約台帳!$A$3:$Q$4986,17,FALSE)))</f>
        <v/>
      </c>
      <c r="Z191" s="256" t="str">
        <f>IF(D191="","",IF(T191="","",VLOOKUP(D191,契約台帳!$A$3:$E$4986,5,FALSE)))</f>
        <v/>
      </c>
      <c r="AA191" s="54"/>
      <c r="AB191" s="200" t="str">
        <f>IFERROR((VLOOKUP(F191&amp;K191&amp;M191,製品マスタ!$M$5:$AM$4999,27,FALSE)),"")</f>
        <v/>
      </c>
      <c r="AC191" s="31"/>
      <c r="AD191" s="184"/>
      <c r="AE191" s="51"/>
      <c r="AF191" s="52"/>
      <c r="AG191" s="41"/>
      <c r="AH191" s="45"/>
      <c r="AI191" s="28"/>
      <c r="AJ191" s="28"/>
      <c r="AK191" s="28"/>
      <c r="AL191" s="28"/>
      <c r="AM191" s="12"/>
      <c r="AN191" s="12"/>
      <c r="AO191" s="12"/>
      <c r="AP191" s="12"/>
      <c r="AQ191" s="12"/>
      <c r="AR191" s="13"/>
      <c r="AS191" s="14"/>
    </row>
    <row r="192" spans="1:45" s="16" customFormat="1" ht="30.95" hidden="1" customHeight="1" x14ac:dyDescent="0.2">
      <c r="A192" s="35" t="s">
        <v>849</v>
      </c>
      <c r="B192" s="36" t="s">
        <v>838</v>
      </c>
      <c r="C192" s="43"/>
      <c r="D192" s="29">
        <v>3697659</v>
      </c>
      <c r="E192" s="29">
        <v>4161801</v>
      </c>
      <c r="F192" s="255" t="str">
        <f>IF(D192="","",VLOOKUP(D192,契約台帳!$A$3:$K$4986,6,FALSE)&amp;VLOOKUP(D192,契約台帳!$A$3:$K$4986,7,FALSE)&amp;VLOOKUP(D192,契約台帳!$A$3:$K$4986,8,FALSE)&amp;VLOOKUP(D192,契約台帳!$A$3:$K$4986,9,FALSE)&amp;VLOOKUP(D192,契約台帳!$A$3:$K$4986,11,FALSE))</f>
        <v>3SNMLBMNGKBF</v>
      </c>
      <c r="G192" s="256" t="str">
        <f>IF(D192="","",VLOOKUP(F192,製品マスタ!$G$5:$H$4999,2,FALSE))</f>
        <v>S</v>
      </c>
      <c r="H192" s="256" t="str">
        <f>IF(D192="","",VLOOKUP(F192,製品マスタ!$G$5:$K$4999,5,FALSE))</f>
        <v>MNGKBF</v>
      </c>
      <c r="I192" s="200" t="str">
        <f>IF(D192="","",VLOOKUP(F192,製品マスタ!$G$5:$L$4999,6,FALSE))</f>
        <v>メタルミー　ネーマー銀消　Ｂ</v>
      </c>
      <c r="J192" s="203" t="s">
        <v>574</v>
      </c>
      <c r="K192" s="200">
        <f>IF(D192="","",VLOOKUP(D192,契約台帳!$A$3:$L$4986,12,FALSE))</f>
        <v>50</v>
      </c>
      <c r="L192" s="200" t="str">
        <f>IF(D192="","",INDEX(製品マスタ!$Q$5:$Q$4999,MATCH('S4'!F192&amp;'S4'!K192,製品マスタ!$AO$5:$AO$4999,0)))</f>
        <v>MAT</v>
      </c>
      <c r="M192" s="37">
        <v>1170</v>
      </c>
      <c r="N192" s="37">
        <v>4000</v>
      </c>
      <c r="O192" s="153">
        <v>1</v>
      </c>
      <c r="P192" s="45">
        <v>1</v>
      </c>
      <c r="Q192" s="206">
        <v>44960</v>
      </c>
      <c r="R192" s="257">
        <f ca="1">IF(D192="","",IF(OFFSET(D192,-1,0)&lt;&gt;"","",IF(OR(J192="リード付け",J192="巻足し",J192="巻返しリード付け"),M192,VLOOKUP(D192,契約台帳!$A$3:$N$4986,14,FALSE))))</f>
        <v>1170</v>
      </c>
      <c r="S192" s="258">
        <f ca="1">IF(D192="","",IF(OFFSET(D192,-1,0)&lt;&gt;"","",IF(OR(J192="リード付け",J192="巻足し",J192="巻返しリード付け"),M192,VLOOKUP(D192,契約台帳!$A$3:$O$4986,15,FALSE))))</f>
        <v>1170</v>
      </c>
      <c r="T192" s="258">
        <f ca="1">IF(D192="","",IF(J192="リード付け",N192,IF(J192="巻返しリード付け",N192,IF(J192="巻足し",N192*P192+OFFSET(N192,1,0)*OFFSET(P192,1,0),VLOOKUP(D192,契約台帳!$A$3:$P$4986,16,FALSE)))))</f>
        <v>4000</v>
      </c>
      <c r="U192" s="38">
        <v>1</v>
      </c>
      <c r="V192" s="259">
        <f ca="1">IF(D192="","",IF(OFFSET(D192,-2,0)=D192,"",VLOOKUP(D192,契約台帳!$A$3:$R$4986,18,FALSE)))</f>
        <v>1</v>
      </c>
      <c r="W192" s="256" t="str">
        <f ca="1">IF(D192="","",IF(T192="","",IF(OR(J192="巻足し",J192="巻返しリード付け"),"",IF(J192="巻返し",VLOOKUP(F192&amp;K192&amp;M192,製品マスタ!$M$5:$AD$4999,18,FALSE),IF(OR(J192="リード付け",J192="巻返しリード付け"),"原反コア",IF(J192="スリット",VLOOKUP(F192&amp;K192&amp;R192,製品マスタ!$N$5:$AD$4999,17,FALSE),""))))))</f>
        <v/>
      </c>
      <c r="X192" s="256" t="str">
        <f ca="1">IF(D192="","",IF(T192="","",IF(J192="巻足し","",IF(J192="巻返し",VLOOKUP(F192&amp;K192&amp;M192,製品マスタ!$M$5:$AE$4999,19,FALSE),IF(OR(J192="リード付け",J192="巻返しリード付け"),"",IF(J192="スリット",VLOOKUP(F192&amp;K192&amp;R192,製品マスタ!$N$5:$AE$4999,18,FALSE),""))))))</f>
        <v/>
      </c>
      <c r="Y192" s="256">
        <f ca="1">IF(D192="","",IF(T192="","",VLOOKUP(D192,契約台帳!$A$3:$Q$4986,17,FALSE)))</f>
        <v>2</v>
      </c>
      <c r="Z192" s="256" t="str">
        <f ca="1">IF(D192="","",IF(T192="","",VLOOKUP(D192,契約台帳!$A$3:$E$4986,5,FALSE)))</f>
        <v>リンテック㈱</v>
      </c>
      <c r="AA192" s="54"/>
      <c r="AB192" s="200">
        <f>IFERROR((VLOOKUP(F192&amp;K192&amp;M192,製品マスタ!$M$5:$AM$4999,27,FALSE)),"")</f>
        <v>0</v>
      </c>
      <c r="AC192" s="31"/>
      <c r="AD192" s="184"/>
      <c r="AE192" s="51"/>
      <c r="AF192" s="52"/>
      <c r="AG192" s="41"/>
      <c r="AH192" s="45"/>
      <c r="AI192" s="28"/>
      <c r="AJ192" s="28"/>
      <c r="AK192" s="28"/>
      <c r="AL192" s="28"/>
      <c r="AM192" s="12"/>
      <c r="AN192" s="12"/>
      <c r="AO192" s="12"/>
      <c r="AP192" s="12"/>
      <c r="AQ192" s="12"/>
      <c r="AR192" s="13"/>
      <c r="AS192" s="14"/>
    </row>
    <row r="193" spans="1:45" s="16" customFormat="1" ht="30.95" hidden="1" customHeight="1" x14ac:dyDescent="0.2">
      <c r="A193" s="35"/>
      <c r="B193" s="36"/>
      <c r="C193" s="43"/>
      <c r="D193" s="29"/>
      <c r="E193" s="29"/>
      <c r="F193" s="255" t="str">
        <f>IF(D193="","",VLOOKUP(D193,契約台帳!$A$3:$K$4986,6,FALSE)&amp;VLOOKUP(D193,契約台帳!$A$3:$K$4986,7,FALSE)&amp;VLOOKUP(D193,契約台帳!$A$3:$K$4986,8,FALSE)&amp;VLOOKUP(D193,契約台帳!$A$3:$K$4986,9,FALSE)&amp;VLOOKUP(D193,契約台帳!$A$3:$K$4986,11,FALSE))</f>
        <v/>
      </c>
      <c r="G193" s="256" t="str">
        <f>IF(D193="","",VLOOKUP(F193,製品マスタ!$G$5:$H$4999,2,FALSE))</f>
        <v/>
      </c>
      <c r="H193" s="256" t="str">
        <f>IF(D193="","",VLOOKUP(F193,製品マスタ!$G$5:$K$4999,5,FALSE))</f>
        <v/>
      </c>
      <c r="I193" s="200" t="str">
        <f>IF(D193="","",VLOOKUP(F193,製品マスタ!$G$5:$L$4999,6,FALSE))</f>
        <v/>
      </c>
      <c r="J193" s="203"/>
      <c r="K193" s="200" t="str">
        <f>IF(D193="","",VLOOKUP(D193,契約台帳!$A$3:$L$4986,12,FALSE))</f>
        <v/>
      </c>
      <c r="L193" s="200" t="str">
        <f>IF(D193="","",INDEX(製品マスタ!$Q$5:$Q$4999,MATCH('S4'!F193&amp;'S4'!K193,製品マスタ!$AO$5:$AO$4999,0)))</f>
        <v/>
      </c>
      <c r="M193" s="37"/>
      <c r="N193" s="37"/>
      <c r="O193" s="153"/>
      <c r="P193" s="45"/>
      <c r="Q193" s="54"/>
      <c r="R193" s="257" t="str">
        <f ca="1">IF(D193="","",IF(OFFSET(D193,-1,0)&lt;&gt;"","",IF(OR(J193="リード付け",J193="巻足し",J193="巻返しリード付け"),M193,VLOOKUP(D193,契約台帳!$A$3:$N$4986,14,FALSE))))</f>
        <v/>
      </c>
      <c r="S193" s="258" t="str">
        <f ca="1">IF(D193="","",IF(OFFSET(D193,-1,0)&lt;&gt;"","",IF(OR(J193="リード付け",J193="巻足し",J193="巻返しリード付け"),M193,VLOOKUP(D193,契約台帳!$A$3:$O$4986,15,FALSE))))</f>
        <v/>
      </c>
      <c r="T193" s="258" t="str">
        <f ca="1">IF(D193="","",IF(J193="リード付け",N193,IF(J193="巻返しリード付け",N193,IF(J193="巻足し",N193*P193+OFFSET(N193,1,0)*OFFSET(P193,1,0),VLOOKUP(D193,契約台帳!$A$3:$P$4986,16,FALSE)))))</f>
        <v/>
      </c>
      <c r="U193" s="38"/>
      <c r="V193" s="259" t="str">
        <f ca="1">IF(D193="","",IF(OFFSET(D193,-2,0)=D193,"",VLOOKUP(D193,契約台帳!$A$3:$R$4986,18,FALSE)))</f>
        <v/>
      </c>
      <c r="W193" s="256" t="str">
        <f>IF(D193="","",IF(T193="","",IF(OR(J193="巻足し",J193="巻返しリード付け"),"",IF(J193="巻返し",VLOOKUP(F193&amp;K193&amp;M193,製品マスタ!$M$5:$AD$4999,18,FALSE),IF(OR(J193="リード付け",J193="巻返しリード付け"),"原反コア",IF(J193="スリット",VLOOKUP(F193&amp;K193&amp;R193,製品マスタ!$N$5:$AD$4999,17,FALSE),""))))))</f>
        <v/>
      </c>
      <c r="X193" s="256" t="str">
        <f>IF(D193="","",IF(T193="","",IF(J193="巻足し","",IF(J193="巻返し",VLOOKUP(F193&amp;K193&amp;M193,製品マスタ!$M$5:$AE$4999,19,FALSE),IF(OR(J193="リード付け",J193="巻返しリード付け"),"",IF(J193="スリット",VLOOKUP(F193&amp;K193&amp;R193,製品マスタ!$N$5:$AE$4999,18,FALSE),""))))))</f>
        <v/>
      </c>
      <c r="Y193" s="256" t="str">
        <f>IF(D193="","",IF(T193="","",VLOOKUP(D193,契約台帳!$A$3:$Q$4986,17,FALSE)))</f>
        <v/>
      </c>
      <c r="Z193" s="256" t="str">
        <f>IF(D193="","",IF(T193="","",VLOOKUP(D193,契約台帳!$A$3:$E$4986,5,FALSE)))</f>
        <v/>
      </c>
      <c r="AA193" s="54"/>
      <c r="AB193" s="200" t="str">
        <f>IFERROR((VLOOKUP(F193&amp;K193&amp;M193,製品マスタ!$M$5:$AM$4999,27,FALSE)),"")</f>
        <v/>
      </c>
      <c r="AC193" s="31"/>
      <c r="AD193" s="184"/>
      <c r="AE193" s="51"/>
      <c r="AF193" s="52"/>
      <c r="AG193" s="41"/>
      <c r="AH193" s="45"/>
      <c r="AI193" s="28"/>
      <c r="AJ193" s="28"/>
      <c r="AK193" s="28"/>
      <c r="AL193" s="28"/>
      <c r="AM193" s="12"/>
      <c r="AN193" s="12"/>
      <c r="AO193" s="12"/>
      <c r="AP193" s="12"/>
      <c r="AQ193" s="12"/>
      <c r="AR193" s="13"/>
      <c r="AS193" s="14"/>
    </row>
    <row r="194" spans="1:45" s="16" customFormat="1" ht="30.95" hidden="1" customHeight="1" x14ac:dyDescent="0.2">
      <c r="A194" s="35"/>
      <c r="B194" s="36"/>
      <c r="C194" s="43"/>
      <c r="D194" s="29">
        <v>3697657</v>
      </c>
      <c r="E194" s="29">
        <v>4161802</v>
      </c>
      <c r="F194" s="255" t="str">
        <f>IF(D194="","",VLOOKUP(D194,契約台帳!$A$3:$K$4986,6,FALSE)&amp;VLOOKUP(D194,契約台帳!$A$3:$K$4986,7,FALSE)&amp;VLOOKUP(D194,契約台帳!$A$3:$K$4986,8,FALSE)&amp;VLOOKUP(D194,契約台帳!$A$3:$K$4986,9,FALSE)&amp;VLOOKUP(D194,契約台帳!$A$3:$K$4986,11,FALSE))</f>
        <v>3SYMLBMNGKKBF</v>
      </c>
      <c r="G194" s="256" t="str">
        <f>IF(D194="","",VLOOKUP(F194,製品マスタ!$G$5:$H$4999,2,FALSE))</f>
        <v>S</v>
      </c>
      <c r="H194" s="256" t="str">
        <f>IF(D194="","",VLOOKUP(F194,製品マスタ!$G$5:$K$4999,5,FALSE))</f>
        <v>MNGKKBF</v>
      </c>
      <c r="I194" s="200" t="str">
        <f>IF(D194="","",VLOOKUP(F194,製品マスタ!$G$5:$L$4999,6,FALSE))</f>
        <v>メタルミー　ネーマー銀消改　Ｂ</v>
      </c>
      <c r="J194" s="203" t="s">
        <v>469</v>
      </c>
      <c r="K194" s="200">
        <f>IF(D194="","",VLOOKUP(D194,契約台帳!$A$3:$L$4986,12,FALSE))</f>
        <v>25</v>
      </c>
      <c r="L194" s="200" t="str">
        <f>IF(D194="","",INDEX(製品マスタ!$Q$5:$Q$4999,MATCH('S4'!F194&amp;'S4'!K194,製品マスタ!$AO$5:$AO$4999,0)))</f>
        <v>FMATS99</v>
      </c>
      <c r="M194" s="37">
        <v>1120</v>
      </c>
      <c r="N194" s="37">
        <v>4000</v>
      </c>
      <c r="O194" s="153">
        <v>4</v>
      </c>
      <c r="P194" s="45">
        <v>2</v>
      </c>
      <c r="Q194" s="206">
        <v>44956</v>
      </c>
      <c r="R194" s="257">
        <f ca="1">IF(D194="","",IF(OFFSET(D194,-1,0)&lt;&gt;"","",IF(OR(J194="リード付け",J194="巻足し",J194="巻返しリード付け"),M194,VLOOKUP(D194,契約台帳!$A$3:$N$4986,14,FALSE))))</f>
        <v>1120</v>
      </c>
      <c r="S194" s="258">
        <f ca="1">IF(D194="","",IF(OFFSET(D194,-1,0)&lt;&gt;"","",IF(OR(J194="リード付け",J194="巻足し",J194="巻返しリード付け"),M194,VLOOKUP(D194,契約台帳!$A$3:$O$4986,15,FALSE))))</f>
        <v>1120</v>
      </c>
      <c r="T194" s="258">
        <f ca="1">IF(D194="","",IF(J194="リード付け",N194,IF(J194="巻返しリード付け",N194,IF(J194="巻足し",N194*P194+OFFSET(N194,1,0)*OFFSET(P194,1,0),VLOOKUP(D194,契約台帳!$A$3:$P$4986,16,FALSE)))))</f>
        <v>8000</v>
      </c>
      <c r="U194" s="38">
        <v>2</v>
      </c>
      <c r="V194" s="259">
        <f ca="1">IF(D194="","",IF(OFFSET(D194,-2,0)=D194,"",VLOOKUP(D194,契約台帳!$A$3:$R$4986,18,FALSE)))</f>
        <v>4</v>
      </c>
      <c r="W194" s="256" t="str">
        <f ca="1">IF(D194="","",IF(T194="","",IF(OR(J194="巻足し",J194="巻返しリード付け"),"",IF(J194="巻返し",VLOOKUP(F194&amp;K194&amp;M194,製品マスタ!$M$5:$AD$4999,18,FALSE),IF(OR(J194="リード付け",J194="巻返しリード付け"),"原反コア",IF(J194="スリット",VLOOKUP(F194&amp;K194&amp;R194,製品マスタ!$N$5:$AD$4999,17,FALSE),""))))))</f>
        <v/>
      </c>
      <c r="X194" s="256" t="str">
        <f ca="1">IF(D194="","",IF(T194="","",IF(J194="巻足し","",IF(J194="巻返し",VLOOKUP(F194&amp;K194&amp;M194,製品マスタ!$M$5:$AE$4999,19,FALSE),IF(OR(J194="リード付け",J194="巻返しリード付け"),"",IF(J194="スリット",VLOOKUP(F194&amp;K194&amp;R194,製品マスタ!$N$5:$AE$4999,18,FALSE),""))))))</f>
        <v/>
      </c>
      <c r="Y194" s="256">
        <f ca="1">IF(D194="","",IF(T194="","",VLOOKUP(D194,契約台帳!$A$3:$Q$4986,17,FALSE)))</f>
        <v>2</v>
      </c>
      <c r="Z194" s="256" t="str">
        <f ca="1">IF(D194="","",IF(T194="","",VLOOKUP(D194,契約台帳!$A$3:$E$4986,5,FALSE)))</f>
        <v>リンテック㈱</v>
      </c>
      <c r="AA194" s="54"/>
      <c r="AB194" s="200">
        <f>IFERROR((VLOOKUP(F194&amp;K194&amp;M194,製品マスタ!$M$5:$AM$4999,27,FALSE)),"")</f>
        <v>0</v>
      </c>
      <c r="AC194" s="31"/>
      <c r="AD194" s="184"/>
      <c r="AE194" s="51"/>
      <c r="AF194" s="52"/>
      <c r="AG194" s="41"/>
      <c r="AH194" s="45"/>
      <c r="AI194" s="28"/>
      <c r="AJ194" s="28"/>
      <c r="AK194" s="28"/>
      <c r="AL194" s="28"/>
      <c r="AM194" s="12"/>
      <c r="AN194" s="12"/>
      <c r="AO194" s="12"/>
      <c r="AP194" s="12"/>
      <c r="AQ194" s="12"/>
      <c r="AR194" s="13"/>
      <c r="AS194" s="14"/>
    </row>
    <row r="195" spans="1:45" s="16" customFormat="1" ht="30.95" hidden="1" customHeight="1" x14ac:dyDescent="0.2">
      <c r="A195" s="35"/>
      <c r="B195" s="36"/>
      <c r="C195" s="43"/>
      <c r="D195" s="29"/>
      <c r="E195" s="29"/>
      <c r="F195" s="255" t="str">
        <f>IF(D195="","",VLOOKUP(D195,契約台帳!$A$3:$K$4986,6,FALSE)&amp;VLOOKUP(D195,契約台帳!$A$3:$K$4986,7,FALSE)&amp;VLOOKUP(D195,契約台帳!$A$3:$K$4986,8,FALSE)&amp;VLOOKUP(D195,契約台帳!$A$3:$K$4986,9,FALSE)&amp;VLOOKUP(D195,契約台帳!$A$3:$K$4986,11,FALSE))</f>
        <v/>
      </c>
      <c r="G195" s="256" t="str">
        <f>IF(D195="","",VLOOKUP(F195,製品マスタ!$G$5:$H$4999,2,FALSE))</f>
        <v/>
      </c>
      <c r="H195" s="256" t="str">
        <f>IF(D195="","",VLOOKUP(F195,製品マスタ!$G$5:$K$4999,5,FALSE))</f>
        <v/>
      </c>
      <c r="I195" s="200" t="str">
        <f>IF(D195="","",VLOOKUP(F195,製品マスタ!$G$5:$L$4999,6,FALSE))</f>
        <v/>
      </c>
      <c r="J195" s="203"/>
      <c r="K195" s="200" t="str">
        <f>IF(D195="","",VLOOKUP(D195,契約台帳!$A$3:$L$4986,12,FALSE))</f>
        <v/>
      </c>
      <c r="L195" s="200" t="str">
        <f>IF(D195="","",INDEX(製品マスタ!$Q$5:$Q$4999,MATCH('S4'!F195&amp;'S4'!K195,製品マスタ!$AO$5:$AO$4999,0)))</f>
        <v/>
      </c>
      <c r="M195" s="37"/>
      <c r="N195" s="37"/>
      <c r="O195" s="153"/>
      <c r="P195" s="45"/>
      <c r="Q195" s="54"/>
      <c r="R195" s="257" t="str">
        <f ca="1">IF(D195="","",IF(OFFSET(D195,-1,0)&lt;&gt;"","",IF(OR(J195="リード付け",J195="巻足し",J195="巻返しリード付け"),M195,VLOOKUP(D195,契約台帳!$A$3:$N$4986,14,FALSE))))</f>
        <v/>
      </c>
      <c r="S195" s="258" t="str">
        <f ca="1">IF(D195="","",IF(OFFSET(D195,-1,0)&lt;&gt;"","",IF(OR(J195="リード付け",J195="巻足し",J195="巻返しリード付け"),M195,VLOOKUP(D195,契約台帳!$A$3:$O$4986,15,FALSE))))</f>
        <v/>
      </c>
      <c r="T195" s="258" t="str">
        <f ca="1">IF(D195="","",IF(J195="リード付け",N195,IF(J195="巻返しリード付け",N195,IF(J195="巻足し",N195*P195+OFFSET(N195,1,0)*OFFSET(P195,1,0),VLOOKUP(D195,契約台帳!$A$3:$P$4986,16,FALSE)))))</f>
        <v/>
      </c>
      <c r="U195" s="38"/>
      <c r="V195" s="259" t="str">
        <f ca="1">IF(D195="","",IF(OFFSET(D195,-2,0)=D195,"",VLOOKUP(D195,契約台帳!$A$3:$R$4986,18,FALSE)))</f>
        <v/>
      </c>
      <c r="W195" s="256" t="str">
        <f>IF(D195="","",IF(T195="","",IF(OR(J195="巻足し",J195="巻返しリード付け"),"",IF(J195="巻返し",VLOOKUP(F195&amp;K195&amp;M195,製品マスタ!$M$5:$AD$4999,18,FALSE),IF(OR(J195="リード付け",J195="巻返しリード付け"),"原反コア",IF(J195="スリット",VLOOKUP(F195&amp;K195&amp;R195,製品マスタ!$N$5:$AD$4999,17,FALSE),""))))))</f>
        <v/>
      </c>
      <c r="X195" s="256" t="str">
        <f>IF(D195="","",IF(T195="","",IF(J195="巻足し","",IF(J195="巻返し",VLOOKUP(F195&amp;K195&amp;M195,製品マスタ!$M$5:$AE$4999,19,FALSE),IF(OR(J195="リード付け",J195="巻返しリード付け"),"",IF(J195="スリット",VLOOKUP(F195&amp;K195&amp;R195,製品マスタ!$N$5:$AE$4999,18,FALSE),""))))))</f>
        <v/>
      </c>
      <c r="Y195" s="256" t="str">
        <f>IF(D195="","",IF(T195="","",VLOOKUP(D195,契約台帳!$A$3:$Q$4986,17,FALSE)))</f>
        <v/>
      </c>
      <c r="Z195" s="256" t="str">
        <f>IF(D195="","",IF(T195="","",VLOOKUP(D195,契約台帳!$A$3:$E$4986,5,FALSE)))</f>
        <v/>
      </c>
      <c r="AA195" s="54"/>
      <c r="AB195" s="200" t="str">
        <f>IFERROR((VLOOKUP(F195&amp;K195&amp;M195,製品マスタ!$M$5:$AM$4999,27,FALSE)),"")</f>
        <v/>
      </c>
      <c r="AC195" s="31"/>
      <c r="AD195" s="184"/>
      <c r="AE195" s="51"/>
      <c r="AF195" s="52"/>
      <c r="AG195" s="41"/>
      <c r="AH195" s="45"/>
      <c r="AI195" s="28"/>
      <c r="AJ195" s="28"/>
      <c r="AK195" s="28"/>
      <c r="AL195" s="28"/>
      <c r="AM195" s="12"/>
      <c r="AN195" s="12"/>
      <c r="AO195" s="12"/>
      <c r="AP195" s="12"/>
      <c r="AQ195" s="12"/>
      <c r="AR195" s="13"/>
      <c r="AS195" s="14"/>
    </row>
    <row r="196" spans="1:45" s="16" customFormat="1" ht="30.95" hidden="1" customHeight="1" x14ac:dyDescent="0.2">
      <c r="A196" s="35"/>
      <c r="B196" s="36"/>
      <c r="C196" s="43"/>
      <c r="D196" s="29">
        <v>3697683</v>
      </c>
      <c r="E196" s="29">
        <v>4161814</v>
      </c>
      <c r="F196" s="255" t="str">
        <f>IF(D196="","",VLOOKUP(D196,契約台帳!$A$3:$K$4986,6,FALSE)&amp;VLOOKUP(D196,契約台帳!$A$3:$K$4986,7,FALSE)&amp;VLOOKUP(D196,契約台帳!$A$3:$K$4986,8,FALSE)&amp;VLOOKUP(D196,契約台帳!$A$3:$K$4986,9,FALSE)&amp;VLOOKUP(D196,契約台帳!$A$3:$K$4986,11,FALSE))</f>
        <v>3SYMLBMSNMBF</v>
      </c>
      <c r="G196" s="256" t="str">
        <f>IF(D196="","",VLOOKUP(F196,製品マスタ!$G$5:$H$4999,2,FALSE))</f>
        <v>S</v>
      </c>
      <c r="H196" s="256" t="str">
        <f>IF(D196="","",VLOOKUP(F196,製品マスタ!$G$5:$K$4999,5,FALSE))</f>
        <v>MSNMBF</v>
      </c>
      <c r="I196" s="200" t="str">
        <f>IF(D196="","",VLOOKUP(F196,製品マスタ!$G$5:$L$4999,6,FALSE))</f>
        <v>ＭＥＴＡＬＵＭＹ　ＳＩＬＶＥＲ　Ｎ－ＭＡＴＴＥ　Ｘ４４Ｍ　Ｂ</v>
      </c>
      <c r="J196" s="203" t="s">
        <v>832</v>
      </c>
      <c r="K196" s="200">
        <f>IF(D196="","",VLOOKUP(D196,契約台帳!$A$3:$L$4986,12,FALSE))</f>
        <v>50</v>
      </c>
      <c r="L196" s="200" t="str">
        <f>IF(D196="","",INDEX(製品マスタ!$Q$5:$Q$4999,MATCH('S4'!F196&amp;'S4'!K196,製品マスタ!$AO$5:$AO$4999,0)))</f>
        <v>X44</v>
      </c>
      <c r="M196" s="37">
        <v>1120</v>
      </c>
      <c r="N196" s="37">
        <v>4000</v>
      </c>
      <c r="O196" s="153">
        <v>3</v>
      </c>
      <c r="P196" s="45">
        <v>3</v>
      </c>
      <c r="Q196" s="206">
        <v>44958</v>
      </c>
      <c r="R196" s="257">
        <f ca="1">IF(D196="","",IF(OFFSET(D196,-1,0)&lt;&gt;"","",IF(OR(J196="リード付け",J196="巻足し",J196="巻返しリード付け"),M196,VLOOKUP(D196,契約台帳!$A$3:$N$4986,14,FALSE))))</f>
        <v>1120</v>
      </c>
      <c r="S196" s="258">
        <f ca="1">IF(D196="","",IF(OFFSET(D196,-1,0)&lt;&gt;"","",IF(OR(J196="リード付け",J196="巻足し",J196="巻返しリード付け"),M196,VLOOKUP(D196,契約台帳!$A$3:$O$4986,15,FALSE))))</f>
        <v>1120</v>
      </c>
      <c r="T196" s="258">
        <f ca="1">IF(D196="","",IF(J196="リード付け",N196,IF(J196="巻返しリード付け",N196,IF(J196="巻足し",N196*P196+OFFSET(N196,1,0)*OFFSET(P196,1,0),VLOOKUP(D196,契約台帳!$A$3:$P$4986,16,FALSE)))))</f>
        <v>12000</v>
      </c>
      <c r="U196" s="38">
        <v>1</v>
      </c>
      <c r="V196" s="259">
        <f ca="1">IF(D196="","",IF(OFFSET(D196,-2,0)=D196,"",VLOOKUP(D196,契約台帳!$A$3:$R$4986,18,FALSE)))</f>
        <v>4</v>
      </c>
      <c r="W196" s="256" t="str">
        <f ca="1">IF(D196="","",IF(T196="","",IF(OR(J196="巻足し",J196="巻返しリード付け"),"",IF(J196="巻返し",VLOOKUP(F196&amp;K196&amp;M196,製品マスタ!$M$5:$AD$4999,18,FALSE),IF(OR(J196="リード付け",J196="巻返しリード付け"),"原反コア",IF(J196="スリット",VLOOKUP(F196&amp;K196&amp;R196,製品マスタ!$N$5:$AD$4999,17,FALSE),""))))))</f>
        <v/>
      </c>
      <c r="X196" s="256" t="str">
        <f ca="1">IF(D196="","",IF(T196="","",IF(J196="巻足し","",IF(J196="巻返し",VLOOKUP(F196&amp;K196&amp;M196,製品マスタ!$M$5:$AE$4999,19,FALSE),IF(OR(J196="リード付け",J196="巻返しリード付け"),"",IF(J196="スリット",VLOOKUP(F196&amp;K196&amp;R196,製品マスタ!$N$5:$AE$4999,18,FALSE),""))))))</f>
        <v/>
      </c>
      <c r="Y196" s="256">
        <f ca="1">IF(D196="","",IF(T196="","",VLOOKUP(D196,契約台帳!$A$3:$Q$4986,17,FALSE)))</f>
        <v>2</v>
      </c>
      <c r="Z196" s="256" t="str">
        <f ca="1">IF(D196="","",IF(T196="","",VLOOKUP(D196,契約台帳!$A$3:$E$4986,5,FALSE)))</f>
        <v>リンテック㈱</v>
      </c>
      <c r="AA196" s="54"/>
      <c r="AB196" s="200">
        <f>IFERROR((VLOOKUP(F196&amp;K196&amp;M196,製品マスタ!$M$5:$AM$4999,27,FALSE)),"")</f>
        <v>0</v>
      </c>
      <c r="AC196" s="31"/>
      <c r="AD196" s="184"/>
      <c r="AE196" s="51"/>
      <c r="AF196" s="52"/>
      <c r="AG196" s="41"/>
      <c r="AH196" s="45"/>
      <c r="AI196" s="28"/>
      <c r="AJ196" s="28"/>
      <c r="AK196" s="28"/>
      <c r="AL196" s="28"/>
      <c r="AM196" s="12"/>
      <c r="AN196" s="12"/>
      <c r="AO196" s="12"/>
      <c r="AP196" s="12"/>
      <c r="AQ196" s="12"/>
      <c r="AR196" s="13"/>
      <c r="AS196" s="14"/>
    </row>
    <row r="197" spans="1:45" s="16" customFormat="1" ht="30.95" hidden="1" customHeight="1" x14ac:dyDescent="0.2">
      <c r="A197" s="35"/>
      <c r="B197" s="36"/>
      <c r="C197" s="43"/>
      <c r="D197" s="29"/>
      <c r="E197" s="29"/>
      <c r="F197" s="255" t="str">
        <f>IF(D197="","",VLOOKUP(D197,契約台帳!$A$3:$K$4986,6,FALSE)&amp;VLOOKUP(D197,契約台帳!$A$3:$K$4986,7,FALSE)&amp;VLOOKUP(D197,契約台帳!$A$3:$K$4986,8,FALSE)&amp;VLOOKUP(D197,契約台帳!$A$3:$K$4986,9,FALSE)&amp;VLOOKUP(D197,契約台帳!$A$3:$K$4986,11,FALSE))</f>
        <v/>
      </c>
      <c r="G197" s="256" t="str">
        <f>IF(D197="","",VLOOKUP(F197,製品マスタ!$G$5:$H$4999,2,FALSE))</f>
        <v/>
      </c>
      <c r="H197" s="256" t="str">
        <f>IF(D197="","",VLOOKUP(F197,製品マスタ!$G$5:$K$4999,5,FALSE))</f>
        <v/>
      </c>
      <c r="I197" s="200" t="str">
        <f>IF(D197="","",VLOOKUP(F197,製品マスタ!$G$5:$L$4999,6,FALSE))</f>
        <v/>
      </c>
      <c r="J197" s="203"/>
      <c r="K197" s="200" t="str">
        <f>IF(D197="","",VLOOKUP(D197,契約台帳!$A$3:$L$4986,12,FALSE))</f>
        <v/>
      </c>
      <c r="L197" s="200" t="str">
        <f>IF(D197="","",INDEX(製品マスタ!$Q$5:$Q$4999,MATCH('S4'!F197&amp;'S4'!K197,製品マスタ!$AO$5:$AO$4999,0)))</f>
        <v/>
      </c>
      <c r="M197" s="37"/>
      <c r="N197" s="37"/>
      <c r="O197" s="153"/>
      <c r="P197" s="45"/>
      <c r="Q197" s="54"/>
      <c r="R197" s="257" t="str">
        <f ca="1">IF(D197="","",IF(OFFSET(D197,-1,0)&lt;&gt;"","",IF(OR(J197="リード付け",J197="巻足し",J197="巻返しリード付け"),M197,VLOOKUP(D197,契約台帳!$A$3:$N$4986,14,FALSE))))</f>
        <v/>
      </c>
      <c r="S197" s="258" t="str">
        <f ca="1">IF(D197="","",IF(OFFSET(D197,-1,0)&lt;&gt;"","",IF(OR(J197="リード付け",J197="巻足し",J197="巻返しリード付け"),M197,VLOOKUP(D197,契約台帳!$A$3:$O$4986,15,FALSE))))</f>
        <v/>
      </c>
      <c r="T197" s="258" t="str">
        <f ca="1">IF(D197="","",IF(J197="リード付け",N197,IF(J197="巻返しリード付け",N197,IF(J197="巻足し",N197*P197+OFFSET(N197,1,0)*OFFSET(P197,1,0),VLOOKUP(D197,契約台帳!$A$3:$P$4986,16,FALSE)))))</f>
        <v/>
      </c>
      <c r="U197" s="38"/>
      <c r="V197" s="259" t="str">
        <f ca="1">IF(D197="","",IF(OFFSET(D197,-2,0)=D197,"",VLOOKUP(D197,契約台帳!$A$3:$R$4986,18,FALSE)))</f>
        <v/>
      </c>
      <c r="W197" s="256" t="str">
        <f>IF(D197="","",IF(T197="","",IF(OR(J197="巻足し",J197="巻返しリード付け"),"",IF(J197="巻返し",VLOOKUP(F197&amp;K197&amp;M197,製品マスタ!$M$5:$AD$4999,18,FALSE),IF(OR(J197="リード付け",J197="巻返しリード付け"),"原反コア",IF(J197="スリット",VLOOKUP(F197&amp;K197&amp;R197,製品マスタ!$N$5:$AD$4999,17,FALSE),""))))))</f>
        <v/>
      </c>
      <c r="X197" s="256" t="str">
        <f>IF(D197="","",IF(T197="","",IF(J197="巻足し","",IF(J197="巻返し",VLOOKUP(F197&amp;K197&amp;M197,製品マスタ!$M$5:$AE$4999,19,FALSE),IF(OR(J197="リード付け",J197="巻返しリード付け"),"",IF(J197="スリット",VLOOKUP(F197&amp;K197&amp;R197,製品マスタ!$N$5:$AE$4999,18,FALSE),""))))))</f>
        <v/>
      </c>
      <c r="Y197" s="256" t="str">
        <f>IF(D197="","",IF(T197="","",VLOOKUP(D197,契約台帳!$A$3:$Q$4986,17,FALSE)))</f>
        <v/>
      </c>
      <c r="Z197" s="256" t="str">
        <f>IF(D197="","",IF(T197="","",VLOOKUP(D197,契約台帳!$A$3:$E$4986,5,FALSE)))</f>
        <v/>
      </c>
      <c r="AA197" s="54"/>
      <c r="AB197" s="200" t="str">
        <f>IFERROR((VLOOKUP(F197&amp;K197&amp;M197,製品マスタ!$M$5:$AM$4999,27,FALSE)),"")</f>
        <v/>
      </c>
      <c r="AC197" s="31"/>
      <c r="AD197" s="184"/>
      <c r="AE197" s="51"/>
      <c r="AF197" s="52"/>
      <c r="AG197" s="41"/>
      <c r="AH197" s="45"/>
      <c r="AI197" s="28"/>
      <c r="AJ197" s="28"/>
      <c r="AK197" s="28"/>
      <c r="AL197" s="28"/>
      <c r="AM197" s="12"/>
      <c r="AN197" s="12"/>
      <c r="AO197" s="12"/>
      <c r="AP197" s="12"/>
      <c r="AQ197" s="12"/>
      <c r="AR197" s="13"/>
      <c r="AS197" s="14"/>
    </row>
    <row r="198" spans="1:45" s="16" customFormat="1" ht="30.95" hidden="1" customHeight="1" x14ac:dyDescent="0.2">
      <c r="A198" s="35"/>
      <c r="B198" s="36"/>
      <c r="C198" s="43"/>
      <c r="D198" s="29">
        <v>3697683</v>
      </c>
      <c r="E198" s="29">
        <v>4161814</v>
      </c>
      <c r="F198" s="255" t="str">
        <f>IF(D198="","",VLOOKUP(D198,契約台帳!$A$3:$K$4986,6,FALSE)&amp;VLOOKUP(D198,契約台帳!$A$3:$K$4986,7,FALSE)&amp;VLOOKUP(D198,契約台帳!$A$3:$K$4986,8,FALSE)&amp;VLOOKUP(D198,契約台帳!$A$3:$K$4986,9,FALSE)&amp;VLOOKUP(D198,契約台帳!$A$3:$K$4986,11,FALSE))</f>
        <v>3SYMLBMSNMBF</v>
      </c>
      <c r="G198" s="256" t="str">
        <f>IF(D198="","",VLOOKUP(F198,製品マスタ!$G$5:$H$4999,2,FALSE))</f>
        <v>S</v>
      </c>
      <c r="H198" s="256" t="str">
        <f>IF(D198="","",VLOOKUP(F198,製品マスタ!$G$5:$K$4999,5,FALSE))</f>
        <v>MSNMBF</v>
      </c>
      <c r="I198" s="200" t="str">
        <f>IF(D198="","",VLOOKUP(F198,製品マスタ!$G$5:$L$4999,6,FALSE))</f>
        <v>ＭＥＴＡＬＵＭＹ　ＳＩＬＶＥＲ　Ｎ－ＭＡＴＴＥ　Ｘ４４Ｍ　Ｂ</v>
      </c>
      <c r="J198" s="203" t="s">
        <v>469</v>
      </c>
      <c r="K198" s="200">
        <f>IF(D198="","",VLOOKUP(D198,契約台帳!$A$3:$L$4986,12,FALSE))</f>
        <v>50</v>
      </c>
      <c r="L198" s="200" t="str">
        <f>IF(D198="","",INDEX(製品マスタ!$Q$5:$Q$4999,MATCH('S4'!F198&amp;'S4'!K198,製品マスタ!$AO$5:$AO$4999,0)))</f>
        <v>X44</v>
      </c>
      <c r="M198" s="37">
        <v>1120</v>
      </c>
      <c r="N198" s="37">
        <v>4000</v>
      </c>
      <c r="O198" s="153">
        <v>1</v>
      </c>
      <c r="P198" s="45">
        <v>3</v>
      </c>
      <c r="Q198" s="206">
        <v>44958</v>
      </c>
      <c r="R198" s="257">
        <f ca="1">IF(D198="","",IF(OFFSET(D198,-1,0)&lt;&gt;"","",IF(OR(J198="リード付け",J198="巻足し",J198="巻返しリード付け"),M198,VLOOKUP(D198,契約台帳!$A$3:$N$4986,14,FALSE))))</f>
        <v>1120</v>
      </c>
      <c r="S198" s="258">
        <f ca="1">IF(D198="","",IF(OFFSET(D198,-1,0)&lt;&gt;"","",IF(OR(J198="リード付け",J198="巻足し",J198="巻返しリード付け"),M198,VLOOKUP(D198,契約台帳!$A$3:$O$4986,15,FALSE))))</f>
        <v>1120</v>
      </c>
      <c r="T198" s="258">
        <f ca="1">IF(D198="","",IF(J198="リード付け",N198,IF(J198="巻返しリード付け",N198,IF(J198="巻足し",N198*P198+OFFSET(N198,1,0)*OFFSET(P198,1,0),VLOOKUP(D198,契約台帳!$A$3:$P$4986,16,FALSE)))))</f>
        <v>12000</v>
      </c>
      <c r="U198" s="38">
        <v>1</v>
      </c>
      <c r="V198" s="259" t="str">
        <f ca="1">IF(D198="","",IF(OFFSET(D198,-2,0)=D198,"",VLOOKUP(D198,契約台帳!$A$3:$R$4986,18,FALSE)))</f>
        <v/>
      </c>
      <c r="W198" s="256" t="str">
        <f ca="1">IF(D198="","",IF(T198="","",IF(OR(J198="巻足し",J198="巻返しリード付け"),"",IF(J198="巻返し",VLOOKUP(F198&amp;K198&amp;M198,製品マスタ!$M$5:$AD$4999,18,FALSE),IF(OR(J198="リード付け",J198="巻返しリード付け"),"原反コア",IF(J198="スリット",VLOOKUP(F198&amp;K198&amp;R198,製品マスタ!$N$5:$AD$4999,17,FALSE),""))))))</f>
        <v/>
      </c>
      <c r="X198" s="256" t="str">
        <f ca="1">IF(D198="","",IF(T198="","",IF(J198="巻足し","",IF(J198="巻返し",VLOOKUP(F198&amp;K198&amp;M198,製品マスタ!$M$5:$AE$4999,19,FALSE),IF(OR(J198="リード付け",J198="巻返しリード付け"),"",IF(J198="スリット",VLOOKUP(F198&amp;K198&amp;R198,製品マスタ!$N$5:$AE$4999,18,FALSE),""))))))</f>
        <v/>
      </c>
      <c r="Y198" s="256">
        <f ca="1">IF(D198="","",IF(T198="","",VLOOKUP(D198,契約台帳!$A$3:$Q$4986,17,FALSE)))</f>
        <v>2</v>
      </c>
      <c r="Z198" s="256" t="str">
        <f ca="1">IF(D198="","",IF(T198="","",VLOOKUP(D198,契約台帳!$A$3:$E$4986,5,FALSE)))</f>
        <v>リンテック㈱</v>
      </c>
      <c r="AA198" s="54"/>
      <c r="AB198" s="200">
        <f>IFERROR((VLOOKUP(F198&amp;K198&amp;M198,製品マスタ!$M$5:$AM$4999,27,FALSE)),"")</f>
        <v>0</v>
      </c>
      <c r="AC198" s="31"/>
      <c r="AD198" s="184"/>
      <c r="AE198" s="51"/>
      <c r="AF198" s="52"/>
      <c r="AG198" s="41"/>
      <c r="AH198" s="45"/>
      <c r="AI198" s="28"/>
      <c r="AJ198" s="28"/>
      <c r="AK198" s="28"/>
      <c r="AL198" s="28"/>
      <c r="AM198" s="12"/>
      <c r="AN198" s="12"/>
      <c r="AO198" s="12"/>
      <c r="AP198" s="12"/>
      <c r="AQ198" s="12"/>
      <c r="AR198" s="13"/>
      <c r="AS198" s="14"/>
    </row>
    <row r="199" spans="1:45" s="16" customFormat="1" ht="30.95" hidden="1" customHeight="1" x14ac:dyDescent="0.2">
      <c r="A199" s="35"/>
      <c r="B199" s="36"/>
      <c r="C199" s="43"/>
      <c r="D199" s="29">
        <v>3697684</v>
      </c>
      <c r="E199" s="29"/>
      <c r="F199" s="255" t="str">
        <f>IF(D199="","",VLOOKUP(D199,契約台帳!$A$3:$K$4986,6,FALSE)&amp;VLOOKUP(D199,契約台帳!$A$3:$K$4986,7,FALSE)&amp;VLOOKUP(D199,契約台帳!$A$3:$K$4986,8,FALSE)&amp;VLOOKUP(D199,契約台帳!$A$3:$K$4986,9,FALSE)&amp;VLOOKUP(D199,契約台帳!$A$3:$K$4986,11,FALSE))</f>
        <v>3SYMLBMSNMBF</v>
      </c>
      <c r="G199" s="256" t="str">
        <f>IF(D199="","",VLOOKUP(F199,製品マスタ!$G$5:$H$4999,2,FALSE))</f>
        <v>S</v>
      </c>
      <c r="H199" s="256" t="str">
        <f>IF(D199="","",VLOOKUP(F199,製品マスタ!$G$5:$K$4999,5,FALSE))</f>
        <v>MSNMBF</v>
      </c>
      <c r="I199" s="200" t="str">
        <f>IF(D199="","",VLOOKUP(F199,製品マスタ!$G$5:$L$4999,6,FALSE))</f>
        <v>ＭＥＴＡＬＵＭＹ　ＳＩＬＶＥＲ　Ｎ－ＭＡＴＴＥ　Ｘ４４Ｍ　Ｂ</v>
      </c>
      <c r="J199" s="203" t="s">
        <v>469</v>
      </c>
      <c r="K199" s="200">
        <f>IF(D199="","",VLOOKUP(D199,契約台帳!$A$3:$L$4986,12,FALSE))</f>
        <v>50</v>
      </c>
      <c r="L199" s="200" t="str">
        <f>IF(D199="","",INDEX(製品マスタ!$Q$5:$Q$4999,MATCH('S4'!F199&amp;'S4'!K199,製品マスタ!$AO$5:$AO$4999,0)))</f>
        <v>X44</v>
      </c>
      <c r="M199" s="37">
        <v>1120</v>
      </c>
      <c r="N199" s="37">
        <v>4000</v>
      </c>
      <c r="O199" s="153">
        <v>2</v>
      </c>
      <c r="P199" s="45"/>
      <c r="Q199" s="206">
        <v>44958</v>
      </c>
      <c r="R199" s="257" t="str">
        <f ca="1">IF(D199="","",IF(OFFSET(D199,-1,0)&lt;&gt;"","",IF(OR(J199="リード付け",J199="巻足し",J199="巻返しリード付け"),M199,VLOOKUP(D199,契約台帳!$A$3:$N$4986,14,FALSE))))</f>
        <v/>
      </c>
      <c r="S199" s="258" t="str">
        <f ca="1">IF(D199="","",IF(OFFSET(D199,-1,0)&lt;&gt;"","",IF(OR(J199="リード付け",J199="巻足し",J199="巻返しリード付け"),M199,VLOOKUP(D199,契約台帳!$A$3:$O$4986,15,FALSE))))</f>
        <v/>
      </c>
      <c r="T199" s="258"/>
      <c r="U199" s="38"/>
      <c r="V199" s="259">
        <f ca="1">IF(D199="","",IF(OFFSET(D199,-2,0)=D199,"",VLOOKUP(D199,契約台帳!$A$3:$R$4986,18,FALSE)))</f>
        <v>4</v>
      </c>
      <c r="W199" s="256" t="str">
        <f>IF(D199="","",IF(T199="","",IF(OR(J199="巻足し",J199="巻返しリード付け"),"",IF(J199="巻返し",VLOOKUP(F199&amp;K199&amp;M199,製品マスタ!$M$5:$AD$4999,18,FALSE),IF(OR(J199="リード付け",J199="巻返しリード付け"),"原反コア",IF(J199="スリット",VLOOKUP(F199&amp;K199&amp;R199,製品マスタ!$N$5:$AD$4999,17,FALSE),""))))))</f>
        <v/>
      </c>
      <c r="X199" s="256" t="str">
        <f>IF(D199="","",IF(T199="","",IF(J199="巻足し","",IF(J199="巻返し",VLOOKUP(F199&amp;K199&amp;M199,製品マスタ!$M$5:$AE$4999,19,FALSE),IF(OR(J199="リード付け",J199="巻返しリード付け"),"",IF(J199="スリット",VLOOKUP(F199&amp;K199&amp;R199,製品マスタ!$N$5:$AE$4999,18,FALSE),""))))))</f>
        <v/>
      </c>
      <c r="Y199" s="256" t="str">
        <f>IF(D199="","",IF(T199="","",VLOOKUP(D199,契約台帳!$A$3:$Q$4986,17,FALSE)))</f>
        <v/>
      </c>
      <c r="Z199" s="256" t="str">
        <f>IF(D199="","",IF(T199="","",VLOOKUP(D199,契約台帳!$A$3:$E$4986,5,FALSE)))</f>
        <v/>
      </c>
      <c r="AA199" s="54"/>
      <c r="AB199" s="200">
        <f>IFERROR((VLOOKUP(F199&amp;K199&amp;M199,製品マスタ!$M$5:$AM$4999,27,FALSE)),"")</f>
        <v>0</v>
      </c>
      <c r="AC199" s="31"/>
      <c r="AD199" s="184"/>
      <c r="AE199" s="51"/>
      <c r="AF199" s="52"/>
      <c r="AG199" s="41"/>
      <c r="AH199" s="45"/>
      <c r="AI199" s="28"/>
      <c r="AJ199" s="28"/>
      <c r="AK199" s="28"/>
      <c r="AL199" s="28"/>
      <c r="AM199" s="12"/>
      <c r="AN199" s="12"/>
      <c r="AO199" s="12"/>
      <c r="AP199" s="12"/>
      <c r="AQ199" s="12"/>
      <c r="AR199" s="13"/>
      <c r="AS199" s="14"/>
    </row>
    <row r="200" spans="1:45" s="16" customFormat="1" ht="30.95" hidden="1" customHeight="1" x14ac:dyDescent="0.2">
      <c r="A200" s="35"/>
      <c r="B200" s="36"/>
      <c r="C200" s="43"/>
      <c r="D200" s="29"/>
      <c r="E200" s="29"/>
      <c r="F200" s="255"/>
      <c r="G200" s="256"/>
      <c r="H200" s="256"/>
      <c r="I200" s="200"/>
      <c r="J200" s="203"/>
      <c r="K200" s="200"/>
      <c r="L200" s="200"/>
      <c r="M200" s="37"/>
      <c r="N200" s="37"/>
      <c r="O200" s="153"/>
      <c r="P200" s="45"/>
      <c r="Q200" s="54"/>
      <c r="R200" s="257"/>
      <c r="S200" s="258"/>
      <c r="T200" s="258"/>
      <c r="U200" s="38"/>
      <c r="V200" s="259"/>
      <c r="W200" s="256"/>
      <c r="X200" s="256"/>
      <c r="Y200" s="256"/>
      <c r="Z200" s="256"/>
      <c r="AA200" s="54"/>
      <c r="AB200" s="200"/>
      <c r="AC200" s="31"/>
      <c r="AD200" s="184"/>
      <c r="AE200" s="51"/>
      <c r="AF200" s="52"/>
      <c r="AG200" s="41"/>
      <c r="AH200" s="45"/>
      <c r="AI200" s="28"/>
      <c r="AJ200" s="28"/>
      <c r="AK200" s="28"/>
      <c r="AL200" s="28"/>
      <c r="AM200" s="12"/>
      <c r="AN200" s="12"/>
      <c r="AO200" s="12"/>
      <c r="AP200" s="12"/>
      <c r="AQ200" s="12"/>
      <c r="AR200" s="13"/>
      <c r="AS200" s="14"/>
    </row>
    <row r="201" spans="1:45" s="16" customFormat="1" ht="30.95" hidden="1" customHeight="1" x14ac:dyDescent="0.2">
      <c r="A201" s="35"/>
      <c r="B201" s="36"/>
      <c r="C201" s="43"/>
      <c r="D201" s="29">
        <v>3697684</v>
      </c>
      <c r="E201" s="29">
        <v>4161815</v>
      </c>
      <c r="F201" s="255" t="str">
        <f>IF(D201="","",VLOOKUP(D201,契約台帳!$A$3:$K$4986,6,FALSE)&amp;VLOOKUP(D201,契約台帳!$A$3:$K$4986,7,FALSE)&amp;VLOOKUP(D201,契約台帳!$A$3:$K$4986,8,FALSE)&amp;VLOOKUP(D201,契約台帳!$A$3:$K$4986,9,FALSE)&amp;VLOOKUP(D201,契約台帳!$A$3:$K$4986,11,FALSE))</f>
        <v>3SYMLBMSNMBF</v>
      </c>
      <c r="G201" s="256" t="str">
        <f>IF(D201="","",VLOOKUP(F201,製品マスタ!$G$5:$H$4999,2,FALSE))</f>
        <v>S</v>
      </c>
      <c r="H201" s="256" t="str">
        <f>IF(D201="","",VLOOKUP(F201,製品マスタ!$G$5:$K$4999,5,FALSE))</f>
        <v>MSNMBF</v>
      </c>
      <c r="I201" s="200" t="str">
        <f>IF(D201="","",VLOOKUP(F201,製品マスタ!$G$5:$L$4999,6,FALSE))</f>
        <v>ＭＥＴＡＬＵＭＹ　ＳＩＬＶＥＲ　Ｎ－ＭＡＴＴＥ　Ｘ４４Ｍ　Ｂ</v>
      </c>
      <c r="J201" s="203" t="s">
        <v>832</v>
      </c>
      <c r="K201" s="200">
        <f>IF(D201="","",VLOOKUP(D201,契約台帳!$A$3:$L$4986,12,FALSE))</f>
        <v>50</v>
      </c>
      <c r="L201" s="200" t="str">
        <f>IF(D201="","",INDEX(製品マスタ!$Q$5:$Q$4999,MATCH('S4'!F201&amp;'S4'!K201,製品マスタ!$AO$5:$AO$4999,0)))</f>
        <v>X44</v>
      </c>
      <c r="M201" s="37">
        <v>1120</v>
      </c>
      <c r="N201" s="37">
        <v>4000</v>
      </c>
      <c r="O201" s="153">
        <v>2</v>
      </c>
      <c r="P201" s="45">
        <v>2</v>
      </c>
      <c r="Q201" s="206">
        <v>44958</v>
      </c>
      <c r="R201" s="257">
        <f ca="1">IF(D201="","",IF(OFFSET(D201,-1,0)&lt;&gt;"","",IF(OR(J201="リード付け",J201="巻足し",J201="巻返しリード付け"),M201,VLOOKUP(D201,契約台帳!$A$3:$N$4986,14,FALSE))))</f>
        <v>1120</v>
      </c>
      <c r="S201" s="258">
        <f ca="1">IF(D201="","",IF(OFFSET(D201,-1,0)&lt;&gt;"","",IF(OR(J201="リード付け",J201="巻足し",J201="巻返しリード付け"),M201,VLOOKUP(D201,契約台帳!$A$3:$O$4986,15,FALSE))))</f>
        <v>1120</v>
      </c>
      <c r="T201" s="258">
        <f ca="1">IF(D201="","",IF(J201="リード付け",N201,IF(J201="巻返しリード付け",N201,IF(J201="巻足し",N201*P201+OFFSET(N201,1,0)*OFFSET(P201,1,0),VLOOKUP(D201,契約台帳!$A$3:$P$4986,16,FALSE)))))</f>
        <v>8000</v>
      </c>
      <c r="U201" s="38">
        <v>1</v>
      </c>
      <c r="V201" s="259" t="str">
        <f ca="1">IF(D201="","",IF(OFFSET(D201,-2,0)=D201,"",VLOOKUP(D201,契約台帳!$A$3:$R$4986,18,FALSE)))</f>
        <v/>
      </c>
      <c r="W201" s="256" t="str">
        <f ca="1">IF(D201="","",IF(T201="","",IF(OR(J201="巻足し",J201="巻返しリード付け"),"",IF(J201="巻返し",VLOOKUP(F201&amp;K201&amp;M201,製品マスタ!$M$5:$AD$4999,18,FALSE),IF(OR(J201="リード付け",J201="巻返しリード付け"),"原反コア",IF(J201="スリット",VLOOKUP(F201&amp;K201&amp;R201,製品マスタ!$N$5:$AD$4999,17,FALSE),""))))))</f>
        <v/>
      </c>
      <c r="X201" s="256" t="str">
        <f ca="1">IF(D201="","",IF(T201="","",IF(J201="巻足し","",IF(J201="巻返し",VLOOKUP(F201&amp;K201&amp;M201,製品マスタ!$M$5:$AE$4999,19,FALSE),IF(OR(J201="リード付け",J201="巻返しリード付け"),"",IF(J201="スリット",VLOOKUP(F201&amp;K201&amp;R201,製品マスタ!$N$5:$AE$4999,18,FALSE),""))))))</f>
        <v/>
      </c>
      <c r="Y201" s="256">
        <f ca="1">IF(D201="","",IF(T201="","",VLOOKUP(D201,契約台帳!$A$3:$Q$4986,17,FALSE)))</f>
        <v>2</v>
      </c>
      <c r="Z201" s="256" t="str">
        <f ca="1">IF(D201="","",IF(T201="","",VLOOKUP(D201,契約台帳!$A$3:$E$4986,5,FALSE)))</f>
        <v>リンテック㈱</v>
      </c>
      <c r="AA201" s="54"/>
      <c r="AB201" s="200">
        <f>IFERROR((VLOOKUP(F201&amp;K201&amp;M201,製品マスタ!$M$5:$AM$4999,27,FALSE)),"")</f>
        <v>0</v>
      </c>
      <c r="AC201" s="31"/>
      <c r="AD201" s="184"/>
      <c r="AE201" s="51"/>
      <c r="AF201" s="52"/>
      <c r="AG201" s="41"/>
      <c r="AH201" s="45"/>
      <c r="AI201" s="28"/>
      <c r="AJ201" s="28"/>
      <c r="AK201" s="28"/>
      <c r="AL201" s="28"/>
      <c r="AM201" s="12"/>
      <c r="AN201" s="12"/>
      <c r="AO201" s="12"/>
      <c r="AP201" s="12"/>
      <c r="AQ201" s="12"/>
      <c r="AR201" s="13"/>
      <c r="AS201" s="14"/>
    </row>
    <row r="202" spans="1:45" s="16" customFormat="1" ht="30.95" hidden="1" customHeight="1" x14ac:dyDescent="0.2">
      <c r="A202" s="35"/>
      <c r="B202" s="36"/>
      <c r="C202" s="43"/>
      <c r="D202" s="29"/>
      <c r="E202" s="29"/>
      <c r="F202" s="255" t="str">
        <f>IF(D202="","",VLOOKUP(D202,契約台帳!$A$3:$K$4986,6,FALSE)&amp;VLOOKUP(D202,契約台帳!$A$3:$K$4986,7,FALSE)&amp;VLOOKUP(D202,契約台帳!$A$3:$K$4986,8,FALSE)&amp;VLOOKUP(D202,契約台帳!$A$3:$K$4986,9,FALSE)&amp;VLOOKUP(D202,契約台帳!$A$3:$K$4986,11,FALSE))</f>
        <v/>
      </c>
      <c r="G202" s="256" t="str">
        <f>IF(D202="","",VLOOKUP(F202,製品マスタ!$G$5:$H$4999,2,FALSE))</f>
        <v/>
      </c>
      <c r="H202" s="256" t="str">
        <f>IF(D202="","",VLOOKUP(F202,製品マスタ!$G$5:$K$4999,5,FALSE))</f>
        <v/>
      </c>
      <c r="I202" s="200" t="str">
        <f>IF(D202="","",VLOOKUP(F202,製品マスタ!$G$5:$L$4999,6,FALSE))</f>
        <v/>
      </c>
      <c r="J202" s="203"/>
      <c r="K202" s="200" t="str">
        <f>IF(D202="","",VLOOKUP(D202,契約台帳!$A$3:$L$4986,12,FALSE))</f>
        <v/>
      </c>
      <c r="L202" s="200" t="str">
        <f>IF(D202="","",INDEX(製品マスタ!$Q$5:$Q$4999,MATCH('S4'!F202&amp;'S4'!K202,製品マスタ!$AO$5:$AO$4999,0)))</f>
        <v/>
      </c>
      <c r="M202" s="37"/>
      <c r="N202" s="37"/>
      <c r="O202" s="153"/>
      <c r="P202" s="45"/>
      <c r="Q202" s="54"/>
      <c r="R202" s="257" t="str">
        <f ca="1">IF(D202="","",IF(OFFSET(D202,-1,0)&lt;&gt;"","",IF(OR(J202="リード付け",J202="巻足し",J202="巻返しリード付け"),M202,VLOOKUP(D202,契約台帳!$A$3:$N$4986,14,FALSE))))</f>
        <v/>
      </c>
      <c r="S202" s="258" t="str">
        <f ca="1">IF(D202="","",IF(OFFSET(D202,-1,0)&lt;&gt;"","",IF(OR(J202="リード付け",J202="巻足し",J202="巻返しリード付け"),M202,VLOOKUP(D202,契約台帳!$A$3:$O$4986,15,FALSE))))</f>
        <v/>
      </c>
      <c r="T202" s="258" t="str">
        <f ca="1">IF(D202="","",IF(J202="リード付け",N202,IF(J202="巻返しリード付け",N202,IF(J202="巻足し",N202*P202+OFFSET(N202,1,0)*OFFSET(P202,1,0),VLOOKUP(D202,契約台帳!$A$3:$P$4986,16,FALSE)))))</f>
        <v/>
      </c>
      <c r="U202" s="38"/>
      <c r="V202" s="259" t="str">
        <f ca="1">IF(D202="","",IF(OFFSET(D202,-2,0)=D202,"",VLOOKUP(D202,契約台帳!$A$3:$R$4986,18,FALSE)))</f>
        <v/>
      </c>
      <c r="W202" s="256" t="str">
        <f>IF(D202="","",IF(T202="","",IF(OR(J202="巻足し",J202="巻返しリード付け"),"",IF(J202="巻返し",VLOOKUP(F202&amp;K202&amp;M202,製品マスタ!$M$5:$AD$4999,18,FALSE),IF(OR(J202="リード付け",J202="巻返しリード付け"),"原反コア",IF(J202="スリット",VLOOKUP(F202&amp;K202&amp;R202,製品マスタ!$N$5:$AD$4999,17,FALSE),""))))))</f>
        <v/>
      </c>
      <c r="X202" s="256" t="str">
        <f>IF(D202="","",IF(T202="","",IF(J202="巻足し","",IF(J202="巻返し",VLOOKUP(F202&amp;K202&amp;M202,製品マスタ!$M$5:$AE$4999,19,FALSE),IF(OR(J202="リード付け",J202="巻返しリード付け"),"",IF(J202="スリット",VLOOKUP(F202&amp;K202&amp;R202,製品マスタ!$N$5:$AE$4999,18,FALSE),""))))))</f>
        <v/>
      </c>
      <c r="Y202" s="256" t="str">
        <f>IF(D202="","",IF(T202="","",VLOOKUP(D202,契約台帳!$A$3:$Q$4986,17,FALSE)))</f>
        <v/>
      </c>
      <c r="Z202" s="256" t="str">
        <f>IF(D202="","",IF(T202="","",VLOOKUP(D202,契約台帳!$A$3:$E$4986,5,FALSE)))</f>
        <v/>
      </c>
      <c r="AA202" s="54"/>
      <c r="AB202" s="200" t="str">
        <f>IFERROR((VLOOKUP(F202&amp;K202&amp;M202,製品マスタ!$M$5:$AM$4999,27,FALSE)),"")</f>
        <v/>
      </c>
      <c r="AC202" s="31"/>
      <c r="AD202" s="184"/>
      <c r="AE202" s="51"/>
      <c r="AF202" s="52"/>
      <c r="AG202" s="41"/>
      <c r="AH202" s="45"/>
      <c r="AI202" s="28"/>
      <c r="AJ202" s="28"/>
      <c r="AK202" s="28"/>
      <c r="AL202" s="28"/>
      <c r="AM202" s="12"/>
      <c r="AN202" s="12"/>
      <c r="AO202" s="12"/>
      <c r="AP202" s="12"/>
      <c r="AQ202" s="12"/>
      <c r="AR202" s="13"/>
      <c r="AS202" s="14"/>
    </row>
    <row r="203" spans="1:45" s="16" customFormat="1" ht="30.95" hidden="1" customHeight="1" x14ac:dyDescent="0.2">
      <c r="A203" s="35"/>
      <c r="B203" s="36"/>
      <c r="C203" s="43"/>
      <c r="D203" s="29">
        <v>3697682</v>
      </c>
      <c r="E203" s="29">
        <v>4161816</v>
      </c>
      <c r="F203" s="255" t="str">
        <f>IF(D203="","",VLOOKUP(D203,契約台帳!$A$3:$K$4986,6,FALSE)&amp;VLOOKUP(D203,契約台帳!$A$3:$K$4986,7,FALSE)&amp;VLOOKUP(D203,契約台帳!$A$3:$K$4986,8,FALSE)&amp;VLOOKUP(D203,契約台帳!$A$3:$K$4986,9,FALSE)&amp;VLOOKUP(D203,契約台帳!$A$3:$K$4986,11,FALSE))</f>
        <v>3SYMLBMSSMBF</v>
      </c>
      <c r="G203" s="256" t="str">
        <f>IF(D203="","",VLOOKUP(F203,製品マスタ!$G$5:$H$4999,2,FALSE))</f>
        <v>S</v>
      </c>
      <c r="H203" s="256" t="str">
        <f>IF(D203="","",VLOOKUP(F203,製品マスタ!$G$5:$K$4999,5,FALSE))</f>
        <v>MSSMBF</v>
      </c>
      <c r="I203" s="200" t="str">
        <f>IF(D203="","",VLOOKUP(F203,製品マスタ!$G$5:$L$4999,6,FALSE))</f>
        <v>ＭＥＴＡＬＵＭＹ　ＳＩＬＶＥＲ　Ｓ－ＭＡＴＴＥ　Ｓ２８ＭＭ　Ｂ</v>
      </c>
      <c r="J203" s="203" t="s">
        <v>832</v>
      </c>
      <c r="K203" s="200">
        <f>IF(D203="","",VLOOKUP(D203,契約台帳!$A$3:$L$4986,12,FALSE))</f>
        <v>50</v>
      </c>
      <c r="L203" s="200" t="str">
        <f>IF(D203="","",INDEX(製品マスタ!$Q$5:$Q$4999,MATCH('S4'!F203&amp;'S4'!K203,製品マスタ!$AO$5:$AO$4999,0)))</f>
        <v>LI-MAT</v>
      </c>
      <c r="M203" s="37">
        <v>1120</v>
      </c>
      <c r="N203" s="37">
        <v>4000</v>
      </c>
      <c r="O203" s="153">
        <v>4</v>
      </c>
      <c r="P203" s="45">
        <v>2</v>
      </c>
      <c r="Q203" s="206">
        <v>44958</v>
      </c>
      <c r="R203" s="257">
        <f ca="1">IF(D203="","",IF(OFFSET(D203,-1,0)&lt;&gt;"","",IF(OR(J203="リード付け",J203="巻足し",J203="巻返しリード付け"),M203,VLOOKUP(D203,契約台帳!$A$3:$N$4986,14,FALSE))))</f>
        <v>1120</v>
      </c>
      <c r="S203" s="258">
        <f ca="1">IF(D203="","",IF(OFFSET(D203,-1,0)&lt;&gt;"","",IF(OR(J203="リード付け",J203="巻足し",J203="巻返しリード付け"),M203,VLOOKUP(D203,契約台帳!$A$3:$O$4986,15,FALSE))))</f>
        <v>1120</v>
      </c>
      <c r="T203" s="258">
        <f ca="1">IF(D203="","",IF(J203="リード付け",N203,IF(J203="巻返しリード付け",N203,IF(J203="巻足し",N203*P203+OFFSET(N203,1,0)*OFFSET(P203,1,0),VLOOKUP(D203,契約台帳!$A$3:$P$4986,16,FALSE)))))</f>
        <v>8000</v>
      </c>
      <c r="U203" s="38">
        <v>2</v>
      </c>
      <c r="V203" s="259">
        <f ca="1">IF(D203="","",IF(OFFSET(D203,-2,0)=D203,"",VLOOKUP(D203,契約台帳!$A$3:$R$4986,18,FALSE)))</f>
        <v>4</v>
      </c>
      <c r="W203" s="256" t="str">
        <f ca="1">IF(D203="","",IF(T203="","",IF(OR(J203="巻足し",J203="巻返しリード付け"),"",IF(J203="巻返し",VLOOKUP(F203&amp;K203&amp;M203,製品マスタ!$M$5:$AD$4999,18,FALSE),IF(OR(J203="リード付け",J203="巻返しリード付け"),"原反コア",IF(J203="スリット",VLOOKUP(F203&amp;K203&amp;R203,製品マスタ!$N$5:$AD$4999,17,FALSE),""))))))</f>
        <v/>
      </c>
      <c r="X203" s="256" t="str">
        <f ca="1">IF(D203="","",IF(T203="","",IF(J203="巻足し","",IF(J203="巻返し",VLOOKUP(F203&amp;K203&amp;M203,製品マスタ!$M$5:$AE$4999,19,FALSE),IF(OR(J203="リード付け",J203="巻返しリード付け"),"",IF(J203="スリット",VLOOKUP(F203&amp;K203&amp;R203,製品マスタ!$N$5:$AE$4999,18,FALSE),""))))))</f>
        <v/>
      </c>
      <c r="Y203" s="256">
        <f ca="1">IF(D203="","",IF(T203="","",VLOOKUP(D203,契約台帳!$A$3:$Q$4986,17,FALSE)))</f>
        <v>2</v>
      </c>
      <c r="Z203" s="256" t="str">
        <f ca="1">IF(D203="","",IF(T203="","",VLOOKUP(D203,契約台帳!$A$3:$E$4986,5,FALSE)))</f>
        <v>リンテック㈱</v>
      </c>
      <c r="AA203" s="54"/>
      <c r="AB203" s="200">
        <f>IFERROR((VLOOKUP(F203&amp;K203&amp;M203,製品マスタ!$M$5:$AM$4999,27,FALSE)),"")</f>
        <v>0</v>
      </c>
      <c r="AC203" s="31"/>
      <c r="AD203" s="184"/>
      <c r="AE203" s="51"/>
      <c r="AF203" s="52"/>
      <c r="AG203" s="41"/>
      <c r="AH203" s="45"/>
      <c r="AI203" s="28"/>
      <c r="AJ203" s="28"/>
      <c r="AK203" s="28"/>
      <c r="AL203" s="28"/>
      <c r="AM203" s="12"/>
      <c r="AN203" s="12"/>
      <c r="AO203" s="12"/>
      <c r="AP203" s="12"/>
      <c r="AQ203" s="12"/>
      <c r="AR203" s="13"/>
      <c r="AS203" s="14"/>
    </row>
    <row r="204" spans="1:45" s="16" customFormat="1" ht="30.95" hidden="1" customHeight="1" x14ac:dyDescent="0.2">
      <c r="A204" s="35"/>
      <c r="B204" s="36"/>
      <c r="C204" s="43"/>
      <c r="D204" s="29"/>
      <c r="E204" s="29"/>
      <c r="F204" s="255" t="str">
        <f>IF(D204="","",VLOOKUP(D204,契約台帳!$A$3:$K$4986,6,FALSE)&amp;VLOOKUP(D204,契約台帳!$A$3:$K$4986,7,FALSE)&amp;VLOOKUP(D204,契約台帳!$A$3:$K$4986,8,FALSE)&amp;VLOOKUP(D204,契約台帳!$A$3:$K$4986,9,FALSE)&amp;VLOOKUP(D204,契約台帳!$A$3:$K$4986,11,FALSE))</f>
        <v/>
      </c>
      <c r="G204" s="256" t="str">
        <f>IF(D204="","",VLOOKUP(F204,製品マスタ!$G$5:$H$4999,2,FALSE))</f>
        <v/>
      </c>
      <c r="H204" s="256" t="str">
        <f>IF(D204="","",VLOOKUP(F204,製品マスタ!$G$5:$K$4999,5,FALSE))</f>
        <v/>
      </c>
      <c r="I204" s="200" t="str">
        <f>IF(D204="","",VLOOKUP(F204,製品マスタ!$G$5:$L$4999,6,FALSE))</f>
        <v/>
      </c>
      <c r="J204" s="203"/>
      <c r="K204" s="200" t="str">
        <f>IF(D204="","",VLOOKUP(D204,契約台帳!$A$3:$L$4986,12,FALSE))</f>
        <v/>
      </c>
      <c r="L204" s="200" t="str">
        <f>IF(D204="","",INDEX(製品マスタ!$Q$5:$Q$4999,MATCH('S4'!F204&amp;'S4'!K204,製品マスタ!$AO$5:$AO$4999,0)))</f>
        <v/>
      </c>
      <c r="M204" s="37"/>
      <c r="N204" s="37"/>
      <c r="O204" s="153"/>
      <c r="P204" s="45"/>
      <c r="Q204" s="54"/>
      <c r="R204" s="257" t="str">
        <f ca="1">IF(D204="","",IF(OFFSET(D204,-1,0)&lt;&gt;"","",IF(OR(J204="リード付け",J204="巻足し",J204="巻返しリード付け"),M204,VLOOKUP(D204,契約台帳!$A$3:$N$4986,14,FALSE))))</f>
        <v/>
      </c>
      <c r="S204" s="258" t="str">
        <f ca="1">IF(D204="","",IF(OFFSET(D204,-1,0)&lt;&gt;"","",IF(OR(J204="リード付け",J204="巻足し",J204="巻返しリード付け"),M204,VLOOKUP(D204,契約台帳!$A$3:$O$4986,15,FALSE))))</f>
        <v/>
      </c>
      <c r="T204" s="258" t="str">
        <f ca="1">IF(D204="","",IF(J204="リード付け",N204,IF(J204="巻返しリード付け",N204,IF(J204="巻足し",N204*P204+OFFSET(N204,1,0)*OFFSET(P204,1,0),VLOOKUP(D204,契約台帳!$A$3:$P$4986,16,FALSE)))))</f>
        <v/>
      </c>
      <c r="U204" s="38"/>
      <c r="V204" s="259" t="str">
        <f ca="1">IF(D204="","",IF(OFFSET(D204,-2,0)=D204,"",VLOOKUP(D204,契約台帳!$A$3:$R$4986,18,FALSE)))</f>
        <v/>
      </c>
      <c r="W204" s="256" t="str">
        <f>IF(D204="","",IF(T204="","",IF(OR(J204="巻足し",J204="巻返しリード付け"),"",IF(J204="巻返し",VLOOKUP(F204&amp;K204&amp;M204,製品マスタ!$M$5:$AD$4999,18,FALSE),IF(OR(J204="リード付け",J204="巻返しリード付け"),"原反コア",IF(J204="スリット",VLOOKUP(F204&amp;K204&amp;R204,製品マスタ!$N$5:$AD$4999,17,FALSE),""))))))</f>
        <v/>
      </c>
      <c r="X204" s="256" t="str">
        <f>IF(D204="","",IF(T204="","",IF(J204="巻足し","",IF(J204="巻返し",VLOOKUP(F204&amp;K204&amp;M204,製品マスタ!$M$5:$AE$4999,19,FALSE),IF(OR(J204="リード付け",J204="巻返しリード付け"),"",IF(J204="スリット",VLOOKUP(F204&amp;K204&amp;R204,製品マスタ!$N$5:$AE$4999,18,FALSE),""))))))</f>
        <v/>
      </c>
      <c r="Y204" s="256" t="str">
        <f>IF(D204="","",IF(T204="","",VLOOKUP(D204,契約台帳!$A$3:$Q$4986,17,FALSE)))</f>
        <v/>
      </c>
      <c r="Z204" s="256" t="str">
        <f>IF(D204="","",IF(T204="","",VLOOKUP(D204,契約台帳!$A$3:$E$4986,5,FALSE)))</f>
        <v/>
      </c>
      <c r="AA204" s="54"/>
      <c r="AB204" s="200" t="str">
        <f>IFERROR((VLOOKUP(F204&amp;K204&amp;M204,製品マスタ!$M$5:$AM$4999,27,FALSE)),"")</f>
        <v/>
      </c>
      <c r="AC204" s="31"/>
      <c r="AD204" s="184"/>
      <c r="AE204" s="51"/>
      <c r="AF204" s="52"/>
      <c r="AG204" s="41"/>
      <c r="AH204" s="45"/>
      <c r="AI204" s="28"/>
      <c r="AJ204" s="28"/>
      <c r="AK204" s="28"/>
      <c r="AL204" s="28"/>
      <c r="AM204" s="12"/>
      <c r="AN204" s="12"/>
      <c r="AO204" s="12"/>
      <c r="AP204" s="12"/>
      <c r="AQ204" s="12"/>
      <c r="AR204" s="13"/>
      <c r="AS204" s="14"/>
    </row>
    <row r="205" spans="1:45" s="16" customFormat="1" ht="30.95" hidden="1" customHeight="1" x14ac:dyDescent="0.2">
      <c r="A205" s="35"/>
      <c r="B205" s="36"/>
      <c r="C205" s="43"/>
      <c r="D205" s="29">
        <v>3697660</v>
      </c>
      <c r="E205" s="29">
        <v>4161818</v>
      </c>
      <c r="F205" s="255" t="str">
        <f>IF(D205="","",VLOOKUP(D205,契約台帳!$A$3:$K$4986,6,FALSE)&amp;VLOOKUP(D205,契約台帳!$A$3:$K$4986,7,FALSE)&amp;VLOOKUP(D205,契約台帳!$A$3:$K$4986,8,FALSE)&amp;VLOOKUP(D205,契約台帳!$A$3:$K$4986,9,FALSE)&amp;VLOOKUP(D205,契約台帳!$A$3:$K$4986,11,FALSE))</f>
        <v>3SNMCLBNGKVB</v>
      </c>
      <c r="G205" s="256" t="str">
        <f>IF(D205="","",VLOOKUP(F205,製品マスタ!$G$5:$H$4999,2,FALSE))</f>
        <v>S</v>
      </c>
      <c r="H205" s="256" t="str">
        <f>IF(D205="","",VLOOKUP(F205,製品マスタ!$G$5:$K$4999,5,FALSE))</f>
        <v>NGKVB</v>
      </c>
      <c r="I205" s="200" t="str">
        <f>IF(D205="","",VLOOKUP(F205,製品マスタ!$G$5:$L$4999,6,FALSE))</f>
        <v>メタルミー　ネーマー銀消　ＶＢ</v>
      </c>
      <c r="J205" s="203" t="s">
        <v>469</v>
      </c>
      <c r="K205" s="200">
        <f>IF(D205="","",VLOOKUP(D205,契約台帳!$A$3:$L$4986,12,FALSE))</f>
        <v>50</v>
      </c>
      <c r="L205" s="200" t="str">
        <f>IF(D205="","",INDEX(製品マスタ!$Q$5:$Q$4999,MATCH('S4'!F205&amp;'S4'!K205,製品マスタ!$AO$5:$AO$4999,0)))</f>
        <v>MAT</v>
      </c>
      <c r="M205" s="37">
        <v>1005</v>
      </c>
      <c r="N205" s="37">
        <v>4100</v>
      </c>
      <c r="O205" s="153">
        <v>3</v>
      </c>
      <c r="P205" s="45">
        <v>3</v>
      </c>
      <c r="Q205" s="206">
        <v>44960</v>
      </c>
      <c r="R205" s="257">
        <f ca="1">IF(D205="","",IF(OFFSET(D205,-1,0)&lt;&gt;"","",IF(OR(J205="リード付け",J205="巻足し",J205="巻返しリード付け"),M205,VLOOKUP(D205,契約台帳!$A$3:$N$4986,14,FALSE))))</f>
        <v>1005</v>
      </c>
      <c r="S205" s="258">
        <f ca="1">IF(D205="","",IF(OFFSET(D205,-1,0)&lt;&gt;"","",IF(OR(J205="リード付け",J205="巻足し",J205="巻返しリード付け"),M205,VLOOKUP(D205,契約台帳!$A$3:$O$4986,15,FALSE))))</f>
        <v>1005</v>
      </c>
      <c r="T205" s="258">
        <f ca="1">IF(D205="","",IF(J205="リード付け",N205,IF(J205="巻返しリード付け",N205,IF(J205="巻足し",N205*P205+OFFSET(N205,1,0)*OFFSET(P205,1,0),VLOOKUP(D205,契約台帳!$A$3:$P$4986,16,FALSE)))))</f>
        <v>12300</v>
      </c>
      <c r="U205" s="38">
        <v>1</v>
      </c>
      <c r="V205" s="259">
        <f ca="1">IF(D205="","",IF(OFFSET(D205,-2,0)=D205,"",VLOOKUP(D205,契約台帳!$A$3:$R$4986,18,FALSE)))</f>
        <v>3</v>
      </c>
      <c r="W205" s="256" t="str">
        <f ca="1">IF(D205="","",IF(T205="","",IF(OR(J205="巻足し",J205="巻返しリード付け"),"",IF(J205="巻返し",VLOOKUP(F205&amp;K205&amp;M205,製品マスタ!$M$5:$AD$4999,18,FALSE),IF(OR(J205="リード付け",J205="巻返しリード付け"),"原反コア",IF(J205="スリット",VLOOKUP(F205&amp;K205&amp;R205,製品マスタ!$N$5:$AD$4999,17,FALSE),""))))))</f>
        <v/>
      </c>
      <c r="X205" s="256" t="str">
        <f ca="1">IF(D205="","",IF(T205="","",IF(J205="巻足し","",IF(J205="巻返し",VLOOKUP(F205&amp;K205&amp;M205,製品マスタ!$M$5:$AE$4999,19,FALSE),IF(OR(J205="リード付け",J205="巻返しリード付け"),"",IF(J205="スリット",VLOOKUP(F205&amp;K205&amp;R205,製品マスタ!$N$5:$AE$4999,18,FALSE),""))))))</f>
        <v/>
      </c>
      <c r="Y205" s="256">
        <f ca="1">IF(D205="","",IF(T205="","",VLOOKUP(D205,契約台帳!$A$3:$Q$4986,17,FALSE)))</f>
        <v>2</v>
      </c>
      <c r="Z205" s="256" t="str">
        <f ca="1">IF(D205="","",IF(T205="","",VLOOKUP(D205,契約台帳!$A$3:$E$4986,5,FALSE)))</f>
        <v>リンテック㈱</v>
      </c>
      <c r="AA205" s="54"/>
      <c r="AB205" s="200">
        <f>IFERROR((VLOOKUP(F205&amp;K205&amp;M205,製品マスタ!$M$5:$AM$4999,27,FALSE)),"")</f>
        <v>0</v>
      </c>
      <c r="AC205" s="31"/>
      <c r="AD205" s="184"/>
      <c r="AE205" s="51"/>
      <c r="AF205" s="52"/>
      <c r="AG205" s="41"/>
      <c r="AH205" s="45"/>
      <c r="AI205" s="28"/>
      <c r="AJ205" s="28"/>
      <c r="AK205" s="28"/>
      <c r="AL205" s="28"/>
      <c r="AM205" s="12"/>
      <c r="AN205" s="12"/>
      <c r="AO205" s="12"/>
      <c r="AP205" s="12"/>
      <c r="AQ205" s="12"/>
      <c r="AR205" s="13"/>
      <c r="AS205" s="14"/>
    </row>
    <row r="206" spans="1:45" s="16" customFormat="1" ht="30.95" hidden="1" customHeight="1" x14ac:dyDescent="0.2">
      <c r="A206" s="35"/>
      <c r="B206" s="36"/>
      <c r="C206" s="43"/>
      <c r="D206" s="29"/>
      <c r="E206" s="29"/>
      <c r="F206" s="255" t="str">
        <f>IF(D206="","",VLOOKUP(D206,契約台帳!$A$3:$K$4986,6,FALSE)&amp;VLOOKUP(D206,契約台帳!$A$3:$K$4986,7,FALSE)&amp;VLOOKUP(D206,契約台帳!$A$3:$K$4986,8,FALSE)&amp;VLOOKUP(D206,契約台帳!$A$3:$K$4986,9,FALSE)&amp;VLOOKUP(D206,契約台帳!$A$3:$K$4986,11,FALSE))</f>
        <v/>
      </c>
      <c r="G206" s="256" t="str">
        <f>IF(D206="","",VLOOKUP(F206,製品マスタ!$G$5:$H$4999,2,FALSE))</f>
        <v/>
      </c>
      <c r="H206" s="256" t="str">
        <f>IF(D206="","",VLOOKUP(F206,製品マスタ!$G$5:$K$4999,5,FALSE))</f>
        <v/>
      </c>
      <c r="I206" s="200" t="str">
        <f>IF(D206="","",VLOOKUP(F206,製品マスタ!$G$5:$L$4999,6,FALSE))</f>
        <v/>
      </c>
      <c r="J206" s="203"/>
      <c r="K206" s="200" t="str">
        <f>IF(D206="","",VLOOKUP(D206,契約台帳!$A$3:$L$4986,12,FALSE))</f>
        <v/>
      </c>
      <c r="L206" s="200" t="str">
        <f>IF(D206="","",INDEX(製品マスタ!$Q$5:$Q$4999,MATCH('S4'!F206&amp;'S4'!K206,製品マスタ!$AO$5:$AO$4999,0)))</f>
        <v/>
      </c>
      <c r="M206" s="37"/>
      <c r="N206" s="37"/>
      <c r="O206" s="153"/>
      <c r="P206" s="45"/>
      <c r="Q206" s="54"/>
      <c r="R206" s="257" t="str">
        <f ca="1">IF(D206="","",IF(OFFSET(D206,-1,0)&lt;&gt;"","",IF(OR(J206="リード付け",J206="巻足し",J206="巻返しリード付け"),M206,VLOOKUP(D206,契約台帳!$A$3:$N$4986,14,FALSE))))</f>
        <v/>
      </c>
      <c r="S206" s="258" t="str">
        <f ca="1">IF(D206="","",IF(OFFSET(D206,-1,0)&lt;&gt;"","",IF(OR(J206="リード付け",J206="巻足し",J206="巻返しリード付け"),M206,VLOOKUP(D206,契約台帳!$A$3:$O$4986,15,FALSE))))</f>
        <v/>
      </c>
      <c r="T206" s="258" t="str">
        <f ca="1">IF(D206="","",IF(J206="リード付け",N206,IF(J206="巻返しリード付け",N206,IF(J206="巻足し",N206*P206+OFFSET(N206,1,0)*OFFSET(P206,1,0),VLOOKUP(D206,契約台帳!$A$3:$P$4986,16,FALSE)))))</f>
        <v/>
      </c>
      <c r="U206" s="38"/>
      <c r="V206" s="259" t="str">
        <f ca="1">IF(D206="","",IF(OFFSET(D206,-2,0)=D206,"",VLOOKUP(D206,契約台帳!$A$3:$R$4986,18,FALSE)))</f>
        <v/>
      </c>
      <c r="W206" s="256" t="str">
        <f>IF(D206="","",IF(T206="","",IF(OR(J206="巻足し",J206="巻返しリード付け"),"",IF(J206="巻返し",VLOOKUP(F206&amp;K206&amp;M206,製品マスタ!$M$5:$AD$4999,18,FALSE),IF(OR(J206="リード付け",J206="巻返しリード付け"),"原反コア",IF(J206="スリット",VLOOKUP(F206&amp;K206&amp;R206,製品マスタ!$N$5:$AD$4999,17,FALSE),""))))))</f>
        <v/>
      </c>
      <c r="X206" s="256" t="str">
        <f>IF(D206="","",IF(T206="","",IF(J206="巻足し","",IF(J206="巻返し",VLOOKUP(F206&amp;K206&amp;M206,製品マスタ!$M$5:$AE$4999,19,FALSE),IF(OR(J206="リード付け",J206="巻返しリード付け"),"",IF(J206="スリット",VLOOKUP(F206&amp;K206&amp;R206,製品マスタ!$N$5:$AE$4999,18,FALSE),""))))))</f>
        <v/>
      </c>
      <c r="Y206" s="256" t="str">
        <f>IF(D206="","",IF(T206="","",VLOOKUP(D206,契約台帳!$A$3:$Q$4986,17,FALSE)))</f>
        <v/>
      </c>
      <c r="Z206" s="256" t="str">
        <f>IF(D206="","",IF(T206="","",VLOOKUP(D206,契約台帳!$A$3:$E$4986,5,FALSE)))</f>
        <v/>
      </c>
      <c r="AA206" s="54"/>
      <c r="AB206" s="200" t="str">
        <f>IFERROR((VLOOKUP(F206&amp;K206&amp;M206,製品マスタ!$M$5:$AM$4999,27,FALSE)),"")</f>
        <v/>
      </c>
      <c r="AC206" s="31"/>
      <c r="AD206" s="184"/>
      <c r="AE206" s="51"/>
      <c r="AF206" s="52"/>
      <c r="AG206" s="41"/>
      <c r="AH206" s="45"/>
      <c r="AI206" s="28"/>
      <c r="AJ206" s="28"/>
      <c r="AK206" s="28"/>
      <c r="AL206" s="28"/>
      <c r="AM206" s="12"/>
      <c r="AN206" s="12"/>
      <c r="AO206" s="12"/>
      <c r="AP206" s="12"/>
      <c r="AQ206" s="12"/>
      <c r="AR206" s="13"/>
      <c r="AS206" s="14"/>
    </row>
    <row r="207" spans="1:45" s="16" customFormat="1" ht="30.95" hidden="1" customHeight="1" x14ac:dyDescent="0.2">
      <c r="A207" s="35" t="s">
        <v>851</v>
      </c>
      <c r="B207" s="36" t="s">
        <v>840</v>
      </c>
      <c r="C207" s="43"/>
      <c r="D207" s="29"/>
      <c r="E207" s="29"/>
      <c r="F207" s="255" t="str">
        <f>IF(D207="","",VLOOKUP(D207,契約台帳!$A$3:$K$4986,6,FALSE)&amp;VLOOKUP(D207,契約台帳!$A$3:$K$4986,7,FALSE)&amp;VLOOKUP(D207,契約台帳!$A$3:$K$4986,8,FALSE)&amp;VLOOKUP(D207,契約台帳!$A$3:$K$4986,9,FALSE)&amp;VLOOKUP(D207,契約台帳!$A$3:$K$4986,11,FALSE))</f>
        <v/>
      </c>
      <c r="G207" s="256" t="str">
        <f>IF(D207="","",VLOOKUP(F207,製品マスタ!$G$5:$H$4999,2,FALSE))</f>
        <v/>
      </c>
      <c r="H207" s="256" t="str">
        <f>IF(D207="","",VLOOKUP(F207,製品マスタ!$G$5:$K$4999,5,FALSE))</f>
        <v/>
      </c>
      <c r="I207" s="200" t="str">
        <f>IF(D207="","",VLOOKUP(F207,製品マスタ!$G$5:$L$4999,6,FALSE))</f>
        <v/>
      </c>
      <c r="J207" s="203"/>
      <c r="K207" s="200" t="str">
        <f>IF(D207="","",VLOOKUP(D207,契約台帳!$A$3:$L$4986,12,FALSE))</f>
        <v/>
      </c>
      <c r="L207" s="200" t="str">
        <f>IF(D207="","",INDEX(製品マスタ!$Q$5:$Q$4999,MATCH('S4'!F207&amp;'S4'!K207,製品マスタ!$AO$5:$AO$4999,0)))</f>
        <v/>
      </c>
      <c r="M207" s="37"/>
      <c r="N207" s="37"/>
      <c r="O207" s="153"/>
      <c r="P207" s="45"/>
      <c r="Q207" s="54"/>
      <c r="R207" s="257" t="str">
        <f ca="1">IF(D207="","",IF(OFFSET(D207,-1,0)&lt;&gt;"","",IF(OR(J207="リード付け",J207="巻足し",J207="巻返しリード付け"),M207,VLOOKUP(D207,契約台帳!$A$3:$N$4986,14,FALSE))))</f>
        <v/>
      </c>
      <c r="S207" s="258" t="str">
        <f ca="1">IF(D207="","",IF(OFFSET(D207,-1,0)&lt;&gt;"","",IF(OR(J207="リード付け",J207="巻足し",J207="巻返しリード付け"),M207,VLOOKUP(D207,契約台帳!$A$3:$O$4986,15,FALSE))))</f>
        <v/>
      </c>
      <c r="T207" s="258" t="str">
        <f ca="1">IF(D207="","",IF(J207="リード付け",N207,IF(J207="巻返しリード付け",N207,IF(J207="巻足し",N207*P207+OFFSET(N207,1,0)*OFFSET(P207,1,0),VLOOKUP(D207,契約台帳!$A$3:$P$4986,16,FALSE)))))</f>
        <v/>
      </c>
      <c r="U207" s="38"/>
      <c r="V207" s="259" t="str">
        <f ca="1">IF(D207="","",IF(OFFSET(D207,-2,0)=D207,"",VLOOKUP(D207,契約台帳!$A$3:$R$4986,18,FALSE)))</f>
        <v/>
      </c>
      <c r="W207" s="256" t="str">
        <f>IF(D207="","",IF(T207="","",IF(OR(J207="巻足し",J207="巻返しリード付け"),"",IF(J207="巻返し",VLOOKUP(F207&amp;K207&amp;M207,製品マスタ!$M$5:$AD$4999,18,FALSE),IF(OR(J207="リード付け",J207="巻返しリード付け"),"原反コア",IF(J207="スリット",VLOOKUP(F207&amp;K207&amp;R207,製品マスタ!$N$5:$AD$4999,17,FALSE),""))))))</f>
        <v/>
      </c>
      <c r="X207" s="256" t="str">
        <f>IF(D207="","",IF(T207="","",IF(J207="巻足し","",IF(J207="巻返し",VLOOKUP(F207&amp;K207&amp;M207,製品マスタ!$M$5:$AE$4999,19,FALSE),IF(OR(J207="リード付け",J207="巻返しリード付け"),"",IF(J207="スリット",VLOOKUP(F207&amp;K207&amp;R207,製品マスタ!$N$5:$AE$4999,18,FALSE),""))))))</f>
        <v/>
      </c>
      <c r="Y207" s="256" t="str">
        <f>IF(D207="","",IF(T207="","",VLOOKUP(D207,契約台帳!$A$3:$Q$4986,17,FALSE)))</f>
        <v/>
      </c>
      <c r="Z207" s="256" t="str">
        <f>IF(D207="","",IF(T207="","",VLOOKUP(D207,契約台帳!$A$3:$E$4986,5,FALSE)))</f>
        <v/>
      </c>
      <c r="AA207" s="54"/>
      <c r="AB207" s="200" t="str">
        <f>IFERROR((VLOOKUP(F207&amp;K207&amp;M207,製品マスタ!$M$5:$AM$4999,27,FALSE)),"")</f>
        <v/>
      </c>
      <c r="AC207" s="31"/>
      <c r="AD207" s="184"/>
      <c r="AE207" s="51"/>
      <c r="AF207" s="52"/>
      <c r="AG207" s="41"/>
      <c r="AH207" s="45"/>
      <c r="AI207" s="28"/>
      <c r="AJ207" s="28"/>
      <c r="AK207" s="28"/>
      <c r="AL207" s="28"/>
      <c r="AM207" s="12"/>
      <c r="AN207" s="12"/>
      <c r="AO207" s="12"/>
      <c r="AP207" s="12"/>
      <c r="AQ207" s="12"/>
      <c r="AR207" s="13"/>
      <c r="AS207" s="14"/>
    </row>
    <row r="208" spans="1:45" s="16" customFormat="1" ht="30.95" hidden="1" customHeight="1" x14ac:dyDescent="0.2">
      <c r="A208" s="35"/>
      <c r="B208" s="36"/>
      <c r="C208" s="43"/>
      <c r="D208" s="29"/>
      <c r="E208" s="29"/>
      <c r="F208" s="255" t="str">
        <f>IF(D208="","",VLOOKUP(D208,契約台帳!$A$3:$K$4986,6,FALSE)&amp;VLOOKUP(D208,契約台帳!$A$3:$K$4986,7,FALSE)&amp;VLOOKUP(D208,契約台帳!$A$3:$K$4986,8,FALSE)&amp;VLOOKUP(D208,契約台帳!$A$3:$K$4986,9,FALSE)&amp;VLOOKUP(D208,契約台帳!$A$3:$K$4986,11,FALSE))</f>
        <v/>
      </c>
      <c r="G208" s="256" t="str">
        <f>IF(D208="","",VLOOKUP(F208,製品マスタ!$G$5:$H$4999,2,FALSE))</f>
        <v/>
      </c>
      <c r="H208" s="256" t="str">
        <f>IF(D208="","",VLOOKUP(F208,製品マスタ!$G$5:$K$4999,5,FALSE))</f>
        <v/>
      </c>
      <c r="I208" s="200" t="str">
        <f>IF(D208="","",VLOOKUP(F208,製品マスタ!$G$5:$L$4999,6,FALSE))</f>
        <v/>
      </c>
      <c r="J208" s="203"/>
      <c r="K208" s="200" t="str">
        <f>IF(D208="","",VLOOKUP(D208,契約台帳!$A$3:$L$4986,12,FALSE))</f>
        <v/>
      </c>
      <c r="L208" s="200" t="str">
        <f>IF(D208="","",INDEX(製品マスタ!$Q$5:$Q$4999,MATCH('S4'!F208&amp;'S4'!K208,製品マスタ!$AO$5:$AO$4999,0)))</f>
        <v/>
      </c>
      <c r="M208" s="37"/>
      <c r="N208" s="37"/>
      <c r="O208" s="153"/>
      <c r="P208" s="45"/>
      <c r="Q208" s="54"/>
      <c r="R208" s="257" t="str">
        <f ca="1">IF(D208="","",IF(OFFSET(D208,-1,0)&lt;&gt;"","",IF(OR(J208="リード付け",J208="巻足し",J208="巻返しリード付け"),M208,VLOOKUP(D208,契約台帳!$A$3:$N$4986,14,FALSE))))</f>
        <v/>
      </c>
      <c r="S208" s="258" t="str">
        <f ca="1">IF(D208="","",IF(OFFSET(D208,-1,0)&lt;&gt;"","",IF(OR(J208="リード付け",J208="巻足し",J208="巻返しリード付け"),M208,VLOOKUP(D208,契約台帳!$A$3:$O$4986,15,FALSE))))</f>
        <v/>
      </c>
      <c r="T208" s="258" t="str">
        <f ca="1">IF(D208="","",IF(J208="リード付け",N208,IF(J208="巻返しリード付け",N208,IF(J208="巻足し",N208*P208+OFFSET(N208,1,0)*OFFSET(P208,1,0),VLOOKUP(D208,契約台帳!$A$3:$P$4986,16,FALSE)))))</f>
        <v/>
      </c>
      <c r="U208" s="38"/>
      <c r="V208" s="259" t="str">
        <f ca="1">IF(D208="","",IF(OFFSET(D208,-2,0)=D208,"",VLOOKUP(D208,契約台帳!$A$3:$R$4986,18,FALSE)))</f>
        <v/>
      </c>
      <c r="W208" s="256" t="str">
        <f>IF(D208="","",IF(T208="","",IF(OR(J208="巻足し",J208="巻返しリード付け"),"",IF(J208="巻返し",VLOOKUP(F208&amp;K208&amp;M208,製品マスタ!$M$5:$AD$4999,18,FALSE),IF(OR(J208="リード付け",J208="巻返しリード付け"),"原反コア",IF(J208="スリット",VLOOKUP(F208&amp;K208&amp;R208,製品マスタ!$N$5:$AD$4999,17,FALSE),""))))))</f>
        <v/>
      </c>
      <c r="X208" s="256" t="str">
        <f>IF(D208="","",IF(T208="","",IF(J208="巻足し","",IF(J208="巻返し",VLOOKUP(F208&amp;K208&amp;M208,製品マスタ!$M$5:$AE$4999,19,FALSE),IF(OR(J208="リード付け",J208="巻返しリード付け"),"",IF(J208="スリット",VLOOKUP(F208&amp;K208&amp;R208,製品マスタ!$N$5:$AE$4999,18,FALSE),""))))))</f>
        <v/>
      </c>
      <c r="Y208" s="256" t="str">
        <f>IF(D208="","",IF(T208="","",VLOOKUP(D208,契約台帳!$A$3:$Q$4986,17,FALSE)))</f>
        <v/>
      </c>
      <c r="Z208" s="256" t="str">
        <f>IF(D208="","",IF(T208="","",VLOOKUP(D208,契約台帳!$A$3:$E$4986,5,FALSE)))</f>
        <v/>
      </c>
      <c r="AA208" s="54"/>
      <c r="AB208" s="200" t="str">
        <f>IFERROR((VLOOKUP(F208&amp;K208&amp;M208,製品マスタ!$M$5:$AM$4999,27,FALSE)),"")</f>
        <v/>
      </c>
      <c r="AC208" s="31"/>
      <c r="AD208" s="184"/>
      <c r="AE208" s="51"/>
      <c r="AF208" s="52"/>
      <c r="AG208" s="41"/>
      <c r="AH208" s="45"/>
      <c r="AI208" s="28"/>
      <c r="AJ208" s="28"/>
      <c r="AK208" s="28"/>
      <c r="AL208" s="28"/>
      <c r="AM208" s="12"/>
      <c r="AN208" s="12"/>
      <c r="AO208" s="12"/>
      <c r="AP208" s="12"/>
      <c r="AQ208" s="12"/>
      <c r="AR208" s="13"/>
      <c r="AS208" s="14"/>
    </row>
    <row r="209" spans="1:45" s="16" customFormat="1" ht="30.95" hidden="1" customHeight="1" x14ac:dyDescent="0.2">
      <c r="A209" s="35" t="s">
        <v>852</v>
      </c>
      <c r="B209" s="36" t="s">
        <v>442</v>
      </c>
      <c r="C209" s="43"/>
      <c r="D209" s="29">
        <v>3697658</v>
      </c>
      <c r="E209" s="29">
        <v>4161803</v>
      </c>
      <c r="F209" s="255" t="str">
        <f>IF(D209="","",VLOOKUP(D209,契約台帳!$A$3:$K$4986,6,FALSE)&amp;VLOOKUP(D209,契約台帳!$A$3:$K$4986,7,FALSE)&amp;VLOOKUP(D209,契約台帳!$A$3:$K$4986,8,FALSE)&amp;VLOOKUP(D209,契約台帳!$A$3:$K$4986,9,FALSE)&amp;VLOOKUP(D209,契約台帳!$A$3:$K$4986,11,FALSE))</f>
        <v>3SNMLBMNGKKBF</v>
      </c>
      <c r="G209" s="256" t="str">
        <f>IF(D209="","",VLOOKUP(F209,製品マスタ!$G$5:$H$4999,2,FALSE))</f>
        <v>S</v>
      </c>
      <c r="H209" s="256" t="str">
        <f>IF(D209="","",VLOOKUP(F209,製品マスタ!$G$5:$K$4999,5,FALSE))</f>
        <v>MNGKKBF</v>
      </c>
      <c r="I209" s="200" t="str">
        <f>IF(D209="","",VLOOKUP(F209,製品マスタ!$G$5:$L$4999,6,FALSE))</f>
        <v>メタルミー　ネーマー銀消改　Ｂ</v>
      </c>
      <c r="J209" s="203" t="s">
        <v>832</v>
      </c>
      <c r="K209" s="200">
        <f>IF(D209="","",VLOOKUP(D209,契約台帳!$A$3:$L$4986,12,FALSE))</f>
        <v>50</v>
      </c>
      <c r="L209" s="200" t="str">
        <f>IF(D209="","",INDEX(製品マスタ!$Q$5:$Q$4999,MATCH('S4'!F209&amp;'S4'!K209,製品マスタ!$AO$5:$AO$4999,0)))</f>
        <v>S99-MAT</v>
      </c>
      <c r="M209" s="37">
        <v>1120</v>
      </c>
      <c r="N209" s="37">
        <v>4000</v>
      </c>
      <c r="O209" s="153">
        <v>15</v>
      </c>
      <c r="P209" s="45">
        <v>3</v>
      </c>
      <c r="Q209" s="54">
        <v>44965</v>
      </c>
      <c r="R209" s="257">
        <f ca="1">IF(D209="","",IF(OFFSET(D209,-1,0)&lt;&gt;"","",IF(OR(J209="リード付け",J209="巻足し",J209="巻返しリード付け"),M209,VLOOKUP(D209,契約台帳!$A$3:$N$4986,14,FALSE))))</f>
        <v>1120</v>
      </c>
      <c r="S209" s="258">
        <f ca="1">IF(D209="","",IF(OFFSET(D209,-1,0)&lt;&gt;"","",IF(OR(J209="リード付け",J209="巻足し",J209="巻返しリード付け"),M209,VLOOKUP(D209,契約台帳!$A$3:$O$4986,15,FALSE))))</f>
        <v>1120</v>
      </c>
      <c r="T209" s="258">
        <f ca="1">IF(D209="","",IF(J209="リード付け",N209,IF(J209="巻返しリード付け",N209,IF(J209="巻足し",N209*P209+OFFSET(N209,1,0)*OFFSET(P209,1,0),VLOOKUP(D209,契約台帳!$A$3:$P$4986,16,FALSE)))))</f>
        <v>12000</v>
      </c>
      <c r="U209" s="38">
        <v>5</v>
      </c>
      <c r="V209" s="259">
        <f ca="1">IF(D209="","",IF(OFFSET(D209,-2,0)=D209,"",VLOOKUP(D209,契約台帳!$A$3:$R$4986,18,FALSE)))</f>
        <v>15</v>
      </c>
      <c r="W209" s="256" t="str">
        <f ca="1">IF(D209="","",IF(T209="","",IF(OR(J209="巻足し",J209="巻返しリード付け"),"",IF(J209="巻返し",VLOOKUP(F209&amp;K209&amp;M209,製品マスタ!$M$5:$AD$4999,18,FALSE),IF(OR(J209="リード付け",J209="巻返しリード付け"),"原反コア",IF(J209="スリット",VLOOKUP(F209&amp;K209&amp;R209,製品マスタ!$N$5:$AD$4999,17,FALSE),""))))))</f>
        <v/>
      </c>
      <c r="X209" s="256" t="str">
        <f ca="1">IF(D209="","",IF(T209="","",IF(J209="巻足し","",IF(J209="巻返し",VLOOKUP(F209&amp;K209&amp;M209,製品マスタ!$M$5:$AE$4999,19,FALSE),IF(OR(J209="リード付け",J209="巻返しリード付け"),"",IF(J209="スリット",VLOOKUP(F209&amp;K209&amp;R209,製品マスタ!$N$5:$AE$4999,18,FALSE),""))))))</f>
        <v/>
      </c>
      <c r="Y209" s="256">
        <f ca="1">IF(D209="","",IF(T209="","",VLOOKUP(D209,契約台帳!$A$3:$Q$4986,17,FALSE)))</f>
        <v>2</v>
      </c>
      <c r="Z209" s="256" t="str">
        <f ca="1">IF(D209="","",IF(T209="","",VLOOKUP(D209,契約台帳!$A$3:$E$4986,5,FALSE)))</f>
        <v>リンテック㈱</v>
      </c>
      <c r="AA209" s="54"/>
      <c r="AB209" s="200">
        <f>IFERROR((VLOOKUP(F209&amp;K209&amp;M209,製品マスタ!$M$5:$AM$4999,27,FALSE)),"")</f>
        <v>0</v>
      </c>
      <c r="AC209" s="31"/>
      <c r="AD209" s="184"/>
      <c r="AE209" s="51"/>
      <c r="AF209" s="52"/>
      <c r="AG209" s="41"/>
      <c r="AH209" s="45"/>
      <c r="AI209" s="28"/>
      <c r="AJ209" s="28"/>
      <c r="AK209" s="28"/>
      <c r="AL209" s="28"/>
      <c r="AM209" s="12"/>
      <c r="AN209" s="12"/>
      <c r="AO209" s="12"/>
      <c r="AP209" s="12"/>
      <c r="AQ209" s="12"/>
      <c r="AR209" s="13"/>
      <c r="AS209" s="14"/>
    </row>
    <row r="210" spans="1:45" s="16" customFormat="1" ht="30.95" hidden="1" customHeight="1" x14ac:dyDescent="0.2">
      <c r="A210" s="35"/>
      <c r="B210" s="36"/>
      <c r="C210" s="43"/>
      <c r="D210" s="29"/>
      <c r="E210" s="29"/>
      <c r="F210" s="255" t="str">
        <f>IF(D210="","",VLOOKUP(D210,契約台帳!$A$3:$K$4986,6,FALSE)&amp;VLOOKUP(D210,契約台帳!$A$3:$K$4986,7,FALSE)&amp;VLOOKUP(D210,契約台帳!$A$3:$K$4986,8,FALSE)&amp;VLOOKUP(D210,契約台帳!$A$3:$K$4986,9,FALSE)&amp;VLOOKUP(D210,契約台帳!$A$3:$K$4986,11,FALSE))</f>
        <v/>
      </c>
      <c r="G210" s="256" t="str">
        <f>IF(D210="","",VLOOKUP(F210,製品マスタ!$G$5:$H$4999,2,FALSE))</f>
        <v/>
      </c>
      <c r="H210" s="256" t="str">
        <f>IF(D210="","",VLOOKUP(F210,製品マスタ!$G$5:$K$4999,5,FALSE))</f>
        <v/>
      </c>
      <c r="I210" s="200" t="str">
        <f>IF(D210="","",VLOOKUP(F210,製品マスタ!$G$5:$L$4999,6,FALSE))</f>
        <v/>
      </c>
      <c r="J210" s="203"/>
      <c r="K210" s="200" t="str">
        <f>IF(D210="","",VLOOKUP(D210,契約台帳!$A$3:$L$4986,12,FALSE))</f>
        <v/>
      </c>
      <c r="L210" s="200" t="str">
        <f>IF(D210="","",INDEX(製品マスタ!$Q$5:$Q$4999,MATCH('S4'!F210&amp;'S4'!K210,製品マスタ!$AO$5:$AO$4999,0)))</f>
        <v/>
      </c>
      <c r="M210" s="37"/>
      <c r="N210" s="37"/>
      <c r="O210" s="153"/>
      <c r="P210" s="45"/>
      <c r="Q210" s="54"/>
      <c r="R210" s="257" t="str">
        <f ca="1">IF(D210="","",IF(OFFSET(D210,-1,0)&lt;&gt;"","",IF(OR(J210="リード付け",J210="巻足し",J210="巻返しリード付け"),M210,VLOOKUP(D210,契約台帳!$A$3:$N$4986,14,FALSE))))</f>
        <v/>
      </c>
      <c r="S210" s="258" t="str">
        <f ca="1">IF(D210="","",IF(OFFSET(D210,-1,0)&lt;&gt;"","",IF(OR(J210="リード付け",J210="巻足し",J210="巻返しリード付け"),M210,VLOOKUP(D210,契約台帳!$A$3:$O$4986,15,FALSE))))</f>
        <v/>
      </c>
      <c r="T210" s="258" t="str">
        <f ca="1">IF(D210="","",IF(J210="リード付け",N210,IF(J210="巻返しリード付け",N210,IF(J210="巻足し",N210*P210+OFFSET(N210,1,0)*OFFSET(P210,1,0),VLOOKUP(D210,契約台帳!$A$3:$P$4986,16,FALSE)))))</f>
        <v/>
      </c>
      <c r="U210" s="38"/>
      <c r="V210" s="259" t="str">
        <f ca="1">IF(D210="","",IF(OFFSET(D210,-2,0)=D210,"",VLOOKUP(D210,契約台帳!$A$3:$R$4986,18,FALSE)))</f>
        <v/>
      </c>
      <c r="W210" s="256" t="str">
        <f>IF(D210="","",IF(T210="","",IF(OR(J210="巻足し",J210="巻返しリード付け"),"",IF(J210="巻返し",VLOOKUP(F210&amp;K210&amp;M210,製品マスタ!$M$5:$AD$4999,18,FALSE),IF(OR(J210="リード付け",J210="巻返しリード付け"),"原反コア",IF(J210="スリット",VLOOKUP(F210&amp;K210&amp;R210,製品マスタ!$N$5:$AD$4999,17,FALSE),""))))))</f>
        <v/>
      </c>
      <c r="X210" s="256" t="str">
        <f>IF(D210="","",IF(T210="","",IF(J210="巻足し","",IF(J210="巻返し",VLOOKUP(F210&amp;K210&amp;M210,製品マスタ!$M$5:$AE$4999,19,FALSE),IF(OR(J210="リード付け",J210="巻返しリード付け"),"",IF(J210="スリット",VLOOKUP(F210&amp;K210&amp;R210,製品マスタ!$N$5:$AE$4999,18,FALSE),""))))))</f>
        <v/>
      </c>
      <c r="Y210" s="256" t="str">
        <f>IF(D210="","",IF(T210="","",VLOOKUP(D210,契約台帳!$A$3:$Q$4986,17,FALSE)))</f>
        <v/>
      </c>
      <c r="Z210" s="256" t="str">
        <f>IF(D210="","",IF(T210="","",VLOOKUP(D210,契約台帳!$A$3:$E$4986,5,FALSE)))</f>
        <v/>
      </c>
      <c r="AA210" s="54"/>
      <c r="AB210" s="200" t="str">
        <f>IFERROR((VLOOKUP(F210&amp;K210&amp;M210,製品マスタ!$M$5:$AM$4999,27,FALSE)),"")</f>
        <v/>
      </c>
      <c r="AC210" s="31"/>
      <c r="AD210" s="184"/>
      <c r="AE210" s="51"/>
      <c r="AF210" s="52"/>
      <c r="AG210" s="41"/>
      <c r="AH210" s="45"/>
      <c r="AI210" s="28"/>
      <c r="AJ210" s="28"/>
      <c r="AK210" s="28"/>
      <c r="AL210" s="28"/>
      <c r="AM210" s="12"/>
      <c r="AN210" s="12"/>
      <c r="AO210" s="12"/>
      <c r="AP210" s="12"/>
      <c r="AQ210" s="12"/>
      <c r="AR210" s="13"/>
      <c r="AS210" s="14"/>
    </row>
    <row r="211" spans="1:45" s="16" customFormat="1" ht="30.95" hidden="1" customHeight="1" x14ac:dyDescent="0.2">
      <c r="A211" s="35" t="s">
        <v>853</v>
      </c>
      <c r="B211" s="36" t="s">
        <v>443</v>
      </c>
      <c r="C211" s="43"/>
      <c r="D211" s="29">
        <v>3697679</v>
      </c>
      <c r="E211" s="29">
        <v>4161797</v>
      </c>
      <c r="F211" s="255" t="str">
        <f>IF(D211="","",VLOOKUP(D211,契約台帳!$A$3:$K$4986,6,FALSE)&amp;VLOOKUP(D211,契約台帳!$A$3:$K$4986,7,FALSE)&amp;VLOOKUP(D211,契約台帳!$A$3:$K$4986,8,FALSE)&amp;VLOOKUP(D211,契約台帳!$A$3:$K$4986,9,FALSE)&amp;VLOOKUP(D211,契約台帳!$A$3:$K$4986,11,FALSE))</f>
        <v>3SNMCLBHLGTV</v>
      </c>
      <c r="G211" s="256" t="str">
        <f>IF(D211="","",VLOOKUP(F211,製品マスタ!$G$5:$H$4999,2,FALSE))</f>
        <v>S</v>
      </c>
      <c r="H211" s="256" t="str">
        <f>IF(D211="","",VLOOKUP(F211,製品マスタ!$G$5:$K$4999,5,FALSE))</f>
        <v>HLGTV</v>
      </c>
      <c r="I211" s="200" t="str">
        <f>IF(D211="","",VLOOKUP(F211,製品マスタ!$G$5:$L$4999,6,FALSE))</f>
        <v>メタルミー　ヘヤライン　銀艶Ｖ</v>
      </c>
      <c r="J211" s="203" t="s">
        <v>832</v>
      </c>
      <c r="K211" s="200">
        <f>IF(D211="","",VLOOKUP(D211,契約台帳!$A$3:$L$4986,12,FALSE))</f>
        <v>50</v>
      </c>
      <c r="L211" s="200" t="str">
        <f>IF(D211="","",INDEX(製品マスタ!$Q$5:$Q$4999,MATCH('S4'!F211&amp;'S4'!K211,製品マスタ!$AO$5:$AO$4999,0)))</f>
        <v>BRIGHT</v>
      </c>
      <c r="M211" s="37">
        <v>1005</v>
      </c>
      <c r="N211" s="37">
        <v>4000</v>
      </c>
      <c r="O211" s="153">
        <v>9</v>
      </c>
      <c r="P211" s="45">
        <v>3</v>
      </c>
      <c r="Q211" s="54">
        <v>44965</v>
      </c>
      <c r="R211" s="257">
        <f ca="1">IF(D211="","",IF(OFFSET(D211,-1,0)&lt;&gt;"","",IF(OR(J211="リード付け",J211="巻足し",J211="巻返しリード付け"),M211,VLOOKUP(D211,契約台帳!$A$3:$N$4986,14,FALSE))))</f>
        <v>1005</v>
      </c>
      <c r="S211" s="258">
        <f ca="1">IF(D211="","",IF(OFFSET(D211,-1,0)&lt;&gt;"","",IF(OR(J211="リード付け",J211="巻足し",J211="巻返しリード付け"),M211,VLOOKUP(D211,契約台帳!$A$3:$O$4986,15,FALSE))))</f>
        <v>1005</v>
      </c>
      <c r="T211" s="258">
        <f ca="1">IF(D211="","",IF(J211="リード付け",N211,IF(J211="巻返しリード付け",N211,IF(J211="巻足し",N211*P211+OFFSET(N211,1,0)*OFFSET(P211,1,0),VLOOKUP(D211,契約台帳!$A$3:$P$4986,16,FALSE)))))</f>
        <v>12000</v>
      </c>
      <c r="U211" s="38">
        <v>3</v>
      </c>
      <c r="V211" s="259">
        <f ca="1">IF(D211="","",IF(OFFSET(D211,-2,0)=D211,"",VLOOKUP(D211,契約台帳!$A$3:$R$4986,18,FALSE)))</f>
        <v>9</v>
      </c>
      <c r="W211" s="256" t="str">
        <f ca="1">IF(D211="","",IF(T211="","",IF(OR(J211="巻足し",J211="巻返しリード付け"),"",IF(J211="巻返し",VLOOKUP(F211&amp;K211&amp;M211,製品マスタ!$M$5:$AD$4999,18,FALSE),IF(OR(J211="リード付け",J211="巻返しリード付け"),"原反コア",IF(J211="スリット",VLOOKUP(F211&amp;K211&amp;R211,製品マスタ!$N$5:$AD$4999,17,FALSE),""))))))</f>
        <v/>
      </c>
      <c r="X211" s="256" t="str">
        <f ca="1">IF(D211="","",IF(T211="","",IF(J211="巻足し","",IF(J211="巻返し",VLOOKUP(F211&amp;K211&amp;M211,製品マスタ!$M$5:$AE$4999,19,FALSE),IF(OR(J211="リード付け",J211="巻返しリード付け"),"",IF(J211="スリット",VLOOKUP(F211&amp;K211&amp;R211,製品マスタ!$N$5:$AE$4999,18,FALSE),""))))))</f>
        <v/>
      </c>
      <c r="Y211" s="256">
        <f ca="1">IF(D211="","",IF(T211="","",VLOOKUP(D211,契約台帳!$A$3:$Q$4986,17,FALSE)))</f>
        <v>2</v>
      </c>
      <c r="Z211" s="256" t="str">
        <f ca="1">IF(D211="","",IF(T211="","",VLOOKUP(D211,契約台帳!$A$3:$E$4986,5,FALSE)))</f>
        <v>リンテック㈱</v>
      </c>
      <c r="AA211" s="54"/>
      <c r="AB211" s="200">
        <f>IFERROR((VLOOKUP(F211&amp;K211&amp;M211,製品マスタ!$M$5:$AM$4999,27,FALSE)),"")</f>
        <v>0</v>
      </c>
      <c r="AC211" s="31"/>
      <c r="AD211" s="184"/>
      <c r="AE211" s="51"/>
      <c r="AF211" s="52"/>
      <c r="AG211" s="41"/>
      <c r="AH211" s="45"/>
      <c r="AI211" s="28"/>
      <c r="AJ211" s="28"/>
      <c r="AK211" s="28"/>
      <c r="AL211" s="28"/>
      <c r="AM211" s="12"/>
      <c r="AN211" s="12"/>
      <c r="AO211" s="12"/>
      <c r="AP211" s="12"/>
      <c r="AQ211" s="12"/>
      <c r="AR211" s="13"/>
      <c r="AS211" s="14"/>
    </row>
    <row r="212" spans="1:45" s="16" customFormat="1" ht="30.95" hidden="1" customHeight="1" x14ac:dyDescent="0.2">
      <c r="A212" s="35"/>
      <c r="B212" s="36"/>
      <c r="C212" s="43"/>
      <c r="D212" s="29"/>
      <c r="E212" s="29"/>
      <c r="F212" s="255" t="str">
        <f>IF(D212="","",VLOOKUP(D212,契約台帳!$A$3:$K$4986,6,FALSE)&amp;VLOOKUP(D212,契約台帳!$A$3:$K$4986,7,FALSE)&amp;VLOOKUP(D212,契約台帳!$A$3:$K$4986,8,FALSE)&amp;VLOOKUP(D212,契約台帳!$A$3:$K$4986,9,FALSE)&amp;VLOOKUP(D212,契約台帳!$A$3:$K$4986,11,FALSE))</f>
        <v/>
      </c>
      <c r="G212" s="256" t="str">
        <f>IF(D212="","",VLOOKUP(F212,製品マスタ!$G$5:$H$4999,2,FALSE))</f>
        <v/>
      </c>
      <c r="H212" s="256" t="str">
        <f>IF(D212="","",VLOOKUP(F212,製品マスタ!$G$5:$K$4999,5,FALSE))</f>
        <v/>
      </c>
      <c r="I212" s="200" t="str">
        <f>IF(D212="","",VLOOKUP(F212,製品マスタ!$G$5:$L$4999,6,FALSE))</f>
        <v/>
      </c>
      <c r="J212" s="203"/>
      <c r="K212" s="200" t="str">
        <f>IF(D212="","",VLOOKUP(D212,契約台帳!$A$3:$L$4986,12,FALSE))</f>
        <v/>
      </c>
      <c r="L212" s="200" t="str">
        <f>IF(D212="","",INDEX(製品マスタ!$Q$5:$Q$4999,MATCH('S4'!F212&amp;'S4'!K212,製品マスタ!$AO$5:$AO$4999,0)))</f>
        <v/>
      </c>
      <c r="M212" s="37"/>
      <c r="N212" s="37"/>
      <c r="O212" s="153"/>
      <c r="P212" s="45"/>
      <c r="Q212" s="54"/>
      <c r="R212" s="257" t="str">
        <f ca="1">IF(D212="","",IF(OFFSET(D212,-1,0)&lt;&gt;"","",IF(OR(J212="リード付け",J212="巻足し",J212="巻返しリード付け"),M212,VLOOKUP(D212,契約台帳!$A$3:$N$4986,14,FALSE))))</f>
        <v/>
      </c>
      <c r="S212" s="258" t="str">
        <f ca="1">IF(D212="","",IF(OFFSET(D212,-1,0)&lt;&gt;"","",IF(OR(J212="リード付け",J212="巻足し",J212="巻返しリード付け"),M212,VLOOKUP(D212,契約台帳!$A$3:$O$4986,15,FALSE))))</f>
        <v/>
      </c>
      <c r="T212" s="258" t="str">
        <f ca="1">IF(D212="","",IF(J212="リード付け",N212,IF(J212="巻返しリード付け",N212,IF(J212="巻足し",N212*P212+OFFSET(N212,1,0)*OFFSET(P212,1,0),VLOOKUP(D212,契約台帳!$A$3:$P$4986,16,FALSE)))))</f>
        <v/>
      </c>
      <c r="U212" s="38"/>
      <c r="V212" s="259" t="str">
        <f ca="1">IF(D212="","",IF(OFFSET(D212,-2,0)=D212,"",VLOOKUP(D212,契約台帳!$A$3:$R$4986,18,FALSE)))</f>
        <v/>
      </c>
      <c r="W212" s="256" t="str">
        <f>IF(D212="","",IF(T212="","",IF(OR(J212="巻足し",J212="巻返しリード付け"),"",IF(J212="巻返し",VLOOKUP(F212&amp;K212&amp;M212,製品マスタ!$M$5:$AD$4999,18,FALSE),IF(OR(J212="リード付け",J212="巻返しリード付け"),"原反コア",IF(J212="スリット",VLOOKUP(F212&amp;K212&amp;R212,製品マスタ!$N$5:$AD$4999,17,FALSE),""))))))</f>
        <v/>
      </c>
      <c r="X212" s="256" t="str">
        <f>IF(D212="","",IF(T212="","",IF(J212="巻足し","",IF(J212="巻返し",VLOOKUP(F212&amp;K212&amp;M212,製品マスタ!$M$5:$AE$4999,19,FALSE),IF(OR(J212="リード付け",J212="巻返しリード付け"),"",IF(J212="スリット",VLOOKUP(F212&amp;K212&amp;R212,製品マスタ!$N$5:$AE$4999,18,FALSE),""))))))</f>
        <v/>
      </c>
      <c r="Y212" s="256" t="str">
        <f>IF(D212="","",IF(T212="","",VLOOKUP(D212,契約台帳!$A$3:$Q$4986,17,FALSE)))</f>
        <v/>
      </c>
      <c r="Z212" s="256" t="str">
        <f>IF(D212="","",IF(T212="","",VLOOKUP(D212,契約台帳!$A$3:$E$4986,5,FALSE)))</f>
        <v/>
      </c>
      <c r="AA212" s="54"/>
      <c r="AB212" s="200" t="str">
        <f>IFERROR((VLOOKUP(F212&amp;K212&amp;M212,製品マスタ!$M$5:$AM$4999,27,FALSE)),"")</f>
        <v/>
      </c>
      <c r="AC212" s="31"/>
      <c r="AD212" s="184"/>
      <c r="AE212" s="51"/>
      <c r="AF212" s="52"/>
      <c r="AG212" s="41"/>
      <c r="AH212" s="45"/>
      <c r="AI212" s="28"/>
      <c r="AJ212" s="28"/>
      <c r="AK212" s="28"/>
      <c r="AL212" s="28"/>
      <c r="AM212" s="12"/>
      <c r="AN212" s="12"/>
      <c r="AO212" s="12"/>
      <c r="AP212" s="12"/>
      <c r="AQ212" s="12"/>
      <c r="AR212" s="13"/>
      <c r="AS212" s="14"/>
    </row>
    <row r="213" spans="1:45" s="16" customFormat="1" ht="30.95" hidden="1" customHeight="1" x14ac:dyDescent="0.2">
      <c r="A213" s="35" t="s">
        <v>871</v>
      </c>
      <c r="B213" s="36" t="s">
        <v>872</v>
      </c>
      <c r="C213" s="43"/>
      <c r="D213" s="29">
        <v>3697673</v>
      </c>
      <c r="E213" s="29">
        <v>4161792</v>
      </c>
      <c r="F213" s="255" t="str">
        <f>IF(D213="","",VLOOKUP(D213,契約台帳!$A$3:$K$4986,6,FALSE)&amp;VLOOKUP(D213,契約台帳!$A$3:$K$4986,7,FALSE)&amp;VLOOKUP(D213,契約台帳!$A$3:$K$4986,8,FALSE)&amp;VLOOKUP(D213,契約台帳!$A$3:$K$4986,9,FALSE)&amp;VLOOKUP(D213,契約台帳!$A$3:$K$4986,11,FALSE))</f>
        <v>33SSNMCLBTETKFV</v>
      </c>
      <c r="G213" s="256" t="str">
        <f>IF(D213="","",VLOOKUP(F213,製品マスタ!$G$5:$H$4999,2,FALSE))</f>
        <v>S</v>
      </c>
      <c r="H213" s="256" t="str">
        <f>IF(D213="","",VLOOKUP(F213,製品マスタ!$G$5:$K$4999,5,FALSE))</f>
        <v>TETKFV</v>
      </c>
      <c r="I213" s="200" t="str">
        <f>IF(D213="","",VLOOKUP(F213,製品マスタ!$G$5:$L$4999,6,FALSE))</f>
        <v>メタルミー　ＴＥＳ艶開封　Ｖ</v>
      </c>
      <c r="J213" s="203" t="s">
        <v>832</v>
      </c>
      <c r="K213" s="200">
        <f>IF(D213="","",VLOOKUP(D213,契約台帳!$A$3:$L$4986,12,FALSE))</f>
        <v>50</v>
      </c>
      <c r="L213" s="200" t="str">
        <f>IF(D213="","",INDEX(製品マスタ!$Q$5:$Q$4999,MATCH('S4'!F213&amp;'S4'!K213,製品マスタ!$AO$5:$AO$4999,0)))</f>
        <v>S28SEPA</v>
      </c>
      <c r="M213" s="37">
        <v>1005</v>
      </c>
      <c r="N213" s="37">
        <v>4100</v>
      </c>
      <c r="O213" s="153">
        <v>3</v>
      </c>
      <c r="P213" s="45">
        <v>3</v>
      </c>
      <c r="Q213" s="54">
        <v>44967</v>
      </c>
      <c r="R213" s="257">
        <f ca="1">IF(D213="","",IF(OFFSET(D213,-1,0)&lt;&gt;"","",IF(OR(J213="リード付け",J213="巻足し",J213="巻返しリード付け"),M213,VLOOKUP(D213,契約台帳!$A$3:$N$4986,14,FALSE))))</f>
        <v>1005</v>
      </c>
      <c r="S213" s="258">
        <f ca="1">IF(D213="","",IF(OFFSET(D213,-1,0)&lt;&gt;"","",IF(OR(J213="リード付け",J213="巻足し",J213="巻返しリード付け"),M213,VLOOKUP(D213,契約台帳!$A$3:$O$4986,15,FALSE))))</f>
        <v>1005</v>
      </c>
      <c r="T213" s="258">
        <f ca="1">IF(D213="","",IF(J213="リード付け",N213,IF(J213="巻返しリード付け",N213,IF(J213="巻足し",N213*P213+OFFSET(N213,1,0)*OFFSET(P213,1,0),VLOOKUP(D213,契約台帳!$A$3:$P$4986,16,FALSE)))))</f>
        <v>12300</v>
      </c>
      <c r="U213" s="38">
        <v>1</v>
      </c>
      <c r="V213" s="259">
        <f ca="1">IF(D213="","",IF(OFFSET(D213,-2,0)=D213,"",VLOOKUP(D213,契約台帳!$A$3:$R$4986,18,FALSE)))</f>
        <v>3</v>
      </c>
      <c r="W213" s="256" t="str">
        <f ca="1">IF(D213="","",IF(T213="","",IF(OR(J213="巻足し",J213="巻返しリード付け"),"",IF(J213="巻返し",VLOOKUP(F213&amp;K213&amp;M213,製品マスタ!$M$5:$AD$4999,18,FALSE),IF(OR(J213="リード付け",J213="巻返しリード付け"),"原反コア",IF(J213="スリット",VLOOKUP(F213&amp;K213&amp;R213,製品マスタ!$N$5:$AD$4999,17,FALSE),""))))))</f>
        <v/>
      </c>
      <c r="X213" s="256" t="str">
        <f ca="1">IF(D213="","",IF(T213="","",IF(J213="巻足し","",IF(J213="巻返し",VLOOKUP(F213&amp;K213&amp;M213,製品マスタ!$M$5:$AE$4999,19,FALSE),IF(OR(J213="リード付け",J213="巻返しリード付け"),"",IF(J213="スリット",VLOOKUP(F213&amp;K213&amp;R213,製品マスタ!$N$5:$AE$4999,18,FALSE),""))))))</f>
        <v/>
      </c>
      <c r="Y213" s="256">
        <f ca="1">IF(D213="","",IF(T213="","",VLOOKUP(D213,契約台帳!$A$3:$Q$4986,17,FALSE)))</f>
        <v>2</v>
      </c>
      <c r="Z213" s="256" t="str">
        <f ca="1">IF(D213="","",IF(T213="","",VLOOKUP(D213,契約台帳!$A$3:$E$4986,5,FALSE)))</f>
        <v>リンテック㈱</v>
      </c>
      <c r="AA213" s="54"/>
      <c r="AB213" s="200">
        <f>IFERROR((VLOOKUP(F213&amp;K213&amp;M213,製品マスタ!$M$5:$AM$4999,27,FALSE)),"")</f>
        <v>0</v>
      </c>
      <c r="AC213" s="31"/>
      <c r="AD213" s="184"/>
      <c r="AE213" s="51"/>
      <c r="AF213" s="52"/>
      <c r="AG213" s="41"/>
      <c r="AH213" s="45"/>
      <c r="AI213" s="28"/>
      <c r="AJ213" s="28"/>
      <c r="AK213" s="28"/>
      <c r="AL213" s="28"/>
      <c r="AM213" s="12"/>
      <c r="AN213" s="12"/>
      <c r="AO213" s="12"/>
      <c r="AP213" s="12"/>
      <c r="AQ213" s="12"/>
      <c r="AR213" s="13"/>
      <c r="AS213" s="14"/>
    </row>
    <row r="214" spans="1:45" s="16" customFormat="1" ht="30.95" hidden="1" customHeight="1" x14ac:dyDescent="0.2">
      <c r="A214" s="35"/>
      <c r="B214" s="36"/>
      <c r="C214" s="43"/>
      <c r="D214" s="29"/>
      <c r="E214" s="29"/>
      <c r="F214" s="255" t="str">
        <f>IF(D214="","",VLOOKUP(D214,契約台帳!$A$3:$K$4986,6,FALSE)&amp;VLOOKUP(D214,契約台帳!$A$3:$K$4986,7,FALSE)&amp;VLOOKUP(D214,契約台帳!$A$3:$K$4986,8,FALSE)&amp;VLOOKUP(D214,契約台帳!$A$3:$K$4986,9,FALSE)&amp;VLOOKUP(D214,契約台帳!$A$3:$K$4986,11,FALSE))</f>
        <v/>
      </c>
      <c r="G214" s="256" t="str">
        <f>IF(D214="","",VLOOKUP(F214,製品マスタ!$G$5:$H$4999,2,FALSE))</f>
        <v/>
      </c>
      <c r="H214" s="256" t="str">
        <f>IF(D214="","",VLOOKUP(F214,製品マスタ!$G$5:$K$4999,5,FALSE))</f>
        <v/>
      </c>
      <c r="I214" s="200" t="str">
        <f>IF(D214="","",VLOOKUP(F214,製品マスタ!$G$5:$L$4999,6,FALSE))</f>
        <v/>
      </c>
      <c r="J214" s="203"/>
      <c r="K214" s="200" t="str">
        <f>IF(D214="","",VLOOKUP(D214,契約台帳!$A$3:$L$4986,12,FALSE))</f>
        <v/>
      </c>
      <c r="L214" s="200" t="str">
        <f>IF(D214="","",INDEX(製品マスタ!$Q$5:$Q$4999,MATCH('S4'!F214&amp;'S4'!K214,製品マスタ!$AO$5:$AO$4999,0)))</f>
        <v/>
      </c>
      <c r="M214" s="37"/>
      <c r="N214" s="37"/>
      <c r="O214" s="153"/>
      <c r="P214" s="45"/>
      <c r="Q214" s="54"/>
      <c r="R214" s="257" t="str">
        <f ca="1">IF(D214="","",IF(OFFSET(D214,-1,0)&lt;&gt;"","",IF(OR(J214="リード付け",J214="巻足し",J214="巻返しリード付け"),M214,VLOOKUP(D214,契約台帳!$A$3:$N$4986,14,FALSE))))</f>
        <v/>
      </c>
      <c r="S214" s="258" t="str">
        <f ca="1">IF(D214="","",IF(OFFSET(D214,-1,0)&lt;&gt;"","",IF(OR(J214="リード付け",J214="巻足し",J214="巻返しリード付け"),M214,VLOOKUP(D214,契約台帳!$A$3:$O$4986,15,FALSE))))</f>
        <v/>
      </c>
      <c r="T214" s="258" t="str">
        <f ca="1">IF(D214="","",IF(J214="リード付け",N214,IF(J214="巻返しリード付け",N214,IF(J214="巻足し",N214*P214+OFFSET(N214,1,0)*OFFSET(P214,1,0),VLOOKUP(D214,契約台帳!$A$3:$P$4986,16,FALSE)))))</f>
        <v/>
      </c>
      <c r="U214" s="38"/>
      <c r="V214" s="259" t="str">
        <f ca="1">IF(D214="","",IF(OFFSET(D214,-2,0)=D214,"",VLOOKUP(D214,契約台帳!$A$3:$R$4986,18,FALSE)))</f>
        <v/>
      </c>
      <c r="W214" s="256" t="str">
        <f>IF(D214="","",IF(T214="","",IF(OR(J214="巻足し",J214="巻返しリード付け"),"",IF(J214="巻返し",VLOOKUP(F214&amp;K214&amp;M214,製品マスタ!$M$5:$AD$4999,18,FALSE),IF(OR(J214="リード付け",J214="巻返しリード付け"),"原反コア",IF(J214="スリット",VLOOKUP(F214&amp;K214&amp;R214,製品マスタ!$N$5:$AD$4999,17,FALSE),""))))))</f>
        <v/>
      </c>
      <c r="X214" s="256" t="str">
        <f>IF(D214="","",IF(T214="","",IF(J214="巻足し","",IF(J214="巻返し",VLOOKUP(F214&amp;K214&amp;M214,製品マスタ!$M$5:$AE$4999,19,FALSE),IF(OR(J214="リード付け",J214="巻返しリード付け"),"",IF(J214="スリット",VLOOKUP(F214&amp;K214&amp;R214,製品マスタ!$N$5:$AE$4999,18,FALSE),""))))))</f>
        <v/>
      </c>
      <c r="Y214" s="256" t="str">
        <f>IF(D214="","",IF(T214="","",VLOOKUP(D214,契約台帳!$A$3:$Q$4986,17,FALSE)))</f>
        <v/>
      </c>
      <c r="Z214" s="256" t="str">
        <f>IF(D214="","",IF(T214="","",VLOOKUP(D214,契約台帳!$A$3:$E$4986,5,FALSE)))</f>
        <v/>
      </c>
      <c r="AA214" s="54"/>
      <c r="AB214" s="200" t="str">
        <f>IFERROR((VLOOKUP(F214&amp;K214&amp;M214,製品マスタ!$M$5:$AM$4999,27,FALSE)),"")</f>
        <v/>
      </c>
      <c r="AC214" s="31"/>
      <c r="AD214" s="184"/>
      <c r="AE214" s="51"/>
      <c r="AF214" s="52"/>
      <c r="AG214" s="41"/>
      <c r="AH214" s="45"/>
      <c r="AI214" s="28"/>
      <c r="AJ214" s="28"/>
      <c r="AK214" s="28"/>
      <c r="AL214" s="28"/>
      <c r="AM214" s="12"/>
      <c r="AN214" s="12"/>
      <c r="AO214" s="12"/>
      <c r="AP214" s="12"/>
      <c r="AQ214" s="12"/>
      <c r="AR214" s="13"/>
      <c r="AS214" s="14"/>
    </row>
    <row r="215" spans="1:45" s="16" customFormat="1" ht="30.95" hidden="1" customHeight="1" x14ac:dyDescent="0.2">
      <c r="A215" s="35"/>
      <c r="B215" s="36"/>
      <c r="C215" s="43"/>
      <c r="D215" s="29">
        <v>3697671</v>
      </c>
      <c r="E215" s="29">
        <v>4161790</v>
      </c>
      <c r="F215" s="255" t="str">
        <f>IF(D215="","",VLOOKUP(D215,契約台帳!$A$3:$K$4986,6,FALSE)&amp;VLOOKUP(D215,契約台帳!$A$3:$K$4986,7,FALSE)&amp;VLOOKUP(D215,契約台帳!$A$3:$K$4986,8,FALSE)&amp;VLOOKUP(D215,契約台帳!$A$3:$K$4986,9,FALSE)&amp;VLOOKUP(D215,契約台帳!$A$3:$K$4986,11,FALSE))</f>
        <v>33SSNMCLBTEKKFV</v>
      </c>
      <c r="G215" s="256" t="str">
        <f>IF(D215="","",VLOOKUP(F215,製品マスタ!$G$5:$H$4999,2,FALSE))</f>
        <v>S</v>
      </c>
      <c r="H215" s="256" t="str">
        <f>IF(D215="","",VLOOKUP(F215,製品マスタ!$G$5:$K$4999,5,FALSE))</f>
        <v>TEKKFV</v>
      </c>
      <c r="I215" s="200" t="str">
        <f>IF(D215="","",VLOOKUP(F215,製品マスタ!$G$5:$L$4999,6,FALSE))</f>
        <v>メタルミー　ＴＥＳ消開封　Ｖ</v>
      </c>
      <c r="J215" s="203" t="s">
        <v>832</v>
      </c>
      <c r="K215" s="200">
        <f>IF(D215="","",VLOOKUP(D215,契約台帳!$A$3:$L$4986,12,FALSE))</f>
        <v>50</v>
      </c>
      <c r="L215" s="200" t="str">
        <f>IF(D215="","",INDEX(製品マスタ!$Q$5:$Q$4999,MATCH('S4'!F215&amp;'S4'!K215,製品マスタ!$AO$5:$AO$4999,0)))</f>
        <v>X44SEPA</v>
      </c>
      <c r="M215" s="37">
        <v>1005</v>
      </c>
      <c r="N215" s="37">
        <v>4000</v>
      </c>
      <c r="O215" s="153">
        <v>3</v>
      </c>
      <c r="P215" s="45">
        <v>3</v>
      </c>
      <c r="Q215" s="54">
        <v>44967</v>
      </c>
      <c r="R215" s="257">
        <f ca="1">IF(D215="","",IF(OFFSET(D215,-1,0)&lt;&gt;"","",IF(OR(J215="リード付け",J215="巻足し",J215="巻返しリード付け"),M215,VLOOKUP(D215,契約台帳!$A$3:$N$4986,14,FALSE))))</f>
        <v>1005</v>
      </c>
      <c r="S215" s="258">
        <f ca="1">IF(D215="","",IF(OFFSET(D215,-1,0)&lt;&gt;"","",IF(OR(J215="リード付け",J215="巻足し",J215="巻返しリード付け"),M215,VLOOKUP(D215,契約台帳!$A$3:$O$4986,15,FALSE))))</f>
        <v>1005</v>
      </c>
      <c r="T215" s="258">
        <f ca="1">IF(D215="","",IF(J215="リード付け",N215,IF(J215="巻返しリード付け",N215,IF(J215="巻足し",N215*P215+OFFSET(N215,1,0)*OFFSET(P215,1,0),VLOOKUP(D215,契約台帳!$A$3:$P$4986,16,FALSE)))))</f>
        <v>12000</v>
      </c>
      <c r="U215" s="38">
        <v>1</v>
      </c>
      <c r="V215" s="259">
        <f ca="1">IF(D215="","",IF(OFFSET(D215,-2,0)=D215,"",VLOOKUP(D215,契約台帳!$A$3:$R$4986,18,FALSE)))</f>
        <v>3</v>
      </c>
      <c r="W215" s="256" t="str">
        <f ca="1">IF(D215="","",IF(T215="","",IF(OR(J215="巻足し",J215="巻返しリード付け"),"",IF(J215="巻返し",VLOOKUP(F215&amp;K215&amp;M215,製品マスタ!$M$5:$AD$4999,18,FALSE),IF(OR(J215="リード付け",J215="巻返しリード付け"),"原反コア",IF(J215="スリット",VLOOKUP(F215&amp;K215&amp;R215,製品マスタ!$N$5:$AD$4999,17,FALSE),""))))))</f>
        <v/>
      </c>
      <c r="X215" s="256" t="str">
        <f ca="1">IF(D215="","",IF(T215="","",IF(J215="巻足し","",IF(J215="巻返し",VLOOKUP(F215&amp;K215&amp;M215,製品マスタ!$M$5:$AE$4999,19,FALSE),IF(OR(J215="リード付け",J215="巻返しリード付け"),"",IF(J215="スリット",VLOOKUP(F215&amp;K215&amp;R215,製品マスタ!$N$5:$AE$4999,18,FALSE),""))))))</f>
        <v/>
      </c>
      <c r="Y215" s="256">
        <f ca="1">IF(D215="","",IF(T215="","",VLOOKUP(D215,契約台帳!$A$3:$Q$4986,17,FALSE)))</f>
        <v>2</v>
      </c>
      <c r="Z215" s="256" t="str">
        <f ca="1">IF(D215="","",IF(T215="","",VLOOKUP(D215,契約台帳!$A$3:$E$4986,5,FALSE)))</f>
        <v>リンテック㈱</v>
      </c>
      <c r="AA215" s="54"/>
      <c r="AB215" s="200">
        <f>IFERROR((VLOOKUP(F215&amp;K215&amp;M215,製品マスタ!$M$5:$AM$4999,27,FALSE)),"")</f>
        <v>0</v>
      </c>
      <c r="AC215" s="31"/>
      <c r="AD215" s="184"/>
      <c r="AE215" s="51"/>
      <c r="AF215" s="52"/>
      <c r="AG215" s="41"/>
      <c r="AH215" s="45"/>
      <c r="AI215" s="28"/>
      <c r="AJ215" s="28"/>
      <c r="AK215" s="28"/>
      <c r="AL215" s="28"/>
      <c r="AM215" s="12"/>
      <c r="AN215" s="12"/>
      <c r="AO215" s="12"/>
      <c r="AP215" s="12"/>
      <c r="AQ215" s="12"/>
      <c r="AR215" s="13"/>
      <c r="AS215" s="14"/>
    </row>
    <row r="216" spans="1:45" s="16" customFormat="1" ht="30.95" hidden="1" customHeight="1" x14ac:dyDescent="0.2">
      <c r="A216" s="35"/>
      <c r="B216" s="36"/>
      <c r="C216" s="43"/>
      <c r="D216" s="29"/>
      <c r="E216" s="29"/>
      <c r="F216" s="255" t="str">
        <f>IF(D216="","",VLOOKUP(D216,契約台帳!$A$3:$K$4986,6,FALSE)&amp;VLOOKUP(D216,契約台帳!$A$3:$K$4986,7,FALSE)&amp;VLOOKUP(D216,契約台帳!$A$3:$K$4986,8,FALSE)&amp;VLOOKUP(D216,契約台帳!$A$3:$K$4986,9,FALSE)&amp;VLOOKUP(D216,契約台帳!$A$3:$K$4986,11,FALSE))</f>
        <v/>
      </c>
      <c r="G216" s="256" t="str">
        <f>IF(D216="","",VLOOKUP(F216,製品マスタ!$G$5:$H$4999,2,FALSE))</f>
        <v/>
      </c>
      <c r="H216" s="256" t="str">
        <f>IF(D216="","",VLOOKUP(F216,製品マスタ!$G$5:$K$4999,5,FALSE))</f>
        <v/>
      </c>
      <c r="I216" s="200" t="str">
        <f>IF(D216="","",VLOOKUP(F216,製品マスタ!$G$5:$L$4999,6,FALSE))</f>
        <v/>
      </c>
      <c r="J216" s="203"/>
      <c r="K216" s="200" t="str">
        <f>IF(D216="","",VLOOKUP(D216,契約台帳!$A$3:$L$4986,12,FALSE))</f>
        <v/>
      </c>
      <c r="L216" s="200" t="str">
        <f>IF(D216="","",INDEX(製品マスタ!$Q$5:$Q$4999,MATCH('S4'!F216&amp;'S4'!K216,製品マスタ!$AO$5:$AO$4999,0)))</f>
        <v/>
      </c>
      <c r="M216" s="37"/>
      <c r="N216" s="37"/>
      <c r="O216" s="153"/>
      <c r="P216" s="45"/>
      <c r="Q216" s="54"/>
      <c r="R216" s="257" t="str">
        <f ca="1">IF(D216="","",IF(OFFSET(D216,-1,0)&lt;&gt;"","",IF(OR(J216="リード付け",J216="巻足し",J216="巻返しリード付け"),M216,VLOOKUP(D216,契約台帳!$A$3:$N$4986,14,FALSE))))</f>
        <v/>
      </c>
      <c r="S216" s="258" t="str">
        <f ca="1">IF(D216="","",IF(OFFSET(D216,-1,0)&lt;&gt;"","",IF(OR(J216="リード付け",J216="巻足し",J216="巻返しリード付け"),M216,VLOOKUP(D216,契約台帳!$A$3:$O$4986,15,FALSE))))</f>
        <v/>
      </c>
      <c r="T216" s="258" t="str">
        <f ca="1">IF(D216="","",IF(J216="リード付け",N216,IF(J216="巻返しリード付け",N216,IF(J216="巻足し",N216*P216+OFFSET(N216,1,0)*OFFSET(P216,1,0),VLOOKUP(D216,契約台帳!$A$3:$P$4986,16,FALSE)))))</f>
        <v/>
      </c>
      <c r="U216" s="38"/>
      <c r="V216" s="259" t="str">
        <f ca="1">IF(D216="","",IF(OFFSET(D216,-2,0)=D216,"",VLOOKUP(D216,契約台帳!$A$3:$R$4986,18,FALSE)))</f>
        <v/>
      </c>
      <c r="W216" s="256" t="str">
        <f>IF(D216="","",IF(T216="","",IF(OR(J216="巻足し",J216="巻返しリード付け"),"",IF(J216="巻返し",VLOOKUP(F216&amp;K216&amp;M216,製品マスタ!$M$5:$AD$4999,18,FALSE),IF(OR(J216="リード付け",J216="巻返しリード付け"),"原反コア",IF(J216="スリット",VLOOKUP(F216&amp;K216&amp;R216,製品マスタ!$N$5:$AD$4999,17,FALSE),""))))))</f>
        <v/>
      </c>
      <c r="X216" s="256" t="str">
        <f>IF(D216="","",IF(T216="","",IF(J216="巻足し","",IF(J216="巻返し",VLOOKUP(F216&amp;K216&amp;M216,製品マスタ!$M$5:$AE$4999,19,FALSE),IF(OR(J216="リード付け",J216="巻返しリード付け"),"",IF(J216="スリット",VLOOKUP(F216&amp;K216&amp;R216,製品マスタ!$N$5:$AE$4999,18,FALSE),""))))))</f>
        <v/>
      </c>
      <c r="Y216" s="256" t="str">
        <f>IF(D216="","",IF(T216="","",VLOOKUP(D216,契約台帳!$A$3:$Q$4986,17,FALSE)))</f>
        <v/>
      </c>
      <c r="Z216" s="256" t="str">
        <f>IF(D216="","",IF(T216="","",VLOOKUP(D216,契約台帳!$A$3:$E$4986,5,FALSE)))</f>
        <v/>
      </c>
      <c r="AA216" s="54"/>
      <c r="AB216" s="200" t="str">
        <f>IFERROR((VLOOKUP(F216&amp;K216&amp;M216,製品マスタ!$M$5:$AM$4999,27,FALSE)),"")</f>
        <v/>
      </c>
      <c r="AC216" s="31"/>
      <c r="AD216" s="184"/>
      <c r="AE216" s="51"/>
      <c r="AF216" s="52"/>
      <c r="AG216" s="41"/>
      <c r="AH216" s="45"/>
      <c r="AI216" s="28"/>
      <c r="AJ216" s="28"/>
      <c r="AK216" s="28"/>
      <c r="AL216" s="28"/>
      <c r="AM216" s="12"/>
      <c r="AN216" s="12"/>
      <c r="AO216" s="12"/>
      <c r="AP216" s="12"/>
      <c r="AQ216" s="12"/>
      <c r="AR216" s="13"/>
      <c r="AS216" s="14"/>
    </row>
    <row r="217" spans="1:45" s="16" customFormat="1" ht="30.95" hidden="1" customHeight="1" x14ac:dyDescent="0.2">
      <c r="A217" s="35"/>
      <c r="B217" s="36"/>
      <c r="C217" s="43"/>
      <c r="D217" s="29">
        <v>3697672</v>
      </c>
      <c r="E217" s="29">
        <v>4161791</v>
      </c>
      <c r="F217" s="255" t="str">
        <f>IF(D217="","",VLOOKUP(D217,契約台帳!$A$3:$K$4986,6,FALSE)&amp;VLOOKUP(D217,契約台帳!$A$3:$K$4986,7,FALSE)&amp;VLOOKUP(D217,契約台帳!$A$3:$K$4986,8,FALSE)&amp;VLOOKUP(D217,契約台帳!$A$3:$K$4986,9,FALSE)&amp;VLOOKUP(D217,契約台帳!$A$3:$K$4986,11,FALSE))</f>
        <v>33SSNMCLBTEKV0V</v>
      </c>
      <c r="G217" s="256" t="str">
        <f>IF(D217="","",VLOOKUP(F217,製品マスタ!$G$5:$H$4999,2,FALSE))</f>
        <v>S</v>
      </c>
      <c r="H217" s="256" t="str">
        <f>IF(D217="","",VLOOKUP(F217,製品マスタ!$G$5:$K$4999,5,FALSE))</f>
        <v>TEKV0V</v>
      </c>
      <c r="I217" s="200" t="str">
        <f>IF(D217="","",VLOOKUP(F217,製品マスタ!$G$5:$L$4999,6,FALSE))</f>
        <v>メタルミー　ＴＥ－Ｓ消　ＶＯＩＤ　Ｖ</v>
      </c>
      <c r="J217" s="203" t="s">
        <v>832</v>
      </c>
      <c r="K217" s="200">
        <f>IF(D217="","",VLOOKUP(D217,契約台帳!$A$3:$L$4986,12,FALSE))</f>
        <v>50</v>
      </c>
      <c r="L217" s="200" t="str">
        <f>IF(D217="","",INDEX(製品マスタ!$Q$5:$Q$4999,MATCH('S4'!F217&amp;'S4'!K217,製品マスタ!$AO$5:$AO$4999,0)))</f>
        <v>X44SEPA</v>
      </c>
      <c r="M217" s="37">
        <v>1005</v>
      </c>
      <c r="N217" s="37">
        <v>4000</v>
      </c>
      <c r="O217" s="153">
        <v>3</v>
      </c>
      <c r="P217" s="45">
        <v>3</v>
      </c>
      <c r="Q217" s="54">
        <v>44967</v>
      </c>
      <c r="R217" s="257">
        <f ca="1">IF(D217="","",IF(OFFSET(D217,-1,0)&lt;&gt;"","",IF(OR(J217="リード付け",J217="巻足し",J217="巻返しリード付け"),M217,VLOOKUP(D217,契約台帳!$A$3:$N$4986,14,FALSE))))</f>
        <v>1005</v>
      </c>
      <c r="S217" s="258">
        <f ca="1">IF(D217="","",IF(OFFSET(D217,-1,0)&lt;&gt;"","",IF(OR(J217="リード付け",J217="巻足し",J217="巻返しリード付け"),M217,VLOOKUP(D217,契約台帳!$A$3:$O$4986,15,FALSE))))</f>
        <v>1005</v>
      </c>
      <c r="T217" s="258">
        <f ca="1">IF(D217="","",IF(J217="リード付け",N217,IF(J217="巻返しリード付け",N217,IF(J217="巻足し",N217*P217+OFFSET(N217,1,0)*OFFSET(P217,1,0),VLOOKUP(D217,契約台帳!$A$3:$P$4986,16,FALSE)))))</f>
        <v>12000</v>
      </c>
      <c r="U217" s="38">
        <v>1</v>
      </c>
      <c r="V217" s="259">
        <f ca="1">IF(D217="","",IF(OFFSET(D217,-2,0)=D217,"",VLOOKUP(D217,契約台帳!$A$3:$R$4986,18,FALSE)))</f>
        <v>6</v>
      </c>
      <c r="W217" s="256" t="str">
        <f ca="1">IF(D217="","",IF(T217="","",IF(OR(J217="巻足し",J217="巻返しリード付け"),"",IF(J217="巻返し",VLOOKUP(F217&amp;K217&amp;M217,製品マスタ!$M$5:$AD$4999,18,FALSE),IF(OR(J217="リード付け",J217="巻返しリード付け"),"原反コア",IF(J217="スリット",VLOOKUP(F217&amp;K217&amp;R217,製品マスタ!$N$5:$AD$4999,17,FALSE),""))))))</f>
        <v/>
      </c>
      <c r="X217" s="256" t="str">
        <f ca="1">IF(D217="","",IF(T217="","",IF(J217="巻足し","",IF(J217="巻返し",VLOOKUP(F217&amp;K217&amp;M217,製品マスタ!$M$5:$AE$4999,19,FALSE),IF(OR(J217="リード付け",J217="巻返しリード付け"),"",IF(J217="スリット",VLOOKUP(F217&amp;K217&amp;R217,製品マスタ!$N$5:$AE$4999,18,FALSE),""))))))</f>
        <v/>
      </c>
      <c r="Y217" s="256">
        <f ca="1">IF(D217="","",IF(T217="","",VLOOKUP(D217,契約台帳!$A$3:$Q$4986,17,FALSE)))</f>
        <v>2</v>
      </c>
      <c r="Z217" s="256" t="str">
        <f ca="1">IF(D217="","",IF(T217="","",VLOOKUP(D217,契約台帳!$A$3:$E$4986,5,FALSE)))</f>
        <v>リンテック㈱</v>
      </c>
      <c r="AA217" s="54"/>
      <c r="AB217" s="200">
        <f>IFERROR((VLOOKUP(F217&amp;K217&amp;M217,製品マスタ!$M$5:$AM$4999,27,FALSE)),"")</f>
        <v>0</v>
      </c>
      <c r="AC217" s="31"/>
      <c r="AD217" s="184"/>
      <c r="AE217" s="51"/>
      <c r="AF217" s="52"/>
      <c r="AG217" s="41"/>
      <c r="AH217" s="45"/>
      <c r="AI217" s="28"/>
      <c r="AJ217" s="28"/>
      <c r="AK217" s="28"/>
      <c r="AL217" s="28"/>
      <c r="AM217" s="12"/>
      <c r="AN217" s="12"/>
      <c r="AO217" s="12"/>
      <c r="AP217" s="12"/>
      <c r="AQ217" s="12"/>
      <c r="AR217" s="13"/>
      <c r="AS217" s="14"/>
    </row>
    <row r="218" spans="1:45" s="16" customFormat="1" ht="30.95" hidden="1" customHeight="1" x14ac:dyDescent="0.2">
      <c r="A218" s="35"/>
      <c r="B218" s="36"/>
      <c r="C218" s="43"/>
      <c r="D218" s="29"/>
      <c r="E218" s="29"/>
      <c r="F218" s="255" t="str">
        <f>IF(D218="","",VLOOKUP(D218,契約台帳!$A$3:$K$4986,6,FALSE)&amp;VLOOKUP(D218,契約台帳!$A$3:$K$4986,7,FALSE)&amp;VLOOKUP(D218,契約台帳!$A$3:$K$4986,8,FALSE)&amp;VLOOKUP(D218,契約台帳!$A$3:$K$4986,9,FALSE)&amp;VLOOKUP(D218,契約台帳!$A$3:$K$4986,11,FALSE))</f>
        <v/>
      </c>
      <c r="G218" s="256" t="str">
        <f>IF(D218="","",VLOOKUP(F218,製品マスタ!$G$5:$H$4999,2,FALSE))</f>
        <v/>
      </c>
      <c r="H218" s="256" t="str">
        <f>IF(D218="","",VLOOKUP(F218,製品マスタ!$G$5:$K$4999,5,FALSE))</f>
        <v/>
      </c>
      <c r="I218" s="200" t="str">
        <f>IF(D218="","",VLOOKUP(F218,製品マスタ!$G$5:$L$4999,6,FALSE))</f>
        <v/>
      </c>
      <c r="J218" s="203"/>
      <c r="K218" s="200" t="str">
        <f>IF(D218="","",VLOOKUP(D218,契約台帳!$A$3:$L$4986,12,FALSE))</f>
        <v/>
      </c>
      <c r="L218" s="200" t="str">
        <f>IF(D218="","",INDEX(製品マスタ!$Q$5:$Q$4999,MATCH('S4'!F218&amp;'S4'!K218,製品マスタ!$AO$5:$AO$4999,0)))</f>
        <v/>
      </c>
      <c r="M218" s="37"/>
      <c r="N218" s="37"/>
      <c r="O218" s="153"/>
      <c r="P218" s="45"/>
      <c r="Q218" s="54"/>
      <c r="R218" s="257" t="str">
        <f ca="1">IF(D218="","",IF(OFFSET(D218,-1,0)&lt;&gt;"","",IF(OR(J218="リード付け",J218="巻足し",J218="巻返しリード付け"),M218,VLOOKUP(D218,契約台帳!$A$3:$N$4986,14,FALSE))))</f>
        <v/>
      </c>
      <c r="S218" s="258" t="str">
        <f ca="1">IF(D218="","",IF(OFFSET(D218,-1,0)&lt;&gt;"","",IF(OR(J218="リード付け",J218="巻足し",J218="巻返しリード付け"),M218,VLOOKUP(D218,契約台帳!$A$3:$O$4986,15,FALSE))))</f>
        <v/>
      </c>
      <c r="T218" s="258" t="str">
        <f ca="1">IF(D218="","",IF(J218="リード付け",N218,IF(J218="巻返しリード付け",N218,IF(J218="巻足し",N218*P218+OFFSET(N218,1,0)*OFFSET(P218,1,0),VLOOKUP(D218,契約台帳!$A$3:$P$4986,16,FALSE)))))</f>
        <v/>
      </c>
      <c r="U218" s="38"/>
      <c r="V218" s="259" t="str">
        <f ca="1">IF(D218="","",IF(OFFSET(D218,-2,0)=D218,"",VLOOKUP(D218,契約台帳!$A$3:$R$4986,18,FALSE)))</f>
        <v/>
      </c>
      <c r="W218" s="256" t="str">
        <f>IF(D218="","",IF(T218="","",IF(OR(J218="巻足し",J218="巻返しリード付け"),"",IF(J218="巻返し",VLOOKUP(F218&amp;K218&amp;M218,製品マスタ!$M$5:$AD$4999,18,FALSE),IF(OR(J218="リード付け",J218="巻返しリード付け"),"原反コア",IF(J218="スリット",VLOOKUP(F218&amp;K218&amp;R218,製品マスタ!$N$5:$AD$4999,17,FALSE),""))))))</f>
        <v/>
      </c>
      <c r="X218" s="256" t="str">
        <f>IF(D218="","",IF(T218="","",IF(J218="巻足し","",IF(J218="巻返し",VLOOKUP(F218&amp;K218&amp;M218,製品マスタ!$M$5:$AE$4999,19,FALSE),IF(OR(J218="リード付け",J218="巻返しリード付け"),"",IF(J218="スリット",VLOOKUP(F218&amp;K218&amp;R218,製品マスタ!$N$5:$AE$4999,18,FALSE),""))))))</f>
        <v/>
      </c>
      <c r="Y218" s="256" t="str">
        <f>IF(D218="","",IF(T218="","",VLOOKUP(D218,契約台帳!$A$3:$Q$4986,17,FALSE)))</f>
        <v/>
      </c>
      <c r="Z218" s="256" t="str">
        <f>IF(D218="","",IF(T218="","",VLOOKUP(D218,契約台帳!$A$3:$E$4986,5,FALSE)))</f>
        <v/>
      </c>
      <c r="AA218" s="54"/>
      <c r="AB218" s="200" t="str">
        <f>IFERROR((VLOOKUP(F218&amp;K218&amp;M218,製品マスタ!$M$5:$AM$4999,27,FALSE)),"")</f>
        <v/>
      </c>
      <c r="AC218" s="31"/>
      <c r="AD218" s="184"/>
      <c r="AE218" s="51"/>
      <c r="AF218" s="52"/>
      <c r="AG218" s="41"/>
      <c r="AH218" s="45"/>
      <c r="AI218" s="28"/>
      <c r="AJ218" s="28"/>
      <c r="AK218" s="28"/>
      <c r="AL218" s="28"/>
      <c r="AM218" s="12"/>
      <c r="AN218" s="12"/>
      <c r="AO218" s="12"/>
      <c r="AP218" s="12"/>
      <c r="AQ218" s="12"/>
      <c r="AR218" s="13"/>
      <c r="AS218" s="14"/>
    </row>
    <row r="219" spans="1:45" s="16" customFormat="1" ht="30.95" hidden="1" customHeight="1" x14ac:dyDescent="0.2">
      <c r="A219" s="35"/>
      <c r="B219" s="36"/>
      <c r="C219" s="43"/>
      <c r="D219" s="29">
        <v>3697672</v>
      </c>
      <c r="E219" s="29">
        <v>4161791</v>
      </c>
      <c r="F219" s="255" t="str">
        <f>IF(D219="","",VLOOKUP(D219,契約台帳!$A$3:$K$4986,6,FALSE)&amp;VLOOKUP(D219,契約台帳!$A$3:$K$4986,7,FALSE)&amp;VLOOKUP(D219,契約台帳!$A$3:$K$4986,8,FALSE)&amp;VLOOKUP(D219,契約台帳!$A$3:$K$4986,9,FALSE)&amp;VLOOKUP(D219,契約台帳!$A$3:$K$4986,11,FALSE))</f>
        <v>33SSNMCLBTEKV0V</v>
      </c>
      <c r="G219" s="256" t="str">
        <f>IF(D219="","",VLOOKUP(F219,製品マスタ!$G$5:$H$4999,2,FALSE))</f>
        <v>S</v>
      </c>
      <c r="H219" s="256" t="str">
        <f>IF(D219="","",VLOOKUP(F219,製品マスタ!$G$5:$K$4999,5,FALSE))</f>
        <v>TEKV0V</v>
      </c>
      <c r="I219" s="200" t="str">
        <f>IF(D219="","",VLOOKUP(F219,製品マスタ!$G$5:$L$4999,6,FALSE))</f>
        <v>メタルミー　ＴＥ－Ｓ消　ＶＯＩＤ　Ｖ</v>
      </c>
      <c r="J219" s="203" t="s">
        <v>469</v>
      </c>
      <c r="K219" s="200">
        <f>IF(D219="","",VLOOKUP(D219,契約台帳!$A$3:$L$4986,12,FALSE))</f>
        <v>50</v>
      </c>
      <c r="L219" s="200" t="str">
        <f>IF(D219="","",INDEX(製品マスタ!$Q$5:$Q$4999,MATCH('S4'!F219&amp;'S4'!K219,製品マスタ!$AO$5:$AO$4999,0)))</f>
        <v>X44SEPA</v>
      </c>
      <c r="M219" s="37">
        <v>1005</v>
      </c>
      <c r="N219" s="37">
        <v>4000</v>
      </c>
      <c r="O219" s="153">
        <v>3</v>
      </c>
      <c r="P219" s="45">
        <v>3</v>
      </c>
      <c r="Q219" s="54">
        <v>44967</v>
      </c>
      <c r="R219" s="257">
        <f ca="1">IF(D219="","",IF(OFFSET(D219,-1,0)&lt;&gt;"","",IF(OR(J219="リード付け",J219="巻足し",J219="巻返しリード付け"),M219,VLOOKUP(D219,契約台帳!$A$3:$N$4986,14,FALSE))))</f>
        <v>1005</v>
      </c>
      <c r="S219" s="258">
        <f ca="1">IF(D219="","",IF(OFFSET(D219,-1,0)&lt;&gt;"","",IF(OR(J219="リード付け",J219="巻足し",J219="巻返しリード付け"),M219,VLOOKUP(D219,契約台帳!$A$3:$O$4986,15,FALSE))))</f>
        <v>1005</v>
      </c>
      <c r="T219" s="258">
        <f ca="1">IF(D219="","",IF(J219="リード付け",N219,IF(J219="巻返しリード付け",N219,IF(J219="巻足し",N219*P219+OFFSET(N219,1,0)*OFFSET(P219,1,0),VLOOKUP(D219,契約台帳!$A$3:$P$4986,16,FALSE)))))</f>
        <v>12000</v>
      </c>
      <c r="U219" s="38">
        <v>1</v>
      </c>
      <c r="V219" s="259" t="str">
        <f ca="1">IF(D219="","",IF(OFFSET(D219,-2,0)=D219,"",VLOOKUP(D219,契約台帳!$A$3:$R$4986,18,FALSE)))</f>
        <v/>
      </c>
      <c r="W219" s="256" t="str">
        <f ca="1">IF(D219="","",IF(T219="","",IF(OR(J219="巻足し",J219="巻返しリード付け"),"",IF(J219="巻返し",VLOOKUP(F219&amp;K219&amp;M219,製品マスタ!$M$5:$AD$4999,18,FALSE),IF(OR(J219="リード付け",J219="巻返しリード付け"),"原反コア",IF(J219="スリット",VLOOKUP(F219&amp;K219&amp;R219,製品マスタ!$N$5:$AD$4999,17,FALSE),""))))))</f>
        <v/>
      </c>
      <c r="X219" s="256" t="str">
        <f ca="1">IF(D219="","",IF(T219="","",IF(J219="巻足し","",IF(J219="巻返し",VLOOKUP(F219&amp;K219&amp;M219,製品マスタ!$M$5:$AE$4999,19,FALSE),IF(OR(J219="リード付け",J219="巻返しリード付け"),"",IF(J219="スリット",VLOOKUP(F219&amp;K219&amp;R219,製品マスタ!$N$5:$AE$4999,18,FALSE),""))))))</f>
        <v/>
      </c>
      <c r="Y219" s="256">
        <f ca="1">IF(D219="","",IF(T219="","",VLOOKUP(D219,契約台帳!$A$3:$Q$4986,17,FALSE)))</f>
        <v>2</v>
      </c>
      <c r="Z219" s="256" t="str">
        <f ca="1">IF(D219="","",IF(T219="","",VLOOKUP(D219,契約台帳!$A$3:$E$4986,5,FALSE)))</f>
        <v>リンテック㈱</v>
      </c>
      <c r="AA219" s="54"/>
      <c r="AB219" s="200">
        <f>IFERROR((VLOOKUP(F219&amp;K219&amp;M219,製品マスタ!$M$5:$AM$4999,27,FALSE)),"")</f>
        <v>0</v>
      </c>
      <c r="AC219" s="31"/>
      <c r="AD219" s="184"/>
      <c r="AE219" s="51"/>
      <c r="AF219" s="52"/>
      <c r="AG219" s="41"/>
      <c r="AH219" s="45"/>
      <c r="AI219" s="28"/>
      <c r="AJ219" s="28"/>
      <c r="AK219" s="28"/>
      <c r="AL219" s="28"/>
      <c r="AM219" s="12"/>
      <c r="AN219" s="12"/>
      <c r="AO219" s="12"/>
      <c r="AP219" s="12"/>
      <c r="AQ219" s="12"/>
      <c r="AR219" s="13"/>
      <c r="AS219" s="14"/>
    </row>
    <row r="220" spans="1:45" s="16" customFormat="1" ht="30.95" hidden="1" customHeight="1" x14ac:dyDescent="0.2">
      <c r="A220" s="35"/>
      <c r="B220" s="36"/>
      <c r="C220" s="43"/>
      <c r="D220" s="29"/>
      <c r="E220" s="29"/>
      <c r="F220" s="255" t="str">
        <f>IF(D220="","",VLOOKUP(D220,契約台帳!$A$3:$K$4986,6,FALSE)&amp;VLOOKUP(D220,契約台帳!$A$3:$K$4986,7,FALSE)&amp;VLOOKUP(D220,契約台帳!$A$3:$K$4986,8,FALSE)&amp;VLOOKUP(D220,契約台帳!$A$3:$K$4986,9,FALSE)&amp;VLOOKUP(D220,契約台帳!$A$3:$K$4986,11,FALSE))</f>
        <v/>
      </c>
      <c r="G220" s="256" t="str">
        <f>IF(D220="","",VLOOKUP(F220,製品マスタ!$G$5:$H$4999,2,FALSE))</f>
        <v/>
      </c>
      <c r="H220" s="256" t="str">
        <f>IF(D220="","",VLOOKUP(F220,製品マスタ!$G$5:$K$4999,5,FALSE))</f>
        <v/>
      </c>
      <c r="I220" s="200" t="str">
        <f>IF(D220="","",VLOOKUP(F220,製品マスタ!$G$5:$L$4999,6,FALSE))</f>
        <v/>
      </c>
      <c r="J220" s="203"/>
      <c r="K220" s="200" t="str">
        <f>IF(D220="","",VLOOKUP(D220,契約台帳!$A$3:$L$4986,12,FALSE))</f>
        <v/>
      </c>
      <c r="L220" s="200" t="str">
        <f>IF(D220="","",INDEX(製品マスタ!$Q$5:$Q$4999,MATCH('S4'!F220&amp;'S4'!K220,製品マスタ!$AO$5:$AO$4999,0)))</f>
        <v/>
      </c>
      <c r="M220" s="37"/>
      <c r="N220" s="37"/>
      <c r="O220" s="153"/>
      <c r="P220" s="45"/>
      <c r="Q220" s="54"/>
      <c r="R220" s="257" t="str">
        <f ca="1">IF(D220="","",IF(OFFSET(D220,-1,0)&lt;&gt;"","",IF(OR(J220="リード付け",J220="巻足し",J220="巻返しリード付け"),M220,VLOOKUP(D220,契約台帳!$A$3:$N$4986,14,FALSE))))</f>
        <v/>
      </c>
      <c r="S220" s="258" t="str">
        <f ca="1">IF(D220="","",IF(OFFSET(D220,-1,0)&lt;&gt;"","",IF(OR(J220="リード付け",J220="巻足し",J220="巻返しリード付け"),M220,VLOOKUP(D220,契約台帳!$A$3:$O$4986,15,FALSE))))</f>
        <v/>
      </c>
      <c r="T220" s="258" t="str">
        <f ca="1">IF(D220="","",IF(J220="リード付け",N220,IF(J220="巻返しリード付け",N220,IF(J220="巻足し",N220*P220+OFFSET(N220,1,0)*OFFSET(P220,1,0),VLOOKUP(D220,契約台帳!$A$3:$P$4986,16,FALSE)))))</f>
        <v/>
      </c>
      <c r="U220" s="38"/>
      <c r="V220" s="259" t="str">
        <f ca="1">IF(D220="","",IF(OFFSET(D220,-2,0)=D220,"",VLOOKUP(D220,契約台帳!$A$3:$R$4986,18,FALSE)))</f>
        <v/>
      </c>
      <c r="W220" s="256" t="str">
        <f>IF(D220="","",IF(T220="","",IF(OR(J220="巻足し",J220="巻返しリード付け"),"",IF(J220="巻返し",VLOOKUP(F220&amp;K220&amp;M220,製品マスタ!$M$5:$AD$4999,18,FALSE),IF(OR(J220="リード付け",J220="巻返しリード付け"),"原反コア",IF(J220="スリット",VLOOKUP(F220&amp;K220&amp;R220,製品マスタ!$N$5:$AD$4999,17,FALSE),""))))))</f>
        <v/>
      </c>
      <c r="X220" s="256" t="str">
        <f>IF(D220="","",IF(T220="","",IF(J220="巻足し","",IF(J220="巻返し",VLOOKUP(F220&amp;K220&amp;M220,製品マスタ!$M$5:$AE$4999,19,FALSE),IF(OR(J220="リード付け",J220="巻返しリード付け"),"",IF(J220="スリット",VLOOKUP(F220&amp;K220&amp;R220,製品マスタ!$N$5:$AE$4999,18,FALSE),""))))))</f>
        <v/>
      </c>
      <c r="Y220" s="256" t="str">
        <f>IF(D220="","",IF(T220="","",VLOOKUP(D220,契約台帳!$A$3:$Q$4986,17,FALSE)))</f>
        <v/>
      </c>
      <c r="Z220" s="256" t="str">
        <f>IF(D220="","",IF(T220="","",VLOOKUP(D220,契約台帳!$A$3:$E$4986,5,FALSE)))</f>
        <v/>
      </c>
      <c r="AA220" s="54"/>
      <c r="AB220" s="200" t="str">
        <f>IFERROR((VLOOKUP(F220&amp;K220&amp;M220,製品マスタ!$M$5:$AM$4999,27,FALSE)),"")</f>
        <v/>
      </c>
      <c r="AC220" s="31"/>
      <c r="AD220" s="184"/>
      <c r="AE220" s="51"/>
      <c r="AF220" s="52"/>
      <c r="AG220" s="41"/>
      <c r="AH220" s="45"/>
      <c r="AI220" s="28"/>
      <c r="AJ220" s="28"/>
      <c r="AK220" s="28"/>
      <c r="AL220" s="28"/>
      <c r="AM220" s="12"/>
      <c r="AN220" s="12"/>
      <c r="AO220" s="12"/>
      <c r="AP220" s="12"/>
      <c r="AQ220" s="12"/>
      <c r="AR220" s="13"/>
      <c r="AS220" s="14"/>
    </row>
    <row r="221" spans="1:45" s="16" customFormat="1" ht="30.95" hidden="1" customHeight="1" x14ac:dyDescent="0.2">
      <c r="A221" s="35" t="s">
        <v>854</v>
      </c>
      <c r="B221" s="36" t="s">
        <v>833</v>
      </c>
      <c r="C221" s="43"/>
      <c r="D221" s="29"/>
      <c r="E221" s="29"/>
      <c r="F221" s="255" t="str">
        <f>IF(D221="","",VLOOKUP(D221,契約台帳!$A$3:$K$4986,6,FALSE)&amp;VLOOKUP(D221,契約台帳!$A$3:$K$4986,7,FALSE)&amp;VLOOKUP(D221,契約台帳!$A$3:$K$4986,8,FALSE)&amp;VLOOKUP(D221,契約台帳!$A$3:$K$4986,9,FALSE)&amp;VLOOKUP(D221,契約台帳!$A$3:$K$4986,11,FALSE))</f>
        <v/>
      </c>
      <c r="G221" s="256" t="str">
        <f>IF(D221="","",VLOOKUP(F221,製品マスタ!$G$5:$H$4999,2,FALSE))</f>
        <v/>
      </c>
      <c r="H221" s="256" t="str">
        <f>IF(D221="","",VLOOKUP(F221,製品マスタ!$G$5:$K$4999,5,FALSE))</f>
        <v/>
      </c>
      <c r="I221" s="200" t="str">
        <f>IF(D221="","",VLOOKUP(F221,製品マスタ!$G$5:$L$4999,6,FALSE))</f>
        <v/>
      </c>
      <c r="J221" s="203" t="s">
        <v>836</v>
      </c>
      <c r="K221" s="200" t="str">
        <f>IF(D221="","",VLOOKUP(D221,契約台帳!$A$3:$L$4986,12,FALSE))</f>
        <v/>
      </c>
      <c r="L221" s="200" t="str">
        <f>IF(D221="","",INDEX(製品マスタ!$Q$5:$Q$4999,MATCH('S4'!F221&amp;'S4'!K221,製品マスタ!$AO$5:$AO$4999,0)))</f>
        <v/>
      </c>
      <c r="M221" s="37"/>
      <c r="N221" s="37"/>
      <c r="O221" s="153"/>
      <c r="P221" s="45"/>
      <c r="Q221" s="54"/>
      <c r="R221" s="257" t="str">
        <f ca="1">IF(D221="","",IF(OFFSET(D221,-1,0)&lt;&gt;"","",IF(OR(J221="リード付け",J221="巻足し",J221="巻返しリード付け"),M221,VLOOKUP(D221,契約台帳!$A$3:$N$4986,14,FALSE))))</f>
        <v/>
      </c>
      <c r="S221" s="258" t="str">
        <f ca="1">IF(D221="","",IF(OFFSET(D221,-1,0)&lt;&gt;"","",IF(OR(J221="リード付け",J221="巻足し",J221="巻返しリード付け"),M221,VLOOKUP(D221,契約台帳!$A$3:$O$4986,15,FALSE))))</f>
        <v/>
      </c>
      <c r="T221" s="258" t="str">
        <f ca="1">IF(D221="","",IF(J221="リード付け",N221,IF(J221="巻返しリード付け",N221,IF(J221="巻足し",N221*P221+OFFSET(N221,1,0)*OFFSET(P221,1,0),VLOOKUP(D221,契約台帳!$A$3:$P$4986,16,FALSE)))))</f>
        <v/>
      </c>
      <c r="U221" s="38"/>
      <c r="V221" s="259" t="str">
        <f ca="1">IF(D221="","",IF(OFFSET(D221,-2,0)=D221,"",VLOOKUP(D221,契約台帳!$A$3:$R$4986,18,FALSE)))</f>
        <v/>
      </c>
      <c r="W221" s="256" t="str">
        <f>IF(D221="","",IF(T221="","",IF(OR(J221="巻足し",J221="巻返しリード付け"),"",IF(J221="巻返し",VLOOKUP(F221&amp;K221&amp;M221,製品マスタ!$M$5:$AD$4999,18,FALSE),IF(OR(J221="リード付け",J221="巻返しリード付け"),"原反コア",IF(J221="スリット",VLOOKUP(F221&amp;K221&amp;R221,製品マスタ!$N$5:$AD$4999,17,FALSE),""))))))</f>
        <v/>
      </c>
      <c r="X221" s="256" t="str">
        <f>IF(D221="","",IF(T221="","",IF(J221="巻足し","",IF(J221="巻返し",VLOOKUP(F221&amp;K221&amp;M221,製品マスタ!$M$5:$AE$4999,19,FALSE),IF(OR(J221="リード付け",J221="巻返しリード付け"),"",IF(J221="スリット",VLOOKUP(F221&amp;K221&amp;R221,製品マスタ!$N$5:$AE$4999,18,FALSE),""))))))</f>
        <v/>
      </c>
      <c r="Y221" s="256" t="str">
        <f>IF(D221="","",IF(T221="","",VLOOKUP(D221,契約台帳!$A$3:$Q$4986,17,FALSE)))</f>
        <v/>
      </c>
      <c r="Z221" s="256" t="str">
        <f>IF(D221="","",IF(T221="","",VLOOKUP(D221,契約台帳!$A$3:$E$4986,5,FALSE)))</f>
        <v/>
      </c>
      <c r="AA221" s="54"/>
      <c r="AB221" s="200" t="str">
        <f>IFERROR((VLOOKUP(F221&amp;K221&amp;M221,製品マスタ!$M$5:$AM$4999,27,FALSE)),"")</f>
        <v/>
      </c>
      <c r="AC221" s="31"/>
      <c r="AD221" s="184"/>
      <c r="AE221" s="51"/>
      <c r="AF221" s="52"/>
      <c r="AG221" s="41"/>
      <c r="AH221" s="45"/>
      <c r="AI221" s="28"/>
      <c r="AJ221" s="28"/>
      <c r="AK221" s="28"/>
      <c r="AL221" s="28"/>
      <c r="AM221" s="12"/>
      <c r="AN221" s="12"/>
      <c r="AO221" s="12"/>
      <c r="AP221" s="12"/>
      <c r="AQ221" s="12"/>
      <c r="AR221" s="13"/>
      <c r="AS221" s="14"/>
    </row>
    <row r="222" spans="1:45" s="16" customFormat="1" ht="30.95" hidden="1" customHeight="1" x14ac:dyDescent="0.2">
      <c r="A222" s="35"/>
      <c r="B222" s="36"/>
      <c r="C222" s="43"/>
      <c r="D222" s="29"/>
      <c r="E222" s="29"/>
      <c r="F222" s="255" t="str">
        <f>IF(D222="","",VLOOKUP(D222,契約台帳!$A$3:$K$4986,6,FALSE)&amp;VLOOKUP(D222,契約台帳!$A$3:$K$4986,7,FALSE)&amp;VLOOKUP(D222,契約台帳!$A$3:$K$4986,8,FALSE)&amp;VLOOKUP(D222,契約台帳!$A$3:$K$4986,9,FALSE)&amp;VLOOKUP(D222,契約台帳!$A$3:$K$4986,11,FALSE))</f>
        <v/>
      </c>
      <c r="G222" s="256" t="str">
        <f>IF(D222="","",VLOOKUP(F222,製品マスタ!$G$5:$H$4999,2,FALSE))</f>
        <v/>
      </c>
      <c r="H222" s="256" t="str">
        <f>IF(D222="","",VLOOKUP(F222,製品マスタ!$G$5:$K$4999,5,FALSE))</f>
        <v/>
      </c>
      <c r="I222" s="200" t="str">
        <f>IF(D222="","",VLOOKUP(F222,製品マスタ!$G$5:$L$4999,6,FALSE))</f>
        <v/>
      </c>
      <c r="J222" s="203"/>
      <c r="K222" s="200" t="str">
        <f>IF(D222="","",VLOOKUP(D222,契約台帳!$A$3:$L$4986,12,FALSE))</f>
        <v/>
      </c>
      <c r="L222" s="200" t="str">
        <f>IF(D222="","",INDEX(製品マスタ!$Q$5:$Q$4999,MATCH('S4'!F222&amp;'S4'!K222,製品マスタ!$AO$5:$AO$4999,0)))</f>
        <v/>
      </c>
      <c r="M222" s="37"/>
      <c r="N222" s="37"/>
      <c r="O222" s="153"/>
      <c r="P222" s="45"/>
      <c r="Q222" s="54"/>
      <c r="R222" s="257" t="str">
        <f ca="1">IF(D222="","",IF(OFFSET(D222,-1,0)&lt;&gt;"","",IF(OR(J222="リード付け",J222="巻足し",J222="巻返しリード付け"),M222,VLOOKUP(D222,契約台帳!$A$3:$N$4986,14,FALSE))))</f>
        <v/>
      </c>
      <c r="S222" s="258" t="str">
        <f ca="1">IF(D222="","",IF(OFFSET(D222,-1,0)&lt;&gt;"","",IF(OR(J222="リード付け",J222="巻足し",J222="巻返しリード付け"),M222,VLOOKUP(D222,契約台帳!$A$3:$O$4986,15,FALSE))))</f>
        <v/>
      </c>
      <c r="T222" s="258" t="str">
        <f ca="1">IF(D222="","",IF(J222="リード付け",N222,IF(J222="巻返しリード付け",N222,IF(J222="巻足し",N222*P222+OFFSET(N222,1,0)*OFFSET(P222,1,0),VLOOKUP(D222,契約台帳!$A$3:$P$4986,16,FALSE)))))</f>
        <v/>
      </c>
      <c r="U222" s="38"/>
      <c r="V222" s="259" t="str">
        <f ca="1">IF(D222="","",IF(OFFSET(D222,-2,0)=D222,"",VLOOKUP(D222,契約台帳!$A$3:$R$4986,18,FALSE)))</f>
        <v/>
      </c>
      <c r="W222" s="256" t="str">
        <f>IF(D222="","",IF(T222="","",IF(OR(J222="巻足し",J222="巻返しリード付け"),"",IF(J222="巻返し",VLOOKUP(F222&amp;K222&amp;M222,製品マスタ!$M$5:$AD$4999,18,FALSE),IF(OR(J222="リード付け",J222="巻返しリード付け"),"原反コア",IF(J222="スリット",VLOOKUP(F222&amp;K222&amp;R222,製品マスタ!$N$5:$AD$4999,17,FALSE),""))))))</f>
        <v/>
      </c>
      <c r="X222" s="256" t="str">
        <f>IF(D222="","",IF(T222="","",IF(J222="巻足し","",IF(J222="巻返し",VLOOKUP(F222&amp;K222&amp;M222,製品マスタ!$M$5:$AE$4999,19,FALSE),IF(OR(J222="リード付け",J222="巻返しリード付け"),"",IF(J222="スリット",VLOOKUP(F222&amp;K222&amp;R222,製品マスタ!$N$5:$AE$4999,18,FALSE),""))))))</f>
        <v/>
      </c>
      <c r="Y222" s="256" t="str">
        <f>IF(D222="","",IF(T222="","",VLOOKUP(D222,契約台帳!$A$3:$Q$4986,17,FALSE)))</f>
        <v/>
      </c>
      <c r="Z222" s="256" t="str">
        <f>IF(D222="","",IF(T222="","",VLOOKUP(D222,契約台帳!$A$3:$E$4986,5,FALSE)))</f>
        <v/>
      </c>
      <c r="AA222" s="54"/>
      <c r="AB222" s="200" t="str">
        <f>IFERROR((VLOOKUP(F222&amp;K222&amp;M222,製品マスタ!$M$5:$AM$4999,27,FALSE)),"")</f>
        <v/>
      </c>
      <c r="AC222" s="31"/>
      <c r="AD222" s="184"/>
      <c r="AE222" s="51"/>
      <c r="AF222" s="52"/>
      <c r="AG222" s="41"/>
      <c r="AH222" s="45"/>
      <c r="AI222" s="28"/>
      <c r="AJ222" s="28"/>
      <c r="AK222" s="28"/>
      <c r="AL222" s="28"/>
      <c r="AM222" s="12"/>
      <c r="AN222" s="12"/>
      <c r="AO222" s="12"/>
      <c r="AP222" s="12"/>
      <c r="AQ222" s="12"/>
      <c r="AR222" s="13"/>
      <c r="AS222" s="14"/>
    </row>
    <row r="223" spans="1:45" s="16" customFormat="1" ht="30.95" hidden="1" customHeight="1" x14ac:dyDescent="0.2">
      <c r="A223" s="35" t="s">
        <v>855</v>
      </c>
      <c r="B223" s="36" t="s">
        <v>835</v>
      </c>
      <c r="C223" s="43"/>
      <c r="D223" s="29"/>
      <c r="E223" s="29"/>
      <c r="F223" s="255" t="str">
        <f>IF(D223="","",VLOOKUP(D223,契約台帳!$A$3:$K$4986,6,FALSE)&amp;VLOOKUP(D223,契約台帳!$A$3:$K$4986,7,FALSE)&amp;VLOOKUP(D223,契約台帳!$A$3:$K$4986,8,FALSE)&amp;VLOOKUP(D223,契約台帳!$A$3:$K$4986,9,FALSE)&amp;VLOOKUP(D223,契約台帳!$A$3:$K$4986,11,FALSE))</f>
        <v/>
      </c>
      <c r="G223" s="256" t="str">
        <f>IF(D223="","",VLOOKUP(F223,製品マスタ!$G$5:$H$4999,2,FALSE))</f>
        <v/>
      </c>
      <c r="H223" s="256" t="str">
        <f>IF(D223="","",VLOOKUP(F223,製品マスタ!$G$5:$K$4999,5,FALSE))</f>
        <v/>
      </c>
      <c r="I223" s="200" t="str">
        <f>IF(D223="","",VLOOKUP(F223,製品マスタ!$G$5:$L$4999,6,FALSE))</f>
        <v/>
      </c>
      <c r="J223" s="203" t="s">
        <v>836</v>
      </c>
      <c r="K223" s="200" t="str">
        <f>IF(D223="","",VLOOKUP(D223,契約台帳!$A$3:$L$4986,12,FALSE))</f>
        <v/>
      </c>
      <c r="L223" s="200" t="str">
        <f>IF(D223="","",INDEX(製品マスタ!$Q$5:$Q$4999,MATCH('S4'!F223&amp;'S4'!K223,製品マスタ!$AO$5:$AO$4999,0)))</f>
        <v/>
      </c>
      <c r="M223" s="37"/>
      <c r="N223" s="37"/>
      <c r="O223" s="153"/>
      <c r="P223" s="45"/>
      <c r="Q223" s="54"/>
      <c r="R223" s="257" t="str">
        <f ca="1">IF(D223="","",IF(OFFSET(D223,-1,0)&lt;&gt;"","",IF(OR(J223="リード付け",J223="巻足し",J223="巻返しリード付け"),M223,VLOOKUP(D223,契約台帳!$A$3:$N$4986,14,FALSE))))</f>
        <v/>
      </c>
      <c r="S223" s="258" t="str">
        <f ca="1">IF(D223="","",IF(OFFSET(D223,-1,0)&lt;&gt;"","",IF(OR(J223="リード付け",J223="巻足し",J223="巻返しリード付け"),M223,VLOOKUP(D223,契約台帳!$A$3:$O$4986,15,FALSE))))</f>
        <v/>
      </c>
      <c r="T223" s="258" t="str">
        <f ca="1">IF(D223="","",IF(J223="リード付け",N223,IF(J223="巻返しリード付け",N223,IF(J223="巻足し",N223*P223+OFFSET(N223,1,0)*OFFSET(P223,1,0),VLOOKUP(D223,契約台帳!$A$3:$P$4986,16,FALSE)))))</f>
        <v/>
      </c>
      <c r="U223" s="38"/>
      <c r="V223" s="259" t="str">
        <f ca="1">IF(D223="","",IF(OFFSET(D223,-2,0)=D223,"",VLOOKUP(D223,契約台帳!$A$3:$R$4986,18,FALSE)))</f>
        <v/>
      </c>
      <c r="W223" s="256" t="str">
        <f>IF(D223="","",IF(T223="","",IF(OR(J223="巻足し",J223="巻返しリード付け"),"",IF(J223="巻返し",VLOOKUP(F223&amp;K223&amp;M223,製品マスタ!$M$5:$AD$4999,18,FALSE),IF(OR(J223="リード付け",J223="巻返しリード付け"),"原反コア",IF(J223="スリット",VLOOKUP(F223&amp;K223&amp;R223,製品マスタ!$N$5:$AD$4999,17,FALSE),""))))))</f>
        <v/>
      </c>
      <c r="X223" s="256" t="str">
        <f>IF(D223="","",IF(T223="","",IF(J223="巻足し","",IF(J223="巻返し",VLOOKUP(F223&amp;K223&amp;M223,製品マスタ!$M$5:$AE$4999,19,FALSE),IF(OR(J223="リード付け",J223="巻返しリード付け"),"",IF(J223="スリット",VLOOKUP(F223&amp;K223&amp;R223,製品マスタ!$N$5:$AE$4999,18,FALSE),""))))))</f>
        <v/>
      </c>
      <c r="Y223" s="256" t="str">
        <f>IF(D223="","",IF(T223="","",VLOOKUP(D223,契約台帳!$A$3:$Q$4986,17,FALSE)))</f>
        <v/>
      </c>
      <c r="Z223" s="256" t="str">
        <f>IF(D223="","",IF(T223="","",VLOOKUP(D223,契約台帳!$A$3:$E$4986,5,FALSE)))</f>
        <v/>
      </c>
      <c r="AA223" s="54"/>
      <c r="AB223" s="200" t="str">
        <f>IFERROR((VLOOKUP(F223&amp;K223&amp;M223,製品マスタ!$M$5:$AM$4999,27,FALSE)),"")</f>
        <v/>
      </c>
      <c r="AC223" s="31"/>
      <c r="AD223" s="184"/>
      <c r="AE223" s="51"/>
      <c r="AF223" s="52"/>
      <c r="AG223" s="41"/>
      <c r="AH223" s="45"/>
      <c r="AI223" s="28"/>
      <c r="AJ223" s="28"/>
      <c r="AK223" s="28"/>
      <c r="AL223" s="28"/>
      <c r="AM223" s="12"/>
      <c r="AN223" s="12"/>
      <c r="AO223" s="12"/>
      <c r="AP223" s="12"/>
      <c r="AQ223" s="12"/>
      <c r="AR223" s="13"/>
      <c r="AS223" s="14"/>
    </row>
    <row r="224" spans="1:45" s="16" customFormat="1" ht="30.95" hidden="1" customHeight="1" x14ac:dyDescent="0.2">
      <c r="A224" s="35"/>
      <c r="B224" s="36"/>
      <c r="C224" s="43"/>
      <c r="D224" s="29"/>
      <c r="E224" s="29"/>
      <c r="F224" s="255" t="str">
        <f>IF(D224="","",VLOOKUP(D224,契約台帳!$A$3:$K$4986,6,FALSE)&amp;VLOOKUP(D224,契約台帳!$A$3:$K$4986,7,FALSE)&amp;VLOOKUP(D224,契約台帳!$A$3:$K$4986,8,FALSE)&amp;VLOOKUP(D224,契約台帳!$A$3:$K$4986,9,FALSE)&amp;VLOOKUP(D224,契約台帳!$A$3:$K$4986,11,FALSE))</f>
        <v/>
      </c>
      <c r="G224" s="256" t="str">
        <f>IF(D224="","",VLOOKUP(F224,製品マスタ!$G$5:$H$4999,2,FALSE))</f>
        <v/>
      </c>
      <c r="H224" s="256" t="str">
        <f>IF(D224="","",VLOOKUP(F224,製品マスタ!$G$5:$K$4999,5,FALSE))</f>
        <v/>
      </c>
      <c r="I224" s="200" t="str">
        <f>IF(D224="","",VLOOKUP(F224,製品マスタ!$G$5:$L$4999,6,FALSE))</f>
        <v/>
      </c>
      <c r="J224" s="203"/>
      <c r="K224" s="200" t="str">
        <f>IF(D224="","",VLOOKUP(D224,契約台帳!$A$3:$L$4986,12,FALSE))</f>
        <v/>
      </c>
      <c r="L224" s="200" t="str">
        <f>IF(D224="","",INDEX(製品マスタ!$Q$5:$Q$4999,MATCH('S4'!F224&amp;'S4'!K224,製品マスタ!$AO$5:$AO$4999,0)))</f>
        <v/>
      </c>
      <c r="M224" s="37"/>
      <c r="N224" s="37"/>
      <c r="O224" s="153"/>
      <c r="P224" s="45"/>
      <c r="Q224" s="54"/>
      <c r="R224" s="257" t="str">
        <f ca="1">IF(D224="","",IF(OFFSET(D224,-1,0)&lt;&gt;"","",IF(OR(J224="リード付け",J224="巻足し",J224="巻返しリード付け"),M224,VLOOKUP(D224,契約台帳!$A$3:$N$4986,14,FALSE))))</f>
        <v/>
      </c>
      <c r="S224" s="258" t="str">
        <f ca="1">IF(D224="","",IF(OFFSET(D224,-1,0)&lt;&gt;"","",IF(OR(J224="リード付け",J224="巻足し",J224="巻返しリード付け"),M224,VLOOKUP(D224,契約台帳!$A$3:$O$4986,15,FALSE))))</f>
        <v/>
      </c>
      <c r="T224" s="258" t="str">
        <f ca="1">IF(D224="","",IF(J224="リード付け",N224,IF(J224="巻返しリード付け",N224,IF(J224="巻足し",N224*P224+OFFSET(N224,1,0)*OFFSET(P224,1,0),VLOOKUP(D224,契約台帳!$A$3:$P$4986,16,FALSE)))))</f>
        <v/>
      </c>
      <c r="U224" s="38"/>
      <c r="V224" s="259" t="str">
        <f ca="1">IF(D224="","",IF(OFFSET(D224,-2,0)=D224,"",VLOOKUP(D224,契約台帳!$A$3:$R$4986,18,FALSE)))</f>
        <v/>
      </c>
      <c r="W224" s="256" t="str">
        <f>IF(D224="","",IF(T224="","",IF(OR(J224="巻足し",J224="巻返しリード付け"),"",IF(J224="巻返し",VLOOKUP(F224&amp;K224&amp;M224,製品マスタ!$M$5:$AD$4999,18,FALSE),IF(OR(J224="リード付け",J224="巻返しリード付け"),"原反コア",IF(J224="スリット",VLOOKUP(F224&amp;K224&amp;R224,製品マスタ!$N$5:$AD$4999,17,FALSE),""))))))</f>
        <v/>
      </c>
      <c r="X224" s="256" t="str">
        <f>IF(D224="","",IF(T224="","",IF(J224="巻足し","",IF(J224="巻返し",VLOOKUP(F224&amp;K224&amp;M224,製品マスタ!$M$5:$AE$4999,19,FALSE),IF(OR(J224="リード付け",J224="巻返しリード付け"),"",IF(J224="スリット",VLOOKUP(F224&amp;K224&amp;R224,製品マスタ!$N$5:$AE$4999,18,FALSE),""))))))</f>
        <v/>
      </c>
      <c r="Y224" s="256" t="str">
        <f>IF(D224="","",IF(T224="","",VLOOKUP(D224,契約台帳!$A$3:$Q$4986,17,FALSE)))</f>
        <v/>
      </c>
      <c r="Z224" s="256" t="str">
        <f>IF(D224="","",IF(T224="","",VLOOKUP(D224,契約台帳!$A$3:$E$4986,5,FALSE)))</f>
        <v/>
      </c>
      <c r="AA224" s="54"/>
      <c r="AB224" s="200" t="str">
        <f>IFERROR((VLOOKUP(F224&amp;K224&amp;M224,製品マスタ!$M$5:$AM$4999,27,FALSE)),"")</f>
        <v/>
      </c>
      <c r="AC224" s="31"/>
      <c r="AD224" s="184"/>
      <c r="AE224" s="51"/>
      <c r="AF224" s="52"/>
      <c r="AG224" s="41"/>
      <c r="AH224" s="45"/>
      <c r="AI224" s="28"/>
      <c r="AJ224" s="28"/>
      <c r="AK224" s="28"/>
      <c r="AL224" s="28"/>
      <c r="AM224" s="12"/>
      <c r="AN224" s="12"/>
      <c r="AO224" s="12"/>
      <c r="AP224" s="12"/>
      <c r="AQ224" s="12"/>
      <c r="AR224" s="13"/>
      <c r="AS224" s="14"/>
    </row>
    <row r="225" spans="1:45" s="16" customFormat="1" ht="30.95" hidden="1" customHeight="1" x14ac:dyDescent="0.2">
      <c r="A225" s="35" t="s">
        <v>856</v>
      </c>
      <c r="B225" s="36" t="s">
        <v>462</v>
      </c>
      <c r="C225" s="43"/>
      <c r="D225" s="29">
        <v>3697680</v>
      </c>
      <c r="E225" s="29">
        <v>4161798</v>
      </c>
      <c r="F225" s="255" t="str">
        <f>IF(D225="","",VLOOKUP(D225,契約台帳!$A$3:$K$4986,6,FALSE)&amp;VLOOKUP(D225,契約台帳!$A$3:$K$4986,7,FALSE)&amp;VLOOKUP(D225,契約台帳!$A$3:$K$4986,8,FALSE)&amp;VLOOKUP(D225,契約台帳!$A$3:$K$4986,9,FALSE)&amp;VLOOKUP(D225,契約台帳!$A$3:$K$4986,11,FALSE))</f>
        <v>3SNMCLBHLGTV</v>
      </c>
      <c r="G225" s="256" t="str">
        <f>IF(D225="","",VLOOKUP(F225,製品マスタ!$G$5:$H$4999,2,FALSE))</f>
        <v>S</v>
      </c>
      <c r="H225" s="256" t="str">
        <f>IF(D225="","",VLOOKUP(F225,製品マスタ!$G$5:$K$4999,5,FALSE))</f>
        <v>HLGTV</v>
      </c>
      <c r="I225" s="200" t="str">
        <f>IF(D225="","",VLOOKUP(F225,製品マスタ!$G$5:$L$4999,6,FALSE))</f>
        <v>メタルミー　ヘヤライン　銀艶Ｖ</v>
      </c>
      <c r="J225" s="203" t="s">
        <v>832</v>
      </c>
      <c r="K225" s="200">
        <f>IF(D225="","",VLOOKUP(D225,契約台帳!$A$3:$L$4986,12,FALSE))</f>
        <v>50</v>
      </c>
      <c r="L225" s="200" t="str">
        <f>IF(D225="","",INDEX(製品マスタ!$Q$5:$Q$4999,MATCH('S4'!F225&amp;'S4'!K225,製品マスタ!$AO$5:$AO$4999,0)))</f>
        <v>BRIGHT</v>
      </c>
      <c r="M225" s="37">
        <v>1125</v>
      </c>
      <c r="N225" s="37">
        <v>4100</v>
      </c>
      <c r="O225" s="153">
        <v>6</v>
      </c>
      <c r="P225" s="45">
        <v>3</v>
      </c>
      <c r="Q225" s="54">
        <v>44967</v>
      </c>
      <c r="R225" s="257">
        <f ca="1">IF(D225="","",IF(OFFSET(D225,-1,0)&lt;&gt;"","",IF(OR(J225="リード付け",J225="巻足し",J225="巻返しリード付け"),M225,VLOOKUP(D225,契約台帳!$A$3:$N$4986,14,FALSE))))</f>
        <v>1125</v>
      </c>
      <c r="S225" s="258">
        <f ca="1">IF(D225="","",IF(OFFSET(D225,-1,0)&lt;&gt;"","",IF(OR(J225="リード付け",J225="巻足し",J225="巻返しリード付け"),M225,VLOOKUP(D225,契約台帳!$A$3:$O$4986,15,FALSE))))</f>
        <v>1125</v>
      </c>
      <c r="T225" s="258">
        <f ca="1">IF(D225="","",IF(J225="リード付け",N225,IF(J225="巻返しリード付け",N225,IF(J225="巻足し",N225*P225+OFFSET(N225,1,0)*OFFSET(P225,1,0),VLOOKUP(D225,契約台帳!$A$3:$P$4986,16,FALSE)))))</f>
        <v>12300</v>
      </c>
      <c r="U225" s="38">
        <v>2</v>
      </c>
      <c r="V225" s="259">
        <f ca="1">IF(D225="","",IF(OFFSET(D225,-2,0)=D225,"",VLOOKUP(D225,契約台帳!$A$3:$R$4986,18,FALSE)))</f>
        <v>10</v>
      </c>
      <c r="W225" s="256" t="str">
        <f ca="1">IF(D225="","",IF(T225="","",IF(OR(J225="巻足し",J225="巻返しリード付け"),"",IF(J225="巻返し",VLOOKUP(F225&amp;K225&amp;M225,製品マスタ!$M$5:$AD$4999,18,FALSE),IF(OR(J225="リード付け",J225="巻返しリード付け"),"原反コア",IF(J225="スリット",VLOOKUP(F225&amp;K225&amp;R225,製品マスタ!$N$5:$AD$4999,17,FALSE),""))))))</f>
        <v/>
      </c>
      <c r="X225" s="256" t="str">
        <f ca="1">IF(D225="","",IF(T225="","",IF(J225="巻足し","",IF(J225="巻返し",VLOOKUP(F225&amp;K225&amp;M225,製品マスタ!$M$5:$AE$4999,19,FALSE),IF(OR(J225="リード付け",J225="巻返しリード付け"),"",IF(J225="スリット",VLOOKUP(F225&amp;K225&amp;R225,製品マスタ!$N$5:$AE$4999,18,FALSE),""))))))</f>
        <v/>
      </c>
      <c r="Y225" s="256">
        <f ca="1">IF(D225="","",IF(T225="","",VLOOKUP(D225,契約台帳!$A$3:$Q$4986,17,FALSE)))</f>
        <v>2</v>
      </c>
      <c r="Z225" s="256" t="str">
        <f ca="1">IF(D225="","",IF(T225="","",VLOOKUP(D225,契約台帳!$A$3:$E$4986,5,FALSE)))</f>
        <v>リンテック㈱</v>
      </c>
      <c r="AA225" s="54"/>
      <c r="AB225" s="200">
        <f>IFERROR((VLOOKUP(F225&amp;K225&amp;M225,製品マスタ!$M$5:$AM$4999,27,FALSE)),"")</f>
        <v>0</v>
      </c>
      <c r="AC225" s="31"/>
      <c r="AD225" s="184"/>
      <c r="AE225" s="51"/>
      <c r="AF225" s="52"/>
      <c r="AG225" s="41"/>
      <c r="AH225" s="45"/>
      <c r="AI225" s="28"/>
      <c r="AJ225" s="28"/>
      <c r="AK225" s="28"/>
      <c r="AL225" s="28"/>
      <c r="AM225" s="12"/>
      <c r="AN225" s="12"/>
      <c r="AO225" s="12"/>
      <c r="AP225" s="12"/>
      <c r="AQ225" s="12"/>
      <c r="AR225" s="13"/>
      <c r="AS225" s="14"/>
    </row>
    <row r="226" spans="1:45" s="16" customFormat="1" ht="30.95" hidden="1" customHeight="1" x14ac:dyDescent="0.2">
      <c r="A226" s="35"/>
      <c r="B226" s="36"/>
      <c r="C226" s="43"/>
      <c r="D226" s="29"/>
      <c r="E226" s="29"/>
      <c r="F226" s="255" t="str">
        <f>IF(D226="","",VLOOKUP(D226,契約台帳!$A$3:$K$4986,6,FALSE)&amp;VLOOKUP(D226,契約台帳!$A$3:$K$4986,7,FALSE)&amp;VLOOKUP(D226,契約台帳!$A$3:$K$4986,8,FALSE)&amp;VLOOKUP(D226,契約台帳!$A$3:$K$4986,9,FALSE)&amp;VLOOKUP(D226,契約台帳!$A$3:$K$4986,11,FALSE))</f>
        <v/>
      </c>
      <c r="G226" s="256" t="str">
        <f>IF(D226="","",VLOOKUP(F226,製品マスタ!$G$5:$H$4999,2,FALSE))</f>
        <v/>
      </c>
      <c r="H226" s="256" t="str">
        <f>IF(D226="","",VLOOKUP(F226,製品マスタ!$G$5:$K$4999,5,FALSE))</f>
        <v/>
      </c>
      <c r="I226" s="200" t="str">
        <f>IF(D226="","",VLOOKUP(F226,製品マスタ!$G$5:$L$4999,6,FALSE))</f>
        <v/>
      </c>
      <c r="J226" s="203"/>
      <c r="K226" s="200" t="str">
        <f>IF(D226="","",VLOOKUP(D226,契約台帳!$A$3:$L$4986,12,FALSE))</f>
        <v/>
      </c>
      <c r="L226" s="200" t="str">
        <f>IF(D226="","",INDEX(製品マスタ!$Q$5:$Q$4999,MATCH('S4'!F226&amp;'S4'!K226,製品マスタ!$AO$5:$AO$4999,0)))</f>
        <v/>
      </c>
      <c r="M226" s="37"/>
      <c r="N226" s="37"/>
      <c r="O226" s="153"/>
      <c r="P226" s="45"/>
      <c r="Q226" s="54"/>
      <c r="R226" s="257" t="str">
        <f ca="1">IF(D226="","",IF(OFFSET(D226,-1,0)&lt;&gt;"","",IF(OR(J226="リード付け",J226="巻足し",J226="巻返しリード付け"),M226,VLOOKUP(D226,契約台帳!$A$3:$N$4986,14,FALSE))))</f>
        <v/>
      </c>
      <c r="S226" s="258" t="str">
        <f ca="1">IF(D226="","",IF(OFFSET(D226,-1,0)&lt;&gt;"","",IF(OR(J226="リード付け",J226="巻足し",J226="巻返しリード付け"),M226,VLOOKUP(D226,契約台帳!$A$3:$O$4986,15,FALSE))))</f>
        <v/>
      </c>
      <c r="T226" s="258" t="str">
        <f ca="1">IF(D226="","",IF(J226="リード付け",N226,IF(J226="巻返しリード付け",N226,IF(J226="巻足し",N226*P226+OFFSET(N226,1,0)*OFFSET(P226,1,0),VLOOKUP(D226,契約台帳!$A$3:$P$4986,16,FALSE)))))</f>
        <v/>
      </c>
      <c r="U226" s="38"/>
      <c r="V226" s="259" t="str">
        <f ca="1">IF(D226="","",IF(OFFSET(D226,-2,0)=D226,"",VLOOKUP(D226,契約台帳!$A$3:$R$4986,18,FALSE)))</f>
        <v/>
      </c>
      <c r="W226" s="256" t="str">
        <f>IF(D226="","",IF(T226="","",IF(OR(J226="巻足し",J226="巻返しリード付け"),"",IF(J226="巻返し",VLOOKUP(F226&amp;K226&amp;M226,製品マスタ!$M$5:$AD$4999,18,FALSE),IF(OR(J226="リード付け",J226="巻返しリード付け"),"原反コア",IF(J226="スリット",VLOOKUP(F226&amp;K226&amp;R226,製品マスタ!$N$5:$AD$4999,17,FALSE),""))))))</f>
        <v/>
      </c>
      <c r="X226" s="256" t="str">
        <f>IF(D226="","",IF(T226="","",IF(J226="巻足し","",IF(J226="巻返し",VLOOKUP(F226&amp;K226&amp;M226,製品マスタ!$M$5:$AE$4999,19,FALSE),IF(OR(J226="リード付け",J226="巻返しリード付け"),"",IF(J226="スリット",VLOOKUP(F226&amp;K226&amp;R226,製品マスタ!$N$5:$AE$4999,18,FALSE),""))))))</f>
        <v/>
      </c>
      <c r="Y226" s="256" t="str">
        <f>IF(D226="","",IF(T226="","",VLOOKUP(D226,契約台帳!$A$3:$Q$4986,17,FALSE)))</f>
        <v/>
      </c>
      <c r="Z226" s="256" t="str">
        <f>IF(D226="","",IF(T226="","",VLOOKUP(D226,契約台帳!$A$3:$E$4986,5,FALSE)))</f>
        <v/>
      </c>
      <c r="AA226" s="54"/>
      <c r="AB226" s="200" t="str">
        <f>IFERROR((VLOOKUP(F226&amp;K226&amp;M226,製品マスタ!$M$5:$AM$4999,27,FALSE)),"")</f>
        <v/>
      </c>
      <c r="AC226" s="31"/>
      <c r="AD226" s="184"/>
      <c r="AE226" s="51"/>
      <c r="AF226" s="52"/>
      <c r="AG226" s="41"/>
      <c r="AH226" s="45"/>
      <c r="AI226" s="28"/>
      <c r="AJ226" s="28"/>
      <c r="AK226" s="28"/>
      <c r="AL226" s="28"/>
      <c r="AM226" s="12"/>
      <c r="AN226" s="12"/>
      <c r="AO226" s="12"/>
      <c r="AP226" s="12"/>
      <c r="AQ226" s="12"/>
      <c r="AR226" s="13"/>
      <c r="AS226" s="14"/>
    </row>
    <row r="227" spans="1:45" s="16" customFormat="1" ht="30.95" hidden="1" customHeight="1" x14ac:dyDescent="0.2">
      <c r="A227" s="35"/>
      <c r="B227" s="36"/>
      <c r="C227" s="43"/>
      <c r="D227" s="29">
        <v>3697680</v>
      </c>
      <c r="E227" s="29">
        <v>4161798</v>
      </c>
      <c r="F227" s="255" t="str">
        <f>IF(D227="","",VLOOKUP(D227,契約台帳!$A$3:$K$4986,6,FALSE)&amp;VLOOKUP(D227,契約台帳!$A$3:$K$4986,7,FALSE)&amp;VLOOKUP(D227,契約台帳!$A$3:$K$4986,8,FALSE)&amp;VLOOKUP(D227,契約台帳!$A$3:$K$4986,9,FALSE)&amp;VLOOKUP(D227,契約台帳!$A$3:$K$4986,11,FALSE))</f>
        <v>3SNMCLBHLGTV</v>
      </c>
      <c r="G227" s="256" t="str">
        <f>IF(D227="","",VLOOKUP(F227,製品マスタ!$G$5:$H$4999,2,FALSE))</f>
        <v>S</v>
      </c>
      <c r="H227" s="256" t="str">
        <f>IF(D227="","",VLOOKUP(F227,製品マスタ!$G$5:$K$4999,5,FALSE))</f>
        <v>HLGTV</v>
      </c>
      <c r="I227" s="200" t="str">
        <f>IF(D227="","",VLOOKUP(F227,製品マスタ!$G$5:$L$4999,6,FALSE))</f>
        <v>メタルミー　ヘヤライン　銀艶Ｖ</v>
      </c>
      <c r="J227" s="203" t="s">
        <v>832</v>
      </c>
      <c r="K227" s="200">
        <f>IF(D227="","",VLOOKUP(D227,契約台帳!$A$3:$L$4986,12,FALSE))</f>
        <v>50</v>
      </c>
      <c r="L227" s="200" t="str">
        <f>IF(D227="","",INDEX(製品マスタ!$Q$5:$Q$4999,MATCH('S4'!F227&amp;'S4'!K227,製品マスタ!$AO$5:$AO$4999,0)))</f>
        <v>BRIGHT</v>
      </c>
      <c r="M227" s="37">
        <v>1125</v>
      </c>
      <c r="N227" s="37">
        <v>4100</v>
      </c>
      <c r="O227" s="153">
        <v>4</v>
      </c>
      <c r="P227" s="45">
        <v>2</v>
      </c>
      <c r="Q227" s="54">
        <v>44967</v>
      </c>
      <c r="R227" s="257">
        <f ca="1">IF(D227="","",IF(OFFSET(D227,-1,0)&lt;&gt;"","",IF(OR(J227="リード付け",J227="巻足し",J227="巻返しリード付け"),M227,VLOOKUP(D227,契約台帳!$A$3:$N$4986,14,FALSE))))</f>
        <v>1125</v>
      </c>
      <c r="S227" s="258">
        <f ca="1">IF(D227="","",IF(OFFSET(D227,-1,0)&lt;&gt;"","",IF(OR(J227="リード付け",J227="巻足し",J227="巻返しリード付け"),M227,VLOOKUP(D227,契約台帳!$A$3:$O$4986,15,FALSE))))</f>
        <v>1125</v>
      </c>
      <c r="T227" s="258">
        <f ca="1">IF(D227="","",IF(J227="リード付け",N227,IF(J227="巻返しリード付け",N227,IF(J227="巻足し",N227*P227+OFFSET(N227,1,0)*OFFSET(P227,1,0),VLOOKUP(D227,契約台帳!$A$3:$P$4986,16,FALSE)))))</f>
        <v>8200</v>
      </c>
      <c r="U227" s="38">
        <v>2</v>
      </c>
      <c r="V227" s="259" t="str">
        <f ca="1">IF(D227="","",IF(OFFSET(D227,-2,0)=D227,"",VLOOKUP(D227,契約台帳!$A$3:$R$4986,18,FALSE)))</f>
        <v/>
      </c>
      <c r="W227" s="256" t="str">
        <f ca="1">IF(D227="","",IF(T227="","",IF(OR(J227="巻足し",J227="巻返しリード付け"),"",IF(J227="巻返し",VLOOKUP(F227&amp;K227&amp;M227,製品マスタ!$M$5:$AD$4999,18,FALSE),IF(OR(J227="リード付け",J227="巻返しリード付け"),"原反コア",IF(J227="スリット",VLOOKUP(F227&amp;K227&amp;R227,製品マスタ!$N$5:$AD$4999,17,FALSE),""))))))</f>
        <v/>
      </c>
      <c r="X227" s="256" t="str">
        <f ca="1">IF(D227="","",IF(T227="","",IF(J227="巻足し","",IF(J227="巻返し",VLOOKUP(F227&amp;K227&amp;M227,製品マスタ!$M$5:$AE$4999,19,FALSE),IF(OR(J227="リード付け",J227="巻返しリード付け"),"",IF(J227="スリット",VLOOKUP(F227&amp;K227&amp;R227,製品マスタ!$N$5:$AE$4999,18,FALSE),""))))))</f>
        <v/>
      </c>
      <c r="Y227" s="256">
        <f ca="1">IF(D227="","",IF(T227="","",VLOOKUP(D227,契約台帳!$A$3:$Q$4986,17,FALSE)))</f>
        <v>2</v>
      </c>
      <c r="Z227" s="256" t="str">
        <f ca="1">IF(D227="","",IF(T227="","",VLOOKUP(D227,契約台帳!$A$3:$E$4986,5,FALSE)))</f>
        <v>リンテック㈱</v>
      </c>
      <c r="AA227" s="54"/>
      <c r="AB227" s="200">
        <f>IFERROR((VLOOKUP(F227&amp;K227&amp;M227,製品マスタ!$M$5:$AM$4999,27,FALSE)),"")</f>
        <v>0</v>
      </c>
      <c r="AC227" s="31"/>
      <c r="AD227" s="184"/>
      <c r="AE227" s="51"/>
      <c r="AF227" s="52"/>
      <c r="AG227" s="41"/>
      <c r="AH227" s="45"/>
      <c r="AI227" s="28"/>
      <c r="AJ227" s="28"/>
      <c r="AK227" s="28"/>
      <c r="AL227" s="28"/>
      <c r="AM227" s="12"/>
      <c r="AN227" s="12"/>
      <c r="AO227" s="12"/>
      <c r="AP227" s="12"/>
      <c r="AQ227" s="12"/>
      <c r="AR227" s="13"/>
      <c r="AS227" s="14"/>
    </row>
    <row r="228" spans="1:45" s="16" customFormat="1" ht="30.95" hidden="1" customHeight="1" x14ac:dyDescent="0.2">
      <c r="A228" s="35"/>
      <c r="B228" s="36"/>
      <c r="C228" s="43"/>
      <c r="D228" s="29"/>
      <c r="E228" s="29"/>
      <c r="F228" s="255" t="str">
        <f>IF(D228="","",VLOOKUP(D228,契約台帳!$A$3:$K$4986,6,FALSE)&amp;VLOOKUP(D228,契約台帳!$A$3:$K$4986,7,FALSE)&amp;VLOOKUP(D228,契約台帳!$A$3:$K$4986,8,FALSE)&amp;VLOOKUP(D228,契約台帳!$A$3:$K$4986,9,FALSE)&amp;VLOOKUP(D228,契約台帳!$A$3:$K$4986,11,FALSE))</f>
        <v/>
      </c>
      <c r="G228" s="256" t="str">
        <f>IF(D228="","",VLOOKUP(F228,製品マスタ!$G$5:$H$4999,2,FALSE))</f>
        <v/>
      </c>
      <c r="H228" s="256" t="str">
        <f>IF(D228="","",VLOOKUP(F228,製品マスタ!$G$5:$K$4999,5,FALSE))</f>
        <v/>
      </c>
      <c r="I228" s="200" t="str">
        <f>IF(D228="","",VLOOKUP(F228,製品マスタ!$G$5:$L$4999,6,FALSE))</f>
        <v/>
      </c>
      <c r="J228" s="203"/>
      <c r="K228" s="200" t="str">
        <f>IF(D228="","",VLOOKUP(D228,契約台帳!$A$3:$L$4986,12,FALSE))</f>
        <v/>
      </c>
      <c r="L228" s="200" t="str">
        <f>IF(D228="","",INDEX(製品マスタ!$Q$5:$Q$4999,MATCH('S4'!F228&amp;'S4'!K228,製品マスタ!$AO$5:$AO$4999,0)))</f>
        <v/>
      </c>
      <c r="M228" s="37"/>
      <c r="N228" s="37"/>
      <c r="O228" s="153"/>
      <c r="P228" s="45"/>
      <c r="Q228" s="54"/>
      <c r="R228" s="257" t="str">
        <f ca="1">IF(D228="","",IF(OFFSET(D228,-1,0)&lt;&gt;"","",IF(OR(J228="リード付け",J228="巻足し",J228="巻返しリード付け"),M228,VLOOKUP(D228,契約台帳!$A$3:$N$4986,14,FALSE))))</f>
        <v/>
      </c>
      <c r="S228" s="258" t="str">
        <f ca="1">IF(D228="","",IF(OFFSET(D228,-1,0)&lt;&gt;"","",IF(OR(J228="リード付け",J228="巻足し",J228="巻返しリード付け"),M228,VLOOKUP(D228,契約台帳!$A$3:$O$4986,15,FALSE))))</f>
        <v/>
      </c>
      <c r="T228" s="258" t="str">
        <f ca="1">IF(D228="","",IF(J228="リード付け",N228,IF(J228="巻返しリード付け",N228,IF(J228="巻足し",N228*P228+OFFSET(N228,1,0)*OFFSET(P228,1,0),VLOOKUP(D228,契約台帳!$A$3:$P$4986,16,FALSE)))))</f>
        <v/>
      </c>
      <c r="U228" s="38"/>
      <c r="V228" s="259" t="str">
        <f ca="1">IF(D228="","",IF(OFFSET(D228,-2,0)=D228,"",VLOOKUP(D228,契約台帳!$A$3:$R$4986,18,FALSE)))</f>
        <v/>
      </c>
      <c r="W228" s="256" t="str">
        <f>IF(D228="","",IF(T228="","",IF(OR(J228="巻足し",J228="巻返しリード付け"),"",IF(J228="巻返し",VLOOKUP(F228&amp;K228&amp;M228,製品マスタ!$M$5:$AD$4999,18,FALSE),IF(OR(J228="リード付け",J228="巻返しリード付け"),"原反コア",IF(J228="スリット",VLOOKUP(F228&amp;K228&amp;R228,製品マスタ!$N$5:$AD$4999,17,FALSE),""))))))</f>
        <v/>
      </c>
      <c r="X228" s="256" t="str">
        <f>IF(D228="","",IF(T228="","",IF(J228="巻足し","",IF(J228="巻返し",VLOOKUP(F228&amp;K228&amp;M228,製品マスタ!$M$5:$AE$4999,19,FALSE),IF(OR(J228="リード付け",J228="巻返しリード付け"),"",IF(J228="スリット",VLOOKUP(F228&amp;K228&amp;R228,製品マスタ!$N$5:$AE$4999,18,FALSE),""))))))</f>
        <v/>
      </c>
      <c r="Y228" s="256" t="str">
        <f>IF(D228="","",IF(T228="","",VLOOKUP(D228,契約台帳!$A$3:$Q$4986,17,FALSE)))</f>
        <v/>
      </c>
      <c r="Z228" s="256" t="str">
        <f>IF(D228="","",IF(T228="","",VLOOKUP(D228,契約台帳!$A$3:$E$4986,5,FALSE)))</f>
        <v/>
      </c>
      <c r="AA228" s="54"/>
      <c r="AB228" s="200" t="str">
        <f>IFERROR((VLOOKUP(F228&amp;K228&amp;M228,製品マスタ!$M$5:$AM$4999,27,FALSE)),"")</f>
        <v/>
      </c>
      <c r="AC228" s="31"/>
      <c r="AD228" s="184"/>
      <c r="AE228" s="51"/>
      <c r="AF228" s="52"/>
      <c r="AG228" s="41"/>
      <c r="AH228" s="45"/>
      <c r="AI228" s="28"/>
      <c r="AJ228" s="28"/>
      <c r="AK228" s="28"/>
      <c r="AL228" s="28"/>
      <c r="AM228" s="12"/>
      <c r="AN228" s="12"/>
      <c r="AO228" s="12"/>
      <c r="AP228" s="12"/>
      <c r="AQ228" s="12"/>
      <c r="AR228" s="13"/>
      <c r="AS228" s="14"/>
    </row>
    <row r="229" spans="1:45" s="16" customFormat="1" ht="30.95" hidden="1" customHeight="1" x14ac:dyDescent="0.2">
      <c r="A229" s="35"/>
      <c r="B229" s="36"/>
      <c r="C229" s="43"/>
      <c r="D229" s="29">
        <v>3697655</v>
      </c>
      <c r="E229" s="29">
        <v>4140896</v>
      </c>
      <c r="F229" s="255" t="str">
        <f>IF(D229="","",VLOOKUP(D229,契約台帳!$A$3:$K$4986,6,FALSE)&amp;VLOOKUP(D229,契約台帳!$A$3:$K$4986,7,FALSE)&amp;VLOOKUP(D229,契約台帳!$A$3:$K$4986,8,FALSE)&amp;VLOOKUP(D229,契約台帳!$A$3:$K$4986,9,FALSE)&amp;VLOOKUP(D229,契約台帳!$A$3:$K$4986,11,FALSE))</f>
        <v>3SNCLBLEYK</v>
      </c>
      <c r="G229" s="256" t="str">
        <f>IF(D229="","",VLOOKUP(F229,製品マスタ!$G$5:$H$4999,2,FALSE))</f>
        <v>S</v>
      </c>
      <c r="H229" s="256" t="str">
        <f>IF(D229="","",VLOOKUP(F229,製品マスタ!$G$5:$K$4999,5,FALSE))</f>
        <v>LEYK</v>
      </c>
      <c r="I229" s="200" t="str">
        <f>IF(D229="","",VLOOKUP(F229,製品マスタ!$G$5:$L$4999,6,FALSE))</f>
        <v>ルミラー　ＥＹＫ</v>
      </c>
      <c r="J229" s="203" t="s">
        <v>907</v>
      </c>
      <c r="K229" s="200">
        <f>IF(D229="","",VLOOKUP(D229,契約台帳!$A$3:$L$4986,12,FALSE))</f>
        <v>50</v>
      </c>
      <c r="L229" s="200" t="str">
        <f>IF(D229="","",INDEX(製品マスタ!$Q$5:$Q$4999,MATCH('S4'!F229&amp;'S4'!K229,製品マスタ!$AO$5:$AO$4999,0)))</f>
        <v>T62M</v>
      </c>
      <c r="M229" s="37">
        <v>1125</v>
      </c>
      <c r="N229" s="37">
        <v>6000</v>
      </c>
      <c r="O229" s="153">
        <v>6</v>
      </c>
      <c r="P229" s="45">
        <v>6</v>
      </c>
      <c r="Q229" s="54">
        <v>44970</v>
      </c>
      <c r="R229" s="257">
        <f ca="1">IF(D229="","",IF(OFFSET(D229,-1,0)&lt;&gt;"","",IF(OR(J229="リード付け",J229="巻足し",J229="巻返しリード付け"),M229,VLOOKUP(D229,契約台帳!$A$3:$N$4986,14,FALSE))))</f>
        <v>1120</v>
      </c>
      <c r="S229" s="258">
        <f ca="1">IF(D229="","",IF(OFFSET(D229,-1,0)&lt;&gt;"","",IF(OR(J229="リード付け",J229="巻足し",J229="巻返しリード付け"),M229,VLOOKUP(D229,契約台帳!$A$3:$O$4986,15,FALSE))))</f>
        <v>1120</v>
      </c>
      <c r="T229" s="258">
        <f ca="1">IF(D229="","",IF(J229="リード付け",N229,IF(J229="巻返しリード付け",N229,IF(J229="巻足し",N229*P229+OFFSET(N229,1,0)*OFFSET(P229,1,0),VLOOKUP(D229,契約台帳!$A$3:$P$4986,16,FALSE)))))</f>
        <v>6000</v>
      </c>
      <c r="U229" s="38">
        <v>6</v>
      </c>
      <c r="V229" s="259">
        <f ca="1">IF(D229="","",IF(OFFSET(D229,-2,0)=D229,"",VLOOKUP(D229,契約台帳!$A$3:$R$4986,18,FALSE)))</f>
        <v>6</v>
      </c>
      <c r="W229" s="256" t="str">
        <f ca="1">IF(D229="","",IF(T229="","",IF(OR(J229="巻足し",J229="巻返しリード付け"),"",IF(J229="巻返し",VLOOKUP(F229&amp;K229&amp;M229,製品マスタ!$M$5:$AD$4999,18,FALSE),IF(OR(J229="リード付け",J229="巻返しリード付け"),"原反コア",IF(J229="スリット",VLOOKUP(F229&amp;K229&amp;R229,製品マスタ!$N$5:$AD$4999,17,FALSE),""))))))</f>
        <v>6ｲﾝﾁMｺｱ</v>
      </c>
      <c r="X229" s="256">
        <f ca="1">IF(D229="","",IF(T229="","",IF(J229="巻足し","",IF(J229="巻返し",VLOOKUP(F229&amp;K229&amp;M229,製品マスタ!$M$5:$AE$4999,19,FALSE),IF(OR(J229="リード付け",J229="巻返しリード付け"),"",IF(J229="スリット",VLOOKUP(F229&amp;K229&amp;R229,製品マスタ!$N$5:$AE$4999,18,FALSE),""))))))</f>
        <v>1140</v>
      </c>
      <c r="Y229" s="256">
        <f ca="1">IF(D229="","",IF(T229="","",VLOOKUP(D229,契約台帳!$A$3:$Q$4986,17,FALSE)))</f>
        <v>2</v>
      </c>
      <c r="Z229" s="256" t="str">
        <f ca="1">IF(D229="","",IF(T229="","",VLOOKUP(D229,契約台帳!$A$3:$E$4986,5,FALSE)))</f>
        <v>新タック化成㈱</v>
      </c>
      <c r="AA229" s="54"/>
      <c r="AB229" s="200" t="str">
        <f>IFERROR((VLOOKUP(F229&amp;K229&amp;M229,製品マスタ!$M$5:$AM$4999,27,FALSE)),"")</f>
        <v>原反ケース再利用</v>
      </c>
      <c r="AC229" s="31"/>
      <c r="AD229" s="184"/>
      <c r="AE229" s="51"/>
      <c r="AF229" s="52"/>
      <c r="AG229" s="41"/>
      <c r="AH229" s="45"/>
      <c r="AI229" s="28"/>
      <c r="AJ229" s="28"/>
      <c r="AK229" s="28"/>
      <c r="AL229" s="28"/>
      <c r="AM229" s="12"/>
      <c r="AN229" s="12"/>
      <c r="AO229" s="12"/>
      <c r="AP229" s="12"/>
      <c r="AQ229" s="12"/>
      <c r="AR229" s="13"/>
      <c r="AS229" s="14"/>
    </row>
    <row r="230" spans="1:45" s="16" customFormat="1" ht="30.95" hidden="1" customHeight="1" x14ac:dyDescent="0.2">
      <c r="A230" s="35"/>
      <c r="B230" s="36"/>
      <c r="C230" s="43"/>
      <c r="D230" s="29"/>
      <c r="E230" s="29"/>
      <c r="F230" s="255"/>
      <c r="G230" s="256"/>
      <c r="H230" s="256"/>
      <c r="I230" s="200"/>
      <c r="J230" s="203"/>
      <c r="K230" s="200"/>
      <c r="L230" s="200"/>
      <c r="M230" s="37"/>
      <c r="N230" s="37"/>
      <c r="O230" s="153"/>
      <c r="P230" s="45"/>
      <c r="Q230" s="54"/>
      <c r="R230" s="257"/>
      <c r="S230" s="258"/>
      <c r="T230" s="258"/>
      <c r="U230" s="38"/>
      <c r="V230" s="259"/>
      <c r="W230" s="256"/>
      <c r="X230" s="256"/>
      <c r="Y230" s="256"/>
      <c r="Z230" s="256"/>
      <c r="AA230" s="54"/>
      <c r="AB230" s="200"/>
      <c r="AC230" s="31"/>
      <c r="AD230" s="184"/>
      <c r="AE230" s="51"/>
      <c r="AF230" s="52"/>
      <c r="AG230" s="41"/>
      <c r="AH230" s="45"/>
      <c r="AI230" s="28"/>
      <c r="AJ230" s="28"/>
      <c r="AK230" s="28"/>
      <c r="AL230" s="28"/>
      <c r="AM230" s="12"/>
      <c r="AN230" s="12"/>
      <c r="AO230" s="12"/>
      <c r="AP230" s="12"/>
      <c r="AQ230" s="12"/>
      <c r="AR230" s="13"/>
      <c r="AS230" s="14"/>
    </row>
    <row r="231" spans="1:45" s="16" customFormat="1" ht="30.95" hidden="1" customHeight="1" x14ac:dyDescent="0.2">
      <c r="A231" s="35" t="s">
        <v>873</v>
      </c>
      <c r="B231" s="36" t="s">
        <v>688</v>
      </c>
      <c r="C231" s="43"/>
      <c r="D231" s="29">
        <v>3697681</v>
      </c>
      <c r="E231" s="29">
        <v>4140895</v>
      </c>
      <c r="F231" s="255" t="str">
        <f>IF(D231="","",VLOOKUP(D231,契約台帳!$A$3:$K$4986,6,FALSE)&amp;VLOOKUP(D231,契約台帳!$A$3:$K$4986,7,FALSE)&amp;VLOOKUP(D231,契約台帳!$A$3:$K$4986,8,FALSE)&amp;VLOOKUP(D231,契約台帳!$A$3:$K$4986,9,FALSE)&amp;VLOOKUP(D231,契約台帳!$A$3:$K$4986,11,FALSE))</f>
        <v>3SNCLBLMEYK</v>
      </c>
      <c r="G231" s="256" t="str">
        <f>IF(D231="","",VLOOKUP(F231,製品マスタ!$G$5:$H$4999,2,FALSE))</f>
        <v>S</v>
      </c>
      <c r="H231" s="256" t="str">
        <f>IF(D231="","",VLOOKUP(F231,製品マスタ!$G$5:$K$4999,5,FALSE))</f>
        <v>LMEYK</v>
      </c>
      <c r="I231" s="200" t="str">
        <f>IF(D231="","",VLOOKUP(F231,製品マスタ!$G$5:$L$4999,6,FALSE))</f>
        <v>ルミマットＥＹＫ</v>
      </c>
      <c r="J231" s="203" t="s">
        <v>907</v>
      </c>
      <c r="K231" s="200">
        <f>IF(D231="","",VLOOKUP(D231,契約台帳!$A$3:$L$4986,12,FALSE))</f>
        <v>38</v>
      </c>
      <c r="L231" s="200" t="str">
        <f>IF(D231="","",INDEX(製品マスタ!$Q$5:$Q$4999,MATCH('S4'!F231&amp;'S4'!K231,製品マスタ!$AO$5:$AO$4999,0)))</f>
        <v>LUMIMAT</v>
      </c>
      <c r="M231" s="37">
        <v>1005</v>
      </c>
      <c r="N231" s="37">
        <v>8000</v>
      </c>
      <c r="O231" s="153">
        <v>4</v>
      </c>
      <c r="P231" s="45">
        <v>4</v>
      </c>
      <c r="Q231" s="54">
        <v>44970</v>
      </c>
      <c r="R231" s="257">
        <f ca="1">IF(D231="","",IF(OFFSET(D231,-1,0)&lt;&gt;"","",IF(OR(J231="リード付け",J231="巻足し",J231="巻返しリード付け"),M231,VLOOKUP(D231,契約台帳!$A$3:$N$4986,14,FALSE))))</f>
        <v>1005</v>
      </c>
      <c r="S231" s="258">
        <f ca="1">IF(D231="","",IF(OFFSET(D231,-1,0)&lt;&gt;"","",IF(OR(J231="リード付け",J231="巻足し",J231="巻返しリード付け"),M231,VLOOKUP(D231,契約台帳!$A$3:$O$4986,15,FALSE))))</f>
        <v>1000</v>
      </c>
      <c r="T231" s="258">
        <f ca="1">IF(D231="","",IF(J231="リード付け",N231,IF(J231="巻返しリード付け",N231,IF(J231="巻足し",N231*P231+OFFSET(N231,1,0)*OFFSET(P231,1,0),VLOOKUP(D231,契約台帳!$A$3:$P$4986,16,FALSE)))))</f>
        <v>4000</v>
      </c>
      <c r="U231" s="38">
        <v>8</v>
      </c>
      <c r="V231" s="259">
        <f ca="1">IF(D231="","",IF(OFFSET(D231,-2,0)=D231,"",VLOOKUP(D231,契約台帳!$A$3:$R$4986,18,FALSE)))</f>
        <v>8</v>
      </c>
      <c r="W231" s="256" t="str">
        <f ca="1">IF(D231="","",IF(T231="","",IF(OR(J231="巻足し",J231="巻返しリード付け"),"",IF(J231="巻返し",VLOOKUP(F231&amp;K231&amp;M231,製品マスタ!$M$5:$AD$4999,18,FALSE),IF(OR(J231="リード付け",J231="巻返しリード付け"),"原反コア",IF(J231="スリット",VLOOKUP(F231&amp;K231&amp;R231,製品マスタ!$N$5:$AD$4999,17,FALSE),""))))))</f>
        <v>3ｲﾝﾁSｺｱ</v>
      </c>
      <c r="X231" s="256">
        <f ca="1">IF(D231="","",IF(T231="","",IF(J231="巻足し","",IF(J231="巻返し",VLOOKUP(F231&amp;K231&amp;M231,製品マスタ!$M$5:$AE$4999,19,FALSE),IF(OR(J231="リード付け",J231="巻返しリード付け"),"",IF(J231="スリット",VLOOKUP(F231&amp;K231&amp;R231,製品マスタ!$N$5:$AE$4999,18,FALSE),""))))))</f>
        <v>1015</v>
      </c>
      <c r="Y231" s="256">
        <f ca="1">IF(D231="","",IF(T231="","",VLOOKUP(D231,契約台帳!$A$3:$Q$4986,17,FALSE)))</f>
        <v>2</v>
      </c>
      <c r="Z231" s="256" t="str">
        <f ca="1">IF(D231="","",IF(T231="","",VLOOKUP(D231,契約台帳!$A$3:$E$4986,5,FALSE)))</f>
        <v>リンテック㈱</v>
      </c>
      <c r="AA231" s="54"/>
      <c r="AB231" s="200">
        <f>IFERROR((VLOOKUP(F231&amp;K231&amp;M231,製品マスタ!$M$5:$AM$4999,27,FALSE)),"")</f>
        <v>0</v>
      </c>
      <c r="AC231" s="31"/>
      <c r="AD231" s="184"/>
      <c r="AE231" s="51"/>
      <c r="AF231" s="52"/>
      <c r="AG231" s="41"/>
      <c r="AH231" s="45"/>
      <c r="AI231" s="28"/>
      <c r="AJ231" s="28"/>
      <c r="AK231" s="28"/>
      <c r="AL231" s="28"/>
      <c r="AM231" s="12"/>
      <c r="AN231" s="12"/>
      <c r="AO231" s="12"/>
      <c r="AP231" s="12"/>
      <c r="AQ231" s="12"/>
      <c r="AR231" s="13"/>
      <c r="AS231" s="14"/>
    </row>
    <row r="232" spans="1:45" s="16" customFormat="1" ht="30.95" hidden="1" customHeight="1" x14ac:dyDescent="0.2">
      <c r="A232" s="35"/>
      <c r="B232" s="36"/>
      <c r="C232" s="43"/>
      <c r="D232" s="29"/>
      <c r="E232" s="29"/>
      <c r="F232" s="255" t="str">
        <f>IF(D232="","",VLOOKUP(D232,契約台帳!$A$3:$K$4986,6,FALSE)&amp;VLOOKUP(D232,契約台帳!$A$3:$K$4986,7,FALSE)&amp;VLOOKUP(D232,契約台帳!$A$3:$K$4986,8,FALSE)&amp;VLOOKUP(D232,契約台帳!$A$3:$K$4986,9,FALSE)&amp;VLOOKUP(D232,契約台帳!$A$3:$K$4986,11,FALSE))</f>
        <v/>
      </c>
      <c r="G232" s="256" t="str">
        <f>IF(D232="","",VLOOKUP(F232,製品マスタ!$G$5:$H$4999,2,FALSE))</f>
        <v/>
      </c>
      <c r="H232" s="256" t="str">
        <f>IF(D232="","",VLOOKUP(F232,製品マスタ!$G$5:$K$4999,5,FALSE))</f>
        <v/>
      </c>
      <c r="I232" s="200" t="str">
        <f>IF(D232="","",VLOOKUP(F232,製品マスタ!$G$5:$L$4999,6,FALSE))</f>
        <v/>
      </c>
      <c r="J232" s="203"/>
      <c r="K232" s="200" t="str">
        <f>IF(D232="","",VLOOKUP(D232,契約台帳!$A$3:$L$4986,12,FALSE))</f>
        <v/>
      </c>
      <c r="L232" s="200" t="str">
        <f>IF(D232="","",INDEX(製品マスタ!$Q$5:$Q$4999,MATCH('S4'!F232&amp;'S4'!K232,製品マスタ!$AO$5:$AO$4999,0)))</f>
        <v/>
      </c>
      <c r="M232" s="37"/>
      <c r="N232" s="37"/>
      <c r="O232" s="153"/>
      <c r="P232" s="45"/>
      <c r="Q232" s="54"/>
      <c r="R232" s="257" t="str">
        <f ca="1">IF(D232="","",IF(OFFSET(D232,-1,0)&lt;&gt;"","",IF(OR(J232="リード付け",J232="巻足し",J232="巻返しリード付け"),M232,VLOOKUP(D232,契約台帳!$A$3:$N$4986,14,FALSE))))</f>
        <v/>
      </c>
      <c r="S232" s="258" t="str">
        <f ca="1">IF(D232="","",IF(OFFSET(D232,-1,0)&lt;&gt;"","",IF(OR(J232="リード付け",J232="巻足し",J232="巻返しリード付け"),M232,VLOOKUP(D232,契約台帳!$A$3:$O$4986,15,FALSE))))</f>
        <v/>
      </c>
      <c r="T232" s="258" t="str">
        <f ca="1">IF(D232="","",IF(J232="リード付け",N232,IF(J232="巻返しリード付け",N232,IF(J232="巻足し",N232*P232+OFFSET(N232,1,0)*OFFSET(P232,1,0),VLOOKUP(D232,契約台帳!$A$3:$P$4986,16,FALSE)))))</f>
        <v/>
      </c>
      <c r="U232" s="38"/>
      <c r="V232" s="259" t="str">
        <f ca="1">IF(D232="","",IF(OFFSET(D232,-2,0)=D232,"",VLOOKUP(D232,契約台帳!$A$3:$R$4986,18,FALSE)))</f>
        <v/>
      </c>
      <c r="W232" s="256" t="str">
        <f>IF(D232="","",IF(T232="","",IF(OR(J232="巻足し",J232="巻返しリード付け"),"",IF(J232="巻返し",VLOOKUP(F232&amp;K232&amp;M232,製品マスタ!$M$5:$AD$4999,18,FALSE),IF(OR(J232="リード付け",J232="巻返しリード付け"),"原反コア",IF(J232="スリット",VLOOKUP(F232&amp;K232&amp;R232,製品マスタ!$N$5:$AD$4999,17,FALSE),""))))))</f>
        <v/>
      </c>
      <c r="X232" s="256" t="str">
        <f>IF(D232="","",IF(T232="","",IF(J232="巻足し","",IF(J232="巻返し",VLOOKUP(F232&amp;K232&amp;M232,製品マスタ!$M$5:$AE$4999,19,FALSE),IF(OR(J232="リード付け",J232="巻返しリード付け"),"",IF(J232="スリット",VLOOKUP(F232&amp;K232&amp;R232,製品マスタ!$N$5:$AE$4999,18,FALSE),""))))))</f>
        <v/>
      </c>
      <c r="Y232" s="256" t="str">
        <f>IF(D232="","",IF(T232="","",VLOOKUP(D232,契約台帳!$A$3:$Q$4986,17,FALSE)))</f>
        <v/>
      </c>
      <c r="Z232" s="256" t="str">
        <f>IF(D232="","",IF(T232="","",VLOOKUP(D232,契約台帳!$A$3:$E$4986,5,FALSE)))</f>
        <v/>
      </c>
      <c r="AA232" s="54"/>
      <c r="AB232" s="200" t="str">
        <f>IFERROR((VLOOKUP(F232&amp;K232&amp;M232,製品マスタ!$M$5:$AM$4999,27,FALSE)),"")</f>
        <v/>
      </c>
      <c r="AC232" s="31"/>
      <c r="AD232" s="184"/>
      <c r="AE232" s="51"/>
      <c r="AF232" s="52"/>
      <c r="AG232" s="41"/>
      <c r="AH232" s="45"/>
      <c r="AI232" s="28"/>
      <c r="AJ232" s="28"/>
      <c r="AK232" s="28"/>
      <c r="AL232" s="28"/>
      <c r="AM232" s="12"/>
      <c r="AN232" s="12"/>
      <c r="AO232" s="12"/>
      <c r="AP232" s="12"/>
      <c r="AQ232" s="12"/>
      <c r="AR232" s="13"/>
      <c r="AS232" s="14"/>
    </row>
    <row r="233" spans="1:45" s="16" customFormat="1" ht="30.95" hidden="1" customHeight="1" x14ac:dyDescent="0.2">
      <c r="A233" s="35"/>
      <c r="B233" s="36"/>
      <c r="C233" s="43"/>
      <c r="D233" s="29">
        <v>3697653</v>
      </c>
      <c r="E233" s="29">
        <v>4140880</v>
      </c>
      <c r="F233" s="255" t="str">
        <f>IF(D233="","",VLOOKUP(D233,契約台帳!$A$3:$K$4986,6,FALSE)&amp;VLOOKUP(D233,契約台帳!$A$3:$K$4986,7,FALSE)&amp;VLOOKUP(D233,契約台帳!$A$3:$K$4986,8,FALSE)&amp;VLOOKUP(D233,契約台帳!$A$3:$K$4986,9,FALSE)&amp;VLOOKUP(D233,契約台帳!$A$3:$K$4986,11,FALSE))</f>
        <v>3HSNMCLBEYK</v>
      </c>
      <c r="G233" s="256" t="str">
        <f>IF(D233="","",VLOOKUP(F233,製品マスタ!$G$5:$H$4999,2,FALSE))</f>
        <v>S</v>
      </c>
      <c r="H233" s="256" t="str">
        <f>IF(D233="","",VLOOKUP(F233,製品マスタ!$G$5:$K$4999,5,FALSE))</f>
        <v>EYK</v>
      </c>
      <c r="I233" s="200" t="str">
        <f>IF(D233="","",VLOOKUP(F233,製品マスタ!$G$5:$L$4999,6,FALSE))</f>
        <v>メタルミー　ＥＹＫ</v>
      </c>
      <c r="J233" s="203" t="s">
        <v>907</v>
      </c>
      <c r="K233" s="200">
        <f>IF(D233="","",VLOOKUP(D233,契約台帳!$A$3:$L$4986,12,FALSE))</f>
        <v>50</v>
      </c>
      <c r="L233" s="200" t="str">
        <f>IF(D233="","",INDEX(製品マスタ!$Q$5:$Q$4999,MATCH('S4'!F233&amp;'S4'!K233,製品マスタ!$AO$5:$AO$4999,0)))</f>
        <v>T62M</v>
      </c>
      <c r="M233" s="37">
        <v>1195</v>
      </c>
      <c r="N233" s="37">
        <v>12200</v>
      </c>
      <c r="O233" s="153">
        <v>3</v>
      </c>
      <c r="P233" s="45">
        <v>3</v>
      </c>
      <c r="Q233" s="54">
        <v>44971</v>
      </c>
      <c r="R233" s="257">
        <f ca="1">IF(D233="","",IF(OFFSET(D233,-1,0)&lt;&gt;"","",IF(OR(J233="リード付け",J233="巻足し",J233="巻返しリード付け"),M233,VLOOKUP(D233,契約台帳!$A$3:$N$4986,14,FALSE))))</f>
        <v>1190</v>
      </c>
      <c r="S233" s="258">
        <f ca="1">IF(D233="","",IF(OFFSET(D233,-1,0)&lt;&gt;"","",IF(OR(J233="リード付け",J233="巻足し",J233="巻返しリード付け"),M233,VLOOKUP(D233,契約台帳!$A$3:$O$4986,15,FALSE))))</f>
        <v>1190</v>
      </c>
      <c r="T233" s="258">
        <f ca="1">IF(D233="","",IF(J233="リード付け",N233,IF(J233="巻返しリード付け",N233,IF(J233="巻足し",N233*P233+OFFSET(N233,1,0)*OFFSET(P233,1,0),VLOOKUP(D233,契約台帳!$A$3:$P$4986,16,FALSE)))))</f>
        <v>6000</v>
      </c>
      <c r="U233" s="38">
        <v>6</v>
      </c>
      <c r="V233" s="259">
        <f ca="1">IF(D233="","",IF(OFFSET(D233,-2,0)=D233,"",VLOOKUP(D233,契約台帳!$A$3:$R$4986,18,FALSE)))</f>
        <v>6</v>
      </c>
      <c r="W233" s="256" t="str">
        <f ca="1">IF(D233="","",IF(T233="","",IF(OR(J233="巻足し",J233="巻返しリード付け"),"",IF(J233="巻返し",VLOOKUP(F233&amp;K233&amp;M233,製品マスタ!$M$5:$AD$4999,18,FALSE),IF(OR(J233="リード付け",J233="巻返しリード付け"),"原反コア",IF(J233="スリット",VLOOKUP(F233&amp;K233&amp;R233,製品マスタ!$N$5:$AD$4999,17,FALSE),""))))))</f>
        <v>6ｲﾝﾁMｺｱ</v>
      </c>
      <c r="X233" s="256">
        <f ca="1">IF(D233="","",IF(T233="","",IF(J233="巻足し","",IF(J233="巻返し",VLOOKUP(F233&amp;K233&amp;M233,製品マスタ!$M$5:$AE$4999,19,FALSE),IF(OR(J233="リード付け",J233="巻返しリード付け"),"",IF(J233="スリット",VLOOKUP(F233&amp;K233&amp;R233,製品マスタ!$N$5:$AE$4999,18,FALSE),""))))))</f>
        <v>1220</v>
      </c>
      <c r="Y233" s="256">
        <f ca="1">IF(D233="","",IF(T233="","",VLOOKUP(D233,契約台帳!$A$3:$Q$4986,17,FALSE)))</f>
        <v>2</v>
      </c>
      <c r="Z233" s="256" t="str">
        <f ca="1">IF(D233="","",IF(T233="","",VLOOKUP(D233,契約台帳!$A$3:$E$4986,5,FALSE)))</f>
        <v>大阪シーリング印刷㈱</v>
      </c>
      <c r="AA233" s="54"/>
      <c r="AB233" s="200" t="str">
        <f>IFERROR((VLOOKUP(F233&amp;K233&amp;M233,製品マスタ!$M$5:$AM$4999,27,FALSE)),"")</f>
        <v>原反ケース再利用</v>
      </c>
      <c r="AC233" s="31"/>
      <c r="AD233" s="184"/>
      <c r="AE233" s="51"/>
      <c r="AF233" s="52"/>
      <c r="AG233" s="41"/>
      <c r="AH233" s="45"/>
      <c r="AI233" s="28"/>
      <c r="AJ233" s="28"/>
      <c r="AK233" s="28"/>
      <c r="AL233" s="28"/>
      <c r="AM233" s="12"/>
      <c r="AN233" s="12"/>
      <c r="AO233" s="12"/>
      <c r="AP233" s="12"/>
      <c r="AQ233" s="12"/>
      <c r="AR233" s="13"/>
      <c r="AS233" s="14"/>
    </row>
    <row r="234" spans="1:45" s="16" customFormat="1" ht="30.95" hidden="1" customHeight="1" x14ac:dyDescent="0.2">
      <c r="A234" s="35"/>
      <c r="B234" s="36"/>
      <c r="C234" s="43"/>
      <c r="D234" s="29"/>
      <c r="E234" s="29"/>
      <c r="F234" s="255" t="str">
        <f>IF(D234="","",VLOOKUP(D234,契約台帳!$A$3:$K$4986,6,FALSE)&amp;VLOOKUP(D234,契約台帳!$A$3:$K$4986,7,FALSE)&amp;VLOOKUP(D234,契約台帳!$A$3:$K$4986,8,FALSE)&amp;VLOOKUP(D234,契約台帳!$A$3:$K$4986,9,FALSE)&amp;VLOOKUP(D234,契約台帳!$A$3:$K$4986,11,FALSE))</f>
        <v/>
      </c>
      <c r="G234" s="256" t="str">
        <f>IF(D234="","",VLOOKUP(F234,製品マスタ!$G$5:$H$4999,2,FALSE))</f>
        <v/>
      </c>
      <c r="H234" s="256" t="str">
        <f>IF(D234="","",VLOOKUP(F234,製品マスタ!$G$5:$K$4999,5,FALSE))</f>
        <v/>
      </c>
      <c r="I234" s="200" t="str">
        <f>IF(D234="","",VLOOKUP(F234,製品マスタ!$G$5:$L$4999,6,FALSE))</f>
        <v/>
      </c>
      <c r="J234" s="203"/>
      <c r="K234" s="200" t="str">
        <f>IF(D234="","",VLOOKUP(D234,契約台帳!$A$3:$L$4986,12,FALSE))</f>
        <v/>
      </c>
      <c r="L234" s="200" t="str">
        <f>IF(D234="","",INDEX(製品マスタ!$Q$5:$Q$4999,MATCH('S4'!F234&amp;'S4'!K234,製品マスタ!$AO$5:$AO$4999,0)))</f>
        <v/>
      </c>
      <c r="M234" s="37"/>
      <c r="N234" s="37"/>
      <c r="O234" s="153"/>
      <c r="P234" s="45"/>
      <c r="Q234" s="54"/>
      <c r="R234" s="257" t="str">
        <f ca="1">IF(D234="","",IF(OFFSET(D234,-1,0)&lt;&gt;"","",IF(OR(J234="リード付け",J234="巻足し",J234="巻返しリード付け"),M234,VLOOKUP(D234,契約台帳!$A$3:$N$4986,14,FALSE))))</f>
        <v/>
      </c>
      <c r="S234" s="258" t="str">
        <f ca="1">IF(D234="","",IF(OFFSET(D234,-1,0)&lt;&gt;"","",IF(OR(J234="リード付け",J234="巻足し",J234="巻返しリード付け"),M234,VLOOKUP(D234,契約台帳!$A$3:$O$4986,15,FALSE))))</f>
        <v/>
      </c>
      <c r="T234" s="258" t="str">
        <f ca="1">IF(D234="","",IF(J234="リード付け",N234,IF(J234="巻返しリード付け",N234,IF(J234="巻足し",N234*P234+OFFSET(N234,1,0)*OFFSET(P234,1,0),VLOOKUP(D234,契約台帳!$A$3:$P$4986,16,FALSE)))))</f>
        <v/>
      </c>
      <c r="U234" s="38"/>
      <c r="V234" s="259" t="str">
        <f ca="1">IF(D234="","",IF(OFFSET(D234,-2,0)=D234,"",VLOOKUP(D234,契約台帳!$A$3:$R$4986,18,FALSE)))</f>
        <v/>
      </c>
      <c r="W234" s="256" t="str">
        <f>IF(D234="","",IF(T234="","",IF(OR(J234="巻足し",J234="巻返しリード付け"),"",IF(J234="巻返し",VLOOKUP(F234&amp;K234&amp;M234,製品マスタ!$M$5:$AD$4999,18,FALSE),IF(OR(J234="リード付け",J234="巻返しリード付け"),"原反コア",IF(J234="スリット",VLOOKUP(F234&amp;K234&amp;R234,製品マスタ!$N$5:$AD$4999,17,FALSE),""))))))</f>
        <v/>
      </c>
      <c r="X234" s="256" t="str">
        <f>IF(D234="","",IF(T234="","",IF(J234="巻足し","",IF(J234="巻返し",VLOOKUP(F234&amp;K234&amp;M234,製品マスタ!$M$5:$AE$4999,19,FALSE),IF(OR(J234="リード付け",J234="巻返しリード付け"),"",IF(J234="スリット",VLOOKUP(F234&amp;K234&amp;R234,製品マスタ!$N$5:$AE$4999,18,FALSE),""))))))</f>
        <v/>
      </c>
      <c r="Y234" s="256" t="str">
        <f>IF(D234="","",IF(T234="","",VLOOKUP(D234,契約台帳!$A$3:$Q$4986,17,FALSE)))</f>
        <v/>
      </c>
      <c r="Z234" s="256" t="str">
        <f>IF(D234="","",IF(T234="","",VLOOKUP(D234,契約台帳!$A$3:$E$4986,5,FALSE)))</f>
        <v/>
      </c>
      <c r="AA234" s="54"/>
      <c r="AB234" s="200" t="str">
        <f>IFERROR((VLOOKUP(F234&amp;K234&amp;M234,製品マスタ!$M$5:$AM$4999,27,FALSE)),"")</f>
        <v/>
      </c>
      <c r="AC234" s="31"/>
      <c r="AD234" s="184"/>
      <c r="AE234" s="51"/>
      <c r="AF234" s="52"/>
      <c r="AG234" s="41"/>
      <c r="AH234" s="45"/>
      <c r="AI234" s="28"/>
      <c r="AJ234" s="28"/>
      <c r="AK234" s="28"/>
      <c r="AL234" s="28"/>
      <c r="AM234" s="12"/>
      <c r="AN234" s="12"/>
      <c r="AO234" s="12"/>
      <c r="AP234" s="12"/>
      <c r="AQ234" s="12"/>
      <c r="AR234" s="13"/>
      <c r="AS234" s="14"/>
    </row>
    <row r="235" spans="1:45" s="16" customFormat="1" ht="30.95" hidden="1" customHeight="1" x14ac:dyDescent="0.2">
      <c r="A235" s="35" t="s">
        <v>908</v>
      </c>
      <c r="B235" s="36" t="s">
        <v>909</v>
      </c>
      <c r="C235" s="43"/>
      <c r="D235" s="29">
        <v>3697656</v>
      </c>
      <c r="E235" s="29">
        <v>4140891</v>
      </c>
      <c r="F235" s="255" t="str">
        <f>IF(D235="","",VLOOKUP(D235,契約台帳!$A$3:$K$4986,6,FALSE)&amp;VLOOKUP(D235,契約台帳!$A$3:$K$4986,7,FALSE)&amp;VLOOKUP(D235,契約台帳!$A$3:$K$4986,8,FALSE)&amp;VLOOKUP(D235,契約台帳!$A$3:$K$4986,9,FALSE)&amp;VLOOKUP(D235,契約台帳!$A$3:$K$4986,11,FALSE))</f>
        <v>3SNMCLBEYK</v>
      </c>
      <c r="G235" s="256" t="str">
        <f>IF(D235="","",VLOOKUP(F235,製品マスタ!$G$5:$H$4999,2,FALSE))</f>
        <v>S</v>
      </c>
      <c r="H235" s="256" t="str">
        <f>IF(D235="","",VLOOKUP(F235,製品マスタ!$G$5:$K$4999,5,FALSE))</f>
        <v>EYK</v>
      </c>
      <c r="I235" s="200" t="str">
        <f>IF(D235="","",VLOOKUP(F235,製品マスタ!$G$5:$L$4999,6,FALSE))</f>
        <v>メタルミー　ＥＹＫ</v>
      </c>
      <c r="J235" s="203" t="s">
        <v>907</v>
      </c>
      <c r="K235" s="200">
        <f>IF(D235="","",VLOOKUP(D235,契約台帳!$A$3:$L$4986,12,FALSE))</f>
        <v>50</v>
      </c>
      <c r="L235" s="200" t="str">
        <f>IF(D235="","",INDEX(製品マスタ!$Q$5:$Q$4999,MATCH('S4'!F235&amp;'S4'!K235,製品マスタ!$AO$5:$AO$4999,0)))</f>
        <v>T62M</v>
      </c>
      <c r="M235" s="37">
        <v>1125</v>
      </c>
      <c r="N235" s="37">
        <v>12200</v>
      </c>
      <c r="O235" s="153">
        <v>2</v>
      </c>
      <c r="P235" s="45">
        <v>2</v>
      </c>
      <c r="Q235" s="54">
        <v>44971</v>
      </c>
      <c r="R235" s="257">
        <f ca="1">IF(D235="","",IF(OFFSET(D235,-1,0)&lt;&gt;"","",IF(OR(J235="リード付け",J235="巻足し",J235="巻返しリード付け"),M235,VLOOKUP(D235,契約台帳!$A$3:$N$4986,14,FALSE))))</f>
        <v>1120</v>
      </c>
      <c r="S235" s="258">
        <f ca="1">IF(D235="","",IF(OFFSET(D235,-1,0)&lt;&gt;"","",IF(OR(J235="リード付け",J235="巻足し",J235="巻返しリード付け"),M235,VLOOKUP(D235,契約台帳!$A$3:$O$4986,15,FALSE))))</f>
        <v>1120</v>
      </c>
      <c r="T235" s="258">
        <f ca="1">IF(D235="","",IF(J235="リード付け",N235,IF(J235="巻返しリード付け",N235,IF(J235="巻足し",N235*P235+OFFSET(N235,1,0)*OFFSET(P235,1,0),VLOOKUP(D235,契約台帳!$A$3:$P$4986,16,FALSE)))))</f>
        <v>6000</v>
      </c>
      <c r="U235" s="38">
        <v>4</v>
      </c>
      <c r="V235" s="259">
        <f ca="1">IF(D235="","",IF(OFFSET(D235,-2,0)=D235,"",VLOOKUP(D235,契約台帳!$A$3:$R$4986,18,FALSE)))</f>
        <v>4</v>
      </c>
      <c r="W235" s="256" t="str">
        <f ca="1">IF(D235="","",IF(T235="","",IF(OR(J235="巻足し",J235="巻返しリード付け"),"",IF(J235="巻返し",VLOOKUP(F235&amp;K235&amp;M235,製品マスタ!$M$5:$AD$4999,18,FALSE),IF(OR(J235="リード付け",J235="巻返しリード付け"),"原反コア",IF(J235="スリット",VLOOKUP(F235&amp;K235&amp;R235,製品マスタ!$N$5:$AD$4999,17,FALSE),""))))))</f>
        <v>6ｲﾝﾁMｺｱ</v>
      </c>
      <c r="X235" s="256">
        <f ca="1">IF(D235="","",IF(T235="","",IF(J235="巻足し","",IF(J235="巻返し",VLOOKUP(F235&amp;K235&amp;M235,製品マスタ!$M$5:$AE$4999,19,FALSE),IF(OR(J235="リード付け",J235="巻返しリード付け"),"",IF(J235="スリット",VLOOKUP(F235&amp;K235&amp;R235,製品マスタ!$N$5:$AE$4999,18,FALSE),""))))))</f>
        <v>1140</v>
      </c>
      <c r="Y235" s="256">
        <f ca="1">IF(D235="","",IF(T235="","",VLOOKUP(D235,契約台帳!$A$3:$Q$4986,17,FALSE)))</f>
        <v>2</v>
      </c>
      <c r="Z235" s="256" t="str">
        <f ca="1">IF(D235="","",IF(T235="","",VLOOKUP(D235,契約台帳!$A$3:$E$4986,5,FALSE)))</f>
        <v>新タック化成㈱</v>
      </c>
      <c r="AA235" s="54"/>
      <c r="AB235" s="200" t="str">
        <f>IFERROR((VLOOKUP(F235&amp;K235&amp;M235,製品マスタ!$M$5:$AM$4999,27,FALSE)),"")</f>
        <v>原反ケース再利用</v>
      </c>
      <c r="AC235" s="31"/>
      <c r="AD235" s="184"/>
      <c r="AE235" s="51"/>
      <c r="AF235" s="52"/>
      <c r="AG235" s="41"/>
      <c r="AH235" s="45"/>
      <c r="AI235" s="28"/>
      <c r="AJ235" s="28"/>
      <c r="AK235" s="28"/>
      <c r="AL235" s="28"/>
      <c r="AM235" s="12"/>
      <c r="AN235" s="12"/>
      <c r="AO235" s="12"/>
      <c r="AP235" s="12"/>
      <c r="AQ235" s="12"/>
      <c r="AR235" s="13"/>
      <c r="AS235" s="14"/>
    </row>
    <row r="236" spans="1:45" s="16" customFormat="1" ht="30.95" hidden="1" customHeight="1" x14ac:dyDescent="0.2">
      <c r="A236" s="35"/>
      <c r="B236" s="36"/>
      <c r="C236" s="43"/>
      <c r="D236" s="29"/>
      <c r="E236" s="29"/>
      <c r="F236" s="255" t="str">
        <f>IF(D236="","",VLOOKUP(D236,契約台帳!$A$3:$K$4986,6,FALSE)&amp;VLOOKUP(D236,契約台帳!$A$3:$K$4986,7,FALSE)&amp;VLOOKUP(D236,契約台帳!$A$3:$K$4986,8,FALSE)&amp;VLOOKUP(D236,契約台帳!$A$3:$K$4986,9,FALSE)&amp;VLOOKUP(D236,契約台帳!$A$3:$K$4986,11,FALSE))</f>
        <v/>
      </c>
      <c r="G236" s="256" t="str">
        <f>IF(D236="","",VLOOKUP(F236,製品マスタ!$G$5:$H$4999,2,FALSE))</f>
        <v/>
      </c>
      <c r="H236" s="256" t="str">
        <f>IF(D236="","",VLOOKUP(F236,製品マスタ!$G$5:$K$4999,5,FALSE))</f>
        <v/>
      </c>
      <c r="I236" s="200" t="str">
        <f>IF(D236="","",VLOOKUP(F236,製品マスタ!$G$5:$L$4999,6,FALSE))</f>
        <v/>
      </c>
      <c r="J236" s="203"/>
      <c r="K236" s="200" t="str">
        <f>IF(D236="","",VLOOKUP(D236,契約台帳!$A$3:$L$4986,12,FALSE))</f>
        <v/>
      </c>
      <c r="L236" s="200" t="str">
        <f>IF(D236="","",INDEX(製品マスタ!$Q$5:$Q$4999,MATCH('S4'!F236&amp;'S4'!K236,製品マスタ!$AO$5:$AO$4999,0)))</f>
        <v/>
      </c>
      <c r="M236" s="37"/>
      <c r="N236" s="37"/>
      <c r="O236" s="153"/>
      <c r="P236" s="45"/>
      <c r="Q236" s="54"/>
      <c r="R236" s="257" t="str">
        <f ca="1">IF(D236="","",IF(OFFSET(D236,-1,0)&lt;&gt;"","",IF(OR(J236="リード付け",J236="巻足し",J236="巻返しリード付け"),M236,VLOOKUP(D236,契約台帳!$A$3:$N$4986,14,FALSE))))</f>
        <v/>
      </c>
      <c r="S236" s="258" t="str">
        <f ca="1">IF(D236="","",IF(OFFSET(D236,-1,0)&lt;&gt;"","",IF(OR(J236="リード付け",J236="巻足し",J236="巻返しリード付け"),M236,VLOOKUP(D236,契約台帳!$A$3:$O$4986,15,FALSE))))</f>
        <v/>
      </c>
      <c r="T236" s="258" t="str">
        <f ca="1">IF(D236="","",IF(J236="リード付け",N236,IF(J236="巻返しリード付け",N236,IF(J236="巻足し",N236*P236+OFFSET(N236,1,0)*OFFSET(P236,1,0),VLOOKUP(D236,契約台帳!$A$3:$P$4986,16,FALSE)))))</f>
        <v/>
      </c>
      <c r="U236" s="38"/>
      <c r="V236" s="259" t="str">
        <f ca="1">IF(D236="","",IF(OFFSET(D236,-2,0)=D236,"",VLOOKUP(D236,契約台帳!$A$3:$R$4986,18,FALSE)))</f>
        <v/>
      </c>
      <c r="W236" s="256" t="str">
        <f>IF(D236="","",IF(T236="","",IF(OR(J236="巻足し",J236="巻返しリード付け"),"",IF(J236="巻返し",VLOOKUP(F236&amp;K236&amp;M236,製品マスタ!$M$5:$AD$4999,18,FALSE),IF(OR(J236="リード付け",J236="巻返しリード付け"),"原反コア",IF(J236="スリット",VLOOKUP(F236&amp;K236&amp;R236,製品マスタ!$N$5:$AD$4999,17,FALSE),""))))))</f>
        <v/>
      </c>
      <c r="X236" s="256" t="str">
        <f>IF(D236="","",IF(T236="","",IF(J236="巻足し","",IF(J236="巻返し",VLOOKUP(F236&amp;K236&amp;M236,製品マスタ!$M$5:$AE$4999,19,FALSE),IF(OR(J236="リード付け",J236="巻返しリード付け"),"",IF(J236="スリット",VLOOKUP(F236&amp;K236&amp;R236,製品マスタ!$N$5:$AE$4999,18,FALSE),""))))))</f>
        <v/>
      </c>
      <c r="Y236" s="256" t="str">
        <f>IF(D236="","",IF(T236="","",VLOOKUP(D236,契約台帳!$A$3:$Q$4986,17,FALSE)))</f>
        <v/>
      </c>
      <c r="Z236" s="256" t="str">
        <f>IF(D236="","",IF(T236="","",VLOOKUP(D236,契約台帳!$A$3:$E$4986,5,FALSE)))</f>
        <v/>
      </c>
      <c r="AA236" s="54"/>
      <c r="AB236" s="200" t="str">
        <f>IFERROR((VLOOKUP(F236&amp;K236&amp;M236,製品マスタ!$M$5:$AM$4999,27,FALSE)),"")</f>
        <v/>
      </c>
      <c r="AC236" s="31"/>
      <c r="AD236" s="184"/>
      <c r="AE236" s="51"/>
      <c r="AF236" s="52"/>
      <c r="AG236" s="41"/>
      <c r="AH236" s="45"/>
      <c r="AI236" s="28"/>
      <c r="AJ236" s="28"/>
      <c r="AK236" s="28"/>
      <c r="AL236" s="28"/>
      <c r="AM236" s="12"/>
      <c r="AN236" s="12"/>
      <c r="AO236" s="12"/>
      <c r="AP236" s="12"/>
      <c r="AQ236" s="12"/>
      <c r="AR236" s="13"/>
      <c r="AS236" s="14"/>
    </row>
    <row r="237" spans="1:45" s="16" customFormat="1" ht="30.95" hidden="1" customHeight="1" x14ac:dyDescent="0.2">
      <c r="A237" s="35" t="s">
        <v>910</v>
      </c>
      <c r="B237" s="36" t="s">
        <v>911</v>
      </c>
      <c r="C237" s="43"/>
      <c r="D237" s="29">
        <v>3697674</v>
      </c>
      <c r="E237" s="29">
        <v>4140881</v>
      </c>
      <c r="F237" s="255" t="str">
        <f>IF(D237="","",VLOOKUP(D237,契約台帳!$A$3:$K$4986,6,FALSE)&amp;VLOOKUP(D237,契約台帳!$A$3:$K$4986,7,FALSE)&amp;VLOOKUP(D237,契約台帳!$A$3:$K$4986,8,FALSE)&amp;VLOOKUP(D237,契約台帳!$A$3:$K$4986,9,FALSE)&amp;VLOOKUP(D237,契約台帳!$A$3:$K$4986,11,FALSE))</f>
        <v>3SNMCLBDMSV</v>
      </c>
      <c r="G237" s="256" t="str">
        <f>IF(D237="","",VLOOKUP(F237,製品マスタ!$G$5:$H$4999,2,FALSE))</f>
        <v>S</v>
      </c>
      <c r="H237" s="256" t="str">
        <f>IF(D237="","",VLOOKUP(F237,製品マスタ!$G$5:$K$4999,5,FALSE))</f>
        <v>DMSV</v>
      </c>
      <c r="I237" s="200" t="str">
        <f>IF(D237="","",VLOOKUP(F237,製品マスタ!$G$5:$L$4999,6,FALSE))</f>
        <v>ＤＭＳ　Ｖ</v>
      </c>
      <c r="J237" s="203" t="s">
        <v>907</v>
      </c>
      <c r="K237" s="200">
        <f>IF(D237="","",VLOOKUP(D237,契約台帳!$A$3:$L$4986,12,FALSE))</f>
        <v>50</v>
      </c>
      <c r="L237" s="200" t="str">
        <f>IF(D237="","",INDEX(製品マスタ!$Q$5:$Q$4999,MATCH('S4'!F237&amp;'S4'!K237,製品マスタ!$AO$5:$AO$4999,0)))</f>
        <v>X44</v>
      </c>
      <c r="M237" s="37">
        <v>1005</v>
      </c>
      <c r="N237" s="37">
        <v>8000</v>
      </c>
      <c r="O237" s="153">
        <v>1</v>
      </c>
      <c r="P237" s="45">
        <v>1</v>
      </c>
      <c r="Q237" s="54">
        <v>44973</v>
      </c>
      <c r="R237" s="257">
        <f ca="1">IF(D237="","",IF(OFFSET(D237,-1,0)&lt;&gt;"","",IF(OR(J237="リード付け",J237="巻足し",J237="巻返しリード付け"),M237,VLOOKUP(D237,契約台帳!$A$3:$N$4986,14,FALSE))))</f>
        <v>1005</v>
      </c>
      <c r="S237" s="258">
        <f ca="1">IF(D237="","",IF(OFFSET(D237,-1,0)&lt;&gt;"","",IF(OR(J237="リード付け",J237="巻足し",J237="巻返しリード付け"),M237,VLOOKUP(D237,契約台帳!$A$3:$O$4986,15,FALSE))))</f>
        <v>1000</v>
      </c>
      <c r="T237" s="258">
        <f ca="1">IF(D237="","",IF(J237="リード付け",N237,IF(J237="巻返しリード付け",N237,IF(J237="巻足し",N237*P237+OFFSET(N237,1,0)*OFFSET(P237,1,0),VLOOKUP(D237,契約台帳!$A$3:$P$4986,16,FALSE)))))</f>
        <v>2000</v>
      </c>
      <c r="U237" s="38">
        <v>2</v>
      </c>
      <c r="V237" s="259">
        <f ca="1">IF(D237="","",IF(OFFSET(D237,-2,0)=D237,"",VLOOKUP(D237,契約台帳!$A$3:$R$4986,18,FALSE)))</f>
        <v>2</v>
      </c>
      <c r="W237" s="256" t="str">
        <f ca="1">IF(D237="","",IF(T237="","",IF(OR(J237="巻足し",J237="巻返しリード付け"),"",IF(J237="巻返し",VLOOKUP(F237&amp;K237&amp;M237,製品マスタ!$M$5:$AD$4999,18,FALSE),IF(OR(J237="リード付け",J237="巻返しリード付け"),"原反コア",IF(J237="スリット",VLOOKUP(F237&amp;K237&amp;R237,製品マスタ!$N$5:$AD$4999,17,FALSE),""))))))</f>
        <v>6ｲﾝﾁMｺｱ</v>
      </c>
      <c r="X237" s="256">
        <f ca="1">IF(D237="","",IF(T237="","",IF(J237="巻足し","",IF(J237="巻返し",VLOOKUP(F237&amp;K237&amp;M237,製品マスタ!$M$5:$AE$4999,19,FALSE),IF(OR(J237="リード付け",J237="巻返しリード付け"),"",IF(J237="スリット",VLOOKUP(F237&amp;K237&amp;R237,製品マスタ!$N$5:$AE$4999,18,FALSE),""))))))</f>
        <v>1020</v>
      </c>
      <c r="Y237" s="256">
        <f ca="1">IF(D237="","",IF(T237="","",VLOOKUP(D237,契約台帳!$A$3:$Q$4986,17,FALSE)))</f>
        <v>2</v>
      </c>
      <c r="Z237" s="256" t="str">
        <f ca="1">IF(D237="","",IF(T237="","",VLOOKUP(D237,契約台帳!$A$3:$E$4986,5,FALSE)))</f>
        <v>リンテック㈱</v>
      </c>
      <c r="AA237" s="54"/>
      <c r="AB237" s="200">
        <f>IFERROR((VLOOKUP(F237&amp;K237&amp;M237,製品マスタ!$M$5:$AM$4999,27,FALSE)),"")</f>
        <v>0</v>
      </c>
      <c r="AC237" s="31"/>
      <c r="AD237" s="184"/>
      <c r="AE237" s="51"/>
      <c r="AF237" s="52"/>
      <c r="AG237" s="41"/>
      <c r="AH237" s="45"/>
      <c r="AI237" s="28"/>
      <c r="AJ237" s="28"/>
      <c r="AK237" s="28"/>
      <c r="AL237" s="28"/>
      <c r="AM237" s="12"/>
      <c r="AN237" s="12"/>
      <c r="AO237" s="12"/>
      <c r="AP237" s="12"/>
      <c r="AQ237" s="12"/>
      <c r="AR237" s="13"/>
      <c r="AS237" s="14"/>
    </row>
    <row r="238" spans="1:45" s="16" customFormat="1" ht="30.95" hidden="1" customHeight="1" x14ac:dyDescent="0.2">
      <c r="A238" s="35"/>
      <c r="B238" s="36"/>
      <c r="C238" s="43"/>
      <c r="D238" s="29">
        <v>3697675</v>
      </c>
      <c r="E238" s="29"/>
      <c r="F238" s="255" t="str">
        <f>IF(D238="","",VLOOKUP(D238,契約台帳!$A$3:$K$4986,6,FALSE)&amp;VLOOKUP(D238,契約台帳!$A$3:$K$4986,7,FALSE)&amp;VLOOKUP(D238,契約台帳!$A$3:$K$4986,8,FALSE)&amp;VLOOKUP(D238,契約台帳!$A$3:$K$4986,9,FALSE)&amp;VLOOKUP(D238,契約台帳!$A$3:$K$4986,11,FALSE))</f>
        <v>3SNMCLBDMSV</v>
      </c>
      <c r="G238" s="256" t="str">
        <f>IF(D238="","",VLOOKUP(F238,製品マスタ!$G$5:$H$4999,2,FALSE))</f>
        <v>S</v>
      </c>
      <c r="H238" s="256" t="str">
        <f>IF(D238="","",VLOOKUP(F238,製品マスタ!$G$5:$K$4999,5,FALSE))</f>
        <v>DMSV</v>
      </c>
      <c r="I238" s="200" t="str">
        <f>IF(D238="","",VLOOKUP(F238,製品マスタ!$G$5:$L$4999,6,FALSE))</f>
        <v>ＤＭＳ　Ｖ</v>
      </c>
      <c r="J238" s="203" t="s">
        <v>907</v>
      </c>
      <c r="K238" s="200">
        <f>IF(D238="","",VLOOKUP(D238,契約台帳!$A$3:$L$4986,12,FALSE))</f>
        <v>50</v>
      </c>
      <c r="L238" s="200" t="str">
        <f>IF(D238="","",INDEX(製品マスタ!$Q$5:$Q$4999,MATCH('S4'!F238&amp;'S4'!K238,製品マスタ!$AO$5:$AO$4999,0)))</f>
        <v>X44</v>
      </c>
      <c r="M238" s="37"/>
      <c r="N238" s="37"/>
      <c r="O238" s="153"/>
      <c r="P238" s="45"/>
      <c r="Q238" s="54"/>
      <c r="R238" s="257">
        <v>1005</v>
      </c>
      <c r="S238" s="258">
        <v>1000</v>
      </c>
      <c r="T238" s="258">
        <f ca="1">IF(D238="","",IF(J238="リード付け",N238,IF(J238="巻返しリード付け",N238,IF(J238="巻足し",N238*P238+OFFSET(N238,1,0)*OFFSET(P238,1,0),VLOOKUP(D238,契約台帳!$A$3:$P$4986,16,FALSE)))))</f>
        <v>2000</v>
      </c>
      <c r="U238" s="38">
        <v>2</v>
      </c>
      <c r="V238" s="259">
        <f ca="1">IF(D238="","",IF(OFFSET(D238,-2,0)=D238,"",VLOOKUP(D238,契約台帳!$A$3:$R$4986,18,FALSE)))</f>
        <v>2</v>
      </c>
      <c r="W238" s="256" t="s">
        <v>829</v>
      </c>
      <c r="X238" s="256">
        <v>1020</v>
      </c>
      <c r="Y238" s="256">
        <f ca="1">IF(D238="","",IF(T238="","",VLOOKUP(D238,契約台帳!$A$3:$Q$4986,17,FALSE)))</f>
        <v>2</v>
      </c>
      <c r="Z238" s="256" t="str">
        <f ca="1">IF(D238="","",IF(T238="","",VLOOKUP(D238,契約台帳!$A$3:$E$4986,5,FALSE)))</f>
        <v>リンテック㈱</v>
      </c>
      <c r="AA238" s="54"/>
      <c r="AB238" s="200" t="str">
        <f>IFERROR((VLOOKUP(F238&amp;K238&amp;M238,製品マスタ!$M$5:$AM$4999,27,FALSE)),"")</f>
        <v/>
      </c>
      <c r="AC238" s="31"/>
      <c r="AD238" s="184"/>
      <c r="AE238" s="51"/>
      <c r="AF238" s="52"/>
      <c r="AG238" s="41"/>
      <c r="AH238" s="45"/>
      <c r="AI238" s="28"/>
      <c r="AJ238" s="28"/>
      <c r="AK238" s="28"/>
      <c r="AL238" s="28"/>
      <c r="AM238" s="12"/>
      <c r="AN238" s="12"/>
      <c r="AO238" s="12"/>
      <c r="AP238" s="12"/>
      <c r="AQ238" s="12"/>
      <c r="AR238" s="13"/>
      <c r="AS238" s="14"/>
    </row>
    <row r="239" spans="1:45" s="16" customFormat="1" ht="30.95" hidden="1" customHeight="1" x14ac:dyDescent="0.2">
      <c r="A239" s="35"/>
      <c r="B239" s="36"/>
      <c r="C239" s="43"/>
      <c r="D239" s="29"/>
      <c r="E239" s="29"/>
      <c r="F239" s="255" t="str">
        <f>IF(D239="","",VLOOKUP(D239,契約台帳!$A$3:$K$4986,6,FALSE)&amp;VLOOKUP(D239,契約台帳!$A$3:$K$4986,7,FALSE)&amp;VLOOKUP(D239,契約台帳!$A$3:$K$4986,8,FALSE)&amp;VLOOKUP(D239,契約台帳!$A$3:$K$4986,9,FALSE)&amp;VLOOKUP(D239,契約台帳!$A$3:$K$4986,11,FALSE))</f>
        <v/>
      </c>
      <c r="G239" s="256" t="str">
        <f>IF(D239="","",VLOOKUP(F239,製品マスタ!$G$5:$H$4999,2,FALSE))</f>
        <v/>
      </c>
      <c r="H239" s="256" t="str">
        <f>IF(D239="","",VLOOKUP(F239,製品マスタ!$G$5:$K$4999,5,FALSE))</f>
        <v/>
      </c>
      <c r="I239" s="200" t="str">
        <f>IF(D239="","",VLOOKUP(F239,製品マスタ!$G$5:$L$4999,6,FALSE))</f>
        <v/>
      </c>
      <c r="J239" s="203"/>
      <c r="K239" s="200" t="str">
        <f>IF(D239="","",VLOOKUP(D239,契約台帳!$A$3:$L$4986,12,FALSE))</f>
        <v/>
      </c>
      <c r="L239" s="200" t="str">
        <f>IF(D239="","",INDEX(製品マスタ!$Q$5:$Q$4999,MATCH('S4'!F239&amp;'S4'!K239,製品マスタ!$AO$5:$AO$4999,0)))</f>
        <v/>
      </c>
      <c r="M239" s="37"/>
      <c r="N239" s="37"/>
      <c r="O239" s="153"/>
      <c r="P239" s="45"/>
      <c r="Q239" s="54"/>
      <c r="R239" s="257" t="str">
        <f ca="1">IF(D239="","",IF(OFFSET(D239,-1,0)&lt;&gt;"","",IF(OR(J239="リード付け",J239="巻足し",J239="巻返しリード付け"),M239,VLOOKUP(D239,契約台帳!$A$3:$N$4986,14,FALSE))))</f>
        <v/>
      </c>
      <c r="S239" s="258" t="str">
        <f ca="1">IF(D239="","",IF(OFFSET(D239,-1,0)&lt;&gt;"","",IF(OR(J239="リード付け",J239="巻足し",J239="巻返しリード付け"),M239,VLOOKUP(D239,契約台帳!$A$3:$O$4986,15,FALSE))))</f>
        <v/>
      </c>
      <c r="T239" s="258" t="str">
        <f ca="1">IF(D239="","",IF(J239="リード付け",N239,IF(J239="巻返しリード付け",N239,IF(J239="巻足し",N239*P239+OFFSET(N239,1,0)*OFFSET(P239,1,0),VLOOKUP(D239,契約台帳!$A$3:$P$4986,16,FALSE)))))</f>
        <v/>
      </c>
      <c r="U239" s="38"/>
      <c r="V239" s="259" t="str">
        <f ca="1">IF(D239="","",IF(OFFSET(D239,-2,0)=D239,"",VLOOKUP(D239,契約台帳!$A$3:$R$4986,18,FALSE)))</f>
        <v/>
      </c>
      <c r="W239" s="256" t="str">
        <f>IF(D239="","",IF(T239="","",IF(OR(J239="巻足し",J239="巻返しリード付け"),"",IF(J239="巻返し",VLOOKUP(F239&amp;K239&amp;M239,製品マスタ!$M$5:$AD$4999,18,FALSE),IF(OR(J239="リード付け",J239="巻返しリード付け"),"原反コア",IF(J239="スリット",VLOOKUP(F239&amp;K239&amp;R239,製品マスタ!$N$5:$AD$4999,17,FALSE),""))))))</f>
        <v/>
      </c>
      <c r="X239" s="256" t="str">
        <f>IF(D239="","",IF(T239="","",IF(J239="巻足し","",IF(J239="巻返し",VLOOKUP(F239&amp;K239&amp;M239,製品マスタ!$M$5:$AE$4999,19,FALSE),IF(OR(J239="リード付け",J239="巻返しリード付け"),"",IF(J239="スリット",VLOOKUP(F239&amp;K239&amp;R239,製品マスタ!$N$5:$AE$4999,18,FALSE),""))))))</f>
        <v/>
      </c>
      <c r="Y239" s="256" t="str">
        <f>IF(D239="","",IF(T239="","",VLOOKUP(D239,契約台帳!$A$3:$Q$4986,17,FALSE)))</f>
        <v/>
      </c>
      <c r="Z239" s="256" t="str">
        <f>IF(D239="","",IF(T239="","",VLOOKUP(D239,契約台帳!$A$3:$E$4986,5,FALSE)))</f>
        <v/>
      </c>
      <c r="AA239" s="54"/>
      <c r="AB239" s="200" t="str">
        <f>IFERROR((VLOOKUP(F239&amp;K239&amp;M239,製品マスタ!$M$5:$AM$4999,27,FALSE)),"")</f>
        <v/>
      </c>
      <c r="AC239" s="31"/>
      <c r="AD239" s="184"/>
      <c r="AE239" s="51"/>
      <c r="AF239" s="52"/>
      <c r="AG239" s="41"/>
      <c r="AH239" s="45"/>
      <c r="AI239" s="28"/>
      <c r="AJ239" s="28"/>
      <c r="AK239" s="28"/>
      <c r="AL239" s="28"/>
      <c r="AM239" s="12"/>
      <c r="AN239" s="12"/>
      <c r="AO239" s="12"/>
      <c r="AP239" s="12"/>
      <c r="AQ239" s="12"/>
      <c r="AR239" s="13"/>
      <c r="AS239" s="14"/>
    </row>
    <row r="240" spans="1:45" s="16" customFormat="1" ht="30.95" hidden="1" customHeight="1" x14ac:dyDescent="0.2">
      <c r="A240" s="35"/>
      <c r="B240" s="36"/>
      <c r="C240" s="43"/>
      <c r="D240" s="29">
        <v>3697673</v>
      </c>
      <c r="E240" s="29">
        <v>4140879</v>
      </c>
      <c r="F240" s="255" t="str">
        <f>IF(D240="","",VLOOKUP(D240,契約台帳!$A$3:$K$4986,6,FALSE)&amp;VLOOKUP(D240,契約台帳!$A$3:$K$4986,7,FALSE)&amp;VLOOKUP(D240,契約台帳!$A$3:$K$4986,8,FALSE)&amp;VLOOKUP(D240,契約台帳!$A$3:$K$4986,9,FALSE)&amp;VLOOKUP(D240,契約台帳!$A$3:$K$4986,11,FALSE))</f>
        <v>33SSNMCLBTETKFV</v>
      </c>
      <c r="G240" s="256" t="str">
        <f>IF(D240="","",VLOOKUP(F240,製品マスタ!$G$5:$H$4999,2,FALSE))</f>
        <v>S</v>
      </c>
      <c r="H240" s="256" t="str">
        <f>IF(D240="","",VLOOKUP(F240,製品マスタ!$G$5:$K$4999,5,FALSE))</f>
        <v>TETKFV</v>
      </c>
      <c r="I240" s="200" t="str">
        <f>IF(D240="","",VLOOKUP(F240,製品マスタ!$G$5:$L$4999,6,FALSE))</f>
        <v>メタルミー　ＴＥＳ艶開封　Ｖ</v>
      </c>
      <c r="J240" s="203" t="s">
        <v>907</v>
      </c>
      <c r="K240" s="200">
        <f>IF(D240="","",VLOOKUP(D240,契約台帳!$A$3:$L$4986,12,FALSE))</f>
        <v>50</v>
      </c>
      <c r="L240" s="200" t="str">
        <f>IF(D240="","",INDEX(製品マスタ!$Q$5:$Q$4999,MATCH('S4'!F240&amp;'S4'!K240,製品マスタ!$AO$5:$AO$4999,0)))</f>
        <v>S28SEPA</v>
      </c>
      <c r="M240" s="37">
        <v>1005</v>
      </c>
      <c r="N240" s="37">
        <v>12300</v>
      </c>
      <c r="O240" s="153">
        <v>1</v>
      </c>
      <c r="P240" s="45">
        <v>1</v>
      </c>
      <c r="Q240" s="54">
        <v>44973</v>
      </c>
      <c r="R240" s="257">
        <f ca="1">IF(D240="","",IF(OFFSET(D240,-1,0)&lt;&gt;"","",IF(OR(J240="リード付け",J240="巻足し",J240="巻返しリード付け"),M240,VLOOKUP(D240,契約台帳!$A$3:$N$4986,14,FALSE))))</f>
        <v>1005</v>
      </c>
      <c r="S240" s="258">
        <f ca="1">IF(D240="","",IF(OFFSET(D240,-1,0)&lt;&gt;"","",IF(OR(J240="リード付け",J240="巻足し",J240="巻返しリード付け"),M240,VLOOKUP(D240,契約台帳!$A$3:$O$4986,15,FALSE))))</f>
        <v>1000</v>
      </c>
      <c r="T240" s="258">
        <f ca="1">IF(D240="","",IF(J240="リード付け",N240,IF(J240="巻返しリード付け",N240,IF(J240="巻足し",N240*P240+OFFSET(N240,1,0)*OFFSET(P240,1,0),VLOOKUP(D240,契約台帳!$A$3:$P$4986,16,FALSE)))))</f>
        <v>4000</v>
      </c>
      <c r="U240" s="38">
        <v>3</v>
      </c>
      <c r="V240" s="259">
        <f ca="1">IF(D240="","",IF(OFFSET(D240,-2,0)=D240,"",VLOOKUP(D240,契約台帳!$A$3:$R$4986,18,FALSE)))</f>
        <v>3</v>
      </c>
      <c r="W240" s="256" t="str">
        <f ca="1">IF(D240="","",IF(T240="","",IF(OR(J240="巻足し",J240="巻返しリード付け"),"",IF(J240="巻返し",VLOOKUP(F240&amp;K240&amp;M240,製品マスタ!$M$5:$AD$4999,18,FALSE),IF(OR(J240="リード付け",J240="巻返しリード付け"),"原反コア",IF(J240="スリット",VLOOKUP(F240&amp;K240&amp;R240,製品マスタ!$N$5:$AD$4999,17,FALSE),""))))))</f>
        <v>6ｲﾝﾁSｺｱ</v>
      </c>
      <c r="X240" s="256">
        <f ca="1">IF(D240="","",IF(T240="","",IF(J240="巻足し","",IF(J240="巻返し",VLOOKUP(F240&amp;K240&amp;M240,製品マスタ!$M$5:$AE$4999,19,FALSE),IF(OR(J240="リード付け",J240="巻返しリード付け"),"",IF(J240="スリット",VLOOKUP(F240&amp;K240&amp;R240,製品マスタ!$N$5:$AE$4999,18,FALSE),""))))))</f>
        <v>1015</v>
      </c>
      <c r="Y240" s="256">
        <f ca="1">IF(D240="","",IF(T240="","",VLOOKUP(D240,契約台帳!$A$3:$Q$4986,17,FALSE)))</f>
        <v>2</v>
      </c>
      <c r="Z240" s="256" t="str">
        <f ca="1">IF(D240="","",IF(T240="","",VLOOKUP(D240,契約台帳!$A$3:$E$4986,5,FALSE)))</f>
        <v>リンテック㈱</v>
      </c>
      <c r="AA240" s="54"/>
      <c r="AB240" s="200">
        <f>IFERROR((VLOOKUP(F240&amp;K240&amp;M240,製品マスタ!$M$5:$AM$4999,27,FALSE)),"")</f>
        <v>0</v>
      </c>
      <c r="AC240" s="31"/>
      <c r="AD240" s="184"/>
      <c r="AE240" s="51"/>
      <c r="AF240" s="52"/>
      <c r="AG240" s="41"/>
      <c r="AH240" s="45"/>
      <c r="AI240" s="28"/>
      <c r="AJ240" s="28"/>
      <c r="AK240" s="28"/>
      <c r="AL240" s="28"/>
      <c r="AM240" s="12"/>
      <c r="AN240" s="12"/>
      <c r="AO240" s="12"/>
      <c r="AP240" s="12"/>
      <c r="AQ240" s="12"/>
      <c r="AR240" s="13"/>
      <c r="AS240" s="14"/>
    </row>
    <row r="241" spans="1:45" s="16" customFormat="1" ht="30.95" hidden="1" customHeight="1" x14ac:dyDescent="0.2">
      <c r="A241" s="35"/>
      <c r="B241" s="36"/>
      <c r="C241" s="43"/>
      <c r="D241" s="29"/>
      <c r="E241" s="29"/>
      <c r="F241" s="255" t="str">
        <f>IF(D241="","",VLOOKUP(D241,契約台帳!$A$3:$K$4986,6,FALSE)&amp;VLOOKUP(D241,契約台帳!$A$3:$K$4986,7,FALSE)&amp;VLOOKUP(D241,契約台帳!$A$3:$K$4986,8,FALSE)&amp;VLOOKUP(D241,契約台帳!$A$3:$K$4986,9,FALSE)&amp;VLOOKUP(D241,契約台帳!$A$3:$K$4986,11,FALSE))</f>
        <v/>
      </c>
      <c r="G241" s="256" t="str">
        <f>IF(D241="","",VLOOKUP(F241,製品マスタ!$G$5:$H$4999,2,FALSE))</f>
        <v/>
      </c>
      <c r="H241" s="256" t="str">
        <f>IF(D241="","",VLOOKUP(F241,製品マスタ!$G$5:$K$4999,5,FALSE))</f>
        <v/>
      </c>
      <c r="I241" s="200" t="str">
        <f>IF(D241="","",VLOOKUP(F241,製品マスタ!$G$5:$L$4999,6,FALSE))</f>
        <v/>
      </c>
      <c r="J241" s="203"/>
      <c r="K241" s="200" t="str">
        <f>IF(D241="","",VLOOKUP(D241,契約台帳!$A$3:$L$4986,12,FALSE))</f>
        <v/>
      </c>
      <c r="L241" s="200" t="str">
        <f>IF(D241="","",INDEX(製品マスタ!$Q$5:$Q$4999,MATCH('S4'!F241&amp;'S4'!K241,製品マスタ!$AO$5:$AO$4999,0)))</f>
        <v/>
      </c>
      <c r="M241" s="37"/>
      <c r="N241" s="37"/>
      <c r="O241" s="153"/>
      <c r="P241" s="45"/>
      <c r="Q241" s="54"/>
      <c r="R241" s="257" t="str">
        <f ca="1">IF(D241="","",IF(OFFSET(D241,-1,0)&lt;&gt;"","",IF(OR(J241="リード付け",J241="巻足し",J241="巻返しリード付け"),M241,VLOOKUP(D241,契約台帳!$A$3:$N$4986,14,FALSE))))</f>
        <v/>
      </c>
      <c r="S241" s="258" t="str">
        <f ca="1">IF(D241="","",IF(OFFSET(D241,-1,0)&lt;&gt;"","",IF(OR(J241="リード付け",J241="巻足し",J241="巻返しリード付け"),M241,VLOOKUP(D241,契約台帳!$A$3:$O$4986,15,FALSE))))</f>
        <v/>
      </c>
      <c r="T241" s="258" t="str">
        <f ca="1">IF(D241="","",IF(J241="リード付け",N241,IF(J241="巻返しリード付け",N241,IF(J241="巻足し",N241*P241+OFFSET(N241,1,0)*OFFSET(P241,1,0),VLOOKUP(D241,契約台帳!$A$3:$P$4986,16,FALSE)))))</f>
        <v/>
      </c>
      <c r="U241" s="38"/>
      <c r="V241" s="259" t="str">
        <f ca="1">IF(D241="","",IF(OFFSET(D241,-2,0)=D241,"",VLOOKUP(D241,契約台帳!$A$3:$R$4986,18,FALSE)))</f>
        <v/>
      </c>
      <c r="W241" s="256" t="str">
        <f>IF(D241="","",IF(T241="","",IF(OR(J241="巻足し",J241="巻返しリード付け"),"",IF(J241="巻返し",VLOOKUP(F241&amp;K241&amp;M241,製品マスタ!$M$5:$AD$4999,18,FALSE),IF(OR(J241="リード付け",J241="巻返しリード付け"),"原反コア",IF(J241="スリット",VLOOKUP(F241&amp;K241&amp;R241,製品マスタ!$N$5:$AD$4999,17,FALSE),""))))))</f>
        <v/>
      </c>
      <c r="X241" s="256" t="str">
        <f>IF(D241="","",IF(T241="","",IF(J241="巻足し","",IF(J241="巻返し",VLOOKUP(F241&amp;K241&amp;M241,製品マスタ!$M$5:$AE$4999,19,FALSE),IF(OR(J241="リード付け",J241="巻返しリード付け"),"",IF(J241="スリット",VLOOKUP(F241&amp;K241&amp;R241,製品マスタ!$N$5:$AE$4999,18,FALSE),""))))))</f>
        <v/>
      </c>
      <c r="Y241" s="256" t="str">
        <f>IF(D241="","",IF(T241="","",VLOOKUP(D241,契約台帳!$A$3:$Q$4986,17,FALSE)))</f>
        <v/>
      </c>
      <c r="Z241" s="256" t="str">
        <f>IF(D241="","",IF(T241="","",VLOOKUP(D241,契約台帳!$A$3:$E$4986,5,FALSE)))</f>
        <v/>
      </c>
      <c r="AA241" s="54"/>
      <c r="AB241" s="200" t="str">
        <f>IFERROR((VLOOKUP(F241&amp;K241&amp;M241,製品マスタ!$M$5:$AM$4999,27,FALSE)),"")</f>
        <v/>
      </c>
      <c r="AC241" s="31"/>
      <c r="AD241" s="184"/>
      <c r="AE241" s="51"/>
      <c r="AF241" s="52"/>
      <c r="AG241" s="41"/>
      <c r="AH241" s="45"/>
      <c r="AI241" s="28"/>
      <c r="AJ241" s="28"/>
      <c r="AK241" s="28"/>
      <c r="AL241" s="28"/>
      <c r="AM241" s="12"/>
      <c r="AN241" s="12"/>
      <c r="AO241" s="12"/>
      <c r="AP241" s="12"/>
      <c r="AQ241" s="12"/>
      <c r="AR241" s="13"/>
      <c r="AS241" s="14"/>
    </row>
    <row r="242" spans="1:45" s="16" customFormat="1" ht="30.95" hidden="1" customHeight="1" x14ac:dyDescent="0.2">
      <c r="A242" s="35"/>
      <c r="B242" s="36"/>
      <c r="C242" s="43"/>
      <c r="D242" s="29">
        <v>3697660</v>
      </c>
      <c r="E242" s="29">
        <v>4140889</v>
      </c>
      <c r="F242" s="255" t="str">
        <f>IF(D242="","",VLOOKUP(D242,契約台帳!$A$3:$K$4986,6,FALSE)&amp;VLOOKUP(D242,契約台帳!$A$3:$K$4986,7,FALSE)&amp;VLOOKUP(D242,契約台帳!$A$3:$K$4986,8,FALSE)&amp;VLOOKUP(D242,契約台帳!$A$3:$K$4986,9,FALSE)&amp;VLOOKUP(D242,契約台帳!$A$3:$K$4986,11,FALSE))</f>
        <v>3SNMCLBNGKVB</v>
      </c>
      <c r="G242" s="256" t="str">
        <f>IF(D242="","",VLOOKUP(F242,製品マスタ!$G$5:$H$4999,2,FALSE))</f>
        <v>S</v>
      </c>
      <c r="H242" s="256" t="str">
        <f>IF(D242="","",VLOOKUP(F242,製品マスタ!$G$5:$K$4999,5,FALSE))</f>
        <v>NGKVB</v>
      </c>
      <c r="I242" s="200" t="str">
        <f>IF(D242="","",VLOOKUP(F242,製品マスタ!$G$5:$L$4999,6,FALSE))</f>
        <v>メタルミー　ネーマー銀消　ＶＢ</v>
      </c>
      <c r="J242" s="203" t="s">
        <v>907</v>
      </c>
      <c r="K242" s="200">
        <f>IF(D242="","",VLOOKUP(D242,契約台帳!$A$3:$L$4986,12,FALSE))</f>
        <v>50</v>
      </c>
      <c r="L242" s="200" t="str">
        <f>IF(D242="","",INDEX(製品マスタ!$Q$5:$Q$4999,MATCH('S4'!F242&amp;'S4'!K242,製品マスタ!$AO$5:$AO$4999,0)))</f>
        <v>MAT</v>
      </c>
      <c r="M242" s="37">
        <v>1005</v>
      </c>
      <c r="N242" s="37">
        <v>12300</v>
      </c>
      <c r="O242" s="153">
        <v>1</v>
      </c>
      <c r="P242" s="45">
        <v>1</v>
      </c>
      <c r="Q242" s="54">
        <v>44973</v>
      </c>
      <c r="R242" s="257">
        <f ca="1">IF(D242="","",IF(OFFSET(D242,-1,0)&lt;&gt;"","",IF(OR(J242="リード付け",J242="巻足し",J242="巻返しリード付け"),M242,VLOOKUP(D242,契約台帳!$A$3:$N$4986,14,FALSE))))</f>
        <v>1005</v>
      </c>
      <c r="S242" s="258">
        <f ca="1">IF(D242="","",IF(OFFSET(D242,-1,0)&lt;&gt;"","",IF(OR(J242="リード付け",J242="巻足し",J242="巻返しリード付け"),M242,VLOOKUP(D242,契約台帳!$A$3:$O$4986,15,FALSE))))</f>
        <v>1000</v>
      </c>
      <c r="T242" s="258">
        <f ca="1">IF(D242="","",IF(J242="リード付け",N242,IF(J242="巻返しリード付け",N242,IF(J242="巻足し",N242*P242+OFFSET(N242,1,0)*OFFSET(P242,1,0),VLOOKUP(D242,契約台帳!$A$3:$P$4986,16,FALSE)))))</f>
        <v>4000</v>
      </c>
      <c r="U242" s="38">
        <v>3</v>
      </c>
      <c r="V242" s="259">
        <f ca="1">IF(D242="","",IF(OFFSET(D242,-2,0)=D242,"",VLOOKUP(D242,契約台帳!$A$3:$R$4986,18,FALSE)))</f>
        <v>3</v>
      </c>
      <c r="W242" s="256" t="str">
        <f ca="1">IF(D242="","",IF(T242="","",IF(OR(J242="巻足し",J242="巻返しリード付け"),"",IF(J242="巻返し",VLOOKUP(F242&amp;K242&amp;M242,製品マスタ!$M$5:$AD$4999,18,FALSE),IF(OR(J242="リード付け",J242="巻返しリード付け"),"原反コア",IF(J242="スリット",VLOOKUP(F242&amp;K242&amp;R242,製品マスタ!$N$5:$AD$4999,17,FALSE),""))))))</f>
        <v>6ｲﾝﾁMｺｱ</v>
      </c>
      <c r="X242" s="256">
        <f ca="1">IF(D242="","",IF(T242="","",IF(J242="巻足し","",IF(J242="巻返し",VLOOKUP(F242&amp;K242&amp;M242,製品マスタ!$M$5:$AE$4999,19,FALSE),IF(OR(J242="リード付け",J242="巻返しリード付け"),"",IF(J242="スリット",VLOOKUP(F242&amp;K242&amp;R242,製品マスタ!$N$5:$AE$4999,18,FALSE),""))))))</f>
        <v>1020</v>
      </c>
      <c r="Y242" s="256">
        <f ca="1">IF(D242="","",IF(T242="","",VLOOKUP(D242,契約台帳!$A$3:$Q$4986,17,FALSE)))</f>
        <v>2</v>
      </c>
      <c r="Z242" s="256" t="str">
        <f ca="1">IF(D242="","",IF(T242="","",VLOOKUP(D242,契約台帳!$A$3:$E$4986,5,FALSE)))</f>
        <v>リンテック㈱</v>
      </c>
      <c r="AA242" s="54"/>
      <c r="AB242" s="200">
        <f>IFERROR((VLOOKUP(F242&amp;K242&amp;M242,製品マスタ!$M$5:$AM$4999,27,FALSE)),"")</f>
        <v>0</v>
      </c>
      <c r="AC242" s="31"/>
      <c r="AD242" s="184"/>
      <c r="AE242" s="51"/>
      <c r="AF242" s="52"/>
      <c r="AG242" s="41"/>
      <c r="AH242" s="45"/>
      <c r="AI242" s="28"/>
      <c r="AJ242" s="28"/>
      <c r="AK242" s="28"/>
      <c r="AL242" s="28"/>
      <c r="AM242" s="12"/>
      <c r="AN242" s="12"/>
      <c r="AO242" s="12"/>
      <c r="AP242" s="12"/>
      <c r="AQ242" s="12"/>
      <c r="AR242" s="13"/>
      <c r="AS242" s="14"/>
    </row>
    <row r="243" spans="1:45" s="16" customFormat="1" ht="30.95" hidden="1" customHeight="1" x14ac:dyDescent="0.2">
      <c r="A243" s="35"/>
      <c r="B243" s="36"/>
      <c r="C243" s="43"/>
      <c r="D243" s="29"/>
      <c r="E243" s="29"/>
      <c r="F243" s="255" t="str">
        <f>IF(D243="","",VLOOKUP(D243,契約台帳!$A$3:$K$4986,6,FALSE)&amp;VLOOKUP(D243,契約台帳!$A$3:$K$4986,7,FALSE)&amp;VLOOKUP(D243,契約台帳!$A$3:$K$4986,8,FALSE)&amp;VLOOKUP(D243,契約台帳!$A$3:$K$4986,9,FALSE)&amp;VLOOKUP(D243,契約台帳!$A$3:$K$4986,11,FALSE))</f>
        <v/>
      </c>
      <c r="G243" s="256" t="str">
        <f>IF(D243="","",VLOOKUP(F243,製品マスタ!$G$5:$H$4999,2,FALSE))</f>
        <v/>
      </c>
      <c r="H243" s="256" t="str">
        <f>IF(D243="","",VLOOKUP(F243,製品マスタ!$G$5:$K$4999,5,FALSE))</f>
        <v/>
      </c>
      <c r="I243" s="200" t="str">
        <f>IF(D243="","",VLOOKUP(F243,製品マスタ!$G$5:$L$4999,6,FALSE))</f>
        <v/>
      </c>
      <c r="J243" s="203"/>
      <c r="K243" s="200" t="str">
        <f>IF(D243="","",VLOOKUP(D243,契約台帳!$A$3:$L$4986,12,FALSE))</f>
        <v/>
      </c>
      <c r="L243" s="200" t="str">
        <f>IF(D243="","",INDEX(製品マスタ!$Q$5:$Q$4999,MATCH('S4'!F243&amp;'S4'!K243,製品マスタ!$AO$5:$AO$4999,0)))</f>
        <v/>
      </c>
      <c r="M243" s="37"/>
      <c r="N243" s="37"/>
      <c r="O243" s="153"/>
      <c r="P243" s="45"/>
      <c r="Q243" s="54"/>
      <c r="R243" s="257" t="str">
        <f ca="1">IF(D243="","",IF(OFFSET(D243,-1,0)&lt;&gt;"","",IF(OR(J243="リード付け",J243="巻足し",J243="巻返しリード付け"),M243,VLOOKUP(D243,契約台帳!$A$3:$N$4986,14,FALSE))))</f>
        <v/>
      </c>
      <c r="S243" s="258" t="str">
        <f ca="1">IF(D243="","",IF(OFFSET(D243,-1,0)&lt;&gt;"","",IF(OR(J243="リード付け",J243="巻足し",J243="巻返しリード付け"),M243,VLOOKUP(D243,契約台帳!$A$3:$O$4986,15,FALSE))))</f>
        <v/>
      </c>
      <c r="T243" s="258" t="str">
        <f ca="1">IF(D243="","",IF(J243="リード付け",N243,IF(J243="巻返しリード付け",N243,IF(J243="巻足し",N243*P243+OFFSET(N243,1,0)*OFFSET(P243,1,0),VLOOKUP(D243,契約台帳!$A$3:$P$4986,16,FALSE)))))</f>
        <v/>
      </c>
      <c r="U243" s="38"/>
      <c r="V243" s="259" t="str">
        <f ca="1">IF(D243="","",IF(OFFSET(D243,-2,0)=D243,"",VLOOKUP(D243,契約台帳!$A$3:$R$4986,18,FALSE)))</f>
        <v/>
      </c>
      <c r="W243" s="256" t="str">
        <f>IF(D243="","",IF(T243="","",IF(OR(J243="巻足し",J243="巻返しリード付け"),"",IF(J243="巻返し",VLOOKUP(F243&amp;K243&amp;M243,製品マスタ!$M$5:$AD$4999,18,FALSE),IF(OR(J243="リード付け",J243="巻返しリード付け"),"原反コア",IF(J243="スリット",VLOOKUP(F243&amp;K243&amp;R243,製品マスタ!$N$5:$AD$4999,17,FALSE),""))))))</f>
        <v/>
      </c>
      <c r="X243" s="256" t="str">
        <f>IF(D243="","",IF(T243="","",IF(J243="巻足し","",IF(J243="巻返し",VLOOKUP(F243&amp;K243&amp;M243,製品マスタ!$M$5:$AE$4999,19,FALSE),IF(OR(J243="リード付け",J243="巻返しリード付け"),"",IF(J243="スリット",VLOOKUP(F243&amp;K243&amp;R243,製品マスタ!$N$5:$AE$4999,18,FALSE),""))))))</f>
        <v/>
      </c>
      <c r="Y243" s="256" t="str">
        <f>IF(D243="","",IF(T243="","",VLOOKUP(D243,契約台帳!$A$3:$Q$4986,17,FALSE)))</f>
        <v/>
      </c>
      <c r="Z243" s="256" t="str">
        <f>IF(D243="","",IF(T243="","",VLOOKUP(D243,契約台帳!$A$3:$E$4986,5,FALSE)))</f>
        <v/>
      </c>
      <c r="AA243" s="54"/>
      <c r="AB243" s="200" t="str">
        <f>IFERROR((VLOOKUP(F243&amp;K243&amp;M243,製品マスタ!$M$5:$AM$4999,27,FALSE)),"")</f>
        <v/>
      </c>
      <c r="AC243" s="31"/>
      <c r="AD243" s="184"/>
      <c r="AE243" s="51"/>
      <c r="AF243" s="52"/>
      <c r="AG243" s="41"/>
      <c r="AH243" s="45"/>
      <c r="AI243" s="28"/>
      <c r="AJ243" s="28"/>
      <c r="AK243" s="28"/>
      <c r="AL243" s="28"/>
      <c r="AM243" s="12"/>
      <c r="AN243" s="12"/>
      <c r="AO243" s="12"/>
      <c r="AP243" s="12"/>
      <c r="AQ243" s="12"/>
      <c r="AR243" s="13"/>
      <c r="AS243" s="14"/>
    </row>
    <row r="244" spans="1:45" s="16" customFormat="1" ht="30.95" hidden="1" customHeight="1" x14ac:dyDescent="0.2">
      <c r="A244" s="35"/>
      <c r="B244" s="36"/>
      <c r="C244" s="43"/>
      <c r="D244" s="29">
        <v>3697671</v>
      </c>
      <c r="E244" s="29">
        <v>4140877</v>
      </c>
      <c r="F244" s="255" t="str">
        <f>IF(D244="","",VLOOKUP(D244,契約台帳!$A$3:$K$4986,6,FALSE)&amp;VLOOKUP(D244,契約台帳!$A$3:$K$4986,7,FALSE)&amp;VLOOKUP(D244,契約台帳!$A$3:$K$4986,8,FALSE)&amp;VLOOKUP(D244,契約台帳!$A$3:$K$4986,9,FALSE)&amp;VLOOKUP(D244,契約台帳!$A$3:$K$4986,11,FALSE))</f>
        <v>33SSNMCLBTEKKFV</v>
      </c>
      <c r="G244" s="256" t="str">
        <f>IF(D244="","",VLOOKUP(F244,製品マスタ!$G$5:$H$4999,2,FALSE))</f>
        <v>S</v>
      </c>
      <c r="H244" s="256" t="str">
        <f>IF(D244="","",VLOOKUP(F244,製品マスタ!$G$5:$K$4999,5,FALSE))</f>
        <v>TEKKFV</v>
      </c>
      <c r="I244" s="200" t="str">
        <f>IF(D244="","",VLOOKUP(F244,製品マスタ!$G$5:$L$4999,6,FALSE))</f>
        <v>メタルミー　ＴＥＳ消開封　Ｖ</v>
      </c>
      <c r="J244" s="203" t="s">
        <v>907</v>
      </c>
      <c r="K244" s="200">
        <f>IF(D244="","",VLOOKUP(D244,契約台帳!$A$3:$L$4986,12,FALSE))</f>
        <v>50</v>
      </c>
      <c r="L244" s="200" t="str">
        <f>IF(D244="","",INDEX(製品マスタ!$Q$5:$Q$4999,MATCH('S4'!F244&amp;'S4'!K244,製品マスタ!$AO$5:$AO$4999,0)))</f>
        <v>X44SEPA</v>
      </c>
      <c r="M244" s="37">
        <v>1005</v>
      </c>
      <c r="N244" s="37">
        <v>12000</v>
      </c>
      <c r="O244" s="153">
        <v>1</v>
      </c>
      <c r="P244" s="45">
        <v>1</v>
      </c>
      <c r="Q244" s="54">
        <v>44973</v>
      </c>
      <c r="R244" s="257">
        <f ca="1">IF(D244="","",IF(OFFSET(D244,-1,0)&lt;&gt;"","",IF(OR(J244="リード付け",J244="巻足し",J244="巻返しリード付け"),M244,VLOOKUP(D244,契約台帳!$A$3:$N$4986,14,FALSE))))</f>
        <v>1005</v>
      </c>
      <c r="S244" s="258">
        <f ca="1">IF(D244="","",IF(OFFSET(D244,-1,0)&lt;&gt;"","",IF(OR(J244="リード付け",J244="巻足し",J244="巻返しリード付け"),M244,VLOOKUP(D244,契約台帳!$A$3:$O$4986,15,FALSE))))</f>
        <v>1000</v>
      </c>
      <c r="T244" s="258">
        <f ca="1">IF(D244="","",IF(J244="リード付け",N244,IF(J244="巻返しリード付け",N244,IF(J244="巻足し",N244*P244+OFFSET(N244,1,0)*OFFSET(P244,1,0),VLOOKUP(D244,契約台帳!$A$3:$P$4986,16,FALSE)))))</f>
        <v>4000</v>
      </c>
      <c r="U244" s="38">
        <v>3</v>
      </c>
      <c r="V244" s="259">
        <f ca="1">IF(D244="","",IF(OFFSET(D244,-2,0)=D244,"",VLOOKUP(D244,契約台帳!$A$3:$R$4986,18,FALSE)))</f>
        <v>3</v>
      </c>
      <c r="W244" s="256" t="str">
        <f ca="1">IF(D244="","",IF(T244="","",IF(OR(J244="巻足し",J244="巻返しリード付け"),"",IF(J244="巻返し",VLOOKUP(F244&amp;K244&amp;M244,製品マスタ!$M$5:$AD$4999,18,FALSE),IF(OR(J244="リード付け",J244="巻返しリード付け"),"原反コア",IF(J244="スリット",VLOOKUP(F244&amp;K244&amp;R244,製品マスタ!$N$5:$AD$4999,17,FALSE),""))))))</f>
        <v>6ｲﾝﾁSｺｱ</v>
      </c>
      <c r="X244" s="256">
        <f ca="1">IF(D244="","",IF(T244="","",IF(J244="巻足し","",IF(J244="巻返し",VLOOKUP(F244&amp;K244&amp;M244,製品マスタ!$M$5:$AE$4999,19,FALSE),IF(OR(J244="リード付け",J244="巻返しリード付け"),"",IF(J244="スリット",VLOOKUP(F244&amp;K244&amp;R244,製品マスタ!$N$5:$AE$4999,18,FALSE),""))))))</f>
        <v>1015</v>
      </c>
      <c r="Y244" s="256">
        <f ca="1">IF(D244="","",IF(T244="","",VLOOKUP(D244,契約台帳!$A$3:$Q$4986,17,FALSE)))</f>
        <v>2</v>
      </c>
      <c r="Z244" s="256" t="str">
        <f ca="1">IF(D244="","",IF(T244="","",VLOOKUP(D244,契約台帳!$A$3:$E$4986,5,FALSE)))</f>
        <v>リンテック㈱</v>
      </c>
      <c r="AA244" s="54"/>
      <c r="AB244" s="200">
        <f>IFERROR((VLOOKUP(F244&amp;K244&amp;M244,製品マスタ!$M$5:$AM$4999,27,FALSE)),"")</f>
        <v>0</v>
      </c>
      <c r="AC244" s="31"/>
      <c r="AD244" s="184"/>
      <c r="AE244" s="51"/>
      <c r="AF244" s="52"/>
      <c r="AG244" s="41"/>
      <c r="AH244" s="45"/>
      <c r="AI244" s="28"/>
      <c r="AJ244" s="28"/>
      <c r="AK244" s="28"/>
      <c r="AL244" s="28"/>
      <c r="AM244" s="12"/>
      <c r="AN244" s="12"/>
      <c r="AO244" s="12"/>
      <c r="AP244" s="12"/>
      <c r="AQ244" s="12"/>
      <c r="AR244" s="13"/>
      <c r="AS244" s="14"/>
    </row>
    <row r="245" spans="1:45" s="16" customFormat="1" ht="30.95" hidden="1" customHeight="1" x14ac:dyDescent="0.2">
      <c r="A245" s="35"/>
      <c r="B245" s="36"/>
      <c r="C245" s="43"/>
      <c r="D245" s="29"/>
      <c r="E245" s="29"/>
      <c r="F245" s="255" t="str">
        <f>IF(D245="","",VLOOKUP(D245,契約台帳!$A$3:$K$4986,6,FALSE)&amp;VLOOKUP(D245,契約台帳!$A$3:$K$4986,7,FALSE)&amp;VLOOKUP(D245,契約台帳!$A$3:$K$4986,8,FALSE)&amp;VLOOKUP(D245,契約台帳!$A$3:$K$4986,9,FALSE)&amp;VLOOKUP(D245,契約台帳!$A$3:$K$4986,11,FALSE))</f>
        <v/>
      </c>
      <c r="G245" s="256" t="str">
        <f>IF(D245="","",VLOOKUP(F245,製品マスタ!$G$5:$H$4999,2,FALSE))</f>
        <v/>
      </c>
      <c r="H245" s="256" t="str">
        <f>IF(D245="","",VLOOKUP(F245,製品マスタ!$G$5:$K$4999,5,FALSE))</f>
        <v/>
      </c>
      <c r="I245" s="200" t="str">
        <f>IF(D245="","",VLOOKUP(F245,製品マスタ!$G$5:$L$4999,6,FALSE))</f>
        <v/>
      </c>
      <c r="J245" s="203"/>
      <c r="K245" s="200" t="str">
        <f>IF(D245="","",VLOOKUP(D245,契約台帳!$A$3:$L$4986,12,FALSE))</f>
        <v/>
      </c>
      <c r="L245" s="200" t="str">
        <f>IF(D245="","",INDEX(製品マスタ!$Q$5:$Q$4999,MATCH('S4'!F245&amp;'S4'!K245,製品マスタ!$AO$5:$AO$4999,0)))</f>
        <v/>
      </c>
      <c r="M245" s="37"/>
      <c r="N245" s="37"/>
      <c r="O245" s="153"/>
      <c r="P245" s="45"/>
      <c r="Q245" s="54"/>
      <c r="R245" s="257" t="str">
        <f ca="1">IF(D245="","",IF(OFFSET(D245,-1,0)&lt;&gt;"","",IF(OR(J245="リード付け",J245="巻足し",J245="巻返しリード付け"),M245,VLOOKUP(D245,契約台帳!$A$3:$N$4986,14,FALSE))))</f>
        <v/>
      </c>
      <c r="S245" s="258" t="str">
        <f ca="1">IF(D245="","",IF(OFFSET(D245,-1,0)&lt;&gt;"","",IF(OR(J245="リード付け",J245="巻足し",J245="巻返しリード付け"),M245,VLOOKUP(D245,契約台帳!$A$3:$O$4986,15,FALSE))))</f>
        <v/>
      </c>
      <c r="T245" s="258" t="str">
        <f ca="1">IF(D245="","",IF(J245="リード付け",N245,IF(J245="巻返しリード付け",N245,IF(J245="巻足し",N245*P245+OFFSET(N245,1,0)*OFFSET(P245,1,0),VLOOKUP(D245,契約台帳!$A$3:$P$4986,16,FALSE)))))</f>
        <v/>
      </c>
      <c r="U245" s="38"/>
      <c r="V245" s="259" t="str">
        <f ca="1">IF(D245="","",IF(OFFSET(D245,-2,0)=D245,"",VLOOKUP(D245,契約台帳!$A$3:$R$4986,18,FALSE)))</f>
        <v/>
      </c>
      <c r="W245" s="256" t="str">
        <f>IF(D245="","",IF(T245="","",IF(OR(J245="巻足し",J245="巻返しリード付け"),"",IF(J245="巻返し",VLOOKUP(F245&amp;K245&amp;M245,製品マスタ!$M$5:$AD$4999,18,FALSE),IF(OR(J245="リード付け",J245="巻返しリード付け"),"原反コア",IF(J245="スリット",VLOOKUP(F245&amp;K245&amp;R245,製品マスタ!$N$5:$AD$4999,17,FALSE),""))))))</f>
        <v/>
      </c>
      <c r="X245" s="256" t="str">
        <f>IF(D245="","",IF(T245="","",IF(J245="巻足し","",IF(J245="巻返し",VLOOKUP(F245&amp;K245&amp;M245,製品マスタ!$M$5:$AE$4999,19,FALSE),IF(OR(J245="リード付け",J245="巻返しリード付け"),"",IF(J245="スリット",VLOOKUP(F245&amp;K245&amp;R245,製品マスタ!$N$5:$AE$4999,18,FALSE),""))))))</f>
        <v/>
      </c>
      <c r="Y245" s="256" t="str">
        <f>IF(D245="","",IF(T245="","",VLOOKUP(D245,契約台帳!$A$3:$Q$4986,17,FALSE)))</f>
        <v/>
      </c>
      <c r="Z245" s="256" t="str">
        <f>IF(D245="","",IF(T245="","",VLOOKUP(D245,契約台帳!$A$3:$E$4986,5,FALSE)))</f>
        <v/>
      </c>
      <c r="AA245" s="54"/>
      <c r="AB245" s="200" t="str">
        <f>IFERROR((VLOOKUP(F245&amp;K245&amp;M245,製品マスタ!$M$5:$AM$4999,27,FALSE)),"")</f>
        <v/>
      </c>
      <c r="AC245" s="31"/>
      <c r="AD245" s="184"/>
      <c r="AE245" s="51"/>
      <c r="AF245" s="52"/>
      <c r="AG245" s="41"/>
      <c r="AH245" s="45"/>
      <c r="AI245" s="28"/>
      <c r="AJ245" s="28"/>
      <c r="AK245" s="28"/>
      <c r="AL245" s="28"/>
      <c r="AM245" s="12"/>
      <c r="AN245" s="12"/>
      <c r="AO245" s="12"/>
      <c r="AP245" s="12"/>
      <c r="AQ245" s="12"/>
      <c r="AR245" s="13"/>
      <c r="AS245" s="14"/>
    </row>
    <row r="246" spans="1:45" s="16" customFormat="1" ht="30.95" hidden="1" customHeight="1" x14ac:dyDescent="0.2">
      <c r="A246" s="35" t="s">
        <v>912</v>
      </c>
      <c r="B246" s="36" t="s">
        <v>913</v>
      </c>
      <c r="C246" s="43"/>
      <c r="D246" s="29">
        <v>3697672</v>
      </c>
      <c r="E246" s="29">
        <v>4140878</v>
      </c>
      <c r="F246" s="255" t="str">
        <f>IF(D246="","",VLOOKUP(D246,契約台帳!$A$3:$K$4986,6,FALSE)&amp;VLOOKUP(D246,契約台帳!$A$3:$K$4986,7,FALSE)&amp;VLOOKUP(D246,契約台帳!$A$3:$K$4986,8,FALSE)&amp;VLOOKUP(D246,契約台帳!$A$3:$K$4986,9,FALSE)&amp;VLOOKUP(D246,契約台帳!$A$3:$K$4986,11,FALSE))</f>
        <v>33SSNMCLBTEKV0V</v>
      </c>
      <c r="G246" s="256" t="str">
        <f>IF(D246="","",VLOOKUP(F246,製品マスタ!$G$5:$H$4999,2,FALSE))</f>
        <v>S</v>
      </c>
      <c r="H246" s="256" t="str">
        <f>IF(D246="","",VLOOKUP(F246,製品マスタ!$G$5:$K$4999,5,FALSE))</f>
        <v>TEKV0V</v>
      </c>
      <c r="I246" s="200" t="str">
        <f>IF(D246="","",VLOOKUP(F246,製品マスタ!$G$5:$L$4999,6,FALSE))</f>
        <v>メタルミー　ＴＥ－Ｓ消　ＶＯＩＤ　Ｖ</v>
      </c>
      <c r="J246" s="203" t="s">
        <v>907</v>
      </c>
      <c r="K246" s="200">
        <f>IF(D246="","",VLOOKUP(D246,契約台帳!$A$3:$L$4986,12,FALSE))</f>
        <v>50</v>
      </c>
      <c r="L246" s="200" t="str">
        <f>IF(D246="","",INDEX(製品マスタ!$Q$5:$Q$4999,MATCH('S4'!F246&amp;'S4'!K246,製品マスタ!$AO$5:$AO$4999,0)))</f>
        <v>X44SEPA</v>
      </c>
      <c r="M246" s="37">
        <v>1005</v>
      </c>
      <c r="N246" s="37">
        <v>12000</v>
      </c>
      <c r="O246" s="153">
        <v>2</v>
      </c>
      <c r="P246" s="45">
        <v>2</v>
      </c>
      <c r="Q246" s="54">
        <v>44973</v>
      </c>
      <c r="R246" s="257">
        <f ca="1">IF(D246="","",IF(OFFSET(D246,-1,0)&lt;&gt;"","",IF(OR(J246="リード付け",J246="巻足し",J246="巻返しリード付け"),M246,VLOOKUP(D246,契約台帳!$A$3:$N$4986,14,FALSE))))</f>
        <v>1005</v>
      </c>
      <c r="S246" s="258">
        <f ca="1">IF(D246="","",IF(OFFSET(D246,-1,0)&lt;&gt;"","",IF(OR(J246="リード付け",J246="巻足し",J246="巻返しリード付け"),M246,VLOOKUP(D246,契約台帳!$A$3:$O$4986,15,FALSE))))</f>
        <v>1000</v>
      </c>
      <c r="T246" s="258">
        <f ca="1">IF(D246="","",IF(J246="リード付け",N246,IF(J246="巻返しリード付け",N246,IF(J246="巻足し",N246*P246+OFFSET(N246,1,0)*OFFSET(P246,1,0),VLOOKUP(D246,契約台帳!$A$3:$P$4986,16,FALSE)))))</f>
        <v>4000</v>
      </c>
      <c r="U246" s="38">
        <v>6</v>
      </c>
      <c r="V246" s="259">
        <f ca="1">IF(D246="","",IF(OFFSET(D246,-2,0)=D246,"",VLOOKUP(D246,契約台帳!$A$3:$R$4986,18,FALSE)))</f>
        <v>6</v>
      </c>
      <c r="W246" s="256" t="str">
        <f ca="1">IF(D246="","",IF(T246="","",IF(OR(J246="巻足し",J246="巻返しリード付け"),"",IF(J246="巻返し",VLOOKUP(F246&amp;K246&amp;M246,製品マスタ!$M$5:$AD$4999,18,FALSE),IF(OR(J246="リード付け",J246="巻返しリード付け"),"原反コア",IF(J246="スリット",VLOOKUP(F246&amp;K246&amp;R246,製品マスタ!$N$5:$AD$4999,17,FALSE),""))))))</f>
        <v>6ｲﾝﾁSｺｱ</v>
      </c>
      <c r="X246" s="256">
        <f ca="1">IF(D246="","",IF(T246="","",IF(J246="巻足し","",IF(J246="巻返し",VLOOKUP(F246&amp;K246&amp;M246,製品マスタ!$M$5:$AE$4999,19,FALSE),IF(OR(J246="リード付け",J246="巻返しリード付け"),"",IF(J246="スリット",VLOOKUP(F246&amp;K246&amp;R246,製品マスタ!$N$5:$AE$4999,18,FALSE),""))))))</f>
        <v>1015</v>
      </c>
      <c r="Y246" s="256">
        <f ca="1">IF(D246="","",IF(T246="","",VLOOKUP(D246,契約台帳!$A$3:$Q$4986,17,FALSE)))</f>
        <v>2</v>
      </c>
      <c r="Z246" s="256" t="str">
        <f ca="1">IF(D246="","",IF(T246="","",VLOOKUP(D246,契約台帳!$A$3:$E$4986,5,FALSE)))</f>
        <v>リンテック㈱</v>
      </c>
      <c r="AA246" s="54"/>
      <c r="AB246" s="200">
        <f>IFERROR((VLOOKUP(F246&amp;K246&amp;M246,製品マスタ!$M$5:$AM$4999,27,FALSE)),"")</f>
        <v>0</v>
      </c>
      <c r="AC246" s="31"/>
      <c r="AD246" s="184"/>
      <c r="AE246" s="51"/>
      <c r="AF246" s="52"/>
      <c r="AG246" s="41"/>
      <c r="AH246" s="45"/>
      <c r="AI246" s="28"/>
      <c r="AJ246" s="28"/>
      <c r="AK246" s="28"/>
      <c r="AL246" s="28"/>
      <c r="AM246" s="12"/>
      <c r="AN246" s="12"/>
      <c r="AO246" s="12"/>
      <c r="AP246" s="12"/>
      <c r="AQ246" s="12"/>
      <c r="AR246" s="13"/>
      <c r="AS246" s="14"/>
    </row>
    <row r="247" spans="1:45" s="16" customFormat="1" ht="30.95" hidden="1" customHeight="1" x14ac:dyDescent="0.2">
      <c r="A247" s="35"/>
      <c r="B247" s="36"/>
      <c r="C247" s="43"/>
      <c r="D247" s="29"/>
      <c r="E247" s="29"/>
      <c r="F247" s="255" t="str">
        <f>IF(D247="","",VLOOKUP(D247,契約台帳!$A$3:$K$4986,6,FALSE)&amp;VLOOKUP(D247,契約台帳!$A$3:$K$4986,7,FALSE)&amp;VLOOKUP(D247,契約台帳!$A$3:$K$4986,8,FALSE)&amp;VLOOKUP(D247,契約台帳!$A$3:$K$4986,9,FALSE)&amp;VLOOKUP(D247,契約台帳!$A$3:$K$4986,11,FALSE))</f>
        <v/>
      </c>
      <c r="G247" s="256" t="str">
        <f>IF(D247="","",VLOOKUP(F247,製品マスタ!$G$5:$H$4999,2,FALSE))</f>
        <v/>
      </c>
      <c r="H247" s="256" t="str">
        <f>IF(D247="","",VLOOKUP(F247,製品マスタ!$G$5:$K$4999,5,FALSE))</f>
        <v/>
      </c>
      <c r="I247" s="200" t="str">
        <f>IF(D247="","",VLOOKUP(F247,製品マスタ!$G$5:$L$4999,6,FALSE))</f>
        <v/>
      </c>
      <c r="J247" s="203"/>
      <c r="K247" s="200" t="str">
        <f>IF(D247="","",VLOOKUP(D247,契約台帳!$A$3:$L$4986,12,FALSE))</f>
        <v/>
      </c>
      <c r="L247" s="200" t="str">
        <f>IF(D247="","",INDEX(製品マスタ!$Q$5:$Q$4999,MATCH('S4'!F247&amp;'S4'!K247,製品マスタ!$AO$5:$AO$4999,0)))</f>
        <v/>
      </c>
      <c r="M247" s="37"/>
      <c r="N247" s="37"/>
      <c r="O247" s="153"/>
      <c r="P247" s="45"/>
      <c r="Q247" s="54"/>
      <c r="R247" s="257" t="str">
        <f ca="1">IF(D247="","",IF(OFFSET(D247,-1,0)&lt;&gt;"","",IF(OR(J247="リード付け",J247="巻足し",J247="巻返しリード付け"),M247,VLOOKUP(D247,契約台帳!$A$3:$N$4986,14,FALSE))))</f>
        <v/>
      </c>
      <c r="S247" s="258" t="str">
        <f ca="1">IF(D247="","",IF(OFFSET(D247,-1,0)&lt;&gt;"","",IF(OR(J247="リード付け",J247="巻足し",J247="巻返しリード付け"),M247,VLOOKUP(D247,契約台帳!$A$3:$O$4986,15,FALSE))))</f>
        <v/>
      </c>
      <c r="T247" s="258" t="str">
        <f ca="1">IF(D247="","",IF(J247="リード付け",N247,IF(J247="巻返しリード付け",N247,IF(J247="巻足し",N247*P247+OFFSET(N247,1,0)*OFFSET(P247,1,0),VLOOKUP(D247,契約台帳!$A$3:$P$4986,16,FALSE)))))</f>
        <v/>
      </c>
      <c r="U247" s="38"/>
      <c r="V247" s="259" t="str">
        <f ca="1">IF(D247="","",IF(OFFSET(D247,-2,0)=D247,"",VLOOKUP(D247,契約台帳!$A$3:$R$4986,18,FALSE)))</f>
        <v/>
      </c>
      <c r="W247" s="256" t="str">
        <f>IF(D247="","",IF(T247="","",IF(OR(J247="巻足し",J247="巻返しリード付け"),"",IF(J247="巻返し",VLOOKUP(F247&amp;K247&amp;M247,製品マスタ!$M$5:$AD$4999,18,FALSE),IF(OR(J247="リード付け",J247="巻返しリード付け"),"原反コア",IF(J247="スリット",VLOOKUP(F247&amp;K247&amp;R247,製品マスタ!$N$5:$AD$4999,17,FALSE),""))))))</f>
        <v/>
      </c>
      <c r="X247" s="256" t="str">
        <f>IF(D247="","",IF(T247="","",IF(J247="巻足し","",IF(J247="巻返し",VLOOKUP(F247&amp;K247&amp;M247,製品マスタ!$M$5:$AE$4999,19,FALSE),IF(OR(J247="リード付け",J247="巻返しリード付け"),"",IF(J247="スリット",VLOOKUP(F247&amp;K247&amp;R247,製品マスタ!$N$5:$AE$4999,18,FALSE),""))))))</f>
        <v/>
      </c>
      <c r="Y247" s="256" t="str">
        <f>IF(D247="","",IF(T247="","",VLOOKUP(D247,契約台帳!$A$3:$Q$4986,17,FALSE)))</f>
        <v/>
      </c>
      <c r="Z247" s="256" t="str">
        <f>IF(D247="","",IF(T247="","",VLOOKUP(D247,契約台帳!$A$3:$E$4986,5,FALSE)))</f>
        <v/>
      </c>
      <c r="AA247" s="54"/>
      <c r="AB247" s="200" t="str">
        <f>IFERROR((VLOOKUP(F247&amp;K247&amp;M247,製品マスタ!$M$5:$AM$4999,27,FALSE)),"")</f>
        <v/>
      </c>
      <c r="AC247" s="31"/>
      <c r="AD247" s="184"/>
      <c r="AE247" s="51"/>
      <c r="AF247" s="52"/>
      <c r="AG247" s="41"/>
      <c r="AH247" s="45"/>
      <c r="AI247" s="28"/>
      <c r="AJ247" s="28"/>
      <c r="AK247" s="28"/>
      <c r="AL247" s="28"/>
      <c r="AM247" s="12"/>
      <c r="AN247" s="12"/>
      <c r="AO247" s="12"/>
      <c r="AP247" s="12"/>
      <c r="AQ247" s="12"/>
      <c r="AR247" s="13"/>
      <c r="AS247" s="14"/>
    </row>
    <row r="248" spans="1:45" s="16" customFormat="1" ht="30.95" hidden="1" customHeight="1" x14ac:dyDescent="0.2">
      <c r="A248" s="35"/>
      <c r="B248" s="36"/>
      <c r="C248" s="43"/>
      <c r="D248" s="29">
        <v>3697679</v>
      </c>
      <c r="E248" s="29">
        <v>4140884</v>
      </c>
      <c r="F248" s="255" t="str">
        <f>IF(D248="","",VLOOKUP(D248,契約台帳!$A$3:$K$4986,6,FALSE)&amp;VLOOKUP(D248,契約台帳!$A$3:$K$4986,7,FALSE)&amp;VLOOKUP(D248,契約台帳!$A$3:$K$4986,8,FALSE)&amp;VLOOKUP(D248,契約台帳!$A$3:$K$4986,9,FALSE)&amp;VLOOKUP(D248,契約台帳!$A$3:$K$4986,11,FALSE))</f>
        <v>3SNMCLBHLGTV</v>
      </c>
      <c r="G248" s="256" t="str">
        <f>IF(D248="","",VLOOKUP(F248,製品マスタ!$G$5:$H$4999,2,FALSE))</f>
        <v>S</v>
      </c>
      <c r="H248" s="256" t="str">
        <f>IF(D248="","",VLOOKUP(F248,製品マスタ!$G$5:$K$4999,5,FALSE))</f>
        <v>HLGTV</v>
      </c>
      <c r="I248" s="200" t="str">
        <f>IF(D248="","",VLOOKUP(F248,製品マスタ!$G$5:$L$4999,6,FALSE))</f>
        <v>メタルミー　ヘヤライン　銀艶Ｖ</v>
      </c>
      <c r="J248" s="203" t="s">
        <v>447</v>
      </c>
      <c r="K248" s="200">
        <f>IF(D248="","",VLOOKUP(D248,契約台帳!$A$3:$L$4986,12,FALSE))</f>
        <v>50</v>
      </c>
      <c r="L248" s="200" t="str">
        <f>IF(D248="","",INDEX(製品マスタ!$Q$5:$Q$4999,MATCH('S4'!F248&amp;'S4'!K248,製品マスタ!$AO$5:$AO$4999,0)))</f>
        <v>BRIGHT</v>
      </c>
      <c r="M248" s="37">
        <v>1005</v>
      </c>
      <c r="N248" s="37">
        <v>12300</v>
      </c>
      <c r="O248" s="153">
        <v>3</v>
      </c>
      <c r="P248" s="45">
        <v>3</v>
      </c>
      <c r="Q248" s="54">
        <v>44974</v>
      </c>
      <c r="R248" s="257">
        <f ca="1">IF(D248="","",IF(OFFSET(D248,-1,0)&lt;&gt;"","",IF(OR(J248="リード付け",J248="巻足し",J248="巻返しリード付け"),M248,VLOOKUP(D248,契約台帳!$A$3:$N$4986,14,FALSE))))</f>
        <v>1005</v>
      </c>
      <c r="S248" s="258">
        <f ca="1">IF(D248="","",IF(OFFSET(D248,-1,0)&lt;&gt;"","",IF(OR(J248="リード付け",J248="巻足し",J248="巻返しリード付け"),M248,VLOOKUP(D248,契約台帳!$A$3:$O$4986,15,FALSE))))</f>
        <v>1000</v>
      </c>
      <c r="T248" s="258">
        <f ca="1">IF(D248="","",IF(J248="リード付け",N248,IF(J248="巻返しリード付け",N248,IF(J248="巻足し",N248*P248+OFFSET(N248,1,0)*OFFSET(P248,1,0),VLOOKUP(D248,契約台帳!$A$3:$P$4986,16,FALSE)))))</f>
        <v>4000</v>
      </c>
      <c r="U248" s="38">
        <v>9</v>
      </c>
      <c r="V248" s="259">
        <f ca="1">IF(D248="","",IF(OFFSET(D248,-2,0)=D248,"",VLOOKUP(D248,契約台帳!$A$3:$R$4986,18,FALSE)))</f>
        <v>9</v>
      </c>
      <c r="W248" s="256" t="str">
        <f ca="1">IF(D248="","",IF(T248="","",IF(OR(J248="巻足し",J248="巻返しリード付け"),"",IF(J248="巻返し",VLOOKUP(F248&amp;K248&amp;M248,製品マスタ!$M$5:$AD$4999,18,FALSE),IF(OR(J248="リード付け",J248="巻返しリード付け"),"原反コア",IF(J248="スリット",VLOOKUP(F248&amp;K248&amp;R248,製品マスタ!$N$5:$AD$4999,17,FALSE),""))))))</f>
        <v>6ｲﾝﾁSｺｱ</v>
      </c>
      <c r="X248" s="256">
        <f ca="1">IF(D248="","",IF(T248="","",IF(J248="巻足し","",IF(J248="巻返し",VLOOKUP(F248&amp;K248&amp;M248,製品マスタ!$M$5:$AE$4999,19,FALSE),IF(OR(J248="リード付け",J248="巻返しリード付け"),"",IF(J248="スリット",VLOOKUP(F248&amp;K248&amp;R248,製品マスタ!$N$5:$AE$4999,18,FALSE),""))))))</f>
        <v>1015</v>
      </c>
      <c r="Y248" s="256">
        <f ca="1">IF(D248="","",IF(T248="","",VLOOKUP(D248,契約台帳!$A$3:$Q$4986,17,FALSE)))</f>
        <v>2</v>
      </c>
      <c r="Z248" s="256" t="str">
        <f ca="1">IF(D248="","",IF(T248="","",VLOOKUP(D248,契約台帳!$A$3:$E$4986,5,FALSE)))</f>
        <v>リンテック㈱</v>
      </c>
      <c r="AA248" s="54"/>
      <c r="AB248" s="200">
        <f>IFERROR((VLOOKUP(F248&amp;K248&amp;M248,製品マスタ!$M$5:$AM$4999,27,FALSE)),"")</f>
        <v>0</v>
      </c>
      <c r="AC248" s="31"/>
      <c r="AD248" s="184"/>
      <c r="AE248" s="51"/>
      <c r="AF248" s="52"/>
      <c r="AG248" s="41"/>
      <c r="AH248" s="45"/>
      <c r="AI248" s="28"/>
      <c r="AJ248" s="28"/>
      <c r="AK248" s="28"/>
      <c r="AL248" s="28"/>
      <c r="AM248" s="12"/>
      <c r="AN248" s="12"/>
      <c r="AO248" s="12"/>
      <c r="AP248" s="12"/>
      <c r="AQ248" s="12"/>
      <c r="AR248" s="13"/>
      <c r="AS248" s="14"/>
    </row>
    <row r="249" spans="1:45" s="16" customFormat="1" ht="30.95" hidden="1" customHeight="1" x14ac:dyDescent="0.2">
      <c r="A249" s="35"/>
      <c r="B249" s="36"/>
      <c r="C249" s="43"/>
      <c r="D249" s="29"/>
      <c r="E249" s="29"/>
      <c r="F249" s="255" t="str">
        <f>IF(D249="","",VLOOKUP(D249,契約台帳!$A$3:$K$4986,6,FALSE)&amp;VLOOKUP(D249,契約台帳!$A$3:$K$4986,7,FALSE)&amp;VLOOKUP(D249,契約台帳!$A$3:$K$4986,8,FALSE)&amp;VLOOKUP(D249,契約台帳!$A$3:$K$4986,9,FALSE)&amp;VLOOKUP(D249,契約台帳!$A$3:$K$4986,11,FALSE))</f>
        <v/>
      </c>
      <c r="G249" s="256" t="str">
        <f>IF(D249="","",VLOOKUP(F249,製品マスタ!$G$5:$H$4999,2,FALSE))</f>
        <v/>
      </c>
      <c r="H249" s="256" t="str">
        <f>IF(D249="","",VLOOKUP(F249,製品マスタ!$G$5:$K$4999,5,FALSE))</f>
        <v/>
      </c>
      <c r="I249" s="200" t="str">
        <f>IF(D249="","",VLOOKUP(F249,製品マスタ!$G$5:$L$4999,6,FALSE))</f>
        <v/>
      </c>
      <c r="J249" s="203"/>
      <c r="K249" s="200" t="str">
        <f>IF(D249="","",VLOOKUP(D249,契約台帳!$A$3:$L$4986,12,FALSE))</f>
        <v/>
      </c>
      <c r="L249" s="200" t="str">
        <f>IF(D249="","",INDEX(製品マスタ!$Q$5:$Q$4999,MATCH('S4'!F249&amp;'S4'!K249,製品マスタ!$AO$5:$AO$4999,0)))</f>
        <v/>
      </c>
      <c r="M249" s="37"/>
      <c r="N249" s="37"/>
      <c r="O249" s="153"/>
      <c r="P249" s="45"/>
      <c r="Q249" s="54"/>
      <c r="R249" s="257" t="str">
        <f ca="1">IF(D249="","",IF(OFFSET(D249,-1,0)&lt;&gt;"","",IF(OR(J249="リード付け",J249="巻足し",J249="巻返しリード付け"),M249,VLOOKUP(D249,契約台帳!$A$3:$N$4986,14,FALSE))))</f>
        <v/>
      </c>
      <c r="S249" s="258" t="str">
        <f ca="1">IF(D249="","",IF(OFFSET(D249,-1,0)&lt;&gt;"","",IF(OR(J249="リード付け",J249="巻足し",J249="巻返しリード付け"),M249,VLOOKUP(D249,契約台帳!$A$3:$O$4986,15,FALSE))))</f>
        <v/>
      </c>
      <c r="T249" s="258" t="str">
        <f ca="1">IF(D249="","",IF(J249="リード付け",N249,IF(J249="巻返しリード付け",N249,IF(J249="巻足し",N249*P249+OFFSET(N249,1,0)*OFFSET(P249,1,0),VLOOKUP(D249,契約台帳!$A$3:$P$4986,16,FALSE)))))</f>
        <v/>
      </c>
      <c r="U249" s="38"/>
      <c r="V249" s="259" t="str">
        <f ca="1">IF(D249="","",IF(OFFSET(D249,-2,0)=D249,"",VLOOKUP(D249,契約台帳!$A$3:$R$4986,18,FALSE)))</f>
        <v/>
      </c>
      <c r="W249" s="256" t="str">
        <f>IF(D249="","",IF(T249="","",IF(OR(J249="巻足し",J249="巻返しリード付け"),"",IF(J249="巻返し",VLOOKUP(F249&amp;K249&amp;M249,製品マスタ!$M$5:$AD$4999,18,FALSE),IF(OR(J249="リード付け",J249="巻返しリード付け"),"原反コア",IF(J249="スリット",VLOOKUP(F249&amp;K249&amp;R249,製品マスタ!$N$5:$AD$4999,17,FALSE),""))))))</f>
        <v/>
      </c>
      <c r="X249" s="256" t="str">
        <f>IF(D249="","",IF(T249="","",IF(J249="巻足し","",IF(J249="巻返し",VLOOKUP(F249&amp;K249&amp;M249,製品マスタ!$M$5:$AE$4999,19,FALSE),IF(OR(J249="リード付け",J249="巻返しリード付け"),"",IF(J249="スリット",VLOOKUP(F249&amp;K249&amp;R249,製品マスタ!$N$5:$AE$4999,18,FALSE),""))))))</f>
        <v/>
      </c>
      <c r="Y249" s="256" t="str">
        <f>IF(D249="","",IF(T249="","",VLOOKUP(D249,契約台帳!$A$3:$Q$4986,17,FALSE)))</f>
        <v/>
      </c>
      <c r="Z249" s="256" t="str">
        <f>IF(D249="","",IF(T249="","",VLOOKUP(D249,契約台帳!$A$3:$E$4986,5,FALSE)))</f>
        <v/>
      </c>
      <c r="AA249" s="54"/>
      <c r="AB249" s="200" t="str">
        <f>IFERROR((VLOOKUP(F249&amp;K249&amp;M249,製品マスタ!$M$5:$AM$4999,27,FALSE)),"")</f>
        <v/>
      </c>
      <c r="AC249" s="31"/>
      <c r="AD249" s="184"/>
      <c r="AE249" s="51"/>
      <c r="AF249" s="52"/>
      <c r="AG249" s="41"/>
      <c r="AH249" s="45"/>
      <c r="AI249" s="28"/>
      <c r="AJ249" s="28"/>
      <c r="AK249" s="28"/>
      <c r="AL249" s="28"/>
      <c r="AM249" s="12"/>
      <c r="AN249" s="12"/>
      <c r="AO249" s="12"/>
      <c r="AP249" s="12"/>
      <c r="AQ249" s="12"/>
      <c r="AR249" s="13"/>
      <c r="AS249" s="14"/>
    </row>
    <row r="250" spans="1:45" s="16" customFormat="1" ht="30.95" hidden="1" customHeight="1" x14ac:dyDescent="0.2">
      <c r="A250" s="35"/>
      <c r="B250" s="36"/>
      <c r="C250" s="43"/>
      <c r="D250" s="29">
        <v>3697677</v>
      </c>
      <c r="E250" s="29">
        <v>4140883</v>
      </c>
      <c r="F250" s="255" t="str">
        <f>IF(D250="","",VLOOKUP(D250,契約台帳!$A$3:$K$4986,6,FALSE)&amp;VLOOKUP(D250,契約台帳!$A$3:$K$4986,7,FALSE)&amp;VLOOKUP(D250,契約台帳!$A$3:$K$4986,8,FALSE)&amp;VLOOKUP(D250,契約台帳!$A$3:$K$4986,9,FALSE)&amp;VLOOKUP(D250,契約台帳!$A$3:$K$4986,11,FALSE))</f>
        <v>3SNMCLBHLGKJV</v>
      </c>
      <c r="G250" s="256" t="str">
        <f>IF(D250="","",VLOOKUP(F250,製品マスタ!$G$5:$H$4999,2,FALSE))</f>
        <v>S</v>
      </c>
      <c r="H250" s="256" t="str">
        <f>IF(D250="","",VLOOKUP(F250,製品マスタ!$G$5:$K$4999,5,FALSE))</f>
        <v>HLGKJV</v>
      </c>
      <c r="I250" s="200" t="str">
        <f>IF(D250="","",VLOOKUP(F250,製品マスタ!$G$5:$L$4999,6,FALSE))</f>
        <v>メタルミー　ヘヤライン　銀消Ｖ</v>
      </c>
      <c r="J250" s="203" t="s">
        <v>447</v>
      </c>
      <c r="K250" s="200">
        <f>IF(D250="","",VLOOKUP(D250,契約台帳!$A$3:$L$4986,12,FALSE))</f>
        <v>50</v>
      </c>
      <c r="L250" s="200" t="str">
        <f>IF(D250="","",INDEX(製品マスタ!$Q$5:$Q$4999,MATCH('S4'!F250&amp;'S4'!K250,製品マスタ!$AO$5:$AO$4999,0)))</f>
        <v>HL-MAT</v>
      </c>
      <c r="M250" s="37">
        <v>1005</v>
      </c>
      <c r="N250" s="37">
        <v>8000</v>
      </c>
      <c r="O250" s="153">
        <v>1</v>
      </c>
      <c r="P250" s="45">
        <v>1</v>
      </c>
      <c r="Q250" s="54">
        <v>44974</v>
      </c>
      <c r="R250" s="257">
        <f ca="1">IF(D250="","",IF(OFFSET(D250,-1,0)&lt;&gt;"","",IF(OR(J250="リード付け",J250="巻足し",J250="巻返しリード付け"),M250,VLOOKUP(D250,契約台帳!$A$3:$N$4986,14,FALSE))))</f>
        <v>1005</v>
      </c>
      <c r="S250" s="258">
        <f ca="1">IF(D250="","",IF(OFFSET(D250,-1,0)&lt;&gt;"","",IF(OR(J250="リード付け",J250="巻足し",J250="巻返しリード付け"),M250,VLOOKUP(D250,契約台帳!$A$3:$O$4986,15,FALSE))))</f>
        <v>1000</v>
      </c>
      <c r="T250" s="258">
        <f ca="1">IF(D250="","",IF(J250="リード付け",N250,IF(J250="巻返しリード付け",N250,IF(J250="巻足し",N250*P250+OFFSET(N250,1,0)*OFFSET(P250,1,0),VLOOKUP(D250,契約台帳!$A$3:$P$4986,16,FALSE)))))</f>
        <v>2000</v>
      </c>
      <c r="U250" s="38">
        <v>2</v>
      </c>
      <c r="V250" s="259">
        <f ca="1">IF(D250="","",IF(OFFSET(D250,-2,0)=D250,"",VLOOKUP(D250,契約台帳!$A$3:$R$4986,18,FALSE)))</f>
        <v>2</v>
      </c>
      <c r="W250" s="256" t="str">
        <f ca="1">IF(D250="","",IF(T250="","",IF(OR(J250="巻足し",J250="巻返しリード付け"),"",IF(J250="巻返し",VLOOKUP(F250&amp;K250&amp;M250,製品マスタ!$M$5:$AD$4999,18,FALSE),IF(OR(J250="リード付け",J250="巻返しリード付け"),"原反コア",IF(J250="スリット",VLOOKUP(F250&amp;K250&amp;R250,製品マスタ!$N$5:$AD$4999,17,FALSE),""))))))</f>
        <v>6ｲﾝﾁSｺｱ</v>
      </c>
      <c r="X250" s="256">
        <f ca="1">IF(D250="","",IF(T250="","",IF(J250="巻足し","",IF(J250="巻返し",VLOOKUP(F250&amp;K250&amp;M250,製品マスタ!$M$5:$AE$4999,19,FALSE),IF(OR(J250="リード付け",J250="巻返しリード付け"),"",IF(J250="スリット",VLOOKUP(F250&amp;K250&amp;R250,製品マスタ!$N$5:$AE$4999,18,FALSE),""))))))</f>
        <v>1015</v>
      </c>
      <c r="Y250" s="256">
        <f ca="1">IF(D250="","",IF(T250="","",VLOOKUP(D250,契約台帳!$A$3:$Q$4986,17,FALSE)))</f>
        <v>2</v>
      </c>
      <c r="Z250" s="256" t="str">
        <f ca="1">IF(D250="","",IF(T250="","",VLOOKUP(D250,契約台帳!$A$3:$E$4986,5,FALSE)))</f>
        <v>リンテック㈱</v>
      </c>
      <c r="AA250" s="54"/>
      <c r="AB250" s="200">
        <f>IFERROR((VLOOKUP(F250&amp;K250&amp;M250,製品マスタ!$M$5:$AM$4999,27,FALSE)),"")</f>
        <v>0</v>
      </c>
      <c r="AC250" s="31"/>
      <c r="AD250" s="184"/>
      <c r="AE250" s="51"/>
      <c r="AF250" s="52"/>
      <c r="AG250" s="41"/>
      <c r="AH250" s="45"/>
      <c r="AI250" s="28"/>
      <c r="AJ250" s="28"/>
      <c r="AK250" s="28"/>
      <c r="AL250" s="28"/>
      <c r="AM250" s="12"/>
      <c r="AN250" s="12"/>
      <c r="AO250" s="12"/>
      <c r="AP250" s="12"/>
      <c r="AQ250" s="12"/>
      <c r="AR250" s="13"/>
      <c r="AS250" s="14"/>
    </row>
    <row r="251" spans="1:45" s="16" customFormat="1" ht="30.95" hidden="1" customHeight="1" x14ac:dyDescent="0.2">
      <c r="A251" s="35"/>
      <c r="B251" s="36"/>
      <c r="C251" s="43"/>
      <c r="D251" s="29">
        <v>3697678</v>
      </c>
      <c r="E251" s="29"/>
      <c r="F251" s="255" t="str">
        <f>IF(D251="","",VLOOKUP(D251,契約台帳!$A$3:$K$4986,6,FALSE)&amp;VLOOKUP(D251,契約台帳!$A$3:$K$4986,7,FALSE)&amp;VLOOKUP(D251,契約台帳!$A$3:$K$4986,8,FALSE)&amp;VLOOKUP(D251,契約台帳!$A$3:$K$4986,9,FALSE)&amp;VLOOKUP(D251,契約台帳!$A$3:$K$4986,11,FALSE))</f>
        <v>3TNMCLBHLGKJV</v>
      </c>
      <c r="G251" s="256" t="str">
        <f>IF(D251="","",VLOOKUP(F251,製品マスタ!$G$5:$H$4999,2,FALSE))</f>
        <v>T</v>
      </c>
      <c r="H251" s="256" t="str">
        <f>IF(D251="","",VLOOKUP(F251,製品マスタ!$G$5:$K$4999,5,FALSE))</f>
        <v>HLGKJV</v>
      </c>
      <c r="I251" s="200" t="str">
        <f>IF(D251="","",VLOOKUP(F251,製品マスタ!$G$5:$L$4999,6,FALSE))</f>
        <v>メタルミー　ヘヤライン　銀消Ｖ</v>
      </c>
      <c r="J251" s="203" t="s">
        <v>447</v>
      </c>
      <c r="K251" s="200">
        <f>IF(D251="","",VLOOKUP(D251,契約台帳!$A$3:$L$4986,12,FALSE))</f>
        <v>50</v>
      </c>
      <c r="L251" s="200" t="str">
        <f>IF(D251="","",INDEX(製品マスタ!$Q$5:$Q$4999,MATCH('S4'!F251&amp;'S4'!K251,製品マスタ!$AO$5:$AO$4999,0)))</f>
        <v>HL-MAT</v>
      </c>
      <c r="M251" s="37"/>
      <c r="N251" s="37"/>
      <c r="O251" s="153"/>
      <c r="P251" s="45"/>
      <c r="Q251" s="54"/>
      <c r="R251" s="257">
        <v>1005</v>
      </c>
      <c r="S251" s="258">
        <v>1000</v>
      </c>
      <c r="T251" s="258">
        <f ca="1">IF(D251="","",IF(J251="リード付け",N251,IF(J251="巻返しリード付け",N251,IF(J251="巻足し",N251*P251+OFFSET(N251,1,0)*OFFSET(P251,1,0),VLOOKUP(D251,契約台帳!$A$3:$P$4986,16,FALSE)))))</f>
        <v>4000</v>
      </c>
      <c r="U251" s="38">
        <v>1</v>
      </c>
      <c r="V251" s="259">
        <f ca="1">IF(D251="","",IF(OFFSET(D251,-2,0)=D251,"",VLOOKUP(D251,契約台帳!$A$3:$R$4986,18,FALSE)))</f>
        <v>1</v>
      </c>
      <c r="W251" s="256" t="s">
        <v>806</v>
      </c>
      <c r="X251" s="256">
        <v>1015</v>
      </c>
      <c r="Y251" s="256">
        <f ca="1">IF(D251="","",IF(T251="","",VLOOKUP(D251,契約台帳!$A$3:$Q$4986,17,FALSE)))</f>
        <v>2</v>
      </c>
      <c r="Z251" s="256" t="str">
        <f ca="1">IF(D251="","",IF(T251="","",VLOOKUP(D251,契約台帳!$A$3:$E$4986,5,FALSE)))</f>
        <v>リンテック㈱</v>
      </c>
      <c r="AA251" s="54"/>
      <c r="AB251" s="200" t="s">
        <v>774</v>
      </c>
      <c r="AC251" s="31"/>
      <c r="AD251" s="184"/>
      <c r="AE251" s="51"/>
      <c r="AF251" s="52"/>
      <c r="AG251" s="41"/>
      <c r="AH251" s="45"/>
      <c r="AI251" s="28"/>
      <c r="AJ251" s="28"/>
      <c r="AK251" s="28"/>
      <c r="AL251" s="28"/>
      <c r="AM251" s="12"/>
      <c r="AN251" s="12"/>
      <c r="AO251" s="12"/>
      <c r="AP251" s="12"/>
      <c r="AQ251" s="12"/>
      <c r="AR251" s="13"/>
      <c r="AS251" s="14"/>
    </row>
    <row r="252" spans="1:45" s="16" customFormat="1" ht="30.95" hidden="1" customHeight="1" x14ac:dyDescent="0.2">
      <c r="A252" s="35"/>
      <c r="B252" s="36"/>
      <c r="C252" s="43"/>
      <c r="D252" s="29"/>
      <c r="E252" s="29"/>
      <c r="F252" s="255" t="str">
        <f>IF(D252="","",VLOOKUP(D252,契約台帳!$A$3:$K$4986,6,FALSE)&amp;VLOOKUP(D252,契約台帳!$A$3:$K$4986,7,FALSE)&amp;VLOOKUP(D252,契約台帳!$A$3:$K$4986,8,FALSE)&amp;VLOOKUP(D252,契約台帳!$A$3:$K$4986,9,FALSE)&amp;VLOOKUP(D252,契約台帳!$A$3:$K$4986,11,FALSE))</f>
        <v/>
      </c>
      <c r="G252" s="256" t="str">
        <f>IF(D252="","",VLOOKUP(F252,製品マスタ!$G$5:$H$4999,2,FALSE))</f>
        <v/>
      </c>
      <c r="H252" s="256" t="str">
        <f>IF(D252="","",VLOOKUP(F252,製品マスタ!$G$5:$K$4999,5,FALSE))</f>
        <v/>
      </c>
      <c r="I252" s="200" t="str">
        <f>IF(D252="","",VLOOKUP(F252,製品マスタ!$G$5:$L$4999,6,FALSE))</f>
        <v/>
      </c>
      <c r="J252" s="203"/>
      <c r="K252" s="200" t="str">
        <f>IF(D252="","",VLOOKUP(D252,契約台帳!$A$3:$L$4986,12,FALSE))</f>
        <v/>
      </c>
      <c r="L252" s="200" t="str">
        <f>IF(D252="","",INDEX(製品マスタ!$Q$5:$Q$4999,MATCH('S4'!F252&amp;'S4'!K252,製品マスタ!$AO$5:$AO$4999,0)))</f>
        <v/>
      </c>
      <c r="M252" s="37"/>
      <c r="N252" s="37"/>
      <c r="O252" s="153"/>
      <c r="P252" s="45"/>
      <c r="Q252" s="54"/>
      <c r="R252" s="257" t="str">
        <f ca="1">IF(D252="","",IF(OFFSET(D252,-1,0)&lt;&gt;"","",IF(OR(J252="リード付け",J252="巻足し",J252="巻返しリード付け"),M252,VLOOKUP(D252,契約台帳!$A$3:$N$4986,14,FALSE))))</f>
        <v/>
      </c>
      <c r="S252" s="258" t="str">
        <f ca="1">IF(D252="","",IF(OFFSET(D252,-1,0)&lt;&gt;"","",IF(OR(J252="リード付け",J252="巻足し",J252="巻返しリード付け"),M252,VLOOKUP(D252,契約台帳!$A$3:$O$4986,15,FALSE))))</f>
        <v/>
      </c>
      <c r="T252" s="258" t="str">
        <f ca="1">IF(D252="","",IF(J252="リード付け",N252,IF(J252="巻返しリード付け",N252,IF(J252="巻足し",N252*P252+OFFSET(N252,1,0)*OFFSET(P252,1,0),VLOOKUP(D252,契約台帳!$A$3:$P$4986,16,FALSE)))))</f>
        <v/>
      </c>
      <c r="U252" s="38"/>
      <c r="V252" s="259" t="str">
        <f ca="1">IF(D252="","",IF(OFFSET(D252,-2,0)=D252,"",VLOOKUP(D252,契約台帳!$A$3:$R$4986,18,FALSE)))</f>
        <v/>
      </c>
      <c r="W252" s="256" t="str">
        <f>IF(D252="","",IF(T252="","",IF(OR(J252="巻足し",J252="巻返しリード付け"),"",IF(J252="巻返し",VLOOKUP(F252&amp;K252&amp;M252,製品マスタ!$M$5:$AD$4999,18,FALSE),IF(OR(J252="リード付け",J252="巻返しリード付け"),"原反コア",IF(J252="スリット",VLOOKUP(F252&amp;K252&amp;R252,製品マスタ!$N$5:$AD$4999,17,FALSE),""))))))</f>
        <v/>
      </c>
      <c r="X252" s="256" t="str">
        <f>IF(D252="","",IF(T252="","",IF(J252="巻足し","",IF(J252="巻返し",VLOOKUP(F252&amp;K252&amp;M252,製品マスタ!$M$5:$AE$4999,19,FALSE),IF(OR(J252="リード付け",J252="巻返しリード付け"),"",IF(J252="スリット",VLOOKUP(F252&amp;K252&amp;R252,製品マスタ!$N$5:$AE$4999,18,FALSE),""))))))</f>
        <v/>
      </c>
      <c r="Y252" s="256" t="str">
        <f>IF(D252="","",IF(T252="","",VLOOKUP(D252,契約台帳!$A$3:$Q$4986,17,FALSE)))</f>
        <v/>
      </c>
      <c r="Z252" s="256" t="str">
        <f>IF(D252="","",IF(T252="","",VLOOKUP(D252,契約台帳!$A$3:$E$4986,5,FALSE)))</f>
        <v/>
      </c>
      <c r="AA252" s="54"/>
      <c r="AB252" s="200" t="str">
        <f>IFERROR((VLOOKUP(F252&amp;K252&amp;M252,製品マスタ!$M$5:$AM$4999,27,FALSE)),"")</f>
        <v/>
      </c>
      <c r="AC252" s="31"/>
      <c r="AD252" s="184"/>
      <c r="AE252" s="51"/>
      <c r="AF252" s="52"/>
      <c r="AG252" s="41"/>
      <c r="AH252" s="45"/>
      <c r="AI252" s="28"/>
      <c r="AJ252" s="28"/>
      <c r="AK252" s="28"/>
      <c r="AL252" s="28"/>
      <c r="AM252" s="12"/>
      <c r="AN252" s="12"/>
      <c r="AO252" s="12"/>
      <c r="AP252" s="12"/>
      <c r="AQ252" s="12"/>
      <c r="AR252" s="13"/>
      <c r="AS252" s="14"/>
    </row>
    <row r="253" spans="1:45" s="16" customFormat="1" ht="30.95" hidden="1" customHeight="1" x14ac:dyDescent="0.2">
      <c r="A253" s="35" t="s">
        <v>885</v>
      </c>
      <c r="B253" s="36" t="s">
        <v>445</v>
      </c>
      <c r="C253" s="43"/>
      <c r="D253" s="29"/>
      <c r="E253" s="29"/>
      <c r="F253" s="255" t="str">
        <f>IF(D253="","",VLOOKUP(D253,契約台帳!$A$3:$K$4986,6,FALSE)&amp;VLOOKUP(D253,契約台帳!$A$3:$K$4986,7,FALSE)&amp;VLOOKUP(D253,契約台帳!$A$3:$K$4986,8,FALSE)&amp;VLOOKUP(D253,契約台帳!$A$3:$K$4986,9,FALSE)&amp;VLOOKUP(D253,契約台帳!$A$3:$K$4986,11,FALSE))</f>
        <v/>
      </c>
      <c r="G253" s="256" t="str">
        <f>IF(D253="","",VLOOKUP(F253,製品マスタ!$G$5:$H$4999,2,FALSE))</f>
        <v/>
      </c>
      <c r="H253" s="256" t="str">
        <f>IF(D253="","",VLOOKUP(F253,製品マスタ!$G$5:$K$4999,5,FALSE))</f>
        <v/>
      </c>
      <c r="I253" s="200" t="str">
        <f>IF(D253="","",VLOOKUP(F253,製品マスタ!$G$5:$L$4999,6,FALSE))</f>
        <v/>
      </c>
      <c r="J253" s="203" t="s">
        <v>448</v>
      </c>
      <c r="K253" s="200" t="str">
        <f>IF(D253="","",VLOOKUP(D253,契約台帳!$A$3:$L$4986,12,FALSE))</f>
        <v/>
      </c>
      <c r="L253" s="200" t="str">
        <f>IF(D253="","",INDEX(製品マスタ!$Q$5:$Q$4999,MATCH('S4'!F253&amp;'S4'!K253,製品マスタ!$AO$5:$AO$4999,0)))</f>
        <v/>
      </c>
      <c r="M253" s="37"/>
      <c r="N253" s="37"/>
      <c r="O253" s="153"/>
      <c r="P253" s="45"/>
      <c r="Q253" s="54"/>
      <c r="R253" s="257" t="str">
        <f ca="1">IF(D253="","",IF(OFFSET(D253,-1,0)&lt;&gt;"","",IF(OR(J253="リード付け",J253="巻足し",J253="巻返しリード付け"),M253,VLOOKUP(D253,契約台帳!$A$3:$N$4986,14,FALSE))))</f>
        <v/>
      </c>
      <c r="S253" s="258" t="str">
        <f ca="1">IF(D253="","",IF(OFFSET(D253,-1,0)&lt;&gt;"","",IF(OR(J253="リード付け",J253="巻足し",J253="巻返しリード付け"),M253,VLOOKUP(D253,契約台帳!$A$3:$O$4986,15,FALSE))))</f>
        <v/>
      </c>
      <c r="T253" s="258" t="str">
        <f ca="1">IF(D253="","",IF(J253="リード付け",N253,IF(J253="巻返しリード付け",N253,IF(J253="巻足し",N253*P253+OFFSET(N253,1,0)*OFFSET(P253,1,0),VLOOKUP(D253,契約台帳!$A$3:$P$4986,16,FALSE)))))</f>
        <v/>
      </c>
      <c r="U253" s="38"/>
      <c r="V253" s="259" t="str">
        <f ca="1">IF(D253="","",IF(OFFSET(D253,-2,0)=D253,"",VLOOKUP(D253,契約台帳!$A$3:$R$4986,18,FALSE)))</f>
        <v/>
      </c>
      <c r="W253" s="256" t="str">
        <f>IF(D253="","",IF(T253="","",IF(OR(J253="巻足し",J253="巻返しリード付け"),"",IF(J253="巻返し",VLOOKUP(F253&amp;K253&amp;M253,製品マスタ!$M$5:$AD$4999,18,FALSE),IF(OR(J253="リード付け",J253="巻返しリード付け"),"原反コア",IF(J253="スリット",VLOOKUP(F253&amp;K253&amp;R253,製品マスタ!$N$5:$AD$4999,17,FALSE),""))))))</f>
        <v/>
      </c>
      <c r="X253" s="256" t="str">
        <f>IF(D253="","",IF(T253="","",IF(J253="巻足し","",IF(J253="巻返し",VLOOKUP(F253&amp;K253&amp;M253,製品マスタ!$M$5:$AE$4999,19,FALSE),IF(OR(J253="リード付け",J253="巻返しリード付け"),"",IF(J253="スリット",VLOOKUP(F253&amp;K253&amp;R253,製品マスタ!$N$5:$AE$4999,18,FALSE),""))))))</f>
        <v/>
      </c>
      <c r="Y253" s="256" t="str">
        <f>IF(D253="","",IF(T253="","",VLOOKUP(D253,契約台帳!$A$3:$Q$4986,17,FALSE)))</f>
        <v/>
      </c>
      <c r="Z253" s="256" t="str">
        <f>IF(D253="","",IF(T253="","",VLOOKUP(D253,契約台帳!$A$3:$E$4986,5,FALSE)))</f>
        <v/>
      </c>
      <c r="AA253" s="54"/>
      <c r="AB253" s="200" t="str">
        <f>IFERROR((VLOOKUP(F253&amp;K253&amp;M253,製品マスタ!$M$5:$AM$4999,27,FALSE)),"")</f>
        <v/>
      </c>
      <c r="AC253" s="31"/>
      <c r="AD253" s="184"/>
      <c r="AE253" s="51"/>
      <c r="AF253" s="52"/>
      <c r="AG253" s="41"/>
      <c r="AH253" s="45"/>
      <c r="AI253" s="28"/>
      <c r="AJ253" s="28"/>
      <c r="AK253" s="28"/>
      <c r="AL253" s="28"/>
      <c r="AM253" s="12"/>
      <c r="AN253" s="12"/>
      <c r="AO253" s="12"/>
      <c r="AP253" s="12"/>
      <c r="AQ253" s="12"/>
      <c r="AR253" s="13"/>
      <c r="AS253" s="14"/>
    </row>
    <row r="254" spans="1:45" s="16" customFormat="1" ht="30.95" hidden="1" customHeight="1" x14ac:dyDescent="0.2">
      <c r="A254" s="35"/>
      <c r="B254" s="36"/>
      <c r="C254" s="43"/>
      <c r="D254" s="29"/>
      <c r="E254" s="29"/>
      <c r="F254" s="255" t="str">
        <f>IF(D254="","",VLOOKUP(D254,契約台帳!$A$3:$K$4986,6,FALSE)&amp;VLOOKUP(D254,契約台帳!$A$3:$K$4986,7,FALSE)&amp;VLOOKUP(D254,契約台帳!$A$3:$K$4986,8,FALSE)&amp;VLOOKUP(D254,契約台帳!$A$3:$K$4986,9,FALSE)&amp;VLOOKUP(D254,契約台帳!$A$3:$K$4986,11,FALSE))</f>
        <v/>
      </c>
      <c r="G254" s="256" t="str">
        <f>IF(D254="","",VLOOKUP(F254,製品マスタ!$G$5:$H$4999,2,FALSE))</f>
        <v/>
      </c>
      <c r="H254" s="256" t="str">
        <f>IF(D254="","",VLOOKUP(F254,製品マスタ!$G$5:$K$4999,5,FALSE))</f>
        <v/>
      </c>
      <c r="I254" s="200" t="str">
        <f>IF(D254="","",VLOOKUP(F254,製品マスタ!$G$5:$L$4999,6,FALSE))</f>
        <v/>
      </c>
      <c r="J254" s="203"/>
      <c r="K254" s="200" t="str">
        <f>IF(D254="","",VLOOKUP(D254,契約台帳!$A$3:$L$4986,12,FALSE))</f>
        <v/>
      </c>
      <c r="L254" s="200" t="str">
        <f>IF(D254="","",INDEX(製品マスタ!$Q$5:$Q$4999,MATCH('S4'!F254&amp;'S4'!K254,製品マスタ!$AO$5:$AO$4999,0)))</f>
        <v/>
      </c>
      <c r="M254" s="37"/>
      <c r="N254" s="37"/>
      <c r="O254" s="153"/>
      <c r="P254" s="45"/>
      <c r="Q254" s="54"/>
      <c r="R254" s="257" t="str">
        <f ca="1">IF(D254="","",IF(OFFSET(D254,-1,0)&lt;&gt;"","",IF(OR(J254="リード付け",J254="巻足し",J254="巻返しリード付け"),M254,VLOOKUP(D254,契約台帳!$A$3:$N$4986,14,FALSE))))</f>
        <v/>
      </c>
      <c r="S254" s="258" t="str">
        <f ca="1">IF(D254="","",IF(OFFSET(D254,-1,0)&lt;&gt;"","",IF(OR(J254="リード付け",J254="巻足し",J254="巻返しリード付け"),M254,VLOOKUP(D254,契約台帳!$A$3:$O$4986,15,FALSE))))</f>
        <v/>
      </c>
      <c r="T254" s="258" t="str">
        <f ca="1">IF(D254="","",IF(J254="リード付け",N254,IF(J254="巻返しリード付け",N254,IF(J254="巻足し",N254*P254+OFFSET(N254,1,0)*OFFSET(P254,1,0),VLOOKUP(D254,契約台帳!$A$3:$P$4986,16,FALSE)))))</f>
        <v/>
      </c>
      <c r="U254" s="38"/>
      <c r="V254" s="259" t="str">
        <f ca="1">IF(D254="","",IF(OFFSET(D254,-2,0)=D254,"",VLOOKUP(D254,契約台帳!$A$3:$R$4986,18,FALSE)))</f>
        <v/>
      </c>
      <c r="W254" s="256" t="str">
        <f>IF(D254="","",IF(T254="","",IF(OR(J254="巻足し",J254="巻返しリード付け"),"",IF(J254="巻返し",VLOOKUP(F254&amp;K254&amp;M254,製品マスタ!$M$5:$AD$4999,18,FALSE),IF(OR(J254="リード付け",J254="巻返しリード付け"),"原反コア",IF(J254="スリット",VLOOKUP(F254&amp;K254&amp;R254,製品マスタ!$N$5:$AD$4999,17,FALSE),""))))))</f>
        <v/>
      </c>
      <c r="X254" s="256" t="str">
        <f>IF(D254="","",IF(T254="","",IF(J254="巻足し","",IF(J254="巻返し",VLOOKUP(F254&amp;K254&amp;M254,製品マスタ!$M$5:$AE$4999,19,FALSE),IF(OR(J254="リード付け",J254="巻返しリード付け"),"",IF(J254="スリット",VLOOKUP(F254&amp;K254&amp;R254,製品マスタ!$N$5:$AE$4999,18,FALSE),""))))))</f>
        <v/>
      </c>
      <c r="Y254" s="256" t="str">
        <f>IF(D254="","",IF(T254="","",VLOOKUP(D254,契約台帳!$A$3:$Q$4986,17,FALSE)))</f>
        <v/>
      </c>
      <c r="Z254" s="256" t="str">
        <f>IF(D254="","",IF(T254="","",VLOOKUP(D254,契約台帳!$A$3:$E$4986,5,FALSE)))</f>
        <v/>
      </c>
      <c r="AA254" s="54"/>
      <c r="AB254" s="200" t="str">
        <f>IFERROR((VLOOKUP(F254&amp;K254&amp;M254,製品マスタ!$M$5:$AM$4999,27,FALSE)),"")</f>
        <v/>
      </c>
      <c r="AC254" s="31"/>
      <c r="AD254" s="184"/>
      <c r="AE254" s="51"/>
      <c r="AF254" s="52"/>
      <c r="AG254" s="41"/>
      <c r="AH254" s="45"/>
      <c r="AI254" s="28"/>
      <c r="AJ254" s="28"/>
      <c r="AK254" s="28"/>
      <c r="AL254" s="28"/>
      <c r="AM254" s="12"/>
      <c r="AN254" s="12"/>
      <c r="AO254" s="12"/>
      <c r="AP254" s="12"/>
      <c r="AQ254" s="12"/>
      <c r="AR254" s="13"/>
      <c r="AS254" s="14"/>
    </row>
    <row r="255" spans="1:45" s="16" customFormat="1" ht="30.95" hidden="1" customHeight="1" x14ac:dyDescent="0.2">
      <c r="A255" s="35" t="s">
        <v>886</v>
      </c>
      <c r="B255" s="36" t="s">
        <v>446</v>
      </c>
      <c r="C255" s="43"/>
      <c r="D255" s="29"/>
      <c r="E255" s="29"/>
      <c r="F255" s="255" t="str">
        <f>IF(D255="","",VLOOKUP(D255,契約台帳!$A$3:$K$4986,6,FALSE)&amp;VLOOKUP(D255,契約台帳!$A$3:$K$4986,7,FALSE)&amp;VLOOKUP(D255,契約台帳!$A$3:$K$4986,8,FALSE)&amp;VLOOKUP(D255,契約台帳!$A$3:$K$4986,9,FALSE)&amp;VLOOKUP(D255,契約台帳!$A$3:$K$4986,11,FALSE))</f>
        <v/>
      </c>
      <c r="G255" s="256" t="str">
        <f>IF(D255="","",VLOOKUP(F255,製品マスタ!$G$5:$H$4999,2,FALSE))</f>
        <v/>
      </c>
      <c r="H255" s="256" t="str">
        <f>IF(D255="","",VLOOKUP(F255,製品マスタ!$G$5:$K$4999,5,FALSE))</f>
        <v/>
      </c>
      <c r="I255" s="200" t="str">
        <f>IF(D255="","",VLOOKUP(F255,製品マスタ!$G$5:$L$4999,6,FALSE))</f>
        <v/>
      </c>
      <c r="J255" s="203" t="s">
        <v>448</v>
      </c>
      <c r="K255" s="200" t="str">
        <f>IF(D255="","",VLOOKUP(D255,契約台帳!$A$3:$L$4986,12,FALSE))</f>
        <v/>
      </c>
      <c r="L255" s="200" t="str">
        <f>IF(D255="","",INDEX(製品マスタ!$Q$5:$Q$4999,MATCH('S4'!F255&amp;'S4'!K255,製品マスタ!$AO$5:$AO$4999,0)))</f>
        <v/>
      </c>
      <c r="M255" s="37"/>
      <c r="N255" s="37"/>
      <c r="O255" s="153"/>
      <c r="P255" s="45"/>
      <c r="Q255" s="54"/>
      <c r="R255" s="257" t="str">
        <f ca="1">IF(D255="","",IF(OFFSET(D255,-1,0)&lt;&gt;"","",IF(OR(J255="リード付け",J255="巻足し",J255="巻返しリード付け"),M255,VLOOKUP(D255,契約台帳!$A$3:$N$4986,14,FALSE))))</f>
        <v/>
      </c>
      <c r="S255" s="258" t="str">
        <f ca="1">IF(D255="","",IF(OFFSET(D255,-1,0)&lt;&gt;"","",IF(OR(J255="リード付け",J255="巻足し",J255="巻返しリード付け"),M255,VLOOKUP(D255,契約台帳!$A$3:$O$4986,15,FALSE))))</f>
        <v/>
      </c>
      <c r="T255" s="258" t="str">
        <f ca="1">IF(D255="","",IF(J255="リード付け",N255,IF(J255="巻返しリード付け",N255,IF(J255="巻足し",N255*P255+OFFSET(N255,1,0)*OFFSET(P255,1,0),VLOOKUP(D255,契約台帳!$A$3:$P$4986,16,FALSE)))))</f>
        <v/>
      </c>
      <c r="U255" s="38"/>
      <c r="V255" s="259" t="str">
        <f ca="1">IF(D255="","",IF(OFFSET(D255,-2,0)=D255,"",VLOOKUP(D255,契約台帳!$A$3:$R$4986,18,FALSE)))</f>
        <v/>
      </c>
      <c r="W255" s="256" t="str">
        <f>IF(D255="","",IF(T255="","",IF(OR(J255="巻足し",J255="巻返しリード付け"),"",IF(J255="巻返し",VLOOKUP(F255&amp;K255&amp;M255,製品マスタ!$M$5:$AD$4999,18,FALSE),IF(OR(J255="リード付け",J255="巻返しリード付け"),"原反コア",IF(J255="スリット",VLOOKUP(F255&amp;K255&amp;R255,製品マスタ!$N$5:$AD$4999,17,FALSE),""))))))</f>
        <v/>
      </c>
      <c r="X255" s="256" t="str">
        <f>IF(D255="","",IF(T255="","",IF(J255="巻足し","",IF(J255="巻返し",VLOOKUP(F255&amp;K255&amp;M255,製品マスタ!$M$5:$AE$4999,19,FALSE),IF(OR(J255="リード付け",J255="巻返しリード付け"),"",IF(J255="スリット",VLOOKUP(F255&amp;K255&amp;R255,製品マスタ!$N$5:$AE$4999,18,FALSE),""))))))</f>
        <v/>
      </c>
      <c r="Y255" s="256" t="str">
        <f>IF(D255="","",IF(T255="","",VLOOKUP(D255,契約台帳!$A$3:$Q$4986,17,FALSE)))</f>
        <v/>
      </c>
      <c r="Z255" s="256" t="str">
        <f>IF(D255="","",IF(T255="","",VLOOKUP(D255,契約台帳!$A$3:$E$4986,5,FALSE)))</f>
        <v/>
      </c>
      <c r="AA255" s="54"/>
      <c r="AB255" s="200" t="str">
        <f>IFERROR((VLOOKUP(F255&amp;K255&amp;M255,製品マスタ!$M$5:$AM$4999,27,FALSE)),"")</f>
        <v/>
      </c>
      <c r="AC255" s="31"/>
      <c r="AD255" s="184"/>
      <c r="AE255" s="51"/>
      <c r="AF255" s="52"/>
      <c r="AG255" s="41"/>
      <c r="AH255" s="45"/>
      <c r="AI255" s="28"/>
      <c r="AJ255" s="28"/>
      <c r="AK255" s="28"/>
      <c r="AL255" s="28"/>
      <c r="AM255" s="12"/>
      <c r="AN255" s="12"/>
      <c r="AO255" s="12"/>
      <c r="AP255" s="12"/>
      <c r="AQ255" s="12"/>
      <c r="AR255" s="13"/>
      <c r="AS255" s="14"/>
    </row>
    <row r="256" spans="1:45" s="16" customFormat="1" ht="30.95" hidden="1" customHeight="1" x14ac:dyDescent="0.2">
      <c r="A256" s="35"/>
      <c r="B256" s="36"/>
      <c r="C256" s="43"/>
      <c r="D256" s="29"/>
      <c r="E256" s="29"/>
      <c r="F256" s="255"/>
      <c r="G256" s="256"/>
      <c r="H256" s="256"/>
      <c r="I256" s="200"/>
      <c r="J256" s="203"/>
      <c r="K256" s="200"/>
      <c r="L256" s="200"/>
      <c r="M256" s="37"/>
      <c r="N256" s="37"/>
      <c r="O256" s="153"/>
      <c r="P256" s="45"/>
      <c r="Q256" s="54"/>
      <c r="R256" s="257"/>
      <c r="S256" s="258"/>
      <c r="T256" s="258"/>
      <c r="U256" s="38"/>
      <c r="V256" s="259"/>
      <c r="W256" s="256"/>
      <c r="X256" s="256"/>
      <c r="Y256" s="256"/>
      <c r="Z256" s="256"/>
      <c r="AA256" s="54"/>
      <c r="AB256" s="200"/>
      <c r="AC256" s="31"/>
      <c r="AD256" s="184"/>
      <c r="AE256" s="51"/>
      <c r="AF256" s="52"/>
      <c r="AG256" s="41"/>
      <c r="AH256" s="45"/>
      <c r="AI256" s="28"/>
      <c r="AJ256" s="28"/>
      <c r="AK256" s="28"/>
      <c r="AL256" s="28"/>
      <c r="AM256" s="12"/>
      <c r="AN256" s="12"/>
      <c r="AO256" s="12"/>
      <c r="AP256" s="12"/>
      <c r="AQ256" s="12"/>
      <c r="AR256" s="13"/>
      <c r="AS256" s="14"/>
    </row>
    <row r="257" spans="1:45" s="16" customFormat="1" ht="30.95" hidden="1" customHeight="1" x14ac:dyDescent="0.2">
      <c r="A257" s="35" t="s">
        <v>901</v>
      </c>
      <c r="B257" s="36" t="s">
        <v>462</v>
      </c>
      <c r="C257" s="43"/>
      <c r="D257" s="29">
        <v>3697680</v>
      </c>
      <c r="E257" s="29">
        <v>4140885</v>
      </c>
      <c r="F257" s="255" t="str">
        <f>IF(D257="","",VLOOKUP(D257,契約台帳!$A$3:$K$4986,6,FALSE)&amp;VLOOKUP(D257,契約台帳!$A$3:$K$4986,7,FALSE)&amp;VLOOKUP(D257,契約台帳!$A$3:$K$4986,8,FALSE)&amp;VLOOKUP(D257,契約台帳!$A$3:$K$4986,9,FALSE)&amp;VLOOKUP(D257,契約台帳!$A$3:$K$4986,11,FALSE))</f>
        <v>3SNMCLBHLGTV</v>
      </c>
      <c r="G257" s="256" t="str">
        <f>IF(D257="","",VLOOKUP(F257,製品マスタ!$G$5:$H$4999,2,FALSE))</f>
        <v>S</v>
      </c>
      <c r="H257" s="256" t="str">
        <f>IF(D257="","",VLOOKUP(F257,製品マスタ!$G$5:$K$4999,5,FALSE))</f>
        <v>HLGTV</v>
      </c>
      <c r="I257" s="200" t="str">
        <f>IF(D257="","",VLOOKUP(F257,製品マスタ!$G$5:$L$4999,6,FALSE))</f>
        <v>メタルミー　ヘヤライン　銀艶Ｖ</v>
      </c>
      <c r="J257" s="203" t="s">
        <v>907</v>
      </c>
      <c r="K257" s="200">
        <f>IF(D257="","",VLOOKUP(D257,契約台帳!$A$3:$L$4986,12,FALSE))</f>
        <v>50</v>
      </c>
      <c r="L257" s="200" t="str">
        <f>IF(D257="","",INDEX(製品マスタ!$Q$5:$Q$4999,MATCH('S4'!F257&amp;'S4'!K257,製品マスタ!$AO$5:$AO$4999,0)))</f>
        <v>BRIGHT</v>
      </c>
      <c r="M257" s="37">
        <v>1125</v>
      </c>
      <c r="N257" s="37">
        <v>12300</v>
      </c>
      <c r="O257" s="153">
        <v>2</v>
      </c>
      <c r="P257" s="45">
        <v>2</v>
      </c>
      <c r="Q257" s="54">
        <v>44974</v>
      </c>
      <c r="R257" s="257">
        <f ca="1">IF(D257="","",IF(OFFSET(D257,-1,0)&lt;&gt;"","",IF(OR(J257="リード付け",J257="巻足し",J257="巻返しリード付け"),M257,VLOOKUP(D257,契約台帳!$A$3:$N$4986,14,FALSE))))</f>
        <v>1125</v>
      </c>
      <c r="S257" s="258">
        <f ca="1">IF(D257="","",IF(OFFSET(D257,-1,0)&lt;&gt;"","",IF(OR(J257="リード付け",J257="巻足し",J257="巻返しリード付け"),M257,VLOOKUP(D257,契約台帳!$A$3:$O$4986,15,FALSE))))</f>
        <v>1120</v>
      </c>
      <c r="T257" s="258">
        <f ca="1">IF(D257="","",IF(J257="リード付け",N257,IF(J257="巻返しリード付け",N257,IF(J257="巻足し",N257*P257+OFFSET(N257,1,0)*OFFSET(P257,1,0),VLOOKUP(D257,契約台帳!$A$3:$P$4986,16,FALSE)))))</f>
        <v>4000</v>
      </c>
      <c r="U257" s="38">
        <v>6</v>
      </c>
      <c r="V257" s="259">
        <f ca="1">IF(D257="","",IF(OFFSET(D257,-2,0)=D257,"",VLOOKUP(D257,契約台帳!$A$3:$R$4986,18,FALSE)))</f>
        <v>10</v>
      </c>
      <c r="W257" s="256" t="str">
        <f ca="1">IF(D257="","",IF(T257="","",IF(OR(J257="巻足し",J257="巻返しリード付け"),"",IF(J257="巻返し",VLOOKUP(F257&amp;K257&amp;M257,製品マスタ!$M$5:$AD$4999,18,FALSE),IF(OR(J257="リード付け",J257="巻返しリード付け"),"原反コア",IF(J257="スリット",VLOOKUP(F257&amp;K257&amp;R257,製品マスタ!$N$5:$AD$4999,17,FALSE),""))))))</f>
        <v>6ｲﾝﾁSｺｱ</v>
      </c>
      <c r="X257" s="256">
        <f ca="1">IF(D257="","",IF(T257="","",IF(J257="巻足し","",IF(J257="巻返し",VLOOKUP(F257&amp;K257&amp;M257,製品マスタ!$M$5:$AE$4999,19,FALSE),IF(OR(J257="リード付け",J257="巻返しリード付け"),"",IF(J257="スリット",VLOOKUP(F257&amp;K257&amp;R257,製品マスタ!$N$5:$AE$4999,18,FALSE),""))))))</f>
        <v>1140</v>
      </c>
      <c r="Y257" s="256">
        <f ca="1">IF(D257="","",IF(T257="","",VLOOKUP(D257,契約台帳!$A$3:$Q$4986,17,FALSE)))</f>
        <v>2</v>
      </c>
      <c r="Z257" s="256" t="str">
        <f ca="1">IF(D257="","",IF(T257="","",VLOOKUP(D257,契約台帳!$A$3:$E$4986,5,FALSE)))</f>
        <v>リンテック㈱</v>
      </c>
      <c r="AA257" s="54"/>
      <c r="AB257" s="200">
        <f>IFERROR((VLOOKUP(F257&amp;K257&amp;M257,製品マスタ!$M$5:$AM$4999,27,FALSE)),"")</f>
        <v>0</v>
      </c>
      <c r="AC257" s="31"/>
      <c r="AD257" s="184"/>
      <c r="AE257" s="51"/>
      <c r="AF257" s="52"/>
      <c r="AG257" s="41"/>
      <c r="AH257" s="45"/>
      <c r="AI257" s="28"/>
      <c r="AJ257" s="28"/>
      <c r="AK257" s="28"/>
      <c r="AL257" s="28"/>
      <c r="AM257" s="12"/>
      <c r="AN257" s="12"/>
      <c r="AO257" s="12"/>
      <c r="AP257" s="12"/>
      <c r="AQ257" s="12"/>
      <c r="AR257" s="13"/>
      <c r="AS257" s="14"/>
    </row>
    <row r="258" spans="1:45" s="16" customFormat="1" ht="30.95" hidden="1" customHeight="1" x14ac:dyDescent="0.2">
      <c r="A258" s="35"/>
      <c r="B258" s="36"/>
      <c r="C258" s="43"/>
      <c r="D258" s="29"/>
      <c r="E258" s="29"/>
      <c r="F258" s="255" t="str">
        <f>IF(D258="","",VLOOKUP(D258,契約台帳!$A$3:$K$4986,6,FALSE)&amp;VLOOKUP(D258,契約台帳!$A$3:$K$4986,7,FALSE)&amp;VLOOKUP(D258,契約台帳!$A$3:$K$4986,8,FALSE)&amp;VLOOKUP(D258,契約台帳!$A$3:$K$4986,9,FALSE)&amp;VLOOKUP(D258,契約台帳!$A$3:$K$4986,11,FALSE))</f>
        <v/>
      </c>
      <c r="G258" s="256" t="str">
        <f>IF(D258="","",VLOOKUP(F258,製品マスタ!$G$5:$H$4999,2,FALSE))</f>
        <v/>
      </c>
      <c r="H258" s="256" t="str">
        <f>IF(D258="","",VLOOKUP(F258,製品マスタ!$G$5:$K$4999,5,FALSE))</f>
        <v/>
      </c>
      <c r="I258" s="200" t="str">
        <f>IF(D258="","",VLOOKUP(F258,製品マスタ!$G$5:$L$4999,6,FALSE))</f>
        <v/>
      </c>
      <c r="J258" s="203"/>
      <c r="K258" s="200" t="str">
        <f>IF(D258="","",VLOOKUP(D258,契約台帳!$A$3:$L$4986,12,FALSE))</f>
        <v/>
      </c>
      <c r="L258" s="200" t="str">
        <f>IF(D258="","",INDEX(製品マスタ!$Q$5:$Q$4999,MATCH('S4'!F258&amp;'S4'!K258,製品マスタ!$AO$5:$AO$4999,0)))</f>
        <v/>
      </c>
      <c r="M258" s="37"/>
      <c r="N258" s="37"/>
      <c r="O258" s="153"/>
      <c r="P258" s="45"/>
      <c r="Q258" s="54"/>
      <c r="R258" s="257" t="str">
        <f ca="1">IF(D258="","",IF(OFFSET(D258,-1,0)&lt;&gt;"","",IF(OR(J258="リード付け",J258="巻足し",J258="巻返しリード付け"),M258,VLOOKUP(D258,契約台帳!$A$3:$N$4986,14,FALSE))))</f>
        <v/>
      </c>
      <c r="S258" s="258" t="str">
        <f ca="1">IF(D258="","",IF(OFFSET(D258,-1,0)&lt;&gt;"","",IF(OR(J258="リード付け",J258="巻足し",J258="巻返しリード付け"),M258,VLOOKUP(D258,契約台帳!$A$3:$O$4986,15,FALSE))))</f>
        <v/>
      </c>
      <c r="T258" s="258" t="str">
        <f ca="1">IF(D258="","",IF(J258="リード付け",N258,IF(J258="巻返しリード付け",N258,IF(J258="巻足し",N258*P258+OFFSET(N258,1,0)*OFFSET(P258,1,0),VLOOKUP(D258,契約台帳!$A$3:$P$4986,16,FALSE)))))</f>
        <v/>
      </c>
      <c r="U258" s="38"/>
      <c r="V258" s="259" t="str">
        <f ca="1">IF(D258="","",IF(OFFSET(D258,-2,0)=D258,"",VLOOKUP(D258,契約台帳!$A$3:$R$4986,18,FALSE)))</f>
        <v/>
      </c>
      <c r="W258" s="256" t="str">
        <f>IF(D258="","",IF(T258="","",IF(OR(J258="巻足し",J258="巻返しリード付け"),"",IF(J258="巻返し",VLOOKUP(F258&amp;K258&amp;M258,製品マスタ!$M$5:$AD$4999,18,FALSE),IF(OR(J258="リード付け",J258="巻返しリード付け"),"原反コア",IF(J258="スリット",VLOOKUP(F258&amp;K258&amp;R258,製品マスタ!$N$5:$AD$4999,17,FALSE),""))))))</f>
        <v/>
      </c>
      <c r="X258" s="256" t="str">
        <f>IF(D258="","",IF(T258="","",IF(J258="巻足し","",IF(J258="巻返し",VLOOKUP(F258&amp;K258&amp;M258,製品マスタ!$M$5:$AE$4999,19,FALSE),IF(OR(J258="リード付け",J258="巻返しリード付け"),"",IF(J258="スリット",VLOOKUP(F258&amp;K258&amp;R258,製品マスタ!$N$5:$AE$4999,18,FALSE),""))))))</f>
        <v/>
      </c>
      <c r="Y258" s="256" t="str">
        <f>IF(D258="","",IF(T258="","",VLOOKUP(D258,契約台帳!$A$3:$Q$4986,17,FALSE)))</f>
        <v/>
      </c>
      <c r="Z258" s="256" t="str">
        <f>IF(D258="","",IF(T258="","",VLOOKUP(D258,契約台帳!$A$3:$E$4986,5,FALSE)))</f>
        <v/>
      </c>
      <c r="AA258" s="54"/>
      <c r="AB258" s="200" t="str">
        <f>IFERROR((VLOOKUP(F258&amp;K258&amp;M258,製品マスタ!$M$5:$AM$4999,27,FALSE)),"")</f>
        <v/>
      </c>
      <c r="AC258" s="31"/>
      <c r="AD258" s="184"/>
      <c r="AE258" s="51"/>
      <c r="AF258" s="52"/>
      <c r="AG258" s="41"/>
      <c r="AH258" s="45"/>
      <c r="AI258" s="28"/>
      <c r="AJ258" s="28"/>
      <c r="AK258" s="28"/>
      <c r="AL258" s="28"/>
      <c r="AM258" s="12"/>
      <c r="AN258" s="12"/>
      <c r="AO258" s="12"/>
      <c r="AP258" s="12"/>
      <c r="AQ258" s="12"/>
      <c r="AR258" s="13"/>
      <c r="AS258" s="14"/>
    </row>
    <row r="259" spans="1:45" s="16" customFormat="1" ht="30.95" hidden="1" customHeight="1" x14ac:dyDescent="0.2">
      <c r="A259" s="35"/>
      <c r="B259" s="36"/>
      <c r="C259" s="43"/>
      <c r="D259" s="29">
        <v>3697680</v>
      </c>
      <c r="E259" s="29">
        <v>4140885</v>
      </c>
      <c r="F259" s="255" t="str">
        <f>IF(D259="","",VLOOKUP(D259,契約台帳!$A$3:$K$4986,6,FALSE)&amp;VLOOKUP(D259,契約台帳!$A$3:$K$4986,7,FALSE)&amp;VLOOKUP(D259,契約台帳!$A$3:$K$4986,8,FALSE)&amp;VLOOKUP(D259,契約台帳!$A$3:$K$4986,9,FALSE)&amp;VLOOKUP(D259,契約台帳!$A$3:$K$4986,11,FALSE))</f>
        <v>3SNMCLBHLGTV</v>
      </c>
      <c r="G259" s="256" t="str">
        <f>IF(D259="","",VLOOKUP(F259,製品マスタ!$G$5:$H$4999,2,FALSE))</f>
        <v>S</v>
      </c>
      <c r="H259" s="256" t="str">
        <f>IF(D259="","",VLOOKUP(F259,製品マスタ!$G$5:$K$4999,5,FALSE))</f>
        <v>HLGTV</v>
      </c>
      <c r="I259" s="200" t="str">
        <f>IF(D259="","",VLOOKUP(F259,製品マスタ!$G$5:$L$4999,6,FALSE))</f>
        <v>メタルミー　ヘヤライン　銀艶Ｖ</v>
      </c>
      <c r="J259" s="203" t="s">
        <v>907</v>
      </c>
      <c r="K259" s="200">
        <f>IF(D259="","",VLOOKUP(D259,契約台帳!$A$3:$L$4986,12,FALSE))</f>
        <v>50</v>
      </c>
      <c r="L259" s="200" t="str">
        <f>IF(D259="","",INDEX(製品マスタ!$Q$5:$Q$4999,MATCH('S4'!F259&amp;'S4'!K259,製品マスタ!$AO$5:$AO$4999,0)))</f>
        <v>BRIGHT</v>
      </c>
      <c r="M259" s="37">
        <v>1125</v>
      </c>
      <c r="N259" s="37">
        <v>8200</v>
      </c>
      <c r="O259" s="153">
        <v>2</v>
      </c>
      <c r="P259" s="45">
        <v>2</v>
      </c>
      <c r="Q259" s="54">
        <v>44974</v>
      </c>
      <c r="R259" s="257">
        <f ca="1">IF(D259="","",IF(OFFSET(D259,-1,0)&lt;&gt;"","",IF(OR(J259="リード付け",J259="巻足し",J259="巻返しリード付け"),M259,VLOOKUP(D259,契約台帳!$A$3:$N$4986,14,FALSE))))</f>
        <v>1125</v>
      </c>
      <c r="S259" s="258">
        <f ca="1">IF(D259="","",IF(OFFSET(D259,-1,0)&lt;&gt;"","",IF(OR(J259="リード付け",J259="巻足し",J259="巻返しリード付け"),M259,VLOOKUP(D259,契約台帳!$A$3:$O$4986,15,FALSE))))</f>
        <v>1120</v>
      </c>
      <c r="T259" s="258">
        <f ca="1">IF(D259="","",IF(J259="リード付け",N259,IF(J259="巻返しリード付け",N259,IF(J259="巻足し",N259*P259+OFFSET(N259,1,0)*OFFSET(P259,1,0),VLOOKUP(D259,契約台帳!$A$3:$P$4986,16,FALSE)))))</f>
        <v>4000</v>
      </c>
      <c r="U259" s="38">
        <v>4</v>
      </c>
      <c r="V259" s="259" t="str">
        <f ca="1">IF(D259="","",IF(OFFSET(D259,-2,0)=D259,"",VLOOKUP(D259,契約台帳!$A$3:$R$4986,18,FALSE)))</f>
        <v/>
      </c>
      <c r="W259" s="256" t="str">
        <f ca="1">IF(D259="","",IF(T259="","",IF(OR(J259="巻足し",J259="巻返しリード付け"),"",IF(J259="巻返し",VLOOKUP(F259&amp;K259&amp;M259,製品マスタ!$M$5:$AD$4999,18,FALSE),IF(OR(J259="リード付け",J259="巻返しリード付け"),"原反コア",IF(J259="スリット",VLOOKUP(F259&amp;K259&amp;R259,製品マスタ!$N$5:$AD$4999,17,FALSE),""))))))</f>
        <v>6ｲﾝﾁSｺｱ</v>
      </c>
      <c r="X259" s="256">
        <f ca="1">IF(D259="","",IF(T259="","",IF(J259="巻足し","",IF(J259="巻返し",VLOOKUP(F259&amp;K259&amp;M259,製品マスタ!$M$5:$AE$4999,19,FALSE),IF(OR(J259="リード付け",J259="巻返しリード付け"),"",IF(J259="スリット",VLOOKUP(F259&amp;K259&amp;R259,製品マスタ!$N$5:$AE$4999,18,FALSE),""))))))</f>
        <v>1140</v>
      </c>
      <c r="Y259" s="256">
        <f ca="1">IF(D259="","",IF(T259="","",VLOOKUP(D259,契約台帳!$A$3:$Q$4986,17,FALSE)))</f>
        <v>2</v>
      </c>
      <c r="Z259" s="256" t="str">
        <f ca="1">IF(D259="","",IF(T259="","",VLOOKUP(D259,契約台帳!$A$3:$E$4986,5,FALSE)))</f>
        <v>リンテック㈱</v>
      </c>
      <c r="AA259" s="54"/>
      <c r="AB259" s="200">
        <f>IFERROR((VLOOKUP(F259&amp;K259&amp;M259,製品マスタ!$M$5:$AM$4999,27,FALSE)),"")</f>
        <v>0</v>
      </c>
      <c r="AC259" s="31"/>
      <c r="AD259" s="184"/>
      <c r="AE259" s="51"/>
      <c r="AF259" s="52"/>
      <c r="AG259" s="41"/>
      <c r="AH259" s="45"/>
      <c r="AI259" s="28"/>
      <c r="AJ259" s="28"/>
      <c r="AK259" s="28"/>
      <c r="AL259" s="28"/>
      <c r="AM259" s="12"/>
      <c r="AN259" s="12"/>
      <c r="AO259" s="12"/>
      <c r="AP259" s="12"/>
      <c r="AQ259" s="12"/>
      <c r="AR259" s="13"/>
      <c r="AS259" s="14"/>
    </row>
    <row r="260" spans="1:45" s="16" customFormat="1" ht="30.95" hidden="1" customHeight="1" x14ac:dyDescent="0.2">
      <c r="A260" s="35"/>
      <c r="B260" s="36"/>
      <c r="C260" s="43"/>
      <c r="D260" s="29"/>
      <c r="E260" s="29"/>
      <c r="F260" s="255" t="str">
        <f>IF(D260="","",VLOOKUP(D260,契約台帳!$A$3:$K$4986,6,FALSE)&amp;VLOOKUP(D260,契約台帳!$A$3:$K$4986,7,FALSE)&amp;VLOOKUP(D260,契約台帳!$A$3:$K$4986,8,FALSE)&amp;VLOOKUP(D260,契約台帳!$A$3:$K$4986,9,FALSE)&amp;VLOOKUP(D260,契約台帳!$A$3:$K$4986,11,FALSE))</f>
        <v/>
      </c>
      <c r="G260" s="256" t="str">
        <f>IF(D260="","",VLOOKUP(F260,製品マスタ!$G$5:$H$4999,2,FALSE))</f>
        <v/>
      </c>
      <c r="H260" s="256" t="str">
        <f>IF(D260="","",VLOOKUP(F260,製品マスタ!$G$5:$K$4999,5,FALSE))</f>
        <v/>
      </c>
      <c r="I260" s="200" t="str">
        <f>IF(D260="","",VLOOKUP(F260,製品マスタ!$G$5:$L$4999,6,FALSE))</f>
        <v/>
      </c>
      <c r="J260" s="203"/>
      <c r="K260" s="200" t="str">
        <f>IF(D260="","",VLOOKUP(D260,契約台帳!$A$3:$L$4986,12,FALSE))</f>
        <v/>
      </c>
      <c r="L260" s="200" t="str">
        <f>IF(D260="","",INDEX(製品マスタ!$Q$5:$Q$4999,MATCH('S4'!F260&amp;'S4'!K260,製品マスタ!$AO$5:$AO$4999,0)))</f>
        <v/>
      </c>
      <c r="M260" s="37"/>
      <c r="N260" s="37"/>
      <c r="O260" s="153"/>
      <c r="P260" s="45"/>
      <c r="Q260" s="54"/>
      <c r="R260" s="257" t="str">
        <f ca="1">IF(D260="","",IF(OFFSET(D260,-1,0)&lt;&gt;"","",IF(OR(J260="リード付け",J260="巻足し",J260="巻返しリード付け"),M260,VLOOKUP(D260,契約台帳!$A$3:$N$4986,14,FALSE))))</f>
        <v/>
      </c>
      <c r="S260" s="258" t="str">
        <f ca="1">IF(D260="","",IF(OFFSET(D260,-1,0)&lt;&gt;"","",IF(OR(J260="リード付け",J260="巻足し",J260="巻返しリード付け"),M260,VLOOKUP(D260,契約台帳!$A$3:$O$4986,15,FALSE))))</f>
        <v/>
      </c>
      <c r="T260" s="258" t="str">
        <f ca="1">IF(D260="","",IF(J260="リード付け",N260,IF(J260="巻返しリード付け",N260,IF(J260="巻足し",N260*P260+OFFSET(N260,1,0)*OFFSET(P260,1,0),VLOOKUP(D260,契約台帳!$A$3:$P$4986,16,FALSE)))))</f>
        <v/>
      </c>
      <c r="U260" s="38"/>
      <c r="V260" s="259" t="str">
        <f ca="1">IF(D260="","",IF(OFFSET(D260,-2,0)=D260,"",VLOOKUP(D260,契約台帳!$A$3:$R$4986,18,FALSE)))</f>
        <v/>
      </c>
      <c r="W260" s="256" t="str">
        <f>IF(D260="","",IF(T260="","",IF(OR(J260="巻足し",J260="巻返しリード付け"),"",IF(J260="巻返し",VLOOKUP(F260&amp;K260&amp;M260,製品マスタ!$M$5:$AD$4999,18,FALSE),IF(OR(J260="リード付け",J260="巻返しリード付け"),"原反コア",IF(J260="スリット",VLOOKUP(F260&amp;K260&amp;R260,製品マスタ!$N$5:$AD$4999,17,FALSE),""))))))</f>
        <v/>
      </c>
      <c r="X260" s="256" t="str">
        <f>IF(D260="","",IF(T260="","",IF(J260="巻足し","",IF(J260="巻返し",VLOOKUP(F260&amp;K260&amp;M260,製品マスタ!$M$5:$AE$4999,19,FALSE),IF(OR(J260="リード付け",J260="巻返しリード付け"),"",IF(J260="スリット",VLOOKUP(F260&amp;K260&amp;R260,製品マスタ!$N$5:$AE$4999,18,FALSE),""))))))</f>
        <v/>
      </c>
      <c r="Y260" s="256" t="str">
        <f>IF(D260="","",IF(T260="","",VLOOKUP(D260,契約台帳!$A$3:$Q$4986,17,FALSE)))</f>
        <v/>
      </c>
      <c r="Z260" s="256" t="str">
        <f>IF(D260="","",IF(T260="","",VLOOKUP(D260,契約台帳!$A$3:$E$4986,5,FALSE)))</f>
        <v/>
      </c>
      <c r="AA260" s="54"/>
      <c r="AB260" s="200" t="str">
        <f>IFERROR((VLOOKUP(F260&amp;K260&amp;M260,製品マスタ!$M$5:$AM$4999,27,FALSE)),"")</f>
        <v/>
      </c>
      <c r="AC260" s="31"/>
      <c r="AD260" s="184"/>
      <c r="AE260" s="51"/>
      <c r="AF260" s="52"/>
      <c r="AG260" s="41"/>
      <c r="AH260" s="45"/>
      <c r="AI260" s="28"/>
      <c r="AJ260" s="28"/>
      <c r="AK260" s="28"/>
      <c r="AL260" s="28"/>
      <c r="AM260" s="12"/>
      <c r="AN260" s="12"/>
      <c r="AO260" s="12"/>
      <c r="AP260" s="12"/>
      <c r="AQ260" s="12"/>
      <c r="AR260" s="13"/>
      <c r="AS260" s="14"/>
    </row>
    <row r="261" spans="1:45" s="16" customFormat="1" ht="30.95" hidden="1" customHeight="1" x14ac:dyDescent="0.2">
      <c r="A261" s="35" t="s">
        <v>915</v>
      </c>
      <c r="B261" s="36" t="s">
        <v>916</v>
      </c>
      <c r="C261" s="43"/>
      <c r="D261" s="29">
        <v>3697670</v>
      </c>
      <c r="E261" s="29">
        <v>4151285</v>
      </c>
      <c r="F261" s="255" t="str">
        <f>IF(D261="","",VLOOKUP(D261,契約台帳!$A$3:$K$4986,6,FALSE)&amp;VLOOKUP(D261,契約台帳!$A$3:$K$4986,7,FALSE)&amp;VLOOKUP(D261,契約台帳!$A$3:$K$4986,8,FALSE)&amp;VLOOKUP(D261,契約台帳!$A$3:$K$4986,9,FALSE)&amp;VLOOKUP(D261,契約台帳!$A$3:$K$4986,11,FALSE))</f>
        <v>3SNMLBMNNGKBF</v>
      </c>
      <c r="G261" s="256" t="str">
        <f>IF(D261="","",VLOOKUP(F261,製品マスタ!$G$5:$H$4999,2,FALSE))</f>
        <v>S</v>
      </c>
      <c r="H261" s="256" t="str">
        <f>IF(D261="","",VLOOKUP(F261,製品マスタ!$G$5:$K$4999,5,FALSE))</f>
        <v>MNNGKBF</v>
      </c>
      <c r="I261" s="200" t="str">
        <f>IF(D261="","",VLOOKUP(F261,製品マスタ!$G$5:$L$4999,6,FALSE))</f>
        <v>メタルミー　ニューネーマー銀消　Ｂ</v>
      </c>
      <c r="J261" s="203" t="s">
        <v>447</v>
      </c>
      <c r="K261" s="200">
        <f>IF(D261="","",VLOOKUP(D261,契約台帳!$A$3:$L$4986,12,FALSE))</f>
        <v>50</v>
      </c>
      <c r="L261" s="200" t="str">
        <f>IF(D261="","",INDEX(製品マスタ!$Q$5:$Q$4999,MATCH('S4'!F261&amp;'S4'!K261,製品マスタ!$AO$5:$AO$4999,0)))</f>
        <v>X44</v>
      </c>
      <c r="M261" s="37">
        <v>1000</v>
      </c>
      <c r="N261" s="37">
        <v>12000</v>
      </c>
      <c r="O261" s="153">
        <v>5</v>
      </c>
      <c r="P261" s="45">
        <v>5</v>
      </c>
      <c r="Q261" s="54">
        <v>44975</v>
      </c>
      <c r="R261" s="257">
        <f ca="1">IF(D261="","",IF(OFFSET(D261,-1,0)&lt;&gt;"","",IF(OR(J261="リード付け",J261="巻足し",J261="巻返しリード付け"),M261,VLOOKUP(D261,契約台帳!$A$3:$N$4986,14,FALSE))))</f>
        <v>1000</v>
      </c>
      <c r="S261" s="258">
        <f ca="1">IF(D261="","",IF(OFFSET(D261,-1,0)&lt;&gt;"","",IF(OR(J261="リード付け",J261="巻足し",J261="巻返しリード付け"),M261,VLOOKUP(D261,契約台帳!$A$3:$O$4986,15,FALSE))))</f>
        <v>1000</v>
      </c>
      <c r="T261" s="258">
        <f ca="1">IF(D261="","",IF(J261="リード付け",N261,IF(J261="巻返しリード付け",N261,IF(J261="巻足し",N261*P261+OFFSET(N261,1,0)*OFFSET(P261,1,0),VLOOKUP(D261,契約台帳!$A$3:$P$4986,16,FALSE)))))</f>
        <v>4000</v>
      </c>
      <c r="U261" s="38">
        <v>15</v>
      </c>
      <c r="V261" s="259">
        <f ca="1">IF(D261="","",IF(OFFSET(D261,-2,0)=D261,"",VLOOKUP(D261,契約台帳!$A$3:$R$4986,18,FALSE)))</f>
        <v>15</v>
      </c>
      <c r="W261" s="256" t="str">
        <f ca="1">IF(D261="","",IF(T261="","",IF(OR(J261="巻足し",J261="巻返しリード付け"),"",IF(J261="巻返し",VLOOKUP(F261&amp;K261&amp;M261,製品マスタ!$M$5:$AD$4999,18,FALSE),IF(OR(J261="リード付け",J261="巻返しリード付け"),"原反コア",IF(J261="スリット",VLOOKUP(F261&amp;K261&amp;R261,製品マスタ!$N$5:$AD$4999,17,FALSE),""))))))</f>
        <v>6ｲﾝﾁSｺｱ</v>
      </c>
      <c r="X261" s="256">
        <f ca="1">IF(D261="","",IF(T261="","",IF(J261="巻足し","",IF(J261="巻返し",VLOOKUP(F261&amp;K261&amp;M261,製品マスタ!$M$5:$AE$4999,19,FALSE),IF(OR(J261="リード付け",J261="巻返しリード付け"),"",IF(J261="スリット",VLOOKUP(F261&amp;K261&amp;R261,製品マスタ!$N$5:$AE$4999,18,FALSE),""))))))</f>
        <v>1005</v>
      </c>
      <c r="Y261" s="256">
        <f ca="1">IF(D261="","",IF(T261="","",VLOOKUP(D261,契約台帳!$A$3:$Q$4986,17,FALSE)))</f>
        <v>2</v>
      </c>
      <c r="Z261" s="256" t="str">
        <f ca="1">IF(D261="","",IF(T261="","",VLOOKUP(D261,契約台帳!$A$3:$E$4986,5,FALSE)))</f>
        <v>リンテック㈱</v>
      </c>
      <c r="AA261" s="54"/>
      <c r="AB261" s="200" t="str">
        <f>IFERROR((VLOOKUP(F261&amp;K261&amp;M261,製品マスタ!$M$5:$AM$4999,27,FALSE)),"")</f>
        <v>原反ケース再利用</v>
      </c>
      <c r="AC261" s="31"/>
      <c r="AD261" s="184"/>
      <c r="AE261" s="51" t="str">
        <f>IF(F261="","",+F261&amp;K261)</f>
        <v>3SNMLBMNNGKBF50</v>
      </c>
      <c r="AF261" s="52">
        <f>+M261*N261*O261/1000</f>
        <v>60000</v>
      </c>
      <c r="AG261" s="41">
        <f>IF(AE261="","",VLOOKUP(AE261,原価マスタ!$A$2:$AJ$1693,13,FALSE))</f>
        <v>99</v>
      </c>
      <c r="AH261" s="45">
        <f>IF(AG261="","",+AF261*AG261/100)</f>
        <v>59400</v>
      </c>
      <c r="AI261" s="28"/>
      <c r="AJ261" s="28"/>
      <c r="AK261" s="28"/>
      <c r="AL261" s="28"/>
      <c r="AM261" s="12"/>
      <c r="AN261" s="12"/>
      <c r="AO261" s="12"/>
      <c r="AP261" s="12"/>
      <c r="AQ261" s="12"/>
      <c r="AR261" s="13"/>
      <c r="AS261" s="14"/>
    </row>
    <row r="262" spans="1:45" s="16" customFormat="1" ht="30.95" hidden="1" customHeight="1" x14ac:dyDescent="0.2">
      <c r="A262" s="35"/>
      <c r="B262" s="36"/>
      <c r="C262" s="43"/>
      <c r="D262" s="29"/>
      <c r="E262" s="29"/>
      <c r="F262" s="255" t="str">
        <f>IF(D262="","",VLOOKUP(D262,契約台帳!$A$3:$K$4986,6,FALSE)&amp;VLOOKUP(D262,契約台帳!$A$3:$K$4986,7,FALSE)&amp;VLOOKUP(D262,契約台帳!$A$3:$K$4986,8,FALSE)&amp;VLOOKUP(D262,契約台帳!$A$3:$K$4986,9,FALSE)&amp;VLOOKUP(D262,契約台帳!$A$3:$K$4986,11,FALSE))</f>
        <v/>
      </c>
      <c r="G262" s="256" t="str">
        <f>IF(D262="","",VLOOKUP(F262,製品マスタ!$G$5:$H$4999,2,FALSE))</f>
        <v/>
      </c>
      <c r="H262" s="256" t="str">
        <f>IF(D262="","",VLOOKUP(F262,製品マスタ!$G$5:$K$4999,5,FALSE))</f>
        <v/>
      </c>
      <c r="I262" s="280" t="s">
        <v>931</v>
      </c>
      <c r="J262" s="203"/>
      <c r="K262" s="200" t="str">
        <f>IF(D262="","",VLOOKUP(D262,契約台帳!$A$3:$L$4986,12,FALSE))</f>
        <v/>
      </c>
      <c r="L262" s="200" t="str">
        <f>IF(D262="","",INDEX(製品マスタ!$Q$5:$Q$4999,MATCH('S4'!F262&amp;'S4'!K262,製品マスタ!$AO$5:$AO$4999,0)))</f>
        <v/>
      </c>
      <c r="M262" s="37"/>
      <c r="N262" s="37"/>
      <c r="O262" s="153"/>
      <c r="P262" s="45"/>
      <c r="Q262" s="54"/>
      <c r="R262" s="257" t="str">
        <f ca="1">IF(D262="","",IF(OFFSET(D262,-1,0)&lt;&gt;"","",IF(OR(J262="リード付け",J262="巻足し",J262="巻返しリード付け"),M262,VLOOKUP(D262,契約台帳!$A$3:$N$4986,14,FALSE))))</f>
        <v/>
      </c>
      <c r="S262" s="258" t="str">
        <f ca="1">IF(D262="","",IF(OFFSET(D262,-1,0)&lt;&gt;"","",IF(OR(J262="リード付け",J262="巻足し",J262="巻返しリード付け"),M262,VLOOKUP(D262,契約台帳!$A$3:$O$4986,15,FALSE))))</f>
        <v/>
      </c>
      <c r="T262" s="258" t="str">
        <f ca="1">IF(D262="","",IF(J262="リード付け",N262,IF(J262="巻返しリード付け",N262,IF(J262="巻足し",N262*P262+OFFSET(N262,1,0)*OFFSET(P262,1,0),VLOOKUP(D262,契約台帳!$A$3:$P$4986,16,FALSE)))))</f>
        <v/>
      </c>
      <c r="U262" s="38"/>
      <c r="V262" s="259" t="str">
        <f ca="1">IF(D262="","",IF(OFFSET(D262,-2,0)=D262,"",VLOOKUP(D262,契約台帳!$A$3:$R$4986,18,FALSE)))</f>
        <v/>
      </c>
      <c r="W262" s="256" t="str">
        <f>IF(D262="","",IF(T262="","",IF(OR(J262="巻足し",J262="巻返しリード付け"),"",IF(J262="巻返し",VLOOKUP(F262&amp;K262&amp;M262,製品マスタ!$M$5:$AD$4999,18,FALSE),IF(OR(J262="リード付け",J262="巻返しリード付け"),"原反コア",IF(J262="スリット",VLOOKUP(F262&amp;K262&amp;R262,製品マスタ!$N$5:$AD$4999,17,FALSE),""))))))</f>
        <v/>
      </c>
      <c r="X262" s="256" t="str">
        <f>IF(D262="","",IF(T262="","",IF(J262="巻足し","",IF(J262="巻返し",VLOOKUP(F262&amp;K262&amp;M262,製品マスタ!$M$5:$AE$4999,19,FALSE),IF(OR(J262="リード付け",J262="巻返しリード付け"),"",IF(J262="スリット",VLOOKUP(F262&amp;K262&amp;R262,製品マスタ!$N$5:$AE$4999,18,FALSE),""))))))</f>
        <v/>
      </c>
      <c r="Y262" s="256" t="str">
        <f>IF(D262="","",IF(T262="","",VLOOKUP(D262,契約台帳!$A$3:$Q$4986,17,FALSE)))</f>
        <v/>
      </c>
      <c r="Z262" s="256" t="str">
        <f>IF(D262="","",IF(T262="","",VLOOKUP(D262,契約台帳!$A$3:$E$4986,5,FALSE)))</f>
        <v/>
      </c>
      <c r="AA262" s="54"/>
      <c r="AB262" s="200" t="str">
        <f>IFERROR((VLOOKUP(F262&amp;K262&amp;M262,製品マスタ!$M$5:$AM$4999,27,FALSE)),"")</f>
        <v/>
      </c>
      <c r="AC262" s="31"/>
      <c r="AD262" s="184"/>
      <c r="AE262" s="51"/>
      <c r="AF262" s="52"/>
      <c r="AG262" s="41"/>
      <c r="AH262" s="45"/>
      <c r="AI262" s="28"/>
      <c r="AJ262" s="28"/>
      <c r="AK262" s="28"/>
      <c r="AL262" s="28"/>
      <c r="AM262" s="12"/>
      <c r="AN262" s="12"/>
      <c r="AO262" s="12"/>
      <c r="AP262" s="12"/>
      <c r="AQ262" s="12"/>
      <c r="AR262" s="13"/>
      <c r="AS262" s="14"/>
    </row>
    <row r="263" spans="1:45" s="16" customFormat="1" ht="30.95" hidden="1" customHeight="1" x14ac:dyDescent="0.2">
      <c r="A263" s="35" t="s">
        <v>902</v>
      </c>
      <c r="B263" s="36" t="s">
        <v>442</v>
      </c>
      <c r="C263" s="43"/>
      <c r="D263" s="29"/>
      <c r="E263" s="29"/>
      <c r="F263" s="255"/>
      <c r="G263" s="256"/>
      <c r="H263" s="256"/>
      <c r="I263" s="280"/>
      <c r="J263" s="203" t="s">
        <v>665</v>
      </c>
      <c r="K263" s="200"/>
      <c r="L263" s="200"/>
      <c r="M263" s="37"/>
      <c r="N263" s="37"/>
      <c r="O263" s="153"/>
      <c r="P263" s="45"/>
      <c r="Q263" s="54"/>
      <c r="R263" s="257"/>
      <c r="S263" s="258"/>
      <c r="T263" s="258"/>
      <c r="U263" s="38"/>
      <c r="V263" s="259"/>
      <c r="W263" s="256"/>
      <c r="X263" s="256"/>
      <c r="Y263" s="256"/>
      <c r="Z263" s="256"/>
      <c r="AA263" s="54"/>
      <c r="AB263" s="200"/>
      <c r="AC263" s="31"/>
      <c r="AD263" s="184"/>
      <c r="AE263" s="51"/>
      <c r="AF263" s="52"/>
      <c r="AG263" s="41"/>
      <c r="AH263" s="45"/>
      <c r="AI263" s="28"/>
      <c r="AJ263" s="28"/>
      <c r="AK263" s="28"/>
      <c r="AL263" s="28"/>
      <c r="AM263" s="12"/>
      <c r="AN263" s="12"/>
      <c r="AO263" s="12"/>
      <c r="AP263" s="12"/>
      <c r="AQ263" s="12"/>
      <c r="AR263" s="13"/>
      <c r="AS263" s="14"/>
    </row>
    <row r="264" spans="1:45" s="16" customFormat="1" ht="30.95" hidden="1" customHeight="1" x14ac:dyDescent="0.2">
      <c r="A264" s="35"/>
      <c r="B264" s="36"/>
      <c r="C264" s="43"/>
      <c r="D264" s="29"/>
      <c r="E264" s="29"/>
      <c r="F264" s="255"/>
      <c r="G264" s="256"/>
      <c r="H264" s="256"/>
      <c r="I264" s="280"/>
      <c r="J264" s="203"/>
      <c r="K264" s="200"/>
      <c r="L264" s="200"/>
      <c r="M264" s="37"/>
      <c r="N264" s="37"/>
      <c r="O264" s="153"/>
      <c r="P264" s="45"/>
      <c r="Q264" s="54"/>
      <c r="R264" s="257"/>
      <c r="S264" s="258"/>
      <c r="T264" s="258"/>
      <c r="U264" s="38"/>
      <c r="V264" s="259"/>
      <c r="W264" s="256"/>
      <c r="X264" s="256"/>
      <c r="Y264" s="256"/>
      <c r="Z264" s="256"/>
      <c r="AA264" s="54"/>
      <c r="AB264" s="200"/>
      <c r="AC264" s="31"/>
      <c r="AD264" s="184"/>
      <c r="AE264" s="51"/>
      <c r="AF264" s="52"/>
      <c r="AG264" s="41"/>
      <c r="AH264" s="45"/>
      <c r="AI264" s="28"/>
      <c r="AJ264" s="28"/>
      <c r="AK264" s="28"/>
      <c r="AL264" s="28"/>
      <c r="AM264" s="12"/>
      <c r="AN264" s="12"/>
      <c r="AO264" s="12"/>
      <c r="AP264" s="12"/>
      <c r="AQ264" s="12"/>
      <c r="AR264" s="13"/>
      <c r="AS264" s="14"/>
    </row>
    <row r="265" spans="1:45" s="16" customFormat="1" ht="30.95" hidden="1" customHeight="1" x14ac:dyDescent="0.2">
      <c r="A265" s="35"/>
      <c r="B265" s="36"/>
      <c r="C265" s="43"/>
      <c r="D265" s="29">
        <v>3698028</v>
      </c>
      <c r="E265" s="29">
        <v>4161826</v>
      </c>
      <c r="F265" s="255" t="str">
        <f>IF(D265="","",VLOOKUP(D265,契約台帳!$A$3:$K$4986,6,FALSE)&amp;VLOOKUP(D265,契約台帳!$A$3:$K$4986,7,FALSE)&amp;VLOOKUP(D265,契約台帳!$A$3:$K$4986,8,FALSE)&amp;VLOOKUP(D265,契約台帳!$A$3:$K$4986,9,FALSE)&amp;VLOOKUP(D265,契約台帳!$A$3:$K$4986,11,FALSE))</f>
        <v>3SNMCLBMSNEYK</v>
      </c>
      <c r="G265" s="256" t="str">
        <f>IF(D265="","",VLOOKUP(F265,製品マスタ!$G$5:$H$4999,2,FALSE))</f>
        <v>S</v>
      </c>
      <c r="H265" s="256" t="str">
        <f>IF(D265="","",VLOOKUP(F265,製品マスタ!$G$5:$K$4999,5,FALSE))</f>
        <v>MSNEYK</v>
      </c>
      <c r="I265" s="200" t="str">
        <f>IF(D265="","",VLOOKUP(F265,製品マスタ!$G$5:$L$4999,6,FALSE))</f>
        <v>ＭＳＮ　ＥＹＫ</v>
      </c>
      <c r="J265" s="203" t="s">
        <v>469</v>
      </c>
      <c r="K265" s="200">
        <f>IF(D265="","",VLOOKUP(D265,契約台帳!$A$3:$L$4986,12,FALSE))</f>
        <v>50</v>
      </c>
      <c r="L265" s="200" t="str">
        <f>IF(D265="","",INDEX(製品マスタ!$Q$5:$Q$4999,MATCH('S4'!F265&amp;'S4'!K265,製品マスタ!$AO$5:$AO$4999,0)))</f>
        <v>N-MAT</v>
      </c>
      <c r="M265" s="37">
        <v>1120</v>
      </c>
      <c r="N265" s="37">
        <v>4000</v>
      </c>
      <c r="O265" s="153">
        <v>6</v>
      </c>
      <c r="P265" s="45">
        <v>3</v>
      </c>
      <c r="Q265" s="206">
        <v>44967</v>
      </c>
      <c r="R265" s="257">
        <f ca="1">IF(D265="","",IF(OFFSET(D265,-1,0)&lt;&gt;"","",IF(OR(J265="リード付け",J265="巻足し",J265="巻返しリード付け"),M265,VLOOKUP(D265,契約台帳!$A$3:$N$4986,14,FALSE))))</f>
        <v>1120</v>
      </c>
      <c r="S265" s="258">
        <f ca="1">IF(D265="","",IF(OFFSET(D265,-1,0)&lt;&gt;"","",IF(OR(J265="リード付け",J265="巻足し",J265="巻返しリード付け"),M265,VLOOKUP(D265,契約台帳!$A$3:$O$4986,15,FALSE))))</f>
        <v>1120</v>
      </c>
      <c r="T265" s="258">
        <f ca="1">IF(D265="","",IF(J265="リード付け",N265,IF(J265="巻返しリード付け",N265,IF(J265="巻足し",N265*P265+OFFSET(N265,1,0)*OFFSET(P265,1,0),VLOOKUP(D265,契約台帳!$A$3:$P$4986,16,FALSE)))))</f>
        <v>12000</v>
      </c>
      <c r="U265" s="38">
        <v>2</v>
      </c>
      <c r="V265" s="259">
        <f ca="1">IF(D265="","",IF(OFFSET(D265,-2,0)=D265,"",VLOOKUP(D265,契約台帳!$A$3:$R$4986,18,FALSE)))</f>
        <v>8</v>
      </c>
      <c r="W265" s="256" t="str">
        <f ca="1">IF(D265="","",IF(T265="","",IF(OR(J265="巻足し",J265="巻返しリード付け"),"",IF(J265="巻返し",VLOOKUP(F265&amp;K265&amp;M265,製品マスタ!$M$5:$AD$4999,18,FALSE),IF(OR(J265="リード付け",J265="巻返しリード付け"),"原反コア",IF(J265="スリット",VLOOKUP(F265&amp;K265&amp;R265,製品マスタ!$N$5:$AD$4999,17,FALSE),""))))))</f>
        <v/>
      </c>
      <c r="X265" s="256" t="str">
        <f ca="1">IF(D265="","",IF(T265="","",IF(J265="巻足し","",IF(J265="巻返し",VLOOKUP(F265&amp;K265&amp;M265,製品マスタ!$M$5:$AE$4999,19,FALSE),IF(OR(J265="リード付け",J265="巻返しリード付け"),"",IF(J265="スリット",VLOOKUP(F265&amp;K265&amp;R265,製品マスタ!$N$5:$AE$4999,18,FALSE),""))))))</f>
        <v/>
      </c>
      <c r="Y265" s="256">
        <f ca="1">IF(D265="","",IF(T265="","",VLOOKUP(D265,契約台帳!$A$3:$Q$4986,17,FALSE)))</f>
        <v>2</v>
      </c>
      <c r="Z265" s="256" t="str">
        <f ca="1">IF(D265="","",IF(T265="","",VLOOKUP(D265,契約台帳!$A$3:$E$4986,5,FALSE)))</f>
        <v>新タック化成㈱</v>
      </c>
      <c r="AA265" s="54"/>
      <c r="AB265" s="200" t="str">
        <f>IFERROR((VLOOKUP(F265&amp;K265&amp;M265,製品マスタ!$M$5:$AM$4999,27,FALSE)),"")</f>
        <v>原反ケース再利用</v>
      </c>
      <c r="AC265" s="31"/>
      <c r="AD265" s="184"/>
      <c r="AE265" s="51"/>
      <c r="AF265" s="52"/>
      <c r="AG265" s="41"/>
      <c r="AH265" s="45"/>
      <c r="AI265" s="28"/>
      <c r="AJ265" s="28"/>
      <c r="AK265" s="28"/>
      <c r="AL265" s="28"/>
      <c r="AM265" s="12"/>
      <c r="AN265" s="12"/>
      <c r="AO265" s="12"/>
      <c r="AP265" s="12"/>
      <c r="AQ265" s="12"/>
      <c r="AR265" s="13"/>
      <c r="AS265" s="14"/>
    </row>
    <row r="266" spans="1:45" s="16" customFormat="1" ht="30.95" hidden="1" customHeight="1" x14ac:dyDescent="0.2">
      <c r="A266" s="35"/>
      <c r="B266" s="36"/>
      <c r="C266" s="43"/>
      <c r="D266" s="29"/>
      <c r="E266" s="29"/>
      <c r="F266" s="255" t="str">
        <f>IF(D266="","",VLOOKUP(D266,契約台帳!$A$3:$K$4986,6,FALSE)&amp;VLOOKUP(D266,契約台帳!$A$3:$K$4986,7,FALSE)&amp;VLOOKUP(D266,契約台帳!$A$3:$K$4986,8,FALSE)&amp;VLOOKUP(D266,契約台帳!$A$3:$K$4986,9,FALSE)&amp;VLOOKUP(D266,契約台帳!$A$3:$K$4986,11,FALSE))</f>
        <v/>
      </c>
      <c r="G266" s="256" t="str">
        <f>IF(D266="","",VLOOKUP(F266,製品マスタ!$G$5:$H$4999,2,FALSE))</f>
        <v/>
      </c>
      <c r="H266" s="256" t="str">
        <f>IF(D266="","",VLOOKUP(F266,製品マスタ!$G$5:$K$4999,5,FALSE))</f>
        <v/>
      </c>
      <c r="I266" s="200" t="str">
        <f>IF(D266="","",VLOOKUP(F266,製品マスタ!$G$5:$L$4999,6,FALSE))</f>
        <v/>
      </c>
      <c r="J266" s="203"/>
      <c r="K266" s="200" t="str">
        <f>IF(D266="","",VLOOKUP(D266,契約台帳!$A$3:$L$4986,12,FALSE))</f>
        <v/>
      </c>
      <c r="L266" s="200" t="str">
        <f>IF(D266="","",INDEX(製品マスタ!$Q$5:$Q$4999,MATCH('S4'!F266&amp;'S4'!K266,製品マスタ!$AO$5:$AO$4999,0)))</f>
        <v/>
      </c>
      <c r="M266" s="37"/>
      <c r="N266" s="37"/>
      <c r="O266" s="153"/>
      <c r="P266" s="45"/>
      <c r="Q266" s="54"/>
      <c r="R266" s="257" t="str">
        <f ca="1">IF(D266="","",IF(OFFSET(D266,-1,0)&lt;&gt;"","",IF(OR(J266="リード付け",J266="巻足し",J266="巻返しリード付け"),M266,VLOOKUP(D266,契約台帳!$A$3:$N$4986,14,FALSE))))</f>
        <v/>
      </c>
      <c r="S266" s="258" t="str">
        <f ca="1">IF(D266="","",IF(OFFSET(D266,-1,0)&lt;&gt;"","",IF(OR(J266="リード付け",J266="巻足し",J266="巻返しリード付け"),M266,VLOOKUP(D266,契約台帳!$A$3:$O$4986,15,FALSE))))</f>
        <v/>
      </c>
      <c r="T266" s="258" t="str">
        <f ca="1">IF(D266="","",IF(J266="リード付け",N266,IF(J266="巻返しリード付け",N266,IF(J266="巻足し",N266*P266+OFFSET(N266,1,0)*OFFSET(P266,1,0),VLOOKUP(D266,契約台帳!$A$3:$P$4986,16,FALSE)))))</f>
        <v/>
      </c>
      <c r="U266" s="38"/>
      <c r="V266" s="259" t="str">
        <f ca="1">IF(D266="","",IF(OFFSET(D266,-2,0)=D266,"",VLOOKUP(D266,契約台帳!$A$3:$R$4986,18,FALSE)))</f>
        <v/>
      </c>
      <c r="W266" s="256" t="str">
        <f>IF(D266="","",IF(T266="","",IF(OR(J266="巻足し",J266="巻返しリード付け"),"",IF(J266="巻返し",VLOOKUP(F266&amp;K266&amp;M266,製品マスタ!$M$5:$AD$4999,18,FALSE),IF(OR(J266="リード付け",J266="巻返しリード付け"),"原反コア",IF(J266="スリット",VLOOKUP(F266&amp;K266&amp;R266,製品マスタ!$N$5:$AD$4999,17,FALSE),""))))))</f>
        <v/>
      </c>
      <c r="X266" s="256" t="str">
        <f>IF(D266="","",IF(T266="","",IF(J266="巻足し","",IF(J266="巻返し",VLOOKUP(F266&amp;K266&amp;M266,製品マスタ!$M$5:$AE$4999,19,FALSE),IF(OR(J266="リード付け",J266="巻返しリード付け"),"",IF(J266="スリット",VLOOKUP(F266&amp;K266&amp;R266,製品マスタ!$N$5:$AE$4999,18,FALSE),""))))))</f>
        <v/>
      </c>
      <c r="Y266" s="256" t="str">
        <f>IF(D266="","",IF(T266="","",VLOOKUP(D266,契約台帳!$A$3:$Q$4986,17,FALSE)))</f>
        <v/>
      </c>
      <c r="Z266" s="256" t="str">
        <f>IF(D266="","",IF(T266="","",VLOOKUP(D266,契約台帳!$A$3:$E$4986,5,FALSE)))</f>
        <v/>
      </c>
      <c r="AA266" s="54"/>
      <c r="AB266" s="200" t="str">
        <f>IFERROR((VLOOKUP(F266&amp;K266&amp;M266,製品マスタ!$M$5:$AM$4999,27,FALSE)),"")</f>
        <v/>
      </c>
      <c r="AC266" s="31"/>
      <c r="AD266" s="184"/>
      <c r="AE266" s="51"/>
      <c r="AF266" s="52"/>
      <c r="AG266" s="41"/>
      <c r="AH266" s="45"/>
      <c r="AI266" s="28"/>
      <c r="AJ266" s="28"/>
      <c r="AK266" s="28"/>
      <c r="AL266" s="28"/>
      <c r="AM266" s="12"/>
      <c r="AN266" s="12"/>
      <c r="AO266" s="12"/>
      <c r="AP266" s="12"/>
      <c r="AQ266" s="12"/>
      <c r="AR266" s="13"/>
      <c r="AS266" s="14"/>
    </row>
    <row r="267" spans="1:45" s="16" customFormat="1" ht="30.95" hidden="1" customHeight="1" x14ac:dyDescent="0.2">
      <c r="A267" s="35"/>
      <c r="B267" s="36"/>
      <c r="C267" s="43"/>
      <c r="D267" s="29">
        <v>3698028</v>
      </c>
      <c r="E267" s="29">
        <v>4161826</v>
      </c>
      <c r="F267" s="255" t="str">
        <f>IF(D267="","",VLOOKUP(D267,契約台帳!$A$3:$K$4986,6,FALSE)&amp;VLOOKUP(D267,契約台帳!$A$3:$K$4986,7,FALSE)&amp;VLOOKUP(D267,契約台帳!$A$3:$K$4986,8,FALSE)&amp;VLOOKUP(D267,契約台帳!$A$3:$K$4986,9,FALSE)&amp;VLOOKUP(D267,契約台帳!$A$3:$K$4986,11,FALSE))</f>
        <v>3SNMCLBMSNEYK</v>
      </c>
      <c r="G267" s="256" t="str">
        <f>IF(D267="","",VLOOKUP(F267,製品マスタ!$G$5:$H$4999,2,FALSE))</f>
        <v>S</v>
      </c>
      <c r="H267" s="256" t="str">
        <f>IF(D267="","",VLOOKUP(F267,製品マスタ!$G$5:$K$4999,5,FALSE))</f>
        <v>MSNEYK</v>
      </c>
      <c r="I267" s="200" t="str">
        <f>IF(D267="","",VLOOKUP(F267,製品マスタ!$G$5:$L$4999,6,FALSE))</f>
        <v>ＭＳＮ　ＥＹＫ</v>
      </c>
      <c r="J267" s="203" t="s">
        <v>469</v>
      </c>
      <c r="K267" s="200">
        <f>IF(D267="","",VLOOKUP(D267,契約台帳!$A$3:$L$4986,12,FALSE))</f>
        <v>50</v>
      </c>
      <c r="L267" s="200" t="str">
        <f>IF(D267="","",INDEX(製品マスタ!$Q$5:$Q$4999,MATCH('S4'!F267&amp;'S4'!K267,製品マスタ!$AO$5:$AO$4999,0)))</f>
        <v>N-MAT</v>
      </c>
      <c r="M267" s="37">
        <v>1120</v>
      </c>
      <c r="N267" s="37">
        <v>4000</v>
      </c>
      <c r="O267" s="153">
        <v>2</v>
      </c>
      <c r="P267" s="45">
        <v>2</v>
      </c>
      <c r="Q267" s="206">
        <v>44967</v>
      </c>
      <c r="R267" s="257">
        <f ca="1">IF(D267="","",IF(OFFSET(D267,-1,0)&lt;&gt;"","",IF(OR(J267="リード付け",J267="巻足し",J267="巻返しリード付け"),M267,VLOOKUP(D267,契約台帳!$A$3:$N$4986,14,FALSE))))</f>
        <v>1120</v>
      </c>
      <c r="S267" s="258">
        <f ca="1">IF(D267="","",IF(OFFSET(D267,-1,0)&lt;&gt;"","",IF(OR(J267="リード付け",J267="巻足し",J267="巻返しリード付け"),M267,VLOOKUP(D267,契約台帳!$A$3:$O$4986,15,FALSE))))</f>
        <v>1120</v>
      </c>
      <c r="T267" s="258">
        <f ca="1">IF(D267="","",IF(J267="リード付け",N267,IF(J267="巻返しリード付け",N267,IF(J267="巻足し",N267*P267+OFFSET(N267,1,0)*OFFSET(P267,1,0),VLOOKUP(D267,契約台帳!$A$3:$P$4986,16,FALSE)))))</f>
        <v>8000</v>
      </c>
      <c r="U267" s="38">
        <v>1</v>
      </c>
      <c r="V267" s="259" t="str">
        <f ca="1">IF(D267="","",IF(OFFSET(D267,-2,0)=D267,"",VLOOKUP(D267,契約台帳!$A$3:$R$4986,18,FALSE)))</f>
        <v/>
      </c>
      <c r="W267" s="256" t="str">
        <f ca="1">IF(D267="","",IF(T267="","",IF(OR(J267="巻足し",J267="巻返しリード付け"),"",IF(J267="巻返し",VLOOKUP(F267&amp;K267&amp;M267,製品マスタ!$M$5:$AD$4999,18,FALSE),IF(OR(J267="リード付け",J267="巻返しリード付け"),"原反コア",IF(J267="スリット",VLOOKUP(F267&amp;K267&amp;R267,製品マスタ!$N$5:$AD$4999,17,FALSE),""))))))</f>
        <v/>
      </c>
      <c r="X267" s="256" t="str">
        <f ca="1">IF(D267="","",IF(T267="","",IF(J267="巻足し","",IF(J267="巻返し",VLOOKUP(F267&amp;K267&amp;M267,製品マスタ!$M$5:$AE$4999,19,FALSE),IF(OR(J267="リード付け",J267="巻返しリード付け"),"",IF(J267="スリット",VLOOKUP(F267&amp;K267&amp;R267,製品マスタ!$N$5:$AE$4999,18,FALSE),""))))))</f>
        <v/>
      </c>
      <c r="Y267" s="256">
        <f ca="1">IF(D267="","",IF(T267="","",VLOOKUP(D267,契約台帳!$A$3:$Q$4986,17,FALSE)))</f>
        <v>2</v>
      </c>
      <c r="Z267" s="256" t="str">
        <f ca="1">IF(D267="","",IF(T267="","",VLOOKUP(D267,契約台帳!$A$3:$E$4986,5,FALSE)))</f>
        <v>新タック化成㈱</v>
      </c>
      <c r="AA267" s="54"/>
      <c r="AB267" s="200" t="str">
        <f>IFERROR((VLOOKUP(F267&amp;K267&amp;M267,製品マスタ!$M$5:$AM$4999,27,FALSE)),"")</f>
        <v>原反ケース再利用</v>
      </c>
      <c r="AC267" s="31"/>
      <c r="AD267" s="184"/>
      <c r="AE267" s="51"/>
      <c r="AF267" s="52"/>
      <c r="AG267" s="41"/>
      <c r="AH267" s="45"/>
      <c r="AI267" s="28"/>
      <c r="AJ267" s="28"/>
      <c r="AK267" s="28"/>
      <c r="AL267" s="28"/>
      <c r="AM267" s="12"/>
      <c r="AN267" s="12"/>
      <c r="AO267" s="12"/>
      <c r="AP267" s="12"/>
      <c r="AQ267" s="12"/>
      <c r="AR267" s="13"/>
      <c r="AS267" s="14"/>
    </row>
    <row r="268" spans="1:45" s="16" customFormat="1" ht="30.95" hidden="1" customHeight="1" x14ac:dyDescent="0.2">
      <c r="A268" s="35"/>
      <c r="B268" s="36"/>
      <c r="C268" s="43"/>
      <c r="D268" s="29"/>
      <c r="E268" s="29"/>
      <c r="F268" s="255"/>
      <c r="G268" s="256"/>
      <c r="H268" s="256"/>
      <c r="I268" s="200"/>
      <c r="J268" s="203"/>
      <c r="K268" s="200"/>
      <c r="L268" s="200"/>
      <c r="M268" s="37"/>
      <c r="N268" s="37"/>
      <c r="O268" s="153"/>
      <c r="P268" s="45"/>
      <c r="Q268" s="54"/>
      <c r="R268" s="257"/>
      <c r="S268" s="258"/>
      <c r="T268" s="258"/>
      <c r="U268" s="38"/>
      <c r="V268" s="259"/>
      <c r="W268" s="256"/>
      <c r="X268" s="256"/>
      <c r="Y268" s="256"/>
      <c r="Z268" s="256"/>
      <c r="AA268" s="54"/>
      <c r="AB268" s="200"/>
      <c r="AC268" s="31"/>
      <c r="AD268" s="184"/>
      <c r="AE268" s="51"/>
      <c r="AF268" s="52"/>
      <c r="AG268" s="41"/>
      <c r="AH268" s="45"/>
      <c r="AI268" s="28"/>
      <c r="AJ268" s="28"/>
      <c r="AK268" s="28"/>
      <c r="AL268" s="28"/>
      <c r="AM268" s="12"/>
      <c r="AN268" s="12"/>
      <c r="AO268" s="12"/>
      <c r="AP268" s="12"/>
      <c r="AQ268" s="12"/>
      <c r="AR268" s="13"/>
      <c r="AS268" s="14"/>
    </row>
    <row r="269" spans="1:45" s="16" customFormat="1" ht="30.95" hidden="1" customHeight="1" x14ac:dyDescent="0.2">
      <c r="A269" s="35" t="s">
        <v>917</v>
      </c>
      <c r="B269" s="36" t="s">
        <v>911</v>
      </c>
      <c r="C269" s="43"/>
      <c r="D269" s="29"/>
      <c r="E269" s="29"/>
      <c r="F269" s="255" t="str">
        <f>IF(D269="","",VLOOKUP(D269,契約台帳!$A$3:$K$4986,6,FALSE)&amp;VLOOKUP(D269,契約台帳!$A$3:$K$4986,7,FALSE)&amp;VLOOKUP(D269,契約台帳!$A$3:$K$4986,8,FALSE)&amp;VLOOKUP(D269,契約台帳!$A$3:$K$4986,9,FALSE)&amp;VLOOKUP(D269,契約台帳!$A$3:$K$4986,11,FALSE))</f>
        <v/>
      </c>
      <c r="G269" s="256" t="str">
        <f>IF(D269="","",VLOOKUP(F269,製品マスタ!$G$5:$H$4999,2,FALSE))</f>
        <v/>
      </c>
      <c r="H269" s="256" t="str">
        <f>IF(D269="","",VLOOKUP(F269,製品マスタ!$G$5:$K$4999,5,FALSE))</f>
        <v/>
      </c>
      <c r="I269" s="200" t="str">
        <f>IF(D269="","",VLOOKUP(F269,製品マスタ!$G$5:$L$4999,6,FALSE))</f>
        <v/>
      </c>
      <c r="J269" s="203" t="s">
        <v>448</v>
      </c>
      <c r="K269" s="200" t="str">
        <f>IF(D269="","",VLOOKUP(D269,契約台帳!$A$3:$L$4986,12,FALSE))</f>
        <v/>
      </c>
      <c r="L269" s="200" t="str">
        <f>IF(D269="","",INDEX(製品マスタ!$Q$5:$Q$4999,MATCH('S4'!F269&amp;'S4'!K269,製品マスタ!$AO$5:$AO$4999,0)))</f>
        <v/>
      </c>
      <c r="M269" s="37"/>
      <c r="N269" s="37"/>
      <c r="O269" s="153"/>
      <c r="P269" s="45"/>
      <c r="Q269" s="54"/>
      <c r="R269" s="257" t="str">
        <f ca="1">IF(D269="","",IF(OFFSET(D269,-1,0)&lt;&gt;"","",IF(OR(J269="リード付け",J269="巻足し",J269="巻返しリード付け"),M269,VLOOKUP(D269,契約台帳!$A$3:$N$4986,14,FALSE))))</f>
        <v/>
      </c>
      <c r="S269" s="258" t="str">
        <f ca="1">IF(D269="","",IF(OFFSET(D269,-1,0)&lt;&gt;"","",IF(OR(J269="リード付け",J269="巻足し",J269="巻返しリード付け"),M269,VLOOKUP(D269,契約台帳!$A$3:$O$4986,15,FALSE))))</f>
        <v/>
      </c>
      <c r="T269" s="258" t="str">
        <f ca="1">IF(D269="","",IF(J269="リード付け",N269,IF(J269="巻返しリード付け",N269,IF(J269="巻足し",N269*P269+OFFSET(N269,1,0)*OFFSET(P269,1,0),VLOOKUP(D269,契約台帳!$A$3:$P$4986,16,FALSE)))))</f>
        <v/>
      </c>
      <c r="U269" s="38"/>
      <c r="V269" s="259" t="str">
        <f ca="1">IF(D269="","",IF(OFFSET(D269,-2,0)=D269,"",VLOOKUP(D269,契約台帳!$A$3:$R$4986,18,FALSE)))</f>
        <v/>
      </c>
      <c r="W269" s="256" t="str">
        <f>IF(D269="","",IF(T269="","",IF(OR(J269="巻足し",J269="巻返しリード付け"),"",IF(J269="巻返し",VLOOKUP(F269&amp;K269&amp;M269,製品マスタ!$M$5:$AD$4999,18,FALSE),IF(OR(J269="リード付け",J269="巻返しリード付け"),"原反コア",IF(J269="スリット",VLOOKUP(F269&amp;K269&amp;R269,製品マスタ!$N$5:$AD$4999,17,FALSE),""))))))</f>
        <v/>
      </c>
      <c r="X269" s="256" t="str">
        <f>IF(D269="","",IF(T269="","",IF(J269="巻足し","",IF(J269="巻返し",VLOOKUP(F269&amp;K269&amp;M269,製品マスタ!$M$5:$AE$4999,19,FALSE),IF(OR(J269="リード付け",J269="巻返しリード付け"),"",IF(J269="スリット",VLOOKUP(F269&amp;K269&amp;R269,製品マスタ!$N$5:$AE$4999,18,FALSE),""))))))</f>
        <v/>
      </c>
      <c r="Y269" s="256" t="str">
        <f>IF(D269="","",IF(T269="","",VLOOKUP(D269,契約台帳!$A$3:$Q$4986,17,FALSE)))</f>
        <v/>
      </c>
      <c r="Z269" s="256" t="str">
        <f>IF(D269="","",IF(T269="","",VLOOKUP(D269,契約台帳!$A$3:$E$4986,5,FALSE)))</f>
        <v/>
      </c>
      <c r="AA269" s="54"/>
      <c r="AB269" s="200" t="str">
        <f>IFERROR((VLOOKUP(F269&amp;K269&amp;M269,製品マスタ!$M$5:$AM$4999,27,FALSE)),"")</f>
        <v/>
      </c>
      <c r="AC269" s="31"/>
      <c r="AD269" s="184"/>
      <c r="AE269" s="51"/>
      <c r="AF269" s="52"/>
      <c r="AG269" s="41"/>
      <c r="AH269" s="45"/>
      <c r="AI269" s="28"/>
      <c r="AJ269" s="28"/>
      <c r="AK269" s="28"/>
      <c r="AL269" s="28"/>
      <c r="AM269" s="12"/>
      <c r="AN269" s="12"/>
      <c r="AO269" s="12"/>
      <c r="AP269" s="12"/>
      <c r="AQ269" s="12"/>
      <c r="AR269" s="13"/>
      <c r="AS269" s="14"/>
    </row>
    <row r="270" spans="1:45" s="16" customFormat="1" ht="30.95" hidden="1" customHeight="1" x14ac:dyDescent="0.2">
      <c r="A270" s="35"/>
      <c r="B270" s="36"/>
      <c r="C270" s="43"/>
      <c r="D270" s="29"/>
      <c r="E270" s="29"/>
      <c r="F270" s="255" t="str">
        <f>IF(D270="","",VLOOKUP(D270,契約台帳!$A$3:$K$4986,6,FALSE)&amp;VLOOKUP(D270,契約台帳!$A$3:$K$4986,7,FALSE)&amp;VLOOKUP(D270,契約台帳!$A$3:$K$4986,8,FALSE)&amp;VLOOKUP(D270,契約台帳!$A$3:$K$4986,9,FALSE)&amp;VLOOKUP(D270,契約台帳!$A$3:$K$4986,11,FALSE))</f>
        <v/>
      </c>
      <c r="G270" s="256" t="str">
        <f>IF(D270="","",VLOOKUP(F270,製品マスタ!$G$5:$H$4999,2,FALSE))</f>
        <v/>
      </c>
      <c r="H270" s="256" t="str">
        <f>IF(D270="","",VLOOKUP(F270,製品マスタ!$G$5:$K$4999,5,FALSE))</f>
        <v/>
      </c>
      <c r="I270" s="200" t="str">
        <f>IF(D270="","",VLOOKUP(F270,製品マスタ!$G$5:$L$4999,6,FALSE))</f>
        <v/>
      </c>
      <c r="J270" s="203"/>
      <c r="K270" s="200" t="str">
        <f>IF(D270="","",VLOOKUP(D270,契約台帳!$A$3:$L$4986,12,FALSE))</f>
        <v/>
      </c>
      <c r="L270" s="200" t="str">
        <f>IF(D270="","",INDEX(製品マスタ!$Q$5:$Q$4999,MATCH('S4'!F270&amp;'S4'!K270,製品マスタ!$AO$5:$AO$4999,0)))</f>
        <v/>
      </c>
      <c r="M270" s="37"/>
      <c r="N270" s="37"/>
      <c r="O270" s="153"/>
      <c r="P270" s="45"/>
      <c r="Q270" s="54"/>
      <c r="R270" s="257" t="str">
        <f ca="1">IF(D270="","",IF(OFFSET(D270,-1,0)&lt;&gt;"","",IF(OR(J270="リード付け",J270="巻足し",J270="巻返しリード付け"),M270,VLOOKUP(D270,契約台帳!$A$3:$N$4986,14,FALSE))))</f>
        <v/>
      </c>
      <c r="S270" s="258" t="str">
        <f ca="1">IF(D270="","",IF(OFFSET(D270,-1,0)&lt;&gt;"","",IF(OR(J270="リード付け",J270="巻足し",J270="巻返しリード付け"),M270,VLOOKUP(D270,契約台帳!$A$3:$O$4986,15,FALSE))))</f>
        <v/>
      </c>
      <c r="T270" s="258" t="str">
        <f ca="1">IF(D270="","",IF(J270="リード付け",N270,IF(J270="巻返しリード付け",N270,IF(J270="巻足し",N270*P270+OFFSET(N270,1,0)*OFFSET(P270,1,0),VLOOKUP(D270,契約台帳!$A$3:$P$4986,16,FALSE)))))</f>
        <v/>
      </c>
      <c r="U270" s="38"/>
      <c r="V270" s="259" t="str">
        <f ca="1">IF(D270="","",IF(OFFSET(D270,-2,0)=D270,"",VLOOKUP(D270,契約台帳!$A$3:$R$4986,18,FALSE)))</f>
        <v/>
      </c>
      <c r="W270" s="256" t="str">
        <f>IF(D270="","",IF(T270="","",IF(OR(J270="巻足し",J270="巻返しリード付け"),"",IF(J270="巻返し",VLOOKUP(F270&amp;K270&amp;M270,製品マスタ!$M$5:$AD$4999,18,FALSE),IF(OR(J270="リード付け",J270="巻返しリード付け"),"原反コア",IF(J270="スリット",VLOOKUP(F270&amp;K270&amp;R270,製品マスタ!$N$5:$AD$4999,17,FALSE),""))))))</f>
        <v/>
      </c>
      <c r="X270" s="256" t="str">
        <f>IF(D270="","",IF(T270="","",IF(J270="巻足し","",IF(J270="巻返し",VLOOKUP(F270&amp;K270&amp;M270,製品マスタ!$M$5:$AE$4999,19,FALSE),IF(OR(J270="リード付け",J270="巻返しリード付け"),"",IF(J270="スリット",VLOOKUP(F270&amp;K270&amp;R270,製品マスタ!$N$5:$AE$4999,18,FALSE),""))))))</f>
        <v/>
      </c>
      <c r="Y270" s="256" t="str">
        <f>IF(D270="","",IF(T270="","",VLOOKUP(D270,契約台帳!$A$3:$Q$4986,17,FALSE)))</f>
        <v/>
      </c>
      <c r="Z270" s="256" t="str">
        <f>IF(D270="","",IF(T270="","",VLOOKUP(D270,契約台帳!$A$3:$E$4986,5,FALSE)))</f>
        <v/>
      </c>
      <c r="AA270" s="54"/>
      <c r="AB270" s="200" t="str">
        <f>IFERROR((VLOOKUP(F270&amp;K270&amp;M270,製品マスタ!$M$5:$AM$4999,27,FALSE)),"")</f>
        <v/>
      </c>
      <c r="AC270" s="31"/>
      <c r="AD270" s="184"/>
      <c r="AE270" s="51"/>
      <c r="AF270" s="52"/>
      <c r="AG270" s="41"/>
      <c r="AH270" s="45"/>
      <c r="AI270" s="28"/>
      <c r="AJ270" s="28"/>
      <c r="AK270" s="28"/>
      <c r="AL270" s="28"/>
      <c r="AM270" s="12"/>
      <c r="AN270" s="12"/>
      <c r="AO270" s="12"/>
      <c r="AP270" s="12"/>
      <c r="AQ270" s="12"/>
      <c r="AR270" s="13"/>
      <c r="AS270" s="14"/>
    </row>
    <row r="271" spans="1:45" s="16" customFormat="1" ht="30.95" hidden="1" customHeight="1" x14ac:dyDescent="0.2">
      <c r="A271" s="35" t="s">
        <v>918</v>
      </c>
      <c r="B271" s="36" t="s">
        <v>913</v>
      </c>
      <c r="C271" s="43"/>
      <c r="D271" s="29"/>
      <c r="E271" s="29"/>
      <c r="F271" s="255" t="str">
        <f>IF(D271="","",VLOOKUP(D271,契約台帳!$A$3:$K$4986,6,FALSE)&amp;VLOOKUP(D271,契約台帳!$A$3:$K$4986,7,FALSE)&amp;VLOOKUP(D271,契約台帳!$A$3:$K$4986,8,FALSE)&amp;VLOOKUP(D271,契約台帳!$A$3:$K$4986,9,FALSE)&amp;VLOOKUP(D271,契約台帳!$A$3:$K$4986,11,FALSE))</f>
        <v/>
      </c>
      <c r="G271" s="256" t="str">
        <f>IF(D271="","",VLOOKUP(F271,製品マスタ!$G$5:$H$4999,2,FALSE))</f>
        <v/>
      </c>
      <c r="H271" s="256" t="str">
        <f>IF(D271="","",VLOOKUP(F271,製品マスタ!$G$5:$K$4999,5,FALSE))</f>
        <v/>
      </c>
      <c r="I271" s="200" t="str">
        <f>IF(D271="","",VLOOKUP(F271,製品マスタ!$G$5:$L$4999,6,FALSE))</f>
        <v/>
      </c>
      <c r="J271" s="203" t="s">
        <v>919</v>
      </c>
      <c r="K271" s="200" t="str">
        <f>IF(D271="","",VLOOKUP(D271,契約台帳!$A$3:$L$4986,12,FALSE))</f>
        <v/>
      </c>
      <c r="L271" s="200" t="str">
        <f>IF(D271="","",INDEX(製品マスタ!$Q$5:$Q$4999,MATCH('S4'!F271&amp;'S4'!K271,製品マスタ!$AO$5:$AO$4999,0)))</f>
        <v/>
      </c>
      <c r="M271" s="37"/>
      <c r="N271" s="37"/>
      <c r="O271" s="153"/>
      <c r="P271" s="45"/>
      <c r="Q271" s="54"/>
      <c r="R271" s="257" t="str">
        <f ca="1">IF(D271="","",IF(OFFSET(D271,-1,0)&lt;&gt;"","",IF(OR(J271="リード付け",J271="巻足し",J271="巻返しリード付け"),M271,VLOOKUP(D271,契約台帳!$A$3:$N$4986,14,FALSE))))</f>
        <v/>
      </c>
      <c r="S271" s="258" t="str">
        <f ca="1">IF(D271="","",IF(OFFSET(D271,-1,0)&lt;&gt;"","",IF(OR(J271="リード付け",J271="巻足し",J271="巻返しリード付け"),M271,VLOOKUP(D271,契約台帳!$A$3:$O$4986,15,FALSE))))</f>
        <v/>
      </c>
      <c r="T271" s="258" t="str">
        <f ca="1">IF(D271="","",IF(J271="リード付け",N271,IF(J271="巻返しリード付け",N271,IF(J271="巻足し",N271*P271+OFFSET(N271,1,0)*OFFSET(P271,1,0),VLOOKUP(D271,契約台帳!$A$3:$P$4986,16,FALSE)))))</f>
        <v/>
      </c>
      <c r="U271" s="38"/>
      <c r="V271" s="259" t="str">
        <f ca="1">IF(D271="","",IF(OFFSET(D271,-2,0)=D271,"",VLOOKUP(D271,契約台帳!$A$3:$R$4986,18,FALSE)))</f>
        <v/>
      </c>
      <c r="W271" s="256" t="str">
        <f>IF(D271="","",IF(T271="","",IF(OR(J271="巻足し",J271="巻返しリード付け"),"",IF(J271="巻返し",VLOOKUP(F271&amp;K271&amp;M271,製品マスタ!$M$5:$AD$4999,18,FALSE),IF(OR(J271="リード付け",J271="巻返しリード付け"),"原反コア",IF(J271="スリット",VLOOKUP(F271&amp;K271&amp;R271,製品マスタ!$N$5:$AD$4999,17,FALSE),""))))))</f>
        <v/>
      </c>
      <c r="X271" s="256" t="str">
        <f>IF(D271="","",IF(T271="","",IF(J271="巻足し","",IF(J271="巻返し",VLOOKUP(F271&amp;K271&amp;M271,製品マスタ!$M$5:$AE$4999,19,FALSE),IF(OR(J271="リード付け",J271="巻返しリード付け"),"",IF(J271="スリット",VLOOKUP(F271&amp;K271&amp;R271,製品マスタ!$N$5:$AE$4999,18,FALSE),""))))))</f>
        <v/>
      </c>
      <c r="Y271" s="256" t="str">
        <f>IF(D271="","",IF(T271="","",VLOOKUP(D271,契約台帳!$A$3:$Q$4986,17,FALSE)))</f>
        <v/>
      </c>
      <c r="Z271" s="256" t="str">
        <f>IF(D271="","",IF(T271="","",VLOOKUP(D271,契約台帳!$A$3:$E$4986,5,FALSE)))</f>
        <v/>
      </c>
      <c r="AA271" s="54"/>
      <c r="AB271" s="200" t="str">
        <f>IFERROR((VLOOKUP(F271&amp;K271&amp;M271,製品マスタ!$M$5:$AM$4999,27,FALSE)),"")</f>
        <v/>
      </c>
      <c r="AC271" s="31"/>
      <c r="AD271" s="184"/>
      <c r="AE271" s="51"/>
      <c r="AF271" s="52"/>
      <c r="AG271" s="41"/>
      <c r="AH271" s="45"/>
      <c r="AI271" s="28"/>
      <c r="AJ271" s="28"/>
      <c r="AK271" s="28"/>
      <c r="AL271" s="28"/>
      <c r="AM271" s="12"/>
      <c r="AN271" s="12"/>
      <c r="AO271" s="12"/>
      <c r="AP271" s="12"/>
      <c r="AQ271" s="12"/>
      <c r="AR271" s="13"/>
      <c r="AS271" s="14"/>
    </row>
    <row r="272" spans="1:45" s="16" customFormat="1" ht="30.95" hidden="1" customHeight="1" x14ac:dyDescent="0.2">
      <c r="A272" s="35"/>
      <c r="B272" s="36"/>
      <c r="C272" s="43"/>
      <c r="D272" s="29"/>
      <c r="E272" s="29"/>
      <c r="F272" s="255" t="str">
        <f>IF(D272="","",VLOOKUP(D272,契約台帳!$A$3:$K$4986,6,FALSE)&amp;VLOOKUP(D272,契約台帳!$A$3:$K$4986,7,FALSE)&amp;VLOOKUP(D272,契約台帳!$A$3:$K$4986,8,FALSE)&amp;VLOOKUP(D272,契約台帳!$A$3:$K$4986,9,FALSE)&amp;VLOOKUP(D272,契約台帳!$A$3:$K$4986,11,FALSE))</f>
        <v/>
      </c>
      <c r="G272" s="256" t="str">
        <f>IF(D272="","",VLOOKUP(F272,製品マスタ!$G$5:$H$4999,2,FALSE))</f>
        <v/>
      </c>
      <c r="H272" s="256" t="str">
        <f>IF(D272="","",VLOOKUP(F272,製品マスタ!$G$5:$K$4999,5,FALSE))</f>
        <v/>
      </c>
      <c r="I272" s="200" t="str">
        <f>IF(D272="","",VLOOKUP(F272,製品マスタ!$G$5:$L$4999,6,FALSE))</f>
        <v/>
      </c>
      <c r="J272" s="203"/>
      <c r="K272" s="200" t="str">
        <f>IF(D272="","",VLOOKUP(D272,契約台帳!$A$3:$L$4986,12,FALSE))</f>
        <v/>
      </c>
      <c r="L272" s="200" t="str">
        <f>IF(D272="","",INDEX(製品マスタ!$Q$5:$Q$4999,MATCH('S4'!F272&amp;'S4'!K272,製品マスタ!$AO$5:$AO$4999,0)))</f>
        <v/>
      </c>
      <c r="M272" s="37"/>
      <c r="N272" s="37"/>
      <c r="O272" s="153"/>
      <c r="P272" s="45"/>
      <c r="Q272" s="54"/>
      <c r="R272" s="257" t="str">
        <f ca="1">IF(D272="","",IF(OFFSET(D272,-1,0)&lt;&gt;"","",IF(OR(J272="リード付け",J272="巻足し",J272="巻返しリード付け"),M272,VLOOKUP(D272,契約台帳!$A$3:$N$4986,14,FALSE))))</f>
        <v/>
      </c>
      <c r="S272" s="258" t="str">
        <f ca="1">IF(D272="","",IF(OFFSET(D272,-1,0)&lt;&gt;"","",IF(OR(J272="リード付け",J272="巻足し",J272="巻返しリード付け"),M272,VLOOKUP(D272,契約台帳!$A$3:$O$4986,15,FALSE))))</f>
        <v/>
      </c>
      <c r="T272" s="258" t="str">
        <f ca="1">IF(D272="","",IF(J272="リード付け",N272,IF(J272="巻返しリード付け",N272,IF(J272="巻足し",N272*P272+OFFSET(N272,1,0)*OFFSET(P272,1,0),VLOOKUP(D272,契約台帳!$A$3:$P$4986,16,FALSE)))))</f>
        <v/>
      </c>
      <c r="U272" s="38"/>
      <c r="V272" s="259" t="str">
        <f ca="1">IF(D272="","",IF(OFFSET(D272,-2,0)=D272,"",VLOOKUP(D272,契約台帳!$A$3:$R$4986,18,FALSE)))</f>
        <v/>
      </c>
      <c r="W272" s="256" t="str">
        <f>IF(D272="","",IF(T272="","",IF(OR(J272="巻足し",J272="巻返しリード付け"),"",IF(J272="巻返し",VLOOKUP(F272&amp;K272&amp;M272,製品マスタ!$M$5:$AD$4999,18,FALSE),IF(OR(J272="リード付け",J272="巻返しリード付け"),"原反コア",IF(J272="スリット",VLOOKUP(F272&amp;K272&amp;R272,製品マスタ!$N$5:$AD$4999,17,FALSE),""))))))</f>
        <v/>
      </c>
      <c r="X272" s="256" t="str">
        <f>IF(D272="","",IF(T272="","",IF(J272="巻足し","",IF(J272="巻返し",VLOOKUP(F272&amp;K272&amp;M272,製品マスタ!$M$5:$AE$4999,19,FALSE),IF(OR(J272="リード付け",J272="巻返しリード付け"),"",IF(J272="スリット",VLOOKUP(F272&amp;K272&amp;R272,製品マスタ!$N$5:$AE$4999,18,FALSE),""))))))</f>
        <v/>
      </c>
      <c r="Y272" s="256" t="str">
        <f>IF(D272="","",IF(T272="","",VLOOKUP(D272,契約台帳!$A$3:$Q$4986,17,FALSE)))</f>
        <v/>
      </c>
      <c r="Z272" s="256" t="str">
        <f>IF(D272="","",IF(T272="","",VLOOKUP(D272,契約台帳!$A$3:$E$4986,5,FALSE)))</f>
        <v/>
      </c>
      <c r="AA272" s="54"/>
      <c r="AB272" s="200" t="str">
        <f>IFERROR((VLOOKUP(F272&amp;K272&amp;M272,製品マスタ!$M$5:$AM$4999,27,FALSE)),"")</f>
        <v/>
      </c>
      <c r="AC272" s="31"/>
      <c r="AD272" s="184"/>
      <c r="AE272" s="51"/>
      <c r="AF272" s="52"/>
      <c r="AG272" s="41"/>
      <c r="AH272" s="45"/>
      <c r="AI272" s="28"/>
      <c r="AJ272" s="28"/>
      <c r="AK272" s="28"/>
      <c r="AL272" s="28"/>
      <c r="AM272" s="12"/>
      <c r="AN272" s="12"/>
      <c r="AO272" s="12"/>
      <c r="AP272" s="12"/>
      <c r="AQ272" s="12"/>
      <c r="AR272" s="13"/>
      <c r="AS272" s="14"/>
    </row>
    <row r="273" spans="1:45" s="225" customFormat="1" ht="30.95" hidden="1" customHeight="1" x14ac:dyDescent="0.2">
      <c r="A273" s="209"/>
      <c r="B273" s="210"/>
      <c r="C273" s="262"/>
      <c r="D273" s="211"/>
      <c r="E273" s="211"/>
      <c r="F273" s="263"/>
      <c r="G273" s="264"/>
      <c r="H273" s="264"/>
      <c r="I273" s="265"/>
      <c r="J273" s="268"/>
      <c r="K273" s="265"/>
      <c r="L273" s="265"/>
      <c r="M273" s="213"/>
      <c r="N273" s="213"/>
      <c r="O273" s="269"/>
      <c r="P273" s="214"/>
      <c r="Q273" s="206"/>
      <c r="R273" s="270"/>
      <c r="S273" s="271"/>
      <c r="T273" s="271"/>
      <c r="U273" s="216"/>
      <c r="V273" s="272"/>
      <c r="W273" s="264"/>
      <c r="X273" s="264"/>
      <c r="Y273" s="264"/>
      <c r="Z273" s="264"/>
      <c r="AA273" s="206"/>
      <c r="AB273" s="265"/>
      <c r="AC273" s="217"/>
      <c r="AD273" s="218"/>
      <c r="AE273" s="219"/>
      <c r="AF273" s="220"/>
      <c r="AG273" s="215"/>
      <c r="AH273" s="226">
        <f>SUM(AH261)</f>
        <v>59400</v>
      </c>
      <c r="AI273" s="221"/>
      <c r="AJ273" s="221"/>
      <c r="AK273" s="221"/>
      <c r="AL273" s="221"/>
      <c r="AM273" s="222"/>
      <c r="AN273" s="222"/>
      <c r="AO273" s="222"/>
      <c r="AP273" s="222"/>
      <c r="AQ273" s="222"/>
      <c r="AR273" s="223"/>
      <c r="AS273" s="224"/>
    </row>
    <row r="274" spans="1:45" s="16" customFormat="1" ht="30.95" hidden="1" customHeight="1" x14ac:dyDescent="0.2">
      <c r="A274" s="35"/>
      <c r="B274" s="36"/>
      <c r="C274" s="43"/>
      <c r="D274" s="29"/>
      <c r="E274" s="29"/>
      <c r="F274" s="255"/>
      <c r="G274" s="256"/>
      <c r="H274" s="256"/>
      <c r="I274" s="200"/>
      <c r="J274" s="203"/>
      <c r="K274" s="200"/>
      <c r="L274" s="200"/>
      <c r="M274" s="37"/>
      <c r="N274" s="37"/>
      <c r="O274" s="153"/>
      <c r="P274" s="45"/>
      <c r="Q274" s="54"/>
      <c r="R274" s="257"/>
      <c r="S274" s="258"/>
      <c r="T274" s="258"/>
      <c r="U274" s="38"/>
      <c r="V274" s="259"/>
      <c r="W274" s="256"/>
      <c r="X274" s="256"/>
      <c r="Y274" s="256"/>
      <c r="Z274" s="256"/>
      <c r="AA274" s="54"/>
      <c r="AB274" s="200"/>
      <c r="AC274" s="31"/>
      <c r="AD274" s="184"/>
      <c r="AE274" s="51"/>
      <c r="AF274" s="52"/>
      <c r="AG274" s="41"/>
      <c r="AH274" s="45"/>
      <c r="AI274" s="28"/>
      <c r="AJ274" s="28"/>
      <c r="AK274" s="28"/>
      <c r="AL274" s="28"/>
      <c r="AM274" s="12"/>
      <c r="AN274" s="12"/>
      <c r="AO274" s="12"/>
      <c r="AP274" s="12"/>
      <c r="AQ274" s="12"/>
      <c r="AR274" s="13"/>
      <c r="AS274" s="14"/>
    </row>
    <row r="275" spans="1:45" s="16" customFormat="1" ht="30.95" hidden="1" customHeight="1" x14ac:dyDescent="0.2">
      <c r="A275" s="35" t="s">
        <v>920</v>
      </c>
      <c r="B275" s="36" t="s">
        <v>921</v>
      </c>
      <c r="C275" s="43"/>
      <c r="D275" s="29"/>
      <c r="E275" s="29"/>
      <c r="F275" s="255" t="str">
        <f>IF(D275="","",VLOOKUP(D275,契約台帳!$A$3:$K$4986,6,FALSE)&amp;VLOOKUP(D275,契約台帳!$A$3:$K$4986,7,FALSE)&amp;VLOOKUP(D275,契約台帳!$A$3:$K$4986,8,FALSE)&amp;VLOOKUP(D275,契約台帳!$A$3:$K$4986,9,FALSE)&amp;VLOOKUP(D275,契約台帳!$A$3:$K$4986,11,FALSE))</f>
        <v/>
      </c>
      <c r="G275" s="256" t="str">
        <f>IF(D275="","",VLOOKUP(F275,製品マスタ!$G$5:$H$4999,2,FALSE))</f>
        <v/>
      </c>
      <c r="H275" s="256" t="str">
        <f>IF(D275="","",VLOOKUP(F275,製品マスタ!$G$5:$K$4999,5,FALSE))</f>
        <v/>
      </c>
      <c r="I275" s="200" t="str">
        <f>IF(D275="","",VLOOKUP(F275,製品マスタ!$G$5:$L$4999,6,FALSE))</f>
        <v/>
      </c>
      <c r="J275" s="203" t="s">
        <v>448</v>
      </c>
      <c r="K275" s="200" t="str">
        <f>IF(D275="","",VLOOKUP(D275,契約台帳!$A$3:$L$4986,12,FALSE))</f>
        <v/>
      </c>
      <c r="L275" s="200" t="str">
        <f>IF(D275="","",INDEX(製品マスタ!$Q$5:$Q$4999,MATCH('S4'!F275&amp;'S4'!K275,製品マスタ!$AO$5:$AO$4999,0)))</f>
        <v/>
      </c>
      <c r="M275" s="37"/>
      <c r="N275" s="37"/>
      <c r="O275" s="153"/>
      <c r="P275" s="45"/>
      <c r="Q275" s="54"/>
      <c r="R275" s="257" t="str">
        <f ca="1">IF(D275="","",IF(OFFSET(D275,-1,0)&lt;&gt;"","",IF(OR(J275="リード付け",J275="巻足し",J275="巻返しリード付け"),M275,VLOOKUP(D275,契約台帳!$A$3:$N$4986,14,FALSE))))</f>
        <v/>
      </c>
      <c r="S275" s="258" t="str">
        <f ca="1">IF(D275="","",IF(OFFSET(D275,-1,0)&lt;&gt;"","",IF(OR(J275="リード付け",J275="巻足し",J275="巻返しリード付け"),M275,VLOOKUP(D275,契約台帳!$A$3:$O$4986,15,FALSE))))</f>
        <v/>
      </c>
      <c r="T275" s="258" t="str">
        <f ca="1">IF(D275="","",IF(J275="リード付け",N275,IF(J275="巻返しリード付け",N275,IF(J275="巻足し",N275*P275+OFFSET(N275,1,0)*OFFSET(P275,1,0),VLOOKUP(D275,契約台帳!$A$3:$P$4986,16,FALSE)))))</f>
        <v/>
      </c>
      <c r="U275" s="38"/>
      <c r="V275" s="259" t="str">
        <f ca="1">IF(D275="","",IF(OFFSET(D275,-2,0)=D275,"",VLOOKUP(D275,契約台帳!$A$3:$R$4986,18,FALSE)))</f>
        <v/>
      </c>
      <c r="W275" s="256" t="str">
        <f>IF(D275="","",IF(T275="","",IF(OR(J275="巻足し",J275="巻返しリード付け"),"",IF(J275="巻返し",VLOOKUP(F275&amp;K275&amp;M275,製品マスタ!$M$5:$AD$4999,18,FALSE),IF(OR(J275="リード付け",J275="巻返しリード付け"),"原反コア",IF(J275="スリット",VLOOKUP(F275&amp;K275&amp;R275,製品マスタ!$N$5:$AD$4999,17,FALSE),""))))))</f>
        <v/>
      </c>
      <c r="X275" s="256" t="str">
        <f>IF(D275="","",IF(T275="","",IF(J275="巻足し","",IF(J275="巻返し",VLOOKUP(F275&amp;K275&amp;M275,製品マスタ!$M$5:$AE$4999,19,FALSE),IF(OR(J275="リード付け",J275="巻返しリード付け"),"",IF(J275="スリット",VLOOKUP(F275&amp;K275&amp;R275,製品マスタ!$N$5:$AE$4999,18,FALSE),""))))))</f>
        <v/>
      </c>
      <c r="Y275" s="256" t="str">
        <f>IF(D275="","",IF(T275="","",VLOOKUP(D275,契約台帳!$A$3:$Q$4986,17,FALSE)))</f>
        <v/>
      </c>
      <c r="Z275" s="256" t="str">
        <f>IF(D275="","",IF(T275="","",VLOOKUP(D275,契約台帳!$A$3:$E$4986,5,FALSE)))</f>
        <v/>
      </c>
      <c r="AA275" s="54"/>
      <c r="AB275" s="200" t="str">
        <f>IFERROR((VLOOKUP(F275&amp;K275&amp;M275,製品マスタ!$M$5:$AM$4999,27,FALSE)),"")</f>
        <v/>
      </c>
      <c r="AC275" s="31"/>
      <c r="AD275" s="184"/>
      <c r="AE275" s="51"/>
      <c r="AF275" s="52"/>
      <c r="AG275" s="41"/>
      <c r="AH275" s="45"/>
      <c r="AI275" s="28"/>
      <c r="AJ275" s="28"/>
      <c r="AK275" s="28"/>
      <c r="AL275" s="28"/>
      <c r="AM275" s="12"/>
      <c r="AN275" s="12"/>
      <c r="AO275" s="12"/>
      <c r="AP275" s="12"/>
      <c r="AQ275" s="12"/>
      <c r="AR275" s="13"/>
      <c r="AS275" s="14"/>
    </row>
    <row r="276" spans="1:45" s="16" customFormat="1" ht="30.95" hidden="1" customHeight="1" x14ac:dyDescent="0.2">
      <c r="A276" s="35"/>
      <c r="B276" s="36"/>
      <c r="C276" s="43"/>
      <c r="D276" s="29"/>
      <c r="E276" s="29"/>
      <c r="F276" s="255" t="str">
        <f>IF(D276="","",VLOOKUP(D276,契約台帳!$A$3:$K$4986,6,FALSE)&amp;VLOOKUP(D276,契約台帳!$A$3:$K$4986,7,FALSE)&amp;VLOOKUP(D276,契約台帳!$A$3:$K$4986,8,FALSE)&amp;VLOOKUP(D276,契約台帳!$A$3:$K$4986,9,FALSE)&amp;VLOOKUP(D276,契約台帳!$A$3:$K$4986,11,FALSE))</f>
        <v/>
      </c>
      <c r="G276" s="256" t="str">
        <f>IF(D276="","",VLOOKUP(F276,製品マスタ!$G$5:$H$4999,2,FALSE))</f>
        <v/>
      </c>
      <c r="H276" s="256" t="str">
        <f>IF(D276="","",VLOOKUP(F276,製品マスタ!$G$5:$K$4999,5,FALSE))</f>
        <v/>
      </c>
      <c r="I276" s="200" t="str">
        <f>IF(D276="","",VLOOKUP(F276,製品マスタ!$G$5:$L$4999,6,FALSE))</f>
        <v/>
      </c>
      <c r="J276" s="203"/>
      <c r="K276" s="200" t="str">
        <f>IF(D276="","",VLOOKUP(D276,契約台帳!$A$3:$L$4986,12,FALSE))</f>
        <v/>
      </c>
      <c r="L276" s="200" t="str">
        <f>IF(D276="","",INDEX(製品マスタ!$Q$5:$Q$4999,MATCH('S4'!F276&amp;'S4'!K276,製品マスタ!$AO$5:$AO$4999,0)))</f>
        <v/>
      </c>
      <c r="M276" s="37"/>
      <c r="N276" s="37"/>
      <c r="O276" s="153"/>
      <c r="P276" s="45"/>
      <c r="Q276" s="54"/>
      <c r="R276" s="257" t="str">
        <f ca="1">IF(D276="","",IF(OFFSET(D276,-1,0)&lt;&gt;"","",IF(OR(J276="リード付け",J276="巻足し",J276="巻返しリード付け"),M276,VLOOKUP(D276,契約台帳!$A$3:$N$4986,14,FALSE))))</f>
        <v/>
      </c>
      <c r="S276" s="258" t="str">
        <f ca="1">IF(D276="","",IF(OFFSET(D276,-1,0)&lt;&gt;"","",IF(OR(J276="リード付け",J276="巻足し",J276="巻返しリード付け"),M276,VLOOKUP(D276,契約台帳!$A$3:$O$4986,15,FALSE))))</f>
        <v/>
      </c>
      <c r="T276" s="258" t="str">
        <f ca="1">IF(D276="","",IF(J276="リード付け",N276,IF(J276="巻返しリード付け",N276,IF(J276="巻足し",N276*P276+OFFSET(N276,1,0)*OFFSET(P276,1,0),VLOOKUP(D276,契約台帳!$A$3:$P$4986,16,FALSE)))))</f>
        <v/>
      </c>
      <c r="U276" s="38"/>
      <c r="V276" s="259" t="str">
        <f ca="1">IF(D276="","",IF(OFFSET(D276,-2,0)=D276,"",VLOOKUP(D276,契約台帳!$A$3:$R$4986,18,FALSE)))</f>
        <v/>
      </c>
      <c r="W276" s="256" t="str">
        <f>IF(D276="","",IF(T276="","",IF(OR(J276="巻足し",J276="巻返しリード付け"),"",IF(J276="巻返し",VLOOKUP(F276&amp;K276&amp;M276,製品マスタ!$M$5:$AD$4999,18,FALSE),IF(OR(J276="リード付け",J276="巻返しリード付け"),"原反コア",IF(J276="スリット",VLOOKUP(F276&amp;K276&amp;R276,製品マスタ!$N$5:$AD$4999,17,FALSE),""))))))</f>
        <v/>
      </c>
      <c r="X276" s="256" t="str">
        <f>IF(D276="","",IF(T276="","",IF(J276="巻足し","",IF(J276="巻返し",VLOOKUP(F276&amp;K276&amp;M276,製品マスタ!$M$5:$AE$4999,19,FALSE),IF(OR(J276="リード付け",J276="巻返しリード付け"),"",IF(J276="スリット",VLOOKUP(F276&amp;K276&amp;R276,製品マスタ!$N$5:$AE$4999,18,FALSE),""))))))</f>
        <v/>
      </c>
      <c r="Y276" s="256" t="str">
        <f>IF(D276="","",IF(T276="","",VLOOKUP(D276,契約台帳!$A$3:$Q$4986,17,FALSE)))</f>
        <v/>
      </c>
      <c r="Z276" s="256" t="str">
        <f>IF(D276="","",IF(T276="","",VLOOKUP(D276,契約台帳!$A$3:$E$4986,5,FALSE)))</f>
        <v/>
      </c>
      <c r="AA276" s="54"/>
      <c r="AB276" s="200" t="str">
        <f>IFERROR((VLOOKUP(F276&amp;K276&amp;M276,製品マスタ!$M$5:$AM$4999,27,FALSE)),"")</f>
        <v/>
      </c>
      <c r="AC276" s="31"/>
      <c r="AD276" s="184"/>
      <c r="AE276" s="51"/>
      <c r="AF276" s="52"/>
      <c r="AG276" s="41"/>
      <c r="AH276" s="45"/>
      <c r="AI276" s="28"/>
      <c r="AJ276" s="28"/>
      <c r="AK276" s="28"/>
      <c r="AL276" s="28"/>
      <c r="AM276" s="12"/>
      <c r="AN276" s="12"/>
      <c r="AO276" s="12"/>
      <c r="AP276" s="12"/>
      <c r="AQ276" s="12"/>
      <c r="AR276" s="13"/>
      <c r="AS276" s="14"/>
    </row>
    <row r="277" spans="1:45" s="16" customFormat="1" ht="30.95" hidden="1" customHeight="1" x14ac:dyDescent="0.2">
      <c r="A277" s="35" t="s">
        <v>922</v>
      </c>
      <c r="B277" s="36" t="s">
        <v>923</v>
      </c>
      <c r="C277" s="43"/>
      <c r="D277" s="29"/>
      <c r="E277" s="29"/>
      <c r="F277" s="255" t="str">
        <f>IF(D277="","",VLOOKUP(D277,契約台帳!$A$3:$K$4986,6,FALSE)&amp;VLOOKUP(D277,契約台帳!$A$3:$K$4986,7,FALSE)&amp;VLOOKUP(D277,契約台帳!$A$3:$K$4986,8,FALSE)&amp;VLOOKUP(D277,契約台帳!$A$3:$K$4986,9,FALSE)&amp;VLOOKUP(D277,契約台帳!$A$3:$K$4986,11,FALSE))</f>
        <v/>
      </c>
      <c r="G277" s="256" t="str">
        <f>IF(D277="","",VLOOKUP(F277,製品マスタ!$G$5:$H$4999,2,FALSE))</f>
        <v/>
      </c>
      <c r="H277" s="256" t="str">
        <f>IF(D277="","",VLOOKUP(F277,製品マスタ!$G$5:$K$4999,5,FALSE))</f>
        <v/>
      </c>
      <c r="I277" s="200" t="str">
        <f>IF(D277="","",VLOOKUP(F277,製品マスタ!$G$5:$L$4999,6,FALSE))</f>
        <v/>
      </c>
      <c r="J277" s="203" t="s">
        <v>448</v>
      </c>
      <c r="K277" s="200" t="str">
        <f>IF(D277="","",VLOOKUP(D277,契約台帳!$A$3:$L$4986,12,FALSE))</f>
        <v/>
      </c>
      <c r="L277" s="200" t="str">
        <f>IF(D277="","",INDEX(製品マスタ!$Q$5:$Q$4999,MATCH('S4'!F277&amp;'S4'!K277,製品マスタ!$AO$5:$AO$4999,0)))</f>
        <v/>
      </c>
      <c r="M277" s="37"/>
      <c r="N277" s="37"/>
      <c r="O277" s="153"/>
      <c r="P277" s="45"/>
      <c r="Q277" s="54"/>
      <c r="R277" s="257" t="str">
        <f ca="1">IF(D277="","",IF(OFFSET(D277,-1,0)&lt;&gt;"","",IF(OR(J277="リード付け",J277="巻足し",J277="巻返しリード付け"),M277,VLOOKUP(D277,契約台帳!$A$3:$N$4986,14,FALSE))))</f>
        <v/>
      </c>
      <c r="S277" s="258" t="str">
        <f ca="1">IF(D277="","",IF(OFFSET(D277,-1,0)&lt;&gt;"","",IF(OR(J277="リード付け",J277="巻足し",J277="巻返しリード付け"),M277,VLOOKUP(D277,契約台帳!$A$3:$O$4986,15,FALSE))))</f>
        <v/>
      </c>
      <c r="T277" s="258" t="str">
        <f ca="1">IF(D277="","",IF(J277="リード付け",N277,IF(J277="巻返しリード付け",N277,IF(J277="巻足し",N277*P277+OFFSET(N277,1,0)*OFFSET(P277,1,0),VLOOKUP(D277,契約台帳!$A$3:$P$4986,16,FALSE)))))</f>
        <v/>
      </c>
      <c r="U277" s="38"/>
      <c r="V277" s="259" t="str">
        <f ca="1">IF(D277="","",IF(OFFSET(D277,-2,0)=D277,"",VLOOKUP(D277,契約台帳!$A$3:$R$4986,18,FALSE)))</f>
        <v/>
      </c>
      <c r="W277" s="256" t="str">
        <f>IF(D277="","",IF(T277="","",IF(OR(J277="巻足し",J277="巻返しリード付け"),"",IF(J277="巻返し",VLOOKUP(F277&amp;K277&amp;M277,製品マスタ!$M$5:$AD$4999,18,FALSE),IF(OR(J277="リード付け",J277="巻返しリード付け"),"原反コア",IF(J277="スリット",VLOOKUP(F277&amp;K277&amp;R277,製品マスタ!$N$5:$AD$4999,17,FALSE),""))))))</f>
        <v/>
      </c>
      <c r="X277" s="256" t="str">
        <f>IF(D277="","",IF(T277="","",IF(J277="巻足し","",IF(J277="巻返し",VLOOKUP(F277&amp;K277&amp;M277,製品マスタ!$M$5:$AE$4999,19,FALSE),IF(OR(J277="リード付け",J277="巻返しリード付け"),"",IF(J277="スリット",VLOOKUP(F277&amp;K277&amp;R277,製品マスタ!$N$5:$AE$4999,18,FALSE),""))))))</f>
        <v/>
      </c>
      <c r="Y277" s="256" t="str">
        <f>IF(D277="","",IF(T277="","",VLOOKUP(D277,契約台帳!$A$3:$Q$4986,17,FALSE)))</f>
        <v/>
      </c>
      <c r="Z277" s="256" t="str">
        <f>IF(D277="","",IF(T277="","",VLOOKUP(D277,契約台帳!$A$3:$E$4986,5,FALSE)))</f>
        <v/>
      </c>
      <c r="AA277" s="54"/>
      <c r="AB277" s="200" t="str">
        <f>IFERROR((VLOOKUP(F277&amp;K277&amp;M277,製品マスタ!$M$5:$AM$4999,27,FALSE)),"")</f>
        <v/>
      </c>
      <c r="AC277" s="31"/>
      <c r="AD277" s="184"/>
      <c r="AE277" s="51"/>
      <c r="AF277" s="52"/>
      <c r="AG277" s="41"/>
      <c r="AH277" s="45"/>
      <c r="AI277" s="28"/>
      <c r="AJ277" s="28"/>
      <c r="AK277" s="28"/>
      <c r="AL277" s="28"/>
      <c r="AM277" s="12"/>
      <c r="AN277" s="12"/>
      <c r="AO277" s="12"/>
      <c r="AP277" s="12"/>
      <c r="AQ277" s="12"/>
      <c r="AR277" s="13"/>
      <c r="AS277" s="14"/>
    </row>
    <row r="278" spans="1:45" s="16" customFormat="1" ht="30.95" hidden="1" customHeight="1" x14ac:dyDescent="0.2">
      <c r="A278" s="35"/>
      <c r="B278" s="36"/>
      <c r="C278" s="43"/>
      <c r="D278" s="29"/>
      <c r="E278" s="29"/>
      <c r="F278" s="255" t="str">
        <f>IF(D278="","",VLOOKUP(D278,契約台帳!$A$3:$K$4986,6,FALSE)&amp;VLOOKUP(D278,契約台帳!$A$3:$K$4986,7,FALSE)&amp;VLOOKUP(D278,契約台帳!$A$3:$K$4986,8,FALSE)&amp;VLOOKUP(D278,契約台帳!$A$3:$K$4986,9,FALSE)&amp;VLOOKUP(D278,契約台帳!$A$3:$K$4986,11,FALSE))</f>
        <v/>
      </c>
      <c r="G278" s="256" t="str">
        <f>IF(D278="","",VLOOKUP(F278,製品マスタ!$G$5:$H$4999,2,FALSE))</f>
        <v/>
      </c>
      <c r="H278" s="256" t="str">
        <f>IF(D278="","",VLOOKUP(F278,製品マスタ!$G$5:$K$4999,5,FALSE))</f>
        <v/>
      </c>
      <c r="I278" s="200" t="str">
        <f>IF(D278="","",VLOOKUP(F278,製品マスタ!$G$5:$L$4999,6,FALSE))</f>
        <v/>
      </c>
      <c r="J278" s="203"/>
      <c r="K278" s="200" t="str">
        <f>IF(D278="","",VLOOKUP(D278,契約台帳!$A$3:$L$4986,12,FALSE))</f>
        <v/>
      </c>
      <c r="L278" s="200" t="str">
        <f>IF(D278="","",INDEX(製品マスタ!$Q$5:$Q$4999,MATCH('S4'!F278&amp;'S4'!K278,製品マスタ!$AO$5:$AO$4999,0)))</f>
        <v/>
      </c>
      <c r="M278" s="37"/>
      <c r="N278" s="37"/>
      <c r="O278" s="153"/>
      <c r="P278" s="45"/>
      <c r="Q278" s="54"/>
      <c r="R278" s="257" t="str">
        <f ca="1">IF(D278="","",IF(OFFSET(D278,-1,0)&lt;&gt;"","",IF(OR(J278="リード付け",J278="巻足し",J278="巻返しリード付け"),M278,VLOOKUP(D278,契約台帳!$A$3:$N$4986,14,FALSE))))</f>
        <v/>
      </c>
      <c r="S278" s="258" t="str">
        <f ca="1">IF(D278="","",IF(OFFSET(D278,-1,0)&lt;&gt;"","",IF(OR(J278="リード付け",J278="巻足し",J278="巻返しリード付け"),M278,VLOOKUP(D278,契約台帳!$A$3:$O$4986,15,FALSE))))</f>
        <v/>
      </c>
      <c r="T278" s="258" t="str">
        <f ca="1">IF(D278="","",IF(J278="リード付け",N278,IF(J278="巻返しリード付け",N278,IF(J278="巻足し",N278*P278+OFFSET(N278,1,0)*OFFSET(P278,1,0),VLOOKUP(D278,契約台帳!$A$3:$P$4986,16,FALSE)))))</f>
        <v/>
      </c>
      <c r="U278" s="38"/>
      <c r="V278" s="259" t="str">
        <f ca="1">IF(D278="","",IF(OFFSET(D278,-2,0)=D278,"",VLOOKUP(D278,契約台帳!$A$3:$R$4986,18,FALSE)))</f>
        <v/>
      </c>
      <c r="W278" s="256" t="str">
        <f>IF(D278="","",IF(T278="","",IF(OR(J278="巻足し",J278="巻返しリード付け"),"",IF(J278="巻返し",VLOOKUP(F278&amp;K278&amp;M278,製品マスタ!$M$5:$AD$4999,18,FALSE),IF(OR(J278="リード付け",J278="巻返しリード付け"),"原反コア",IF(J278="スリット",VLOOKUP(F278&amp;K278&amp;R278,製品マスタ!$N$5:$AD$4999,17,FALSE),""))))))</f>
        <v/>
      </c>
      <c r="X278" s="256" t="str">
        <f>IF(D278="","",IF(T278="","",IF(J278="巻足し","",IF(J278="巻返し",VLOOKUP(F278&amp;K278&amp;M278,製品マスタ!$M$5:$AE$4999,19,FALSE),IF(OR(J278="リード付け",J278="巻返しリード付け"),"",IF(J278="スリット",VLOOKUP(F278&amp;K278&amp;R278,製品マスタ!$N$5:$AE$4999,18,FALSE),""))))))</f>
        <v/>
      </c>
      <c r="Y278" s="256" t="str">
        <f>IF(D278="","",IF(T278="","",VLOOKUP(D278,契約台帳!$A$3:$Q$4986,17,FALSE)))</f>
        <v/>
      </c>
      <c r="Z278" s="256" t="str">
        <f>IF(D278="","",IF(T278="","",VLOOKUP(D278,契約台帳!$A$3:$E$4986,5,FALSE)))</f>
        <v/>
      </c>
      <c r="AA278" s="54"/>
      <c r="AB278" s="200" t="str">
        <f>IFERROR((VLOOKUP(F278&amp;K278&amp;M278,製品マスタ!$M$5:$AM$4999,27,FALSE)),"")</f>
        <v/>
      </c>
      <c r="AC278" s="31"/>
      <c r="AD278" s="184"/>
      <c r="AE278" s="51"/>
      <c r="AF278" s="52"/>
      <c r="AG278" s="41"/>
      <c r="AH278" s="45"/>
      <c r="AI278" s="28"/>
      <c r="AJ278" s="28"/>
      <c r="AK278" s="28"/>
      <c r="AL278" s="28"/>
      <c r="AM278" s="12"/>
      <c r="AN278" s="12"/>
      <c r="AO278" s="12"/>
      <c r="AP278" s="12"/>
      <c r="AQ278" s="12"/>
      <c r="AR278" s="13"/>
      <c r="AS278" s="14"/>
    </row>
    <row r="279" spans="1:45" s="16" customFormat="1" ht="30.95" hidden="1" customHeight="1" x14ac:dyDescent="0.2">
      <c r="A279" s="35" t="s">
        <v>924</v>
      </c>
      <c r="B279" s="36" t="s">
        <v>914</v>
      </c>
      <c r="C279" s="43"/>
      <c r="D279" s="29"/>
      <c r="E279" s="29"/>
      <c r="F279" s="255" t="str">
        <f>IF(D279="","",VLOOKUP(D279,契約台帳!$A$3:$K$4986,6,FALSE)&amp;VLOOKUP(D279,契約台帳!$A$3:$K$4986,7,FALSE)&amp;VLOOKUP(D279,契約台帳!$A$3:$K$4986,8,FALSE)&amp;VLOOKUP(D279,契約台帳!$A$3:$K$4986,9,FALSE)&amp;VLOOKUP(D279,契約台帳!$A$3:$K$4986,11,FALSE))</f>
        <v/>
      </c>
      <c r="G279" s="256" t="str">
        <f>IF(D279="","",VLOOKUP(F279,製品マスタ!$G$5:$H$4999,2,FALSE))</f>
        <v/>
      </c>
      <c r="H279" s="256" t="str">
        <f>IF(D279="","",VLOOKUP(F279,製品マスタ!$G$5:$K$4999,5,FALSE))</f>
        <v/>
      </c>
      <c r="I279" s="200" t="str">
        <f>IF(D279="","",VLOOKUP(F279,製品マスタ!$G$5:$L$4999,6,FALSE))</f>
        <v/>
      </c>
      <c r="J279" s="203" t="s">
        <v>919</v>
      </c>
      <c r="K279" s="200" t="str">
        <f>IF(D279="","",VLOOKUP(D279,契約台帳!$A$3:$L$4986,12,FALSE))</f>
        <v/>
      </c>
      <c r="L279" s="200" t="str">
        <f>IF(D279="","",INDEX(製品マスタ!$Q$5:$Q$4999,MATCH('S4'!F279&amp;'S4'!K279,製品マスタ!$AO$5:$AO$4999,0)))</f>
        <v/>
      </c>
      <c r="M279" s="37"/>
      <c r="N279" s="37"/>
      <c r="O279" s="153"/>
      <c r="P279" s="45"/>
      <c r="Q279" s="54"/>
      <c r="R279" s="257" t="str">
        <f ca="1">IF(D279="","",IF(OFFSET(D279,-1,0)&lt;&gt;"","",IF(OR(J279="リード付け",J279="巻足し",J279="巻返しリード付け"),M279,VLOOKUP(D279,契約台帳!$A$3:$N$4986,14,FALSE))))</f>
        <v/>
      </c>
      <c r="S279" s="258" t="str">
        <f ca="1">IF(D279="","",IF(OFFSET(D279,-1,0)&lt;&gt;"","",IF(OR(J279="リード付け",J279="巻足し",J279="巻返しリード付け"),M279,VLOOKUP(D279,契約台帳!$A$3:$O$4986,15,FALSE))))</f>
        <v/>
      </c>
      <c r="T279" s="258" t="str">
        <f ca="1">IF(D279="","",IF(J279="リード付け",N279,IF(J279="巻返しリード付け",N279,IF(J279="巻足し",N279*P279+OFFSET(N279,1,0)*OFFSET(P279,1,0),VLOOKUP(D279,契約台帳!$A$3:$P$4986,16,FALSE)))))</f>
        <v/>
      </c>
      <c r="U279" s="38"/>
      <c r="V279" s="259" t="str">
        <f ca="1">IF(D279="","",IF(OFFSET(D279,-2,0)=D279,"",VLOOKUP(D279,契約台帳!$A$3:$R$4986,18,FALSE)))</f>
        <v/>
      </c>
      <c r="W279" s="256" t="str">
        <f>IF(D279="","",IF(T279="","",IF(OR(J279="巻足し",J279="巻返しリード付け"),"",IF(J279="巻返し",VLOOKUP(F279&amp;K279&amp;M279,製品マスタ!$M$5:$AD$4999,18,FALSE),IF(OR(J279="リード付け",J279="巻返しリード付け"),"原反コア",IF(J279="スリット",VLOOKUP(F279&amp;K279&amp;R279,製品マスタ!$N$5:$AD$4999,17,FALSE),""))))))</f>
        <v/>
      </c>
      <c r="X279" s="256" t="str">
        <f>IF(D279="","",IF(T279="","",IF(J279="巻足し","",IF(J279="巻返し",VLOOKUP(F279&amp;K279&amp;M279,製品マスタ!$M$5:$AE$4999,19,FALSE),IF(OR(J279="リード付け",J279="巻返しリード付け"),"",IF(J279="スリット",VLOOKUP(F279&amp;K279&amp;R279,製品マスタ!$N$5:$AE$4999,18,FALSE),""))))))</f>
        <v/>
      </c>
      <c r="Y279" s="256" t="str">
        <f>IF(D279="","",IF(T279="","",VLOOKUP(D279,契約台帳!$A$3:$Q$4986,17,FALSE)))</f>
        <v/>
      </c>
      <c r="Z279" s="256" t="str">
        <f>IF(D279="","",IF(T279="","",VLOOKUP(D279,契約台帳!$A$3:$E$4986,5,FALSE)))</f>
        <v/>
      </c>
      <c r="AA279" s="54"/>
      <c r="AB279" s="200" t="str">
        <f>IFERROR((VLOOKUP(F279&amp;K279&amp;M279,製品マスタ!$M$5:$AM$4999,27,FALSE)),"")</f>
        <v/>
      </c>
      <c r="AC279" s="31"/>
      <c r="AD279" s="184"/>
      <c r="AE279" s="51"/>
      <c r="AF279" s="52"/>
      <c r="AG279" s="41"/>
      <c r="AH279" s="45"/>
      <c r="AI279" s="28"/>
      <c r="AJ279" s="28"/>
      <c r="AK279" s="28"/>
      <c r="AL279" s="28"/>
      <c r="AM279" s="12"/>
      <c r="AN279" s="12"/>
      <c r="AO279" s="12"/>
      <c r="AP279" s="12"/>
      <c r="AQ279" s="12"/>
      <c r="AR279" s="13"/>
      <c r="AS279" s="14"/>
    </row>
    <row r="280" spans="1:45" s="16" customFormat="1" ht="30.95" hidden="1" customHeight="1" x14ac:dyDescent="0.2">
      <c r="A280" s="35"/>
      <c r="B280" s="36"/>
      <c r="C280" s="43"/>
      <c r="D280" s="29"/>
      <c r="E280" s="29"/>
      <c r="F280" s="255" t="str">
        <f>IF(D280="","",VLOOKUP(D280,契約台帳!$A$3:$K$4986,6,FALSE)&amp;VLOOKUP(D280,契約台帳!$A$3:$K$4986,7,FALSE)&amp;VLOOKUP(D280,契約台帳!$A$3:$K$4986,8,FALSE)&amp;VLOOKUP(D280,契約台帳!$A$3:$K$4986,9,FALSE)&amp;VLOOKUP(D280,契約台帳!$A$3:$K$4986,11,FALSE))</f>
        <v/>
      </c>
      <c r="G280" s="256" t="str">
        <f>IF(D280="","",VLOOKUP(F280,製品マスタ!$G$5:$H$4999,2,FALSE))</f>
        <v/>
      </c>
      <c r="H280" s="256" t="str">
        <f>IF(D280="","",VLOOKUP(F280,製品マスタ!$G$5:$K$4999,5,FALSE))</f>
        <v/>
      </c>
      <c r="I280" s="200" t="str">
        <f>IF(D280="","",VLOOKUP(F280,製品マスタ!$G$5:$L$4999,6,FALSE))</f>
        <v/>
      </c>
      <c r="J280" s="203"/>
      <c r="K280" s="200" t="str">
        <f>IF(D280="","",VLOOKUP(D280,契約台帳!$A$3:$L$4986,12,FALSE))</f>
        <v/>
      </c>
      <c r="L280" s="200" t="str">
        <f>IF(D280="","",INDEX(製品マスタ!$Q$5:$Q$4999,MATCH('S4'!F280&amp;'S4'!K280,製品マスタ!$AO$5:$AO$4999,0)))</f>
        <v/>
      </c>
      <c r="M280" s="37"/>
      <c r="N280" s="37"/>
      <c r="O280" s="153"/>
      <c r="P280" s="45"/>
      <c r="Q280" s="54"/>
      <c r="R280" s="257" t="str">
        <f ca="1">IF(D280="","",IF(OFFSET(D280,-1,0)&lt;&gt;"","",IF(OR(J280="リード付け",J280="巻足し",J280="巻返しリード付け"),M280,VLOOKUP(D280,契約台帳!$A$3:$N$4986,14,FALSE))))</f>
        <v/>
      </c>
      <c r="S280" s="258" t="str">
        <f ca="1">IF(D280="","",IF(OFFSET(D280,-1,0)&lt;&gt;"","",IF(OR(J280="リード付け",J280="巻足し",J280="巻返しリード付け"),M280,VLOOKUP(D280,契約台帳!$A$3:$O$4986,15,FALSE))))</f>
        <v/>
      </c>
      <c r="T280" s="258" t="str">
        <f ca="1">IF(D280="","",IF(J280="リード付け",N280,IF(J280="巻返しリード付け",N280,IF(J280="巻足し",N280*P280+OFFSET(N280,1,0)*OFFSET(P280,1,0),VLOOKUP(D280,契約台帳!$A$3:$P$4986,16,FALSE)))))</f>
        <v/>
      </c>
      <c r="U280" s="38"/>
      <c r="V280" s="259" t="str">
        <f ca="1">IF(D280="","",IF(OFFSET(D280,-2,0)=D280,"",VLOOKUP(D280,契約台帳!$A$3:$R$4986,18,FALSE)))</f>
        <v/>
      </c>
      <c r="W280" s="256" t="str">
        <f>IF(D280="","",IF(T280="","",IF(OR(J280="巻足し",J280="巻返しリード付け"),"",IF(J280="巻返し",VLOOKUP(F280&amp;K280&amp;M280,製品マスタ!$M$5:$AD$4999,18,FALSE),IF(OR(J280="リード付け",J280="巻返しリード付け"),"原反コア",IF(J280="スリット",VLOOKUP(F280&amp;K280&amp;R280,製品マスタ!$N$5:$AD$4999,17,FALSE),""))))))</f>
        <v/>
      </c>
      <c r="X280" s="256" t="str">
        <f>IF(D280="","",IF(T280="","",IF(J280="巻足し","",IF(J280="巻返し",VLOOKUP(F280&amp;K280&amp;M280,製品マスタ!$M$5:$AE$4999,19,FALSE),IF(OR(J280="リード付け",J280="巻返しリード付け"),"",IF(J280="スリット",VLOOKUP(F280&amp;K280&amp;R280,製品マスタ!$N$5:$AE$4999,18,FALSE),""))))))</f>
        <v/>
      </c>
      <c r="Y280" s="256" t="str">
        <f>IF(D280="","",IF(T280="","",VLOOKUP(D280,契約台帳!$A$3:$Q$4986,17,FALSE)))</f>
        <v/>
      </c>
      <c r="Z280" s="256" t="str">
        <f>IF(D280="","",IF(T280="","",VLOOKUP(D280,契約台帳!$A$3:$E$4986,5,FALSE)))</f>
        <v/>
      </c>
      <c r="AA280" s="54"/>
      <c r="AB280" s="200" t="str">
        <f>IFERROR((VLOOKUP(F280&amp;K280&amp;M280,製品マスタ!$M$5:$AM$4999,27,FALSE)),"")</f>
        <v/>
      </c>
      <c r="AC280" s="31"/>
      <c r="AD280" s="184"/>
      <c r="AE280" s="51"/>
      <c r="AF280" s="52"/>
      <c r="AG280" s="41"/>
      <c r="AH280" s="45"/>
      <c r="AI280" s="28"/>
      <c r="AJ280" s="28"/>
      <c r="AK280" s="28"/>
      <c r="AL280" s="28"/>
      <c r="AM280" s="12"/>
      <c r="AN280" s="12"/>
      <c r="AO280" s="12"/>
      <c r="AP280" s="12"/>
      <c r="AQ280" s="12"/>
      <c r="AR280" s="13"/>
      <c r="AS280" s="14"/>
    </row>
    <row r="281" spans="1:45" s="16" customFormat="1" ht="30.95" hidden="1" customHeight="1" x14ac:dyDescent="0.2">
      <c r="A281" s="35" t="s">
        <v>925</v>
      </c>
      <c r="B281" s="36" t="s">
        <v>916</v>
      </c>
      <c r="C281" s="43"/>
      <c r="D281" s="29"/>
      <c r="E281" s="29"/>
      <c r="F281" s="255" t="str">
        <f>IF(D281="","",VLOOKUP(D281,契約台帳!$A$3:$K$4986,6,FALSE)&amp;VLOOKUP(D281,契約台帳!$A$3:$K$4986,7,FALSE)&amp;VLOOKUP(D281,契約台帳!$A$3:$K$4986,8,FALSE)&amp;VLOOKUP(D281,契約台帳!$A$3:$K$4986,9,FALSE)&amp;VLOOKUP(D281,契約台帳!$A$3:$K$4986,11,FALSE))</f>
        <v/>
      </c>
      <c r="G281" s="256" t="str">
        <f>IF(D281="","",VLOOKUP(F281,製品マスタ!$G$5:$H$4999,2,FALSE))</f>
        <v/>
      </c>
      <c r="H281" s="256" t="str">
        <f>IF(D281="","",VLOOKUP(F281,製品マスタ!$G$5:$K$4999,5,FALSE))</f>
        <v/>
      </c>
      <c r="I281" s="200" t="str">
        <f>IF(D281="","",VLOOKUP(F281,製品マスタ!$G$5:$L$4999,6,FALSE))</f>
        <v/>
      </c>
      <c r="J281" s="203" t="s">
        <v>926</v>
      </c>
      <c r="K281" s="200" t="str">
        <f>IF(D281="","",VLOOKUP(D281,契約台帳!$A$3:$L$4986,12,FALSE))</f>
        <v/>
      </c>
      <c r="L281" s="200" t="str">
        <f>IF(D281="","",INDEX(製品マスタ!$Q$5:$Q$4999,MATCH('S4'!F281&amp;'S4'!K281,製品マスタ!$AO$5:$AO$4999,0)))</f>
        <v/>
      </c>
      <c r="M281" s="37"/>
      <c r="N281" s="37"/>
      <c r="O281" s="153"/>
      <c r="P281" s="45"/>
      <c r="Q281" s="54"/>
      <c r="R281" s="257" t="str">
        <f ca="1">IF(D281="","",IF(OFFSET(D281,-1,0)&lt;&gt;"","",IF(OR(J281="リード付け",J281="巻足し",J281="巻返しリード付け"),M281,VLOOKUP(D281,契約台帳!$A$3:$N$4986,14,FALSE))))</f>
        <v/>
      </c>
      <c r="S281" s="258" t="str">
        <f ca="1">IF(D281="","",IF(OFFSET(D281,-1,0)&lt;&gt;"","",IF(OR(J281="リード付け",J281="巻足し",J281="巻返しリード付け"),M281,VLOOKUP(D281,契約台帳!$A$3:$O$4986,15,FALSE))))</f>
        <v/>
      </c>
      <c r="T281" s="258" t="str">
        <f ca="1">IF(D281="","",IF(J281="リード付け",N281,IF(J281="巻返しリード付け",N281,IF(J281="巻足し",N281*P281+OFFSET(N281,1,0)*OFFSET(P281,1,0),VLOOKUP(D281,契約台帳!$A$3:$P$4986,16,FALSE)))))</f>
        <v/>
      </c>
      <c r="U281" s="38"/>
      <c r="V281" s="259" t="str">
        <f ca="1">IF(D281="","",IF(OFFSET(D281,-2,0)=D281,"",VLOOKUP(D281,契約台帳!$A$3:$R$4986,18,FALSE)))</f>
        <v/>
      </c>
      <c r="W281" s="256" t="str">
        <f>IF(D281="","",IF(T281="","",IF(OR(J281="巻足し",J281="巻返しリード付け"),"",IF(J281="巻返し",VLOOKUP(F281&amp;K281&amp;M281,製品マスタ!$M$5:$AD$4999,18,FALSE),IF(OR(J281="リード付け",J281="巻返しリード付け"),"原反コア",IF(J281="スリット",VLOOKUP(F281&amp;K281&amp;R281,製品マスタ!$N$5:$AD$4999,17,FALSE),""))))))</f>
        <v/>
      </c>
      <c r="X281" s="256" t="str">
        <f>IF(D281="","",IF(T281="","",IF(J281="巻足し","",IF(J281="巻返し",VLOOKUP(F281&amp;K281&amp;M281,製品マスタ!$M$5:$AE$4999,19,FALSE),IF(OR(J281="リード付け",J281="巻返しリード付け"),"",IF(J281="スリット",VLOOKUP(F281&amp;K281&amp;R281,製品マスタ!$N$5:$AE$4999,18,FALSE),""))))))</f>
        <v/>
      </c>
      <c r="Y281" s="256" t="str">
        <f>IF(D281="","",IF(T281="","",VLOOKUP(D281,契約台帳!$A$3:$Q$4986,17,FALSE)))</f>
        <v/>
      </c>
      <c r="Z281" s="256" t="str">
        <f>IF(D281="","",IF(T281="","",VLOOKUP(D281,契約台帳!$A$3:$E$4986,5,FALSE)))</f>
        <v/>
      </c>
      <c r="AA281" s="54"/>
      <c r="AB281" s="200" t="str">
        <f>IFERROR((VLOOKUP(F281&amp;K281&amp;M281,製品マスタ!$M$5:$AM$4999,27,FALSE)),"")</f>
        <v/>
      </c>
      <c r="AC281" s="31"/>
      <c r="AD281" s="184"/>
      <c r="AE281" s="51"/>
      <c r="AF281" s="52"/>
      <c r="AG281" s="41"/>
      <c r="AH281" s="45"/>
      <c r="AI281" s="28"/>
      <c r="AJ281" s="28"/>
      <c r="AK281" s="28"/>
      <c r="AL281" s="28"/>
      <c r="AM281" s="12"/>
      <c r="AN281" s="12"/>
      <c r="AO281" s="12"/>
      <c r="AP281" s="12"/>
      <c r="AQ281" s="12"/>
      <c r="AR281" s="13"/>
      <c r="AS281" s="14"/>
    </row>
    <row r="282" spans="1:45" s="16" customFormat="1" ht="30.95" hidden="1" customHeight="1" x14ac:dyDescent="0.2">
      <c r="A282" s="35"/>
      <c r="B282" s="36"/>
      <c r="C282" s="43"/>
      <c r="D282" s="29"/>
      <c r="E282" s="29"/>
      <c r="F282" s="255" t="str">
        <f>IF(D282="","",VLOOKUP(D282,契約台帳!$A$3:$K$4986,6,FALSE)&amp;VLOOKUP(D282,契約台帳!$A$3:$K$4986,7,FALSE)&amp;VLOOKUP(D282,契約台帳!$A$3:$K$4986,8,FALSE)&amp;VLOOKUP(D282,契約台帳!$A$3:$K$4986,9,FALSE)&amp;VLOOKUP(D282,契約台帳!$A$3:$K$4986,11,FALSE))</f>
        <v/>
      </c>
      <c r="G282" s="256" t="str">
        <f>IF(D282="","",VLOOKUP(F282,製品マスタ!$G$5:$H$4999,2,FALSE))</f>
        <v/>
      </c>
      <c r="H282" s="256" t="str">
        <f>IF(D282="","",VLOOKUP(F282,製品マスタ!$G$5:$K$4999,5,FALSE))</f>
        <v/>
      </c>
      <c r="I282" s="200" t="str">
        <f>IF(D282="","",VLOOKUP(F282,製品マスタ!$G$5:$L$4999,6,FALSE))</f>
        <v/>
      </c>
      <c r="J282" s="203"/>
      <c r="K282" s="200" t="str">
        <f>IF(D282="","",VLOOKUP(D282,契約台帳!$A$3:$L$4986,12,FALSE))</f>
        <v/>
      </c>
      <c r="L282" s="200" t="str">
        <f>IF(D282="","",INDEX(製品マスタ!$Q$5:$Q$4999,MATCH('S4'!F282&amp;'S4'!K282,製品マスタ!$AO$5:$AO$4999,0)))</f>
        <v/>
      </c>
      <c r="M282" s="37"/>
      <c r="N282" s="37"/>
      <c r="O282" s="153"/>
      <c r="P282" s="45"/>
      <c r="Q282" s="54"/>
      <c r="R282" s="257" t="str">
        <f ca="1">IF(D282="","",IF(OFFSET(D282,-1,0)&lt;&gt;"","",IF(OR(J282="リード付け",J282="巻足し",J282="巻返しリード付け"),M282,VLOOKUP(D282,契約台帳!$A$3:$N$4986,14,FALSE))))</f>
        <v/>
      </c>
      <c r="S282" s="258" t="str">
        <f ca="1">IF(D282="","",IF(OFFSET(D282,-1,0)&lt;&gt;"","",IF(OR(J282="リード付け",J282="巻足し",J282="巻返しリード付け"),M282,VLOOKUP(D282,契約台帳!$A$3:$O$4986,15,FALSE))))</f>
        <v/>
      </c>
      <c r="T282" s="258" t="str">
        <f ca="1">IF(D282="","",IF(J282="リード付け",N282,IF(J282="巻返しリード付け",N282,IF(J282="巻足し",N282*P282+OFFSET(N282,1,0)*OFFSET(P282,1,0),VLOOKUP(D282,契約台帳!$A$3:$P$4986,16,FALSE)))))</f>
        <v/>
      </c>
      <c r="U282" s="38"/>
      <c r="V282" s="259" t="str">
        <f ca="1">IF(D282="","",IF(OFFSET(D282,-2,0)=D282,"",VLOOKUP(D282,契約台帳!$A$3:$R$4986,18,FALSE)))</f>
        <v/>
      </c>
      <c r="W282" s="256" t="str">
        <f>IF(D282="","",IF(T282="","",IF(OR(J282="巻足し",J282="巻返しリード付け"),"",IF(J282="巻返し",VLOOKUP(F282&amp;K282&amp;M282,製品マスタ!$M$5:$AD$4999,18,FALSE),IF(OR(J282="リード付け",J282="巻返しリード付け"),"原反コア",IF(J282="スリット",VLOOKUP(F282&amp;K282&amp;R282,製品マスタ!$N$5:$AD$4999,17,FALSE),""))))))</f>
        <v/>
      </c>
      <c r="X282" s="256" t="str">
        <f>IF(D282="","",IF(T282="","",IF(J282="巻足し","",IF(J282="巻返し",VLOOKUP(F282&amp;K282&amp;M282,製品マスタ!$M$5:$AE$4999,19,FALSE),IF(OR(J282="リード付け",J282="巻返しリード付け"),"",IF(J282="スリット",VLOOKUP(F282&amp;K282&amp;R282,製品マスタ!$N$5:$AE$4999,18,FALSE),""))))))</f>
        <v/>
      </c>
      <c r="Y282" s="256" t="str">
        <f>IF(D282="","",IF(T282="","",VLOOKUP(D282,契約台帳!$A$3:$Q$4986,17,FALSE)))</f>
        <v/>
      </c>
      <c r="Z282" s="256" t="str">
        <f>IF(D282="","",IF(T282="","",VLOOKUP(D282,契約台帳!$A$3:$E$4986,5,FALSE)))</f>
        <v/>
      </c>
      <c r="AA282" s="54"/>
      <c r="AB282" s="200" t="str">
        <f>IFERROR((VLOOKUP(F282&amp;K282&amp;M282,製品マスタ!$M$5:$AM$4999,27,FALSE)),"")</f>
        <v/>
      </c>
      <c r="AC282" s="31"/>
      <c r="AD282" s="184"/>
      <c r="AE282" s="51"/>
      <c r="AF282" s="52"/>
      <c r="AG282" s="41"/>
      <c r="AH282" s="45"/>
      <c r="AI282" s="28"/>
      <c r="AJ282" s="28"/>
      <c r="AK282" s="28"/>
      <c r="AL282" s="28"/>
      <c r="AM282" s="12"/>
      <c r="AN282" s="12"/>
      <c r="AO282" s="12"/>
      <c r="AP282" s="12"/>
      <c r="AQ282" s="12"/>
      <c r="AR282" s="13"/>
      <c r="AS282" s="14"/>
    </row>
    <row r="283" spans="1:45" s="16" customFormat="1" ht="30.95" hidden="1" customHeight="1" x14ac:dyDescent="0.2">
      <c r="A283" s="35" t="s">
        <v>933</v>
      </c>
      <c r="B283" s="36" t="s">
        <v>934</v>
      </c>
      <c r="C283" s="43"/>
      <c r="D283" s="29">
        <v>3702341</v>
      </c>
      <c r="E283" s="29">
        <v>4161856</v>
      </c>
      <c r="F283" s="255" t="str">
        <f>IF(D283="","",VLOOKUP(D283,契約台帳!$A$3:$K$4986,6,FALSE)&amp;VLOOKUP(D283,契約台帳!$A$3:$K$4986,7,FALSE)&amp;VLOOKUP(D283,契約台帳!$A$3:$K$4986,8,FALSE)&amp;VLOOKUP(D283,契約台帳!$A$3:$K$4986,9,FALSE)&amp;VLOOKUP(D283,契約台帳!$A$3:$K$4986,11,FALSE))</f>
        <v>3SNMCLBMSNEYK</v>
      </c>
      <c r="G283" s="256" t="str">
        <f>IF(D283="","",VLOOKUP(F283,製品マスタ!$G$5:$H$4999,2,FALSE))</f>
        <v>S</v>
      </c>
      <c r="H283" s="256" t="str">
        <f>IF(D283="","",VLOOKUP(F283,製品マスタ!$G$5:$K$4999,5,FALSE))</f>
        <v>MSNEYK</v>
      </c>
      <c r="I283" s="200" t="str">
        <f>IF(D283="","",VLOOKUP(F283,製品マスタ!$G$5:$L$4999,6,FALSE))</f>
        <v>ＭＳＮ　ＥＹＫ</v>
      </c>
      <c r="J283" s="203" t="s">
        <v>935</v>
      </c>
      <c r="K283" s="200">
        <f>IF(D283="","",VLOOKUP(D283,契約台帳!$A$3:$L$4986,12,FALSE))</f>
        <v>50</v>
      </c>
      <c r="L283" s="200" t="str">
        <f>IF(D283="","",INDEX(製品マスタ!$Q$5:$Q$4999,MATCH('S4'!F283&amp;'S4'!K283,製品マスタ!$AO$5:$AO$4999,0)))</f>
        <v>N-MAT</v>
      </c>
      <c r="M283" s="37">
        <v>1200</v>
      </c>
      <c r="N283" s="37">
        <v>6000</v>
      </c>
      <c r="O283" s="153">
        <v>6</v>
      </c>
      <c r="P283" s="45">
        <v>2</v>
      </c>
      <c r="Q283" s="206">
        <v>44986</v>
      </c>
      <c r="R283" s="257">
        <f ca="1">IF(D283="","",IF(OFFSET(D283,-1,0)&lt;&gt;"","",IF(OR(J283="リード付け",J283="巻足し",J283="巻返しリード付け"),M283,VLOOKUP(D283,契約台帳!$A$3:$N$4986,14,FALSE))))</f>
        <v>1200</v>
      </c>
      <c r="S283" s="258">
        <f ca="1">IF(D283="","",IF(OFFSET(D283,-1,0)&lt;&gt;"","",IF(OR(J283="リード付け",J283="巻足し",J283="巻返しリード付け"),M283,VLOOKUP(D283,契約台帳!$A$3:$O$4986,15,FALSE))))</f>
        <v>1200</v>
      </c>
      <c r="T283" s="258">
        <f ca="1">IF(D283="","",IF(J283="リード付け",N283,IF(J283="巻返しリード付け",N283,IF(J283="巻足し",N283*P283+OFFSET(N283,1,0)*OFFSET(P283,1,0),VLOOKUP(D283,契約台帳!$A$3:$P$4986,16,FALSE)))))</f>
        <v>12000</v>
      </c>
      <c r="U283" s="38">
        <v>3</v>
      </c>
      <c r="V283" s="259">
        <f ca="1">IF(D283="","",IF(OFFSET(D283,-2,0)=D283,"",VLOOKUP(D283,契約台帳!$A$3:$R$4986,18,FALSE)))</f>
        <v>6</v>
      </c>
      <c r="W283" s="256" t="str">
        <f ca="1">IF(D283="","",IF(T283="","",IF(OR(J283="巻足し",J283="巻返しリード付け"),"",IF(J283="巻返し",VLOOKUP(F283&amp;K283&amp;M283,製品マスタ!$M$5:$AD$4999,18,FALSE),IF(OR(J283="リード付け",J283="巻返しリード付け"),"原反コア",IF(J283="スリット",VLOOKUP(F283&amp;K283&amp;R283,製品マスタ!$N$5:$AD$4999,17,FALSE),""))))))</f>
        <v/>
      </c>
      <c r="X283" s="256" t="str">
        <f ca="1">IF(D283="","",IF(T283="","",IF(J283="巻足し","",IF(J283="巻返し",VLOOKUP(F283&amp;K283&amp;M283,製品マスタ!$M$5:$AE$4999,19,FALSE),IF(OR(J283="リード付け",J283="巻返しリード付け"),"",IF(J283="スリット",VLOOKUP(F283&amp;K283&amp;R283,製品マスタ!$N$5:$AE$4999,18,FALSE),""))))))</f>
        <v/>
      </c>
      <c r="Y283" s="256">
        <f ca="1">IF(D283="","",IF(T283="","",VLOOKUP(D283,契約台帳!$A$3:$Q$4986,17,FALSE)))</f>
        <v>2</v>
      </c>
      <c r="Z283" s="256" t="str">
        <f ca="1">IF(D283="","",IF(T283="","",VLOOKUP(D283,契約台帳!$A$3:$E$4986,5,FALSE)))</f>
        <v>大阪シーリング印刷㈱</v>
      </c>
      <c r="AA283" s="54"/>
      <c r="AB283" s="200" t="str">
        <f>IFERROR((VLOOKUP(F283&amp;K283&amp;M283,製品マスタ!$M$5:$AM$4999,27,FALSE)),"")</f>
        <v>原反ケース再利用</v>
      </c>
      <c r="AC283" s="31"/>
      <c r="AD283" s="184"/>
      <c r="AE283" s="51"/>
      <c r="AF283" s="52"/>
      <c r="AG283" s="41"/>
      <c r="AH283" s="45"/>
      <c r="AI283" s="28"/>
      <c r="AJ283" s="28"/>
      <c r="AK283" s="28"/>
      <c r="AL283" s="28"/>
      <c r="AM283" s="12"/>
      <c r="AN283" s="12"/>
      <c r="AO283" s="12"/>
      <c r="AP283" s="12"/>
      <c r="AQ283" s="12"/>
      <c r="AR283" s="13"/>
      <c r="AS283" s="14"/>
    </row>
    <row r="284" spans="1:45" s="16" customFormat="1" ht="30.95" hidden="1" customHeight="1" x14ac:dyDescent="0.2">
      <c r="A284" s="35"/>
      <c r="B284" s="36"/>
      <c r="C284" s="43"/>
      <c r="D284" s="29"/>
      <c r="E284" s="29"/>
      <c r="F284" s="255" t="str">
        <f>IF(D284="","",VLOOKUP(D284,契約台帳!$A$3:$K$4986,6,FALSE)&amp;VLOOKUP(D284,契約台帳!$A$3:$K$4986,7,FALSE)&amp;VLOOKUP(D284,契約台帳!$A$3:$K$4986,8,FALSE)&amp;VLOOKUP(D284,契約台帳!$A$3:$K$4986,9,FALSE)&amp;VLOOKUP(D284,契約台帳!$A$3:$K$4986,11,FALSE))</f>
        <v/>
      </c>
      <c r="G284" s="256" t="str">
        <f>IF(D284="","",VLOOKUP(F284,製品マスタ!$G$5:$H$4999,2,FALSE))</f>
        <v/>
      </c>
      <c r="H284" s="256" t="str">
        <f>IF(D284="","",VLOOKUP(F284,製品マスタ!$G$5:$K$4999,5,FALSE))</f>
        <v/>
      </c>
      <c r="I284" s="200" t="str">
        <f>IF(D284="","",VLOOKUP(F284,製品マスタ!$G$5:$L$4999,6,FALSE))</f>
        <v/>
      </c>
      <c r="J284" s="203"/>
      <c r="K284" s="200" t="str">
        <f>IF(D284="","",VLOOKUP(D284,契約台帳!$A$3:$L$4986,12,FALSE))</f>
        <v/>
      </c>
      <c r="L284" s="200" t="str">
        <f>IF(D284="","",INDEX(製品マスタ!$Q$5:$Q$4999,MATCH('S4'!F284&amp;'S4'!K284,製品マスタ!$AO$5:$AO$4999,0)))</f>
        <v/>
      </c>
      <c r="M284" s="37"/>
      <c r="N284" s="37"/>
      <c r="O284" s="153"/>
      <c r="P284" s="45"/>
      <c r="Q284" s="54"/>
      <c r="R284" s="257" t="str">
        <f ca="1">IF(D284="","",IF(OFFSET(D284,-1,0)&lt;&gt;"","",IF(OR(J284="リード付け",J284="巻足し",J284="巻返しリード付け"),M284,VLOOKUP(D284,契約台帳!$A$3:$N$4986,14,FALSE))))</f>
        <v/>
      </c>
      <c r="S284" s="258" t="str">
        <f ca="1">IF(D284="","",IF(OFFSET(D284,-1,0)&lt;&gt;"","",IF(OR(J284="リード付け",J284="巻足し",J284="巻返しリード付け"),M284,VLOOKUP(D284,契約台帳!$A$3:$O$4986,15,FALSE))))</f>
        <v/>
      </c>
      <c r="T284" s="258" t="str">
        <f ca="1">IF(D284="","",IF(J284="リード付け",N284,IF(J284="巻返しリード付け",N284,IF(J284="巻足し",N284*P284+OFFSET(N284,1,0)*OFFSET(P284,1,0),VLOOKUP(D284,契約台帳!$A$3:$P$4986,16,FALSE)))))</f>
        <v/>
      </c>
      <c r="U284" s="38"/>
      <c r="V284" s="259" t="str">
        <f ca="1">IF(D284="","",IF(OFFSET(D284,-2,0)=D284,"",VLOOKUP(D284,契約台帳!$A$3:$R$4986,18,FALSE)))</f>
        <v/>
      </c>
      <c r="W284" s="256" t="str">
        <f>IF(D284="","",IF(T284="","",IF(OR(J284="巻足し",J284="巻返しリード付け"),"",IF(J284="巻返し",VLOOKUP(F284&amp;K284&amp;M284,製品マスタ!$M$5:$AD$4999,18,FALSE),IF(OR(J284="リード付け",J284="巻返しリード付け"),"原反コア",IF(J284="スリット",VLOOKUP(F284&amp;K284&amp;R284,製品マスタ!$N$5:$AD$4999,17,FALSE),""))))))</f>
        <v/>
      </c>
      <c r="X284" s="256" t="str">
        <f>IF(D284="","",IF(T284="","",IF(J284="巻足し","",IF(J284="巻返し",VLOOKUP(F284&amp;K284&amp;M284,製品マスタ!$M$5:$AE$4999,19,FALSE),IF(OR(J284="リード付け",J284="巻返しリード付け"),"",IF(J284="スリット",VLOOKUP(F284&amp;K284&amp;R284,製品マスタ!$N$5:$AE$4999,18,FALSE),""))))))</f>
        <v/>
      </c>
      <c r="Y284" s="256" t="str">
        <f>IF(D284="","",IF(T284="","",VLOOKUP(D284,契約台帳!$A$3:$Q$4986,17,FALSE)))</f>
        <v/>
      </c>
      <c r="Z284" s="256" t="str">
        <f>IF(D284="","",IF(T284="","",VLOOKUP(D284,契約台帳!$A$3:$E$4986,5,FALSE)))</f>
        <v/>
      </c>
      <c r="AA284" s="54"/>
      <c r="AB284" s="200" t="str">
        <f>IFERROR((VLOOKUP(F284&amp;K284&amp;M284,製品マスタ!$M$5:$AM$4999,27,FALSE)),"")</f>
        <v/>
      </c>
      <c r="AC284" s="31"/>
      <c r="AD284" s="184"/>
      <c r="AE284" s="51"/>
      <c r="AF284" s="52"/>
      <c r="AG284" s="41"/>
      <c r="AH284" s="45"/>
      <c r="AI284" s="28"/>
      <c r="AJ284" s="28"/>
      <c r="AK284" s="28"/>
      <c r="AL284" s="28"/>
      <c r="AM284" s="12"/>
      <c r="AN284" s="12"/>
      <c r="AO284" s="12"/>
      <c r="AP284" s="12"/>
      <c r="AQ284" s="12"/>
      <c r="AR284" s="13"/>
      <c r="AS284" s="14"/>
    </row>
    <row r="285" spans="1:45" s="16" customFormat="1" ht="30.95" hidden="1" customHeight="1" x14ac:dyDescent="0.2">
      <c r="A285" s="35"/>
      <c r="B285" s="36"/>
      <c r="C285" s="43"/>
      <c r="D285" s="29">
        <v>3700956</v>
      </c>
      <c r="E285" s="29">
        <v>4161842</v>
      </c>
      <c r="F285" s="255" t="str">
        <f>IF(D285="","",VLOOKUP(D285,契約台帳!$A$3:$K$4986,6,FALSE)&amp;VLOOKUP(D285,契約台帳!$A$3:$K$4986,7,FALSE)&amp;VLOOKUP(D285,契約台帳!$A$3:$K$4986,8,FALSE)&amp;VLOOKUP(D285,契約台帳!$A$3:$K$4986,9,FALSE)&amp;VLOOKUP(D285,契約台帳!$A$3:$K$4986,11,FALSE))</f>
        <v>3SNMLBMNGTBF</v>
      </c>
      <c r="G285" s="256" t="str">
        <f>IF(D285="","",VLOOKUP(F285,製品マスタ!$G$5:$H$4999,2,FALSE))</f>
        <v>S</v>
      </c>
      <c r="H285" s="256" t="str">
        <f>IF(D285="","",VLOOKUP(F285,製品マスタ!$G$5:$K$4999,5,FALSE))</f>
        <v>MNGTBF</v>
      </c>
      <c r="I285" s="200" t="str">
        <f>IF(D285="","",VLOOKUP(F285,製品マスタ!$G$5:$L$4999,6,FALSE))</f>
        <v>メタルミー　ネーマー　銀艶　Ｂ</v>
      </c>
      <c r="J285" s="203" t="s">
        <v>935</v>
      </c>
      <c r="K285" s="200">
        <f>IF(D285="","",VLOOKUP(D285,契約台帳!$A$3:$L$4986,12,FALSE))</f>
        <v>50</v>
      </c>
      <c r="L285" s="200" t="str">
        <f>IF(D285="","",INDEX(製品マスタ!$Q$5:$Q$4999,MATCH('S4'!F285&amp;'S4'!K285,製品マスタ!$AO$5:$AO$4999,0)))</f>
        <v>T62</v>
      </c>
      <c r="M285" s="37">
        <v>1120</v>
      </c>
      <c r="N285" s="37">
        <v>5000</v>
      </c>
      <c r="O285" s="153">
        <v>12</v>
      </c>
      <c r="P285" s="45">
        <v>2</v>
      </c>
      <c r="Q285" s="206">
        <v>44986</v>
      </c>
      <c r="R285" s="257">
        <f ca="1">IF(D285="","",IF(OFFSET(D285,-1,0)&lt;&gt;"","",IF(OR(J285="リード付け",J285="巻足し",J285="巻返しリード付け"),M285,VLOOKUP(D285,契約台帳!$A$3:$N$4986,14,FALSE))))</f>
        <v>1120</v>
      </c>
      <c r="S285" s="258">
        <f ca="1">IF(D285="","",IF(OFFSET(D285,-1,0)&lt;&gt;"","",IF(OR(J285="リード付け",J285="巻足し",J285="巻返しリード付け"),M285,VLOOKUP(D285,契約台帳!$A$3:$O$4986,15,FALSE))))</f>
        <v>1120</v>
      </c>
      <c r="T285" s="258">
        <f ca="1">IF(D285="","",IF(J285="リード付け",N285,IF(J285="巻返しリード付け",N285,IF(J285="巻足し",N285*P285+OFFSET(N285,1,0)*OFFSET(P285,1,0),VLOOKUP(D285,契約台帳!$A$3:$P$4986,16,FALSE)))))</f>
        <v>10000</v>
      </c>
      <c r="U285" s="38">
        <v>6</v>
      </c>
      <c r="V285" s="259">
        <f ca="1">IF(D285="","",IF(OFFSET(D285,-2,0)=D285,"",VLOOKUP(D285,契約台帳!$A$3:$R$4986,18,FALSE)))</f>
        <v>12</v>
      </c>
      <c r="W285" s="256" t="str">
        <f ca="1">IF(D285="","",IF(T285="","",IF(OR(J285="巻足し",J285="巻返しリード付け"),"",IF(J285="巻返し",VLOOKUP(F285&amp;K285&amp;M285,製品マスタ!$M$5:$AD$4999,18,FALSE),IF(OR(J285="リード付け",J285="巻返しリード付け"),"原反コア",IF(J285="スリット",VLOOKUP(F285&amp;K285&amp;R285,製品マスタ!$N$5:$AD$4999,17,FALSE),""))))))</f>
        <v/>
      </c>
      <c r="X285" s="256" t="str">
        <f ca="1">IF(D285="","",IF(T285="","",IF(J285="巻足し","",IF(J285="巻返し",VLOOKUP(F285&amp;K285&amp;M285,製品マスタ!$M$5:$AE$4999,19,FALSE),IF(OR(J285="リード付け",J285="巻返しリード付け"),"",IF(J285="スリット",VLOOKUP(F285&amp;K285&amp;R285,製品マスタ!$N$5:$AE$4999,18,FALSE),""))))))</f>
        <v/>
      </c>
      <c r="Y285" s="256">
        <f ca="1">IF(D285="","",IF(T285="","",VLOOKUP(D285,契約台帳!$A$3:$Q$4986,17,FALSE)))</f>
        <v>2</v>
      </c>
      <c r="Z285" s="256" t="str">
        <f ca="1">IF(D285="","",IF(T285="","",VLOOKUP(D285,契約台帳!$A$3:$E$4986,5,FALSE)))</f>
        <v>リンテック㈱</v>
      </c>
      <c r="AA285" s="54"/>
      <c r="AB285" s="200" t="str">
        <f>IFERROR((VLOOKUP(F285&amp;K285&amp;M285,製品マスタ!$M$5:$AM$4999,27,FALSE)),"")</f>
        <v>原反ケース再利用</v>
      </c>
      <c r="AC285" s="31"/>
      <c r="AD285" s="184"/>
      <c r="AE285" s="51"/>
      <c r="AF285" s="52"/>
      <c r="AG285" s="41"/>
      <c r="AH285" s="45"/>
      <c r="AI285" s="28"/>
      <c r="AJ285" s="28"/>
      <c r="AK285" s="28"/>
      <c r="AL285" s="28"/>
      <c r="AM285" s="12"/>
      <c r="AN285" s="12"/>
      <c r="AO285" s="12"/>
      <c r="AP285" s="12"/>
      <c r="AQ285" s="12"/>
      <c r="AR285" s="13"/>
      <c r="AS285" s="14"/>
    </row>
    <row r="286" spans="1:45" s="16" customFormat="1" ht="30.95" hidden="1" customHeight="1" x14ac:dyDescent="0.2">
      <c r="A286" s="35"/>
      <c r="B286" s="36"/>
      <c r="C286" s="43"/>
      <c r="D286" s="29"/>
      <c r="E286" s="29"/>
      <c r="F286" s="255" t="str">
        <f>IF(D286="","",VLOOKUP(D286,契約台帳!$A$3:$K$4986,6,FALSE)&amp;VLOOKUP(D286,契約台帳!$A$3:$K$4986,7,FALSE)&amp;VLOOKUP(D286,契約台帳!$A$3:$K$4986,8,FALSE)&amp;VLOOKUP(D286,契約台帳!$A$3:$K$4986,9,FALSE)&amp;VLOOKUP(D286,契約台帳!$A$3:$K$4986,11,FALSE))</f>
        <v/>
      </c>
      <c r="G286" s="256" t="str">
        <f>IF(D286="","",VLOOKUP(F286,製品マスタ!$G$5:$H$4999,2,FALSE))</f>
        <v/>
      </c>
      <c r="H286" s="256" t="str">
        <f>IF(D286="","",VLOOKUP(F286,製品マスタ!$G$5:$K$4999,5,FALSE))</f>
        <v/>
      </c>
      <c r="I286" s="200" t="str">
        <f>IF(D286="","",VLOOKUP(F286,製品マスタ!$G$5:$L$4999,6,FALSE))</f>
        <v/>
      </c>
      <c r="J286" s="203"/>
      <c r="K286" s="200" t="str">
        <f>IF(D286="","",VLOOKUP(D286,契約台帳!$A$3:$L$4986,12,FALSE))</f>
        <v/>
      </c>
      <c r="L286" s="200" t="str">
        <f>IF(D286="","",INDEX(製品マスタ!$Q$5:$Q$4999,MATCH('S4'!F286&amp;'S4'!K286,製品マスタ!$AO$5:$AO$4999,0)))</f>
        <v/>
      </c>
      <c r="M286" s="37"/>
      <c r="N286" s="37"/>
      <c r="O286" s="153"/>
      <c r="P286" s="45"/>
      <c r="Q286" s="54"/>
      <c r="R286" s="257" t="str">
        <f ca="1">IF(D286="","",IF(OFFSET(D286,-1,0)&lt;&gt;"","",IF(OR(J286="リード付け",J286="巻足し",J286="巻返しリード付け"),M286,VLOOKUP(D286,契約台帳!$A$3:$N$4986,14,FALSE))))</f>
        <v/>
      </c>
      <c r="S286" s="258" t="str">
        <f ca="1">IF(D286="","",IF(OFFSET(D286,-1,0)&lt;&gt;"","",IF(OR(J286="リード付け",J286="巻足し",J286="巻返しリード付け"),M286,VLOOKUP(D286,契約台帳!$A$3:$O$4986,15,FALSE))))</f>
        <v/>
      </c>
      <c r="T286" s="258" t="str">
        <f ca="1">IF(D286="","",IF(J286="リード付け",N286,IF(J286="巻返しリード付け",N286,IF(J286="巻足し",N286*P286+OFFSET(N286,1,0)*OFFSET(P286,1,0),VLOOKUP(D286,契約台帳!$A$3:$P$4986,16,FALSE)))))</f>
        <v/>
      </c>
      <c r="U286" s="38"/>
      <c r="V286" s="259" t="str">
        <f ca="1">IF(D286="","",IF(OFFSET(D286,-2,0)=D286,"",VLOOKUP(D286,契約台帳!$A$3:$R$4986,18,FALSE)))</f>
        <v/>
      </c>
      <c r="W286" s="256" t="str">
        <f>IF(D286="","",IF(T286="","",IF(OR(J286="巻足し",J286="巻返しリード付け"),"",IF(J286="巻返し",VLOOKUP(F286&amp;K286&amp;M286,製品マスタ!$M$5:$AD$4999,18,FALSE),IF(OR(J286="リード付け",J286="巻返しリード付け"),"原反コア",IF(J286="スリット",VLOOKUP(F286&amp;K286&amp;R286,製品マスタ!$N$5:$AD$4999,17,FALSE),""))))))</f>
        <v/>
      </c>
      <c r="X286" s="256" t="str">
        <f>IF(D286="","",IF(T286="","",IF(J286="巻足し","",IF(J286="巻返し",VLOOKUP(F286&amp;K286&amp;M286,製品マスタ!$M$5:$AE$4999,19,FALSE),IF(OR(J286="リード付け",J286="巻返しリード付け"),"",IF(J286="スリット",VLOOKUP(F286&amp;K286&amp;R286,製品マスタ!$N$5:$AE$4999,18,FALSE),""))))))</f>
        <v/>
      </c>
      <c r="Y286" s="256" t="str">
        <f>IF(D286="","",IF(T286="","",VLOOKUP(D286,契約台帳!$A$3:$Q$4986,17,FALSE)))</f>
        <v/>
      </c>
      <c r="Z286" s="256" t="str">
        <f>IF(D286="","",IF(T286="","",VLOOKUP(D286,契約台帳!$A$3:$E$4986,5,FALSE)))</f>
        <v/>
      </c>
      <c r="AA286" s="54"/>
      <c r="AB286" s="200" t="str">
        <f>IFERROR((VLOOKUP(F286&amp;K286&amp;M286,製品マスタ!$M$5:$AM$4999,27,FALSE)),"")</f>
        <v/>
      </c>
      <c r="AC286" s="31"/>
      <c r="AD286" s="184"/>
      <c r="AE286" s="51"/>
      <c r="AF286" s="52"/>
      <c r="AG286" s="41"/>
      <c r="AH286" s="45"/>
      <c r="AI286" s="28"/>
      <c r="AJ286" s="28"/>
      <c r="AK286" s="28"/>
      <c r="AL286" s="28"/>
      <c r="AM286" s="12"/>
      <c r="AN286" s="12"/>
      <c r="AO286" s="12"/>
      <c r="AP286" s="12"/>
      <c r="AQ286" s="12"/>
      <c r="AR286" s="13"/>
      <c r="AS286" s="14"/>
    </row>
    <row r="287" spans="1:45" s="16" customFormat="1" ht="30.95" hidden="1" customHeight="1" x14ac:dyDescent="0.2">
      <c r="A287" s="35" t="s">
        <v>936</v>
      </c>
      <c r="B287" s="36" t="s">
        <v>937</v>
      </c>
      <c r="C287" s="43"/>
      <c r="D287" s="29">
        <v>3700957</v>
      </c>
      <c r="E287" s="29">
        <v>4161843</v>
      </c>
      <c r="F287" s="255" t="str">
        <f>IF(D287="","",VLOOKUP(D287,契約台帳!$A$3:$K$4986,6,FALSE)&amp;VLOOKUP(D287,契約台帳!$A$3:$K$4986,7,FALSE)&amp;VLOOKUP(D287,契約台帳!$A$3:$K$4986,8,FALSE)&amp;VLOOKUP(D287,契約台帳!$A$3:$K$4986,9,FALSE)&amp;VLOOKUP(D287,契約台帳!$A$3:$K$4986,11,FALSE))</f>
        <v>3SNMLBMNGTBF</v>
      </c>
      <c r="G287" s="256" t="str">
        <f>IF(D287="","",VLOOKUP(F287,製品マスタ!$G$5:$H$4999,2,FALSE))</f>
        <v>S</v>
      </c>
      <c r="H287" s="256" t="str">
        <f>IF(D287="","",VLOOKUP(F287,製品マスタ!$G$5:$K$4999,5,FALSE))</f>
        <v>MNGTBF</v>
      </c>
      <c r="I287" s="200" t="str">
        <f>IF(D287="","",VLOOKUP(F287,製品マスタ!$G$5:$L$4999,6,FALSE))</f>
        <v>メタルミー　ネーマー　銀艶　Ｂ</v>
      </c>
      <c r="J287" s="203" t="s">
        <v>935</v>
      </c>
      <c r="K287" s="200">
        <f>IF(D287="","",VLOOKUP(D287,契約台帳!$A$3:$L$4986,12,FALSE))</f>
        <v>50</v>
      </c>
      <c r="L287" s="200" t="str">
        <f>IF(D287="","",INDEX(製品マスタ!$Q$5:$Q$4999,MATCH('S4'!F287&amp;'S4'!K287,製品マスタ!$AO$5:$AO$4999,0)))</f>
        <v>T62</v>
      </c>
      <c r="M287" s="37">
        <v>1120</v>
      </c>
      <c r="N287" s="37">
        <v>5000</v>
      </c>
      <c r="O287" s="153">
        <v>12</v>
      </c>
      <c r="P287" s="45">
        <v>2</v>
      </c>
      <c r="Q287" s="206">
        <v>44986</v>
      </c>
      <c r="R287" s="257">
        <f ca="1">IF(D287="","",IF(OFFSET(D287,-1,0)&lt;&gt;"","",IF(OR(J287="リード付け",J287="巻足し",J287="巻返しリード付け"),M287,VLOOKUP(D287,契約台帳!$A$3:$N$4986,14,FALSE))))</f>
        <v>1120</v>
      </c>
      <c r="S287" s="258">
        <f ca="1">IF(D287="","",IF(OFFSET(D287,-1,0)&lt;&gt;"","",IF(OR(J287="リード付け",J287="巻足し",J287="巻返しリード付け"),M287,VLOOKUP(D287,契約台帳!$A$3:$O$4986,15,FALSE))))</f>
        <v>1120</v>
      </c>
      <c r="T287" s="258">
        <f ca="1">IF(D287="","",IF(J287="リード付け",N287,IF(J287="巻返しリード付け",N287,IF(J287="巻足し",N287*P287+OFFSET(N287,1,0)*OFFSET(P287,1,0),VLOOKUP(D287,契約台帳!$A$3:$P$4986,16,FALSE)))))</f>
        <v>10000</v>
      </c>
      <c r="U287" s="38">
        <v>6</v>
      </c>
      <c r="V287" s="259">
        <f ca="1">IF(D287="","",IF(OFFSET(D287,-2,0)=D287,"",VLOOKUP(D287,契約台帳!$A$3:$R$4986,18,FALSE)))</f>
        <v>12</v>
      </c>
      <c r="W287" s="256" t="str">
        <f ca="1">IF(D287="","",IF(T287="","",IF(OR(J287="巻足し",J287="巻返しリード付け"),"",IF(J287="巻返し",VLOOKUP(F287&amp;K287&amp;M287,製品マスタ!$M$5:$AD$4999,18,FALSE),IF(OR(J287="リード付け",J287="巻返しリード付け"),"原反コア",IF(J287="スリット",VLOOKUP(F287&amp;K287&amp;R287,製品マスタ!$N$5:$AD$4999,17,FALSE),""))))))</f>
        <v/>
      </c>
      <c r="X287" s="256" t="str">
        <f ca="1">IF(D287="","",IF(T287="","",IF(J287="巻足し","",IF(J287="巻返し",VLOOKUP(F287&amp;K287&amp;M287,製品マスタ!$M$5:$AE$4999,19,FALSE),IF(OR(J287="リード付け",J287="巻返しリード付け"),"",IF(J287="スリット",VLOOKUP(F287&amp;K287&amp;R287,製品マスタ!$N$5:$AE$4999,18,FALSE),""))))))</f>
        <v/>
      </c>
      <c r="Y287" s="256">
        <f ca="1">IF(D287="","",IF(T287="","",VLOOKUP(D287,契約台帳!$A$3:$Q$4986,17,FALSE)))</f>
        <v>2</v>
      </c>
      <c r="Z287" s="256" t="str">
        <f ca="1">IF(D287="","",IF(T287="","",VLOOKUP(D287,契約台帳!$A$3:$E$4986,5,FALSE)))</f>
        <v>リンテック㈱</v>
      </c>
      <c r="AA287" s="54"/>
      <c r="AB287" s="200" t="str">
        <f>IFERROR((VLOOKUP(F287&amp;K287&amp;M287,製品マスタ!$M$5:$AM$4999,27,FALSE)),"")</f>
        <v>原反ケース再利用</v>
      </c>
      <c r="AC287" s="31"/>
      <c r="AD287" s="184"/>
      <c r="AE287" s="51"/>
      <c r="AF287" s="52"/>
      <c r="AG287" s="41"/>
      <c r="AH287" s="45"/>
      <c r="AI287" s="28"/>
      <c r="AJ287" s="28"/>
      <c r="AK287" s="28"/>
      <c r="AL287" s="28"/>
      <c r="AM287" s="12"/>
      <c r="AN287" s="12"/>
      <c r="AO287" s="12"/>
      <c r="AP287" s="12"/>
      <c r="AQ287" s="12"/>
      <c r="AR287" s="13"/>
      <c r="AS287" s="14"/>
    </row>
    <row r="288" spans="1:45" s="16" customFormat="1" ht="30.95" hidden="1" customHeight="1" x14ac:dyDescent="0.2">
      <c r="A288" s="35"/>
      <c r="B288" s="36"/>
      <c r="C288" s="43"/>
      <c r="D288" s="29"/>
      <c r="E288" s="29"/>
      <c r="F288" s="255" t="str">
        <f>IF(D288="","",VLOOKUP(D288,契約台帳!$A$3:$K$4986,6,FALSE)&amp;VLOOKUP(D288,契約台帳!$A$3:$K$4986,7,FALSE)&amp;VLOOKUP(D288,契約台帳!$A$3:$K$4986,8,FALSE)&amp;VLOOKUP(D288,契約台帳!$A$3:$K$4986,9,FALSE)&amp;VLOOKUP(D288,契約台帳!$A$3:$K$4986,11,FALSE))</f>
        <v/>
      </c>
      <c r="G288" s="256" t="str">
        <f>IF(D288="","",VLOOKUP(F288,製品マスタ!$G$5:$H$4999,2,FALSE))</f>
        <v/>
      </c>
      <c r="H288" s="256" t="str">
        <f>IF(D288="","",VLOOKUP(F288,製品マスタ!$G$5:$K$4999,5,FALSE))</f>
        <v/>
      </c>
      <c r="I288" s="200" t="str">
        <f>IF(D288="","",VLOOKUP(F288,製品マスタ!$G$5:$L$4999,6,FALSE))</f>
        <v/>
      </c>
      <c r="J288" s="203"/>
      <c r="K288" s="200" t="str">
        <f>IF(D288="","",VLOOKUP(D288,契約台帳!$A$3:$L$4986,12,FALSE))</f>
        <v/>
      </c>
      <c r="L288" s="200" t="str">
        <f>IF(D288="","",INDEX(製品マスタ!$Q$5:$Q$4999,MATCH('S4'!F288&amp;'S4'!K288,製品マスタ!$AO$5:$AO$4999,0)))</f>
        <v/>
      </c>
      <c r="M288" s="37"/>
      <c r="N288" s="37"/>
      <c r="O288" s="153"/>
      <c r="P288" s="45"/>
      <c r="Q288" s="54"/>
      <c r="R288" s="257" t="str">
        <f ca="1">IF(D288="","",IF(OFFSET(D288,-1,0)&lt;&gt;"","",IF(OR(J288="リード付け",J288="巻足し",J288="巻返しリード付け"),M288,VLOOKUP(D288,契約台帳!$A$3:$N$4986,14,FALSE))))</f>
        <v/>
      </c>
      <c r="S288" s="258" t="str">
        <f ca="1">IF(D288="","",IF(OFFSET(D288,-1,0)&lt;&gt;"","",IF(OR(J288="リード付け",J288="巻足し",J288="巻返しリード付け"),M288,VLOOKUP(D288,契約台帳!$A$3:$O$4986,15,FALSE))))</f>
        <v/>
      </c>
      <c r="T288" s="258" t="str">
        <f ca="1">IF(D288="","",IF(J288="リード付け",N288,IF(J288="巻返しリード付け",N288,IF(J288="巻足し",N288*P288+OFFSET(N288,1,0)*OFFSET(P288,1,0),VLOOKUP(D288,契約台帳!$A$3:$P$4986,16,FALSE)))))</f>
        <v/>
      </c>
      <c r="U288" s="38"/>
      <c r="V288" s="259" t="str">
        <f ca="1">IF(D288="","",IF(OFFSET(D288,-2,0)=D288,"",VLOOKUP(D288,契約台帳!$A$3:$R$4986,18,FALSE)))</f>
        <v/>
      </c>
      <c r="W288" s="256" t="str">
        <f>IF(D288="","",IF(T288="","",IF(OR(J288="巻足し",J288="巻返しリード付け"),"",IF(J288="巻返し",VLOOKUP(F288&amp;K288&amp;M288,製品マスタ!$M$5:$AD$4999,18,FALSE),IF(OR(J288="リード付け",J288="巻返しリード付け"),"原反コア",IF(J288="スリット",VLOOKUP(F288&amp;K288&amp;R288,製品マスタ!$N$5:$AD$4999,17,FALSE),""))))))</f>
        <v/>
      </c>
      <c r="X288" s="256" t="str">
        <f>IF(D288="","",IF(T288="","",IF(J288="巻足し","",IF(J288="巻返し",VLOOKUP(F288&amp;K288&amp;M288,製品マスタ!$M$5:$AE$4999,19,FALSE),IF(OR(J288="リード付け",J288="巻返しリード付け"),"",IF(J288="スリット",VLOOKUP(F288&amp;K288&amp;R288,製品マスタ!$N$5:$AE$4999,18,FALSE),""))))))</f>
        <v/>
      </c>
      <c r="Y288" s="256" t="str">
        <f>IF(D288="","",IF(T288="","",VLOOKUP(D288,契約台帳!$A$3:$Q$4986,17,FALSE)))</f>
        <v/>
      </c>
      <c r="Z288" s="256" t="str">
        <f>IF(D288="","",IF(T288="","",VLOOKUP(D288,契約台帳!$A$3:$E$4986,5,FALSE)))</f>
        <v/>
      </c>
      <c r="AA288" s="54"/>
      <c r="AB288" s="200" t="str">
        <f>IFERROR((VLOOKUP(F288&amp;K288&amp;M288,製品マスタ!$M$5:$AM$4999,27,FALSE)),"")</f>
        <v/>
      </c>
      <c r="AC288" s="31"/>
      <c r="AD288" s="184"/>
      <c r="AE288" s="51"/>
      <c r="AF288" s="52"/>
      <c r="AG288" s="41"/>
      <c r="AH288" s="45"/>
      <c r="AI288" s="28"/>
      <c r="AJ288" s="28"/>
      <c r="AK288" s="28"/>
      <c r="AL288" s="28"/>
      <c r="AM288" s="12"/>
      <c r="AN288" s="12"/>
      <c r="AO288" s="12"/>
      <c r="AP288" s="12"/>
      <c r="AQ288" s="12"/>
      <c r="AR288" s="13"/>
      <c r="AS288" s="14"/>
    </row>
    <row r="289" spans="1:45" s="16" customFormat="1" ht="30.95" hidden="1" customHeight="1" x14ac:dyDescent="0.2">
      <c r="A289" s="35" t="s">
        <v>938</v>
      </c>
      <c r="B289" s="36" t="s">
        <v>939</v>
      </c>
      <c r="C289" s="43"/>
      <c r="D289" s="29">
        <v>3700958</v>
      </c>
      <c r="E289" s="29">
        <v>4161844</v>
      </c>
      <c r="F289" s="255" t="str">
        <f>IF(D289="","",VLOOKUP(D289,契約台帳!$A$3:$K$4986,6,FALSE)&amp;VLOOKUP(D289,契約台帳!$A$3:$K$4986,7,FALSE)&amp;VLOOKUP(D289,契約台帳!$A$3:$K$4986,8,FALSE)&amp;VLOOKUP(D289,契約台帳!$A$3:$K$4986,9,FALSE)&amp;VLOOKUP(D289,契約台帳!$A$3:$K$4986,11,FALSE))</f>
        <v>3SNMLBMNGTBF</v>
      </c>
      <c r="G289" s="256" t="str">
        <f>IF(D289="","",VLOOKUP(F289,製品マスタ!$G$5:$H$4999,2,FALSE))</f>
        <v>S</v>
      </c>
      <c r="H289" s="256" t="str">
        <f>IF(D289="","",VLOOKUP(F289,製品マスタ!$G$5:$K$4999,5,FALSE))</f>
        <v>MNGTBF</v>
      </c>
      <c r="I289" s="200" t="str">
        <f>IF(D289="","",VLOOKUP(F289,製品マスタ!$G$5:$L$4999,6,FALSE))</f>
        <v>メタルミー　ネーマー　銀艶　Ｂ</v>
      </c>
      <c r="J289" s="203" t="s">
        <v>935</v>
      </c>
      <c r="K289" s="200">
        <f>IF(D289="","",VLOOKUP(D289,契約台帳!$A$3:$L$4986,12,FALSE))</f>
        <v>50</v>
      </c>
      <c r="L289" s="200" t="str">
        <f>IF(D289="","",INDEX(製品マスタ!$Q$5:$Q$4999,MATCH('S4'!F289&amp;'S4'!K289,製品マスタ!$AO$5:$AO$4999,0)))</f>
        <v>T62</v>
      </c>
      <c r="M289" s="37">
        <v>1120</v>
      </c>
      <c r="N289" s="37">
        <v>5000</v>
      </c>
      <c r="O289" s="153">
        <v>12</v>
      </c>
      <c r="P289" s="45">
        <v>2</v>
      </c>
      <c r="Q289" s="206">
        <v>44986</v>
      </c>
      <c r="R289" s="257">
        <f ca="1">IF(D289="","",IF(OFFSET(D289,-1,0)&lt;&gt;"","",IF(OR(J289="リード付け",J289="巻足し",J289="巻返しリード付け"),M289,VLOOKUP(D289,契約台帳!$A$3:$N$4986,14,FALSE))))</f>
        <v>1120</v>
      </c>
      <c r="S289" s="258">
        <f ca="1">IF(D289="","",IF(OFFSET(D289,-1,0)&lt;&gt;"","",IF(OR(J289="リード付け",J289="巻足し",J289="巻返しリード付け"),M289,VLOOKUP(D289,契約台帳!$A$3:$O$4986,15,FALSE))))</f>
        <v>1120</v>
      </c>
      <c r="T289" s="258">
        <f ca="1">IF(D289="","",IF(J289="リード付け",N289,IF(J289="巻返しリード付け",N289,IF(J289="巻足し",N289*P289+OFFSET(N289,1,0)*OFFSET(P289,1,0),VLOOKUP(D289,契約台帳!$A$3:$P$4986,16,FALSE)))))</f>
        <v>10000</v>
      </c>
      <c r="U289" s="38">
        <v>6</v>
      </c>
      <c r="V289" s="259">
        <f ca="1">IF(D289="","",IF(OFFSET(D289,-2,0)=D289,"",VLOOKUP(D289,契約台帳!$A$3:$R$4986,18,FALSE)))</f>
        <v>12</v>
      </c>
      <c r="W289" s="256" t="str">
        <f ca="1">IF(D289="","",IF(T289="","",IF(OR(J289="巻足し",J289="巻返しリード付け"),"",IF(J289="巻返し",VLOOKUP(F289&amp;K289&amp;M289,製品マスタ!$M$5:$AD$4999,18,FALSE),IF(OR(J289="リード付け",J289="巻返しリード付け"),"原反コア",IF(J289="スリット",VLOOKUP(F289&amp;K289&amp;R289,製品マスタ!$N$5:$AD$4999,17,FALSE),""))))))</f>
        <v/>
      </c>
      <c r="X289" s="256" t="str">
        <f ca="1">IF(D289="","",IF(T289="","",IF(J289="巻足し","",IF(J289="巻返し",VLOOKUP(F289&amp;K289&amp;M289,製品マスタ!$M$5:$AE$4999,19,FALSE),IF(OR(J289="リード付け",J289="巻返しリード付け"),"",IF(J289="スリット",VLOOKUP(F289&amp;K289&amp;R289,製品マスタ!$N$5:$AE$4999,18,FALSE),""))))))</f>
        <v/>
      </c>
      <c r="Y289" s="256">
        <f ca="1">IF(D289="","",IF(T289="","",VLOOKUP(D289,契約台帳!$A$3:$Q$4986,17,FALSE)))</f>
        <v>2</v>
      </c>
      <c r="Z289" s="256" t="str">
        <f ca="1">IF(D289="","",IF(T289="","",VLOOKUP(D289,契約台帳!$A$3:$E$4986,5,FALSE)))</f>
        <v>リンテック㈱</v>
      </c>
      <c r="AA289" s="54"/>
      <c r="AB289" s="200" t="str">
        <f>IFERROR((VLOOKUP(F289&amp;K289&amp;M289,製品マスタ!$M$5:$AM$4999,27,FALSE)),"")</f>
        <v>原反ケース再利用</v>
      </c>
      <c r="AC289" s="31"/>
      <c r="AD289" s="184"/>
      <c r="AE289" s="51"/>
      <c r="AF289" s="52"/>
      <c r="AG289" s="41"/>
      <c r="AH289" s="45"/>
      <c r="AI289" s="28"/>
      <c r="AJ289" s="28"/>
      <c r="AK289" s="28"/>
      <c r="AL289" s="28"/>
      <c r="AM289" s="12"/>
      <c r="AN289" s="12"/>
      <c r="AO289" s="12"/>
      <c r="AP289" s="12"/>
      <c r="AQ289" s="12"/>
      <c r="AR289" s="13"/>
      <c r="AS289" s="14"/>
    </row>
    <row r="290" spans="1:45" s="16" customFormat="1" ht="30.95" hidden="1" customHeight="1" x14ac:dyDescent="0.2">
      <c r="A290" s="35"/>
      <c r="B290" s="36"/>
      <c r="C290" s="43"/>
      <c r="D290" s="29"/>
      <c r="E290" s="29"/>
      <c r="F290" s="255" t="str">
        <f>IF(D290="","",VLOOKUP(D290,契約台帳!$A$3:$K$4986,6,FALSE)&amp;VLOOKUP(D290,契約台帳!$A$3:$K$4986,7,FALSE)&amp;VLOOKUP(D290,契約台帳!$A$3:$K$4986,8,FALSE)&amp;VLOOKUP(D290,契約台帳!$A$3:$K$4986,9,FALSE)&amp;VLOOKUP(D290,契約台帳!$A$3:$K$4986,11,FALSE))</f>
        <v/>
      </c>
      <c r="G290" s="256" t="str">
        <f>IF(D290="","",VLOOKUP(F290,製品マスタ!$G$5:$H$4999,2,FALSE))</f>
        <v/>
      </c>
      <c r="H290" s="256" t="str">
        <f>IF(D290="","",VLOOKUP(F290,製品マスタ!$G$5:$K$4999,5,FALSE))</f>
        <v/>
      </c>
      <c r="I290" s="200" t="str">
        <f>IF(D290="","",VLOOKUP(F290,製品マスタ!$G$5:$L$4999,6,FALSE))</f>
        <v/>
      </c>
      <c r="J290" s="203"/>
      <c r="K290" s="200" t="str">
        <f>IF(D290="","",VLOOKUP(D290,契約台帳!$A$3:$L$4986,12,FALSE))</f>
        <v/>
      </c>
      <c r="L290" s="200" t="str">
        <f>IF(D290="","",INDEX(製品マスタ!$Q$5:$Q$4999,MATCH('S4'!F290&amp;'S4'!K290,製品マスタ!$AO$5:$AO$4999,0)))</f>
        <v/>
      </c>
      <c r="M290" s="37"/>
      <c r="N290" s="37"/>
      <c r="O290" s="153"/>
      <c r="P290" s="45"/>
      <c r="Q290" s="54"/>
      <c r="R290" s="257" t="str">
        <f ca="1">IF(D290="","",IF(OFFSET(D290,-1,0)&lt;&gt;"","",IF(OR(J290="リード付け",J290="巻足し",J290="巻返しリード付け"),M290,VLOOKUP(D290,契約台帳!$A$3:$N$4986,14,FALSE))))</f>
        <v/>
      </c>
      <c r="S290" s="258" t="str">
        <f ca="1">IF(D290="","",IF(OFFSET(D290,-1,0)&lt;&gt;"","",IF(OR(J290="リード付け",J290="巻足し",J290="巻返しリード付け"),M290,VLOOKUP(D290,契約台帳!$A$3:$O$4986,15,FALSE))))</f>
        <v/>
      </c>
      <c r="T290" s="258" t="str">
        <f ca="1">IF(D290="","",IF(J290="リード付け",N290,IF(J290="巻返しリード付け",N290,IF(J290="巻足し",N290*P290+OFFSET(N290,1,0)*OFFSET(P290,1,0),VLOOKUP(D290,契約台帳!$A$3:$P$4986,16,FALSE)))))</f>
        <v/>
      </c>
      <c r="U290" s="38"/>
      <c r="V290" s="259" t="str">
        <f ca="1">IF(D290="","",IF(OFFSET(D290,-2,0)=D290,"",VLOOKUP(D290,契約台帳!$A$3:$R$4986,18,FALSE)))</f>
        <v/>
      </c>
      <c r="W290" s="256" t="str">
        <f>IF(D290="","",IF(T290="","",IF(OR(J290="巻足し",J290="巻返しリード付け"),"",IF(J290="巻返し",VLOOKUP(F290&amp;K290&amp;M290,製品マスタ!$M$5:$AD$4999,18,FALSE),IF(OR(J290="リード付け",J290="巻返しリード付け"),"原反コア",IF(J290="スリット",VLOOKUP(F290&amp;K290&amp;R290,製品マスタ!$N$5:$AD$4999,17,FALSE),""))))))</f>
        <v/>
      </c>
      <c r="X290" s="256" t="str">
        <f>IF(D290="","",IF(T290="","",IF(J290="巻足し","",IF(J290="巻返し",VLOOKUP(F290&amp;K290&amp;M290,製品マスタ!$M$5:$AE$4999,19,FALSE),IF(OR(J290="リード付け",J290="巻返しリード付け"),"",IF(J290="スリット",VLOOKUP(F290&amp;K290&amp;R290,製品マスタ!$N$5:$AE$4999,18,FALSE),""))))))</f>
        <v/>
      </c>
      <c r="Y290" s="256" t="str">
        <f>IF(D290="","",IF(T290="","",VLOOKUP(D290,契約台帳!$A$3:$Q$4986,17,FALSE)))</f>
        <v/>
      </c>
      <c r="Z290" s="256" t="str">
        <f>IF(D290="","",IF(T290="","",VLOOKUP(D290,契約台帳!$A$3:$E$4986,5,FALSE)))</f>
        <v/>
      </c>
      <c r="AA290" s="54"/>
      <c r="AB290" s="200" t="str">
        <f>IFERROR((VLOOKUP(F290&amp;K290&amp;M290,製品マスタ!$M$5:$AM$4999,27,FALSE)),"")</f>
        <v/>
      </c>
      <c r="AC290" s="31"/>
      <c r="AD290" s="184"/>
      <c r="AE290" s="51"/>
      <c r="AF290" s="52"/>
      <c r="AG290" s="41"/>
      <c r="AH290" s="45"/>
      <c r="AI290" s="28"/>
      <c r="AJ290" s="28"/>
      <c r="AK290" s="28"/>
      <c r="AL290" s="28"/>
      <c r="AM290" s="12"/>
      <c r="AN290" s="12"/>
      <c r="AO290" s="12"/>
      <c r="AP290" s="12"/>
      <c r="AQ290" s="12"/>
      <c r="AR290" s="13"/>
      <c r="AS290" s="14"/>
    </row>
    <row r="291" spans="1:45" s="16" customFormat="1" ht="30.95" hidden="1" customHeight="1" x14ac:dyDescent="0.2">
      <c r="A291" s="35"/>
      <c r="B291" s="36"/>
      <c r="C291" s="43"/>
      <c r="D291" s="29">
        <v>3700959</v>
      </c>
      <c r="E291" s="29">
        <v>4161845</v>
      </c>
      <c r="F291" s="255" t="str">
        <f>IF(D291="","",VLOOKUP(D291,契約台帳!$A$3:$K$4986,6,FALSE)&amp;VLOOKUP(D291,契約台帳!$A$3:$K$4986,7,FALSE)&amp;VLOOKUP(D291,契約台帳!$A$3:$K$4986,8,FALSE)&amp;VLOOKUP(D291,契約台帳!$A$3:$K$4986,9,FALSE)&amp;VLOOKUP(D291,契約台帳!$A$3:$K$4986,11,FALSE))</f>
        <v>3SNMLBMNGTBF</v>
      </c>
      <c r="G291" s="256" t="str">
        <f>IF(D291="","",VLOOKUP(F291,製品マスタ!$G$5:$H$4999,2,FALSE))</f>
        <v>S</v>
      </c>
      <c r="H291" s="256" t="str">
        <f>IF(D291="","",VLOOKUP(F291,製品マスタ!$G$5:$K$4999,5,FALSE))</f>
        <v>MNGTBF</v>
      </c>
      <c r="I291" s="200" t="str">
        <f>IF(D291="","",VLOOKUP(F291,製品マスタ!$G$5:$L$4999,6,FALSE))</f>
        <v>メタルミー　ネーマー　銀艶　Ｂ</v>
      </c>
      <c r="J291" s="203" t="s">
        <v>935</v>
      </c>
      <c r="K291" s="200">
        <f>IF(D291="","",VLOOKUP(D291,契約台帳!$A$3:$L$4986,12,FALSE))</f>
        <v>50</v>
      </c>
      <c r="L291" s="200" t="str">
        <f>IF(D291="","",INDEX(製品マスタ!$Q$5:$Q$4999,MATCH('S4'!F291&amp;'S4'!K291,製品マスタ!$AO$5:$AO$4999,0)))</f>
        <v>T62</v>
      </c>
      <c r="M291" s="37">
        <v>1120</v>
      </c>
      <c r="N291" s="37">
        <v>5000</v>
      </c>
      <c r="O291" s="153">
        <v>12</v>
      </c>
      <c r="P291" s="45">
        <v>2</v>
      </c>
      <c r="Q291" s="206">
        <v>44986</v>
      </c>
      <c r="R291" s="257">
        <f ca="1">IF(D291="","",IF(OFFSET(D291,-1,0)&lt;&gt;"","",IF(OR(J291="リード付け",J291="巻足し",J291="巻返しリード付け"),M291,VLOOKUP(D291,契約台帳!$A$3:$N$4986,14,FALSE))))</f>
        <v>1120</v>
      </c>
      <c r="S291" s="258">
        <f ca="1">IF(D291="","",IF(OFFSET(D291,-1,0)&lt;&gt;"","",IF(OR(J291="リード付け",J291="巻足し",J291="巻返しリード付け"),M291,VLOOKUP(D291,契約台帳!$A$3:$O$4986,15,FALSE))))</f>
        <v>1120</v>
      </c>
      <c r="T291" s="258">
        <f ca="1">IF(D291="","",IF(J291="リード付け",N291,IF(J291="巻返しリード付け",N291,IF(J291="巻足し",N291*P291+OFFSET(N291,1,0)*OFFSET(P291,1,0),VLOOKUP(D291,契約台帳!$A$3:$P$4986,16,FALSE)))))</f>
        <v>10000</v>
      </c>
      <c r="U291" s="38">
        <v>6</v>
      </c>
      <c r="V291" s="259">
        <f ca="1">IF(D291="","",IF(OFFSET(D291,-2,0)=D291,"",VLOOKUP(D291,契約台帳!$A$3:$R$4986,18,FALSE)))</f>
        <v>12</v>
      </c>
      <c r="W291" s="256" t="str">
        <f ca="1">IF(D291="","",IF(T291="","",IF(OR(J291="巻足し",J291="巻返しリード付け"),"",IF(J291="巻返し",VLOOKUP(F291&amp;K291&amp;M291,製品マスタ!$M$5:$AD$4999,18,FALSE),IF(OR(J291="リード付け",J291="巻返しリード付け"),"原反コア",IF(J291="スリット",VLOOKUP(F291&amp;K291&amp;R291,製品マスタ!$N$5:$AD$4999,17,FALSE),""))))))</f>
        <v/>
      </c>
      <c r="X291" s="256" t="str">
        <f ca="1">IF(D291="","",IF(T291="","",IF(J291="巻足し","",IF(J291="巻返し",VLOOKUP(F291&amp;K291&amp;M291,製品マスタ!$M$5:$AE$4999,19,FALSE),IF(OR(J291="リード付け",J291="巻返しリード付け"),"",IF(J291="スリット",VLOOKUP(F291&amp;K291&amp;R291,製品マスタ!$N$5:$AE$4999,18,FALSE),""))))))</f>
        <v/>
      </c>
      <c r="Y291" s="256">
        <f ca="1">IF(D291="","",IF(T291="","",VLOOKUP(D291,契約台帳!$A$3:$Q$4986,17,FALSE)))</f>
        <v>2</v>
      </c>
      <c r="Z291" s="256" t="str">
        <f ca="1">IF(D291="","",IF(T291="","",VLOOKUP(D291,契約台帳!$A$3:$E$4986,5,FALSE)))</f>
        <v>リンテック㈱</v>
      </c>
      <c r="AA291" s="54"/>
      <c r="AB291" s="200" t="str">
        <f>IFERROR((VLOOKUP(F291&amp;K291&amp;M291,製品マスタ!$M$5:$AM$4999,27,FALSE)),"")</f>
        <v>原反ケース再利用</v>
      </c>
      <c r="AC291" s="31"/>
      <c r="AD291" s="184"/>
      <c r="AE291" s="51"/>
      <c r="AF291" s="52"/>
      <c r="AG291" s="41"/>
      <c r="AH291" s="45"/>
      <c r="AI291" s="28"/>
      <c r="AJ291" s="28"/>
      <c r="AK291" s="28"/>
      <c r="AL291" s="28"/>
      <c r="AM291" s="12"/>
      <c r="AN291" s="12"/>
      <c r="AO291" s="12"/>
      <c r="AP291" s="12"/>
      <c r="AQ291" s="12"/>
      <c r="AR291" s="13"/>
      <c r="AS291" s="14"/>
    </row>
    <row r="292" spans="1:45" s="16" customFormat="1" ht="30.95" hidden="1" customHeight="1" x14ac:dyDescent="0.2">
      <c r="A292" s="35"/>
      <c r="B292" s="36"/>
      <c r="C292" s="43"/>
      <c r="D292" s="29"/>
      <c r="E292" s="29"/>
      <c r="F292" s="255" t="str">
        <f>IF(D292="","",VLOOKUP(D292,契約台帳!$A$3:$K$4986,6,FALSE)&amp;VLOOKUP(D292,契約台帳!$A$3:$K$4986,7,FALSE)&amp;VLOOKUP(D292,契約台帳!$A$3:$K$4986,8,FALSE)&amp;VLOOKUP(D292,契約台帳!$A$3:$K$4986,9,FALSE)&amp;VLOOKUP(D292,契約台帳!$A$3:$K$4986,11,FALSE))</f>
        <v/>
      </c>
      <c r="G292" s="256" t="str">
        <f>IF(D292="","",VLOOKUP(F292,製品マスタ!$G$5:$H$4999,2,FALSE))</f>
        <v/>
      </c>
      <c r="H292" s="256" t="str">
        <f>IF(D292="","",VLOOKUP(F292,製品マスタ!$G$5:$K$4999,5,FALSE))</f>
        <v/>
      </c>
      <c r="I292" s="200" t="str">
        <f>IF(D292="","",VLOOKUP(F292,製品マスタ!$G$5:$L$4999,6,FALSE))</f>
        <v/>
      </c>
      <c r="J292" s="203"/>
      <c r="K292" s="200" t="str">
        <f>IF(D292="","",VLOOKUP(D292,契約台帳!$A$3:$L$4986,12,FALSE))</f>
        <v/>
      </c>
      <c r="L292" s="200" t="str">
        <f>IF(D292="","",INDEX(製品マスタ!$Q$5:$Q$4999,MATCH('S4'!F292&amp;'S4'!K292,製品マスタ!$AO$5:$AO$4999,0)))</f>
        <v/>
      </c>
      <c r="M292" s="37"/>
      <c r="N292" s="37"/>
      <c r="O292" s="153"/>
      <c r="P292" s="45"/>
      <c r="Q292" s="54"/>
      <c r="R292" s="257" t="str">
        <f ca="1">IF(D292="","",IF(OFFSET(D292,-1,0)&lt;&gt;"","",IF(OR(J292="リード付け",J292="巻足し",J292="巻返しリード付け"),M292,VLOOKUP(D292,契約台帳!$A$3:$N$4986,14,FALSE))))</f>
        <v/>
      </c>
      <c r="S292" s="258" t="str">
        <f ca="1">IF(D292="","",IF(OFFSET(D292,-1,0)&lt;&gt;"","",IF(OR(J292="リード付け",J292="巻足し",J292="巻返しリード付け"),M292,VLOOKUP(D292,契約台帳!$A$3:$O$4986,15,FALSE))))</f>
        <v/>
      </c>
      <c r="T292" s="258" t="str">
        <f ca="1">IF(D292="","",IF(J292="リード付け",N292,IF(J292="巻返しリード付け",N292,IF(J292="巻足し",N292*P292+OFFSET(N292,1,0)*OFFSET(P292,1,0),VLOOKUP(D292,契約台帳!$A$3:$P$4986,16,FALSE)))))</f>
        <v/>
      </c>
      <c r="U292" s="38"/>
      <c r="V292" s="259" t="str">
        <f ca="1">IF(D292="","",IF(OFFSET(D292,-2,0)=D292,"",VLOOKUP(D292,契約台帳!$A$3:$R$4986,18,FALSE)))</f>
        <v/>
      </c>
      <c r="W292" s="256" t="str">
        <f>IF(D292="","",IF(T292="","",IF(OR(J292="巻足し",J292="巻返しリード付け"),"",IF(J292="巻返し",VLOOKUP(F292&amp;K292&amp;M292,製品マスタ!$M$5:$AD$4999,18,FALSE),IF(OR(J292="リード付け",J292="巻返しリード付け"),"原反コア",IF(J292="スリット",VLOOKUP(F292&amp;K292&amp;R292,製品マスタ!$N$5:$AD$4999,17,FALSE),""))))))</f>
        <v/>
      </c>
      <c r="X292" s="256" t="str">
        <f>IF(D292="","",IF(T292="","",IF(J292="巻足し","",IF(J292="巻返し",VLOOKUP(F292&amp;K292&amp;M292,製品マスタ!$M$5:$AE$4999,19,FALSE),IF(OR(J292="リード付け",J292="巻返しリード付け"),"",IF(J292="スリット",VLOOKUP(F292&amp;K292&amp;R292,製品マスタ!$N$5:$AE$4999,18,FALSE),""))))))</f>
        <v/>
      </c>
      <c r="Y292" s="256" t="str">
        <f>IF(D292="","",IF(T292="","",VLOOKUP(D292,契約台帳!$A$3:$Q$4986,17,FALSE)))</f>
        <v/>
      </c>
      <c r="Z292" s="256" t="str">
        <f>IF(D292="","",IF(T292="","",VLOOKUP(D292,契約台帳!$A$3:$E$4986,5,FALSE)))</f>
        <v/>
      </c>
      <c r="AA292" s="54"/>
      <c r="AB292" s="200" t="str">
        <f>IFERROR((VLOOKUP(F292&amp;K292&amp;M292,製品マスタ!$M$5:$AM$4999,27,FALSE)),"")</f>
        <v/>
      </c>
      <c r="AC292" s="31"/>
      <c r="AD292" s="184"/>
      <c r="AE292" s="51"/>
      <c r="AF292" s="52"/>
      <c r="AG292" s="41"/>
      <c r="AH292" s="45"/>
      <c r="AI292" s="28"/>
      <c r="AJ292" s="28"/>
      <c r="AK292" s="28"/>
      <c r="AL292" s="28"/>
      <c r="AM292" s="12"/>
      <c r="AN292" s="12"/>
      <c r="AO292" s="12"/>
      <c r="AP292" s="12"/>
      <c r="AQ292" s="12"/>
      <c r="AR292" s="13"/>
      <c r="AS292" s="14"/>
    </row>
    <row r="293" spans="1:45" s="16" customFormat="1" ht="30.95" hidden="1" customHeight="1" x14ac:dyDescent="0.2">
      <c r="A293" s="35" t="s">
        <v>940</v>
      </c>
      <c r="B293" s="36" t="s">
        <v>941</v>
      </c>
      <c r="C293" s="43"/>
      <c r="D293" s="29"/>
      <c r="E293" s="29"/>
      <c r="F293" s="255" t="str">
        <f>IF(D293="","",VLOOKUP(D293,契約台帳!$A$3:$K$4986,6,FALSE)&amp;VLOOKUP(D293,契約台帳!$A$3:$K$4986,7,FALSE)&amp;VLOOKUP(D293,契約台帳!$A$3:$K$4986,8,FALSE)&amp;VLOOKUP(D293,契約台帳!$A$3:$K$4986,9,FALSE)&amp;VLOOKUP(D293,契約台帳!$A$3:$K$4986,11,FALSE))</f>
        <v/>
      </c>
      <c r="G293" s="256" t="str">
        <f>IF(D293="","",VLOOKUP(F293,製品マスタ!$G$5:$H$4999,2,FALSE))</f>
        <v/>
      </c>
      <c r="H293" s="256" t="str">
        <f>IF(D293="","",VLOOKUP(F293,製品マスタ!$G$5:$K$4999,5,FALSE))</f>
        <v/>
      </c>
      <c r="I293" s="200" t="str">
        <f>IF(D293="","",VLOOKUP(F293,製品マスタ!$G$5:$L$4999,6,FALSE))</f>
        <v/>
      </c>
      <c r="J293" s="203" t="s">
        <v>448</v>
      </c>
      <c r="K293" s="200" t="str">
        <f>IF(D293="","",VLOOKUP(D293,契約台帳!$A$3:$L$4986,12,FALSE))</f>
        <v/>
      </c>
      <c r="L293" s="200" t="str">
        <f>IF(D293="","",INDEX(製品マスタ!$Q$5:$Q$4999,MATCH('S4'!F293&amp;'S4'!K293,製品マスタ!$AO$5:$AO$4999,0)))</f>
        <v/>
      </c>
      <c r="M293" s="37"/>
      <c r="N293" s="37"/>
      <c r="O293" s="153"/>
      <c r="P293" s="45"/>
      <c r="Q293" s="54"/>
      <c r="R293" s="257" t="str">
        <f ca="1">IF(D293="","",IF(OFFSET(D293,-1,0)&lt;&gt;"","",IF(OR(J293="リード付け",J293="巻足し",J293="巻返しリード付け"),M293,VLOOKUP(D293,契約台帳!$A$3:$N$4986,14,FALSE))))</f>
        <v/>
      </c>
      <c r="S293" s="258" t="str">
        <f ca="1">IF(D293="","",IF(OFFSET(D293,-1,0)&lt;&gt;"","",IF(OR(J293="リード付け",J293="巻足し",J293="巻返しリード付け"),M293,VLOOKUP(D293,契約台帳!$A$3:$O$4986,15,FALSE))))</f>
        <v/>
      </c>
      <c r="T293" s="258" t="str">
        <f ca="1">IF(D293="","",IF(J293="リード付け",N293,IF(J293="巻返しリード付け",N293,IF(J293="巻足し",N293*P293+OFFSET(N293,1,0)*OFFSET(P293,1,0),VLOOKUP(D293,契約台帳!$A$3:$P$4986,16,FALSE)))))</f>
        <v/>
      </c>
      <c r="U293" s="38"/>
      <c r="V293" s="259" t="str">
        <f ca="1">IF(D293="","",IF(OFFSET(D293,-2,0)=D293,"",VLOOKUP(D293,契約台帳!$A$3:$R$4986,18,FALSE)))</f>
        <v/>
      </c>
      <c r="W293" s="256" t="str">
        <f>IF(D293="","",IF(T293="","",IF(OR(J293="巻足し",J293="巻返しリード付け"),"",IF(J293="巻返し",VLOOKUP(F293&amp;K293&amp;M293,製品マスタ!$M$5:$AD$4999,18,FALSE),IF(OR(J293="リード付け",J293="巻返しリード付け"),"原反コア",IF(J293="スリット",VLOOKUP(F293&amp;K293&amp;R293,製品マスタ!$N$5:$AD$4999,17,FALSE),""))))))</f>
        <v/>
      </c>
      <c r="X293" s="256" t="str">
        <f>IF(D293="","",IF(T293="","",IF(J293="巻足し","",IF(J293="巻返し",VLOOKUP(F293&amp;K293&amp;M293,製品マスタ!$M$5:$AE$4999,19,FALSE),IF(OR(J293="リード付け",J293="巻返しリード付け"),"",IF(J293="スリット",VLOOKUP(F293&amp;K293&amp;R293,製品マスタ!$N$5:$AE$4999,18,FALSE),""))))))</f>
        <v/>
      </c>
      <c r="Y293" s="256" t="str">
        <f>IF(D293="","",IF(T293="","",VLOOKUP(D293,契約台帳!$A$3:$Q$4986,17,FALSE)))</f>
        <v/>
      </c>
      <c r="Z293" s="256" t="str">
        <f>IF(D293="","",IF(T293="","",VLOOKUP(D293,契約台帳!$A$3:$E$4986,5,FALSE)))</f>
        <v/>
      </c>
      <c r="AA293" s="54"/>
      <c r="AB293" s="200" t="str">
        <f>IFERROR((VLOOKUP(F293&amp;K293&amp;M293,製品マスタ!$M$5:$AM$4999,27,FALSE)),"")</f>
        <v/>
      </c>
      <c r="AC293" s="31"/>
      <c r="AD293" s="184"/>
      <c r="AE293" s="51"/>
      <c r="AF293" s="52"/>
      <c r="AG293" s="41"/>
      <c r="AH293" s="45"/>
      <c r="AI293" s="28"/>
      <c r="AJ293" s="28"/>
      <c r="AK293" s="28"/>
      <c r="AL293" s="28"/>
      <c r="AM293" s="12"/>
      <c r="AN293" s="12"/>
      <c r="AO293" s="12"/>
      <c r="AP293" s="12"/>
      <c r="AQ293" s="12"/>
      <c r="AR293" s="13"/>
      <c r="AS293" s="14"/>
    </row>
    <row r="294" spans="1:45" s="16" customFormat="1" ht="30.95" hidden="1" customHeight="1" x14ac:dyDescent="0.2">
      <c r="A294" s="35"/>
      <c r="B294" s="36"/>
      <c r="C294" s="43"/>
      <c r="D294" s="29"/>
      <c r="E294" s="29"/>
      <c r="F294" s="255" t="str">
        <f>IF(D294="","",VLOOKUP(D294,契約台帳!$A$3:$K$4986,6,FALSE)&amp;VLOOKUP(D294,契約台帳!$A$3:$K$4986,7,FALSE)&amp;VLOOKUP(D294,契約台帳!$A$3:$K$4986,8,FALSE)&amp;VLOOKUP(D294,契約台帳!$A$3:$K$4986,9,FALSE)&amp;VLOOKUP(D294,契約台帳!$A$3:$K$4986,11,FALSE))</f>
        <v/>
      </c>
      <c r="G294" s="256" t="str">
        <f>IF(D294="","",VLOOKUP(F294,製品マスタ!$G$5:$H$4999,2,FALSE))</f>
        <v/>
      </c>
      <c r="H294" s="256" t="str">
        <f>IF(D294="","",VLOOKUP(F294,製品マスタ!$G$5:$K$4999,5,FALSE))</f>
        <v/>
      </c>
      <c r="I294" s="200" t="str">
        <f>IF(D294="","",VLOOKUP(F294,製品マスタ!$G$5:$L$4999,6,FALSE))</f>
        <v/>
      </c>
      <c r="J294" s="203"/>
      <c r="K294" s="200" t="str">
        <f>IF(D294="","",VLOOKUP(D294,契約台帳!$A$3:$L$4986,12,FALSE))</f>
        <v/>
      </c>
      <c r="L294" s="200" t="str">
        <f>IF(D294="","",INDEX(製品マスタ!$Q$5:$Q$4999,MATCH('S4'!F294&amp;'S4'!K294,製品マスタ!$AO$5:$AO$4999,0)))</f>
        <v/>
      </c>
      <c r="M294" s="37"/>
      <c r="N294" s="37"/>
      <c r="O294" s="153"/>
      <c r="P294" s="45"/>
      <c r="Q294" s="54"/>
      <c r="R294" s="257" t="str">
        <f ca="1">IF(D294="","",IF(OFFSET(D294,-1,0)&lt;&gt;"","",IF(OR(J294="リード付け",J294="巻足し",J294="巻返しリード付け"),M294,VLOOKUP(D294,契約台帳!$A$3:$N$4986,14,FALSE))))</f>
        <v/>
      </c>
      <c r="S294" s="258" t="str">
        <f ca="1">IF(D294="","",IF(OFFSET(D294,-1,0)&lt;&gt;"","",IF(OR(J294="リード付け",J294="巻足し",J294="巻返しリード付け"),M294,VLOOKUP(D294,契約台帳!$A$3:$O$4986,15,FALSE))))</f>
        <v/>
      </c>
      <c r="T294" s="258" t="str">
        <f ca="1">IF(D294="","",IF(J294="リード付け",N294,IF(J294="巻返しリード付け",N294,IF(J294="巻足し",N294*P294+OFFSET(N294,1,0)*OFFSET(P294,1,0),VLOOKUP(D294,契約台帳!$A$3:$P$4986,16,FALSE)))))</f>
        <v/>
      </c>
      <c r="U294" s="38"/>
      <c r="V294" s="259" t="str">
        <f ca="1">IF(D294="","",IF(OFFSET(D294,-2,0)=D294,"",VLOOKUP(D294,契約台帳!$A$3:$R$4986,18,FALSE)))</f>
        <v/>
      </c>
      <c r="W294" s="256" t="str">
        <f>IF(D294="","",IF(T294="","",IF(OR(J294="巻足し",J294="巻返しリード付け"),"",IF(J294="巻返し",VLOOKUP(F294&amp;K294&amp;M294,製品マスタ!$M$5:$AD$4999,18,FALSE),IF(OR(J294="リード付け",J294="巻返しリード付け"),"原反コア",IF(J294="スリット",VLOOKUP(F294&amp;K294&amp;R294,製品マスタ!$N$5:$AD$4999,17,FALSE),""))))))</f>
        <v/>
      </c>
      <c r="X294" s="256" t="str">
        <f>IF(D294="","",IF(T294="","",IF(J294="巻足し","",IF(J294="巻返し",VLOOKUP(F294&amp;K294&amp;M294,製品マスタ!$M$5:$AE$4999,19,FALSE),IF(OR(J294="リード付け",J294="巻返しリード付け"),"",IF(J294="スリット",VLOOKUP(F294&amp;K294&amp;R294,製品マスタ!$N$5:$AE$4999,18,FALSE),""))))))</f>
        <v/>
      </c>
      <c r="Y294" s="256" t="str">
        <f>IF(D294="","",IF(T294="","",VLOOKUP(D294,契約台帳!$A$3:$Q$4986,17,FALSE)))</f>
        <v/>
      </c>
      <c r="Z294" s="256" t="str">
        <f>IF(D294="","",IF(T294="","",VLOOKUP(D294,契約台帳!$A$3:$E$4986,5,FALSE)))</f>
        <v/>
      </c>
      <c r="AA294" s="54"/>
      <c r="AB294" s="200" t="str">
        <f>IFERROR((VLOOKUP(F294&amp;K294&amp;M294,製品マスタ!$M$5:$AM$4999,27,FALSE)),"")</f>
        <v/>
      </c>
      <c r="AC294" s="31"/>
      <c r="AD294" s="184"/>
      <c r="AE294" s="51"/>
      <c r="AF294" s="52"/>
      <c r="AG294" s="41"/>
      <c r="AH294" s="45"/>
      <c r="AI294" s="28"/>
      <c r="AJ294" s="28"/>
      <c r="AK294" s="28"/>
      <c r="AL294" s="28"/>
      <c r="AM294" s="12"/>
      <c r="AN294" s="12"/>
      <c r="AO294" s="12"/>
      <c r="AP294" s="12"/>
      <c r="AQ294" s="12"/>
      <c r="AR294" s="13"/>
      <c r="AS294" s="14"/>
    </row>
    <row r="295" spans="1:45" s="16" customFormat="1" ht="30.95" hidden="1" customHeight="1" x14ac:dyDescent="0.2">
      <c r="A295" s="35" t="s">
        <v>942</v>
      </c>
      <c r="B295" s="36" t="s">
        <v>943</v>
      </c>
      <c r="C295" s="43"/>
      <c r="D295" s="29"/>
      <c r="E295" s="29"/>
      <c r="F295" s="255" t="str">
        <f>IF(D295="","",VLOOKUP(D295,契約台帳!$A$3:$K$4986,6,FALSE)&amp;VLOOKUP(D295,契約台帳!$A$3:$K$4986,7,FALSE)&amp;VLOOKUP(D295,契約台帳!$A$3:$K$4986,8,FALSE)&amp;VLOOKUP(D295,契約台帳!$A$3:$K$4986,9,FALSE)&amp;VLOOKUP(D295,契約台帳!$A$3:$K$4986,11,FALSE))</f>
        <v/>
      </c>
      <c r="G295" s="256" t="str">
        <f>IF(D295="","",VLOOKUP(F295,製品マスタ!$G$5:$H$4999,2,FALSE))</f>
        <v/>
      </c>
      <c r="H295" s="256" t="str">
        <f>IF(D295="","",VLOOKUP(F295,製品マスタ!$G$5:$K$4999,5,FALSE))</f>
        <v/>
      </c>
      <c r="I295" s="200" t="str">
        <f>IF(D295="","",VLOOKUP(F295,製品マスタ!$G$5:$L$4999,6,FALSE))</f>
        <v/>
      </c>
      <c r="J295" s="203" t="s">
        <v>448</v>
      </c>
      <c r="K295" s="200" t="str">
        <f>IF(D295="","",VLOOKUP(D295,契約台帳!$A$3:$L$4986,12,FALSE))</f>
        <v/>
      </c>
      <c r="L295" s="200" t="str">
        <f>IF(D295="","",INDEX(製品マスタ!$Q$5:$Q$4999,MATCH('S4'!F295&amp;'S4'!K295,製品マスタ!$AO$5:$AO$4999,0)))</f>
        <v/>
      </c>
      <c r="M295" s="37"/>
      <c r="N295" s="37"/>
      <c r="O295" s="153"/>
      <c r="P295" s="45"/>
      <c r="Q295" s="54"/>
      <c r="R295" s="257" t="str">
        <f ca="1">IF(D295="","",IF(OFFSET(D295,-1,0)&lt;&gt;"","",IF(OR(J295="リード付け",J295="巻足し",J295="巻返しリード付け"),M295,VLOOKUP(D295,契約台帳!$A$3:$N$4986,14,FALSE))))</f>
        <v/>
      </c>
      <c r="S295" s="258" t="str">
        <f ca="1">IF(D295="","",IF(OFFSET(D295,-1,0)&lt;&gt;"","",IF(OR(J295="リード付け",J295="巻足し",J295="巻返しリード付け"),M295,VLOOKUP(D295,契約台帳!$A$3:$O$4986,15,FALSE))))</f>
        <v/>
      </c>
      <c r="T295" s="258" t="str">
        <f ca="1">IF(D295="","",IF(J295="リード付け",N295,IF(J295="巻返しリード付け",N295,IF(J295="巻足し",N295*P295+OFFSET(N295,1,0)*OFFSET(P295,1,0),VLOOKUP(D295,契約台帳!$A$3:$P$4986,16,FALSE)))))</f>
        <v/>
      </c>
      <c r="U295" s="38"/>
      <c r="V295" s="259" t="str">
        <f ca="1">IF(D295="","",IF(OFFSET(D295,-2,0)=D295,"",VLOOKUP(D295,契約台帳!$A$3:$R$4986,18,FALSE)))</f>
        <v/>
      </c>
      <c r="W295" s="256" t="str">
        <f>IF(D295="","",IF(T295="","",IF(OR(J295="巻足し",J295="巻返しリード付け"),"",IF(J295="巻返し",VLOOKUP(F295&amp;K295&amp;M295,製品マスタ!$M$5:$AD$4999,18,FALSE),IF(OR(J295="リード付け",J295="巻返しリード付け"),"原反コア",IF(J295="スリット",VLOOKUP(F295&amp;K295&amp;R295,製品マスタ!$N$5:$AD$4999,17,FALSE),""))))))</f>
        <v/>
      </c>
      <c r="X295" s="256" t="str">
        <f>IF(D295="","",IF(T295="","",IF(J295="巻足し","",IF(J295="巻返し",VLOOKUP(F295&amp;K295&amp;M295,製品マスタ!$M$5:$AE$4999,19,FALSE),IF(OR(J295="リード付け",J295="巻返しリード付け"),"",IF(J295="スリット",VLOOKUP(F295&amp;K295&amp;R295,製品マスタ!$N$5:$AE$4999,18,FALSE),""))))))</f>
        <v/>
      </c>
      <c r="Y295" s="256" t="str">
        <f>IF(D295="","",IF(T295="","",VLOOKUP(D295,契約台帳!$A$3:$Q$4986,17,FALSE)))</f>
        <v/>
      </c>
      <c r="Z295" s="256" t="str">
        <f>IF(D295="","",IF(T295="","",VLOOKUP(D295,契約台帳!$A$3:$E$4986,5,FALSE)))</f>
        <v/>
      </c>
      <c r="AA295" s="54"/>
      <c r="AB295" s="200" t="str">
        <f>IFERROR((VLOOKUP(F295&amp;K295&amp;M295,製品マスタ!$M$5:$AM$4999,27,FALSE)),"")</f>
        <v/>
      </c>
      <c r="AC295" s="31"/>
      <c r="AD295" s="184"/>
      <c r="AE295" s="51"/>
      <c r="AF295" s="52"/>
      <c r="AG295" s="41"/>
      <c r="AH295" s="45"/>
      <c r="AI295" s="28"/>
      <c r="AJ295" s="28"/>
      <c r="AK295" s="28"/>
      <c r="AL295" s="28"/>
      <c r="AM295" s="12"/>
      <c r="AN295" s="12"/>
      <c r="AO295" s="12"/>
      <c r="AP295" s="12"/>
      <c r="AQ295" s="12"/>
      <c r="AR295" s="13"/>
      <c r="AS295" s="14"/>
    </row>
    <row r="296" spans="1:45" s="16" customFormat="1" ht="30.95" hidden="1" customHeight="1" x14ac:dyDescent="0.2">
      <c r="A296" s="35"/>
      <c r="B296" s="36"/>
      <c r="C296" s="43"/>
      <c r="D296" s="29"/>
      <c r="E296" s="29"/>
      <c r="F296" s="255" t="str">
        <f>IF(D296="","",VLOOKUP(D296,契約台帳!$A$3:$K$4986,6,FALSE)&amp;VLOOKUP(D296,契約台帳!$A$3:$K$4986,7,FALSE)&amp;VLOOKUP(D296,契約台帳!$A$3:$K$4986,8,FALSE)&amp;VLOOKUP(D296,契約台帳!$A$3:$K$4986,9,FALSE)&amp;VLOOKUP(D296,契約台帳!$A$3:$K$4986,11,FALSE))</f>
        <v/>
      </c>
      <c r="G296" s="256" t="str">
        <f>IF(D296="","",VLOOKUP(F296,製品マスタ!$G$5:$H$4999,2,FALSE))</f>
        <v/>
      </c>
      <c r="H296" s="256" t="str">
        <f>IF(D296="","",VLOOKUP(F296,製品マスタ!$G$5:$K$4999,5,FALSE))</f>
        <v/>
      </c>
      <c r="I296" s="200" t="str">
        <f>IF(D296="","",VLOOKUP(F296,製品マスタ!$G$5:$L$4999,6,FALSE))</f>
        <v/>
      </c>
      <c r="J296" s="203"/>
      <c r="K296" s="200" t="str">
        <f>IF(D296="","",VLOOKUP(D296,契約台帳!$A$3:$L$4986,12,FALSE))</f>
        <v/>
      </c>
      <c r="L296" s="200" t="str">
        <f>IF(D296="","",INDEX(製品マスタ!$Q$5:$Q$4999,MATCH('S4'!F296&amp;'S4'!K296,製品マスタ!$AO$5:$AO$4999,0)))</f>
        <v/>
      </c>
      <c r="M296" s="37"/>
      <c r="N296" s="37"/>
      <c r="O296" s="153"/>
      <c r="P296" s="45"/>
      <c r="Q296" s="54"/>
      <c r="R296" s="257" t="str">
        <f ca="1">IF(D296="","",IF(OFFSET(D296,-1,0)&lt;&gt;"","",IF(OR(J296="リード付け",J296="巻足し",J296="巻返しリード付け"),M296,VLOOKUP(D296,契約台帳!$A$3:$N$4986,14,FALSE))))</f>
        <v/>
      </c>
      <c r="S296" s="258" t="str">
        <f ca="1">IF(D296="","",IF(OFFSET(D296,-1,0)&lt;&gt;"","",IF(OR(J296="リード付け",J296="巻足し",J296="巻返しリード付け"),M296,VLOOKUP(D296,契約台帳!$A$3:$O$4986,15,FALSE))))</f>
        <v/>
      </c>
      <c r="T296" s="258" t="str">
        <f ca="1">IF(D296="","",IF(J296="リード付け",N296,IF(J296="巻返しリード付け",N296,IF(J296="巻足し",N296*P296+OFFSET(N296,1,0)*OFFSET(P296,1,0),VLOOKUP(D296,契約台帳!$A$3:$P$4986,16,FALSE)))))</f>
        <v/>
      </c>
      <c r="U296" s="38"/>
      <c r="V296" s="259" t="str">
        <f ca="1">IF(D296="","",IF(OFFSET(D296,-2,0)=D296,"",VLOOKUP(D296,契約台帳!$A$3:$R$4986,18,FALSE)))</f>
        <v/>
      </c>
      <c r="W296" s="256" t="str">
        <f>IF(D296="","",IF(T296="","",IF(OR(J296="巻足し",J296="巻返しリード付け"),"",IF(J296="巻返し",VLOOKUP(F296&amp;K296&amp;M296,製品マスタ!$M$5:$AD$4999,18,FALSE),IF(OR(J296="リード付け",J296="巻返しリード付け"),"原反コア",IF(J296="スリット",VLOOKUP(F296&amp;K296&amp;R296,製品マスタ!$N$5:$AD$4999,17,FALSE),""))))))</f>
        <v/>
      </c>
      <c r="X296" s="256" t="str">
        <f>IF(D296="","",IF(T296="","",IF(J296="巻足し","",IF(J296="巻返し",VLOOKUP(F296&amp;K296&amp;M296,製品マスタ!$M$5:$AE$4999,19,FALSE),IF(OR(J296="リード付け",J296="巻返しリード付け"),"",IF(J296="スリット",VLOOKUP(F296&amp;K296&amp;R296,製品マスタ!$N$5:$AE$4999,18,FALSE),""))))))</f>
        <v/>
      </c>
      <c r="Y296" s="256" t="str">
        <f>IF(D296="","",IF(T296="","",VLOOKUP(D296,契約台帳!$A$3:$Q$4986,17,FALSE)))</f>
        <v/>
      </c>
      <c r="Z296" s="256" t="str">
        <f>IF(D296="","",IF(T296="","",VLOOKUP(D296,契約台帳!$A$3:$E$4986,5,FALSE)))</f>
        <v/>
      </c>
      <c r="AA296" s="54"/>
      <c r="AB296" s="200" t="str">
        <f>IFERROR((VLOOKUP(F296&amp;K296&amp;M296,製品マスタ!$M$5:$AM$4999,27,FALSE)),"")</f>
        <v/>
      </c>
      <c r="AC296" s="31"/>
      <c r="AD296" s="184"/>
      <c r="AE296" s="51"/>
      <c r="AF296" s="52"/>
      <c r="AG296" s="41"/>
      <c r="AH296" s="45"/>
      <c r="AI296" s="28"/>
      <c r="AJ296" s="28"/>
      <c r="AK296" s="28"/>
      <c r="AL296" s="28"/>
      <c r="AM296" s="12"/>
      <c r="AN296" s="12"/>
      <c r="AO296" s="12"/>
      <c r="AP296" s="12"/>
      <c r="AQ296" s="12"/>
      <c r="AR296" s="13"/>
      <c r="AS296" s="14"/>
    </row>
    <row r="297" spans="1:45" s="16" customFormat="1" ht="30.95" hidden="1" customHeight="1" x14ac:dyDescent="0.2">
      <c r="A297" s="35" t="s">
        <v>944</v>
      </c>
      <c r="B297" s="36" t="s">
        <v>945</v>
      </c>
      <c r="C297" s="43"/>
      <c r="D297" s="29">
        <v>3700968</v>
      </c>
      <c r="E297" s="29">
        <v>4161854</v>
      </c>
      <c r="F297" s="255" t="str">
        <f>IF(D297="","",VLOOKUP(D297,契約台帳!$A$3:$K$4986,6,FALSE)&amp;VLOOKUP(D297,契約台帳!$A$3:$K$4986,7,FALSE)&amp;VLOOKUP(D297,契約台帳!$A$3:$K$4986,8,FALSE)&amp;VLOOKUP(D297,契約台帳!$A$3:$K$4986,9,FALSE)&amp;VLOOKUP(D297,契約台帳!$A$3:$K$4986,11,FALSE))</f>
        <v>3SYMLBMSSMBZF</v>
      </c>
      <c r="G297" s="256" t="str">
        <f>IF(D297="","",VLOOKUP(F297,製品マスタ!$G$5:$H$4999,2,FALSE))</f>
        <v>S</v>
      </c>
      <c r="H297" s="256" t="str">
        <f>IF(D297="","",VLOOKUP(F297,製品マスタ!$G$5:$K$4999,5,FALSE))</f>
        <v>MSSMBZF</v>
      </c>
      <c r="I297" s="200" t="str">
        <f>IF(D297="","",VLOOKUP(F297,製品マスタ!$G$5:$L$4999,6,FALSE))</f>
        <v>ＭＥＴＡＬＵＭＹ　ＳＩＬＶＥＲ　Ｓ－ＭＡＴＴＥ　Ｂ</v>
      </c>
      <c r="J297" s="203" t="s">
        <v>935</v>
      </c>
      <c r="K297" s="200">
        <f>IF(D297="","",VLOOKUP(D297,契約台帳!$A$3:$L$4986,12,FALSE))</f>
        <v>50</v>
      </c>
      <c r="L297" s="200" t="str">
        <f>IF(D297="","",INDEX(製品マスタ!$Q$5:$Q$4999,MATCH('S4'!F297&amp;'S4'!K297,製品マスタ!$AO$5:$AO$4999,0)))</f>
        <v>LI-MAT</v>
      </c>
      <c r="M297" s="37">
        <v>1120</v>
      </c>
      <c r="N297" s="37">
        <v>4000</v>
      </c>
      <c r="O297" s="153">
        <v>6</v>
      </c>
      <c r="P297" s="45">
        <v>3</v>
      </c>
      <c r="Q297" s="206">
        <v>44986</v>
      </c>
      <c r="R297" s="257">
        <f ca="1">IF(D297="","",IF(OFFSET(D297,-1,0)&lt;&gt;"","",IF(OR(J297="リード付け",J297="巻足し",J297="巻返しリード付け"),M297,VLOOKUP(D297,契約台帳!$A$3:$N$4986,14,FALSE))))</f>
        <v>1120</v>
      </c>
      <c r="S297" s="258">
        <f ca="1">IF(D297="","",IF(OFFSET(D297,-1,0)&lt;&gt;"","",IF(OR(J297="リード付け",J297="巻足し",J297="巻返しリード付け"),M297,VLOOKUP(D297,契約台帳!$A$3:$O$4986,15,FALSE))))</f>
        <v>1120</v>
      </c>
      <c r="T297" s="258">
        <f ca="1">IF(D297="","",IF(J297="リード付け",N297,IF(J297="巻返しリード付け",N297,IF(J297="巻足し",N297*P297+OFFSET(N297,1,0)*OFFSET(P297,1,0),VLOOKUP(D297,契約台帳!$A$3:$P$4986,16,FALSE)))))</f>
        <v>12000</v>
      </c>
      <c r="U297" s="38">
        <v>2</v>
      </c>
      <c r="V297" s="259">
        <f ca="1">IF(D297="","",IF(OFFSET(D297,-2,0)=D297,"",VLOOKUP(D297,契約台帳!$A$3:$R$4986,18,FALSE)))</f>
        <v>10</v>
      </c>
      <c r="W297" s="256" t="str">
        <f ca="1">IF(D297="","",IF(T297="","",IF(OR(J297="巻足し",J297="巻返しリード付け"),"",IF(J297="巻返し",VLOOKUP(F297&amp;K297&amp;M297,製品マスタ!$M$5:$AD$4999,18,FALSE),IF(OR(J297="リード付け",J297="巻返しリード付け"),"原反コア",IF(J297="スリット",VLOOKUP(F297&amp;K297&amp;R297,製品マスタ!$N$5:$AD$4999,17,FALSE),""))))))</f>
        <v/>
      </c>
      <c r="X297" s="256" t="str">
        <f ca="1">IF(D297="","",IF(T297="","",IF(J297="巻足し","",IF(J297="巻返し",VLOOKUP(F297&amp;K297&amp;M297,製品マスタ!$M$5:$AE$4999,19,FALSE),IF(OR(J297="リード付け",J297="巻返しリード付け"),"",IF(J297="スリット",VLOOKUP(F297&amp;K297&amp;R297,製品マスタ!$N$5:$AE$4999,18,FALSE),""))))))</f>
        <v/>
      </c>
      <c r="Y297" s="256">
        <f ca="1">IF(D297="","",IF(T297="","",VLOOKUP(D297,契約台帳!$A$3:$Q$4986,17,FALSE)))</f>
        <v>2</v>
      </c>
      <c r="Z297" s="256" t="str">
        <f ca="1">IF(D297="","",IF(T297="","",VLOOKUP(D297,契約台帳!$A$3:$E$4986,5,FALSE)))</f>
        <v>リンテック㈱</v>
      </c>
      <c r="AA297" s="54"/>
      <c r="AB297" s="200">
        <f>IFERROR((VLOOKUP(F297&amp;K297&amp;M297,製品マスタ!$M$5:$AM$4999,27,FALSE)),"")</f>
        <v>0</v>
      </c>
      <c r="AC297" s="31"/>
      <c r="AD297" s="184"/>
      <c r="AE297" s="51"/>
      <c r="AF297" s="52"/>
      <c r="AG297" s="41"/>
      <c r="AH297" s="45"/>
      <c r="AI297" s="28"/>
      <c r="AJ297" s="28"/>
      <c r="AK297" s="28"/>
      <c r="AL297" s="28"/>
      <c r="AM297" s="12"/>
      <c r="AN297" s="12"/>
      <c r="AO297" s="12"/>
      <c r="AP297" s="12"/>
      <c r="AQ297" s="12"/>
      <c r="AR297" s="13"/>
      <c r="AS297" s="14"/>
    </row>
    <row r="298" spans="1:45" s="16" customFormat="1" ht="30.95" hidden="1" customHeight="1" x14ac:dyDescent="0.2">
      <c r="A298" s="35"/>
      <c r="B298" s="36"/>
      <c r="C298" s="43"/>
      <c r="D298" s="29"/>
      <c r="E298" s="29"/>
      <c r="F298" s="255" t="str">
        <f>IF(D298="","",VLOOKUP(D298,契約台帳!$A$3:$K$4986,6,FALSE)&amp;VLOOKUP(D298,契約台帳!$A$3:$K$4986,7,FALSE)&amp;VLOOKUP(D298,契約台帳!$A$3:$K$4986,8,FALSE)&amp;VLOOKUP(D298,契約台帳!$A$3:$K$4986,9,FALSE)&amp;VLOOKUP(D298,契約台帳!$A$3:$K$4986,11,FALSE))</f>
        <v/>
      </c>
      <c r="G298" s="256" t="str">
        <f>IF(D298="","",VLOOKUP(F298,製品マスタ!$G$5:$H$4999,2,FALSE))</f>
        <v/>
      </c>
      <c r="H298" s="256" t="str">
        <f>IF(D298="","",VLOOKUP(F298,製品マスタ!$G$5:$K$4999,5,FALSE))</f>
        <v/>
      </c>
      <c r="I298" s="200" t="str">
        <f>IF(D298="","",VLOOKUP(F298,製品マスタ!$G$5:$L$4999,6,FALSE))</f>
        <v/>
      </c>
      <c r="J298" s="203"/>
      <c r="K298" s="200" t="str">
        <f>IF(D298="","",VLOOKUP(D298,契約台帳!$A$3:$L$4986,12,FALSE))</f>
        <v/>
      </c>
      <c r="L298" s="200" t="str">
        <f>IF(D298="","",INDEX(製品マスタ!$Q$5:$Q$4999,MATCH('S4'!F298&amp;'S4'!K298,製品マスタ!$AO$5:$AO$4999,0)))</f>
        <v/>
      </c>
      <c r="M298" s="37"/>
      <c r="N298" s="37"/>
      <c r="O298" s="153"/>
      <c r="P298" s="45"/>
      <c r="Q298" s="54"/>
      <c r="R298" s="257" t="str">
        <f ca="1">IF(D298="","",IF(OFFSET(D298,-1,0)&lt;&gt;"","",IF(OR(J298="リード付け",J298="巻足し",J298="巻返しリード付け"),M298,VLOOKUP(D298,契約台帳!$A$3:$N$4986,14,FALSE))))</f>
        <v/>
      </c>
      <c r="S298" s="258" t="str">
        <f ca="1">IF(D298="","",IF(OFFSET(D298,-1,0)&lt;&gt;"","",IF(OR(J298="リード付け",J298="巻足し",J298="巻返しリード付け"),M298,VLOOKUP(D298,契約台帳!$A$3:$O$4986,15,FALSE))))</f>
        <v/>
      </c>
      <c r="T298" s="258" t="str">
        <f ca="1">IF(D298="","",IF(J298="リード付け",N298,IF(J298="巻返しリード付け",N298,IF(J298="巻足し",N298*P298+OFFSET(N298,1,0)*OFFSET(P298,1,0),VLOOKUP(D298,契約台帳!$A$3:$P$4986,16,FALSE)))))</f>
        <v/>
      </c>
      <c r="U298" s="38"/>
      <c r="V298" s="259" t="str">
        <f ca="1">IF(D298="","",IF(OFFSET(D298,-2,0)=D298,"",VLOOKUP(D298,契約台帳!$A$3:$R$4986,18,FALSE)))</f>
        <v/>
      </c>
      <c r="W298" s="256" t="str">
        <f>IF(D298="","",IF(T298="","",IF(OR(J298="巻足し",J298="巻返しリード付け"),"",IF(J298="巻返し",VLOOKUP(F298&amp;K298&amp;M298,製品マスタ!$M$5:$AD$4999,18,FALSE),IF(OR(J298="リード付け",J298="巻返しリード付け"),"原反コア",IF(J298="スリット",VLOOKUP(F298&amp;K298&amp;R298,製品マスタ!$N$5:$AD$4999,17,FALSE),""))))))</f>
        <v/>
      </c>
      <c r="X298" s="256" t="str">
        <f>IF(D298="","",IF(T298="","",IF(J298="巻足し","",IF(J298="巻返し",VLOOKUP(F298&amp;K298&amp;M298,製品マスタ!$M$5:$AE$4999,19,FALSE),IF(OR(J298="リード付け",J298="巻返しリード付け"),"",IF(J298="スリット",VLOOKUP(F298&amp;K298&amp;R298,製品マスタ!$N$5:$AE$4999,18,FALSE),""))))))</f>
        <v/>
      </c>
      <c r="Y298" s="256" t="str">
        <f>IF(D298="","",IF(T298="","",VLOOKUP(D298,契約台帳!$A$3:$Q$4986,17,FALSE)))</f>
        <v/>
      </c>
      <c r="Z298" s="256" t="str">
        <f>IF(D298="","",IF(T298="","",VLOOKUP(D298,契約台帳!$A$3:$E$4986,5,FALSE)))</f>
        <v/>
      </c>
      <c r="AA298" s="54"/>
      <c r="AB298" s="200" t="str">
        <f>IFERROR((VLOOKUP(F298&amp;K298&amp;M298,製品マスタ!$M$5:$AM$4999,27,FALSE)),"")</f>
        <v/>
      </c>
      <c r="AC298" s="31"/>
      <c r="AD298" s="184"/>
      <c r="AE298" s="51"/>
      <c r="AF298" s="52"/>
      <c r="AG298" s="41"/>
      <c r="AH298" s="45"/>
      <c r="AI298" s="28"/>
      <c r="AJ298" s="28"/>
      <c r="AK298" s="28"/>
      <c r="AL298" s="28"/>
      <c r="AM298" s="12"/>
      <c r="AN298" s="12"/>
      <c r="AO298" s="12"/>
      <c r="AP298" s="12"/>
      <c r="AQ298" s="12"/>
      <c r="AR298" s="13"/>
      <c r="AS298" s="14"/>
    </row>
    <row r="299" spans="1:45" s="16" customFormat="1" ht="30.95" hidden="1" customHeight="1" x14ac:dyDescent="0.2">
      <c r="A299" s="35"/>
      <c r="B299" s="36"/>
      <c r="C299" s="43"/>
      <c r="D299" s="29">
        <v>3700968</v>
      </c>
      <c r="E299" s="29">
        <v>4161854</v>
      </c>
      <c r="F299" s="255" t="str">
        <f>IF(D299="","",VLOOKUP(D299,契約台帳!$A$3:$K$4986,6,FALSE)&amp;VLOOKUP(D299,契約台帳!$A$3:$K$4986,7,FALSE)&amp;VLOOKUP(D299,契約台帳!$A$3:$K$4986,8,FALSE)&amp;VLOOKUP(D299,契約台帳!$A$3:$K$4986,9,FALSE)&amp;VLOOKUP(D299,契約台帳!$A$3:$K$4986,11,FALSE))</f>
        <v>3SYMLBMSSMBZF</v>
      </c>
      <c r="G299" s="256" t="str">
        <f>IF(D299="","",VLOOKUP(F299,製品マスタ!$G$5:$H$4999,2,FALSE))</f>
        <v>S</v>
      </c>
      <c r="H299" s="256" t="str">
        <f>IF(D299="","",VLOOKUP(F299,製品マスタ!$G$5:$K$4999,5,FALSE))</f>
        <v>MSSMBZF</v>
      </c>
      <c r="I299" s="200" t="str">
        <f>IF(D299="","",VLOOKUP(F299,製品マスタ!$G$5:$L$4999,6,FALSE))</f>
        <v>ＭＥＴＡＬＵＭＹ　ＳＩＬＶＥＲ　Ｓ－ＭＡＴＴＥ　Ｂ</v>
      </c>
      <c r="J299" s="203" t="s">
        <v>935</v>
      </c>
      <c r="K299" s="200">
        <f>IF(D299="","",VLOOKUP(D299,契約台帳!$A$3:$L$4986,12,FALSE))</f>
        <v>50</v>
      </c>
      <c r="L299" s="200" t="str">
        <f>IF(D299="","",INDEX(製品マスタ!$Q$5:$Q$4999,MATCH('S4'!F299&amp;'S4'!K299,製品マスタ!$AO$5:$AO$4999,0)))</f>
        <v>LI-MAT</v>
      </c>
      <c r="M299" s="37">
        <v>1120</v>
      </c>
      <c r="N299" s="37">
        <v>4000</v>
      </c>
      <c r="O299" s="153">
        <v>4</v>
      </c>
      <c r="P299" s="45">
        <v>2</v>
      </c>
      <c r="Q299" s="206">
        <v>44986</v>
      </c>
      <c r="R299" s="257">
        <f ca="1">IF(D299="","",IF(OFFSET(D299,-1,0)&lt;&gt;"","",IF(OR(J299="リード付け",J299="巻足し",J299="巻返しリード付け"),M299,VLOOKUP(D299,契約台帳!$A$3:$N$4986,14,FALSE))))</f>
        <v>1120</v>
      </c>
      <c r="S299" s="258">
        <f ca="1">IF(D299="","",IF(OFFSET(D299,-1,0)&lt;&gt;"","",IF(OR(J299="リード付け",J299="巻足し",J299="巻返しリード付け"),M299,VLOOKUP(D299,契約台帳!$A$3:$O$4986,15,FALSE))))</f>
        <v>1120</v>
      </c>
      <c r="T299" s="258">
        <f ca="1">IF(D299="","",IF(J299="リード付け",N299,IF(J299="巻返しリード付け",N299,IF(J299="巻足し",N299*P299+OFFSET(N299,1,0)*OFFSET(P299,1,0),VLOOKUP(D299,契約台帳!$A$3:$P$4986,16,FALSE)))))</f>
        <v>8000</v>
      </c>
      <c r="U299" s="38">
        <v>2</v>
      </c>
      <c r="V299" s="259" t="str">
        <f ca="1">IF(D299="","",IF(OFFSET(D299,-2,0)=D299,"",VLOOKUP(D299,契約台帳!$A$3:$R$4986,18,FALSE)))</f>
        <v/>
      </c>
      <c r="W299" s="256" t="str">
        <f ca="1">IF(D299="","",IF(T299="","",IF(OR(J299="巻足し",J299="巻返しリード付け"),"",IF(J299="巻返し",VLOOKUP(F299&amp;K299&amp;M299,製品マスタ!$M$5:$AD$4999,18,FALSE),IF(OR(J299="リード付け",J299="巻返しリード付け"),"原反コア",IF(J299="スリット",VLOOKUP(F299&amp;K299&amp;R299,製品マスタ!$N$5:$AD$4999,17,FALSE),""))))))</f>
        <v/>
      </c>
      <c r="X299" s="256" t="str">
        <f ca="1">IF(D299="","",IF(T299="","",IF(J299="巻足し","",IF(J299="巻返し",VLOOKUP(F299&amp;K299&amp;M299,製品マスタ!$M$5:$AE$4999,19,FALSE),IF(OR(J299="リード付け",J299="巻返しリード付け"),"",IF(J299="スリット",VLOOKUP(F299&amp;K299&amp;R299,製品マスタ!$N$5:$AE$4999,18,FALSE),""))))))</f>
        <v/>
      </c>
      <c r="Y299" s="256">
        <f ca="1">IF(D299="","",IF(T299="","",VLOOKUP(D299,契約台帳!$A$3:$Q$4986,17,FALSE)))</f>
        <v>2</v>
      </c>
      <c r="Z299" s="256" t="str">
        <f ca="1">IF(D299="","",IF(T299="","",VLOOKUP(D299,契約台帳!$A$3:$E$4986,5,FALSE)))</f>
        <v>リンテック㈱</v>
      </c>
      <c r="AA299" s="54"/>
      <c r="AB299" s="200">
        <f>IFERROR((VLOOKUP(F299&amp;K299&amp;M299,製品マスタ!$M$5:$AM$4999,27,FALSE)),"")</f>
        <v>0</v>
      </c>
      <c r="AC299" s="31"/>
      <c r="AD299" s="184"/>
      <c r="AE299" s="51"/>
      <c r="AF299" s="52"/>
      <c r="AG299" s="41"/>
      <c r="AH299" s="45"/>
      <c r="AI299" s="28"/>
      <c r="AJ299" s="28"/>
      <c r="AK299" s="28"/>
      <c r="AL299" s="28"/>
      <c r="AM299" s="12"/>
      <c r="AN299" s="12"/>
      <c r="AO299" s="12"/>
      <c r="AP299" s="12"/>
      <c r="AQ299" s="12"/>
      <c r="AR299" s="13"/>
      <c r="AS299" s="14"/>
    </row>
    <row r="300" spans="1:45" s="16" customFormat="1" ht="30.95" hidden="1" customHeight="1" x14ac:dyDescent="0.2">
      <c r="A300" s="35"/>
      <c r="B300" s="36"/>
      <c r="C300" s="43"/>
      <c r="D300" s="29"/>
      <c r="E300" s="29"/>
      <c r="F300" s="255"/>
      <c r="G300" s="256"/>
      <c r="H300" s="256"/>
      <c r="I300" s="200"/>
      <c r="J300" s="203"/>
      <c r="K300" s="200"/>
      <c r="L300" s="200"/>
      <c r="M300" s="37"/>
      <c r="N300" s="37"/>
      <c r="O300" s="153"/>
      <c r="P300" s="45"/>
      <c r="Q300" s="54"/>
      <c r="R300" s="257"/>
      <c r="S300" s="258"/>
      <c r="T300" s="258"/>
      <c r="U300" s="38"/>
      <c r="V300" s="259"/>
      <c r="W300" s="256"/>
      <c r="X300" s="256"/>
      <c r="Y300" s="256"/>
      <c r="Z300" s="256"/>
      <c r="AA300" s="54"/>
      <c r="AB300" s="200"/>
      <c r="AC300" s="31"/>
      <c r="AD300" s="184"/>
      <c r="AE300" s="51"/>
      <c r="AF300" s="52"/>
      <c r="AG300" s="41"/>
      <c r="AH300" s="45"/>
      <c r="AI300" s="28"/>
      <c r="AJ300" s="28"/>
      <c r="AK300" s="28"/>
      <c r="AL300" s="28"/>
      <c r="AM300" s="12"/>
      <c r="AN300" s="12"/>
      <c r="AO300" s="12"/>
      <c r="AP300" s="12"/>
      <c r="AQ300" s="12"/>
      <c r="AR300" s="13"/>
      <c r="AS300" s="14"/>
    </row>
    <row r="301" spans="1:45" s="16" customFormat="1" ht="30.95" hidden="1" customHeight="1" x14ac:dyDescent="0.2">
      <c r="A301" s="35"/>
      <c r="B301" s="36"/>
      <c r="C301" s="43"/>
      <c r="D301" s="29">
        <v>3700970</v>
      </c>
      <c r="E301" s="29">
        <v>4161848</v>
      </c>
      <c r="F301" s="255" t="str">
        <f>IF(D301="","",VLOOKUP(D301,契約台帳!$A$3:$K$4986,6,FALSE)&amp;VLOOKUP(D301,契約台帳!$A$3:$K$4986,7,FALSE)&amp;VLOOKUP(D301,契約台帳!$A$3:$K$4986,8,FALSE)&amp;VLOOKUP(D301,契約台帳!$A$3:$K$4986,9,FALSE)&amp;VLOOKUP(D301,契約台帳!$A$3:$K$4986,11,FALSE))</f>
        <v>3SYMLBMSBBZF</v>
      </c>
      <c r="G301" s="256" t="str">
        <f>IF(D301="","",VLOOKUP(F301,製品マスタ!$G$5:$H$4999,2,FALSE))</f>
        <v>S</v>
      </c>
      <c r="H301" s="256" t="str">
        <f>IF(D301="","",VLOOKUP(F301,製品マスタ!$G$5:$K$4999,5,FALSE))</f>
        <v>MSBBZF</v>
      </c>
      <c r="I301" s="200" t="str">
        <f>IF(D301="","",VLOOKUP(F301,製品マスタ!$G$5:$L$4999,6,FALSE))</f>
        <v>ＭＥＴＡＬＵＭＹ　ＳＩＬＶＥＲ　ＢＲＩＧＨＴ　Ｂ</v>
      </c>
      <c r="J301" s="203" t="s">
        <v>935</v>
      </c>
      <c r="K301" s="200">
        <f>IF(D301="","",VLOOKUP(D301,契約台帳!$A$3:$L$4986,12,FALSE))</f>
        <v>50</v>
      </c>
      <c r="L301" s="200" t="str">
        <f>IF(D301="","",INDEX(製品マスタ!$Q$5:$Q$4999,MATCH('S4'!F301&amp;'S4'!K301,製品マスタ!$AO$5:$AO$4999,0)))</f>
        <v>T62</v>
      </c>
      <c r="M301" s="37">
        <v>1120</v>
      </c>
      <c r="N301" s="37">
        <v>5000</v>
      </c>
      <c r="O301" s="153">
        <v>2</v>
      </c>
      <c r="P301" s="45">
        <v>2</v>
      </c>
      <c r="Q301" s="206">
        <v>44987</v>
      </c>
      <c r="R301" s="257">
        <f ca="1">IF(D301="","",IF(OFFSET(D301,-1,0)&lt;&gt;"","",IF(OR(J301="リード付け",J301="巻足し",J301="巻返しリード付け"),M301,VLOOKUP(D301,契約台帳!$A$3:$N$4986,14,FALSE))))</f>
        <v>1120</v>
      </c>
      <c r="S301" s="258">
        <f ca="1">IF(D301="","",IF(OFFSET(D301,-1,0)&lt;&gt;"","",IF(OR(J301="リード付け",J301="巻足し",J301="巻返しリード付け"),M301,VLOOKUP(D301,契約台帳!$A$3:$O$4986,15,FALSE))))</f>
        <v>1120</v>
      </c>
      <c r="T301" s="258">
        <f ca="1">IF(D301="","",IF(J301="リード付け",N301,IF(J301="巻返しリード付け",N301,IF(J301="巻足し",N301*P301+OFFSET(N301,1,0)*OFFSET(P301,1,0),VLOOKUP(D301,契約台帳!$A$3:$P$4986,16,FALSE)))))</f>
        <v>10000</v>
      </c>
      <c r="U301" s="38">
        <v>1</v>
      </c>
      <c r="V301" s="259">
        <f ca="1">IF(D301="","",IF(OFFSET(D301,-2,0)=D301,"",VLOOKUP(D301,契約台帳!$A$3:$R$4986,18,FALSE)))</f>
        <v>2</v>
      </c>
      <c r="W301" s="256" t="str">
        <f ca="1">IF(D301="","",IF(T301="","",IF(OR(J301="巻足し",J301="巻返しリード付け"),"",IF(J301="巻返し",VLOOKUP(F301&amp;K301&amp;M301,製品マスタ!$M$5:$AD$4999,18,FALSE),IF(OR(J301="リード付け",J301="巻返しリード付け"),"原反コア",IF(J301="スリット",VLOOKUP(F301&amp;K301&amp;R301,製品マスタ!$N$5:$AD$4999,17,FALSE),""))))))</f>
        <v/>
      </c>
      <c r="X301" s="256" t="str">
        <f ca="1">IF(D301="","",IF(T301="","",IF(J301="巻足し","",IF(J301="巻返し",VLOOKUP(F301&amp;K301&amp;M301,製品マスタ!$M$5:$AE$4999,19,FALSE),IF(OR(J301="リード付け",J301="巻返しリード付け"),"",IF(J301="スリット",VLOOKUP(F301&amp;K301&amp;R301,製品マスタ!$N$5:$AE$4999,18,FALSE),""))))))</f>
        <v/>
      </c>
      <c r="Y301" s="256">
        <f ca="1">IF(D301="","",IF(T301="","",VLOOKUP(D301,契約台帳!$A$3:$Q$4986,17,FALSE)))</f>
        <v>2</v>
      </c>
      <c r="Z301" s="256" t="str">
        <f ca="1">IF(D301="","",IF(T301="","",VLOOKUP(D301,契約台帳!$A$3:$E$4986,5,FALSE)))</f>
        <v>リンテック㈱</v>
      </c>
      <c r="AA301" s="54"/>
      <c r="AB301" s="200" t="str">
        <f>IFERROR((VLOOKUP(F301&amp;K301&amp;M301,製品マスタ!$M$5:$AM$4999,27,FALSE)),"")</f>
        <v>原反ケース再利用</v>
      </c>
      <c r="AC301" s="31"/>
      <c r="AD301" s="184"/>
      <c r="AE301" s="51"/>
      <c r="AF301" s="52"/>
      <c r="AG301" s="41"/>
      <c r="AH301" s="45"/>
      <c r="AI301" s="28"/>
      <c r="AJ301" s="28"/>
      <c r="AK301" s="28"/>
      <c r="AL301" s="28"/>
      <c r="AM301" s="12"/>
      <c r="AN301" s="12"/>
      <c r="AO301" s="12"/>
      <c r="AP301" s="12"/>
      <c r="AQ301" s="12"/>
      <c r="AR301" s="13"/>
      <c r="AS301" s="14"/>
    </row>
    <row r="302" spans="1:45" s="16" customFormat="1" ht="30.95" hidden="1" customHeight="1" x14ac:dyDescent="0.2">
      <c r="A302" s="35"/>
      <c r="B302" s="36"/>
      <c r="C302" s="43"/>
      <c r="D302" s="29"/>
      <c r="E302" s="29"/>
      <c r="F302" s="255" t="str">
        <f>IF(D302="","",VLOOKUP(D302,契約台帳!$A$3:$K$4986,6,FALSE)&amp;VLOOKUP(D302,契約台帳!$A$3:$K$4986,7,FALSE)&amp;VLOOKUP(D302,契約台帳!$A$3:$K$4986,8,FALSE)&amp;VLOOKUP(D302,契約台帳!$A$3:$K$4986,9,FALSE)&amp;VLOOKUP(D302,契約台帳!$A$3:$K$4986,11,FALSE))</f>
        <v/>
      </c>
      <c r="G302" s="256" t="str">
        <f>IF(D302="","",VLOOKUP(F302,製品マスタ!$G$5:$H$4999,2,FALSE))</f>
        <v/>
      </c>
      <c r="H302" s="256" t="str">
        <f>IF(D302="","",VLOOKUP(F302,製品マスタ!$G$5:$K$4999,5,FALSE))</f>
        <v/>
      </c>
      <c r="I302" s="200" t="str">
        <f>IF(D302="","",VLOOKUP(F302,製品マスタ!$G$5:$L$4999,6,FALSE))</f>
        <v/>
      </c>
      <c r="J302" s="203"/>
      <c r="K302" s="200" t="str">
        <f>IF(D302="","",VLOOKUP(D302,契約台帳!$A$3:$L$4986,12,FALSE))</f>
        <v/>
      </c>
      <c r="L302" s="200" t="str">
        <f>IF(D302="","",INDEX(製品マスタ!$Q$5:$Q$4999,MATCH('S4'!F302&amp;'S4'!K302,製品マスタ!$AO$5:$AO$4999,0)))</f>
        <v/>
      </c>
      <c r="M302" s="37"/>
      <c r="N302" s="37"/>
      <c r="O302" s="153"/>
      <c r="P302" s="45"/>
      <c r="Q302" s="54"/>
      <c r="R302" s="257" t="str">
        <f ca="1">IF(D302="","",IF(OFFSET(D302,-1,0)&lt;&gt;"","",IF(OR(J302="リード付け",J302="巻足し",J302="巻返しリード付け"),M302,VLOOKUP(D302,契約台帳!$A$3:$N$4986,14,FALSE))))</f>
        <v/>
      </c>
      <c r="S302" s="258" t="str">
        <f ca="1">IF(D302="","",IF(OFFSET(D302,-1,0)&lt;&gt;"","",IF(OR(J302="リード付け",J302="巻足し",J302="巻返しリード付け"),M302,VLOOKUP(D302,契約台帳!$A$3:$O$4986,15,FALSE))))</f>
        <v/>
      </c>
      <c r="T302" s="258" t="str">
        <f ca="1">IF(D302="","",IF(J302="リード付け",N302,IF(J302="巻返しリード付け",N302,IF(J302="巻足し",N302*P302+OFFSET(N302,1,0)*OFFSET(P302,1,0),VLOOKUP(D302,契約台帳!$A$3:$P$4986,16,FALSE)))))</f>
        <v/>
      </c>
      <c r="U302" s="38"/>
      <c r="V302" s="259" t="str">
        <f ca="1">IF(D302="","",IF(OFFSET(D302,-2,0)=D302,"",VLOOKUP(D302,契約台帳!$A$3:$R$4986,18,FALSE)))</f>
        <v/>
      </c>
      <c r="W302" s="256" t="str">
        <f>IF(D302="","",IF(T302="","",IF(OR(J302="巻足し",J302="巻返しリード付け"),"",IF(J302="巻返し",VLOOKUP(F302&amp;K302&amp;M302,製品マスタ!$M$5:$AD$4999,18,FALSE),IF(OR(J302="リード付け",J302="巻返しリード付け"),"原反コア",IF(J302="スリット",VLOOKUP(F302&amp;K302&amp;R302,製品マスタ!$N$5:$AD$4999,17,FALSE),""))))))</f>
        <v/>
      </c>
      <c r="X302" s="256" t="str">
        <f>IF(D302="","",IF(T302="","",IF(J302="巻足し","",IF(J302="巻返し",VLOOKUP(F302&amp;K302&amp;M302,製品マスタ!$M$5:$AE$4999,19,FALSE),IF(OR(J302="リード付け",J302="巻返しリード付け"),"",IF(J302="スリット",VLOOKUP(F302&amp;K302&amp;R302,製品マスタ!$N$5:$AE$4999,18,FALSE),""))))))</f>
        <v/>
      </c>
      <c r="Y302" s="256" t="str">
        <f>IF(D302="","",IF(T302="","",VLOOKUP(D302,契約台帳!$A$3:$Q$4986,17,FALSE)))</f>
        <v/>
      </c>
      <c r="Z302" s="256" t="str">
        <f>IF(D302="","",IF(T302="","",VLOOKUP(D302,契約台帳!$A$3:$E$4986,5,FALSE)))</f>
        <v/>
      </c>
      <c r="AA302" s="54"/>
      <c r="AB302" s="200" t="str">
        <f>IFERROR((VLOOKUP(F302&amp;K302&amp;M302,製品マスタ!$M$5:$AM$4999,27,FALSE)),"")</f>
        <v/>
      </c>
      <c r="AC302" s="31"/>
      <c r="AD302" s="184"/>
      <c r="AE302" s="51"/>
      <c r="AF302" s="52"/>
      <c r="AG302" s="41"/>
      <c r="AH302" s="45"/>
      <c r="AI302" s="28"/>
      <c r="AJ302" s="28"/>
      <c r="AK302" s="28"/>
      <c r="AL302" s="28"/>
      <c r="AM302" s="12"/>
      <c r="AN302" s="12"/>
      <c r="AO302" s="12"/>
      <c r="AP302" s="12"/>
      <c r="AQ302" s="12"/>
      <c r="AR302" s="13"/>
      <c r="AS302" s="14"/>
    </row>
    <row r="303" spans="1:45" s="16" customFormat="1" ht="30.95" hidden="1" customHeight="1" x14ac:dyDescent="0.2">
      <c r="A303" s="35"/>
      <c r="B303" s="36"/>
      <c r="C303" s="43"/>
      <c r="D303" s="29">
        <v>3700967</v>
      </c>
      <c r="E303" s="29">
        <v>4161851</v>
      </c>
      <c r="F303" s="255" t="str">
        <f>IF(D303="","",VLOOKUP(D303,契約台帳!$A$3:$K$4986,6,FALSE)&amp;VLOOKUP(D303,契約台帳!$A$3:$K$4986,7,FALSE)&amp;VLOOKUP(D303,契約台帳!$A$3:$K$4986,8,FALSE)&amp;VLOOKUP(D303,契約台帳!$A$3:$K$4986,9,FALSE)&amp;VLOOKUP(D303,契約台帳!$A$3:$K$4986,11,FALSE))</f>
        <v>3SYMLBMSNMBF</v>
      </c>
      <c r="G303" s="256" t="str">
        <f>IF(D303="","",VLOOKUP(F303,製品マスタ!$G$5:$H$4999,2,FALSE))</f>
        <v>S</v>
      </c>
      <c r="H303" s="256" t="str">
        <f>IF(D303="","",VLOOKUP(F303,製品マスタ!$G$5:$K$4999,5,FALSE))</f>
        <v>MSNMBF</v>
      </c>
      <c r="I303" s="200" t="str">
        <f>IF(D303="","",VLOOKUP(F303,製品マスタ!$G$5:$L$4999,6,FALSE))</f>
        <v>ＭＥＴＡＬＵＭＹ　ＳＩＬＶＥＲ　Ｎ－ＭＡＴＴＥ　Ｘ４４Ｍ　Ｂ</v>
      </c>
      <c r="J303" s="203" t="s">
        <v>935</v>
      </c>
      <c r="K303" s="200">
        <f>IF(D303="","",VLOOKUP(D303,契約台帳!$A$3:$L$4986,12,FALSE))</f>
        <v>50</v>
      </c>
      <c r="L303" s="200" t="str">
        <f>IF(D303="","",INDEX(製品マスタ!$Q$5:$Q$4999,MATCH('S4'!F303&amp;'S4'!K303,製品マスタ!$AO$5:$AO$4999,0)))</f>
        <v>X44</v>
      </c>
      <c r="M303" s="37">
        <v>1120</v>
      </c>
      <c r="N303" s="37">
        <v>4000</v>
      </c>
      <c r="O303" s="153">
        <v>4</v>
      </c>
      <c r="P303" s="45">
        <v>2</v>
      </c>
      <c r="Q303" s="206">
        <v>44987</v>
      </c>
      <c r="R303" s="257">
        <f ca="1">IF(D303="","",IF(OFFSET(D303,-1,0)&lt;&gt;"","",IF(OR(J303="リード付け",J303="巻足し",J303="巻返しリード付け"),M303,VLOOKUP(D303,契約台帳!$A$3:$N$4986,14,FALSE))))</f>
        <v>1120</v>
      </c>
      <c r="S303" s="258">
        <f ca="1">IF(D303="","",IF(OFFSET(D303,-1,0)&lt;&gt;"","",IF(OR(J303="リード付け",J303="巻足し",J303="巻返しリード付け"),M303,VLOOKUP(D303,契約台帳!$A$3:$O$4986,15,FALSE))))</f>
        <v>1120</v>
      </c>
      <c r="T303" s="258">
        <f ca="1">IF(D303="","",IF(J303="リード付け",N303,IF(J303="巻返しリード付け",N303,IF(J303="巻足し",N303*P303+OFFSET(N303,1,0)*OFFSET(P303,1,0),VLOOKUP(D303,契約台帳!$A$3:$P$4986,16,FALSE)))))</f>
        <v>8000</v>
      </c>
      <c r="U303" s="38">
        <v>2</v>
      </c>
      <c r="V303" s="259">
        <f ca="1">IF(D303="","",IF(OFFSET(D303,-2,0)=D303,"",VLOOKUP(D303,契約台帳!$A$3:$R$4986,18,FALSE)))</f>
        <v>4</v>
      </c>
      <c r="W303" s="256" t="str">
        <f ca="1">IF(D303="","",IF(T303="","",IF(OR(J303="巻足し",J303="巻返しリード付け"),"",IF(J303="巻返し",VLOOKUP(F303&amp;K303&amp;M303,製品マスタ!$M$5:$AD$4999,18,FALSE),IF(OR(J303="リード付け",J303="巻返しリード付け"),"原反コア",IF(J303="スリット",VLOOKUP(F303&amp;K303&amp;R303,製品マスタ!$N$5:$AD$4999,17,FALSE),""))))))</f>
        <v/>
      </c>
      <c r="X303" s="256" t="str">
        <f ca="1">IF(D303="","",IF(T303="","",IF(J303="巻足し","",IF(J303="巻返し",VLOOKUP(F303&amp;K303&amp;M303,製品マスタ!$M$5:$AE$4999,19,FALSE),IF(OR(J303="リード付け",J303="巻返しリード付け"),"",IF(J303="スリット",VLOOKUP(F303&amp;K303&amp;R303,製品マスタ!$N$5:$AE$4999,18,FALSE),""))))))</f>
        <v/>
      </c>
      <c r="Y303" s="256">
        <f ca="1">IF(D303="","",IF(T303="","",VLOOKUP(D303,契約台帳!$A$3:$Q$4986,17,FALSE)))</f>
        <v>2</v>
      </c>
      <c r="Z303" s="256" t="str">
        <f ca="1">IF(D303="","",IF(T303="","",VLOOKUP(D303,契約台帳!$A$3:$E$4986,5,FALSE)))</f>
        <v>リンテック㈱</v>
      </c>
      <c r="AA303" s="54"/>
      <c r="AB303" s="200">
        <f>IFERROR((VLOOKUP(F303&amp;K303&amp;M303,製品マスタ!$M$5:$AM$4999,27,FALSE)),"")</f>
        <v>0</v>
      </c>
      <c r="AC303" s="31"/>
      <c r="AD303" s="184"/>
      <c r="AE303" s="51"/>
      <c r="AF303" s="52"/>
      <c r="AG303" s="41"/>
      <c r="AH303" s="45"/>
      <c r="AI303" s="28"/>
      <c r="AJ303" s="28"/>
      <c r="AK303" s="28"/>
      <c r="AL303" s="28"/>
      <c r="AM303" s="12"/>
      <c r="AN303" s="12"/>
      <c r="AO303" s="12"/>
      <c r="AP303" s="12"/>
      <c r="AQ303" s="12"/>
      <c r="AR303" s="13"/>
      <c r="AS303" s="14"/>
    </row>
    <row r="304" spans="1:45" s="16" customFormat="1" ht="30.95" hidden="1" customHeight="1" x14ac:dyDescent="0.2">
      <c r="A304" s="35"/>
      <c r="B304" s="36"/>
      <c r="C304" s="43"/>
      <c r="D304" s="29"/>
      <c r="E304" s="29"/>
      <c r="F304" s="255" t="str">
        <f>IF(D304="","",VLOOKUP(D304,契約台帳!$A$3:$K$4986,6,FALSE)&amp;VLOOKUP(D304,契約台帳!$A$3:$K$4986,7,FALSE)&amp;VLOOKUP(D304,契約台帳!$A$3:$K$4986,8,FALSE)&amp;VLOOKUP(D304,契約台帳!$A$3:$K$4986,9,FALSE)&amp;VLOOKUP(D304,契約台帳!$A$3:$K$4986,11,FALSE))</f>
        <v/>
      </c>
      <c r="G304" s="256" t="str">
        <f>IF(D304="","",VLOOKUP(F304,製品マスタ!$G$5:$H$4999,2,FALSE))</f>
        <v/>
      </c>
      <c r="H304" s="256" t="str">
        <f>IF(D304="","",VLOOKUP(F304,製品マスタ!$G$5:$K$4999,5,FALSE))</f>
        <v/>
      </c>
      <c r="I304" s="200" t="str">
        <f>IF(D304="","",VLOOKUP(F304,製品マスタ!$G$5:$L$4999,6,FALSE))</f>
        <v/>
      </c>
      <c r="J304" s="203"/>
      <c r="K304" s="200" t="str">
        <f>IF(D304="","",VLOOKUP(D304,契約台帳!$A$3:$L$4986,12,FALSE))</f>
        <v/>
      </c>
      <c r="L304" s="200" t="str">
        <f>IF(D304="","",INDEX(製品マスタ!$Q$5:$Q$4999,MATCH('S4'!F304&amp;'S4'!K304,製品マスタ!$AO$5:$AO$4999,0)))</f>
        <v/>
      </c>
      <c r="M304" s="37"/>
      <c r="N304" s="37"/>
      <c r="O304" s="153"/>
      <c r="P304" s="45"/>
      <c r="Q304" s="54"/>
      <c r="R304" s="257" t="str">
        <f ca="1">IF(D304="","",IF(OFFSET(D304,-1,0)&lt;&gt;"","",IF(OR(J304="リード付け",J304="巻足し",J304="巻返しリード付け"),M304,VLOOKUP(D304,契約台帳!$A$3:$N$4986,14,FALSE))))</f>
        <v/>
      </c>
      <c r="S304" s="258" t="str">
        <f ca="1">IF(D304="","",IF(OFFSET(D304,-1,0)&lt;&gt;"","",IF(OR(J304="リード付け",J304="巻足し",J304="巻返しリード付け"),M304,VLOOKUP(D304,契約台帳!$A$3:$O$4986,15,FALSE))))</f>
        <v/>
      </c>
      <c r="T304" s="258" t="str">
        <f ca="1">IF(D304="","",IF(J304="リード付け",N304,IF(J304="巻返しリード付け",N304,IF(J304="巻足し",N304*P304+OFFSET(N304,1,0)*OFFSET(P304,1,0),VLOOKUP(D304,契約台帳!$A$3:$P$4986,16,FALSE)))))</f>
        <v/>
      </c>
      <c r="U304" s="38"/>
      <c r="V304" s="259" t="str">
        <f ca="1">IF(D304="","",IF(OFFSET(D304,-2,0)=D304,"",VLOOKUP(D304,契約台帳!$A$3:$R$4986,18,FALSE)))</f>
        <v/>
      </c>
      <c r="W304" s="256" t="str">
        <f>IF(D304="","",IF(T304="","",IF(OR(J304="巻足し",J304="巻返しリード付け"),"",IF(J304="巻返し",VLOOKUP(F304&amp;K304&amp;M304,製品マスタ!$M$5:$AD$4999,18,FALSE),IF(OR(J304="リード付け",J304="巻返しリード付け"),"原反コア",IF(J304="スリット",VLOOKUP(F304&amp;K304&amp;R304,製品マスタ!$N$5:$AD$4999,17,FALSE),""))))))</f>
        <v/>
      </c>
      <c r="X304" s="256" t="str">
        <f>IF(D304="","",IF(T304="","",IF(J304="巻足し","",IF(J304="巻返し",VLOOKUP(F304&amp;K304&amp;M304,製品マスタ!$M$5:$AE$4999,19,FALSE),IF(OR(J304="リード付け",J304="巻返しリード付け"),"",IF(J304="スリット",VLOOKUP(F304&amp;K304&amp;R304,製品マスタ!$N$5:$AE$4999,18,FALSE),""))))))</f>
        <v/>
      </c>
      <c r="Y304" s="256" t="str">
        <f>IF(D304="","",IF(T304="","",VLOOKUP(D304,契約台帳!$A$3:$Q$4986,17,FALSE)))</f>
        <v/>
      </c>
      <c r="Z304" s="256" t="str">
        <f>IF(D304="","",IF(T304="","",VLOOKUP(D304,契約台帳!$A$3:$E$4986,5,FALSE)))</f>
        <v/>
      </c>
      <c r="AA304" s="54"/>
      <c r="AB304" s="200" t="str">
        <f>IFERROR((VLOOKUP(F304&amp;K304&amp;M304,製品マスタ!$M$5:$AM$4999,27,FALSE)),"")</f>
        <v/>
      </c>
      <c r="AC304" s="31"/>
      <c r="AD304" s="184"/>
      <c r="AE304" s="51"/>
      <c r="AF304" s="52"/>
      <c r="AG304" s="41"/>
      <c r="AH304" s="45"/>
      <c r="AI304" s="28"/>
      <c r="AJ304" s="28"/>
      <c r="AK304" s="28"/>
      <c r="AL304" s="28"/>
      <c r="AM304" s="12"/>
      <c r="AN304" s="12"/>
      <c r="AO304" s="12"/>
      <c r="AP304" s="12"/>
      <c r="AQ304" s="12"/>
      <c r="AR304" s="13"/>
      <c r="AS304" s="14"/>
    </row>
    <row r="305" spans="1:45" s="16" customFormat="1" ht="30.95" hidden="1" customHeight="1" x14ac:dyDescent="0.2">
      <c r="A305" s="35" t="s">
        <v>946</v>
      </c>
      <c r="B305" s="36" t="s">
        <v>947</v>
      </c>
      <c r="C305" s="43"/>
      <c r="D305" s="29">
        <v>3700969</v>
      </c>
      <c r="E305" s="29">
        <v>4161857</v>
      </c>
      <c r="F305" s="255" t="str">
        <f>IF(D305="","",VLOOKUP(D305,契約台帳!$A$3:$K$4986,6,FALSE)&amp;VLOOKUP(D305,契約台帳!$A$3:$K$4986,7,FALSE)&amp;VLOOKUP(D305,契約台帳!$A$3:$K$4986,8,FALSE)&amp;VLOOKUP(D305,契約台帳!$A$3:$K$4986,9,FALSE)&amp;VLOOKUP(D305,契約台帳!$A$3:$K$4986,11,FALSE))</f>
        <v>3SYMLBMSNMBZF</v>
      </c>
      <c r="G305" s="256" t="str">
        <f>IF(D305="","",VLOOKUP(F305,製品マスタ!$G$5:$H$4999,2,FALSE))</f>
        <v>S</v>
      </c>
      <c r="H305" s="256" t="str">
        <f>IF(D305="","",VLOOKUP(F305,製品マスタ!$G$5:$K$4999,5,FALSE))</f>
        <v>MSNMBZF</v>
      </c>
      <c r="I305" s="200" t="str">
        <f>IF(D305="","",VLOOKUP(F305,製品マスタ!$G$5:$L$4999,6,FALSE))</f>
        <v>ＭＥＴＡＬＵＭＹ　ＳＩＬＶＥＲ　Ｎ－ＭＡＴＴＥ　Ｂ</v>
      </c>
      <c r="J305" s="203" t="s">
        <v>935</v>
      </c>
      <c r="K305" s="200">
        <f>IF(D305="","",VLOOKUP(D305,契約台帳!$A$3:$L$4986,12,FALSE))</f>
        <v>50</v>
      </c>
      <c r="L305" s="200" t="str">
        <f>IF(D305="","",INDEX(製品マスタ!$Q$5:$Q$4999,MATCH('S4'!F305&amp;'S4'!K305,製品マスタ!$AO$5:$AO$4999,0)))</f>
        <v>X44</v>
      </c>
      <c r="M305" s="37">
        <v>1120</v>
      </c>
      <c r="N305" s="37">
        <v>4000</v>
      </c>
      <c r="O305" s="153">
        <v>12</v>
      </c>
      <c r="P305" s="45">
        <v>3</v>
      </c>
      <c r="Q305" s="206">
        <v>44987</v>
      </c>
      <c r="R305" s="257">
        <f ca="1">IF(D305="","",IF(OFFSET(D305,-1,0)&lt;&gt;"","",IF(OR(J305="リード付け",J305="巻足し",J305="巻返しリード付け"),M305,VLOOKUP(D305,契約台帳!$A$3:$N$4986,14,FALSE))))</f>
        <v>1120</v>
      </c>
      <c r="S305" s="258">
        <f ca="1">IF(D305="","",IF(OFFSET(D305,-1,0)&lt;&gt;"","",IF(OR(J305="リード付け",J305="巻足し",J305="巻返しリード付け"),M305,VLOOKUP(D305,契約台帳!$A$3:$O$4986,15,FALSE))))</f>
        <v>1120</v>
      </c>
      <c r="T305" s="258">
        <f ca="1">IF(D305="","",IF(J305="リード付け",N305,IF(J305="巻返しリード付け",N305,IF(J305="巻足し",N305*P305+OFFSET(N305,1,0)*OFFSET(P305,1,0),VLOOKUP(D305,契約台帳!$A$3:$P$4986,16,FALSE)))))</f>
        <v>12000</v>
      </c>
      <c r="U305" s="38">
        <v>4</v>
      </c>
      <c r="V305" s="259">
        <f ca="1">IF(D305="","",IF(OFFSET(D305,-2,0)=D305,"",VLOOKUP(D305,契約台帳!$A$3:$R$4986,18,FALSE)))</f>
        <v>16</v>
      </c>
      <c r="W305" s="256" t="str">
        <f ca="1">IF(D305="","",IF(T305="","",IF(OR(J305="巻足し",J305="巻返しリード付け"),"",IF(J305="巻返し",VLOOKUP(F305&amp;K305&amp;M305,製品マスタ!$M$5:$AD$4999,18,FALSE),IF(OR(J305="リード付け",J305="巻返しリード付け"),"原反コア",IF(J305="スリット",VLOOKUP(F305&amp;K305&amp;R305,製品マスタ!$N$5:$AD$4999,17,FALSE),""))))))</f>
        <v/>
      </c>
      <c r="X305" s="256" t="str">
        <f ca="1">IF(D305="","",IF(T305="","",IF(J305="巻足し","",IF(J305="巻返し",VLOOKUP(F305&amp;K305&amp;M305,製品マスタ!$M$5:$AE$4999,19,FALSE),IF(OR(J305="リード付け",J305="巻返しリード付け"),"",IF(J305="スリット",VLOOKUP(F305&amp;K305&amp;R305,製品マスタ!$N$5:$AE$4999,18,FALSE),""))))))</f>
        <v/>
      </c>
      <c r="Y305" s="256">
        <f ca="1">IF(D305="","",IF(T305="","",VLOOKUP(D305,契約台帳!$A$3:$Q$4986,17,FALSE)))</f>
        <v>2</v>
      </c>
      <c r="Z305" s="256" t="str">
        <f ca="1">IF(D305="","",IF(T305="","",VLOOKUP(D305,契約台帳!$A$3:$E$4986,5,FALSE)))</f>
        <v>リンテック㈱</v>
      </c>
      <c r="AA305" s="54"/>
      <c r="AB305" s="200">
        <f>IFERROR((VLOOKUP(F305&amp;K305&amp;M305,製品マスタ!$M$5:$AM$4999,27,FALSE)),"")</f>
        <v>0</v>
      </c>
      <c r="AC305" s="31"/>
      <c r="AD305" s="184"/>
      <c r="AE305" s="51"/>
      <c r="AF305" s="52"/>
      <c r="AG305" s="41"/>
      <c r="AH305" s="45"/>
      <c r="AI305" s="28"/>
      <c r="AJ305" s="28"/>
      <c r="AK305" s="28"/>
      <c r="AL305" s="28"/>
      <c r="AM305" s="12"/>
      <c r="AN305" s="12"/>
      <c r="AO305" s="12"/>
      <c r="AP305" s="12"/>
      <c r="AQ305" s="12"/>
      <c r="AR305" s="13"/>
      <c r="AS305" s="14"/>
    </row>
    <row r="306" spans="1:45" s="16" customFormat="1" ht="30.95" hidden="1" customHeight="1" x14ac:dyDescent="0.2">
      <c r="A306" s="35"/>
      <c r="B306" s="36"/>
      <c r="C306" s="43"/>
      <c r="D306" s="29"/>
      <c r="E306" s="29"/>
      <c r="F306" s="255" t="str">
        <f>IF(D306="","",VLOOKUP(D306,契約台帳!$A$3:$K$4986,6,FALSE)&amp;VLOOKUP(D306,契約台帳!$A$3:$K$4986,7,FALSE)&amp;VLOOKUP(D306,契約台帳!$A$3:$K$4986,8,FALSE)&amp;VLOOKUP(D306,契約台帳!$A$3:$K$4986,9,FALSE)&amp;VLOOKUP(D306,契約台帳!$A$3:$K$4986,11,FALSE))</f>
        <v/>
      </c>
      <c r="G306" s="256" t="str">
        <f>IF(D306="","",VLOOKUP(F306,製品マスタ!$G$5:$H$4999,2,FALSE))</f>
        <v/>
      </c>
      <c r="H306" s="256" t="str">
        <f>IF(D306="","",VLOOKUP(F306,製品マスタ!$G$5:$K$4999,5,FALSE))</f>
        <v/>
      </c>
      <c r="I306" s="200" t="str">
        <f>IF(D306="","",VLOOKUP(F306,製品マスタ!$G$5:$L$4999,6,FALSE))</f>
        <v/>
      </c>
      <c r="J306" s="203"/>
      <c r="K306" s="200" t="str">
        <f>IF(D306="","",VLOOKUP(D306,契約台帳!$A$3:$L$4986,12,FALSE))</f>
        <v/>
      </c>
      <c r="L306" s="200" t="str">
        <f>IF(D306="","",INDEX(製品マスタ!$Q$5:$Q$4999,MATCH('S4'!F306&amp;'S4'!K306,製品マスタ!$AO$5:$AO$4999,0)))</f>
        <v/>
      </c>
      <c r="M306" s="37"/>
      <c r="N306" s="37"/>
      <c r="O306" s="153"/>
      <c r="P306" s="45"/>
      <c r="Q306" s="54"/>
      <c r="R306" s="257" t="str">
        <f ca="1">IF(D306="","",IF(OFFSET(D306,-1,0)&lt;&gt;"","",IF(OR(J306="リード付け",J306="巻足し",J306="巻返しリード付け"),M306,VLOOKUP(D306,契約台帳!$A$3:$N$4986,14,FALSE))))</f>
        <v/>
      </c>
      <c r="S306" s="258" t="str">
        <f ca="1">IF(D306="","",IF(OFFSET(D306,-1,0)&lt;&gt;"","",IF(OR(J306="リード付け",J306="巻足し",J306="巻返しリード付け"),M306,VLOOKUP(D306,契約台帳!$A$3:$O$4986,15,FALSE))))</f>
        <v/>
      </c>
      <c r="T306" s="258" t="str">
        <f ca="1">IF(D306="","",IF(J306="リード付け",N306,IF(J306="巻返しリード付け",N306,IF(J306="巻足し",N306*P306+OFFSET(N306,1,0)*OFFSET(P306,1,0),VLOOKUP(D306,契約台帳!$A$3:$P$4986,16,FALSE)))))</f>
        <v/>
      </c>
      <c r="U306" s="38"/>
      <c r="V306" s="259" t="str">
        <f ca="1">IF(D306="","",IF(OFFSET(D306,-2,0)=D306,"",VLOOKUP(D306,契約台帳!$A$3:$R$4986,18,FALSE)))</f>
        <v/>
      </c>
      <c r="W306" s="256" t="str">
        <f>IF(D306="","",IF(T306="","",IF(OR(J306="巻足し",J306="巻返しリード付け"),"",IF(J306="巻返し",VLOOKUP(F306&amp;K306&amp;M306,製品マスタ!$M$5:$AD$4999,18,FALSE),IF(OR(J306="リード付け",J306="巻返しリード付け"),"原反コア",IF(J306="スリット",VLOOKUP(F306&amp;K306&amp;R306,製品マスタ!$N$5:$AD$4999,17,FALSE),""))))))</f>
        <v/>
      </c>
      <c r="X306" s="256" t="str">
        <f>IF(D306="","",IF(T306="","",IF(J306="巻足し","",IF(J306="巻返し",VLOOKUP(F306&amp;K306&amp;M306,製品マスタ!$M$5:$AE$4999,19,FALSE),IF(OR(J306="リード付け",J306="巻返しリード付け"),"",IF(J306="スリット",VLOOKUP(F306&amp;K306&amp;R306,製品マスタ!$N$5:$AE$4999,18,FALSE),""))))))</f>
        <v/>
      </c>
      <c r="Y306" s="256" t="str">
        <f>IF(D306="","",IF(T306="","",VLOOKUP(D306,契約台帳!$A$3:$Q$4986,17,FALSE)))</f>
        <v/>
      </c>
      <c r="Z306" s="256" t="str">
        <f>IF(D306="","",IF(T306="","",VLOOKUP(D306,契約台帳!$A$3:$E$4986,5,FALSE)))</f>
        <v/>
      </c>
      <c r="AA306" s="54"/>
      <c r="AB306" s="200" t="str">
        <f>IFERROR((VLOOKUP(F306&amp;K306&amp;M306,製品マスタ!$M$5:$AM$4999,27,FALSE)),"")</f>
        <v/>
      </c>
      <c r="AC306" s="31"/>
      <c r="AD306" s="184"/>
      <c r="AE306" s="51"/>
      <c r="AF306" s="52"/>
      <c r="AG306" s="41"/>
      <c r="AH306" s="45"/>
      <c r="AI306" s="28"/>
      <c r="AJ306" s="28"/>
      <c r="AK306" s="28"/>
      <c r="AL306" s="28"/>
      <c r="AM306" s="12"/>
      <c r="AN306" s="12"/>
      <c r="AO306" s="12"/>
      <c r="AP306" s="12"/>
      <c r="AQ306" s="12"/>
      <c r="AR306" s="13"/>
      <c r="AS306" s="14"/>
    </row>
    <row r="307" spans="1:45" s="16" customFormat="1" ht="30.95" hidden="1" customHeight="1" x14ac:dyDescent="0.2">
      <c r="A307" s="35"/>
      <c r="B307" s="36"/>
      <c r="C307" s="43"/>
      <c r="D307" s="29">
        <v>3700969</v>
      </c>
      <c r="E307" s="29">
        <v>4161857</v>
      </c>
      <c r="F307" s="255" t="str">
        <f>IF(D307="","",VLOOKUP(D307,契約台帳!$A$3:$K$4986,6,FALSE)&amp;VLOOKUP(D307,契約台帳!$A$3:$K$4986,7,FALSE)&amp;VLOOKUP(D307,契約台帳!$A$3:$K$4986,8,FALSE)&amp;VLOOKUP(D307,契約台帳!$A$3:$K$4986,9,FALSE)&amp;VLOOKUP(D307,契約台帳!$A$3:$K$4986,11,FALSE))</f>
        <v>3SYMLBMSNMBZF</v>
      </c>
      <c r="G307" s="256" t="str">
        <f>IF(D307="","",VLOOKUP(F307,製品マスタ!$G$5:$H$4999,2,FALSE))</f>
        <v>S</v>
      </c>
      <c r="H307" s="256" t="str">
        <f>IF(D307="","",VLOOKUP(F307,製品マスタ!$G$5:$K$4999,5,FALSE))</f>
        <v>MSNMBZF</v>
      </c>
      <c r="I307" s="200" t="str">
        <f>IF(D307="","",VLOOKUP(F307,製品マスタ!$G$5:$L$4999,6,FALSE))</f>
        <v>ＭＥＴＡＬＵＭＹ　ＳＩＬＶＥＲ　Ｎ－ＭＡＴＴＥ　Ｂ</v>
      </c>
      <c r="J307" s="203" t="s">
        <v>935</v>
      </c>
      <c r="K307" s="200">
        <f>IF(D307="","",VLOOKUP(D307,契約台帳!$A$3:$L$4986,12,FALSE))</f>
        <v>50</v>
      </c>
      <c r="L307" s="200" t="str">
        <f>IF(D307="","",INDEX(製品マスタ!$Q$5:$Q$4999,MATCH('S4'!F307&amp;'S4'!K307,製品マスタ!$AO$5:$AO$4999,0)))</f>
        <v>X44</v>
      </c>
      <c r="M307" s="37">
        <v>1120</v>
      </c>
      <c r="N307" s="37">
        <v>4000</v>
      </c>
      <c r="O307" s="153">
        <v>4</v>
      </c>
      <c r="P307" s="45">
        <v>2</v>
      </c>
      <c r="Q307" s="206">
        <v>44987</v>
      </c>
      <c r="R307" s="257">
        <f ca="1">IF(D307="","",IF(OFFSET(D307,-1,0)&lt;&gt;"","",IF(OR(J307="リード付け",J307="巻足し",J307="巻返しリード付け"),M307,VLOOKUP(D307,契約台帳!$A$3:$N$4986,14,FALSE))))</f>
        <v>1120</v>
      </c>
      <c r="S307" s="258">
        <f ca="1">IF(D307="","",IF(OFFSET(D307,-1,0)&lt;&gt;"","",IF(OR(J307="リード付け",J307="巻足し",J307="巻返しリード付け"),M307,VLOOKUP(D307,契約台帳!$A$3:$O$4986,15,FALSE))))</f>
        <v>1120</v>
      </c>
      <c r="T307" s="258">
        <f ca="1">IF(D307="","",IF(J307="リード付け",N307,IF(J307="巻返しリード付け",N307,IF(J307="巻足し",N307*P307+OFFSET(N307,1,0)*OFFSET(P307,1,0),VLOOKUP(D307,契約台帳!$A$3:$P$4986,16,FALSE)))))</f>
        <v>8000</v>
      </c>
      <c r="U307" s="38">
        <v>2</v>
      </c>
      <c r="V307" s="259" t="str">
        <f ca="1">IF(D307="","",IF(OFFSET(D307,-2,0)=D307,"",VLOOKUP(D307,契約台帳!$A$3:$R$4986,18,FALSE)))</f>
        <v/>
      </c>
      <c r="W307" s="256" t="str">
        <f ca="1">IF(D307="","",IF(T307="","",IF(OR(J307="巻足し",J307="巻返しリード付け"),"",IF(J307="巻返し",VLOOKUP(F307&amp;K307&amp;M307,製品マスタ!$M$5:$AD$4999,18,FALSE),IF(OR(J307="リード付け",J307="巻返しリード付け"),"原反コア",IF(J307="スリット",VLOOKUP(F307&amp;K307&amp;R307,製品マスタ!$N$5:$AD$4999,17,FALSE),""))))))</f>
        <v/>
      </c>
      <c r="X307" s="256" t="str">
        <f ca="1">IF(D307="","",IF(T307="","",IF(J307="巻足し","",IF(J307="巻返し",VLOOKUP(F307&amp;K307&amp;M307,製品マスタ!$M$5:$AE$4999,19,FALSE),IF(OR(J307="リード付け",J307="巻返しリード付け"),"",IF(J307="スリット",VLOOKUP(F307&amp;K307&amp;R307,製品マスタ!$N$5:$AE$4999,18,FALSE),""))))))</f>
        <v/>
      </c>
      <c r="Y307" s="256">
        <f ca="1">IF(D307="","",IF(T307="","",VLOOKUP(D307,契約台帳!$A$3:$Q$4986,17,FALSE)))</f>
        <v>2</v>
      </c>
      <c r="Z307" s="256" t="str">
        <f ca="1">IF(D307="","",IF(T307="","",VLOOKUP(D307,契約台帳!$A$3:$E$4986,5,FALSE)))</f>
        <v>リンテック㈱</v>
      </c>
      <c r="AA307" s="54"/>
      <c r="AB307" s="200">
        <f>IFERROR((VLOOKUP(F307&amp;K307&amp;M307,製品マスタ!$M$5:$AM$4999,27,FALSE)),"")</f>
        <v>0</v>
      </c>
      <c r="AC307" s="31"/>
      <c r="AD307" s="184"/>
      <c r="AE307" s="51"/>
      <c r="AF307" s="52"/>
      <c r="AG307" s="41"/>
      <c r="AH307" s="45"/>
      <c r="AI307" s="28"/>
      <c r="AJ307" s="28"/>
      <c r="AK307" s="28"/>
      <c r="AL307" s="28"/>
      <c r="AM307" s="12"/>
      <c r="AN307" s="12"/>
      <c r="AO307" s="12"/>
      <c r="AP307" s="12"/>
      <c r="AQ307" s="12"/>
      <c r="AR307" s="13"/>
      <c r="AS307" s="14"/>
    </row>
    <row r="308" spans="1:45" s="16" customFormat="1" ht="30.95" hidden="1" customHeight="1" x14ac:dyDescent="0.2">
      <c r="A308" s="35"/>
      <c r="B308" s="36"/>
      <c r="C308" s="43"/>
      <c r="D308" s="29"/>
      <c r="E308" s="29"/>
      <c r="F308" s="255" t="str">
        <f>IF(D308="","",VLOOKUP(D308,契約台帳!$A$3:$K$4986,6,FALSE)&amp;VLOOKUP(D308,契約台帳!$A$3:$K$4986,7,FALSE)&amp;VLOOKUP(D308,契約台帳!$A$3:$K$4986,8,FALSE)&amp;VLOOKUP(D308,契約台帳!$A$3:$K$4986,9,FALSE)&amp;VLOOKUP(D308,契約台帳!$A$3:$K$4986,11,FALSE))</f>
        <v/>
      </c>
      <c r="G308" s="256" t="str">
        <f>IF(D308="","",VLOOKUP(F308,製品マスタ!$G$5:$H$4999,2,FALSE))</f>
        <v/>
      </c>
      <c r="H308" s="256" t="str">
        <f>IF(D308="","",VLOOKUP(F308,製品マスタ!$G$5:$K$4999,5,FALSE))</f>
        <v/>
      </c>
      <c r="I308" s="200" t="str">
        <f>IF(D308="","",VLOOKUP(F308,製品マスタ!$G$5:$L$4999,6,FALSE))</f>
        <v/>
      </c>
      <c r="J308" s="203"/>
      <c r="K308" s="200" t="str">
        <f>IF(D308="","",VLOOKUP(D308,契約台帳!$A$3:$L$4986,12,FALSE))</f>
        <v/>
      </c>
      <c r="L308" s="200" t="str">
        <f>IF(D308="","",INDEX(製品マスタ!$Q$5:$Q$4999,MATCH('S4'!F308&amp;'S4'!K308,製品マスタ!$AO$5:$AO$4999,0)))</f>
        <v/>
      </c>
      <c r="M308" s="37"/>
      <c r="N308" s="37"/>
      <c r="O308" s="153"/>
      <c r="P308" s="45"/>
      <c r="Q308" s="54"/>
      <c r="R308" s="257" t="str">
        <f ca="1">IF(D308="","",IF(OFFSET(D308,-1,0)&lt;&gt;"","",IF(OR(J308="リード付け",J308="巻足し",J308="巻返しリード付け"),M308,VLOOKUP(D308,契約台帳!$A$3:$N$4986,14,FALSE))))</f>
        <v/>
      </c>
      <c r="S308" s="258" t="str">
        <f ca="1">IF(D308="","",IF(OFFSET(D308,-1,0)&lt;&gt;"","",IF(OR(J308="リード付け",J308="巻足し",J308="巻返しリード付け"),M308,VLOOKUP(D308,契約台帳!$A$3:$O$4986,15,FALSE))))</f>
        <v/>
      </c>
      <c r="T308" s="258" t="str">
        <f ca="1">IF(D308="","",IF(J308="リード付け",N308,IF(J308="巻返しリード付け",N308,IF(J308="巻足し",N308*P308+OFFSET(N308,1,0)*OFFSET(P308,1,0),VLOOKUP(D308,契約台帳!$A$3:$P$4986,16,FALSE)))))</f>
        <v/>
      </c>
      <c r="U308" s="38"/>
      <c r="V308" s="259" t="str">
        <f ca="1">IF(D308="","",IF(OFFSET(D308,-2,0)=D308,"",VLOOKUP(D308,契約台帳!$A$3:$R$4986,18,FALSE)))</f>
        <v/>
      </c>
      <c r="W308" s="256" t="str">
        <f>IF(D308="","",IF(T308="","",IF(OR(J308="巻足し",J308="巻返しリード付け"),"",IF(J308="巻返し",VLOOKUP(F308&amp;K308&amp;M308,製品マスタ!$M$5:$AD$4999,18,FALSE),IF(OR(J308="リード付け",J308="巻返しリード付け"),"原反コア",IF(J308="スリット",VLOOKUP(F308&amp;K308&amp;R308,製品マスタ!$N$5:$AD$4999,17,FALSE),""))))))</f>
        <v/>
      </c>
      <c r="X308" s="256" t="str">
        <f>IF(D308="","",IF(T308="","",IF(J308="巻足し","",IF(J308="巻返し",VLOOKUP(F308&amp;K308&amp;M308,製品マスタ!$M$5:$AE$4999,19,FALSE),IF(OR(J308="リード付け",J308="巻返しリード付け"),"",IF(J308="スリット",VLOOKUP(F308&amp;K308&amp;R308,製品マスタ!$N$5:$AE$4999,18,FALSE),""))))))</f>
        <v/>
      </c>
      <c r="Y308" s="256" t="str">
        <f>IF(D308="","",IF(T308="","",VLOOKUP(D308,契約台帳!$A$3:$Q$4986,17,FALSE)))</f>
        <v/>
      </c>
      <c r="Z308" s="256" t="str">
        <f>IF(D308="","",IF(T308="","",VLOOKUP(D308,契約台帳!$A$3:$E$4986,5,FALSE)))</f>
        <v/>
      </c>
      <c r="AA308" s="54"/>
      <c r="AB308" s="200" t="str">
        <f>IFERROR((VLOOKUP(F308&amp;K308&amp;M308,製品マスタ!$M$5:$AM$4999,27,FALSE)),"")</f>
        <v/>
      </c>
      <c r="AC308" s="31"/>
      <c r="AD308" s="184"/>
      <c r="AE308" s="51"/>
      <c r="AF308" s="52"/>
      <c r="AG308" s="41"/>
      <c r="AH308" s="45"/>
      <c r="AI308" s="28"/>
      <c r="AJ308" s="28"/>
      <c r="AK308" s="28"/>
      <c r="AL308" s="28"/>
      <c r="AM308" s="12"/>
      <c r="AN308" s="12"/>
      <c r="AO308" s="12"/>
      <c r="AP308" s="12"/>
      <c r="AQ308" s="12"/>
      <c r="AR308" s="13"/>
      <c r="AS308" s="14"/>
    </row>
    <row r="309" spans="1:45" s="16" customFormat="1" ht="30.95" hidden="1" customHeight="1" x14ac:dyDescent="0.2">
      <c r="A309" s="35"/>
      <c r="B309" s="36"/>
      <c r="C309" s="43"/>
      <c r="D309" s="29">
        <v>3700971</v>
      </c>
      <c r="E309" s="29">
        <v>4161852</v>
      </c>
      <c r="F309" s="255" t="str">
        <f>IF(D309="","",VLOOKUP(D309,契約台帳!$A$3:$K$4986,6,FALSE)&amp;VLOOKUP(D309,契約台帳!$A$3:$K$4986,7,FALSE)&amp;VLOOKUP(D309,契約台帳!$A$3:$K$4986,8,FALSE)&amp;VLOOKUP(D309,契約台帳!$A$3:$K$4986,9,FALSE)&amp;VLOOKUP(D309,契約台帳!$A$3:$K$4986,11,FALSE))</f>
        <v>3SYMLBMSNMBZF</v>
      </c>
      <c r="G309" s="256" t="str">
        <f>IF(D309="","",VLOOKUP(F309,製品マスタ!$G$5:$H$4999,2,FALSE))</f>
        <v>S</v>
      </c>
      <c r="H309" s="256" t="str">
        <f>IF(D309="","",VLOOKUP(F309,製品マスタ!$G$5:$K$4999,5,FALSE))</f>
        <v>MSNMBZF</v>
      </c>
      <c r="I309" s="200" t="str">
        <f>IF(D309="","",VLOOKUP(F309,製品マスタ!$G$5:$L$4999,6,FALSE))</f>
        <v>ＭＥＴＡＬＵＭＹ　ＳＩＬＶＥＲ　Ｎ－ＭＡＴＴＥ　Ｂ</v>
      </c>
      <c r="J309" s="203" t="s">
        <v>935</v>
      </c>
      <c r="K309" s="200">
        <f>IF(D309="","",VLOOKUP(D309,契約台帳!$A$3:$L$4986,12,FALSE))</f>
        <v>25</v>
      </c>
      <c r="L309" s="200" t="str">
        <f>IF(D309="","",INDEX(製品マスタ!$Q$5:$Q$4999,MATCH('S4'!F309&amp;'S4'!K309,製品マスタ!$AO$5:$AO$4999,0)))</f>
        <v>X44</v>
      </c>
      <c r="M309" s="37">
        <v>1120</v>
      </c>
      <c r="N309" s="37">
        <v>8000</v>
      </c>
      <c r="O309" s="153">
        <v>2</v>
      </c>
      <c r="P309" s="45">
        <v>2</v>
      </c>
      <c r="Q309" s="206">
        <v>44987</v>
      </c>
      <c r="R309" s="257">
        <f ca="1">IF(D309="","",IF(OFFSET(D309,-1,0)&lt;&gt;"","",IF(OR(J309="リード付け",J309="巻足し",J309="巻返しリード付け"),M309,VLOOKUP(D309,契約台帳!$A$3:$N$4986,14,FALSE))))</f>
        <v>1120</v>
      </c>
      <c r="S309" s="258">
        <f ca="1">IF(D309="","",IF(OFFSET(D309,-1,0)&lt;&gt;"","",IF(OR(J309="リード付け",J309="巻足し",J309="巻返しリード付け"),M309,VLOOKUP(D309,契約台帳!$A$3:$O$4986,15,FALSE))))</f>
        <v>1120</v>
      </c>
      <c r="T309" s="258">
        <f ca="1">IF(D309="","",IF(J309="リード付け",N309,IF(J309="巻返しリード付け",N309,IF(J309="巻足し",N309*P309+OFFSET(N309,1,0)*OFFSET(P309,1,0),VLOOKUP(D309,契約台帳!$A$3:$P$4986,16,FALSE)))))</f>
        <v>16000</v>
      </c>
      <c r="U309" s="38">
        <v>1</v>
      </c>
      <c r="V309" s="259">
        <f ca="1">IF(D309="","",IF(OFFSET(D309,-2,0)=D309,"",VLOOKUP(D309,契約台帳!$A$3:$R$4986,18,FALSE)))</f>
        <v>2</v>
      </c>
      <c r="W309" s="256" t="str">
        <f ca="1">IF(D309="","",IF(T309="","",IF(OR(J309="巻足し",J309="巻返しリード付け"),"",IF(J309="巻返し",VLOOKUP(F309&amp;K309&amp;M309,製品マスタ!$M$5:$AD$4999,18,FALSE),IF(OR(J309="リード付け",J309="巻返しリード付け"),"原反コア",IF(J309="スリット",VLOOKUP(F309&amp;K309&amp;R309,製品マスタ!$N$5:$AD$4999,17,FALSE),""))))))</f>
        <v/>
      </c>
      <c r="X309" s="256" t="str">
        <f ca="1">IF(D309="","",IF(T309="","",IF(J309="巻足し","",IF(J309="巻返し",VLOOKUP(F309&amp;K309&amp;M309,製品マスタ!$M$5:$AE$4999,19,FALSE),IF(OR(J309="リード付け",J309="巻返しリード付け"),"",IF(J309="スリット",VLOOKUP(F309&amp;K309&amp;R309,製品マスタ!$N$5:$AE$4999,18,FALSE),""))))))</f>
        <v/>
      </c>
      <c r="Y309" s="256">
        <f ca="1">IF(D309="","",IF(T309="","",VLOOKUP(D309,契約台帳!$A$3:$Q$4986,17,FALSE)))</f>
        <v>2</v>
      </c>
      <c r="Z309" s="256" t="str">
        <f ca="1">IF(D309="","",IF(T309="","",VLOOKUP(D309,契約台帳!$A$3:$E$4986,5,FALSE)))</f>
        <v>リンテック㈱</v>
      </c>
      <c r="AA309" s="54"/>
      <c r="AB309" s="200">
        <f>IFERROR((VLOOKUP(F309&amp;K309&amp;M309,製品マスタ!$M$5:$AM$4999,27,FALSE)),"")</f>
        <v>0</v>
      </c>
      <c r="AC309" s="31"/>
      <c r="AD309" s="184"/>
      <c r="AE309" s="51"/>
      <c r="AF309" s="52"/>
      <c r="AG309" s="41"/>
      <c r="AH309" s="45"/>
      <c r="AI309" s="28"/>
      <c r="AJ309" s="28"/>
      <c r="AK309" s="28"/>
      <c r="AL309" s="28"/>
      <c r="AM309" s="12"/>
      <c r="AN309" s="12"/>
      <c r="AO309" s="12"/>
      <c r="AP309" s="12"/>
      <c r="AQ309" s="12"/>
      <c r="AR309" s="13"/>
      <c r="AS309" s="14"/>
    </row>
    <row r="310" spans="1:45" s="16" customFormat="1" ht="30.95" hidden="1" customHeight="1" x14ac:dyDescent="0.2">
      <c r="A310" s="35"/>
      <c r="B310" s="36"/>
      <c r="C310" s="43"/>
      <c r="D310" s="29"/>
      <c r="E310" s="29"/>
      <c r="F310" s="255" t="str">
        <f>IF(D310="","",VLOOKUP(D310,契約台帳!$A$3:$K$4986,6,FALSE)&amp;VLOOKUP(D310,契約台帳!$A$3:$K$4986,7,FALSE)&amp;VLOOKUP(D310,契約台帳!$A$3:$K$4986,8,FALSE)&amp;VLOOKUP(D310,契約台帳!$A$3:$K$4986,9,FALSE)&amp;VLOOKUP(D310,契約台帳!$A$3:$K$4986,11,FALSE))</f>
        <v/>
      </c>
      <c r="G310" s="256" t="str">
        <f>IF(D310="","",VLOOKUP(F310,製品マスタ!$G$5:$H$4999,2,FALSE))</f>
        <v/>
      </c>
      <c r="H310" s="256" t="str">
        <f>IF(D310="","",VLOOKUP(F310,製品マスタ!$G$5:$K$4999,5,FALSE))</f>
        <v/>
      </c>
      <c r="I310" s="200" t="str">
        <f>IF(D310="","",VLOOKUP(F310,製品マスタ!$G$5:$L$4999,6,FALSE))</f>
        <v/>
      </c>
      <c r="J310" s="203"/>
      <c r="K310" s="200" t="str">
        <f>IF(D310="","",VLOOKUP(D310,契約台帳!$A$3:$L$4986,12,FALSE))</f>
        <v/>
      </c>
      <c r="L310" s="200" t="str">
        <f>IF(D310="","",INDEX(製品マスタ!$Q$5:$Q$4999,MATCH('S4'!F310&amp;'S4'!K310,製品マスタ!$AO$5:$AO$4999,0)))</f>
        <v/>
      </c>
      <c r="M310" s="37"/>
      <c r="N310" s="37"/>
      <c r="O310" s="153"/>
      <c r="P310" s="45"/>
      <c r="Q310" s="54"/>
      <c r="R310" s="257" t="str">
        <f ca="1">IF(D310="","",IF(OFFSET(D310,-1,0)&lt;&gt;"","",IF(OR(J310="リード付け",J310="巻足し",J310="巻返しリード付け"),M310,VLOOKUP(D310,契約台帳!$A$3:$N$4986,14,FALSE))))</f>
        <v/>
      </c>
      <c r="S310" s="258" t="str">
        <f ca="1">IF(D310="","",IF(OFFSET(D310,-1,0)&lt;&gt;"","",IF(OR(J310="リード付け",J310="巻足し",J310="巻返しリード付け"),M310,VLOOKUP(D310,契約台帳!$A$3:$O$4986,15,FALSE))))</f>
        <v/>
      </c>
      <c r="T310" s="258" t="str">
        <f ca="1">IF(D310="","",IF(J310="リード付け",N310,IF(J310="巻返しリード付け",N310,IF(J310="巻足し",N310*P310+OFFSET(N310,1,0)*OFFSET(P310,1,0),VLOOKUP(D310,契約台帳!$A$3:$P$4986,16,FALSE)))))</f>
        <v/>
      </c>
      <c r="U310" s="38"/>
      <c r="V310" s="259" t="str">
        <f ca="1">IF(D310="","",IF(OFFSET(D310,-2,0)=D310,"",VLOOKUP(D310,契約台帳!$A$3:$R$4986,18,FALSE)))</f>
        <v/>
      </c>
      <c r="W310" s="256" t="str">
        <f>IF(D310="","",IF(T310="","",IF(OR(J310="巻足し",J310="巻返しリード付け"),"",IF(J310="巻返し",VLOOKUP(F310&amp;K310&amp;M310,製品マスタ!$M$5:$AD$4999,18,FALSE),IF(OR(J310="リード付け",J310="巻返しリード付け"),"原反コア",IF(J310="スリット",VLOOKUP(F310&amp;K310&amp;R310,製品マスタ!$N$5:$AD$4999,17,FALSE),""))))))</f>
        <v/>
      </c>
      <c r="X310" s="256" t="str">
        <f>IF(D310="","",IF(T310="","",IF(J310="巻足し","",IF(J310="巻返し",VLOOKUP(F310&amp;K310&amp;M310,製品マスタ!$M$5:$AE$4999,19,FALSE),IF(OR(J310="リード付け",J310="巻返しリード付け"),"",IF(J310="スリット",VLOOKUP(F310&amp;K310&amp;R310,製品マスタ!$N$5:$AE$4999,18,FALSE),""))))))</f>
        <v/>
      </c>
      <c r="Y310" s="256" t="str">
        <f>IF(D310="","",IF(T310="","",VLOOKUP(D310,契約台帳!$A$3:$Q$4986,17,FALSE)))</f>
        <v/>
      </c>
      <c r="Z310" s="256" t="str">
        <f>IF(D310="","",IF(T310="","",VLOOKUP(D310,契約台帳!$A$3:$E$4986,5,FALSE)))</f>
        <v/>
      </c>
      <c r="AA310" s="54"/>
      <c r="AB310" s="200" t="str">
        <f>IFERROR((VLOOKUP(F310&amp;K310&amp;M310,製品マスタ!$M$5:$AM$4999,27,FALSE)),"")</f>
        <v/>
      </c>
      <c r="AC310" s="31"/>
      <c r="AD310" s="184"/>
      <c r="AE310" s="51"/>
      <c r="AF310" s="52"/>
      <c r="AG310" s="41"/>
      <c r="AH310" s="45"/>
      <c r="AI310" s="28"/>
      <c r="AJ310" s="28"/>
      <c r="AK310" s="28"/>
      <c r="AL310" s="28"/>
      <c r="AM310" s="12"/>
      <c r="AN310" s="12"/>
      <c r="AO310" s="12"/>
      <c r="AP310" s="12"/>
      <c r="AQ310" s="12"/>
      <c r="AR310" s="13"/>
      <c r="AS310" s="14"/>
    </row>
    <row r="311" spans="1:45" s="16" customFormat="1" ht="30.95" hidden="1" customHeight="1" x14ac:dyDescent="0.2">
      <c r="A311" s="35"/>
      <c r="B311" s="36"/>
      <c r="C311" s="43"/>
      <c r="D311" s="29">
        <v>3700950</v>
      </c>
      <c r="E311" s="29">
        <v>4161838</v>
      </c>
      <c r="F311" s="255" t="str">
        <f>IF(D311="","",VLOOKUP(D311,契約台帳!$A$3:$K$4986,6,FALSE)&amp;VLOOKUP(D311,契約台帳!$A$3:$K$4986,7,FALSE)&amp;VLOOKUP(D311,契約台帳!$A$3:$K$4986,8,FALSE)&amp;VLOOKUP(D311,契約台帳!$A$3:$K$4986,9,FALSE)&amp;VLOOKUP(D311,契約台帳!$A$3:$K$4986,11,FALSE))</f>
        <v>3SNMLBMNGKKBF</v>
      </c>
      <c r="G311" s="256" t="str">
        <f>IF(D311="","",VLOOKUP(F311,製品マスタ!$G$5:$H$4999,2,FALSE))</f>
        <v>S</v>
      </c>
      <c r="H311" s="256" t="str">
        <f>IF(D311="","",VLOOKUP(F311,製品マスタ!$G$5:$K$4999,5,FALSE))</f>
        <v>MNGKKBF</v>
      </c>
      <c r="I311" s="200" t="str">
        <f>IF(D311="","",VLOOKUP(F311,製品マスタ!$G$5:$L$4999,6,FALSE))</f>
        <v>メタルミー　ネーマー銀消改　Ｂ</v>
      </c>
      <c r="J311" s="203" t="s">
        <v>935</v>
      </c>
      <c r="K311" s="200">
        <f>IF(D311="","",VLOOKUP(D311,契約台帳!$A$3:$L$4986,12,FALSE))</f>
        <v>25</v>
      </c>
      <c r="L311" s="200" t="str">
        <f>IF(D311="","",INDEX(製品マスタ!$Q$5:$Q$4999,MATCH('S4'!F311&amp;'S4'!K311,製品マスタ!$AO$5:$AO$4999,0)))</f>
        <v>FMATS99</v>
      </c>
      <c r="M311" s="37">
        <v>1120</v>
      </c>
      <c r="N311" s="37">
        <v>4000</v>
      </c>
      <c r="O311" s="153">
        <v>3</v>
      </c>
      <c r="P311" s="45">
        <v>3</v>
      </c>
      <c r="Q311" s="206">
        <v>44987</v>
      </c>
      <c r="R311" s="257">
        <f ca="1">IF(D311="","",IF(OFFSET(D311,-1,0)&lt;&gt;"","",IF(OR(J311="リード付け",J311="巻足し",J311="巻返しリード付け"),M311,VLOOKUP(D311,契約台帳!$A$3:$N$4986,14,FALSE))))</f>
        <v>1120</v>
      </c>
      <c r="S311" s="258">
        <f ca="1">IF(D311="","",IF(OFFSET(D311,-1,0)&lt;&gt;"","",IF(OR(J311="リード付け",J311="巻足し",J311="巻返しリード付け"),M311,VLOOKUP(D311,契約台帳!$A$3:$O$4986,15,FALSE))))</f>
        <v>1120</v>
      </c>
      <c r="T311" s="258">
        <f ca="1">IF(D311="","",IF(J311="リード付け",N311,IF(J311="巻返しリード付け",N311,IF(J311="巻足し",N311*P311+OFFSET(N311,1,0)*OFFSET(P311,1,0),VLOOKUP(D311,契約台帳!$A$3:$P$4986,16,FALSE)))))</f>
        <v>12000</v>
      </c>
      <c r="U311" s="38">
        <v>1</v>
      </c>
      <c r="V311" s="259">
        <f ca="1">IF(D311="","",IF(OFFSET(D311,-2,0)=D311,"",VLOOKUP(D311,契約台帳!$A$3:$R$4986,18,FALSE)))</f>
        <v>5</v>
      </c>
      <c r="W311" s="256" t="str">
        <f ca="1">IF(D311="","",IF(T311="","",IF(OR(J311="巻足し",J311="巻返しリード付け"),"",IF(J311="巻返し",VLOOKUP(F311&amp;K311&amp;M311,製品マスタ!$M$5:$AD$4999,18,FALSE),IF(OR(J311="リード付け",J311="巻返しリード付け"),"原反コア",IF(J311="スリット",VLOOKUP(F311&amp;K311&amp;R311,製品マスタ!$N$5:$AD$4999,17,FALSE),""))))))</f>
        <v/>
      </c>
      <c r="X311" s="256" t="str">
        <f ca="1">IF(D311="","",IF(T311="","",IF(J311="巻足し","",IF(J311="巻返し",VLOOKUP(F311&amp;K311&amp;M311,製品マスタ!$M$5:$AE$4999,19,FALSE),IF(OR(J311="リード付け",J311="巻返しリード付け"),"",IF(J311="スリット",VLOOKUP(F311&amp;K311&amp;R311,製品マスタ!$N$5:$AE$4999,18,FALSE),""))))))</f>
        <v/>
      </c>
      <c r="Y311" s="256">
        <f ca="1">IF(D311="","",IF(T311="","",VLOOKUP(D311,契約台帳!$A$3:$Q$4986,17,FALSE)))</f>
        <v>2</v>
      </c>
      <c r="Z311" s="256" t="str">
        <f ca="1">IF(D311="","",IF(T311="","",VLOOKUP(D311,契約台帳!$A$3:$E$4986,5,FALSE)))</f>
        <v>リンテック㈱</v>
      </c>
      <c r="AA311" s="54"/>
      <c r="AB311" s="200">
        <f>IFERROR((VLOOKUP(F311&amp;K311&amp;M311,製品マスタ!$M$5:$AM$4999,27,FALSE)),"")</f>
        <v>0</v>
      </c>
      <c r="AC311" s="31"/>
      <c r="AD311" s="184"/>
      <c r="AE311" s="51"/>
      <c r="AF311" s="52"/>
      <c r="AG311" s="41"/>
      <c r="AH311" s="45"/>
      <c r="AI311" s="28"/>
      <c r="AJ311" s="28"/>
      <c r="AK311" s="28"/>
      <c r="AL311" s="28"/>
      <c r="AM311" s="12"/>
      <c r="AN311" s="12"/>
      <c r="AO311" s="12"/>
      <c r="AP311" s="12"/>
      <c r="AQ311" s="12"/>
      <c r="AR311" s="13"/>
      <c r="AS311" s="14"/>
    </row>
    <row r="312" spans="1:45" s="16" customFormat="1" ht="30.95" hidden="1" customHeight="1" x14ac:dyDescent="0.2">
      <c r="A312" s="35"/>
      <c r="B312" s="36"/>
      <c r="C312" s="43"/>
      <c r="D312" s="29"/>
      <c r="E312" s="29"/>
      <c r="F312" s="255" t="str">
        <f>IF(D312="","",VLOOKUP(D312,契約台帳!$A$3:$K$4986,6,FALSE)&amp;VLOOKUP(D312,契約台帳!$A$3:$K$4986,7,FALSE)&amp;VLOOKUP(D312,契約台帳!$A$3:$K$4986,8,FALSE)&amp;VLOOKUP(D312,契約台帳!$A$3:$K$4986,9,FALSE)&amp;VLOOKUP(D312,契約台帳!$A$3:$K$4986,11,FALSE))</f>
        <v/>
      </c>
      <c r="G312" s="256" t="str">
        <f>IF(D312="","",VLOOKUP(F312,製品マスタ!$G$5:$H$4999,2,FALSE))</f>
        <v/>
      </c>
      <c r="H312" s="256" t="str">
        <f>IF(D312="","",VLOOKUP(F312,製品マスタ!$G$5:$K$4999,5,FALSE))</f>
        <v/>
      </c>
      <c r="I312" s="200" t="str">
        <f>IF(D312="","",VLOOKUP(F312,製品マスタ!$G$5:$L$4999,6,FALSE))</f>
        <v/>
      </c>
      <c r="J312" s="203"/>
      <c r="K312" s="200" t="str">
        <f>IF(D312="","",VLOOKUP(D312,契約台帳!$A$3:$L$4986,12,FALSE))</f>
        <v/>
      </c>
      <c r="L312" s="200" t="str">
        <f>IF(D312="","",INDEX(製品マスタ!$Q$5:$Q$4999,MATCH('S4'!F312&amp;'S4'!K312,製品マスタ!$AO$5:$AO$4999,0)))</f>
        <v/>
      </c>
      <c r="M312" s="37"/>
      <c r="N312" s="37"/>
      <c r="O312" s="153"/>
      <c r="P312" s="45"/>
      <c r="Q312" s="54"/>
      <c r="R312" s="257" t="str">
        <f ca="1">IF(D312="","",IF(OFFSET(D312,-1,0)&lt;&gt;"","",IF(OR(J312="リード付け",J312="巻足し",J312="巻返しリード付け"),M312,VLOOKUP(D312,契約台帳!$A$3:$N$4986,14,FALSE))))</f>
        <v/>
      </c>
      <c r="S312" s="258" t="str">
        <f ca="1">IF(D312="","",IF(OFFSET(D312,-1,0)&lt;&gt;"","",IF(OR(J312="リード付け",J312="巻足し",J312="巻返しリード付け"),M312,VLOOKUP(D312,契約台帳!$A$3:$O$4986,15,FALSE))))</f>
        <v/>
      </c>
      <c r="T312" s="258" t="str">
        <f ca="1">IF(D312="","",IF(J312="リード付け",N312,IF(J312="巻返しリード付け",N312,IF(J312="巻足し",N312*P312+OFFSET(N312,1,0)*OFFSET(P312,1,0),VLOOKUP(D312,契約台帳!$A$3:$P$4986,16,FALSE)))))</f>
        <v/>
      </c>
      <c r="U312" s="38"/>
      <c r="V312" s="259" t="str">
        <f ca="1">IF(D312="","",IF(OFFSET(D312,-2,0)=D312,"",VLOOKUP(D312,契約台帳!$A$3:$R$4986,18,FALSE)))</f>
        <v/>
      </c>
      <c r="W312" s="256" t="str">
        <f>IF(D312="","",IF(T312="","",IF(OR(J312="巻足し",J312="巻返しリード付け"),"",IF(J312="巻返し",VLOOKUP(F312&amp;K312&amp;M312,製品マスタ!$M$5:$AD$4999,18,FALSE),IF(OR(J312="リード付け",J312="巻返しリード付け"),"原反コア",IF(J312="スリット",VLOOKUP(F312&amp;K312&amp;R312,製品マスタ!$N$5:$AD$4999,17,FALSE),""))))))</f>
        <v/>
      </c>
      <c r="X312" s="256" t="str">
        <f>IF(D312="","",IF(T312="","",IF(J312="巻足し","",IF(J312="巻返し",VLOOKUP(F312&amp;K312&amp;M312,製品マスタ!$M$5:$AE$4999,19,FALSE),IF(OR(J312="リード付け",J312="巻返しリード付け"),"",IF(J312="スリット",VLOOKUP(F312&amp;K312&amp;R312,製品マスタ!$N$5:$AE$4999,18,FALSE),""))))))</f>
        <v/>
      </c>
      <c r="Y312" s="256" t="str">
        <f>IF(D312="","",IF(T312="","",VLOOKUP(D312,契約台帳!$A$3:$Q$4986,17,FALSE)))</f>
        <v/>
      </c>
      <c r="Z312" s="256" t="str">
        <f>IF(D312="","",IF(T312="","",VLOOKUP(D312,契約台帳!$A$3:$E$4986,5,FALSE)))</f>
        <v/>
      </c>
      <c r="AA312" s="54"/>
      <c r="AB312" s="200" t="str">
        <f>IFERROR((VLOOKUP(F312&amp;K312&amp;M312,製品マスタ!$M$5:$AM$4999,27,FALSE)),"")</f>
        <v/>
      </c>
      <c r="AC312" s="31"/>
      <c r="AD312" s="184"/>
      <c r="AE312" s="51"/>
      <c r="AF312" s="52"/>
      <c r="AG312" s="41"/>
      <c r="AH312" s="45"/>
      <c r="AI312" s="28"/>
      <c r="AJ312" s="28"/>
      <c r="AK312" s="28"/>
      <c r="AL312" s="28"/>
      <c r="AM312" s="12"/>
      <c r="AN312" s="12"/>
      <c r="AO312" s="12"/>
      <c r="AP312" s="12"/>
      <c r="AQ312" s="12"/>
      <c r="AR312" s="13"/>
      <c r="AS312" s="14"/>
    </row>
    <row r="313" spans="1:45" s="16" customFormat="1" ht="30.95" hidden="1" customHeight="1" x14ac:dyDescent="0.2">
      <c r="A313" s="35" t="s">
        <v>948</v>
      </c>
      <c r="B313" s="36" t="s">
        <v>934</v>
      </c>
      <c r="C313" s="43"/>
      <c r="D313" s="29">
        <v>3700950</v>
      </c>
      <c r="E313" s="29">
        <v>4161838</v>
      </c>
      <c r="F313" s="255" t="str">
        <f>IF(D313="","",VLOOKUP(D313,契約台帳!$A$3:$K$4986,6,FALSE)&amp;VLOOKUP(D313,契約台帳!$A$3:$K$4986,7,FALSE)&amp;VLOOKUP(D313,契約台帳!$A$3:$K$4986,8,FALSE)&amp;VLOOKUP(D313,契約台帳!$A$3:$K$4986,9,FALSE)&amp;VLOOKUP(D313,契約台帳!$A$3:$K$4986,11,FALSE))</f>
        <v>3SNMLBMNGKKBF</v>
      </c>
      <c r="G313" s="256" t="str">
        <f>IF(D313="","",VLOOKUP(F313,製品マスタ!$G$5:$H$4999,2,FALSE))</f>
        <v>S</v>
      </c>
      <c r="H313" s="256" t="str">
        <f>IF(D313="","",VLOOKUP(F313,製品マスタ!$G$5:$K$4999,5,FALSE))</f>
        <v>MNGKKBF</v>
      </c>
      <c r="I313" s="200" t="str">
        <f>IF(D313="","",VLOOKUP(F313,製品マスタ!$G$5:$L$4999,6,FALSE))</f>
        <v>メタルミー　ネーマー銀消改　Ｂ</v>
      </c>
      <c r="J313" s="203" t="s">
        <v>935</v>
      </c>
      <c r="K313" s="200">
        <f>IF(D313="","",VLOOKUP(D313,契約台帳!$A$3:$L$4986,12,FALSE))</f>
        <v>25</v>
      </c>
      <c r="L313" s="200" t="str">
        <f>IF(D313="","",INDEX(製品マスタ!$Q$5:$Q$4999,MATCH('S4'!F313&amp;'S4'!K313,製品マスタ!$AO$5:$AO$4999,0)))</f>
        <v>FMATS99</v>
      </c>
      <c r="M313" s="37">
        <v>1120</v>
      </c>
      <c r="N313" s="37">
        <v>4000</v>
      </c>
      <c r="O313" s="153">
        <v>2</v>
      </c>
      <c r="P313" s="45">
        <v>2</v>
      </c>
      <c r="Q313" s="206">
        <v>44987</v>
      </c>
      <c r="R313" s="257">
        <f ca="1">IF(D313="","",IF(OFFSET(D313,-1,0)&lt;&gt;"","",IF(OR(J313="リード付け",J313="巻足し",J313="巻返しリード付け"),M313,VLOOKUP(D313,契約台帳!$A$3:$N$4986,14,FALSE))))</f>
        <v>1120</v>
      </c>
      <c r="S313" s="258">
        <f ca="1">IF(D313="","",IF(OFFSET(D313,-1,0)&lt;&gt;"","",IF(OR(J313="リード付け",J313="巻足し",J313="巻返しリード付け"),M313,VLOOKUP(D313,契約台帳!$A$3:$O$4986,15,FALSE))))</f>
        <v>1120</v>
      </c>
      <c r="T313" s="258">
        <f ca="1">IF(D313="","",IF(J313="リード付け",N313,IF(J313="巻返しリード付け",N313,IF(J313="巻足し",N313*P313+OFFSET(N313,1,0)*OFFSET(P313,1,0),VLOOKUP(D313,契約台帳!$A$3:$P$4986,16,FALSE)))))</f>
        <v>8000</v>
      </c>
      <c r="U313" s="38">
        <v>1</v>
      </c>
      <c r="V313" s="259" t="str">
        <f ca="1">IF(D313="","",IF(OFFSET(D313,-2,0)=D313,"",VLOOKUP(D313,契約台帳!$A$3:$R$4986,18,FALSE)))</f>
        <v/>
      </c>
      <c r="W313" s="256" t="str">
        <f ca="1">IF(D313="","",IF(T313="","",IF(OR(J313="巻足し",J313="巻返しリード付け"),"",IF(J313="巻返し",VLOOKUP(F313&amp;K313&amp;M313,製品マスタ!$M$5:$AD$4999,18,FALSE),IF(OR(J313="リード付け",J313="巻返しリード付け"),"原反コア",IF(J313="スリット",VLOOKUP(F313&amp;K313&amp;R313,製品マスタ!$N$5:$AD$4999,17,FALSE),""))))))</f>
        <v/>
      </c>
      <c r="X313" s="256" t="str">
        <f ca="1">IF(D313="","",IF(T313="","",IF(J313="巻足し","",IF(J313="巻返し",VLOOKUP(F313&amp;K313&amp;M313,製品マスタ!$M$5:$AE$4999,19,FALSE),IF(OR(J313="リード付け",J313="巻返しリード付け"),"",IF(J313="スリット",VLOOKUP(F313&amp;K313&amp;R313,製品マスタ!$N$5:$AE$4999,18,FALSE),""))))))</f>
        <v/>
      </c>
      <c r="Y313" s="256">
        <f ca="1">IF(D313="","",IF(T313="","",VLOOKUP(D313,契約台帳!$A$3:$Q$4986,17,FALSE)))</f>
        <v>2</v>
      </c>
      <c r="Z313" s="256" t="str">
        <f ca="1">IF(D313="","",IF(T313="","",VLOOKUP(D313,契約台帳!$A$3:$E$4986,5,FALSE)))</f>
        <v>リンテック㈱</v>
      </c>
      <c r="AA313" s="54"/>
      <c r="AB313" s="200">
        <f>IFERROR((VLOOKUP(F313&amp;K313&amp;M313,製品マスタ!$M$5:$AM$4999,27,FALSE)),"")</f>
        <v>0</v>
      </c>
      <c r="AC313" s="31"/>
      <c r="AD313" s="184"/>
      <c r="AE313" s="51"/>
      <c r="AF313" s="52"/>
      <c r="AG313" s="41"/>
      <c r="AH313" s="45"/>
      <c r="AI313" s="28"/>
      <c r="AJ313" s="28"/>
      <c r="AK313" s="28"/>
      <c r="AL313" s="28"/>
      <c r="AM313" s="12"/>
      <c r="AN313" s="12"/>
      <c r="AO313" s="12"/>
      <c r="AP313" s="12"/>
      <c r="AQ313" s="12"/>
      <c r="AR313" s="13"/>
      <c r="AS313" s="14"/>
    </row>
    <row r="314" spans="1:45" s="16" customFormat="1" ht="30.95" hidden="1" customHeight="1" x14ac:dyDescent="0.2">
      <c r="A314" s="35"/>
      <c r="B314" s="36"/>
      <c r="C314" s="43"/>
      <c r="D314" s="29"/>
      <c r="E314" s="29"/>
      <c r="F314" s="255" t="str">
        <f>IF(D314="","",VLOOKUP(D314,契約台帳!$A$3:$K$4986,6,FALSE)&amp;VLOOKUP(D314,契約台帳!$A$3:$K$4986,7,FALSE)&amp;VLOOKUP(D314,契約台帳!$A$3:$K$4986,8,FALSE)&amp;VLOOKUP(D314,契約台帳!$A$3:$K$4986,9,FALSE)&amp;VLOOKUP(D314,契約台帳!$A$3:$K$4986,11,FALSE))</f>
        <v/>
      </c>
      <c r="G314" s="256" t="str">
        <f>IF(D314="","",VLOOKUP(F314,製品マスタ!$G$5:$H$4999,2,FALSE))</f>
        <v/>
      </c>
      <c r="H314" s="256" t="str">
        <f>IF(D314="","",VLOOKUP(F314,製品マスタ!$G$5:$K$4999,5,FALSE))</f>
        <v/>
      </c>
      <c r="I314" s="200" t="str">
        <f>IF(D314="","",VLOOKUP(F314,製品マスタ!$G$5:$L$4999,6,FALSE))</f>
        <v/>
      </c>
      <c r="J314" s="203"/>
      <c r="K314" s="200" t="str">
        <f>IF(D314="","",VLOOKUP(D314,契約台帳!$A$3:$L$4986,12,FALSE))</f>
        <v/>
      </c>
      <c r="L314" s="200" t="str">
        <f>IF(D314="","",INDEX(製品マスタ!$Q$5:$Q$4999,MATCH('S4'!F314&amp;'S4'!K314,製品マスタ!$AO$5:$AO$4999,0)))</f>
        <v/>
      </c>
      <c r="M314" s="37"/>
      <c r="N314" s="37"/>
      <c r="O314" s="153"/>
      <c r="P314" s="45"/>
      <c r="Q314" s="54"/>
      <c r="R314" s="257" t="str">
        <f ca="1">IF(D314="","",IF(OFFSET(D314,-1,0)&lt;&gt;"","",IF(OR(J314="リード付け",J314="巻足し",J314="巻返しリード付け"),M314,VLOOKUP(D314,契約台帳!$A$3:$N$4986,14,FALSE))))</f>
        <v/>
      </c>
      <c r="S314" s="258" t="str">
        <f ca="1">IF(D314="","",IF(OFFSET(D314,-1,0)&lt;&gt;"","",IF(OR(J314="リード付け",J314="巻足し",J314="巻返しリード付け"),M314,VLOOKUP(D314,契約台帳!$A$3:$O$4986,15,FALSE))))</f>
        <v/>
      </c>
      <c r="T314" s="258" t="str">
        <f ca="1">IF(D314="","",IF(J314="リード付け",N314,IF(J314="巻返しリード付け",N314,IF(J314="巻足し",N314*P314+OFFSET(N314,1,0)*OFFSET(P314,1,0),VLOOKUP(D314,契約台帳!$A$3:$P$4986,16,FALSE)))))</f>
        <v/>
      </c>
      <c r="U314" s="38"/>
      <c r="V314" s="259" t="str">
        <f ca="1">IF(D314="","",IF(OFFSET(D314,-2,0)=D314,"",VLOOKUP(D314,契約台帳!$A$3:$R$4986,18,FALSE)))</f>
        <v/>
      </c>
      <c r="W314" s="256" t="str">
        <f>IF(D314="","",IF(T314="","",IF(OR(J314="巻足し",J314="巻返しリード付け"),"",IF(J314="巻返し",VLOOKUP(F314&amp;K314&amp;M314,製品マスタ!$M$5:$AD$4999,18,FALSE),IF(OR(J314="リード付け",J314="巻返しリード付け"),"原反コア",IF(J314="スリット",VLOOKUP(F314&amp;K314&amp;R314,製品マスタ!$N$5:$AD$4999,17,FALSE),""))))))</f>
        <v/>
      </c>
      <c r="X314" s="256" t="str">
        <f>IF(D314="","",IF(T314="","",IF(J314="巻足し","",IF(J314="巻返し",VLOOKUP(F314&amp;K314&amp;M314,製品マスタ!$M$5:$AE$4999,19,FALSE),IF(OR(J314="リード付け",J314="巻返しリード付け"),"",IF(J314="スリット",VLOOKUP(F314&amp;K314&amp;R314,製品マスタ!$N$5:$AE$4999,18,FALSE),""))))))</f>
        <v/>
      </c>
      <c r="Y314" s="256" t="str">
        <f>IF(D314="","",IF(T314="","",VLOOKUP(D314,契約台帳!$A$3:$Q$4986,17,FALSE)))</f>
        <v/>
      </c>
      <c r="Z314" s="256" t="str">
        <f>IF(D314="","",IF(T314="","",VLOOKUP(D314,契約台帳!$A$3:$E$4986,5,FALSE)))</f>
        <v/>
      </c>
      <c r="AA314" s="54"/>
      <c r="AB314" s="200" t="str">
        <f>IFERROR((VLOOKUP(F314&amp;K314&amp;M314,製品マスタ!$M$5:$AM$4999,27,FALSE)),"")</f>
        <v/>
      </c>
      <c r="AC314" s="31"/>
      <c r="AD314" s="184"/>
      <c r="AE314" s="51"/>
      <c r="AF314" s="52"/>
      <c r="AG314" s="41"/>
      <c r="AH314" s="45"/>
      <c r="AI314" s="28"/>
      <c r="AJ314" s="28"/>
      <c r="AK314" s="28"/>
      <c r="AL314" s="28"/>
      <c r="AM314" s="12"/>
      <c r="AN314" s="12"/>
      <c r="AO314" s="12"/>
      <c r="AP314" s="12"/>
      <c r="AQ314" s="12"/>
      <c r="AR314" s="13"/>
      <c r="AS314" s="14"/>
    </row>
    <row r="315" spans="1:45" s="16" customFormat="1" ht="30.95" hidden="1" customHeight="1" x14ac:dyDescent="0.2">
      <c r="A315" s="35"/>
      <c r="B315" s="36"/>
      <c r="C315" s="43"/>
      <c r="D315" s="29">
        <v>3700946</v>
      </c>
      <c r="E315" s="29">
        <v>4161849</v>
      </c>
      <c r="F315" s="255" t="str">
        <f>IF(D315="","",VLOOKUP(D315,契約台帳!$A$3:$K$4986,6,FALSE)&amp;VLOOKUP(D315,契約台帳!$A$3:$K$4986,7,FALSE)&amp;VLOOKUP(D315,契約台帳!$A$3:$K$4986,8,FALSE)&amp;VLOOKUP(D315,契約台帳!$A$3:$K$4986,9,FALSE)&amp;VLOOKUP(D315,契約台帳!$A$3:$K$4986,11,FALSE))</f>
        <v>3SNMCLBMSNEYK</v>
      </c>
      <c r="G315" s="256" t="str">
        <f>IF(D315="","",VLOOKUP(F315,製品マスタ!$G$5:$H$4999,2,FALSE))</f>
        <v>S</v>
      </c>
      <c r="H315" s="256" t="str">
        <f>IF(D315="","",VLOOKUP(F315,製品マスタ!$G$5:$K$4999,5,FALSE))</f>
        <v>MSNEYK</v>
      </c>
      <c r="I315" s="200" t="str">
        <f>IF(D315="","",VLOOKUP(F315,製品マスタ!$G$5:$L$4999,6,FALSE))</f>
        <v>ＭＳＮ　ＥＹＫ</v>
      </c>
      <c r="J315" s="203" t="s">
        <v>935</v>
      </c>
      <c r="K315" s="200">
        <f>IF(D315="","",VLOOKUP(D315,契約台帳!$A$3:$L$4986,12,FALSE))</f>
        <v>100</v>
      </c>
      <c r="L315" s="200" t="str">
        <f>IF(D315="","",INDEX(製品マスタ!$Q$5:$Q$4999,MATCH('S4'!F315&amp;'S4'!K315,製品マスタ!$AO$5:$AO$4999,0)))</f>
        <v>N-MAT</v>
      </c>
      <c r="M315" s="37">
        <v>1205</v>
      </c>
      <c r="N315" s="37">
        <v>2500</v>
      </c>
      <c r="O315" s="153">
        <v>4</v>
      </c>
      <c r="P315" s="45">
        <v>2</v>
      </c>
      <c r="Q315" s="206">
        <v>44991</v>
      </c>
      <c r="R315" s="257">
        <f ca="1">IF(D315="","",IF(OFFSET(D315,-1,0)&lt;&gt;"","",IF(OR(J315="リード付け",J315="巻足し",J315="巻返しリード付け"),M315,VLOOKUP(D315,契約台帳!$A$3:$N$4986,14,FALSE))))</f>
        <v>1205</v>
      </c>
      <c r="S315" s="258">
        <f ca="1">IF(D315="","",IF(OFFSET(D315,-1,0)&lt;&gt;"","",IF(OR(J315="リード付け",J315="巻足し",J315="巻返しリード付け"),M315,VLOOKUP(D315,契約台帳!$A$3:$O$4986,15,FALSE))))</f>
        <v>1205</v>
      </c>
      <c r="T315" s="258">
        <f ca="1">IF(D315="","",IF(J315="リード付け",N315,IF(J315="巻返しリード付け",N315,IF(J315="巻足し",N315*P315+OFFSET(N315,1,0)*OFFSET(P315,1,0),VLOOKUP(D315,契約台帳!$A$3:$P$4986,16,FALSE)))))</f>
        <v>5000</v>
      </c>
      <c r="U315" s="38">
        <v>2</v>
      </c>
      <c r="V315" s="259">
        <f ca="1">IF(D315="","",IF(OFFSET(D315,-2,0)=D315,"",VLOOKUP(D315,契約台帳!$A$3:$R$4986,18,FALSE)))</f>
        <v>4</v>
      </c>
      <c r="W315" s="256" t="str">
        <f ca="1">IF(D315="","",IF(T315="","",IF(OR(J315="巻足し",J315="巻返しリード付け"),"",IF(J315="巻返し",VLOOKUP(F315&amp;K315&amp;M315,製品マスタ!$M$5:$AD$4999,18,FALSE),IF(OR(J315="リード付け",J315="巻返しリード付け"),"原反コア",IF(J315="スリット",VLOOKUP(F315&amp;K315&amp;R315,製品マスタ!$N$5:$AD$4999,17,FALSE),""))))))</f>
        <v/>
      </c>
      <c r="X315" s="256" t="str">
        <f ca="1">IF(D315="","",IF(T315="","",IF(J315="巻足し","",IF(J315="巻返し",VLOOKUP(F315&amp;K315&amp;M315,製品マスタ!$M$5:$AE$4999,19,FALSE),IF(OR(J315="リード付け",J315="巻返しリード付け"),"",IF(J315="スリット",VLOOKUP(F315&amp;K315&amp;R315,製品マスタ!$N$5:$AE$4999,18,FALSE),""))))))</f>
        <v/>
      </c>
      <c r="Y315" s="256">
        <f ca="1">IF(D315="","",IF(T315="","",VLOOKUP(D315,契約台帳!$A$3:$Q$4986,17,FALSE)))</f>
        <v>2</v>
      </c>
      <c r="Z315" s="256" t="str">
        <f ca="1">IF(D315="","",IF(T315="","",VLOOKUP(D315,契約台帳!$A$3:$E$4986,5,FALSE)))</f>
        <v>マルウ接着㈱</v>
      </c>
      <c r="AA315" s="54"/>
      <c r="AB315" s="200" t="str">
        <f>IFERROR((VLOOKUP(F315&amp;K315&amp;M315,製品マスタ!$M$5:$AM$4999,27,FALSE)),"")</f>
        <v>原反ケース再利用</v>
      </c>
      <c r="AC315" s="31"/>
      <c r="AD315" s="184"/>
      <c r="AE315" s="51"/>
      <c r="AF315" s="52"/>
      <c r="AG315" s="41"/>
      <c r="AH315" s="45"/>
      <c r="AI315" s="28"/>
      <c r="AJ315" s="28"/>
      <c r="AK315" s="28"/>
      <c r="AL315" s="28"/>
      <c r="AM315" s="12"/>
      <c r="AN315" s="12"/>
      <c r="AO315" s="12"/>
      <c r="AP315" s="12"/>
      <c r="AQ315" s="12"/>
      <c r="AR315" s="13"/>
      <c r="AS315" s="14"/>
    </row>
    <row r="316" spans="1:45" s="16" customFormat="1" ht="30.95" hidden="1" customHeight="1" x14ac:dyDescent="0.2">
      <c r="A316" s="35"/>
      <c r="B316" s="36"/>
      <c r="C316" s="43"/>
      <c r="D316" s="29"/>
      <c r="E316" s="29"/>
      <c r="F316" s="255" t="str">
        <f>IF(D316="","",VLOOKUP(D316,契約台帳!$A$3:$K$4986,6,FALSE)&amp;VLOOKUP(D316,契約台帳!$A$3:$K$4986,7,FALSE)&amp;VLOOKUP(D316,契約台帳!$A$3:$K$4986,8,FALSE)&amp;VLOOKUP(D316,契約台帳!$A$3:$K$4986,9,FALSE)&amp;VLOOKUP(D316,契約台帳!$A$3:$K$4986,11,FALSE))</f>
        <v/>
      </c>
      <c r="G316" s="256" t="str">
        <f>IF(D316="","",VLOOKUP(F316,製品マスタ!$G$5:$H$4999,2,FALSE))</f>
        <v/>
      </c>
      <c r="H316" s="256" t="str">
        <f>IF(D316="","",VLOOKUP(F316,製品マスタ!$G$5:$K$4999,5,FALSE))</f>
        <v/>
      </c>
      <c r="I316" s="200" t="str">
        <f>IF(D316="","",VLOOKUP(F316,製品マスタ!$G$5:$L$4999,6,FALSE))</f>
        <v/>
      </c>
      <c r="J316" s="203"/>
      <c r="K316" s="200" t="str">
        <f>IF(D316="","",VLOOKUP(D316,契約台帳!$A$3:$L$4986,12,FALSE))</f>
        <v/>
      </c>
      <c r="L316" s="200" t="str">
        <f>IF(D316="","",INDEX(製品マスタ!$Q$5:$Q$4999,MATCH('S4'!F316&amp;'S4'!K316,製品マスタ!$AO$5:$AO$4999,0)))</f>
        <v/>
      </c>
      <c r="M316" s="37"/>
      <c r="N316" s="37"/>
      <c r="O316" s="153"/>
      <c r="P316" s="45"/>
      <c r="Q316" s="54"/>
      <c r="R316" s="257" t="str">
        <f ca="1">IF(D316="","",IF(OFFSET(D316,-1,0)&lt;&gt;"","",IF(OR(J316="リード付け",J316="巻足し",J316="巻返しリード付け"),M316,VLOOKUP(D316,契約台帳!$A$3:$N$4986,14,FALSE))))</f>
        <v/>
      </c>
      <c r="S316" s="258" t="str">
        <f ca="1">IF(D316="","",IF(OFFSET(D316,-1,0)&lt;&gt;"","",IF(OR(J316="リード付け",J316="巻足し",J316="巻返しリード付け"),M316,VLOOKUP(D316,契約台帳!$A$3:$O$4986,15,FALSE))))</f>
        <v/>
      </c>
      <c r="T316" s="258" t="str">
        <f ca="1">IF(D316="","",IF(J316="リード付け",N316,IF(J316="巻返しリード付け",N316,IF(J316="巻足し",N316*P316+OFFSET(N316,1,0)*OFFSET(P316,1,0),VLOOKUP(D316,契約台帳!$A$3:$P$4986,16,FALSE)))))</f>
        <v/>
      </c>
      <c r="U316" s="38"/>
      <c r="V316" s="259" t="str">
        <f ca="1">IF(D316="","",IF(OFFSET(D316,-2,0)=D316,"",VLOOKUP(D316,契約台帳!$A$3:$R$4986,18,FALSE)))</f>
        <v/>
      </c>
      <c r="W316" s="256" t="str">
        <f>IF(D316="","",IF(T316="","",IF(OR(J316="巻足し",J316="巻返しリード付け"),"",IF(J316="巻返し",VLOOKUP(F316&amp;K316&amp;M316,製品マスタ!$M$5:$AD$4999,18,FALSE),IF(OR(J316="リード付け",J316="巻返しリード付け"),"原反コア",IF(J316="スリット",VLOOKUP(F316&amp;K316&amp;R316,製品マスタ!$N$5:$AD$4999,17,FALSE),""))))))</f>
        <v/>
      </c>
      <c r="X316" s="256" t="str">
        <f>IF(D316="","",IF(T316="","",IF(J316="巻足し","",IF(J316="巻返し",VLOOKUP(F316&amp;K316&amp;M316,製品マスタ!$M$5:$AE$4999,19,FALSE),IF(OR(J316="リード付け",J316="巻返しリード付け"),"",IF(J316="スリット",VLOOKUP(F316&amp;K316&amp;R316,製品マスタ!$N$5:$AE$4999,18,FALSE),""))))))</f>
        <v/>
      </c>
      <c r="Y316" s="256" t="str">
        <f>IF(D316="","",IF(T316="","",VLOOKUP(D316,契約台帳!$A$3:$Q$4986,17,FALSE)))</f>
        <v/>
      </c>
      <c r="Z316" s="256" t="str">
        <f>IF(D316="","",IF(T316="","",VLOOKUP(D316,契約台帳!$A$3:$E$4986,5,FALSE)))</f>
        <v/>
      </c>
      <c r="AA316" s="54"/>
      <c r="AB316" s="200" t="str">
        <f>IFERROR((VLOOKUP(F316&amp;K316&amp;M316,製品マスタ!$M$5:$AM$4999,27,FALSE)),"")</f>
        <v/>
      </c>
      <c r="AC316" s="31"/>
      <c r="AD316" s="184"/>
      <c r="AE316" s="51"/>
      <c r="AF316" s="52"/>
      <c r="AG316" s="41"/>
      <c r="AH316" s="45"/>
      <c r="AI316" s="28"/>
      <c r="AJ316" s="28"/>
      <c r="AK316" s="28"/>
      <c r="AL316" s="28"/>
      <c r="AM316" s="12"/>
      <c r="AN316" s="12"/>
      <c r="AO316" s="12"/>
      <c r="AP316" s="12"/>
      <c r="AQ316" s="12"/>
      <c r="AR316" s="13"/>
      <c r="AS316" s="14"/>
    </row>
    <row r="317" spans="1:45" s="16" customFormat="1" ht="30.95" hidden="1" customHeight="1" x14ac:dyDescent="0.2">
      <c r="A317" s="35"/>
      <c r="B317" s="36"/>
      <c r="C317" s="43"/>
      <c r="D317" s="29">
        <v>3700944</v>
      </c>
      <c r="E317" s="29">
        <v>4161833</v>
      </c>
      <c r="F317" s="255" t="str">
        <f>IF(D317="","",VLOOKUP(D317,契約台帳!$A$3:$K$4986,6,FALSE)&amp;VLOOKUP(D317,契約台帳!$A$3:$K$4986,7,FALSE)&amp;VLOOKUP(D317,契約台帳!$A$3:$K$4986,8,FALSE)&amp;VLOOKUP(D317,契約台帳!$A$3:$K$4986,9,FALSE)&amp;VLOOKUP(D317,契約台帳!$A$3:$K$4986,11,FALSE))</f>
        <v>3HSNMCLBEYK</v>
      </c>
      <c r="G317" s="256" t="str">
        <f>IF(D317="","",VLOOKUP(F317,製品マスタ!$G$5:$H$4999,2,FALSE))</f>
        <v>S</v>
      </c>
      <c r="H317" s="256" t="str">
        <f>IF(D317="","",VLOOKUP(F317,製品マスタ!$G$5:$K$4999,5,FALSE))</f>
        <v>EYK</v>
      </c>
      <c r="I317" s="200" t="str">
        <f>IF(D317="","",VLOOKUP(F317,製品マスタ!$G$5:$L$4999,6,FALSE))</f>
        <v>メタルミー　ＥＹＫ</v>
      </c>
      <c r="J317" s="203" t="s">
        <v>935</v>
      </c>
      <c r="K317" s="200">
        <f>IF(D317="","",VLOOKUP(D317,契約台帳!$A$3:$L$4986,12,FALSE))</f>
        <v>50</v>
      </c>
      <c r="L317" s="200" t="str">
        <f>IF(D317="","",INDEX(製品マスタ!$Q$5:$Q$4999,MATCH('S4'!F317&amp;'S4'!K317,製品マスタ!$AO$5:$AO$4999,0)))</f>
        <v>T62M</v>
      </c>
      <c r="M317" s="37">
        <v>1195</v>
      </c>
      <c r="N317" s="37">
        <v>6100</v>
      </c>
      <c r="O317" s="153">
        <v>10</v>
      </c>
      <c r="P317" s="45">
        <v>2</v>
      </c>
      <c r="Q317" s="206">
        <v>44988</v>
      </c>
      <c r="R317" s="257">
        <f ca="1">IF(D317="","",IF(OFFSET(D317,-1,0)&lt;&gt;"","",IF(OR(J317="リード付け",J317="巻足し",J317="巻返しリード付け"),M317,VLOOKUP(D317,契約台帳!$A$3:$N$4986,14,FALSE))))</f>
        <v>1195</v>
      </c>
      <c r="S317" s="258">
        <f ca="1">IF(D317="","",IF(OFFSET(D317,-1,0)&lt;&gt;"","",IF(OR(J317="リード付け",J317="巻足し",J317="巻返しリード付け"),M317,VLOOKUP(D317,契約台帳!$A$3:$O$4986,15,FALSE))))</f>
        <v>1195</v>
      </c>
      <c r="T317" s="258">
        <f ca="1">IF(D317="","",IF(J317="リード付け",N317,IF(J317="巻返しリード付け",N317,IF(J317="巻足し",N317*P317+OFFSET(N317,1,0)*OFFSET(P317,1,0),VLOOKUP(D317,契約台帳!$A$3:$P$4986,16,FALSE)))))</f>
        <v>12200</v>
      </c>
      <c r="U317" s="38">
        <v>5</v>
      </c>
      <c r="V317" s="259">
        <f ca="1">IF(D317="","",IF(OFFSET(D317,-2,0)=D317,"",VLOOKUP(D317,契約台帳!$A$3:$R$4986,18,FALSE)))</f>
        <v>10</v>
      </c>
      <c r="W317" s="256" t="str">
        <f ca="1">IF(D317="","",IF(T317="","",IF(OR(J317="巻足し",J317="巻返しリード付け"),"",IF(J317="巻返し",VLOOKUP(F317&amp;K317&amp;M317,製品マスタ!$M$5:$AD$4999,18,FALSE),IF(OR(J317="リード付け",J317="巻返しリード付け"),"原反コア",IF(J317="スリット",VLOOKUP(F317&amp;K317&amp;R317,製品マスタ!$N$5:$AD$4999,17,FALSE),""))))))</f>
        <v/>
      </c>
      <c r="X317" s="256" t="str">
        <f ca="1">IF(D317="","",IF(T317="","",IF(J317="巻足し","",IF(J317="巻返し",VLOOKUP(F317&amp;K317&amp;M317,製品マスタ!$M$5:$AE$4999,19,FALSE),IF(OR(J317="リード付け",J317="巻返しリード付け"),"",IF(J317="スリット",VLOOKUP(F317&amp;K317&amp;R317,製品マスタ!$N$5:$AE$4999,18,FALSE),""))))))</f>
        <v/>
      </c>
      <c r="Y317" s="256">
        <f ca="1">IF(D317="","",IF(T317="","",VLOOKUP(D317,契約台帳!$A$3:$Q$4986,17,FALSE)))</f>
        <v>2</v>
      </c>
      <c r="Z317" s="256" t="str">
        <f ca="1">IF(D317="","",IF(T317="","",VLOOKUP(D317,契約台帳!$A$3:$E$4986,5,FALSE)))</f>
        <v>大阪シーリング印刷㈱</v>
      </c>
      <c r="AA317" s="54"/>
      <c r="AB317" s="200" t="str">
        <f>IFERROR((VLOOKUP(F317&amp;K317&amp;M317,製品マスタ!$M$5:$AM$4999,27,FALSE)),"")</f>
        <v>原反ケース再利用</v>
      </c>
      <c r="AC317" s="31"/>
      <c r="AD317" s="184"/>
      <c r="AE317" s="51"/>
      <c r="AF317" s="52"/>
      <c r="AG317" s="41"/>
      <c r="AH317" s="45"/>
      <c r="AI317" s="28"/>
      <c r="AJ317" s="28"/>
      <c r="AK317" s="28"/>
      <c r="AL317" s="28"/>
      <c r="AM317" s="12"/>
      <c r="AN317" s="12"/>
      <c r="AO317" s="12"/>
      <c r="AP317" s="12"/>
      <c r="AQ317" s="12"/>
      <c r="AR317" s="13"/>
      <c r="AS317" s="14"/>
    </row>
    <row r="318" spans="1:45" s="16" customFormat="1" ht="30.95" hidden="1" customHeight="1" x14ac:dyDescent="0.2">
      <c r="A318" s="35"/>
      <c r="B318" s="36"/>
      <c r="C318" s="43"/>
      <c r="D318" s="29"/>
      <c r="E318" s="29"/>
      <c r="F318" s="255" t="str">
        <f>IF(D318="","",VLOOKUP(D318,契約台帳!$A$3:$K$4986,6,FALSE)&amp;VLOOKUP(D318,契約台帳!$A$3:$K$4986,7,FALSE)&amp;VLOOKUP(D318,契約台帳!$A$3:$K$4986,8,FALSE)&amp;VLOOKUP(D318,契約台帳!$A$3:$K$4986,9,FALSE)&amp;VLOOKUP(D318,契約台帳!$A$3:$K$4986,11,FALSE))</f>
        <v/>
      </c>
      <c r="G318" s="256" t="str">
        <f>IF(D318="","",VLOOKUP(F318,製品マスタ!$G$5:$H$4999,2,FALSE))</f>
        <v/>
      </c>
      <c r="H318" s="256" t="str">
        <f>IF(D318="","",VLOOKUP(F318,製品マスタ!$G$5:$K$4999,5,FALSE))</f>
        <v/>
      </c>
      <c r="I318" s="200" t="str">
        <f>IF(D318="","",VLOOKUP(F318,製品マスタ!$G$5:$L$4999,6,FALSE))</f>
        <v/>
      </c>
      <c r="J318" s="203"/>
      <c r="K318" s="200" t="str">
        <f>IF(D318="","",VLOOKUP(D318,契約台帳!$A$3:$L$4986,12,FALSE))</f>
        <v/>
      </c>
      <c r="L318" s="200" t="str">
        <f>IF(D318="","",INDEX(製品マスタ!$Q$5:$Q$4999,MATCH('S4'!F318&amp;'S4'!K318,製品マスタ!$AO$5:$AO$4999,0)))</f>
        <v/>
      </c>
      <c r="M318" s="37"/>
      <c r="N318" s="37"/>
      <c r="O318" s="153"/>
      <c r="P318" s="45"/>
      <c r="Q318" s="54"/>
      <c r="R318" s="257" t="str">
        <f ca="1">IF(D318="","",IF(OFFSET(D318,-1,0)&lt;&gt;"","",IF(OR(J318="リード付け",J318="巻足し",J318="巻返しリード付け"),M318,VLOOKUP(D318,契約台帳!$A$3:$N$4986,14,FALSE))))</f>
        <v/>
      </c>
      <c r="S318" s="258" t="str">
        <f ca="1">IF(D318="","",IF(OFFSET(D318,-1,0)&lt;&gt;"","",IF(OR(J318="リード付け",J318="巻足し",J318="巻返しリード付け"),M318,VLOOKUP(D318,契約台帳!$A$3:$O$4986,15,FALSE))))</f>
        <v/>
      </c>
      <c r="T318" s="258" t="str">
        <f ca="1">IF(D318="","",IF(J318="リード付け",N318,IF(J318="巻返しリード付け",N318,IF(J318="巻足し",N318*P318+OFFSET(N318,1,0)*OFFSET(P318,1,0),VLOOKUP(D318,契約台帳!$A$3:$P$4986,16,FALSE)))))</f>
        <v/>
      </c>
      <c r="U318" s="38"/>
      <c r="V318" s="259" t="str">
        <f ca="1">IF(D318="","",IF(OFFSET(D318,-2,0)=D318,"",VLOOKUP(D318,契約台帳!$A$3:$R$4986,18,FALSE)))</f>
        <v/>
      </c>
      <c r="W318" s="256" t="str">
        <f>IF(D318="","",IF(T318="","",IF(OR(J318="巻足し",J318="巻返しリード付け"),"",IF(J318="巻返し",VLOOKUP(F318&amp;K318&amp;M318,製品マスタ!$M$5:$AD$4999,18,FALSE),IF(OR(J318="リード付け",J318="巻返しリード付け"),"原反コア",IF(J318="スリット",VLOOKUP(F318&amp;K318&amp;R318,製品マスタ!$N$5:$AD$4999,17,FALSE),""))))))</f>
        <v/>
      </c>
      <c r="X318" s="256" t="str">
        <f>IF(D318="","",IF(T318="","",IF(J318="巻足し","",IF(J318="巻返し",VLOOKUP(F318&amp;K318&amp;M318,製品マスタ!$M$5:$AE$4999,19,FALSE),IF(OR(J318="リード付け",J318="巻返しリード付け"),"",IF(J318="スリット",VLOOKUP(F318&amp;K318&amp;R318,製品マスタ!$N$5:$AE$4999,18,FALSE),""))))))</f>
        <v/>
      </c>
      <c r="Y318" s="256" t="str">
        <f>IF(D318="","",IF(T318="","",VLOOKUP(D318,契約台帳!$A$3:$Q$4986,17,FALSE)))</f>
        <v/>
      </c>
      <c r="Z318" s="256" t="str">
        <f>IF(D318="","",IF(T318="","",VLOOKUP(D318,契約台帳!$A$3:$E$4986,5,FALSE)))</f>
        <v/>
      </c>
      <c r="AA318" s="54"/>
      <c r="AB318" s="200" t="str">
        <f>IFERROR((VLOOKUP(F318&amp;K318&amp;M318,製品マスタ!$M$5:$AM$4999,27,FALSE)),"")</f>
        <v/>
      </c>
      <c r="AC318" s="31"/>
      <c r="AD318" s="184"/>
      <c r="AE318" s="51"/>
      <c r="AF318" s="52"/>
      <c r="AG318" s="41"/>
      <c r="AH318" s="45"/>
      <c r="AI318" s="28"/>
      <c r="AJ318" s="28"/>
      <c r="AK318" s="28"/>
      <c r="AL318" s="28"/>
      <c r="AM318" s="12"/>
      <c r="AN318" s="12"/>
      <c r="AO318" s="12"/>
      <c r="AP318" s="12"/>
      <c r="AQ318" s="12"/>
      <c r="AR318" s="13"/>
      <c r="AS318" s="14"/>
    </row>
    <row r="319" spans="1:45" s="16" customFormat="1" ht="30.95" hidden="1" customHeight="1" x14ac:dyDescent="0.2">
      <c r="A319" s="35"/>
      <c r="B319" s="36"/>
      <c r="C319" s="43"/>
      <c r="D319" s="29">
        <v>3700947</v>
      </c>
      <c r="E319" s="29">
        <v>4161836</v>
      </c>
      <c r="F319" s="255" t="str">
        <f>IF(D319="","",VLOOKUP(D319,契約台帳!$A$3:$K$4986,6,FALSE)&amp;VLOOKUP(D319,契約台帳!$A$3:$K$4986,7,FALSE)&amp;VLOOKUP(D319,契約台帳!$A$3:$K$4986,8,FALSE)&amp;VLOOKUP(D319,契約台帳!$A$3:$K$4986,9,FALSE)&amp;VLOOKUP(D319,契約台帳!$A$3:$K$4986,11,FALSE))</f>
        <v>3SNMCLBEYK</v>
      </c>
      <c r="G319" s="256" t="str">
        <f>IF(D319="","",VLOOKUP(F319,製品マスタ!$G$5:$H$4999,2,FALSE))</f>
        <v>S</v>
      </c>
      <c r="H319" s="256" t="str">
        <f>IF(D319="","",VLOOKUP(F319,製品マスタ!$G$5:$K$4999,5,FALSE))</f>
        <v>EYK</v>
      </c>
      <c r="I319" s="200" t="str">
        <f>IF(D319="","",VLOOKUP(F319,製品マスタ!$G$5:$L$4999,6,FALSE))</f>
        <v>メタルミー　ＥＹＫ</v>
      </c>
      <c r="J319" s="203" t="s">
        <v>935</v>
      </c>
      <c r="K319" s="200">
        <f>IF(D319="","",VLOOKUP(D319,契約台帳!$A$3:$L$4986,12,FALSE))</f>
        <v>50</v>
      </c>
      <c r="L319" s="200" t="str">
        <f>IF(D319="","",INDEX(製品マスタ!$Q$5:$Q$4999,MATCH('S4'!F319&amp;'S4'!K319,製品マスタ!$AO$5:$AO$4999,0)))</f>
        <v>T62M</v>
      </c>
      <c r="M319" s="37">
        <v>1125</v>
      </c>
      <c r="N319" s="37">
        <v>6100</v>
      </c>
      <c r="O319" s="153">
        <v>2</v>
      </c>
      <c r="P319" s="45">
        <v>2</v>
      </c>
      <c r="Q319" s="206">
        <v>44988</v>
      </c>
      <c r="R319" s="257">
        <f ca="1">IF(D319="","",IF(OFFSET(D319,-1,0)&lt;&gt;"","",IF(OR(J319="リード付け",J319="巻足し",J319="巻返しリード付け"),M319,VLOOKUP(D319,契約台帳!$A$3:$N$4986,14,FALSE))))</f>
        <v>1125</v>
      </c>
      <c r="S319" s="258">
        <f ca="1">IF(D319="","",IF(OFFSET(D319,-1,0)&lt;&gt;"","",IF(OR(J319="リード付け",J319="巻足し",J319="巻返しリード付け"),M319,VLOOKUP(D319,契約台帳!$A$3:$O$4986,15,FALSE))))</f>
        <v>1125</v>
      </c>
      <c r="T319" s="258">
        <f ca="1">IF(D319="","",IF(J319="リード付け",N319,IF(J319="巻返しリード付け",N319,IF(J319="巻足し",N319*P319+OFFSET(N319,1,0)*OFFSET(P319,1,0),VLOOKUP(D319,契約台帳!$A$3:$P$4986,16,FALSE)))))</f>
        <v>12200</v>
      </c>
      <c r="U319" s="38">
        <v>1</v>
      </c>
      <c r="V319" s="259">
        <f ca="1">IF(D319="","",IF(OFFSET(D319,-2,0)=D319,"",VLOOKUP(D319,契約台帳!$A$3:$R$4986,18,FALSE)))</f>
        <v>2</v>
      </c>
      <c r="W319" s="256" t="str">
        <f ca="1">IF(D319="","",IF(T319="","",IF(OR(J319="巻足し",J319="巻返しリード付け"),"",IF(J319="巻返し",VLOOKUP(F319&amp;K319&amp;M319,製品マスタ!$M$5:$AD$4999,18,FALSE),IF(OR(J319="リード付け",J319="巻返しリード付け"),"原反コア",IF(J319="スリット",VLOOKUP(F319&amp;K319&amp;R319,製品マスタ!$N$5:$AD$4999,17,FALSE),""))))))</f>
        <v/>
      </c>
      <c r="X319" s="256" t="str">
        <f ca="1">IF(D319="","",IF(T319="","",IF(J319="巻足し","",IF(J319="巻返し",VLOOKUP(F319&amp;K319&amp;M319,製品マスタ!$M$5:$AE$4999,19,FALSE),IF(OR(J319="リード付け",J319="巻返しリード付け"),"",IF(J319="スリット",VLOOKUP(F319&amp;K319&amp;R319,製品マスタ!$N$5:$AE$4999,18,FALSE),""))))))</f>
        <v/>
      </c>
      <c r="Y319" s="256">
        <f ca="1">IF(D319="","",IF(T319="","",VLOOKUP(D319,契約台帳!$A$3:$Q$4986,17,FALSE)))</f>
        <v>2</v>
      </c>
      <c r="Z319" s="256" t="str">
        <f ca="1">IF(D319="","",IF(T319="","",VLOOKUP(D319,契約台帳!$A$3:$E$4986,5,FALSE)))</f>
        <v>新タック化成㈱</v>
      </c>
      <c r="AA319" s="54"/>
      <c r="AB319" s="200" t="str">
        <f>IFERROR((VLOOKUP(F319&amp;K319&amp;M319,製品マスタ!$M$5:$AM$4999,27,FALSE)),"")</f>
        <v>原反ケース再利用</v>
      </c>
      <c r="AC319" s="31"/>
      <c r="AD319" s="184"/>
      <c r="AE319" s="51"/>
      <c r="AF319" s="52"/>
      <c r="AG319" s="41"/>
      <c r="AH319" s="45"/>
      <c r="AI319" s="28"/>
      <c r="AJ319" s="28"/>
      <c r="AK319" s="28"/>
      <c r="AL319" s="28"/>
      <c r="AM319" s="12"/>
      <c r="AN319" s="12"/>
      <c r="AO319" s="12"/>
      <c r="AP319" s="12"/>
      <c r="AQ319" s="12"/>
      <c r="AR319" s="13"/>
      <c r="AS319" s="14"/>
    </row>
    <row r="320" spans="1:45" s="16" customFormat="1" ht="30.95" hidden="1" customHeight="1" x14ac:dyDescent="0.2">
      <c r="A320" s="35"/>
      <c r="B320" s="36"/>
      <c r="C320" s="43"/>
      <c r="D320" s="29"/>
      <c r="E320" s="29"/>
      <c r="F320" s="255" t="str">
        <f>IF(D320="","",VLOOKUP(D320,契約台帳!$A$3:$K$4986,6,FALSE)&amp;VLOOKUP(D320,契約台帳!$A$3:$K$4986,7,FALSE)&amp;VLOOKUP(D320,契約台帳!$A$3:$K$4986,8,FALSE)&amp;VLOOKUP(D320,契約台帳!$A$3:$K$4986,9,FALSE)&amp;VLOOKUP(D320,契約台帳!$A$3:$K$4986,11,FALSE))</f>
        <v/>
      </c>
      <c r="G320" s="256" t="str">
        <f>IF(D320="","",VLOOKUP(F320,製品マスタ!$G$5:$H$4999,2,FALSE))</f>
        <v/>
      </c>
      <c r="H320" s="256" t="str">
        <f>IF(D320="","",VLOOKUP(F320,製品マスタ!$G$5:$K$4999,5,FALSE))</f>
        <v/>
      </c>
      <c r="I320" s="200" t="str">
        <f>IF(D320="","",VLOOKUP(F320,製品マスタ!$G$5:$L$4999,6,FALSE))</f>
        <v/>
      </c>
      <c r="J320" s="203"/>
      <c r="K320" s="200" t="str">
        <f>IF(D320="","",VLOOKUP(D320,契約台帳!$A$3:$L$4986,12,FALSE))</f>
        <v/>
      </c>
      <c r="L320" s="200" t="str">
        <f>IF(D320="","",INDEX(製品マスタ!$Q$5:$Q$4999,MATCH('S4'!F320&amp;'S4'!K320,製品マスタ!$AO$5:$AO$4999,0)))</f>
        <v/>
      </c>
      <c r="M320" s="37"/>
      <c r="N320" s="37"/>
      <c r="O320" s="153"/>
      <c r="P320" s="45"/>
      <c r="Q320" s="54"/>
      <c r="R320" s="257" t="str">
        <f ca="1">IF(D320="","",IF(OFFSET(D320,-1,0)&lt;&gt;"","",IF(OR(J320="リード付け",J320="巻足し",J320="巻返しリード付け"),M320,VLOOKUP(D320,契約台帳!$A$3:$N$4986,14,FALSE))))</f>
        <v/>
      </c>
      <c r="S320" s="258" t="str">
        <f ca="1">IF(D320="","",IF(OFFSET(D320,-1,0)&lt;&gt;"","",IF(OR(J320="リード付け",J320="巻足し",J320="巻返しリード付け"),M320,VLOOKUP(D320,契約台帳!$A$3:$O$4986,15,FALSE))))</f>
        <v/>
      </c>
      <c r="T320" s="258" t="str">
        <f ca="1">IF(D320="","",IF(J320="リード付け",N320,IF(J320="巻返しリード付け",N320,IF(J320="巻足し",N320*P320+OFFSET(N320,1,0)*OFFSET(P320,1,0),VLOOKUP(D320,契約台帳!$A$3:$P$4986,16,FALSE)))))</f>
        <v/>
      </c>
      <c r="U320" s="38"/>
      <c r="V320" s="259" t="str">
        <f ca="1">IF(D320="","",IF(OFFSET(D320,-2,0)=D320,"",VLOOKUP(D320,契約台帳!$A$3:$R$4986,18,FALSE)))</f>
        <v/>
      </c>
      <c r="W320" s="256" t="str">
        <f>IF(D320="","",IF(T320="","",IF(OR(J320="巻足し",J320="巻返しリード付け"),"",IF(J320="巻返し",VLOOKUP(F320&amp;K320&amp;M320,製品マスタ!$M$5:$AD$4999,18,FALSE),IF(OR(J320="リード付け",J320="巻返しリード付け"),"原反コア",IF(J320="スリット",VLOOKUP(F320&amp;K320&amp;R320,製品マスタ!$N$5:$AD$4999,17,FALSE),""))))))</f>
        <v/>
      </c>
      <c r="X320" s="256" t="str">
        <f>IF(D320="","",IF(T320="","",IF(J320="巻足し","",IF(J320="巻返し",VLOOKUP(F320&amp;K320&amp;M320,製品マスタ!$M$5:$AE$4999,19,FALSE),IF(OR(J320="リード付け",J320="巻返しリード付け"),"",IF(J320="スリット",VLOOKUP(F320&amp;K320&amp;R320,製品マスタ!$N$5:$AE$4999,18,FALSE),""))))))</f>
        <v/>
      </c>
      <c r="Y320" s="256" t="str">
        <f>IF(D320="","",IF(T320="","",VLOOKUP(D320,契約台帳!$A$3:$Q$4986,17,FALSE)))</f>
        <v/>
      </c>
      <c r="Z320" s="256" t="str">
        <f>IF(D320="","",IF(T320="","",VLOOKUP(D320,契約台帳!$A$3:$E$4986,5,FALSE)))</f>
        <v/>
      </c>
      <c r="AA320" s="54"/>
      <c r="AB320" s="200" t="str">
        <f>IFERROR((VLOOKUP(F320&amp;K320&amp;M320,製品マスタ!$M$5:$AM$4999,27,FALSE)),"")</f>
        <v/>
      </c>
      <c r="AC320" s="31"/>
      <c r="AD320" s="184"/>
      <c r="AE320" s="51"/>
      <c r="AF320" s="52"/>
      <c r="AG320" s="41"/>
      <c r="AH320" s="45"/>
      <c r="AI320" s="28"/>
      <c r="AJ320" s="28"/>
      <c r="AK320" s="28"/>
      <c r="AL320" s="28"/>
      <c r="AM320" s="12"/>
      <c r="AN320" s="12"/>
      <c r="AO320" s="12"/>
      <c r="AP320" s="12"/>
      <c r="AQ320" s="12"/>
      <c r="AR320" s="13"/>
      <c r="AS320" s="14"/>
    </row>
    <row r="321" spans="1:45" s="16" customFormat="1" ht="30.95" hidden="1" customHeight="1" x14ac:dyDescent="0.2">
      <c r="A321" s="35" t="s">
        <v>949</v>
      </c>
      <c r="B321" s="36" t="s">
        <v>937</v>
      </c>
      <c r="C321" s="43"/>
      <c r="D321" s="29">
        <v>3700948</v>
      </c>
      <c r="E321" s="29">
        <v>4161855</v>
      </c>
      <c r="F321" s="255" t="str">
        <f>IF(D321="","",VLOOKUP(D321,契約台帳!$A$3:$K$4986,6,FALSE)&amp;VLOOKUP(D321,契約台帳!$A$3:$K$4986,7,FALSE)&amp;VLOOKUP(D321,契約台帳!$A$3:$K$4986,8,FALSE)&amp;VLOOKUP(D321,契約台帳!$A$3:$K$4986,9,FALSE)&amp;VLOOKUP(D321,契約台帳!$A$3:$K$4986,11,FALSE))</f>
        <v>3SNMCLBMSNEYK</v>
      </c>
      <c r="G321" s="256" t="str">
        <f>IF(D321="","",VLOOKUP(F321,製品マスタ!$G$5:$H$4999,2,FALSE))</f>
        <v>S</v>
      </c>
      <c r="H321" s="256" t="str">
        <f>IF(D321="","",VLOOKUP(F321,製品マスタ!$G$5:$K$4999,5,FALSE))</f>
        <v>MSNEYK</v>
      </c>
      <c r="I321" s="200" t="str">
        <f>IF(D321="","",VLOOKUP(F321,製品マスタ!$G$5:$L$4999,6,FALSE))</f>
        <v>ＭＳＮ　ＥＹＫ</v>
      </c>
      <c r="J321" s="203" t="s">
        <v>935</v>
      </c>
      <c r="K321" s="200">
        <f>IF(D321="","",VLOOKUP(D321,契約台帳!$A$3:$L$4986,12,FALSE))</f>
        <v>50</v>
      </c>
      <c r="L321" s="200" t="str">
        <f>IF(D321="","",INDEX(製品マスタ!$Q$5:$Q$4999,MATCH('S4'!F321&amp;'S4'!K321,製品マスタ!$AO$5:$AO$4999,0)))</f>
        <v>N-MAT</v>
      </c>
      <c r="M321" s="37">
        <v>1120</v>
      </c>
      <c r="N321" s="37">
        <v>4000</v>
      </c>
      <c r="O321" s="153">
        <v>6</v>
      </c>
      <c r="P321" s="45">
        <v>3</v>
      </c>
      <c r="Q321" s="206">
        <v>44993</v>
      </c>
      <c r="R321" s="257">
        <f ca="1">IF(D321="","",IF(OFFSET(D321,-1,0)&lt;&gt;"","",IF(OR(J321="リード付け",J321="巻足し",J321="巻返しリード付け"),M321,VLOOKUP(D321,契約台帳!$A$3:$N$4986,14,FALSE))))</f>
        <v>1120</v>
      </c>
      <c r="S321" s="258">
        <f ca="1">IF(D321="","",IF(OFFSET(D321,-1,0)&lt;&gt;"","",IF(OR(J321="リード付け",J321="巻足し",J321="巻返しリード付け"),M321,VLOOKUP(D321,契約台帳!$A$3:$O$4986,15,FALSE))))</f>
        <v>1120</v>
      </c>
      <c r="T321" s="258">
        <f ca="1">IF(D321="","",IF(J321="リード付け",N321,IF(J321="巻返しリード付け",N321,IF(J321="巻足し",N321*P321+OFFSET(N321,1,0)*OFFSET(P321,1,0),VLOOKUP(D321,契約台帳!$A$3:$P$4986,16,FALSE)))))</f>
        <v>12000</v>
      </c>
      <c r="U321" s="38">
        <v>2</v>
      </c>
      <c r="V321" s="259">
        <f ca="1">IF(D321="","",IF(OFFSET(D321,-2,0)=D321,"",VLOOKUP(D321,契約台帳!$A$3:$R$4986,18,FALSE)))</f>
        <v>6</v>
      </c>
      <c r="W321" s="256" t="str">
        <f ca="1">IF(D321="","",IF(T321="","",IF(OR(J321="巻足し",J321="巻返しリード付け"),"",IF(J321="巻返し",VLOOKUP(F321&amp;K321&amp;M321,製品マスタ!$M$5:$AD$4999,18,FALSE),IF(OR(J321="リード付け",J321="巻返しリード付け"),"原反コア",IF(J321="スリット",VLOOKUP(F321&amp;K321&amp;R321,製品マスタ!$N$5:$AD$4999,17,FALSE),""))))))</f>
        <v/>
      </c>
      <c r="X321" s="256" t="str">
        <f ca="1">IF(D321="","",IF(T321="","",IF(J321="巻足し","",IF(J321="巻返し",VLOOKUP(F321&amp;K321&amp;M321,製品マスタ!$M$5:$AE$4999,19,FALSE),IF(OR(J321="リード付け",J321="巻返しリード付け"),"",IF(J321="スリット",VLOOKUP(F321&amp;K321&amp;R321,製品マスタ!$N$5:$AE$4999,18,FALSE),""))))))</f>
        <v/>
      </c>
      <c r="Y321" s="256">
        <f ca="1">IF(D321="","",IF(T321="","",VLOOKUP(D321,契約台帳!$A$3:$Q$4986,17,FALSE)))</f>
        <v>2</v>
      </c>
      <c r="Z321" s="256" t="str">
        <f ca="1">IF(D321="","",IF(T321="","",VLOOKUP(D321,契約台帳!$A$3:$E$4986,5,FALSE)))</f>
        <v>新タック化成㈱</v>
      </c>
      <c r="AA321" s="54"/>
      <c r="AB321" s="200" t="str">
        <f>IFERROR((VLOOKUP(F321&amp;K321&amp;M321,製品マスタ!$M$5:$AM$4999,27,FALSE)),"")</f>
        <v>原反ケース再利用</v>
      </c>
      <c r="AC321" s="31"/>
      <c r="AD321" s="184"/>
      <c r="AE321" s="51"/>
      <c r="AF321" s="52"/>
      <c r="AG321" s="41"/>
      <c r="AH321" s="45"/>
      <c r="AI321" s="28"/>
      <c r="AJ321" s="28"/>
      <c r="AK321" s="28"/>
      <c r="AL321" s="28"/>
      <c r="AM321" s="12"/>
      <c r="AN321" s="12"/>
      <c r="AO321" s="12"/>
      <c r="AP321" s="12"/>
      <c r="AQ321" s="12"/>
      <c r="AR321" s="13"/>
      <c r="AS321" s="14"/>
    </row>
    <row r="322" spans="1:45" s="16" customFormat="1" ht="30.95" hidden="1" customHeight="1" x14ac:dyDescent="0.2">
      <c r="A322" s="35"/>
      <c r="B322" s="36"/>
      <c r="C322" s="43"/>
      <c r="D322" s="29"/>
      <c r="E322" s="29"/>
      <c r="F322" s="255" t="str">
        <f>IF(D322="","",VLOOKUP(D322,契約台帳!$A$3:$K$4986,6,FALSE)&amp;VLOOKUP(D322,契約台帳!$A$3:$K$4986,7,FALSE)&amp;VLOOKUP(D322,契約台帳!$A$3:$K$4986,8,FALSE)&amp;VLOOKUP(D322,契約台帳!$A$3:$K$4986,9,FALSE)&amp;VLOOKUP(D322,契約台帳!$A$3:$K$4986,11,FALSE))</f>
        <v/>
      </c>
      <c r="G322" s="256" t="str">
        <f>IF(D322="","",VLOOKUP(F322,製品マスタ!$G$5:$H$4999,2,FALSE))</f>
        <v/>
      </c>
      <c r="H322" s="256" t="str">
        <f>IF(D322="","",VLOOKUP(F322,製品マスタ!$G$5:$K$4999,5,FALSE))</f>
        <v/>
      </c>
      <c r="I322" s="200" t="str">
        <f>IF(D322="","",VLOOKUP(F322,製品マスタ!$G$5:$L$4999,6,FALSE))</f>
        <v/>
      </c>
      <c r="J322" s="203"/>
      <c r="K322" s="200" t="str">
        <f>IF(D322="","",VLOOKUP(D322,契約台帳!$A$3:$L$4986,12,FALSE))</f>
        <v/>
      </c>
      <c r="L322" s="200" t="str">
        <f>IF(D322="","",INDEX(製品マスタ!$Q$5:$Q$4999,MATCH('S4'!F322&amp;'S4'!K322,製品マスタ!$AO$5:$AO$4999,0)))</f>
        <v/>
      </c>
      <c r="M322" s="37"/>
      <c r="N322" s="37"/>
      <c r="O322" s="153"/>
      <c r="P322" s="45"/>
      <c r="Q322" s="54"/>
      <c r="R322" s="257" t="str">
        <f ca="1">IF(D322="","",IF(OFFSET(D322,-1,0)&lt;&gt;"","",IF(OR(J322="リード付け",J322="巻足し",J322="巻返しリード付け"),M322,VLOOKUP(D322,契約台帳!$A$3:$N$4986,14,FALSE))))</f>
        <v/>
      </c>
      <c r="S322" s="258" t="str">
        <f ca="1">IF(D322="","",IF(OFFSET(D322,-1,0)&lt;&gt;"","",IF(OR(J322="リード付け",J322="巻足し",J322="巻返しリード付け"),M322,VLOOKUP(D322,契約台帳!$A$3:$O$4986,15,FALSE))))</f>
        <v/>
      </c>
      <c r="T322" s="258" t="str">
        <f ca="1">IF(D322="","",IF(J322="リード付け",N322,IF(J322="巻返しリード付け",N322,IF(J322="巻足し",N322*P322+OFFSET(N322,1,0)*OFFSET(P322,1,0),VLOOKUP(D322,契約台帳!$A$3:$P$4986,16,FALSE)))))</f>
        <v/>
      </c>
      <c r="U322" s="38"/>
      <c r="V322" s="259" t="str">
        <f ca="1">IF(D322="","",IF(OFFSET(D322,-2,0)=D322,"",VLOOKUP(D322,契約台帳!$A$3:$R$4986,18,FALSE)))</f>
        <v/>
      </c>
      <c r="W322" s="256" t="str">
        <f>IF(D322="","",IF(T322="","",IF(OR(J322="巻足し",J322="巻返しリード付け"),"",IF(J322="巻返し",VLOOKUP(F322&amp;K322&amp;M322,製品マスタ!$M$5:$AD$4999,18,FALSE),IF(OR(J322="リード付け",J322="巻返しリード付け"),"原反コア",IF(J322="スリット",VLOOKUP(F322&amp;K322&amp;R322,製品マスタ!$N$5:$AD$4999,17,FALSE),""))))))</f>
        <v/>
      </c>
      <c r="X322" s="256" t="str">
        <f>IF(D322="","",IF(T322="","",IF(J322="巻足し","",IF(J322="巻返し",VLOOKUP(F322&amp;K322&amp;M322,製品マスタ!$M$5:$AE$4999,19,FALSE),IF(OR(J322="リード付け",J322="巻返しリード付け"),"",IF(J322="スリット",VLOOKUP(F322&amp;K322&amp;R322,製品マスタ!$N$5:$AE$4999,18,FALSE),""))))))</f>
        <v/>
      </c>
      <c r="Y322" s="256" t="str">
        <f>IF(D322="","",IF(T322="","",VLOOKUP(D322,契約台帳!$A$3:$Q$4986,17,FALSE)))</f>
        <v/>
      </c>
      <c r="Z322" s="256" t="str">
        <f>IF(D322="","",IF(T322="","",VLOOKUP(D322,契約台帳!$A$3:$E$4986,5,FALSE)))</f>
        <v/>
      </c>
      <c r="AA322" s="54"/>
      <c r="AB322" s="200" t="str">
        <f>IFERROR((VLOOKUP(F322&amp;K322&amp;M322,製品マスタ!$M$5:$AM$4999,27,FALSE)),"")</f>
        <v/>
      </c>
      <c r="AC322" s="31"/>
      <c r="AD322" s="184"/>
      <c r="AE322" s="51"/>
      <c r="AF322" s="52"/>
      <c r="AG322" s="41"/>
      <c r="AH322" s="45"/>
      <c r="AI322" s="28"/>
      <c r="AJ322" s="28"/>
      <c r="AK322" s="28"/>
      <c r="AL322" s="28"/>
      <c r="AM322" s="12"/>
      <c r="AN322" s="12"/>
      <c r="AO322" s="12"/>
      <c r="AP322" s="12"/>
      <c r="AQ322" s="12"/>
      <c r="AR322" s="13"/>
      <c r="AS322" s="14"/>
    </row>
    <row r="323" spans="1:45" s="16" customFormat="1" ht="30.95" hidden="1" customHeight="1" x14ac:dyDescent="0.2">
      <c r="A323" s="35"/>
      <c r="B323" s="36"/>
      <c r="C323" s="43"/>
      <c r="D323" s="29">
        <v>3700952</v>
      </c>
      <c r="E323" s="29">
        <v>4161840</v>
      </c>
      <c r="F323" s="255" t="str">
        <f>IF(D323="","",VLOOKUP(D323,契約台帳!$A$3:$K$4986,6,FALSE)&amp;VLOOKUP(D323,契約台帳!$A$3:$K$4986,7,FALSE)&amp;VLOOKUP(D323,契約台帳!$A$3:$K$4986,8,FALSE)&amp;VLOOKUP(D323,契約台帳!$A$3:$K$4986,9,FALSE)&amp;VLOOKUP(D323,契約台帳!$A$3:$K$4986,11,FALSE))</f>
        <v>3SNMLBMNGKKBF</v>
      </c>
      <c r="G323" s="256" t="str">
        <f>IF(D323="","",VLOOKUP(F323,製品マスタ!$G$5:$H$4999,2,FALSE))</f>
        <v>S</v>
      </c>
      <c r="H323" s="256" t="str">
        <f>IF(D323="","",VLOOKUP(F323,製品マスタ!$G$5:$K$4999,5,FALSE))</f>
        <v>MNGKKBF</v>
      </c>
      <c r="I323" s="200" t="str">
        <f>IF(D323="","",VLOOKUP(F323,製品マスタ!$G$5:$L$4999,6,FALSE))</f>
        <v>メタルミー　ネーマー銀消改　Ｂ</v>
      </c>
      <c r="J323" s="203" t="s">
        <v>935</v>
      </c>
      <c r="K323" s="200">
        <f>IF(D323="","",VLOOKUP(D323,契約台帳!$A$3:$L$4986,12,FALSE))</f>
        <v>50</v>
      </c>
      <c r="L323" s="200" t="str">
        <f>IF(D323="","",INDEX(製品マスタ!$Q$5:$Q$4999,MATCH('S4'!F323&amp;'S4'!K323,製品マスタ!$AO$5:$AO$4999,0)))</f>
        <v>S99-MAT</v>
      </c>
      <c r="M323" s="37">
        <v>1120</v>
      </c>
      <c r="N323" s="37">
        <v>4000</v>
      </c>
      <c r="O323" s="153">
        <v>15</v>
      </c>
      <c r="P323" s="45">
        <v>3</v>
      </c>
      <c r="Q323" s="206">
        <v>44993</v>
      </c>
      <c r="R323" s="257">
        <f ca="1">IF(D323="","",IF(OFFSET(D323,-1,0)&lt;&gt;"","",IF(OR(J323="リード付け",J323="巻足し",J323="巻返しリード付け"),M323,VLOOKUP(D323,契約台帳!$A$3:$N$4986,14,FALSE))))</f>
        <v>1120</v>
      </c>
      <c r="S323" s="258">
        <f ca="1">IF(D323="","",IF(OFFSET(D323,-1,0)&lt;&gt;"","",IF(OR(J323="リード付け",J323="巻足し",J323="巻返しリード付け"),M323,VLOOKUP(D323,契約台帳!$A$3:$O$4986,15,FALSE))))</f>
        <v>1120</v>
      </c>
      <c r="T323" s="258">
        <f ca="1">IF(D323="","",IF(J323="リード付け",N323,IF(J323="巻返しリード付け",N323,IF(J323="巻足し",N323*P323+OFFSET(N323,1,0)*OFFSET(P323,1,0),VLOOKUP(D323,契約台帳!$A$3:$P$4986,16,FALSE)))))</f>
        <v>12000</v>
      </c>
      <c r="U323" s="38">
        <v>5</v>
      </c>
      <c r="V323" s="259">
        <f ca="1">IF(D323="","",IF(OFFSET(D323,-2,0)=D323,"",VLOOKUP(D323,契約台帳!$A$3:$R$4986,18,FALSE)))</f>
        <v>24</v>
      </c>
      <c r="W323" s="256" t="str">
        <f ca="1">IF(D323="","",IF(T323="","",IF(OR(J323="巻足し",J323="巻返しリード付け"),"",IF(J323="巻返し",VLOOKUP(F323&amp;K323&amp;M323,製品マスタ!$M$5:$AD$4999,18,FALSE),IF(OR(J323="リード付け",J323="巻返しリード付け"),"原反コア",IF(J323="スリット",VLOOKUP(F323&amp;K323&amp;R323,製品マスタ!$N$5:$AD$4999,17,FALSE),""))))))</f>
        <v/>
      </c>
      <c r="X323" s="256" t="str">
        <f ca="1">IF(D323="","",IF(T323="","",IF(J323="巻足し","",IF(J323="巻返し",VLOOKUP(F323&amp;K323&amp;M323,製品マスタ!$M$5:$AE$4999,19,FALSE),IF(OR(J323="リード付け",J323="巻返しリード付け"),"",IF(J323="スリット",VLOOKUP(F323&amp;K323&amp;R323,製品マスタ!$N$5:$AE$4999,18,FALSE),""))))))</f>
        <v/>
      </c>
      <c r="Y323" s="256">
        <f ca="1">IF(D323="","",IF(T323="","",VLOOKUP(D323,契約台帳!$A$3:$Q$4986,17,FALSE)))</f>
        <v>2</v>
      </c>
      <c r="Z323" s="256" t="str">
        <f ca="1">IF(D323="","",IF(T323="","",VLOOKUP(D323,契約台帳!$A$3:$E$4986,5,FALSE)))</f>
        <v>リンテック㈱</v>
      </c>
      <c r="AA323" s="54"/>
      <c r="AB323" s="200">
        <f>IFERROR((VLOOKUP(F323&amp;K323&amp;M323,製品マスタ!$M$5:$AM$4999,27,FALSE)),"")</f>
        <v>0</v>
      </c>
      <c r="AC323" s="31"/>
      <c r="AD323" s="184"/>
      <c r="AE323" s="51"/>
      <c r="AF323" s="52"/>
      <c r="AG323" s="41"/>
      <c r="AH323" s="45"/>
      <c r="AI323" s="28"/>
      <c r="AJ323" s="28"/>
      <c r="AK323" s="28"/>
      <c r="AL323" s="28"/>
      <c r="AM323" s="12"/>
      <c r="AN323" s="12"/>
      <c r="AO323" s="12"/>
      <c r="AP323" s="12"/>
      <c r="AQ323" s="12"/>
      <c r="AR323" s="13"/>
      <c r="AS323" s="14"/>
    </row>
    <row r="324" spans="1:45" s="16" customFormat="1" ht="30.95" hidden="1" customHeight="1" x14ac:dyDescent="0.2">
      <c r="A324" s="35"/>
      <c r="B324" s="36"/>
      <c r="C324" s="43"/>
      <c r="D324" s="29"/>
      <c r="E324" s="29"/>
      <c r="F324" s="255" t="str">
        <f>IF(D324="","",VLOOKUP(D324,契約台帳!$A$3:$K$4986,6,FALSE)&amp;VLOOKUP(D324,契約台帳!$A$3:$K$4986,7,FALSE)&amp;VLOOKUP(D324,契約台帳!$A$3:$K$4986,8,FALSE)&amp;VLOOKUP(D324,契約台帳!$A$3:$K$4986,9,FALSE)&amp;VLOOKUP(D324,契約台帳!$A$3:$K$4986,11,FALSE))</f>
        <v/>
      </c>
      <c r="G324" s="256" t="str">
        <f>IF(D324="","",VLOOKUP(F324,製品マスタ!$G$5:$H$4999,2,FALSE))</f>
        <v/>
      </c>
      <c r="H324" s="256" t="str">
        <f>IF(D324="","",VLOOKUP(F324,製品マスタ!$G$5:$K$4999,5,FALSE))</f>
        <v/>
      </c>
      <c r="I324" s="200" t="str">
        <f>IF(D324="","",VLOOKUP(F324,製品マスタ!$G$5:$L$4999,6,FALSE))</f>
        <v/>
      </c>
      <c r="J324" s="203"/>
      <c r="K324" s="200" t="str">
        <f>IF(D324="","",VLOOKUP(D324,契約台帳!$A$3:$L$4986,12,FALSE))</f>
        <v/>
      </c>
      <c r="L324" s="200" t="str">
        <f>IF(D324="","",INDEX(製品マスタ!$Q$5:$Q$4999,MATCH('S4'!F324&amp;'S4'!K324,製品マスタ!$AO$5:$AO$4999,0)))</f>
        <v/>
      </c>
      <c r="M324" s="37"/>
      <c r="N324" s="37"/>
      <c r="O324" s="153"/>
      <c r="P324" s="45"/>
      <c r="Q324" s="54"/>
      <c r="R324" s="257" t="str">
        <f ca="1">IF(D324="","",IF(OFFSET(D324,-1,0)&lt;&gt;"","",IF(OR(J324="リード付け",J324="巻足し",J324="巻返しリード付け"),M324,VLOOKUP(D324,契約台帳!$A$3:$N$4986,14,FALSE))))</f>
        <v/>
      </c>
      <c r="S324" s="258" t="str">
        <f ca="1">IF(D324="","",IF(OFFSET(D324,-1,0)&lt;&gt;"","",IF(OR(J324="リード付け",J324="巻足し",J324="巻返しリード付け"),M324,VLOOKUP(D324,契約台帳!$A$3:$O$4986,15,FALSE))))</f>
        <v/>
      </c>
      <c r="T324" s="258" t="str">
        <f ca="1">IF(D324="","",IF(J324="リード付け",N324,IF(J324="巻返しリード付け",N324,IF(J324="巻足し",N324*P324+OFFSET(N324,1,0)*OFFSET(P324,1,0),VLOOKUP(D324,契約台帳!$A$3:$P$4986,16,FALSE)))))</f>
        <v/>
      </c>
      <c r="U324" s="38"/>
      <c r="V324" s="259" t="str">
        <f ca="1">IF(D324="","",IF(OFFSET(D324,-2,0)=D324,"",VLOOKUP(D324,契約台帳!$A$3:$R$4986,18,FALSE)))</f>
        <v/>
      </c>
      <c r="W324" s="256" t="str">
        <f>IF(D324="","",IF(T324="","",IF(OR(J324="巻足し",J324="巻返しリード付け"),"",IF(J324="巻返し",VLOOKUP(F324&amp;K324&amp;M324,製品マスタ!$M$5:$AD$4999,18,FALSE),IF(OR(J324="リード付け",J324="巻返しリード付け"),"原反コア",IF(J324="スリット",VLOOKUP(F324&amp;K324&amp;R324,製品マスタ!$N$5:$AD$4999,17,FALSE),""))))))</f>
        <v/>
      </c>
      <c r="X324" s="256" t="str">
        <f>IF(D324="","",IF(T324="","",IF(J324="巻足し","",IF(J324="巻返し",VLOOKUP(F324&amp;K324&amp;M324,製品マスタ!$M$5:$AE$4999,19,FALSE),IF(OR(J324="リード付け",J324="巻返しリード付け"),"",IF(J324="スリット",VLOOKUP(F324&amp;K324&amp;R324,製品マスタ!$N$5:$AE$4999,18,FALSE),""))))))</f>
        <v/>
      </c>
      <c r="Y324" s="256" t="str">
        <f>IF(D324="","",IF(T324="","",VLOOKUP(D324,契約台帳!$A$3:$Q$4986,17,FALSE)))</f>
        <v/>
      </c>
      <c r="Z324" s="256" t="str">
        <f>IF(D324="","",IF(T324="","",VLOOKUP(D324,契約台帳!$A$3:$E$4986,5,FALSE)))</f>
        <v/>
      </c>
      <c r="AA324" s="54"/>
      <c r="AB324" s="200" t="str">
        <f>IFERROR((VLOOKUP(F324&amp;K324&amp;M324,製品マスタ!$M$5:$AM$4999,27,FALSE)),"")</f>
        <v/>
      </c>
      <c r="AC324" s="31"/>
      <c r="AD324" s="184"/>
      <c r="AE324" s="51"/>
      <c r="AF324" s="52"/>
      <c r="AG324" s="41"/>
      <c r="AH324" s="45"/>
      <c r="AI324" s="28"/>
      <c r="AJ324" s="28"/>
      <c r="AK324" s="28"/>
      <c r="AL324" s="28"/>
      <c r="AM324" s="12"/>
      <c r="AN324" s="12"/>
      <c r="AO324" s="12"/>
      <c r="AP324" s="12"/>
      <c r="AQ324" s="12"/>
      <c r="AR324" s="13"/>
      <c r="AS324" s="14"/>
    </row>
    <row r="325" spans="1:45" s="16" customFormat="1" ht="30.95" hidden="1" customHeight="1" x14ac:dyDescent="0.2">
      <c r="A325" s="35" t="s">
        <v>950</v>
      </c>
      <c r="B325" s="36" t="s">
        <v>939</v>
      </c>
      <c r="C325" s="43"/>
      <c r="D325" s="29">
        <v>3700952</v>
      </c>
      <c r="E325" s="29">
        <v>4161840</v>
      </c>
      <c r="F325" s="255" t="str">
        <f>IF(D325="","",VLOOKUP(D325,契約台帳!$A$3:$K$4986,6,FALSE)&amp;VLOOKUP(D325,契約台帳!$A$3:$K$4986,7,FALSE)&amp;VLOOKUP(D325,契約台帳!$A$3:$K$4986,8,FALSE)&amp;VLOOKUP(D325,契約台帳!$A$3:$K$4986,9,FALSE)&amp;VLOOKUP(D325,契約台帳!$A$3:$K$4986,11,FALSE))</f>
        <v>3SNMLBMNGKKBF</v>
      </c>
      <c r="G325" s="256" t="str">
        <f>IF(D325="","",VLOOKUP(F325,製品マスタ!$G$5:$H$4999,2,FALSE))</f>
        <v>S</v>
      </c>
      <c r="H325" s="256" t="str">
        <f>IF(D325="","",VLOOKUP(F325,製品マスタ!$G$5:$K$4999,5,FALSE))</f>
        <v>MNGKKBF</v>
      </c>
      <c r="I325" s="200" t="str">
        <f>IF(D325="","",VLOOKUP(F325,製品マスタ!$G$5:$L$4999,6,FALSE))</f>
        <v>メタルミー　ネーマー銀消改　Ｂ</v>
      </c>
      <c r="J325" s="203" t="s">
        <v>935</v>
      </c>
      <c r="K325" s="200">
        <f>IF(D325="","",VLOOKUP(D325,契約台帳!$A$3:$L$4986,12,FALSE))</f>
        <v>50</v>
      </c>
      <c r="L325" s="200" t="str">
        <f>IF(D325="","",INDEX(製品マスタ!$Q$5:$Q$4999,MATCH('S4'!F325&amp;'S4'!K325,製品マスタ!$AO$5:$AO$4999,0)))</f>
        <v>S99-MAT</v>
      </c>
      <c r="M325" s="37">
        <v>1120</v>
      </c>
      <c r="N325" s="37">
        <v>4000</v>
      </c>
      <c r="O325" s="153">
        <v>9</v>
      </c>
      <c r="P325" s="45">
        <v>3</v>
      </c>
      <c r="Q325" s="206">
        <v>44993</v>
      </c>
      <c r="R325" s="257">
        <f ca="1">IF(D325="","",IF(OFFSET(D325,-1,0)&lt;&gt;"","",IF(OR(J325="リード付け",J325="巻足し",J325="巻返しリード付け"),M325,VLOOKUP(D325,契約台帳!$A$3:$N$4986,14,FALSE))))</f>
        <v>1120</v>
      </c>
      <c r="S325" s="258">
        <f ca="1">IF(D325="","",IF(OFFSET(D325,-1,0)&lt;&gt;"","",IF(OR(J325="リード付け",J325="巻足し",J325="巻返しリード付け"),M325,VLOOKUP(D325,契約台帳!$A$3:$O$4986,15,FALSE))))</f>
        <v>1120</v>
      </c>
      <c r="T325" s="258">
        <f ca="1">IF(D325="","",IF(J325="リード付け",N325,IF(J325="巻返しリード付け",N325,IF(J325="巻足し",N325*P325+OFFSET(N325,1,0)*OFFSET(P325,1,0),VLOOKUP(D325,契約台帳!$A$3:$P$4986,16,FALSE)))))</f>
        <v>12000</v>
      </c>
      <c r="U325" s="38">
        <v>3</v>
      </c>
      <c r="V325" s="259" t="str">
        <f ca="1">IF(D325="","",IF(OFFSET(D325,-2,0)=D325,"",VLOOKUP(D325,契約台帳!$A$3:$R$4986,18,FALSE)))</f>
        <v/>
      </c>
      <c r="W325" s="256" t="str">
        <f ca="1">IF(D325="","",IF(T325="","",IF(OR(J325="巻足し",J325="巻返しリード付け"),"",IF(J325="巻返し",VLOOKUP(F325&amp;K325&amp;M325,製品マスタ!$M$5:$AD$4999,18,FALSE),IF(OR(J325="リード付け",J325="巻返しリード付け"),"原反コア",IF(J325="スリット",VLOOKUP(F325&amp;K325&amp;R325,製品マスタ!$N$5:$AD$4999,17,FALSE),""))))))</f>
        <v/>
      </c>
      <c r="X325" s="256" t="str">
        <f ca="1">IF(D325="","",IF(T325="","",IF(J325="巻足し","",IF(J325="巻返し",VLOOKUP(F325&amp;K325&amp;M325,製品マスタ!$M$5:$AE$4999,19,FALSE),IF(OR(J325="リード付け",J325="巻返しリード付け"),"",IF(J325="スリット",VLOOKUP(F325&amp;K325&amp;R325,製品マスタ!$N$5:$AE$4999,18,FALSE),""))))))</f>
        <v/>
      </c>
      <c r="Y325" s="256">
        <f ca="1">IF(D325="","",IF(T325="","",VLOOKUP(D325,契約台帳!$A$3:$Q$4986,17,FALSE)))</f>
        <v>2</v>
      </c>
      <c r="Z325" s="256" t="str">
        <f ca="1">IF(D325="","",IF(T325="","",VLOOKUP(D325,契約台帳!$A$3:$E$4986,5,FALSE)))</f>
        <v>リンテック㈱</v>
      </c>
      <c r="AA325" s="54"/>
      <c r="AB325" s="200">
        <f>IFERROR((VLOOKUP(F325&amp;K325&amp;M325,製品マスタ!$M$5:$AM$4999,27,FALSE)),"")</f>
        <v>0</v>
      </c>
      <c r="AC325" s="31"/>
      <c r="AD325" s="184"/>
      <c r="AE325" s="51"/>
      <c r="AF325" s="52"/>
      <c r="AG325" s="41"/>
      <c r="AH325" s="45"/>
      <c r="AI325" s="28"/>
      <c r="AJ325" s="28"/>
      <c r="AK325" s="28"/>
      <c r="AL325" s="28"/>
      <c r="AM325" s="12"/>
      <c r="AN325" s="12"/>
      <c r="AO325" s="12"/>
      <c r="AP325" s="12"/>
      <c r="AQ325" s="12"/>
      <c r="AR325" s="13"/>
      <c r="AS325" s="14"/>
    </row>
    <row r="326" spans="1:45" s="16" customFormat="1" ht="30.95" hidden="1" customHeight="1" x14ac:dyDescent="0.2">
      <c r="A326" s="35"/>
      <c r="B326" s="36"/>
      <c r="C326" s="43"/>
      <c r="D326" s="29"/>
      <c r="E326" s="29"/>
      <c r="F326" s="255" t="str">
        <f>IF(D326="","",VLOOKUP(D326,契約台帳!$A$3:$K$4986,6,FALSE)&amp;VLOOKUP(D326,契約台帳!$A$3:$K$4986,7,FALSE)&amp;VLOOKUP(D326,契約台帳!$A$3:$K$4986,8,FALSE)&amp;VLOOKUP(D326,契約台帳!$A$3:$K$4986,9,FALSE)&amp;VLOOKUP(D326,契約台帳!$A$3:$K$4986,11,FALSE))</f>
        <v/>
      </c>
      <c r="G326" s="256" t="str">
        <f>IF(D326="","",VLOOKUP(F326,製品マスタ!$G$5:$H$4999,2,FALSE))</f>
        <v/>
      </c>
      <c r="H326" s="256" t="str">
        <f>IF(D326="","",VLOOKUP(F326,製品マスタ!$G$5:$K$4999,5,FALSE))</f>
        <v/>
      </c>
      <c r="I326" s="200" t="str">
        <f>IF(D326="","",VLOOKUP(F326,製品マスタ!$G$5:$L$4999,6,FALSE))</f>
        <v/>
      </c>
      <c r="J326" s="203"/>
      <c r="K326" s="200" t="str">
        <f>IF(D326="","",VLOOKUP(D326,契約台帳!$A$3:$L$4986,12,FALSE))</f>
        <v/>
      </c>
      <c r="L326" s="200" t="str">
        <f>IF(D326="","",INDEX(製品マスタ!$Q$5:$Q$4999,MATCH('S4'!F326&amp;'S4'!K326,製品マスタ!$AO$5:$AO$4999,0)))</f>
        <v/>
      </c>
      <c r="M326" s="37"/>
      <c r="N326" s="37"/>
      <c r="O326" s="153"/>
      <c r="P326" s="45"/>
      <c r="Q326" s="54"/>
      <c r="R326" s="257" t="str">
        <f ca="1">IF(D326="","",IF(OFFSET(D326,-1,0)&lt;&gt;"","",IF(OR(J326="リード付け",J326="巻足し",J326="巻返しリード付け"),M326,VLOOKUP(D326,契約台帳!$A$3:$N$4986,14,FALSE))))</f>
        <v/>
      </c>
      <c r="S326" s="258" t="str">
        <f ca="1">IF(D326="","",IF(OFFSET(D326,-1,0)&lt;&gt;"","",IF(OR(J326="リード付け",J326="巻足し",J326="巻返しリード付け"),M326,VLOOKUP(D326,契約台帳!$A$3:$O$4986,15,FALSE))))</f>
        <v/>
      </c>
      <c r="T326" s="258" t="str">
        <f ca="1">IF(D326="","",IF(J326="リード付け",N326,IF(J326="巻返しリード付け",N326,IF(J326="巻足し",N326*P326+OFFSET(N326,1,0)*OFFSET(P326,1,0),VLOOKUP(D326,契約台帳!$A$3:$P$4986,16,FALSE)))))</f>
        <v/>
      </c>
      <c r="U326" s="38"/>
      <c r="V326" s="259" t="str">
        <f ca="1">IF(D326="","",IF(OFFSET(D326,-2,0)=D326,"",VLOOKUP(D326,契約台帳!$A$3:$R$4986,18,FALSE)))</f>
        <v/>
      </c>
      <c r="W326" s="256" t="str">
        <f>IF(D326="","",IF(T326="","",IF(OR(J326="巻足し",J326="巻返しリード付け"),"",IF(J326="巻返し",VLOOKUP(F326&amp;K326&amp;M326,製品マスタ!$M$5:$AD$4999,18,FALSE),IF(OR(J326="リード付け",J326="巻返しリード付け"),"原反コア",IF(J326="スリット",VLOOKUP(F326&amp;K326&amp;R326,製品マスタ!$N$5:$AD$4999,17,FALSE),""))))))</f>
        <v/>
      </c>
      <c r="X326" s="256" t="str">
        <f>IF(D326="","",IF(T326="","",IF(J326="巻足し","",IF(J326="巻返し",VLOOKUP(F326&amp;K326&amp;M326,製品マスタ!$M$5:$AE$4999,19,FALSE),IF(OR(J326="リード付け",J326="巻返しリード付け"),"",IF(J326="スリット",VLOOKUP(F326&amp;K326&amp;R326,製品マスタ!$N$5:$AE$4999,18,FALSE),""))))))</f>
        <v/>
      </c>
      <c r="Y326" s="256" t="str">
        <f>IF(D326="","",IF(T326="","",VLOOKUP(D326,契約台帳!$A$3:$Q$4986,17,FALSE)))</f>
        <v/>
      </c>
      <c r="Z326" s="256" t="str">
        <f>IF(D326="","",IF(T326="","",VLOOKUP(D326,契約台帳!$A$3:$E$4986,5,FALSE)))</f>
        <v/>
      </c>
      <c r="AA326" s="54"/>
      <c r="AB326" s="200" t="str">
        <f>IFERROR((VLOOKUP(F326&amp;K326&amp;M326,製品マスタ!$M$5:$AM$4999,27,FALSE)),"")</f>
        <v/>
      </c>
      <c r="AC326" s="31"/>
      <c r="AD326" s="184"/>
      <c r="AE326" s="51"/>
      <c r="AF326" s="52"/>
      <c r="AG326" s="41"/>
      <c r="AH326" s="45"/>
      <c r="AI326" s="28"/>
      <c r="AJ326" s="28"/>
      <c r="AK326" s="28"/>
      <c r="AL326" s="28"/>
      <c r="AM326" s="12"/>
      <c r="AN326" s="12"/>
      <c r="AO326" s="12"/>
      <c r="AP326" s="12"/>
      <c r="AQ326" s="12"/>
      <c r="AR326" s="13"/>
      <c r="AS326" s="14"/>
    </row>
    <row r="327" spans="1:45" s="16" customFormat="1" ht="30.95" hidden="1" customHeight="1" x14ac:dyDescent="0.2">
      <c r="A327" s="35"/>
      <c r="B327" s="36"/>
      <c r="C327" s="43"/>
      <c r="D327" s="29">
        <v>3700963</v>
      </c>
      <c r="E327" s="29">
        <v>4161858</v>
      </c>
      <c r="F327" s="255" t="str">
        <f>IF(D327="","",VLOOKUP(D327,契約台帳!$A$3:$K$4986,6,FALSE)&amp;VLOOKUP(D327,契約台帳!$A$3:$K$4986,7,FALSE)&amp;VLOOKUP(D327,契約台帳!$A$3:$K$4986,8,FALSE)&amp;VLOOKUP(D327,契約台帳!$A$3:$K$4986,9,FALSE)&amp;VLOOKUP(D327,契約台帳!$A$3:$K$4986,11,FALSE))</f>
        <v>3SNMLBMNQR66F</v>
      </c>
      <c r="G327" s="256" t="str">
        <f>IF(D327="","",VLOOKUP(F327,製品マスタ!$G$5:$H$4999,2,FALSE))</f>
        <v>S</v>
      </c>
      <c r="H327" s="256" t="str">
        <f>IF(D327="","",VLOOKUP(F327,製品マスタ!$G$5:$K$4999,5,FALSE))</f>
        <v>MNQR66F</v>
      </c>
      <c r="I327" s="200" t="str">
        <f>IF(D327="","",VLOOKUP(F327,製品マスタ!$G$5:$L$4999,6,FALSE))</f>
        <v>ＱＲ６６蒸着品</v>
      </c>
      <c r="J327" s="203" t="s">
        <v>935</v>
      </c>
      <c r="K327" s="200">
        <f>IF(D327="","",VLOOKUP(D327,契約台帳!$A$3:$L$4986,12,FALSE))</f>
        <v>25</v>
      </c>
      <c r="L327" s="200" t="str">
        <f>IF(D327="","",INDEX(製品マスタ!$Q$5:$Q$4999,MATCH('S4'!F327&amp;'S4'!K327,製品マスタ!$AO$5:$AO$4999,0)))</f>
        <v>E315</v>
      </c>
      <c r="M327" s="37">
        <v>1100</v>
      </c>
      <c r="N327" s="37">
        <v>6000</v>
      </c>
      <c r="O327" s="153">
        <v>12</v>
      </c>
      <c r="P327" s="45">
        <v>4</v>
      </c>
      <c r="Q327" s="206">
        <v>44991</v>
      </c>
      <c r="R327" s="257">
        <f ca="1">IF(D327="","",IF(OFFSET(D327,-1,0)&lt;&gt;"","",IF(OR(J327="リード付け",J327="巻足し",J327="巻返しリード付け"),M327,VLOOKUP(D327,契約台帳!$A$3:$N$4986,14,FALSE))))</f>
        <v>1100</v>
      </c>
      <c r="S327" s="258">
        <f ca="1">IF(D327="","",IF(OFFSET(D327,-1,0)&lt;&gt;"","",IF(OR(J327="リード付け",J327="巻足し",J327="巻返しリード付け"),M327,VLOOKUP(D327,契約台帳!$A$3:$O$4986,15,FALSE))))</f>
        <v>1100</v>
      </c>
      <c r="T327" s="258">
        <f ca="1">IF(D327="","",IF(J327="リード付け",N327,IF(J327="巻返しリード付け",N327,IF(J327="巻足し",N327*P327+OFFSET(N327,1,0)*OFFSET(P327,1,0),VLOOKUP(D327,契約台帳!$A$3:$P$4986,16,FALSE)))))</f>
        <v>24000</v>
      </c>
      <c r="U327" s="38">
        <v>3</v>
      </c>
      <c r="V327" s="259">
        <f ca="1">IF(D327="","",IF(OFFSET(D327,-2,0)=D327,"",VLOOKUP(D327,契約台帳!$A$3:$R$4986,18,FALSE)))</f>
        <v>18</v>
      </c>
      <c r="W327" s="256" t="str">
        <f ca="1">IF(D327="","",IF(T327="","",IF(OR(J327="巻足し",J327="巻返しリード付け"),"",IF(J327="巻返し",VLOOKUP(F327&amp;K327&amp;M327,製品マスタ!$M$5:$AD$4999,18,FALSE),IF(OR(J327="リード付け",J327="巻返しリード付け"),"原反コア",IF(J327="スリット",VLOOKUP(F327&amp;K327&amp;R327,製品マスタ!$N$5:$AD$4999,17,FALSE),""))))))</f>
        <v/>
      </c>
      <c r="X327" s="256" t="str">
        <f ca="1">IF(D327="","",IF(T327="","",IF(J327="巻足し","",IF(J327="巻返し",VLOOKUP(F327&amp;K327&amp;M327,製品マスタ!$M$5:$AE$4999,19,FALSE),IF(OR(J327="リード付け",J327="巻返しリード付け"),"",IF(J327="スリット",VLOOKUP(F327&amp;K327&amp;R327,製品マスタ!$N$5:$AE$4999,18,FALSE),""))))))</f>
        <v/>
      </c>
      <c r="Y327" s="256">
        <f ca="1">IF(D327="","",IF(T327="","",VLOOKUP(D327,契約台帳!$A$3:$Q$4986,17,FALSE)))</f>
        <v>2</v>
      </c>
      <c r="Z327" s="256" t="str">
        <f ca="1">IF(D327="","",IF(T327="","",VLOOKUP(D327,契約台帳!$A$3:$E$4986,5,FALSE)))</f>
        <v>リンテック㈱</v>
      </c>
      <c r="AA327" s="54"/>
      <c r="AB327" s="200" t="str">
        <f>IFERROR((VLOOKUP(F327&amp;K327&amp;M327,製品マスタ!$M$5:$AM$4999,27,FALSE)),"")</f>
        <v>原反ケース再利用</v>
      </c>
      <c r="AC327" s="31"/>
      <c r="AD327" s="184"/>
      <c r="AE327" s="51"/>
      <c r="AF327" s="52"/>
      <c r="AG327" s="41"/>
      <c r="AH327" s="45"/>
      <c r="AI327" s="28"/>
      <c r="AJ327" s="28"/>
      <c r="AK327" s="28"/>
      <c r="AL327" s="28"/>
      <c r="AM327" s="12"/>
      <c r="AN327" s="12"/>
      <c r="AO327" s="12"/>
      <c r="AP327" s="12"/>
      <c r="AQ327" s="12"/>
      <c r="AR327" s="13"/>
      <c r="AS327" s="14"/>
    </row>
    <row r="328" spans="1:45" s="16" customFormat="1" ht="30.95" hidden="1" customHeight="1" x14ac:dyDescent="0.2">
      <c r="A328" s="35"/>
      <c r="B328" s="36"/>
      <c r="C328" s="43"/>
      <c r="D328" s="29"/>
      <c r="E328" s="29"/>
      <c r="F328" s="255" t="str">
        <f>IF(D328="","",VLOOKUP(D328,契約台帳!$A$3:$K$4986,6,FALSE)&amp;VLOOKUP(D328,契約台帳!$A$3:$K$4986,7,FALSE)&amp;VLOOKUP(D328,契約台帳!$A$3:$K$4986,8,FALSE)&amp;VLOOKUP(D328,契約台帳!$A$3:$K$4986,9,FALSE)&amp;VLOOKUP(D328,契約台帳!$A$3:$K$4986,11,FALSE))</f>
        <v/>
      </c>
      <c r="G328" s="256" t="str">
        <f>IF(D328="","",VLOOKUP(F328,製品マスタ!$G$5:$H$4999,2,FALSE))</f>
        <v/>
      </c>
      <c r="H328" s="256" t="str">
        <f>IF(D328="","",VLOOKUP(F328,製品マスタ!$G$5:$K$4999,5,FALSE))</f>
        <v/>
      </c>
      <c r="I328" s="200" t="str">
        <f>IF(D328="","",VLOOKUP(F328,製品マスタ!$G$5:$L$4999,6,FALSE))</f>
        <v/>
      </c>
      <c r="J328" s="203"/>
      <c r="K328" s="200" t="str">
        <f>IF(D328="","",VLOOKUP(D328,契約台帳!$A$3:$L$4986,12,FALSE))</f>
        <v/>
      </c>
      <c r="L328" s="200" t="str">
        <f>IF(D328="","",INDEX(製品マスタ!$Q$5:$Q$4999,MATCH('S4'!F328&amp;'S4'!K328,製品マスタ!$AO$5:$AO$4999,0)))</f>
        <v/>
      </c>
      <c r="M328" s="37"/>
      <c r="N328" s="37"/>
      <c r="O328" s="153"/>
      <c r="P328" s="45"/>
      <c r="Q328" s="54"/>
      <c r="R328" s="257" t="str">
        <f ca="1">IF(D328="","",IF(OFFSET(D328,-1,0)&lt;&gt;"","",IF(OR(J328="リード付け",J328="巻足し",J328="巻返しリード付け"),M328,VLOOKUP(D328,契約台帳!$A$3:$N$4986,14,FALSE))))</f>
        <v/>
      </c>
      <c r="S328" s="258" t="str">
        <f ca="1">IF(D328="","",IF(OFFSET(D328,-1,0)&lt;&gt;"","",IF(OR(J328="リード付け",J328="巻足し",J328="巻返しリード付け"),M328,VLOOKUP(D328,契約台帳!$A$3:$O$4986,15,FALSE))))</f>
        <v/>
      </c>
      <c r="T328" s="258" t="str">
        <f ca="1">IF(D328="","",IF(J328="リード付け",N328,IF(J328="巻返しリード付け",N328,IF(J328="巻足し",N328*P328+OFFSET(N328,1,0)*OFFSET(P328,1,0),VLOOKUP(D328,契約台帳!$A$3:$P$4986,16,FALSE)))))</f>
        <v/>
      </c>
      <c r="U328" s="38"/>
      <c r="V328" s="259" t="str">
        <f ca="1">IF(D328="","",IF(OFFSET(D328,-2,0)=D328,"",VLOOKUP(D328,契約台帳!$A$3:$R$4986,18,FALSE)))</f>
        <v/>
      </c>
      <c r="W328" s="256" t="str">
        <f>IF(D328="","",IF(T328="","",IF(OR(J328="巻足し",J328="巻返しリード付け"),"",IF(J328="巻返し",VLOOKUP(F328&amp;K328&amp;M328,製品マスタ!$M$5:$AD$4999,18,FALSE),IF(OR(J328="リード付け",J328="巻返しリード付け"),"原反コア",IF(J328="スリット",VLOOKUP(F328&amp;K328&amp;R328,製品マスタ!$N$5:$AD$4999,17,FALSE),""))))))</f>
        <v/>
      </c>
      <c r="X328" s="256" t="str">
        <f>IF(D328="","",IF(T328="","",IF(J328="巻足し","",IF(J328="巻返し",VLOOKUP(F328&amp;K328&amp;M328,製品マスタ!$M$5:$AE$4999,19,FALSE),IF(OR(J328="リード付け",J328="巻返しリード付け"),"",IF(J328="スリット",VLOOKUP(F328&amp;K328&amp;R328,製品マスタ!$N$5:$AE$4999,18,FALSE),""))))))</f>
        <v/>
      </c>
      <c r="Y328" s="256" t="str">
        <f>IF(D328="","",IF(T328="","",VLOOKUP(D328,契約台帳!$A$3:$Q$4986,17,FALSE)))</f>
        <v/>
      </c>
      <c r="Z328" s="256" t="str">
        <f>IF(D328="","",IF(T328="","",VLOOKUP(D328,契約台帳!$A$3:$E$4986,5,FALSE)))</f>
        <v/>
      </c>
      <c r="AA328" s="54"/>
      <c r="AB328" s="200" t="str">
        <f>IFERROR((VLOOKUP(F328&amp;K328&amp;M328,製品マスタ!$M$5:$AM$4999,27,FALSE)),"")</f>
        <v/>
      </c>
      <c r="AC328" s="31"/>
      <c r="AD328" s="184"/>
      <c r="AE328" s="51"/>
      <c r="AF328" s="52"/>
      <c r="AG328" s="41"/>
      <c r="AH328" s="45"/>
      <c r="AI328" s="28"/>
      <c r="AJ328" s="28"/>
      <c r="AK328" s="28"/>
      <c r="AL328" s="28"/>
      <c r="AM328" s="12"/>
      <c r="AN328" s="12"/>
      <c r="AO328" s="12"/>
      <c r="AP328" s="12"/>
      <c r="AQ328" s="12"/>
      <c r="AR328" s="13"/>
      <c r="AS328" s="14"/>
    </row>
    <row r="329" spans="1:45" s="16" customFormat="1" ht="30.95" hidden="1" customHeight="1" x14ac:dyDescent="0.2">
      <c r="A329" s="35" t="s">
        <v>951</v>
      </c>
      <c r="B329" s="36" t="s">
        <v>941</v>
      </c>
      <c r="C329" s="43"/>
      <c r="D329" s="29">
        <v>3700963</v>
      </c>
      <c r="E329" s="29">
        <v>4161858</v>
      </c>
      <c r="F329" s="255" t="str">
        <f>IF(D329="","",VLOOKUP(D329,契約台帳!$A$3:$K$4986,6,FALSE)&amp;VLOOKUP(D329,契約台帳!$A$3:$K$4986,7,FALSE)&amp;VLOOKUP(D329,契約台帳!$A$3:$K$4986,8,FALSE)&amp;VLOOKUP(D329,契約台帳!$A$3:$K$4986,9,FALSE)&amp;VLOOKUP(D329,契約台帳!$A$3:$K$4986,11,FALSE))</f>
        <v>3SNMLBMNQR66F</v>
      </c>
      <c r="G329" s="256" t="str">
        <f>IF(D329="","",VLOOKUP(F329,製品マスタ!$G$5:$H$4999,2,FALSE))</f>
        <v>S</v>
      </c>
      <c r="H329" s="256" t="str">
        <f>IF(D329="","",VLOOKUP(F329,製品マスタ!$G$5:$K$4999,5,FALSE))</f>
        <v>MNQR66F</v>
      </c>
      <c r="I329" s="200" t="str">
        <f>IF(D329="","",VLOOKUP(F329,製品マスタ!$G$5:$L$4999,6,FALSE))</f>
        <v>ＱＲ６６蒸着品</v>
      </c>
      <c r="J329" s="203" t="s">
        <v>935</v>
      </c>
      <c r="K329" s="200">
        <f>IF(D329="","",VLOOKUP(D329,契約台帳!$A$3:$L$4986,12,FALSE))</f>
        <v>25</v>
      </c>
      <c r="L329" s="200" t="str">
        <f>IF(D329="","",INDEX(製品マスタ!$Q$5:$Q$4999,MATCH('S4'!F329&amp;'S4'!K329,製品マスタ!$AO$5:$AO$4999,0)))</f>
        <v>E315</v>
      </c>
      <c r="M329" s="37">
        <v>1100</v>
      </c>
      <c r="N329" s="37">
        <v>6000</v>
      </c>
      <c r="O329" s="153">
        <v>6</v>
      </c>
      <c r="P329" s="45">
        <v>3</v>
      </c>
      <c r="Q329" s="206">
        <v>44991</v>
      </c>
      <c r="R329" s="257">
        <f ca="1">IF(D329="","",IF(OFFSET(D329,-1,0)&lt;&gt;"","",IF(OR(J329="リード付け",J329="巻足し",J329="巻返しリード付け"),M329,VLOOKUP(D329,契約台帳!$A$3:$N$4986,14,FALSE))))</f>
        <v>1100</v>
      </c>
      <c r="S329" s="258">
        <f ca="1">IF(D329="","",IF(OFFSET(D329,-1,0)&lt;&gt;"","",IF(OR(J329="リード付け",J329="巻足し",J329="巻返しリード付け"),M329,VLOOKUP(D329,契約台帳!$A$3:$O$4986,15,FALSE))))</f>
        <v>1100</v>
      </c>
      <c r="T329" s="258">
        <f ca="1">IF(D329="","",IF(J329="リード付け",N329,IF(J329="巻返しリード付け",N329,IF(J329="巻足し",N329*P329+OFFSET(N329,1,0)*OFFSET(P329,1,0),VLOOKUP(D329,契約台帳!$A$3:$P$4986,16,FALSE)))))</f>
        <v>18000</v>
      </c>
      <c r="U329" s="38">
        <v>2</v>
      </c>
      <c r="V329" s="259" t="str">
        <f ca="1">IF(D329="","",IF(OFFSET(D329,-2,0)=D329,"",VLOOKUP(D329,契約台帳!$A$3:$R$4986,18,FALSE)))</f>
        <v/>
      </c>
      <c r="W329" s="256" t="str">
        <f ca="1">IF(D329="","",IF(T329="","",IF(OR(J329="巻足し",J329="巻返しリード付け"),"",IF(J329="巻返し",VLOOKUP(F329&amp;K329&amp;M329,製品マスタ!$M$5:$AD$4999,18,FALSE),IF(OR(J329="リード付け",J329="巻返しリード付け"),"原反コア",IF(J329="スリット",VLOOKUP(F329&amp;K329&amp;R329,製品マスタ!$N$5:$AD$4999,17,FALSE),""))))))</f>
        <v/>
      </c>
      <c r="X329" s="256" t="str">
        <f ca="1">IF(D329="","",IF(T329="","",IF(J329="巻足し","",IF(J329="巻返し",VLOOKUP(F329&amp;K329&amp;M329,製品マスタ!$M$5:$AE$4999,19,FALSE),IF(OR(J329="リード付け",J329="巻返しリード付け"),"",IF(J329="スリット",VLOOKUP(F329&amp;K329&amp;R329,製品マスタ!$N$5:$AE$4999,18,FALSE),""))))))</f>
        <v/>
      </c>
      <c r="Y329" s="256">
        <f ca="1">IF(D329="","",IF(T329="","",VLOOKUP(D329,契約台帳!$A$3:$Q$4986,17,FALSE)))</f>
        <v>2</v>
      </c>
      <c r="Z329" s="256" t="str">
        <f ca="1">IF(D329="","",IF(T329="","",VLOOKUP(D329,契約台帳!$A$3:$E$4986,5,FALSE)))</f>
        <v>リンテック㈱</v>
      </c>
      <c r="AA329" s="54"/>
      <c r="AB329" s="200" t="str">
        <f>IFERROR((VLOOKUP(F329&amp;K329&amp;M329,製品マスタ!$M$5:$AM$4999,27,FALSE)),"")</f>
        <v>原反ケース再利用</v>
      </c>
      <c r="AC329" s="31"/>
      <c r="AD329" s="184"/>
      <c r="AE329" s="51"/>
      <c r="AF329" s="52"/>
      <c r="AG329" s="41"/>
      <c r="AH329" s="45"/>
      <c r="AI329" s="28"/>
      <c r="AJ329" s="28"/>
      <c r="AK329" s="28"/>
      <c r="AL329" s="28"/>
      <c r="AM329" s="12"/>
      <c r="AN329" s="12"/>
      <c r="AO329" s="12"/>
      <c r="AP329" s="12"/>
      <c r="AQ329" s="12"/>
      <c r="AR329" s="13"/>
      <c r="AS329" s="14"/>
    </row>
    <row r="330" spans="1:45" s="16" customFormat="1" ht="30.95" hidden="1" customHeight="1" x14ac:dyDescent="0.2">
      <c r="A330" s="35"/>
      <c r="B330" s="36"/>
      <c r="C330" s="43"/>
      <c r="D330" s="29"/>
      <c r="E330" s="29"/>
      <c r="F330" s="255" t="str">
        <f>IF(D330="","",VLOOKUP(D330,契約台帳!$A$3:$K$4986,6,FALSE)&amp;VLOOKUP(D330,契約台帳!$A$3:$K$4986,7,FALSE)&amp;VLOOKUP(D330,契約台帳!$A$3:$K$4986,8,FALSE)&amp;VLOOKUP(D330,契約台帳!$A$3:$K$4986,9,FALSE)&amp;VLOOKUP(D330,契約台帳!$A$3:$K$4986,11,FALSE))</f>
        <v/>
      </c>
      <c r="G330" s="256" t="str">
        <f>IF(D330="","",VLOOKUP(F330,製品マスタ!$G$5:$H$4999,2,FALSE))</f>
        <v/>
      </c>
      <c r="H330" s="256" t="str">
        <f>IF(D330="","",VLOOKUP(F330,製品マスタ!$G$5:$K$4999,5,FALSE))</f>
        <v/>
      </c>
      <c r="I330" s="200" t="str">
        <f>IF(D330="","",VLOOKUP(F330,製品マスタ!$G$5:$L$4999,6,FALSE))</f>
        <v/>
      </c>
      <c r="J330" s="203"/>
      <c r="K330" s="200" t="str">
        <f>IF(D330="","",VLOOKUP(D330,契約台帳!$A$3:$L$4986,12,FALSE))</f>
        <v/>
      </c>
      <c r="L330" s="200" t="str">
        <f>IF(D330="","",INDEX(製品マスタ!$Q$5:$Q$4999,MATCH('S4'!F330&amp;'S4'!K330,製品マスタ!$AO$5:$AO$4999,0)))</f>
        <v/>
      </c>
      <c r="M330" s="37"/>
      <c r="N330" s="37"/>
      <c r="O330" s="153"/>
      <c r="P330" s="45"/>
      <c r="Q330" s="54"/>
      <c r="R330" s="257" t="str">
        <f ca="1">IF(D330="","",IF(OFFSET(D330,-1,0)&lt;&gt;"","",IF(OR(J330="リード付け",J330="巻足し",J330="巻返しリード付け"),M330,VLOOKUP(D330,契約台帳!$A$3:$N$4986,14,FALSE))))</f>
        <v/>
      </c>
      <c r="S330" s="258" t="str">
        <f ca="1">IF(D330="","",IF(OFFSET(D330,-1,0)&lt;&gt;"","",IF(OR(J330="リード付け",J330="巻足し",J330="巻返しリード付け"),M330,VLOOKUP(D330,契約台帳!$A$3:$O$4986,15,FALSE))))</f>
        <v/>
      </c>
      <c r="T330" s="258" t="str">
        <f ca="1">IF(D330="","",IF(J330="リード付け",N330,IF(J330="巻返しリード付け",N330,IF(J330="巻足し",N330*P330+OFFSET(N330,1,0)*OFFSET(P330,1,0),VLOOKUP(D330,契約台帳!$A$3:$P$4986,16,FALSE)))))</f>
        <v/>
      </c>
      <c r="U330" s="38"/>
      <c r="V330" s="259" t="str">
        <f ca="1">IF(D330="","",IF(OFFSET(D330,-2,0)=D330,"",VLOOKUP(D330,契約台帳!$A$3:$R$4986,18,FALSE)))</f>
        <v/>
      </c>
      <c r="W330" s="256" t="str">
        <f>IF(D330="","",IF(T330="","",IF(OR(J330="巻足し",J330="巻返しリード付け"),"",IF(J330="巻返し",VLOOKUP(F330&amp;K330&amp;M330,製品マスタ!$M$5:$AD$4999,18,FALSE),IF(OR(J330="リード付け",J330="巻返しリード付け"),"原反コア",IF(J330="スリット",VLOOKUP(F330&amp;K330&amp;R330,製品マスタ!$N$5:$AD$4999,17,FALSE),""))))))</f>
        <v/>
      </c>
      <c r="X330" s="256" t="str">
        <f>IF(D330="","",IF(T330="","",IF(J330="巻足し","",IF(J330="巻返し",VLOOKUP(F330&amp;K330&amp;M330,製品マスタ!$M$5:$AE$4999,19,FALSE),IF(OR(J330="リード付け",J330="巻返しリード付け"),"",IF(J330="スリット",VLOOKUP(F330&amp;K330&amp;R330,製品マスタ!$N$5:$AE$4999,18,FALSE),""))))))</f>
        <v/>
      </c>
      <c r="Y330" s="256" t="str">
        <f>IF(D330="","",IF(T330="","",VLOOKUP(D330,契約台帳!$A$3:$Q$4986,17,FALSE)))</f>
        <v/>
      </c>
      <c r="Z330" s="256" t="str">
        <f>IF(D330="","",IF(T330="","",VLOOKUP(D330,契約台帳!$A$3:$E$4986,5,FALSE)))</f>
        <v/>
      </c>
      <c r="AA330" s="54"/>
      <c r="AB330" s="200" t="str">
        <f>IFERROR((VLOOKUP(F330&amp;K330&amp;M330,製品マスタ!$M$5:$AM$4999,27,FALSE)),"")</f>
        <v/>
      </c>
      <c r="AC330" s="31"/>
      <c r="AD330" s="184"/>
      <c r="AE330" s="51"/>
      <c r="AF330" s="52"/>
      <c r="AG330" s="41"/>
      <c r="AH330" s="45"/>
      <c r="AI330" s="28"/>
      <c r="AJ330" s="28"/>
      <c r="AK330" s="28"/>
      <c r="AL330" s="28"/>
      <c r="AM330" s="12"/>
      <c r="AN330" s="12"/>
      <c r="AO330" s="12"/>
      <c r="AP330" s="12"/>
      <c r="AQ330" s="12"/>
      <c r="AR330" s="13"/>
      <c r="AS330" s="14"/>
    </row>
    <row r="331" spans="1:45" s="16" customFormat="1" ht="30.95" hidden="1" customHeight="1" x14ac:dyDescent="0.2">
      <c r="A331" s="35"/>
      <c r="B331" s="36"/>
      <c r="C331" s="43"/>
      <c r="D331" s="29">
        <v>3700953</v>
      </c>
      <c r="E331" s="29">
        <v>4161837</v>
      </c>
      <c r="F331" s="255" t="str">
        <f>IF(D331="","",VLOOKUP(D331,契約台帳!$A$3:$K$4986,6,FALSE)&amp;VLOOKUP(D331,契約台帳!$A$3:$K$4986,7,FALSE)&amp;VLOOKUP(D331,契約台帳!$A$3:$K$4986,8,FALSE)&amp;VLOOKUP(D331,契約台帳!$A$3:$K$4986,9,FALSE)&amp;VLOOKUP(D331,契約台帳!$A$3:$K$4986,11,FALSE))</f>
        <v>3SNMLBMNGKBF</v>
      </c>
      <c r="G331" s="256" t="str">
        <f>IF(D331="","",VLOOKUP(F331,製品マスタ!$G$5:$H$4999,2,FALSE))</f>
        <v>S</v>
      </c>
      <c r="H331" s="256" t="str">
        <f>IF(D331="","",VLOOKUP(F331,製品マスタ!$G$5:$K$4999,5,FALSE))</f>
        <v>MNGKBF</v>
      </c>
      <c r="I331" s="200" t="str">
        <f>IF(D331="","",VLOOKUP(F331,製品マスタ!$G$5:$L$4999,6,FALSE))</f>
        <v>メタルミー　ネーマー銀消　Ｂ</v>
      </c>
      <c r="J331" s="203" t="s">
        <v>935</v>
      </c>
      <c r="K331" s="200">
        <f>IF(D331="","",VLOOKUP(D331,契約台帳!$A$3:$L$4986,12,FALSE))</f>
        <v>50</v>
      </c>
      <c r="L331" s="200" t="str">
        <f>IF(D331="","",INDEX(製品マスタ!$Q$5:$Q$4999,MATCH('S4'!F331&amp;'S4'!K331,製品マスタ!$AO$5:$AO$4999,0)))</f>
        <v>MAT</v>
      </c>
      <c r="M331" s="37">
        <v>1050</v>
      </c>
      <c r="N331" s="37">
        <v>4100</v>
      </c>
      <c r="O331" s="153">
        <v>3</v>
      </c>
      <c r="P331" s="45">
        <v>3</v>
      </c>
      <c r="Q331" s="206">
        <v>44987</v>
      </c>
      <c r="R331" s="257">
        <f ca="1">IF(D331="","",IF(OFFSET(D331,-1,0)&lt;&gt;"","",IF(OR(J331="リード付け",J331="巻足し",J331="巻返しリード付け"),M331,VLOOKUP(D331,契約台帳!$A$3:$N$4986,14,FALSE))))</f>
        <v>1050</v>
      </c>
      <c r="S331" s="258">
        <f ca="1">IF(D331="","",IF(OFFSET(D331,-1,0)&lt;&gt;"","",IF(OR(J331="リード付け",J331="巻足し",J331="巻返しリード付け"),M331,VLOOKUP(D331,契約台帳!$A$3:$O$4986,15,FALSE))))</f>
        <v>1050</v>
      </c>
      <c r="T331" s="258">
        <f ca="1">IF(D331="","",IF(J331="リード付け",N331,IF(J331="巻返しリード付け",N331,IF(J331="巻足し",N331*P331+OFFSET(N331,1,0)*OFFSET(P331,1,0),VLOOKUP(D331,契約台帳!$A$3:$P$4986,16,FALSE)))))</f>
        <v>12300</v>
      </c>
      <c r="U331" s="38">
        <v>1</v>
      </c>
      <c r="V331" s="259">
        <f ca="1">IF(D331="","",IF(OFFSET(D331,-2,0)=D331,"",VLOOKUP(D331,契約台帳!$A$3:$R$4986,18,FALSE)))</f>
        <v>3</v>
      </c>
      <c r="W331" s="256" t="str">
        <f ca="1">IF(D331="","",IF(T331="","",IF(OR(J331="巻足し",J331="巻返しリード付け"),"",IF(J331="巻返し",VLOOKUP(F331&amp;K331&amp;M331,製品マスタ!$M$5:$AD$4999,18,FALSE),IF(OR(J331="リード付け",J331="巻返しリード付け"),"原反コア",IF(J331="スリット",VLOOKUP(F331&amp;K331&amp;R331,製品マスタ!$N$5:$AD$4999,17,FALSE),""))))))</f>
        <v/>
      </c>
      <c r="X331" s="256" t="str">
        <f ca="1">IF(D331="","",IF(T331="","",IF(J331="巻足し","",IF(J331="巻返し",VLOOKUP(F331&amp;K331&amp;M331,製品マスタ!$M$5:$AE$4999,19,FALSE),IF(OR(J331="リード付け",J331="巻返しリード付け"),"",IF(J331="スリット",VLOOKUP(F331&amp;K331&amp;R331,製品マスタ!$N$5:$AE$4999,18,FALSE),""))))))</f>
        <v/>
      </c>
      <c r="Y331" s="256">
        <f ca="1">IF(D331="","",IF(T331="","",VLOOKUP(D331,契約台帳!$A$3:$Q$4986,17,FALSE)))</f>
        <v>2</v>
      </c>
      <c r="Z331" s="256" t="str">
        <f ca="1">IF(D331="","",IF(T331="","",VLOOKUP(D331,契約台帳!$A$3:$E$4986,5,FALSE)))</f>
        <v>リンテック㈱</v>
      </c>
      <c r="AA331" s="54"/>
      <c r="AB331" s="200">
        <f>IFERROR((VLOOKUP(F331&amp;K331&amp;M331,製品マスタ!$M$5:$AM$4999,27,FALSE)),"")</f>
        <v>0</v>
      </c>
      <c r="AC331" s="31"/>
      <c r="AD331" s="184"/>
      <c r="AE331" s="51"/>
      <c r="AF331" s="52"/>
      <c r="AG331" s="41"/>
      <c r="AH331" s="45"/>
      <c r="AI331" s="28"/>
      <c r="AJ331" s="28"/>
      <c r="AK331" s="28"/>
      <c r="AL331" s="28"/>
      <c r="AM331" s="12"/>
      <c r="AN331" s="12"/>
      <c r="AO331" s="12"/>
      <c r="AP331" s="12"/>
      <c r="AQ331" s="12"/>
      <c r="AR331" s="13"/>
      <c r="AS331" s="14"/>
    </row>
    <row r="332" spans="1:45" s="16" customFormat="1" ht="30.95" hidden="1" customHeight="1" x14ac:dyDescent="0.2">
      <c r="A332" s="35"/>
      <c r="B332" s="36"/>
      <c r="C332" s="43"/>
      <c r="D332" s="29"/>
      <c r="E332" s="29"/>
      <c r="F332" s="255" t="str">
        <f>IF(D332="","",VLOOKUP(D332,契約台帳!$A$3:$K$4986,6,FALSE)&amp;VLOOKUP(D332,契約台帳!$A$3:$K$4986,7,FALSE)&amp;VLOOKUP(D332,契約台帳!$A$3:$K$4986,8,FALSE)&amp;VLOOKUP(D332,契約台帳!$A$3:$K$4986,9,FALSE)&amp;VLOOKUP(D332,契約台帳!$A$3:$K$4986,11,FALSE))</f>
        <v/>
      </c>
      <c r="G332" s="256" t="str">
        <f>IF(D332="","",VLOOKUP(F332,製品マスタ!$G$5:$H$4999,2,FALSE))</f>
        <v/>
      </c>
      <c r="H332" s="256" t="str">
        <f>IF(D332="","",VLOOKUP(F332,製品マスタ!$G$5:$K$4999,5,FALSE))</f>
        <v/>
      </c>
      <c r="I332" s="200" t="str">
        <f>IF(D332="","",VLOOKUP(F332,製品マスタ!$G$5:$L$4999,6,FALSE))</f>
        <v/>
      </c>
      <c r="J332" s="203"/>
      <c r="K332" s="200" t="str">
        <f>IF(D332="","",VLOOKUP(D332,契約台帳!$A$3:$L$4986,12,FALSE))</f>
        <v/>
      </c>
      <c r="L332" s="200" t="str">
        <f>IF(D332="","",INDEX(製品マスタ!$Q$5:$Q$4999,MATCH('S4'!F332&amp;'S4'!K332,製品マスタ!$AO$5:$AO$4999,0)))</f>
        <v/>
      </c>
      <c r="M332" s="37"/>
      <c r="N332" s="37"/>
      <c r="O332" s="153"/>
      <c r="P332" s="45"/>
      <c r="Q332" s="54"/>
      <c r="R332" s="257" t="str">
        <f ca="1">IF(D332="","",IF(OFFSET(D332,-1,0)&lt;&gt;"","",IF(OR(J332="リード付け",J332="巻足し",J332="巻返しリード付け"),M332,VLOOKUP(D332,契約台帳!$A$3:$N$4986,14,FALSE))))</f>
        <v/>
      </c>
      <c r="S332" s="258" t="str">
        <f ca="1">IF(D332="","",IF(OFFSET(D332,-1,0)&lt;&gt;"","",IF(OR(J332="リード付け",J332="巻足し",J332="巻返しリード付け"),M332,VLOOKUP(D332,契約台帳!$A$3:$O$4986,15,FALSE))))</f>
        <v/>
      </c>
      <c r="T332" s="258" t="str">
        <f ca="1">IF(D332="","",IF(J332="リード付け",N332,IF(J332="巻返しリード付け",N332,IF(J332="巻足し",N332*P332+OFFSET(N332,1,0)*OFFSET(P332,1,0),VLOOKUP(D332,契約台帳!$A$3:$P$4986,16,FALSE)))))</f>
        <v/>
      </c>
      <c r="U332" s="38"/>
      <c r="V332" s="259" t="str">
        <f ca="1">IF(D332="","",IF(OFFSET(D332,-2,0)=D332,"",VLOOKUP(D332,契約台帳!$A$3:$R$4986,18,FALSE)))</f>
        <v/>
      </c>
      <c r="W332" s="256" t="str">
        <f>IF(D332="","",IF(T332="","",IF(OR(J332="巻足し",J332="巻返しリード付け"),"",IF(J332="巻返し",VLOOKUP(F332&amp;K332&amp;M332,製品マスタ!$M$5:$AD$4999,18,FALSE),IF(OR(J332="リード付け",J332="巻返しリード付け"),"原反コア",IF(J332="スリット",VLOOKUP(F332&amp;K332&amp;R332,製品マスタ!$N$5:$AD$4999,17,FALSE),""))))))</f>
        <v/>
      </c>
      <c r="X332" s="256" t="str">
        <f>IF(D332="","",IF(T332="","",IF(J332="巻足し","",IF(J332="巻返し",VLOOKUP(F332&amp;K332&amp;M332,製品マスタ!$M$5:$AE$4999,19,FALSE),IF(OR(J332="リード付け",J332="巻返しリード付け"),"",IF(J332="スリット",VLOOKUP(F332&amp;K332&amp;R332,製品マスタ!$N$5:$AE$4999,18,FALSE),""))))))</f>
        <v/>
      </c>
      <c r="Y332" s="256" t="str">
        <f>IF(D332="","",IF(T332="","",VLOOKUP(D332,契約台帳!$A$3:$Q$4986,17,FALSE)))</f>
        <v/>
      </c>
      <c r="Z332" s="256" t="str">
        <f>IF(D332="","",IF(T332="","",VLOOKUP(D332,契約台帳!$A$3:$E$4986,5,FALSE)))</f>
        <v/>
      </c>
      <c r="AA332" s="54"/>
      <c r="AB332" s="200" t="str">
        <f>IFERROR((VLOOKUP(F332&amp;K332&amp;M332,製品マスタ!$M$5:$AM$4999,27,FALSE)),"")</f>
        <v/>
      </c>
      <c r="AC332" s="31"/>
      <c r="AD332" s="184"/>
      <c r="AE332" s="51"/>
      <c r="AF332" s="52"/>
      <c r="AG332" s="41"/>
      <c r="AH332" s="45"/>
      <c r="AI332" s="28"/>
      <c r="AJ332" s="28"/>
      <c r="AK332" s="28"/>
      <c r="AL332" s="28"/>
      <c r="AM332" s="12"/>
      <c r="AN332" s="12"/>
      <c r="AO332" s="12"/>
      <c r="AP332" s="12"/>
      <c r="AQ332" s="12"/>
      <c r="AR332" s="13"/>
      <c r="AS332" s="14"/>
    </row>
    <row r="333" spans="1:45" s="16" customFormat="1" ht="30.95" hidden="1" customHeight="1" x14ac:dyDescent="0.2">
      <c r="A333" s="35"/>
      <c r="B333" s="36"/>
      <c r="C333" s="43"/>
      <c r="D333" s="29">
        <v>3700961</v>
      </c>
      <c r="E333" s="29">
        <v>4161831</v>
      </c>
      <c r="F333" s="255" t="str">
        <f>IF(D333="","",VLOOKUP(D333,契約台帳!$A$3:$K$4986,6,FALSE)&amp;VLOOKUP(D333,契約台帳!$A$3:$K$4986,7,FALSE)&amp;VLOOKUP(D333,契約台帳!$A$3:$K$4986,8,FALSE)&amp;VLOOKUP(D333,契約台帳!$A$3:$K$4986,9,FALSE)&amp;VLOOKUP(D333,契約台帳!$A$3:$K$4986,11,FALSE))</f>
        <v>33SSNMCLBTEKKFV</v>
      </c>
      <c r="G333" s="256" t="str">
        <f>IF(D333="","",VLOOKUP(F333,製品マスタ!$G$5:$H$4999,2,FALSE))</f>
        <v>S</v>
      </c>
      <c r="H333" s="256" t="str">
        <f>IF(D333="","",VLOOKUP(F333,製品マスタ!$G$5:$K$4999,5,FALSE))</f>
        <v>TEKKFV</v>
      </c>
      <c r="I333" s="200" t="str">
        <f>IF(D333="","",VLOOKUP(F333,製品マスタ!$G$5:$L$4999,6,FALSE))</f>
        <v>メタルミー　ＴＥＳ消開封　Ｖ</v>
      </c>
      <c r="J333" s="203" t="s">
        <v>935</v>
      </c>
      <c r="K333" s="200">
        <f>IF(D333="","",VLOOKUP(D333,契約台帳!$A$3:$L$4986,12,FALSE))</f>
        <v>50</v>
      </c>
      <c r="L333" s="200" t="str">
        <f>IF(D333="","",INDEX(製品マスタ!$Q$5:$Q$4999,MATCH('S4'!F333&amp;'S4'!K333,製品マスタ!$AO$5:$AO$4999,0)))</f>
        <v>X44SEPA</v>
      </c>
      <c r="M333" s="37">
        <v>1005</v>
      </c>
      <c r="N333" s="37">
        <v>4000</v>
      </c>
      <c r="O333" s="153">
        <v>3</v>
      </c>
      <c r="P333" s="45">
        <v>3</v>
      </c>
      <c r="Q333" s="206">
        <v>44994</v>
      </c>
      <c r="R333" s="257">
        <f ca="1">IF(D333="","",IF(OFFSET(D333,-1,0)&lt;&gt;"","",IF(OR(J333="リード付け",J333="巻足し",J333="巻返しリード付け"),M333,VLOOKUP(D333,契約台帳!$A$3:$N$4986,14,FALSE))))</f>
        <v>1005</v>
      </c>
      <c r="S333" s="258">
        <f ca="1">IF(D333="","",IF(OFFSET(D333,-1,0)&lt;&gt;"","",IF(OR(J333="リード付け",J333="巻足し",J333="巻返しリード付け"),M333,VLOOKUP(D333,契約台帳!$A$3:$O$4986,15,FALSE))))</f>
        <v>1005</v>
      </c>
      <c r="T333" s="258">
        <f ca="1">IF(D333="","",IF(J333="リード付け",N333,IF(J333="巻返しリード付け",N333,IF(J333="巻足し",N333*P333+OFFSET(N333,1,0)*OFFSET(P333,1,0),VLOOKUP(D333,契約台帳!$A$3:$P$4986,16,FALSE)))))</f>
        <v>12000</v>
      </c>
      <c r="U333" s="38">
        <v>1</v>
      </c>
      <c r="V333" s="259">
        <f ca="1">IF(D333="","",IF(OFFSET(D333,-2,0)=D333,"",VLOOKUP(D333,契約台帳!$A$3:$R$4986,18,FALSE)))</f>
        <v>3</v>
      </c>
      <c r="W333" s="256" t="str">
        <f ca="1">IF(D333="","",IF(T333="","",IF(OR(J333="巻足し",J333="巻返しリード付け"),"",IF(J333="巻返し",VLOOKUP(F333&amp;K333&amp;M333,製品マスタ!$M$5:$AD$4999,18,FALSE),IF(OR(J333="リード付け",J333="巻返しリード付け"),"原反コア",IF(J333="スリット",VLOOKUP(F333&amp;K333&amp;R333,製品マスタ!$N$5:$AD$4999,17,FALSE),""))))))</f>
        <v/>
      </c>
      <c r="X333" s="256" t="str">
        <f ca="1">IF(D333="","",IF(T333="","",IF(J333="巻足し","",IF(J333="巻返し",VLOOKUP(F333&amp;K333&amp;M333,製品マスタ!$M$5:$AE$4999,19,FALSE),IF(OR(J333="リード付け",J333="巻返しリード付け"),"",IF(J333="スリット",VLOOKUP(F333&amp;K333&amp;R333,製品マスタ!$N$5:$AE$4999,18,FALSE),""))))))</f>
        <v/>
      </c>
      <c r="Y333" s="256">
        <f ca="1">IF(D333="","",IF(T333="","",VLOOKUP(D333,契約台帳!$A$3:$Q$4986,17,FALSE)))</f>
        <v>2</v>
      </c>
      <c r="Z333" s="256" t="str">
        <f ca="1">IF(D333="","",IF(T333="","",VLOOKUP(D333,契約台帳!$A$3:$E$4986,5,FALSE)))</f>
        <v>リンテック㈱</v>
      </c>
      <c r="AA333" s="54"/>
      <c r="AB333" s="200">
        <f>IFERROR((VLOOKUP(F333&amp;K333&amp;M333,製品マスタ!$M$5:$AM$4999,27,FALSE)),"")</f>
        <v>0</v>
      </c>
      <c r="AC333" s="31"/>
      <c r="AD333" s="184"/>
      <c r="AE333" s="51"/>
      <c r="AF333" s="52"/>
      <c r="AG333" s="41"/>
      <c r="AH333" s="45"/>
      <c r="AI333" s="28"/>
      <c r="AJ333" s="28"/>
      <c r="AK333" s="28"/>
      <c r="AL333" s="28"/>
      <c r="AM333" s="12"/>
      <c r="AN333" s="12"/>
      <c r="AO333" s="12"/>
      <c r="AP333" s="12"/>
      <c r="AQ333" s="12"/>
      <c r="AR333" s="13"/>
      <c r="AS333" s="14"/>
    </row>
    <row r="334" spans="1:45" s="16" customFormat="1" ht="30.95" hidden="1" customHeight="1" x14ac:dyDescent="0.2">
      <c r="A334" s="35"/>
      <c r="B334" s="36"/>
      <c r="C334" s="43"/>
      <c r="D334" s="29"/>
      <c r="E334" s="29"/>
      <c r="F334" s="255" t="str">
        <f>IF(D334="","",VLOOKUP(D334,契約台帳!$A$3:$K$4986,6,FALSE)&amp;VLOOKUP(D334,契約台帳!$A$3:$K$4986,7,FALSE)&amp;VLOOKUP(D334,契約台帳!$A$3:$K$4986,8,FALSE)&amp;VLOOKUP(D334,契約台帳!$A$3:$K$4986,9,FALSE)&amp;VLOOKUP(D334,契約台帳!$A$3:$K$4986,11,FALSE))</f>
        <v/>
      </c>
      <c r="G334" s="256" t="str">
        <f>IF(D334="","",VLOOKUP(F334,製品マスタ!$G$5:$H$4999,2,FALSE))</f>
        <v/>
      </c>
      <c r="H334" s="256" t="str">
        <f>IF(D334="","",VLOOKUP(F334,製品マスタ!$G$5:$K$4999,5,FALSE))</f>
        <v/>
      </c>
      <c r="I334" s="200" t="str">
        <f>IF(D334="","",VLOOKUP(F334,製品マスタ!$G$5:$L$4999,6,FALSE))</f>
        <v/>
      </c>
      <c r="J334" s="203"/>
      <c r="K334" s="200" t="str">
        <f>IF(D334="","",VLOOKUP(D334,契約台帳!$A$3:$L$4986,12,FALSE))</f>
        <v/>
      </c>
      <c r="L334" s="200" t="str">
        <f>IF(D334="","",INDEX(製品マスタ!$Q$5:$Q$4999,MATCH('S4'!F334&amp;'S4'!K334,製品マスタ!$AO$5:$AO$4999,0)))</f>
        <v/>
      </c>
      <c r="M334" s="37"/>
      <c r="N334" s="37"/>
      <c r="O334" s="153"/>
      <c r="P334" s="45"/>
      <c r="Q334" s="54"/>
      <c r="R334" s="257" t="str">
        <f ca="1">IF(D334="","",IF(OFFSET(D334,-1,0)&lt;&gt;"","",IF(OR(J334="リード付け",J334="巻足し",J334="巻返しリード付け"),M334,VLOOKUP(D334,契約台帳!$A$3:$N$4986,14,FALSE))))</f>
        <v/>
      </c>
      <c r="S334" s="258" t="str">
        <f ca="1">IF(D334="","",IF(OFFSET(D334,-1,0)&lt;&gt;"","",IF(OR(J334="リード付け",J334="巻足し",J334="巻返しリード付け"),M334,VLOOKUP(D334,契約台帳!$A$3:$O$4986,15,FALSE))))</f>
        <v/>
      </c>
      <c r="T334" s="258" t="str">
        <f ca="1">IF(D334="","",IF(J334="リード付け",N334,IF(J334="巻返しリード付け",N334,IF(J334="巻足し",N334*P334+OFFSET(N334,1,0)*OFFSET(P334,1,0),VLOOKUP(D334,契約台帳!$A$3:$P$4986,16,FALSE)))))</f>
        <v/>
      </c>
      <c r="U334" s="38"/>
      <c r="V334" s="259" t="str">
        <f ca="1">IF(D334="","",IF(OFFSET(D334,-2,0)=D334,"",VLOOKUP(D334,契約台帳!$A$3:$R$4986,18,FALSE)))</f>
        <v/>
      </c>
      <c r="W334" s="256" t="str">
        <f>IF(D334="","",IF(T334="","",IF(OR(J334="巻足し",J334="巻返しリード付け"),"",IF(J334="巻返し",VLOOKUP(F334&amp;K334&amp;M334,製品マスタ!$M$5:$AD$4999,18,FALSE),IF(OR(J334="リード付け",J334="巻返しリード付け"),"原反コア",IF(J334="スリット",VLOOKUP(F334&amp;K334&amp;R334,製品マスタ!$N$5:$AD$4999,17,FALSE),""))))))</f>
        <v/>
      </c>
      <c r="X334" s="256" t="str">
        <f>IF(D334="","",IF(T334="","",IF(J334="巻足し","",IF(J334="巻返し",VLOOKUP(F334&amp;K334&amp;M334,製品マスタ!$M$5:$AE$4999,19,FALSE),IF(OR(J334="リード付け",J334="巻返しリード付け"),"",IF(J334="スリット",VLOOKUP(F334&amp;K334&amp;R334,製品マスタ!$N$5:$AE$4999,18,FALSE),""))))))</f>
        <v/>
      </c>
      <c r="Y334" s="256" t="str">
        <f>IF(D334="","",IF(T334="","",VLOOKUP(D334,契約台帳!$A$3:$Q$4986,17,FALSE)))</f>
        <v/>
      </c>
      <c r="Z334" s="256" t="str">
        <f>IF(D334="","",IF(T334="","",VLOOKUP(D334,契約台帳!$A$3:$E$4986,5,FALSE)))</f>
        <v/>
      </c>
      <c r="AA334" s="54"/>
      <c r="AB334" s="200" t="str">
        <f>IFERROR((VLOOKUP(F334&amp;K334&amp;M334,製品マスタ!$M$5:$AM$4999,27,FALSE)),"")</f>
        <v/>
      </c>
      <c r="AC334" s="31"/>
      <c r="AD334" s="184"/>
      <c r="AE334" s="51"/>
      <c r="AF334" s="52"/>
      <c r="AG334" s="41"/>
      <c r="AH334" s="45"/>
      <c r="AI334" s="28"/>
      <c r="AJ334" s="28"/>
      <c r="AK334" s="28"/>
      <c r="AL334" s="28"/>
      <c r="AM334" s="12"/>
      <c r="AN334" s="12"/>
      <c r="AO334" s="12"/>
      <c r="AP334" s="12"/>
      <c r="AQ334" s="12"/>
      <c r="AR334" s="13"/>
      <c r="AS334" s="14"/>
    </row>
    <row r="335" spans="1:45" s="16" customFormat="1" ht="30.95" hidden="1" customHeight="1" x14ac:dyDescent="0.2">
      <c r="A335" s="35"/>
      <c r="B335" s="36"/>
      <c r="C335" s="43"/>
      <c r="D335" s="29">
        <v>3700962</v>
      </c>
      <c r="E335" s="29">
        <v>4161832</v>
      </c>
      <c r="F335" s="255" t="str">
        <f>IF(D335="","",VLOOKUP(D335,契約台帳!$A$3:$K$4986,6,FALSE)&amp;VLOOKUP(D335,契約台帳!$A$3:$K$4986,7,FALSE)&amp;VLOOKUP(D335,契約台帳!$A$3:$K$4986,8,FALSE)&amp;VLOOKUP(D335,契約台帳!$A$3:$K$4986,9,FALSE)&amp;VLOOKUP(D335,契約台帳!$A$3:$K$4986,11,FALSE))</f>
        <v>33SSNMCLBTEKV0V</v>
      </c>
      <c r="G335" s="256" t="str">
        <f>IF(D335="","",VLOOKUP(F335,製品マスタ!$G$5:$H$4999,2,FALSE))</f>
        <v>S</v>
      </c>
      <c r="H335" s="256" t="str">
        <f>IF(D335="","",VLOOKUP(F335,製品マスタ!$G$5:$K$4999,5,FALSE))</f>
        <v>TEKV0V</v>
      </c>
      <c r="I335" s="200" t="str">
        <f>IF(D335="","",VLOOKUP(F335,製品マスタ!$G$5:$L$4999,6,FALSE))</f>
        <v>メタルミー　ＴＥ－Ｓ消　ＶＯＩＤ　Ｖ</v>
      </c>
      <c r="J335" s="203" t="s">
        <v>935</v>
      </c>
      <c r="K335" s="200">
        <f>IF(D335="","",VLOOKUP(D335,契約台帳!$A$3:$L$4986,12,FALSE))</f>
        <v>50</v>
      </c>
      <c r="L335" s="200" t="str">
        <f>IF(D335="","",INDEX(製品マスタ!$Q$5:$Q$4999,MATCH('S4'!F335&amp;'S4'!K335,製品マスタ!$AO$5:$AO$4999,0)))</f>
        <v>X44SEPA</v>
      </c>
      <c r="M335" s="37">
        <v>1005</v>
      </c>
      <c r="N335" s="37">
        <v>4000</v>
      </c>
      <c r="O335" s="153">
        <v>3</v>
      </c>
      <c r="P335" s="45">
        <v>3</v>
      </c>
      <c r="Q335" s="206">
        <v>44994</v>
      </c>
      <c r="R335" s="257">
        <f ca="1">IF(D335="","",IF(OFFSET(D335,-1,0)&lt;&gt;"","",IF(OR(J335="リード付け",J335="巻足し",J335="巻返しリード付け"),M335,VLOOKUP(D335,契約台帳!$A$3:$N$4986,14,FALSE))))</f>
        <v>1005</v>
      </c>
      <c r="S335" s="258">
        <f ca="1">IF(D335="","",IF(OFFSET(D335,-1,0)&lt;&gt;"","",IF(OR(J335="リード付け",J335="巻足し",J335="巻返しリード付け"),M335,VLOOKUP(D335,契約台帳!$A$3:$O$4986,15,FALSE))))</f>
        <v>1005</v>
      </c>
      <c r="T335" s="258">
        <f ca="1">IF(D335="","",IF(J335="リード付け",N335,IF(J335="巻返しリード付け",N335,IF(J335="巻足し",N335*P335+OFFSET(N335,1,0)*OFFSET(P335,1,0),VLOOKUP(D335,契約台帳!$A$3:$P$4986,16,FALSE)))))</f>
        <v>12000</v>
      </c>
      <c r="U335" s="38">
        <v>1</v>
      </c>
      <c r="V335" s="259">
        <f ca="1">IF(D335="","",IF(OFFSET(D335,-2,0)=D335,"",VLOOKUP(D335,契約台帳!$A$3:$R$4986,18,FALSE)))</f>
        <v>3</v>
      </c>
      <c r="W335" s="256" t="str">
        <f ca="1">IF(D335="","",IF(T335="","",IF(OR(J335="巻足し",J335="巻返しリード付け"),"",IF(J335="巻返し",VLOOKUP(F335&amp;K335&amp;M335,製品マスタ!$M$5:$AD$4999,18,FALSE),IF(OR(J335="リード付け",J335="巻返しリード付け"),"原反コア",IF(J335="スリット",VLOOKUP(F335&amp;K335&amp;R335,製品マスタ!$N$5:$AD$4999,17,FALSE),""))))))</f>
        <v/>
      </c>
      <c r="X335" s="256" t="str">
        <f ca="1">IF(D335="","",IF(T335="","",IF(J335="巻足し","",IF(J335="巻返し",VLOOKUP(F335&amp;K335&amp;M335,製品マスタ!$M$5:$AE$4999,19,FALSE),IF(OR(J335="リード付け",J335="巻返しリード付け"),"",IF(J335="スリット",VLOOKUP(F335&amp;K335&amp;R335,製品マスタ!$N$5:$AE$4999,18,FALSE),""))))))</f>
        <v/>
      </c>
      <c r="Y335" s="256">
        <f ca="1">IF(D335="","",IF(T335="","",VLOOKUP(D335,契約台帳!$A$3:$Q$4986,17,FALSE)))</f>
        <v>2</v>
      </c>
      <c r="Z335" s="256" t="str">
        <f ca="1">IF(D335="","",IF(T335="","",VLOOKUP(D335,契約台帳!$A$3:$E$4986,5,FALSE)))</f>
        <v>リンテック㈱</v>
      </c>
      <c r="AA335" s="54"/>
      <c r="AB335" s="200">
        <f>IFERROR((VLOOKUP(F335&amp;K335&amp;M335,製品マスタ!$M$5:$AM$4999,27,FALSE)),"")</f>
        <v>0</v>
      </c>
      <c r="AC335" s="31"/>
      <c r="AD335" s="184"/>
      <c r="AE335" s="51"/>
      <c r="AF335" s="52"/>
      <c r="AG335" s="41"/>
      <c r="AH335" s="45"/>
      <c r="AI335" s="28"/>
      <c r="AJ335" s="28"/>
      <c r="AK335" s="28"/>
      <c r="AL335" s="28"/>
      <c r="AM335" s="12"/>
      <c r="AN335" s="12"/>
      <c r="AO335" s="12"/>
      <c r="AP335" s="12"/>
      <c r="AQ335" s="12"/>
      <c r="AR335" s="13"/>
      <c r="AS335" s="14"/>
    </row>
    <row r="336" spans="1:45" s="16" customFormat="1" ht="30.95" hidden="1" customHeight="1" x14ac:dyDescent="0.2">
      <c r="A336" s="35"/>
      <c r="B336" s="36"/>
      <c r="C336" s="43"/>
      <c r="D336" s="29"/>
      <c r="E336" s="29"/>
      <c r="F336" s="255" t="str">
        <f>IF(D336="","",VLOOKUP(D336,契約台帳!$A$3:$K$4986,6,FALSE)&amp;VLOOKUP(D336,契約台帳!$A$3:$K$4986,7,FALSE)&amp;VLOOKUP(D336,契約台帳!$A$3:$K$4986,8,FALSE)&amp;VLOOKUP(D336,契約台帳!$A$3:$K$4986,9,FALSE)&amp;VLOOKUP(D336,契約台帳!$A$3:$K$4986,11,FALSE))</f>
        <v/>
      </c>
      <c r="G336" s="256" t="str">
        <f>IF(D336="","",VLOOKUP(F336,製品マスタ!$G$5:$H$4999,2,FALSE))</f>
        <v/>
      </c>
      <c r="H336" s="256" t="str">
        <f>IF(D336="","",VLOOKUP(F336,製品マスタ!$G$5:$K$4999,5,FALSE))</f>
        <v/>
      </c>
      <c r="I336" s="200" t="str">
        <f>IF(D336="","",VLOOKUP(F336,製品マスタ!$G$5:$L$4999,6,FALSE))</f>
        <v/>
      </c>
      <c r="J336" s="203"/>
      <c r="K336" s="200" t="str">
        <f>IF(D336="","",VLOOKUP(D336,契約台帳!$A$3:$L$4986,12,FALSE))</f>
        <v/>
      </c>
      <c r="L336" s="200" t="str">
        <f>IF(D336="","",INDEX(製品マスタ!$Q$5:$Q$4999,MATCH('S4'!F336&amp;'S4'!K336,製品マスタ!$AO$5:$AO$4999,0)))</f>
        <v/>
      </c>
      <c r="M336" s="37"/>
      <c r="N336" s="37"/>
      <c r="O336" s="153"/>
      <c r="P336" s="45"/>
      <c r="Q336" s="54"/>
      <c r="R336" s="257" t="str">
        <f ca="1">IF(D336="","",IF(OFFSET(D336,-1,0)&lt;&gt;"","",IF(OR(J336="リード付け",J336="巻足し",J336="巻返しリード付け"),M336,VLOOKUP(D336,契約台帳!$A$3:$N$4986,14,FALSE))))</f>
        <v/>
      </c>
      <c r="S336" s="258" t="str">
        <f ca="1">IF(D336="","",IF(OFFSET(D336,-1,0)&lt;&gt;"","",IF(OR(J336="リード付け",J336="巻足し",J336="巻返しリード付け"),M336,VLOOKUP(D336,契約台帳!$A$3:$O$4986,15,FALSE))))</f>
        <v/>
      </c>
      <c r="T336" s="258" t="str">
        <f ca="1">IF(D336="","",IF(J336="リード付け",N336,IF(J336="巻返しリード付け",N336,IF(J336="巻足し",N336*P336+OFFSET(N336,1,0)*OFFSET(P336,1,0),VLOOKUP(D336,契約台帳!$A$3:$P$4986,16,FALSE)))))</f>
        <v/>
      </c>
      <c r="U336" s="38"/>
      <c r="V336" s="259" t="str">
        <f ca="1">IF(D336="","",IF(OFFSET(D336,-2,0)=D336,"",VLOOKUP(D336,契約台帳!$A$3:$R$4986,18,FALSE)))</f>
        <v/>
      </c>
      <c r="W336" s="256" t="str">
        <f>IF(D336="","",IF(T336="","",IF(OR(J336="巻足し",J336="巻返しリード付け"),"",IF(J336="巻返し",VLOOKUP(F336&amp;K336&amp;M336,製品マスタ!$M$5:$AD$4999,18,FALSE),IF(OR(J336="リード付け",J336="巻返しリード付け"),"原反コア",IF(J336="スリット",VLOOKUP(F336&amp;K336&amp;R336,製品マスタ!$N$5:$AD$4999,17,FALSE),""))))))</f>
        <v/>
      </c>
      <c r="X336" s="256" t="str">
        <f>IF(D336="","",IF(T336="","",IF(J336="巻足し","",IF(J336="巻返し",VLOOKUP(F336&amp;K336&amp;M336,製品マスタ!$M$5:$AE$4999,19,FALSE),IF(OR(J336="リード付け",J336="巻返しリード付け"),"",IF(J336="スリット",VLOOKUP(F336&amp;K336&amp;R336,製品マスタ!$N$5:$AE$4999,18,FALSE),""))))))</f>
        <v/>
      </c>
      <c r="Y336" s="256" t="str">
        <f>IF(D336="","",IF(T336="","",VLOOKUP(D336,契約台帳!$A$3:$Q$4986,17,FALSE)))</f>
        <v/>
      </c>
      <c r="Z336" s="256" t="str">
        <f>IF(D336="","",IF(T336="","",VLOOKUP(D336,契約台帳!$A$3:$E$4986,5,FALSE)))</f>
        <v/>
      </c>
      <c r="AA336" s="54"/>
      <c r="AB336" s="200" t="str">
        <f>IFERROR((VLOOKUP(F336&amp;K336&amp;M336,製品マスタ!$M$5:$AM$4999,27,FALSE)),"")</f>
        <v/>
      </c>
      <c r="AC336" s="31"/>
      <c r="AD336" s="184"/>
      <c r="AE336" s="51"/>
      <c r="AF336" s="52"/>
      <c r="AG336" s="41"/>
      <c r="AH336" s="45"/>
      <c r="AI336" s="28"/>
      <c r="AJ336" s="28"/>
      <c r="AK336" s="28"/>
      <c r="AL336" s="28"/>
      <c r="AM336" s="12"/>
      <c r="AN336" s="12"/>
      <c r="AO336" s="12"/>
      <c r="AP336" s="12"/>
      <c r="AQ336" s="12"/>
      <c r="AR336" s="13"/>
      <c r="AS336" s="14"/>
    </row>
    <row r="337" spans="1:45" s="16" customFormat="1" ht="30.95" hidden="1" customHeight="1" x14ac:dyDescent="0.2">
      <c r="A337" s="35"/>
      <c r="B337" s="36"/>
      <c r="C337" s="43"/>
      <c r="D337" s="29">
        <v>3700965</v>
      </c>
      <c r="E337" s="29">
        <v>4161835</v>
      </c>
      <c r="F337" s="255" t="str">
        <f>IF(D337="","",VLOOKUP(D337,契約台帳!$A$3:$K$4986,6,FALSE)&amp;VLOOKUP(D337,契約台帳!$A$3:$K$4986,7,FALSE)&amp;VLOOKUP(D337,契約台帳!$A$3:$K$4986,8,FALSE)&amp;VLOOKUP(D337,契約台帳!$A$3:$K$4986,9,FALSE)&amp;VLOOKUP(D337,契約台帳!$A$3:$K$4986,11,FALSE))</f>
        <v>3SNMCLBHLGTV</v>
      </c>
      <c r="G337" s="256" t="str">
        <f>IF(D337="","",VLOOKUP(F337,製品マスタ!$G$5:$H$4999,2,FALSE))</f>
        <v>S</v>
      </c>
      <c r="H337" s="256" t="str">
        <f>IF(D337="","",VLOOKUP(F337,製品マスタ!$G$5:$K$4999,5,FALSE))</f>
        <v>HLGTV</v>
      </c>
      <c r="I337" s="200" t="str">
        <f>IF(D337="","",VLOOKUP(F337,製品マスタ!$G$5:$L$4999,6,FALSE))</f>
        <v>メタルミー　ヘヤライン　銀艶Ｖ</v>
      </c>
      <c r="J337" s="203" t="s">
        <v>935</v>
      </c>
      <c r="K337" s="200">
        <f>IF(D337="","",VLOOKUP(D337,契約台帳!$A$3:$L$4986,12,FALSE))</f>
        <v>50</v>
      </c>
      <c r="L337" s="200" t="str">
        <f>IF(D337="","",INDEX(製品マスタ!$Q$5:$Q$4999,MATCH('S4'!F337&amp;'S4'!K337,製品マスタ!$AO$5:$AO$4999,0)))</f>
        <v>BRIGHT</v>
      </c>
      <c r="M337" s="37">
        <v>1005</v>
      </c>
      <c r="N337" s="37">
        <v>4100</v>
      </c>
      <c r="O337" s="153">
        <v>6</v>
      </c>
      <c r="P337" s="45">
        <v>3</v>
      </c>
      <c r="Q337" s="206">
        <v>44994</v>
      </c>
      <c r="R337" s="257">
        <f ca="1">IF(D337="","",IF(OFFSET(D337,-1,0)&lt;&gt;"","",IF(OR(J337="リード付け",J337="巻足し",J337="巻返しリード付け"),M337,VLOOKUP(D337,契約台帳!$A$3:$N$4986,14,FALSE))))</f>
        <v>1005</v>
      </c>
      <c r="S337" s="258">
        <f ca="1">IF(D337="","",IF(OFFSET(D337,-1,0)&lt;&gt;"","",IF(OR(J337="リード付け",J337="巻足し",J337="巻返しリード付け"),M337,VLOOKUP(D337,契約台帳!$A$3:$O$4986,15,FALSE))))</f>
        <v>1005</v>
      </c>
      <c r="T337" s="258">
        <f ca="1">IF(D337="","",IF(J337="リード付け",N337,IF(J337="巻返しリード付け",N337,IF(J337="巻足し",N337*P337+OFFSET(N337,1,0)*OFFSET(P337,1,0),VLOOKUP(D337,契約台帳!$A$3:$P$4986,16,FALSE)))))</f>
        <v>12300</v>
      </c>
      <c r="U337" s="38">
        <v>2</v>
      </c>
      <c r="V337" s="259">
        <f ca="1">IF(D337="","",IF(OFFSET(D337,-2,0)=D337,"",VLOOKUP(D337,契約台帳!$A$3:$R$4986,18,FALSE)))</f>
        <v>6</v>
      </c>
      <c r="W337" s="256" t="str">
        <f ca="1">IF(D337="","",IF(T337="","",IF(OR(J337="巻足し",J337="巻返しリード付け"),"",IF(J337="巻返し",VLOOKUP(F337&amp;K337&amp;M337,製品マスタ!$M$5:$AD$4999,18,FALSE),IF(OR(J337="リード付け",J337="巻返しリード付け"),"原反コア",IF(J337="スリット",VLOOKUP(F337&amp;K337&amp;R337,製品マスタ!$N$5:$AD$4999,17,FALSE),""))))))</f>
        <v/>
      </c>
      <c r="X337" s="256" t="str">
        <f ca="1">IF(D337="","",IF(T337="","",IF(J337="巻足し","",IF(J337="巻返し",VLOOKUP(F337&amp;K337&amp;M337,製品マスタ!$M$5:$AE$4999,19,FALSE),IF(OR(J337="リード付け",J337="巻返しリード付け"),"",IF(J337="スリット",VLOOKUP(F337&amp;K337&amp;R337,製品マスタ!$N$5:$AE$4999,18,FALSE),""))))))</f>
        <v/>
      </c>
      <c r="Y337" s="256">
        <f ca="1">IF(D337="","",IF(T337="","",VLOOKUP(D337,契約台帳!$A$3:$Q$4986,17,FALSE)))</f>
        <v>2</v>
      </c>
      <c r="Z337" s="256" t="str">
        <f ca="1">IF(D337="","",IF(T337="","",VLOOKUP(D337,契約台帳!$A$3:$E$4986,5,FALSE)))</f>
        <v>リンテック㈱</v>
      </c>
      <c r="AA337" s="54"/>
      <c r="AB337" s="200">
        <f>IFERROR((VLOOKUP(F337&amp;K337&amp;M337,製品マスタ!$M$5:$AM$4999,27,FALSE)),"")</f>
        <v>0</v>
      </c>
      <c r="AC337" s="31"/>
      <c r="AD337" s="184"/>
      <c r="AE337" s="51"/>
      <c r="AF337" s="52"/>
      <c r="AG337" s="41"/>
      <c r="AH337" s="45"/>
      <c r="AI337" s="28"/>
      <c r="AJ337" s="28"/>
      <c r="AK337" s="28"/>
      <c r="AL337" s="28"/>
      <c r="AM337" s="12"/>
      <c r="AN337" s="12"/>
      <c r="AO337" s="12"/>
      <c r="AP337" s="12"/>
      <c r="AQ337" s="12"/>
      <c r="AR337" s="13"/>
      <c r="AS337" s="14"/>
    </row>
    <row r="338" spans="1:45" s="16" customFormat="1" ht="30.95" hidden="1" customHeight="1" x14ac:dyDescent="0.2">
      <c r="A338" s="35"/>
      <c r="B338" s="36"/>
      <c r="C338" s="43"/>
      <c r="D338" s="29"/>
      <c r="E338" s="29"/>
      <c r="F338" s="255" t="str">
        <f>IF(D338="","",VLOOKUP(D338,契約台帳!$A$3:$K$4986,6,FALSE)&amp;VLOOKUP(D338,契約台帳!$A$3:$K$4986,7,FALSE)&amp;VLOOKUP(D338,契約台帳!$A$3:$K$4986,8,FALSE)&amp;VLOOKUP(D338,契約台帳!$A$3:$K$4986,9,FALSE)&amp;VLOOKUP(D338,契約台帳!$A$3:$K$4986,11,FALSE))</f>
        <v/>
      </c>
      <c r="G338" s="256" t="str">
        <f>IF(D338="","",VLOOKUP(F338,製品マスタ!$G$5:$H$4999,2,FALSE))</f>
        <v/>
      </c>
      <c r="H338" s="256" t="str">
        <f>IF(D338="","",VLOOKUP(F338,製品マスタ!$G$5:$K$4999,5,FALSE))</f>
        <v/>
      </c>
      <c r="I338" s="200" t="str">
        <f>IF(D338="","",VLOOKUP(F338,製品マスタ!$G$5:$L$4999,6,FALSE))</f>
        <v/>
      </c>
      <c r="J338" s="203"/>
      <c r="K338" s="200" t="str">
        <f>IF(D338="","",VLOOKUP(D338,契約台帳!$A$3:$L$4986,12,FALSE))</f>
        <v/>
      </c>
      <c r="L338" s="200" t="str">
        <f>IF(D338="","",INDEX(製品マスタ!$Q$5:$Q$4999,MATCH('S4'!F338&amp;'S4'!K338,製品マスタ!$AO$5:$AO$4999,0)))</f>
        <v/>
      </c>
      <c r="M338" s="37"/>
      <c r="N338" s="37"/>
      <c r="O338" s="153"/>
      <c r="P338" s="45"/>
      <c r="Q338" s="54"/>
      <c r="R338" s="257" t="str">
        <f ca="1">IF(D338="","",IF(OFFSET(D338,-1,0)&lt;&gt;"","",IF(OR(J338="リード付け",J338="巻足し",J338="巻返しリード付け"),M338,VLOOKUP(D338,契約台帳!$A$3:$N$4986,14,FALSE))))</f>
        <v/>
      </c>
      <c r="S338" s="258" t="str">
        <f ca="1">IF(D338="","",IF(OFFSET(D338,-1,0)&lt;&gt;"","",IF(OR(J338="リード付け",J338="巻足し",J338="巻返しリード付け"),M338,VLOOKUP(D338,契約台帳!$A$3:$O$4986,15,FALSE))))</f>
        <v/>
      </c>
      <c r="T338" s="258" t="str">
        <f ca="1">IF(D338="","",IF(J338="リード付け",N338,IF(J338="巻返しリード付け",N338,IF(J338="巻足し",N338*P338+OFFSET(N338,1,0)*OFFSET(P338,1,0),VLOOKUP(D338,契約台帳!$A$3:$P$4986,16,FALSE)))))</f>
        <v/>
      </c>
      <c r="U338" s="38"/>
      <c r="V338" s="259" t="str">
        <f ca="1">IF(D338="","",IF(OFFSET(D338,-2,0)=D338,"",VLOOKUP(D338,契約台帳!$A$3:$R$4986,18,FALSE)))</f>
        <v/>
      </c>
      <c r="W338" s="256" t="str">
        <f>IF(D338="","",IF(T338="","",IF(OR(J338="巻足し",J338="巻返しリード付け"),"",IF(J338="巻返し",VLOOKUP(F338&amp;K338&amp;M338,製品マスタ!$M$5:$AD$4999,18,FALSE),IF(OR(J338="リード付け",J338="巻返しリード付け"),"原反コア",IF(J338="スリット",VLOOKUP(F338&amp;K338&amp;R338,製品マスタ!$N$5:$AD$4999,17,FALSE),""))))))</f>
        <v/>
      </c>
      <c r="X338" s="256" t="str">
        <f>IF(D338="","",IF(T338="","",IF(J338="巻足し","",IF(J338="巻返し",VLOOKUP(F338&amp;K338&amp;M338,製品マスタ!$M$5:$AE$4999,19,FALSE),IF(OR(J338="リード付け",J338="巻返しリード付け"),"",IF(J338="スリット",VLOOKUP(F338&amp;K338&amp;R338,製品マスタ!$N$5:$AE$4999,18,FALSE),""))))))</f>
        <v/>
      </c>
      <c r="Y338" s="256" t="str">
        <f>IF(D338="","",IF(T338="","",VLOOKUP(D338,契約台帳!$A$3:$Q$4986,17,FALSE)))</f>
        <v/>
      </c>
      <c r="Z338" s="256" t="str">
        <f>IF(D338="","",IF(T338="","",VLOOKUP(D338,契約台帳!$A$3:$E$4986,5,FALSE)))</f>
        <v/>
      </c>
      <c r="AA338" s="54"/>
      <c r="AB338" s="200" t="str">
        <f>IFERROR((VLOOKUP(F338&amp;K338&amp;M338,製品マスタ!$M$5:$AM$4999,27,FALSE)),"")</f>
        <v/>
      </c>
      <c r="AC338" s="31"/>
      <c r="AD338" s="184"/>
      <c r="AE338" s="51"/>
      <c r="AF338" s="52"/>
      <c r="AG338" s="41"/>
      <c r="AH338" s="45"/>
      <c r="AI338" s="28"/>
      <c r="AJ338" s="28"/>
      <c r="AK338" s="28"/>
      <c r="AL338" s="28"/>
      <c r="AM338" s="12"/>
      <c r="AN338" s="12"/>
      <c r="AO338" s="12"/>
      <c r="AP338" s="12"/>
      <c r="AQ338" s="12"/>
      <c r="AR338" s="13"/>
      <c r="AS338" s="14"/>
    </row>
    <row r="339" spans="1:45" s="16" customFormat="1" ht="30.95" hidden="1" customHeight="1" x14ac:dyDescent="0.2">
      <c r="A339" s="35" t="s">
        <v>952</v>
      </c>
      <c r="B339" s="36" t="s">
        <v>943</v>
      </c>
      <c r="C339" s="43"/>
      <c r="D339" s="29"/>
      <c r="E339" s="29"/>
      <c r="F339" s="255" t="str">
        <f>IF(D339="","",VLOOKUP(D339,契約台帳!$A$3:$K$4986,6,FALSE)&amp;VLOOKUP(D339,契約台帳!$A$3:$K$4986,7,FALSE)&amp;VLOOKUP(D339,契約台帳!$A$3:$K$4986,8,FALSE)&amp;VLOOKUP(D339,契約台帳!$A$3:$K$4986,9,FALSE)&amp;VLOOKUP(D339,契約台帳!$A$3:$K$4986,11,FALSE))</f>
        <v/>
      </c>
      <c r="G339" s="256" t="str">
        <f>IF(D339="","",VLOOKUP(F339,製品マスタ!$G$5:$H$4999,2,FALSE))</f>
        <v/>
      </c>
      <c r="H339" s="256" t="str">
        <f>IF(D339="","",VLOOKUP(F339,製品マスタ!$G$5:$K$4999,5,FALSE))</f>
        <v/>
      </c>
      <c r="I339" s="200" t="str">
        <f>IF(D339="","",VLOOKUP(F339,製品マスタ!$G$5:$L$4999,6,FALSE))</f>
        <v/>
      </c>
      <c r="J339" s="203" t="s">
        <v>448</v>
      </c>
      <c r="K339" s="200" t="str">
        <f>IF(D339="","",VLOOKUP(D339,契約台帳!$A$3:$L$4986,12,FALSE))</f>
        <v/>
      </c>
      <c r="L339" s="200" t="str">
        <f>IF(D339="","",INDEX(製品マスタ!$Q$5:$Q$4999,MATCH('S4'!F339&amp;'S4'!K339,製品マスタ!$AO$5:$AO$4999,0)))</f>
        <v/>
      </c>
      <c r="M339" s="37"/>
      <c r="N339" s="37"/>
      <c r="O339" s="153"/>
      <c r="P339" s="45"/>
      <c r="Q339" s="54"/>
      <c r="R339" s="257" t="str">
        <f ca="1">IF(D339="","",IF(OFFSET(D339,-1,0)&lt;&gt;"","",IF(OR(J339="リード付け",J339="巻足し",J339="巻返しリード付け"),M339,VLOOKUP(D339,契約台帳!$A$3:$N$4986,14,FALSE))))</f>
        <v/>
      </c>
      <c r="S339" s="258" t="str">
        <f ca="1">IF(D339="","",IF(OFFSET(D339,-1,0)&lt;&gt;"","",IF(OR(J339="リード付け",J339="巻足し",J339="巻返しリード付け"),M339,VLOOKUP(D339,契約台帳!$A$3:$O$4986,15,FALSE))))</f>
        <v/>
      </c>
      <c r="T339" s="258" t="str">
        <f ca="1">IF(D339="","",IF(J339="リード付け",N339,IF(J339="巻返しリード付け",N339,IF(J339="巻足し",N339*P339+OFFSET(N339,1,0)*OFFSET(P339,1,0),VLOOKUP(D339,契約台帳!$A$3:$P$4986,16,FALSE)))))</f>
        <v/>
      </c>
      <c r="U339" s="38"/>
      <c r="V339" s="259" t="str">
        <f ca="1">IF(D339="","",IF(OFFSET(D339,-2,0)=D339,"",VLOOKUP(D339,契約台帳!$A$3:$R$4986,18,FALSE)))</f>
        <v/>
      </c>
      <c r="W339" s="256" t="str">
        <f>IF(D339="","",IF(T339="","",IF(OR(J339="巻足し",J339="巻返しリード付け"),"",IF(J339="巻返し",VLOOKUP(F339&amp;K339&amp;M339,製品マスタ!$M$5:$AD$4999,18,FALSE),IF(OR(J339="リード付け",J339="巻返しリード付け"),"原反コア",IF(J339="スリット",VLOOKUP(F339&amp;K339&amp;R339,製品マスタ!$N$5:$AD$4999,17,FALSE),""))))))</f>
        <v/>
      </c>
      <c r="X339" s="256" t="str">
        <f>IF(D339="","",IF(T339="","",IF(J339="巻足し","",IF(J339="巻返し",VLOOKUP(F339&amp;K339&amp;M339,製品マスタ!$M$5:$AE$4999,19,FALSE),IF(OR(J339="リード付け",J339="巻返しリード付け"),"",IF(J339="スリット",VLOOKUP(F339&amp;K339&amp;R339,製品マスタ!$N$5:$AE$4999,18,FALSE),""))))))</f>
        <v/>
      </c>
      <c r="Y339" s="256" t="str">
        <f>IF(D339="","",IF(T339="","",VLOOKUP(D339,契約台帳!$A$3:$Q$4986,17,FALSE)))</f>
        <v/>
      </c>
      <c r="Z339" s="256" t="str">
        <f>IF(D339="","",IF(T339="","",VLOOKUP(D339,契約台帳!$A$3:$E$4986,5,FALSE)))</f>
        <v/>
      </c>
      <c r="AA339" s="54"/>
      <c r="AB339" s="200" t="str">
        <f>IFERROR((VLOOKUP(F339&amp;K339&amp;M339,製品マスタ!$M$5:$AM$4999,27,FALSE)),"")</f>
        <v/>
      </c>
      <c r="AC339" s="31"/>
      <c r="AD339" s="184"/>
      <c r="AE339" s="51"/>
      <c r="AF339" s="52"/>
      <c r="AG339" s="41"/>
      <c r="AH339" s="45"/>
      <c r="AI339" s="28"/>
      <c r="AJ339" s="28"/>
      <c r="AK339" s="28"/>
      <c r="AL339" s="28"/>
      <c r="AM339" s="12"/>
      <c r="AN339" s="12"/>
      <c r="AO339" s="12"/>
      <c r="AP339" s="12"/>
      <c r="AQ339" s="12"/>
      <c r="AR339" s="13"/>
      <c r="AS339" s="14"/>
    </row>
    <row r="340" spans="1:45" s="16" customFormat="1" ht="30.95" hidden="1" customHeight="1" x14ac:dyDescent="0.2">
      <c r="A340" s="35"/>
      <c r="B340" s="36"/>
      <c r="C340" s="43"/>
      <c r="D340" s="29"/>
      <c r="E340" s="29"/>
      <c r="F340" s="255" t="str">
        <f>IF(D340="","",VLOOKUP(D340,契約台帳!$A$3:$K$4986,6,FALSE)&amp;VLOOKUP(D340,契約台帳!$A$3:$K$4986,7,FALSE)&amp;VLOOKUP(D340,契約台帳!$A$3:$K$4986,8,FALSE)&amp;VLOOKUP(D340,契約台帳!$A$3:$K$4986,9,FALSE)&amp;VLOOKUP(D340,契約台帳!$A$3:$K$4986,11,FALSE))</f>
        <v/>
      </c>
      <c r="G340" s="256" t="str">
        <f>IF(D340="","",VLOOKUP(F340,製品マスタ!$G$5:$H$4999,2,FALSE))</f>
        <v/>
      </c>
      <c r="H340" s="256" t="str">
        <f>IF(D340="","",VLOOKUP(F340,製品マスタ!$G$5:$K$4999,5,FALSE))</f>
        <v/>
      </c>
      <c r="I340" s="200" t="str">
        <f>IF(D340="","",VLOOKUP(F340,製品マスタ!$G$5:$L$4999,6,FALSE))</f>
        <v/>
      </c>
      <c r="J340" s="203"/>
      <c r="K340" s="200" t="str">
        <f>IF(D340="","",VLOOKUP(D340,契約台帳!$A$3:$L$4986,12,FALSE))</f>
        <v/>
      </c>
      <c r="L340" s="200" t="str">
        <f>IF(D340="","",INDEX(製品マスタ!$Q$5:$Q$4999,MATCH('S4'!F340&amp;'S4'!K340,製品マスタ!$AO$5:$AO$4999,0)))</f>
        <v/>
      </c>
      <c r="M340" s="37"/>
      <c r="N340" s="37"/>
      <c r="O340" s="153"/>
      <c r="P340" s="45"/>
      <c r="Q340" s="54"/>
      <c r="R340" s="257" t="str">
        <f ca="1">IF(D340="","",IF(OFFSET(D340,-1,0)&lt;&gt;"","",IF(OR(J340="リード付け",J340="巻足し",J340="巻返しリード付け"),M340,VLOOKUP(D340,契約台帳!$A$3:$N$4986,14,FALSE))))</f>
        <v/>
      </c>
      <c r="S340" s="258" t="str">
        <f ca="1">IF(D340="","",IF(OFFSET(D340,-1,0)&lt;&gt;"","",IF(OR(J340="リード付け",J340="巻足し",J340="巻返しリード付け"),M340,VLOOKUP(D340,契約台帳!$A$3:$O$4986,15,FALSE))))</f>
        <v/>
      </c>
      <c r="T340" s="258" t="str">
        <f ca="1">IF(D340="","",IF(J340="リード付け",N340,IF(J340="巻返しリード付け",N340,IF(J340="巻足し",N340*P340+OFFSET(N340,1,0)*OFFSET(P340,1,0),VLOOKUP(D340,契約台帳!$A$3:$P$4986,16,FALSE)))))</f>
        <v/>
      </c>
      <c r="U340" s="38"/>
      <c r="V340" s="259" t="str">
        <f ca="1">IF(D340="","",IF(OFFSET(D340,-2,0)=D340,"",VLOOKUP(D340,契約台帳!$A$3:$R$4986,18,FALSE)))</f>
        <v/>
      </c>
      <c r="W340" s="256" t="str">
        <f>IF(D340="","",IF(T340="","",IF(OR(J340="巻足し",J340="巻返しリード付け"),"",IF(J340="巻返し",VLOOKUP(F340&amp;K340&amp;M340,製品マスタ!$M$5:$AD$4999,18,FALSE),IF(OR(J340="リード付け",J340="巻返しリード付け"),"原反コア",IF(J340="スリット",VLOOKUP(F340&amp;K340&amp;R340,製品マスタ!$N$5:$AD$4999,17,FALSE),""))))))</f>
        <v/>
      </c>
      <c r="X340" s="256" t="str">
        <f>IF(D340="","",IF(T340="","",IF(J340="巻足し","",IF(J340="巻返し",VLOOKUP(F340&amp;K340&amp;M340,製品マスタ!$M$5:$AE$4999,19,FALSE),IF(OR(J340="リード付け",J340="巻返しリード付け"),"",IF(J340="スリット",VLOOKUP(F340&amp;K340&amp;R340,製品マスタ!$N$5:$AE$4999,18,FALSE),""))))))</f>
        <v/>
      </c>
      <c r="Y340" s="256" t="str">
        <f>IF(D340="","",IF(T340="","",VLOOKUP(D340,契約台帳!$A$3:$Q$4986,17,FALSE)))</f>
        <v/>
      </c>
      <c r="Z340" s="256" t="str">
        <f>IF(D340="","",IF(T340="","",VLOOKUP(D340,契約台帳!$A$3:$E$4986,5,FALSE)))</f>
        <v/>
      </c>
      <c r="AA340" s="54"/>
      <c r="AB340" s="200" t="str">
        <f>IFERROR((VLOOKUP(F340&amp;K340&amp;M340,製品マスタ!$M$5:$AM$4999,27,FALSE)),"")</f>
        <v/>
      </c>
      <c r="AC340" s="31"/>
      <c r="AD340" s="184"/>
      <c r="AE340" s="51"/>
      <c r="AF340" s="52"/>
      <c r="AG340" s="41"/>
      <c r="AH340" s="45"/>
      <c r="AI340" s="28"/>
      <c r="AJ340" s="28"/>
      <c r="AK340" s="28"/>
      <c r="AL340" s="28"/>
      <c r="AM340" s="12"/>
      <c r="AN340" s="12"/>
      <c r="AO340" s="12"/>
      <c r="AP340" s="12"/>
      <c r="AQ340" s="12"/>
      <c r="AR340" s="13"/>
      <c r="AS340" s="14"/>
    </row>
    <row r="341" spans="1:45" s="16" customFormat="1" ht="30.95" hidden="1" customHeight="1" x14ac:dyDescent="0.2">
      <c r="A341" s="35" t="s">
        <v>953</v>
      </c>
      <c r="B341" s="36" t="s">
        <v>945</v>
      </c>
      <c r="C341" s="43"/>
      <c r="D341" s="29">
        <v>3700964</v>
      </c>
      <c r="E341" s="29">
        <v>4161834</v>
      </c>
      <c r="F341" s="255" t="str">
        <f>IF(D341="","",VLOOKUP(D341,契約台帳!$A$3:$K$4986,6,FALSE)&amp;VLOOKUP(D341,契約台帳!$A$3:$K$4986,7,FALSE)&amp;VLOOKUP(D341,契約台帳!$A$3:$K$4986,8,FALSE)&amp;VLOOKUP(D341,契約台帳!$A$3:$K$4986,9,FALSE)&amp;VLOOKUP(D341,契約台帳!$A$3:$K$4986,11,FALSE))</f>
        <v>3SNMCLBHLGTV</v>
      </c>
      <c r="G341" s="256" t="str">
        <f>IF(D341="","",VLOOKUP(F341,製品マスタ!$G$5:$H$4999,2,FALSE))</f>
        <v>S</v>
      </c>
      <c r="H341" s="256" t="str">
        <f>IF(D341="","",VLOOKUP(F341,製品マスタ!$G$5:$K$4999,5,FALSE))</f>
        <v>HLGTV</v>
      </c>
      <c r="I341" s="200" t="str">
        <f>IF(D341="","",VLOOKUP(F341,製品マスタ!$G$5:$L$4999,6,FALSE))</f>
        <v>メタルミー　ヘヤライン　銀艶Ｖ</v>
      </c>
      <c r="J341" s="203" t="s">
        <v>954</v>
      </c>
      <c r="K341" s="200">
        <f>IF(D341="","",VLOOKUP(D341,契約台帳!$A$3:$L$4986,12,FALSE))</f>
        <v>25</v>
      </c>
      <c r="L341" s="200" t="str">
        <f>IF(D341="","",INDEX(製品マスタ!$Q$5:$Q$4999,MATCH('S4'!F341&amp;'S4'!K341,製品マスタ!$AO$5:$AO$4999,0)))</f>
        <v>BRIGHT</v>
      </c>
      <c r="M341" s="37">
        <v>1005</v>
      </c>
      <c r="N341" s="37">
        <v>8000</v>
      </c>
      <c r="O341" s="153">
        <v>1</v>
      </c>
      <c r="P341" s="45">
        <v>1</v>
      </c>
      <c r="Q341" s="206">
        <v>44987</v>
      </c>
      <c r="R341" s="257">
        <f ca="1">IF(D341="","",IF(OFFSET(D341,-1,0)&lt;&gt;"","",IF(OR(J341="リード付け",J341="巻足し",J341="巻返しリード付け"),M341,VLOOKUP(D341,契約台帳!$A$3:$N$4986,14,FALSE))))</f>
        <v>1005</v>
      </c>
      <c r="S341" s="258">
        <f ca="1">IF(D341="","",IF(OFFSET(D341,-1,0)&lt;&gt;"","",IF(OR(J341="リード付け",J341="巻足し",J341="巻返しリード付け"),M341,VLOOKUP(D341,契約台帳!$A$3:$O$4986,15,FALSE))))</f>
        <v>1005</v>
      </c>
      <c r="T341" s="258">
        <f ca="1">IF(D341="","",IF(J341="リード付け",N341,IF(J341="巻返しリード付け",N341,IF(J341="巻足し",N341*P341+OFFSET(N341,1,0)*OFFSET(P341,1,0),VLOOKUP(D341,契約台帳!$A$3:$P$4986,16,FALSE)))))</f>
        <v>8000</v>
      </c>
      <c r="U341" s="38">
        <v>1</v>
      </c>
      <c r="V341" s="259">
        <f ca="1">IF(D341="","",IF(OFFSET(D341,-2,0)=D341,"",VLOOKUP(D341,契約台帳!$A$3:$R$4986,18,FALSE)))</f>
        <v>4</v>
      </c>
      <c r="W341" s="256" t="str">
        <f ca="1">IF(D341="","",IF(T341="","",IF(OR(J341="巻足し",J341="巻返しリード付け"),"",IF(J341="巻返し",VLOOKUP(F341&amp;K341&amp;M341,製品マスタ!$M$5:$AD$4999,18,FALSE),IF(OR(J341="リード付け",J341="巻返しリード付け"),"原反コア",IF(J341="スリット",VLOOKUP(F341&amp;K341&amp;R341,製品マスタ!$N$5:$AD$4999,17,FALSE),""))))))</f>
        <v>原反コア</v>
      </c>
      <c r="X341" s="256" t="str">
        <f ca="1">IF(D341="","",IF(T341="","",IF(J341="巻足し","",IF(J341="巻返し",VLOOKUP(F341&amp;K341&amp;M341,製品マスタ!$M$5:$AE$4999,19,FALSE),IF(OR(J341="リード付け",J341="巻返しリード付け"),"",IF(J341="スリット",VLOOKUP(F341&amp;K341&amp;R341,製品マスタ!$N$5:$AE$4999,18,FALSE),""))))))</f>
        <v/>
      </c>
      <c r="Y341" s="256">
        <f ca="1">IF(D341="","",IF(T341="","",VLOOKUP(D341,契約台帳!$A$3:$Q$4986,17,FALSE)))</f>
        <v>2</v>
      </c>
      <c r="Z341" s="256" t="str">
        <f ca="1">IF(D341="","",IF(T341="","",VLOOKUP(D341,契約台帳!$A$3:$E$4986,5,FALSE)))</f>
        <v>リンテック㈱</v>
      </c>
      <c r="AA341" s="54"/>
      <c r="AB341" s="200">
        <f>IFERROR((VLOOKUP(F341&amp;K341&amp;M341,製品マスタ!$M$5:$AM$4999,27,FALSE)),"")</f>
        <v>0</v>
      </c>
      <c r="AC341" s="31"/>
      <c r="AD341" s="184"/>
      <c r="AE341" s="51"/>
      <c r="AF341" s="52"/>
      <c r="AG341" s="41"/>
      <c r="AH341" s="45"/>
      <c r="AI341" s="28"/>
      <c r="AJ341" s="28"/>
      <c r="AK341" s="28"/>
      <c r="AL341" s="28"/>
      <c r="AM341" s="12"/>
      <c r="AN341" s="12"/>
      <c r="AO341" s="12"/>
      <c r="AP341" s="12"/>
      <c r="AQ341" s="12"/>
      <c r="AR341" s="13"/>
      <c r="AS341" s="14"/>
    </row>
    <row r="342" spans="1:45" s="16" customFormat="1" ht="30.95" hidden="1" customHeight="1" x14ac:dyDescent="0.2">
      <c r="A342" s="35"/>
      <c r="B342" s="36"/>
      <c r="C342" s="43"/>
      <c r="D342" s="29"/>
      <c r="E342" s="29"/>
      <c r="F342" s="255" t="str">
        <f>IF(D342="","",VLOOKUP(D342,契約台帳!$A$3:$K$4986,6,FALSE)&amp;VLOOKUP(D342,契約台帳!$A$3:$K$4986,7,FALSE)&amp;VLOOKUP(D342,契約台帳!$A$3:$K$4986,8,FALSE)&amp;VLOOKUP(D342,契約台帳!$A$3:$K$4986,9,FALSE)&amp;VLOOKUP(D342,契約台帳!$A$3:$K$4986,11,FALSE))</f>
        <v/>
      </c>
      <c r="G342" s="256" t="str">
        <f>IF(D342="","",VLOOKUP(F342,製品マスタ!$G$5:$H$4999,2,FALSE))</f>
        <v/>
      </c>
      <c r="H342" s="256" t="str">
        <f>IF(D342="","",VLOOKUP(F342,製品マスタ!$G$5:$K$4999,5,FALSE))</f>
        <v/>
      </c>
      <c r="I342" s="200" t="str">
        <f>IF(D342="","",VLOOKUP(F342,製品マスタ!$G$5:$L$4999,6,FALSE))</f>
        <v/>
      </c>
      <c r="J342" s="203"/>
      <c r="K342" s="200" t="str">
        <f>IF(D342="","",VLOOKUP(D342,契約台帳!$A$3:$L$4986,12,FALSE))</f>
        <v/>
      </c>
      <c r="L342" s="200" t="str">
        <f>IF(D342="","",INDEX(製品マスタ!$Q$5:$Q$4999,MATCH('S4'!F342&amp;'S4'!K342,製品マスタ!$AO$5:$AO$4999,0)))</f>
        <v/>
      </c>
      <c r="M342" s="37"/>
      <c r="N342" s="37"/>
      <c r="O342" s="153"/>
      <c r="P342" s="45"/>
      <c r="Q342" s="54"/>
      <c r="R342" s="257" t="str">
        <f ca="1">IF(D342="","",IF(OFFSET(D342,-1,0)&lt;&gt;"","",IF(OR(J342="リード付け",J342="巻足し",J342="巻返しリード付け"),M342,VLOOKUP(D342,契約台帳!$A$3:$N$4986,14,FALSE))))</f>
        <v/>
      </c>
      <c r="S342" s="258" t="str">
        <f ca="1">IF(D342="","",IF(OFFSET(D342,-1,0)&lt;&gt;"","",IF(OR(J342="リード付け",J342="巻足し",J342="巻返しリード付け"),M342,VLOOKUP(D342,契約台帳!$A$3:$O$4986,15,FALSE))))</f>
        <v/>
      </c>
      <c r="T342" s="258" t="str">
        <f ca="1">IF(D342="","",IF(J342="リード付け",N342,IF(J342="巻返しリード付け",N342,IF(J342="巻足し",N342*P342+OFFSET(N342,1,0)*OFFSET(P342,1,0),VLOOKUP(D342,契約台帳!$A$3:$P$4986,16,FALSE)))))</f>
        <v/>
      </c>
      <c r="U342" s="38"/>
      <c r="V342" s="259" t="str">
        <f ca="1">IF(D342="","",IF(OFFSET(D342,-2,0)=D342,"",VLOOKUP(D342,契約台帳!$A$3:$R$4986,18,FALSE)))</f>
        <v/>
      </c>
      <c r="W342" s="256" t="str">
        <f>IF(D342="","",IF(T342="","",IF(OR(J342="巻足し",J342="巻返しリード付け"),"",IF(J342="巻返し",VLOOKUP(F342&amp;K342&amp;M342,製品マスタ!$M$5:$AD$4999,18,FALSE),IF(OR(J342="リード付け",J342="巻返しリード付け"),"原反コア",IF(J342="スリット",VLOOKUP(F342&amp;K342&amp;R342,製品マスタ!$N$5:$AD$4999,17,FALSE),""))))))</f>
        <v/>
      </c>
      <c r="X342" s="256" t="str">
        <f>IF(D342="","",IF(T342="","",IF(J342="巻足し","",IF(J342="巻返し",VLOOKUP(F342&amp;K342&amp;M342,製品マスタ!$M$5:$AE$4999,19,FALSE),IF(OR(J342="リード付け",J342="巻返しリード付け"),"",IF(J342="スリット",VLOOKUP(F342&amp;K342&amp;R342,製品マスタ!$N$5:$AE$4999,18,FALSE),""))))))</f>
        <v/>
      </c>
      <c r="Y342" s="256" t="str">
        <f>IF(D342="","",IF(T342="","",VLOOKUP(D342,契約台帳!$A$3:$Q$4986,17,FALSE)))</f>
        <v/>
      </c>
      <c r="Z342" s="256" t="str">
        <f>IF(D342="","",IF(T342="","",VLOOKUP(D342,契約台帳!$A$3:$E$4986,5,FALSE)))</f>
        <v/>
      </c>
      <c r="AA342" s="54"/>
      <c r="AB342" s="200" t="str">
        <f>IFERROR((VLOOKUP(F342&amp;K342&amp;M342,製品マスタ!$M$5:$AM$4999,27,FALSE)),"")</f>
        <v/>
      </c>
      <c r="AC342" s="31"/>
      <c r="AD342" s="184"/>
      <c r="AE342" s="51"/>
      <c r="AF342" s="52"/>
      <c r="AG342" s="41"/>
      <c r="AH342" s="45"/>
      <c r="AI342" s="28"/>
      <c r="AJ342" s="28"/>
      <c r="AK342" s="28"/>
      <c r="AL342" s="28"/>
      <c r="AM342" s="12"/>
      <c r="AN342" s="12"/>
      <c r="AO342" s="12"/>
      <c r="AP342" s="12"/>
      <c r="AQ342" s="12"/>
      <c r="AR342" s="13"/>
      <c r="AS342" s="14"/>
    </row>
    <row r="343" spans="1:45" s="16" customFormat="1" ht="30.95" hidden="1" customHeight="1" x14ac:dyDescent="0.2">
      <c r="A343" s="35"/>
      <c r="B343" s="36"/>
      <c r="C343" s="43"/>
      <c r="D343" s="29">
        <v>3702649</v>
      </c>
      <c r="E343" s="29">
        <v>4161859</v>
      </c>
      <c r="F343" s="255" t="str">
        <f>IF(D343="","",VLOOKUP(D343,契約台帳!$A$3:$K$4986,6,FALSE)&amp;VLOOKUP(D343,契約台帳!$A$3:$K$4986,7,FALSE)&amp;VLOOKUP(D343,契約台帳!$A$3:$K$4986,8,FALSE)&amp;VLOOKUP(D343,契約台帳!$A$3:$K$4986,9,FALSE)&amp;VLOOKUP(D343,契約台帳!$A$3:$K$4986,11,FALSE))</f>
        <v>3TNMLBHLGTF</v>
      </c>
      <c r="G343" s="256" t="str">
        <f>IF(D343="","",VLOOKUP(F343,製品マスタ!$G$5:$H$4999,2,FALSE))</f>
        <v>T</v>
      </c>
      <c r="H343" s="256" t="str">
        <f>IF(D343="","",VLOOKUP(F343,製品マスタ!$G$5:$K$4999,5,FALSE))</f>
        <v>HLGTF</v>
      </c>
      <c r="I343" s="200" t="str">
        <f>IF(D343="","",VLOOKUP(F343,製品マスタ!$G$5:$L$4999,6,FALSE))</f>
        <v>メタルミーヘヤライン銀艶</v>
      </c>
      <c r="J343" s="203" t="s">
        <v>935</v>
      </c>
      <c r="K343" s="200">
        <f>IF(D343="","",VLOOKUP(D343,契約台帳!$A$3:$L$4986,12,FALSE))</f>
        <v>50</v>
      </c>
      <c r="L343" s="200" t="str">
        <f>IF(D343="","",INDEX(製品マスタ!$Q$5:$Q$4999,MATCH('S4'!F343&amp;'S4'!K343,製品マスタ!$AO$5:$AO$4999,0)))</f>
        <v>BRIGHT</v>
      </c>
      <c r="M343" s="37">
        <v>1005</v>
      </c>
      <c r="N343" s="37">
        <v>4100</v>
      </c>
      <c r="O343" s="153">
        <v>2</v>
      </c>
      <c r="P343" s="45">
        <v>2</v>
      </c>
      <c r="Q343" s="206">
        <v>44987</v>
      </c>
      <c r="R343" s="257">
        <v>1005</v>
      </c>
      <c r="S343" s="258">
        <v>1005</v>
      </c>
      <c r="T343" s="258">
        <v>8200</v>
      </c>
      <c r="U343" s="38">
        <v>1</v>
      </c>
      <c r="V343" s="259">
        <f ca="1">IF(D343="","",IF(OFFSET(D343,-2,0)=D343,"",VLOOKUP(D343,契約台帳!$A$3:$R$4986,18,FALSE)))</f>
        <v>2</v>
      </c>
      <c r="W343" s="256" t="str">
        <f>IF(D343="","",IF(T343="","",IF(OR(J343="巻足し",J343="巻返しリード付け"),"",IF(J343="巻返し",VLOOKUP(F343&amp;K343&amp;M343,製品マスタ!$M$5:$AD$4999,18,FALSE),IF(OR(J343="リード付け",J343="巻返しリード付け"),"原反コア",IF(J343="スリット",VLOOKUP(F343&amp;K343&amp;R343,製品マスタ!$N$5:$AD$4999,17,FALSE),""))))))</f>
        <v/>
      </c>
      <c r="X343" s="256" t="str">
        <f>IF(D343="","",IF(T343="","",IF(J343="巻足し","",IF(J343="巻返し",VLOOKUP(F343&amp;K343&amp;M343,製品マスタ!$M$5:$AE$4999,19,FALSE),IF(OR(J343="リード付け",J343="巻返しリード付け"),"",IF(J343="スリット",VLOOKUP(F343&amp;K343&amp;R343,製品マスタ!$N$5:$AE$4999,18,FALSE),""))))))</f>
        <v/>
      </c>
      <c r="Y343" s="256">
        <f>IF(D343="","",IF(T343="","",VLOOKUP(D343,契約台帳!$A$3:$Q$4986,17,FALSE)))</f>
        <v>2</v>
      </c>
      <c r="Z343" s="256" t="str">
        <f>IF(D343="","",IF(T343="","",VLOOKUP(D343,契約台帳!$A$3:$E$4986,5,FALSE)))</f>
        <v>アジヤアルミ㈱</v>
      </c>
      <c r="AA343" s="54"/>
      <c r="AB343" s="200" t="s">
        <v>774</v>
      </c>
      <c r="AC343" s="31"/>
      <c r="AD343" s="184"/>
      <c r="AE343" s="51"/>
      <c r="AF343" s="52"/>
      <c r="AG343" s="41"/>
      <c r="AH343" s="45"/>
      <c r="AI343" s="28"/>
      <c r="AJ343" s="28"/>
      <c r="AK343" s="28"/>
      <c r="AL343" s="28"/>
      <c r="AM343" s="12"/>
      <c r="AN343" s="12"/>
      <c r="AO343" s="12"/>
      <c r="AP343" s="12"/>
      <c r="AQ343" s="12"/>
      <c r="AR343" s="13"/>
      <c r="AS343" s="14"/>
    </row>
    <row r="344" spans="1:45" s="16" customFormat="1" ht="30.95" hidden="1" customHeight="1" x14ac:dyDescent="0.2">
      <c r="A344" s="35"/>
      <c r="B344" s="36"/>
      <c r="C344" s="43"/>
      <c r="D344" s="29"/>
      <c r="E344" s="29"/>
      <c r="F344" s="255"/>
      <c r="G344" s="256"/>
      <c r="H344" s="256"/>
      <c r="I344" s="200"/>
      <c r="J344" s="203"/>
      <c r="K344" s="200"/>
      <c r="L344" s="200"/>
      <c r="M344" s="37"/>
      <c r="N344" s="37"/>
      <c r="O344" s="153"/>
      <c r="P344" s="45"/>
      <c r="Q344" s="54"/>
      <c r="R344" s="257"/>
      <c r="S344" s="258"/>
      <c r="T344" s="258"/>
      <c r="U344" s="38"/>
      <c r="V344" s="259"/>
      <c r="W344" s="256"/>
      <c r="X344" s="256"/>
      <c r="Y344" s="256"/>
      <c r="Z344" s="256"/>
      <c r="AA344" s="54"/>
      <c r="AB344" s="200"/>
      <c r="AC344" s="31"/>
      <c r="AD344" s="184"/>
      <c r="AE344" s="51"/>
      <c r="AF344" s="52"/>
      <c r="AG344" s="41"/>
      <c r="AH344" s="45"/>
      <c r="AI344" s="28"/>
      <c r="AJ344" s="28"/>
      <c r="AK344" s="28"/>
      <c r="AL344" s="28"/>
      <c r="AM344" s="12"/>
      <c r="AN344" s="12"/>
      <c r="AO344" s="12"/>
      <c r="AP344" s="12"/>
      <c r="AQ344" s="12"/>
      <c r="AR344" s="13"/>
      <c r="AS344" s="14"/>
    </row>
    <row r="345" spans="1:45" s="16" customFormat="1" ht="30.95" hidden="1" customHeight="1" x14ac:dyDescent="0.2">
      <c r="A345" s="35"/>
      <c r="B345" s="36"/>
      <c r="C345" s="43"/>
      <c r="D345" s="29">
        <v>3700960</v>
      </c>
      <c r="E345" s="29">
        <v>4161846</v>
      </c>
      <c r="F345" s="255" t="str">
        <f>IF(D345="","",VLOOKUP(D345,契約台帳!$A$3:$K$4986,6,FALSE)&amp;VLOOKUP(D345,契約台帳!$A$3:$K$4986,7,FALSE)&amp;VLOOKUP(D345,契約台帳!$A$3:$K$4986,8,FALSE)&amp;VLOOKUP(D345,契約台帳!$A$3:$K$4986,9,FALSE)&amp;VLOOKUP(D345,契約台帳!$A$3:$K$4986,11,FALSE))</f>
        <v>3SNMLBMNNGKBF</v>
      </c>
      <c r="G345" s="256" t="str">
        <f>IF(D345="","",VLOOKUP(F345,製品マスタ!$G$5:$H$4999,2,FALSE))</f>
        <v>S</v>
      </c>
      <c r="H345" s="256" t="str">
        <f>IF(D345="","",VLOOKUP(F345,製品マスタ!$G$5:$K$4999,5,FALSE))</f>
        <v>MNNGKBF</v>
      </c>
      <c r="I345" s="200" t="str">
        <f>IF(D345="","",VLOOKUP(F345,製品マスタ!$G$5:$L$4999,6,FALSE))</f>
        <v>メタルミー　ニューネーマー銀消　Ｂ</v>
      </c>
      <c r="J345" s="203" t="s">
        <v>935</v>
      </c>
      <c r="K345" s="200">
        <f>IF(D345="","",VLOOKUP(D345,契約台帳!$A$3:$L$4986,12,FALSE))</f>
        <v>50</v>
      </c>
      <c r="L345" s="200" t="str">
        <f>IF(D345="","",INDEX(製品マスタ!$Q$5:$Q$4999,MATCH('S4'!F345&amp;'S4'!K345,製品マスタ!$AO$5:$AO$4999,0)))</f>
        <v>X44</v>
      </c>
      <c r="M345" s="37">
        <v>1000</v>
      </c>
      <c r="N345" s="37">
        <v>4000</v>
      </c>
      <c r="O345" s="153">
        <v>15</v>
      </c>
      <c r="P345" s="45">
        <v>3</v>
      </c>
      <c r="Q345" s="206">
        <v>44992</v>
      </c>
      <c r="R345" s="257">
        <f ca="1">IF(D345="","",IF(OFFSET(D345,-1,0)&lt;&gt;"","",IF(OR(J345="リード付け",J345="巻足し",J345="巻返しリード付け"),M345,VLOOKUP(D345,契約台帳!$A$3:$N$4986,14,FALSE))))</f>
        <v>1000</v>
      </c>
      <c r="S345" s="258">
        <f ca="1">IF(D345="","",IF(OFFSET(D345,-1,0)&lt;&gt;"","",IF(OR(J345="リード付け",J345="巻足し",J345="巻返しリード付け"),M345,VLOOKUP(D345,契約台帳!$A$3:$O$4986,15,FALSE))))</f>
        <v>1000</v>
      </c>
      <c r="T345" s="258">
        <f ca="1">IF(D345="","",IF(J345="リード付け",N345,IF(J345="巻返しリード付け",N345,IF(J345="巻足し",N345*P345+OFFSET(N345,1,0)*OFFSET(P345,1,0),VLOOKUP(D345,契約台帳!$A$3:$P$4986,16,FALSE)))))</f>
        <v>12000</v>
      </c>
      <c r="U345" s="38">
        <v>5</v>
      </c>
      <c r="V345" s="259">
        <f ca="1">IF(D345="","",IF(OFFSET(D345,-2,0)=D345,"",VLOOKUP(D345,契約台帳!$A$3:$R$4986,18,FALSE)))</f>
        <v>15</v>
      </c>
      <c r="W345" s="256" t="str">
        <f ca="1">IF(D345="","",IF(T345="","",IF(OR(J345="巻足し",J345="巻返しリード付け"),"",IF(J345="巻返し",VLOOKUP(F345&amp;K345&amp;M345,製品マスタ!$M$5:$AD$4999,18,FALSE),IF(OR(J345="リード付け",J345="巻返しリード付け"),"原反コア",IF(J345="スリット",VLOOKUP(F345&amp;K345&amp;R345,製品マスタ!$N$5:$AD$4999,17,FALSE),""))))))</f>
        <v/>
      </c>
      <c r="X345" s="256" t="str">
        <f ca="1">IF(D345="","",IF(T345="","",IF(J345="巻足し","",IF(J345="巻返し",VLOOKUP(F345&amp;K345&amp;M345,製品マスタ!$M$5:$AE$4999,19,FALSE),IF(OR(J345="リード付け",J345="巻返しリード付け"),"",IF(J345="スリット",VLOOKUP(F345&amp;K345&amp;R345,製品マスタ!$N$5:$AE$4999,18,FALSE),""))))))</f>
        <v/>
      </c>
      <c r="Y345" s="256">
        <f ca="1">IF(D345="","",IF(T345="","",VLOOKUP(D345,契約台帳!$A$3:$Q$4986,17,FALSE)))</f>
        <v>2</v>
      </c>
      <c r="Z345" s="256" t="str">
        <f ca="1">IF(D345="","",IF(T345="","",VLOOKUP(D345,契約台帳!$A$3:$E$4986,5,FALSE)))</f>
        <v>リンテック㈱</v>
      </c>
      <c r="AA345" s="54"/>
      <c r="AB345" s="200" t="str">
        <f>IFERROR((VLOOKUP(F345&amp;K345&amp;M345,製品マスタ!$M$5:$AM$4999,27,FALSE)),"")</f>
        <v>原反ケース再利用</v>
      </c>
      <c r="AC345" s="31"/>
      <c r="AD345" s="184"/>
      <c r="AE345" s="51"/>
      <c r="AF345" s="52"/>
      <c r="AG345" s="41"/>
      <c r="AH345" s="45"/>
      <c r="AI345" s="28"/>
      <c r="AJ345" s="28"/>
      <c r="AK345" s="28"/>
      <c r="AL345" s="28"/>
      <c r="AM345" s="12"/>
      <c r="AN345" s="12"/>
      <c r="AO345" s="12"/>
      <c r="AP345" s="12"/>
      <c r="AQ345" s="12"/>
      <c r="AR345" s="13"/>
      <c r="AS345" s="14"/>
    </row>
    <row r="346" spans="1:45" s="16" customFormat="1" ht="30.95" hidden="1" customHeight="1" x14ac:dyDescent="0.2">
      <c r="A346" s="35"/>
      <c r="B346" s="36"/>
      <c r="C346" s="43"/>
      <c r="D346" s="29"/>
      <c r="E346" s="29"/>
      <c r="F346" s="255" t="str">
        <f>IF(D346="","",VLOOKUP(D346,契約台帳!$A$3:$K$4986,6,FALSE)&amp;VLOOKUP(D346,契約台帳!$A$3:$K$4986,7,FALSE)&amp;VLOOKUP(D346,契約台帳!$A$3:$K$4986,8,FALSE)&amp;VLOOKUP(D346,契約台帳!$A$3:$K$4986,9,FALSE)&amp;VLOOKUP(D346,契約台帳!$A$3:$K$4986,11,FALSE))</f>
        <v/>
      </c>
      <c r="G346" s="256" t="str">
        <f>IF(D346="","",VLOOKUP(F346,製品マスタ!$G$5:$H$4999,2,FALSE))</f>
        <v/>
      </c>
      <c r="H346" s="256" t="str">
        <f>IF(D346="","",VLOOKUP(F346,製品マスタ!$G$5:$K$4999,5,FALSE))</f>
        <v/>
      </c>
      <c r="I346" s="200" t="str">
        <f>IF(D346="","",VLOOKUP(F346,製品マスタ!$G$5:$L$4999,6,FALSE))</f>
        <v/>
      </c>
      <c r="J346" s="203"/>
      <c r="K346" s="200" t="str">
        <f>IF(D346="","",VLOOKUP(D346,契約台帳!$A$3:$L$4986,12,FALSE))</f>
        <v/>
      </c>
      <c r="L346" s="200" t="str">
        <f>IF(D346="","",INDEX(製品マスタ!$Q$5:$Q$4999,MATCH('S4'!F346&amp;'S4'!K346,製品マスタ!$AO$5:$AO$4999,0)))</f>
        <v/>
      </c>
      <c r="M346" s="37"/>
      <c r="N346" s="37"/>
      <c r="O346" s="153"/>
      <c r="P346" s="45"/>
      <c r="Q346" s="54"/>
      <c r="R346" s="257" t="str">
        <f ca="1">IF(D346="","",IF(OFFSET(D346,-1,0)&lt;&gt;"","",IF(OR(J346="リード付け",J346="巻足し",J346="巻返しリード付け"),M346,VLOOKUP(D346,契約台帳!$A$3:$N$4986,14,FALSE))))</f>
        <v/>
      </c>
      <c r="S346" s="258" t="str">
        <f ca="1">IF(D346="","",IF(OFFSET(D346,-1,0)&lt;&gt;"","",IF(OR(J346="リード付け",J346="巻足し",J346="巻返しリード付け"),M346,VLOOKUP(D346,契約台帳!$A$3:$O$4986,15,FALSE))))</f>
        <v/>
      </c>
      <c r="T346" s="258" t="str">
        <f ca="1">IF(D346="","",IF(J346="リード付け",N346,IF(J346="巻返しリード付け",N346,IF(J346="巻足し",N346*P346+OFFSET(N346,1,0)*OFFSET(P346,1,0),VLOOKUP(D346,契約台帳!$A$3:$P$4986,16,FALSE)))))</f>
        <v/>
      </c>
      <c r="U346" s="38"/>
      <c r="V346" s="259" t="str">
        <f ca="1">IF(D346="","",IF(OFFSET(D346,-2,0)=D346,"",VLOOKUP(D346,契約台帳!$A$3:$R$4986,18,FALSE)))</f>
        <v/>
      </c>
      <c r="W346" s="256" t="str">
        <f>IF(D346="","",IF(T346="","",IF(OR(J346="巻足し",J346="巻返しリード付け"),"",IF(J346="巻返し",VLOOKUP(F346&amp;K346&amp;M346,製品マスタ!$M$5:$AD$4999,18,FALSE),IF(OR(J346="リード付け",J346="巻返しリード付け"),"原反コア",IF(J346="スリット",VLOOKUP(F346&amp;K346&amp;R346,製品マスタ!$N$5:$AD$4999,17,FALSE),""))))))</f>
        <v/>
      </c>
      <c r="X346" s="256" t="str">
        <f>IF(D346="","",IF(T346="","",IF(J346="巻足し","",IF(J346="巻返し",VLOOKUP(F346&amp;K346&amp;M346,製品マスタ!$M$5:$AE$4999,19,FALSE),IF(OR(J346="リード付け",J346="巻返しリード付け"),"",IF(J346="スリット",VLOOKUP(F346&amp;K346&amp;R346,製品マスタ!$N$5:$AE$4999,18,FALSE),""))))))</f>
        <v/>
      </c>
      <c r="Y346" s="256" t="str">
        <f>IF(D346="","",IF(T346="","",VLOOKUP(D346,契約台帳!$A$3:$Q$4986,17,FALSE)))</f>
        <v/>
      </c>
      <c r="Z346" s="256" t="str">
        <f>IF(D346="","",IF(T346="","",VLOOKUP(D346,契約台帳!$A$3:$E$4986,5,FALSE)))</f>
        <v/>
      </c>
      <c r="AA346" s="54"/>
      <c r="AB346" s="200" t="str">
        <f>IFERROR((VLOOKUP(F346&amp;K346&amp;M346,製品マスタ!$M$5:$AM$4999,27,FALSE)),"")</f>
        <v/>
      </c>
      <c r="AC346" s="31"/>
      <c r="AD346" s="184"/>
      <c r="AE346" s="51"/>
      <c r="AF346" s="52"/>
      <c r="AG346" s="41"/>
      <c r="AH346" s="45"/>
      <c r="AI346" s="28"/>
      <c r="AJ346" s="28"/>
      <c r="AK346" s="28"/>
      <c r="AL346" s="28"/>
      <c r="AM346" s="12"/>
      <c r="AN346" s="12"/>
      <c r="AO346" s="12"/>
      <c r="AP346" s="12"/>
      <c r="AQ346" s="12"/>
      <c r="AR346" s="13"/>
      <c r="AS346" s="14"/>
    </row>
    <row r="347" spans="1:45" s="16" customFormat="1" ht="30.95" hidden="1" customHeight="1" x14ac:dyDescent="0.2">
      <c r="A347" s="35"/>
      <c r="B347" s="36"/>
      <c r="C347" s="43"/>
      <c r="D347" s="29">
        <v>3700951</v>
      </c>
      <c r="E347" s="29">
        <v>4161839</v>
      </c>
      <c r="F347" s="255" t="str">
        <f>IF(D347="","",VLOOKUP(D347,契約台帳!$A$3:$K$4986,6,FALSE)&amp;VLOOKUP(D347,契約台帳!$A$3:$K$4986,7,FALSE)&amp;VLOOKUP(D347,契約台帳!$A$3:$K$4986,8,FALSE)&amp;VLOOKUP(D347,契約台帳!$A$3:$K$4986,9,FALSE)&amp;VLOOKUP(D347,契約台帳!$A$3:$K$4986,11,FALSE))</f>
        <v>3SNMLBMNGKKBF</v>
      </c>
      <c r="G347" s="256" t="str">
        <f>IF(D347="","",VLOOKUP(F347,製品マスタ!$G$5:$H$4999,2,FALSE))</f>
        <v>S</v>
      </c>
      <c r="H347" s="256" t="str">
        <f>IF(D347="","",VLOOKUP(F347,製品マスタ!$G$5:$K$4999,5,FALSE))</f>
        <v>MNGKKBF</v>
      </c>
      <c r="I347" s="200" t="str">
        <f>IF(D347="","",VLOOKUP(F347,製品マスタ!$G$5:$L$4999,6,FALSE))</f>
        <v>メタルミー　ネーマー銀消改　Ｂ</v>
      </c>
      <c r="J347" s="203" t="s">
        <v>935</v>
      </c>
      <c r="K347" s="200">
        <f>IF(D347="","",VLOOKUP(D347,契約台帳!$A$3:$L$4986,12,FALSE))</f>
        <v>50</v>
      </c>
      <c r="L347" s="200" t="str">
        <f>IF(D347="","",INDEX(製品マスタ!$Q$5:$Q$4999,MATCH('S4'!F347&amp;'S4'!K347,製品マスタ!$AO$5:$AO$4999,0)))</f>
        <v>S99-MAT</v>
      </c>
      <c r="M347" s="37">
        <v>1000</v>
      </c>
      <c r="N347" s="37">
        <v>4000</v>
      </c>
      <c r="O347" s="153">
        <v>2</v>
      </c>
      <c r="P347" s="45">
        <v>2</v>
      </c>
      <c r="Q347" s="206">
        <v>44993</v>
      </c>
      <c r="R347" s="257">
        <f ca="1">IF(D347="","",IF(OFFSET(D347,-1,0)&lt;&gt;"","",IF(OR(J347="リード付け",J347="巻足し",J347="巻返しリード付け"),M347,VLOOKUP(D347,契約台帳!$A$3:$N$4986,14,FALSE))))</f>
        <v>1000</v>
      </c>
      <c r="S347" s="258">
        <f ca="1">IF(D347="","",IF(OFFSET(D347,-1,0)&lt;&gt;"","",IF(OR(J347="リード付け",J347="巻足し",J347="巻返しリード付け"),M347,VLOOKUP(D347,契約台帳!$A$3:$O$4986,15,FALSE))))</f>
        <v>1000</v>
      </c>
      <c r="T347" s="258">
        <f ca="1">IF(D347="","",IF(J347="リード付け",N347,IF(J347="巻返しリード付け",N347,IF(J347="巻足し",N347*P347+OFFSET(N347,1,0)*OFFSET(P347,1,0),VLOOKUP(D347,契約台帳!$A$3:$P$4986,16,FALSE)))))</f>
        <v>8000</v>
      </c>
      <c r="U347" s="38">
        <v>1</v>
      </c>
      <c r="V347" s="259">
        <f ca="1">IF(D347="","",IF(OFFSET(D347,-2,0)=D347,"",VLOOKUP(D347,契約台帳!$A$3:$R$4986,18,FALSE)))</f>
        <v>2</v>
      </c>
      <c r="W347" s="256" t="str">
        <f ca="1">IF(D347="","",IF(T347="","",IF(OR(J347="巻足し",J347="巻返しリード付け"),"",IF(J347="巻返し",VLOOKUP(F347&amp;K347&amp;M347,製品マスタ!$M$5:$AD$4999,18,FALSE),IF(OR(J347="リード付け",J347="巻返しリード付け"),"原反コア",IF(J347="スリット",VLOOKUP(F347&amp;K347&amp;R347,製品マスタ!$N$5:$AD$4999,17,FALSE),""))))))</f>
        <v/>
      </c>
      <c r="X347" s="256" t="str">
        <f ca="1">IF(D347="","",IF(T347="","",IF(J347="巻足し","",IF(J347="巻返し",VLOOKUP(F347&amp;K347&amp;M347,製品マスタ!$M$5:$AE$4999,19,FALSE),IF(OR(J347="リード付け",J347="巻返しリード付け"),"",IF(J347="スリット",VLOOKUP(F347&amp;K347&amp;R347,製品マスタ!$N$5:$AE$4999,18,FALSE),""))))))</f>
        <v/>
      </c>
      <c r="Y347" s="256">
        <f ca="1">IF(D347="","",IF(T347="","",VLOOKUP(D347,契約台帳!$A$3:$Q$4986,17,FALSE)))</f>
        <v>2</v>
      </c>
      <c r="Z347" s="256" t="str">
        <f ca="1">IF(D347="","",IF(T347="","",VLOOKUP(D347,契約台帳!$A$3:$E$4986,5,FALSE)))</f>
        <v>リンテック㈱</v>
      </c>
      <c r="AA347" s="54"/>
      <c r="AB347" s="200">
        <f>IFERROR((VLOOKUP(F347&amp;K347&amp;M347,製品マスタ!$M$5:$AM$4999,27,FALSE)),"")</f>
        <v>0</v>
      </c>
      <c r="AC347" s="31"/>
      <c r="AD347" s="184"/>
      <c r="AE347" s="51"/>
      <c r="AF347" s="52"/>
      <c r="AG347" s="41"/>
      <c r="AH347" s="45"/>
      <c r="AI347" s="28"/>
      <c r="AJ347" s="28"/>
      <c r="AK347" s="28"/>
      <c r="AL347" s="28"/>
      <c r="AM347" s="12"/>
      <c r="AN347" s="12"/>
      <c r="AO347" s="12"/>
      <c r="AP347" s="12"/>
      <c r="AQ347" s="12"/>
      <c r="AR347" s="13"/>
      <c r="AS347" s="14"/>
    </row>
    <row r="348" spans="1:45" s="16" customFormat="1" ht="30.95" hidden="1" customHeight="1" x14ac:dyDescent="0.2">
      <c r="A348" s="35"/>
      <c r="B348" s="36"/>
      <c r="C348" s="43"/>
      <c r="D348" s="29"/>
      <c r="E348" s="29"/>
      <c r="F348" s="255" t="str">
        <f>IF(D348="","",VLOOKUP(D348,契約台帳!$A$3:$K$4986,6,FALSE)&amp;VLOOKUP(D348,契約台帳!$A$3:$K$4986,7,FALSE)&amp;VLOOKUP(D348,契約台帳!$A$3:$K$4986,8,FALSE)&amp;VLOOKUP(D348,契約台帳!$A$3:$K$4986,9,FALSE)&amp;VLOOKUP(D348,契約台帳!$A$3:$K$4986,11,FALSE))</f>
        <v/>
      </c>
      <c r="G348" s="256" t="str">
        <f>IF(D348="","",VLOOKUP(F348,製品マスタ!$G$5:$H$4999,2,FALSE))</f>
        <v/>
      </c>
      <c r="H348" s="256" t="str">
        <f>IF(D348="","",VLOOKUP(F348,製品マスタ!$G$5:$K$4999,5,FALSE))</f>
        <v/>
      </c>
      <c r="I348" s="200" t="str">
        <f>IF(D348="","",VLOOKUP(F348,製品マスタ!$G$5:$L$4999,6,FALSE))</f>
        <v/>
      </c>
      <c r="J348" s="203"/>
      <c r="K348" s="200" t="str">
        <f>IF(D348="","",VLOOKUP(D348,契約台帳!$A$3:$L$4986,12,FALSE))</f>
        <v/>
      </c>
      <c r="L348" s="200" t="str">
        <f>IF(D348="","",INDEX(製品マスタ!$Q$5:$Q$4999,MATCH('S4'!F348&amp;'S4'!K348,製品マスタ!$AO$5:$AO$4999,0)))</f>
        <v/>
      </c>
      <c r="M348" s="37"/>
      <c r="N348" s="37"/>
      <c r="O348" s="153"/>
      <c r="P348" s="45"/>
      <c r="Q348" s="54"/>
      <c r="R348" s="257" t="str">
        <f ca="1">IF(D348="","",IF(OFFSET(D348,-1,0)&lt;&gt;"","",IF(OR(J348="リード付け",J348="巻足し",J348="巻返しリード付け"),M348,VLOOKUP(D348,契約台帳!$A$3:$N$4986,14,FALSE))))</f>
        <v/>
      </c>
      <c r="S348" s="258" t="str">
        <f ca="1">IF(D348="","",IF(OFFSET(D348,-1,0)&lt;&gt;"","",IF(OR(J348="リード付け",J348="巻足し",J348="巻返しリード付け"),M348,VLOOKUP(D348,契約台帳!$A$3:$O$4986,15,FALSE))))</f>
        <v/>
      </c>
      <c r="T348" s="258" t="str">
        <f ca="1">IF(D348="","",IF(J348="リード付け",N348,IF(J348="巻返しリード付け",N348,IF(J348="巻足し",N348*P348+OFFSET(N348,1,0)*OFFSET(P348,1,0),VLOOKUP(D348,契約台帳!$A$3:$P$4986,16,FALSE)))))</f>
        <v/>
      </c>
      <c r="U348" s="38"/>
      <c r="V348" s="259" t="str">
        <f ca="1">IF(D348="","",IF(OFFSET(D348,-2,0)=D348,"",VLOOKUP(D348,契約台帳!$A$3:$R$4986,18,FALSE)))</f>
        <v/>
      </c>
      <c r="W348" s="256" t="str">
        <f>IF(D348="","",IF(T348="","",IF(OR(J348="巻足し",J348="巻返しリード付け"),"",IF(J348="巻返し",VLOOKUP(F348&amp;K348&amp;M348,製品マスタ!$M$5:$AD$4999,18,FALSE),IF(OR(J348="リード付け",J348="巻返しリード付け"),"原反コア",IF(J348="スリット",VLOOKUP(F348&amp;K348&amp;R348,製品マスタ!$N$5:$AD$4999,17,FALSE),""))))))</f>
        <v/>
      </c>
      <c r="X348" s="256" t="str">
        <f>IF(D348="","",IF(T348="","",IF(J348="巻足し","",IF(J348="巻返し",VLOOKUP(F348&amp;K348&amp;M348,製品マスタ!$M$5:$AE$4999,19,FALSE),IF(OR(J348="リード付け",J348="巻返しリード付け"),"",IF(J348="スリット",VLOOKUP(F348&amp;K348&amp;R348,製品マスタ!$N$5:$AE$4999,18,FALSE),""))))))</f>
        <v/>
      </c>
      <c r="Y348" s="256" t="str">
        <f>IF(D348="","",IF(T348="","",VLOOKUP(D348,契約台帳!$A$3:$Q$4986,17,FALSE)))</f>
        <v/>
      </c>
      <c r="Z348" s="256" t="str">
        <f>IF(D348="","",IF(T348="","",VLOOKUP(D348,契約台帳!$A$3:$E$4986,5,FALSE)))</f>
        <v/>
      </c>
      <c r="AA348" s="54"/>
      <c r="AB348" s="200" t="str">
        <f>IFERROR((VLOOKUP(F348&amp;K348&amp;M348,製品マスタ!$M$5:$AM$4999,27,FALSE)),"")</f>
        <v/>
      </c>
      <c r="AC348" s="31"/>
      <c r="AD348" s="184"/>
      <c r="AE348" s="51"/>
      <c r="AF348" s="52"/>
      <c r="AG348" s="41"/>
      <c r="AH348" s="45"/>
      <c r="AI348" s="28"/>
      <c r="AJ348" s="28"/>
      <c r="AK348" s="28"/>
      <c r="AL348" s="28"/>
      <c r="AM348" s="12"/>
      <c r="AN348" s="12"/>
      <c r="AO348" s="12"/>
      <c r="AP348" s="12"/>
      <c r="AQ348" s="12"/>
      <c r="AR348" s="13"/>
      <c r="AS348" s="14"/>
    </row>
    <row r="349" spans="1:45" s="16" customFormat="1" ht="30.95" hidden="1" customHeight="1" x14ac:dyDescent="0.2">
      <c r="A349" s="35" t="s">
        <v>955</v>
      </c>
      <c r="B349" s="36" t="s">
        <v>947</v>
      </c>
      <c r="C349" s="43"/>
      <c r="D349" s="29"/>
      <c r="E349" s="29"/>
      <c r="F349" s="255"/>
      <c r="G349" s="256"/>
      <c r="H349" s="256"/>
      <c r="I349" s="200"/>
      <c r="J349" s="203" t="s">
        <v>1001</v>
      </c>
      <c r="K349" s="200"/>
      <c r="L349" s="200"/>
      <c r="M349" s="37"/>
      <c r="N349" s="37"/>
      <c r="O349" s="153"/>
      <c r="P349" s="45"/>
      <c r="Q349" s="54"/>
      <c r="R349" s="257"/>
      <c r="S349" s="258"/>
      <c r="T349" s="258"/>
      <c r="U349" s="38"/>
      <c r="V349" s="259"/>
      <c r="W349" s="256"/>
      <c r="X349" s="256"/>
      <c r="Y349" s="256"/>
      <c r="Z349" s="256"/>
      <c r="AA349" s="54"/>
      <c r="AB349" s="200"/>
      <c r="AC349" s="31"/>
      <c r="AD349" s="184"/>
      <c r="AE349" s="51"/>
      <c r="AF349" s="52"/>
      <c r="AG349" s="41"/>
      <c r="AH349" s="45"/>
      <c r="AI349" s="28"/>
      <c r="AJ349" s="28"/>
      <c r="AK349" s="28"/>
      <c r="AL349" s="28"/>
      <c r="AM349" s="12"/>
      <c r="AN349" s="12"/>
      <c r="AO349" s="12"/>
      <c r="AP349" s="12"/>
      <c r="AQ349" s="12"/>
      <c r="AR349" s="13"/>
      <c r="AS349" s="14"/>
    </row>
    <row r="350" spans="1:45" s="16" customFormat="1" ht="30.95" hidden="1" customHeight="1" x14ac:dyDescent="0.2">
      <c r="A350" s="35"/>
      <c r="B350" s="36"/>
      <c r="C350" s="43"/>
      <c r="D350" s="29"/>
      <c r="E350" s="29"/>
      <c r="F350" s="255"/>
      <c r="G350" s="256"/>
      <c r="H350" s="256"/>
      <c r="I350" s="200"/>
      <c r="J350" s="203"/>
      <c r="K350" s="200"/>
      <c r="L350" s="200"/>
      <c r="M350" s="37"/>
      <c r="N350" s="37"/>
      <c r="O350" s="153"/>
      <c r="P350" s="45"/>
      <c r="Q350" s="54"/>
      <c r="R350" s="257"/>
      <c r="S350" s="258"/>
      <c r="T350" s="258"/>
      <c r="U350" s="38"/>
      <c r="V350" s="259"/>
      <c r="W350" s="256"/>
      <c r="X350" s="256"/>
      <c r="Y350" s="256"/>
      <c r="Z350" s="256"/>
      <c r="AA350" s="54"/>
      <c r="AB350" s="200"/>
      <c r="AC350" s="31"/>
      <c r="AD350" s="184"/>
      <c r="AE350" s="51"/>
      <c r="AF350" s="52"/>
      <c r="AG350" s="41"/>
      <c r="AH350" s="45"/>
      <c r="AI350" s="28"/>
      <c r="AJ350" s="28"/>
      <c r="AK350" s="28"/>
      <c r="AL350" s="28"/>
      <c r="AM350" s="12"/>
      <c r="AN350" s="12"/>
      <c r="AO350" s="12"/>
      <c r="AP350" s="12"/>
      <c r="AQ350" s="12"/>
      <c r="AR350" s="13"/>
      <c r="AS350" s="14"/>
    </row>
    <row r="351" spans="1:45" s="16" customFormat="1" ht="30.95" hidden="1" customHeight="1" x14ac:dyDescent="0.2">
      <c r="A351" s="35" t="s">
        <v>1005</v>
      </c>
      <c r="B351" s="36" t="s">
        <v>1006</v>
      </c>
      <c r="C351" s="43"/>
      <c r="D351" s="29">
        <v>3700966</v>
      </c>
      <c r="E351" s="29">
        <v>4140909</v>
      </c>
      <c r="F351" s="255" t="str">
        <f>IF(D351="","",VLOOKUP(D351,契約台帳!$A$3:$K$4986,6,FALSE)&amp;VLOOKUP(D351,契約台帳!$A$3:$K$4986,7,FALSE)&amp;VLOOKUP(D351,契約台帳!$A$3:$K$4986,8,FALSE)&amp;VLOOKUP(D351,契約台帳!$A$3:$K$4986,9,FALSE)&amp;VLOOKUP(D351,契約台帳!$A$3:$K$4986,11,FALSE))</f>
        <v>3SNCLBLMEYK</v>
      </c>
      <c r="G351" s="256" t="str">
        <f>IF(D351="","",VLOOKUP(F351,製品マスタ!$G$5:$H$4999,2,FALSE))</f>
        <v>S</v>
      </c>
      <c r="H351" s="256" t="str">
        <f>IF(D351="","",VLOOKUP(F351,製品マスタ!$G$5:$K$4999,5,FALSE))</f>
        <v>LMEYK</v>
      </c>
      <c r="I351" s="200" t="str">
        <f>IF(D351="","",VLOOKUP(F351,製品マスタ!$G$5:$L$4999,6,FALSE))</f>
        <v>ルミマットＥＹＫ</v>
      </c>
      <c r="J351" s="203" t="s">
        <v>447</v>
      </c>
      <c r="K351" s="200">
        <f>IF(D351="","",VLOOKUP(D351,契約台帳!$A$3:$L$4986,12,FALSE))</f>
        <v>38</v>
      </c>
      <c r="L351" s="200" t="str">
        <f>IF(D351="","",INDEX(製品マスタ!$Q$5:$Q$4999,MATCH('S4'!F351&amp;'S4'!K351,製品マスタ!$AO$5:$AO$4999,0)))</f>
        <v>LUMIMAT</v>
      </c>
      <c r="M351" s="37">
        <v>1005</v>
      </c>
      <c r="N351" s="37">
        <v>8000</v>
      </c>
      <c r="O351" s="153">
        <v>5</v>
      </c>
      <c r="P351" s="45">
        <v>5</v>
      </c>
      <c r="Q351" s="54"/>
      <c r="R351" s="257">
        <f ca="1">IF(D351="","",IF(OFFSET(D351,-1,0)&lt;&gt;"","",IF(OR(J351="リード付け",J351="巻足し",J351="巻返しリード付け"),M351,VLOOKUP(D351,契約台帳!$A$3:$N$4986,14,FALSE))))</f>
        <v>1005</v>
      </c>
      <c r="S351" s="258">
        <f ca="1">IF(D351="","",IF(OFFSET(D351,-1,0)&lt;&gt;"","",IF(OR(J351="リード付け",J351="巻足し",J351="巻返しリード付け"),M351,VLOOKUP(D351,契約台帳!$A$3:$O$4986,15,FALSE))))</f>
        <v>1000</v>
      </c>
      <c r="T351" s="258">
        <f ca="1">IF(D351="","",IF(J351="リード付け",N351,IF(J351="巻返しリード付け",N351,IF(J351="巻足し",N351*P351+OFFSET(N351,1,0)*OFFSET(P351,1,0),VLOOKUP(D351,契約台帳!$A$3:$P$4986,16,FALSE)))))</f>
        <v>4000</v>
      </c>
      <c r="U351" s="38">
        <v>10</v>
      </c>
      <c r="V351" s="259">
        <f ca="1">IF(D351="","",IF(OFFSET(D351,-2,0)=D351,"",VLOOKUP(D351,契約台帳!$A$3:$R$4986,18,FALSE)))</f>
        <v>10</v>
      </c>
      <c r="W351" s="256" t="str">
        <f ca="1">IF(D351="","",IF(T351="","",IF(OR(J351="巻足し",J351="巻返しリード付け"),"",IF(J351="巻返し",VLOOKUP(F351&amp;K351&amp;M351,製品マスタ!$M$5:$AD$4999,18,FALSE),IF(OR(J351="リード付け",J351="巻返しリード付け"),"原反コア",IF(J351="スリット",VLOOKUP(F351&amp;K351&amp;R351,製品マスタ!$N$5:$AD$4999,17,FALSE),""))))))</f>
        <v>3ｲﾝﾁSｺｱ</v>
      </c>
      <c r="X351" s="256">
        <f ca="1">IF(D351="","",IF(T351="","",IF(J351="巻足し","",IF(J351="巻返し",VLOOKUP(F351&amp;K351&amp;M351,製品マスタ!$M$5:$AE$4999,19,FALSE),IF(OR(J351="リード付け",J351="巻返しリード付け"),"",IF(J351="スリット",VLOOKUP(F351&amp;K351&amp;R351,製品マスタ!$N$5:$AE$4999,18,FALSE),""))))))</f>
        <v>1015</v>
      </c>
      <c r="Y351" s="256">
        <f ca="1">IF(D351="","",IF(T351="","",VLOOKUP(D351,契約台帳!$A$3:$Q$4986,17,FALSE)))</f>
        <v>2</v>
      </c>
      <c r="Z351" s="256" t="str">
        <f ca="1">IF(D351="","",IF(T351="","",VLOOKUP(D351,契約台帳!$A$3:$E$4986,5,FALSE)))</f>
        <v>リンテック㈱</v>
      </c>
      <c r="AA351" s="54"/>
      <c r="AB351" s="200">
        <f>IFERROR((VLOOKUP(F351&amp;K351&amp;M351,製品マスタ!$M$5:$AM$4999,27,FALSE)),"")</f>
        <v>0</v>
      </c>
      <c r="AC351" s="31"/>
      <c r="AD351" s="184"/>
      <c r="AE351" s="51"/>
      <c r="AF351" s="52"/>
      <c r="AG351" s="41"/>
      <c r="AH351" s="45"/>
      <c r="AI351" s="28"/>
      <c r="AJ351" s="28"/>
      <c r="AK351" s="28"/>
      <c r="AL351" s="28"/>
      <c r="AM351" s="12"/>
      <c r="AN351" s="12"/>
      <c r="AO351" s="12"/>
      <c r="AP351" s="12"/>
      <c r="AQ351" s="12"/>
      <c r="AR351" s="13"/>
      <c r="AS351" s="14"/>
    </row>
    <row r="352" spans="1:45" s="16" customFormat="1" ht="30.95" hidden="1" customHeight="1" x14ac:dyDescent="0.2">
      <c r="A352" s="35"/>
      <c r="B352" s="36"/>
      <c r="C352" s="43"/>
      <c r="D352" s="29"/>
      <c r="E352" s="29"/>
      <c r="F352" s="255" t="str">
        <f>IF(D352="","",VLOOKUP(D352,契約台帳!$A$3:$K$4986,6,FALSE)&amp;VLOOKUP(D352,契約台帳!$A$3:$K$4986,7,FALSE)&amp;VLOOKUP(D352,契約台帳!$A$3:$K$4986,8,FALSE)&amp;VLOOKUP(D352,契約台帳!$A$3:$K$4986,9,FALSE)&amp;VLOOKUP(D352,契約台帳!$A$3:$K$4986,11,FALSE))</f>
        <v/>
      </c>
      <c r="G352" s="256" t="str">
        <f>IF(D352="","",VLOOKUP(F352,製品マスタ!$G$5:$H$4999,2,FALSE))</f>
        <v/>
      </c>
      <c r="H352" s="256" t="str">
        <f>IF(D352="","",VLOOKUP(F352,製品マスタ!$G$5:$K$4999,5,FALSE))</f>
        <v/>
      </c>
      <c r="I352" s="200" t="str">
        <f>IF(D352="","",VLOOKUP(F352,製品マスタ!$G$5:$L$4999,6,FALSE))</f>
        <v/>
      </c>
      <c r="J352" s="203"/>
      <c r="K352" s="200" t="str">
        <f>IF(D352="","",VLOOKUP(D352,契約台帳!$A$3:$L$4986,12,FALSE))</f>
        <v/>
      </c>
      <c r="L352" s="200" t="str">
        <f>IF(D352="","",INDEX(製品マスタ!$Q$5:$Q$4999,MATCH('S4'!F352&amp;'S4'!K352,製品マスタ!$AO$5:$AO$4999,0)))</f>
        <v/>
      </c>
      <c r="M352" s="37"/>
      <c r="N352" s="37"/>
      <c r="O352" s="153"/>
      <c r="P352" s="45"/>
      <c r="Q352" s="54"/>
      <c r="R352" s="257" t="str">
        <f ca="1">IF(D352="","",IF(OFFSET(D352,-1,0)&lt;&gt;"","",IF(OR(J352="リード付け",J352="巻足し",J352="巻返しリード付け"),M352,VLOOKUP(D352,契約台帳!$A$3:$N$4986,14,FALSE))))</f>
        <v/>
      </c>
      <c r="S352" s="258" t="str">
        <f ca="1">IF(D352="","",IF(OFFSET(D352,-1,0)&lt;&gt;"","",IF(OR(J352="リード付け",J352="巻足し",J352="巻返しリード付け"),M352,VLOOKUP(D352,契約台帳!$A$3:$O$4986,15,FALSE))))</f>
        <v/>
      </c>
      <c r="T352" s="258" t="str">
        <f ca="1">IF(D352="","",IF(J352="リード付け",N352,IF(J352="巻返しリード付け",N352,IF(J352="巻足し",N352*P352+OFFSET(N352,1,0)*OFFSET(P352,1,0),VLOOKUP(D352,契約台帳!$A$3:$P$4986,16,FALSE)))))</f>
        <v/>
      </c>
      <c r="U352" s="38"/>
      <c r="V352" s="259" t="str">
        <f ca="1">IF(D352="","",IF(OFFSET(D352,-2,0)=D352,"",VLOOKUP(D352,契約台帳!$A$3:$R$4986,18,FALSE)))</f>
        <v/>
      </c>
      <c r="W352" s="256" t="str">
        <f>IF(D352="","",IF(T352="","",IF(OR(J352="巻足し",J352="巻返しリード付け"),"",IF(J352="巻返し",VLOOKUP(F352&amp;K352&amp;M352,製品マスタ!$M$5:$AD$4999,18,FALSE),IF(OR(J352="リード付け",J352="巻返しリード付け"),"原反コア",IF(J352="スリット",VLOOKUP(F352&amp;K352&amp;R352,製品マスタ!$N$5:$AD$4999,17,FALSE),""))))))</f>
        <v/>
      </c>
      <c r="X352" s="256" t="str">
        <f>IF(D352="","",IF(T352="","",IF(J352="巻足し","",IF(J352="巻返し",VLOOKUP(F352&amp;K352&amp;M352,製品マスタ!$M$5:$AE$4999,19,FALSE),IF(OR(J352="リード付け",J352="巻返しリード付け"),"",IF(J352="スリット",VLOOKUP(F352&amp;K352&amp;R352,製品マスタ!$N$5:$AE$4999,18,FALSE),""))))))</f>
        <v/>
      </c>
      <c r="Y352" s="256" t="str">
        <f>IF(D352="","",IF(T352="","",VLOOKUP(D352,契約台帳!$A$3:$Q$4986,17,FALSE)))</f>
        <v/>
      </c>
      <c r="Z352" s="256" t="str">
        <f>IF(D352="","",IF(T352="","",VLOOKUP(D352,契約台帳!$A$3:$E$4986,5,FALSE)))</f>
        <v/>
      </c>
      <c r="AA352" s="54"/>
      <c r="AB352" s="200" t="str">
        <f>IFERROR((VLOOKUP(F352&amp;K352&amp;M352,製品マスタ!$M$5:$AM$4999,27,FALSE)),"")</f>
        <v/>
      </c>
      <c r="AC352" s="31"/>
      <c r="AD352" s="184"/>
      <c r="AE352" s="51"/>
      <c r="AF352" s="52"/>
      <c r="AG352" s="41"/>
      <c r="AH352" s="45"/>
      <c r="AI352" s="28"/>
      <c r="AJ352" s="28"/>
      <c r="AK352" s="28"/>
      <c r="AL352" s="28"/>
      <c r="AM352" s="12"/>
      <c r="AN352" s="12"/>
      <c r="AO352" s="12"/>
      <c r="AP352" s="12"/>
      <c r="AQ352" s="12"/>
      <c r="AR352" s="13"/>
      <c r="AS352" s="14"/>
    </row>
    <row r="353" spans="1:45" s="16" customFormat="1" ht="30.95" hidden="1" customHeight="1" x14ac:dyDescent="0.2">
      <c r="A353" s="35"/>
      <c r="B353" s="36"/>
      <c r="C353" s="43"/>
      <c r="D353" s="29">
        <v>3703375</v>
      </c>
      <c r="E353" s="29">
        <v>4140910</v>
      </c>
      <c r="F353" s="255" t="str">
        <f>IF(D353="","",VLOOKUP(D353,契約台帳!$A$3:$K$4986,6,FALSE)&amp;VLOOKUP(D353,契約台帳!$A$3:$K$4986,7,FALSE)&amp;VLOOKUP(D353,契約台帳!$A$3:$K$4986,8,FALSE)&amp;VLOOKUP(D353,契約台帳!$A$3:$K$4986,9,FALSE)&amp;VLOOKUP(D353,契約台帳!$A$3:$K$4986,11,FALSE))</f>
        <v>3SNCLBLMEYK</v>
      </c>
      <c r="G353" s="256" t="str">
        <f>IF(D353="","",VLOOKUP(F353,製品マスタ!$G$5:$H$4999,2,FALSE))</f>
        <v>S</v>
      </c>
      <c r="H353" s="256" t="str">
        <f>IF(D353="","",VLOOKUP(F353,製品マスタ!$G$5:$K$4999,5,FALSE))</f>
        <v>LMEYK</v>
      </c>
      <c r="I353" s="200" t="str">
        <f>IF(D353="","",VLOOKUP(F353,製品マスタ!$G$5:$L$4999,6,FALSE))</f>
        <v>ルミマットＥＹＫ</v>
      </c>
      <c r="J353" s="203" t="s">
        <v>447</v>
      </c>
      <c r="K353" s="200">
        <f>IF(D353="","",VLOOKUP(D353,契約台帳!$A$3:$L$4986,12,FALSE))</f>
        <v>38</v>
      </c>
      <c r="L353" s="200" t="str">
        <f>IF(D353="","",INDEX(製品マスタ!$Q$5:$Q$4999,MATCH('S4'!F353&amp;'S4'!K353,製品マスタ!$AO$5:$AO$4999,0)))</f>
        <v>LUMIMAT</v>
      </c>
      <c r="M353" s="37">
        <v>1005</v>
      </c>
      <c r="N353" s="37">
        <v>4000</v>
      </c>
      <c r="O353" s="153">
        <v>2</v>
      </c>
      <c r="P353" s="45">
        <v>2</v>
      </c>
      <c r="Q353" s="54"/>
      <c r="R353" s="257">
        <f ca="1">IF(D353="","",IF(OFFSET(D353,-1,0)&lt;&gt;"","",IF(OR(J353="リード付け",J353="巻足し",J353="巻返しリード付け"),M353,VLOOKUP(D353,契約台帳!$A$3:$N$4986,14,FALSE))))</f>
        <v>1005</v>
      </c>
      <c r="S353" s="258">
        <f ca="1">IF(D353="","",IF(OFFSET(D353,-1,0)&lt;&gt;"","",IF(OR(J353="リード付け",J353="巻足し",J353="巻返しリード付け"),M353,VLOOKUP(D353,契約台帳!$A$3:$O$4986,15,FALSE))))</f>
        <v>1000</v>
      </c>
      <c r="T353" s="258">
        <f ca="1">IF(D353="","",IF(J353="リード付け",N353,IF(J353="巻返しリード付け",N353,IF(J353="巻足し",N353*P353+OFFSET(N353,1,0)*OFFSET(P353,1,0),VLOOKUP(D353,契約台帳!$A$3:$P$4986,16,FALSE)))))</f>
        <v>4000</v>
      </c>
      <c r="U353" s="38">
        <v>2</v>
      </c>
      <c r="V353" s="259">
        <f ca="1">IF(D353="","",IF(OFFSET(D353,-2,0)=D353,"",VLOOKUP(D353,契約台帳!$A$3:$R$4986,18,FALSE)))</f>
        <v>2</v>
      </c>
      <c r="W353" s="256" t="str">
        <f ca="1">IF(D353="","",IF(T353="","",IF(OR(J353="巻足し",J353="巻返しリード付け"),"",IF(J353="巻返し",VLOOKUP(F353&amp;K353&amp;M353,製品マスタ!$M$5:$AD$4999,18,FALSE),IF(OR(J353="リード付け",J353="巻返しリード付け"),"原反コア",IF(J353="スリット",VLOOKUP(F353&amp;K353&amp;R353,製品マスタ!$N$5:$AD$4999,17,FALSE),""))))))</f>
        <v>3ｲﾝﾁSｺｱ</v>
      </c>
      <c r="X353" s="256">
        <f ca="1">IF(D353="","",IF(T353="","",IF(J353="巻足し","",IF(J353="巻返し",VLOOKUP(F353&amp;K353&amp;M353,製品マスタ!$M$5:$AE$4999,19,FALSE),IF(OR(J353="リード付け",J353="巻返しリード付け"),"",IF(J353="スリット",VLOOKUP(F353&amp;K353&amp;R353,製品マスタ!$N$5:$AE$4999,18,FALSE),""))))))</f>
        <v>1015</v>
      </c>
      <c r="Y353" s="256">
        <f ca="1">IF(D353="","",IF(T353="","",VLOOKUP(D353,契約台帳!$A$3:$Q$4986,17,FALSE)))</f>
        <v>2</v>
      </c>
      <c r="Z353" s="256" t="str">
        <f ca="1">IF(D353="","",IF(T353="","",VLOOKUP(D353,契約台帳!$A$3:$E$4986,5,FALSE)))</f>
        <v>リンテック㈱</v>
      </c>
      <c r="AA353" s="54"/>
      <c r="AB353" s="200">
        <f>IFERROR((VLOOKUP(F353&amp;K353&amp;M353,製品マスタ!$M$5:$AM$4999,27,FALSE)),"")</f>
        <v>0</v>
      </c>
      <c r="AC353" s="31"/>
      <c r="AD353" s="184"/>
      <c r="AE353" s="51"/>
      <c r="AF353" s="52"/>
      <c r="AG353" s="41"/>
      <c r="AH353" s="45"/>
      <c r="AI353" s="28"/>
      <c r="AJ353" s="28"/>
      <c r="AK353" s="28"/>
      <c r="AL353" s="28"/>
      <c r="AM353" s="12"/>
      <c r="AN353" s="12"/>
      <c r="AO353" s="12"/>
      <c r="AP353" s="12"/>
      <c r="AQ353" s="12"/>
      <c r="AR353" s="13"/>
      <c r="AS353" s="14"/>
    </row>
    <row r="354" spans="1:45" s="16" customFormat="1" ht="30.95" hidden="1" customHeight="1" x14ac:dyDescent="0.2">
      <c r="A354" s="35"/>
      <c r="B354" s="36"/>
      <c r="C354" s="43"/>
      <c r="D354" s="29"/>
      <c r="E354" s="29"/>
      <c r="F354" s="255"/>
      <c r="G354" s="256"/>
      <c r="H354" s="256"/>
      <c r="I354" s="200"/>
      <c r="J354" s="203"/>
      <c r="K354" s="200"/>
      <c r="L354" s="200"/>
      <c r="M354" s="37"/>
      <c r="N354" s="37"/>
      <c r="O354" s="153"/>
      <c r="P354" s="45"/>
      <c r="Q354" s="54"/>
      <c r="R354" s="257"/>
      <c r="S354" s="258"/>
      <c r="T354" s="258"/>
      <c r="U354" s="38"/>
      <c r="V354" s="259"/>
      <c r="W354" s="256"/>
      <c r="X354" s="256"/>
      <c r="Y354" s="256"/>
      <c r="Z354" s="256"/>
      <c r="AA354" s="54"/>
      <c r="AB354" s="200"/>
      <c r="AC354" s="31"/>
      <c r="AD354" s="184"/>
      <c r="AE354" s="51"/>
      <c r="AF354" s="52"/>
      <c r="AG354" s="41"/>
      <c r="AH354" s="45"/>
      <c r="AI354" s="28"/>
      <c r="AJ354" s="28"/>
      <c r="AK354" s="28"/>
      <c r="AL354" s="28"/>
      <c r="AM354" s="12"/>
      <c r="AN354" s="12"/>
      <c r="AO354" s="12"/>
      <c r="AP354" s="12"/>
      <c r="AQ354" s="12"/>
      <c r="AR354" s="13"/>
      <c r="AS354" s="14"/>
    </row>
    <row r="355" spans="1:45" s="16" customFormat="1" ht="30.95" hidden="1" customHeight="1" x14ac:dyDescent="0.2">
      <c r="A355" s="35" t="s">
        <v>1007</v>
      </c>
      <c r="B355" s="36" t="s">
        <v>1008</v>
      </c>
      <c r="C355" s="43"/>
      <c r="D355" s="29">
        <v>3700944</v>
      </c>
      <c r="E355" s="29">
        <v>4140899</v>
      </c>
      <c r="F355" s="255" t="str">
        <f>IF(D355="","",VLOOKUP(D355,契約台帳!$A$3:$K$4986,6,FALSE)&amp;VLOOKUP(D355,契約台帳!$A$3:$K$4986,7,FALSE)&amp;VLOOKUP(D355,契約台帳!$A$3:$K$4986,8,FALSE)&amp;VLOOKUP(D355,契約台帳!$A$3:$K$4986,9,FALSE)&amp;VLOOKUP(D355,契約台帳!$A$3:$K$4986,11,FALSE))</f>
        <v>3HSNMCLBEYK</v>
      </c>
      <c r="G355" s="256" t="str">
        <f>IF(D355="","",VLOOKUP(F355,製品マスタ!$G$5:$H$4999,2,FALSE))</f>
        <v>S</v>
      </c>
      <c r="H355" s="256" t="str">
        <f>IF(D355="","",VLOOKUP(F355,製品マスタ!$G$5:$K$4999,5,FALSE))</f>
        <v>EYK</v>
      </c>
      <c r="I355" s="200" t="str">
        <f>IF(D355="","",VLOOKUP(F355,製品マスタ!$G$5:$L$4999,6,FALSE))</f>
        <v>メタルミー　ＥＹＫ</v>
      </c>
      <c r="J355" s="203" t="s">
        <v>447</v>
      </c>
      <c r="K355" s="200">
        <f>IF(D355="","",VLOOKUP(D355,契約台帳!$A$3:$L$4986,12,FALSE))</f>
        <v>50</v>
      </c>
      <c r="L355" s="200" t="str">
        <f>IF(D355="","",INDEX(製品マスタ!$Q$5:$Q$4999,MATCH('S4'!F355&amp;'S4'!K355,製品マスタ!$AO$5:$AO$4999,0)))</f>
        <v>T62M</v>
      </c>
      <c r="M355" s="37">
        <v>1195</v>
      </c>
      <c r="N355" s="37">
        <v>12200</v>
      </c>
      <c r="O355" s="153">
        <v>5</v>
      </c>
      <c r="P355" s="45">
        <v>5</v>
      </c>
      <c r="Q355" s="54"/>
      <c r="R355" s="257">
        <f ca="1">IF(D355="","",IF(OFFSET(D355,-1,0)&lt;&gt;"","",IF(OR(J355="リード付け",J355="巻足し",J355="巻返しリード付け"),M355,VLOOKUP(D355,契約台帳!$A$3:$N$4986,14,FALSE))))</f>
        <v>1190</v>
      </c>
      <c r="S355" s="258">
        <f ca="1">IF(D355="","",IF(OFFSET(D355,-1,0)&lt;&gt;"","",IF(OR(J355="リード付け",J355="巻足し",J355="巻返しリード付け"),M355,VLOOKUP(D355,契約台帳!$A$3:$O$4986,15,FALSE))))</f>
        <v>1190</v>
      </c>
      <c r="T355" s="258">
        <f ca="1">IF(D355="","",IF(J355="リード付け",N355,IF(J355="巻返しリード付け",N355,IF(J355="巻足し",N355*P355+OFFSET(N355,1,0)*OFFSET(P355,1,0),VLOOKUP(D355,契約台帳!$A$3:$P$4986,16,FALSE)))))</f>
        <v>6000</v>
      </c>
      <c r="U355" s="38">
        <v>10</v>
      </c>
      <c r="V355" s="259">
        <f ca="1">IF(D355="","",IF(OFFSET(D355,-2,0)=D355,"",VLOOKUP(D355,契約台帳!$A$3:$R$4986,18,FALSE)))</f>
        <v>10</v>
      </c>
      <c r="W355" s="256" t="str">
        <f ca="1">IF(D355="","",IF(T355="","",IF(OR(J355="巻足し",J355="巻返しリード付け"),"",IF(J355="巻返し",VLOOKUP(F355&amp;K355&amp;M355,製品マスタ!$M$5:$AD$4999,18,FALSE),IF(OR(J355="リード付け",J355="巻返しリード付け"),"原反コア",IF(J355="スリット",VLOOKUP(F355&amp;K355&amp;R355,製品マスタ!$N$5:$AD$4999,17,FALSE),""))))))</f>
        <v>6ｲﾝﾁMｺｱ</v>
      </c>
      <c r="X355" s="256">
        <f ca="1">IF(D355="","",IF(T355="","",IF(J355="巻足し","",IF(J355="巻返し",VLOOKUP(F355&amp;K355&amp;M355,製品マスタ!$M$5:$AE$4999,19,FALSE),IF(OR(J355="リード付け",J355="巻返しリード付け"),"",IF(J355="スリット",VLOOKUP(F355&amp;K355&amp;R355,製品マスタ!$N$5:$AE$4999,18,FALSE),""))))))</f>
        <v>1220</v>
      </c>
      <c r="Y355" s="256">
        <f ca="1">IF(D355="","",IF(T355="","",VLOOKUP(D355,契約台帳!$A$3:$Q$4986,17,FALSE)))</f>
        <v>2</v>
      </c>
      <c r="Z355" s="256" t="str">
        <f ca="1">IF(D355="","",IF(T355="","",VLOOKUP(D355,契約台帳!$A$3:$E$4986,5,FALSE)))</f>
        <v>大阪シーリング印刷㈱</v>
      </c>
      <c r="AA355" s="54"/>
      <c r="AB355" s="200" t="str">
        <f>IFERROR((VLOOKUP(F355&amp;K355&amp;M355,製品マスタ!$M$5:$AM$4999,27,FALSE)),"")</f>
        <v>原反ケース再利用</v>
      </c>
      <c r="AC355" s="31"/>
      <c r="AD355" s="184"/>
      <c r="AE355" s="51"/>
      <c r="AF355" s="52"/>
      <c r="AG355" s="41"/>
      <c r="AH355" s="45"/>
      <c r="AI355" s="28"/>
      <c r="AJ355" s="28"/>
      <c r="AK355" s="28"/>
      <c r="AL355" s="28"/>
      <c r="AM355" s="12"/>
      <c r="AN355" s="12"/>
      <c r="AO355" s="12"/>
      <c r="AP355" s="12"/>
      <c r="AQ355" s="12"/>
      <c r="AR355" s="13"/>
      <c r="AS355" s="14"/>
    </row>
    <row r="356" spans="1:45" s="16" customFormat="1" ht="30.95" hidden="1" customHeight="1" x14ac:dyDescent="0.2">
      <c r="A356" s="35"/>
      <c r="B356" s="36"/>
      <c r="C356" s="43"/>
      <c r="D356" s="29"/>
      <c r="E356" s="29"/>
      <c r="F356" s="255" t="str">
        <f>IF(D356="","",VLOOKUP(D356,契約台帳!$A$3:$K$4986,6,FALSE)&amp;VLOOKUP(D356,契約台帳!$A$3:$K$4986,7,FALSE)&amp;VLOOKUP(D356,契約台帳!$A$3:$K$4986,8,FALSE)&amp;VLOOKUP(D356,契約台帳!$A$3:$K$4986,9,FALSE)&amp;VLOOKUP(D356,契約台帳!$A$3:$K$4986,11,FALSE))</f>
        <v/>
      </c>
      <c r="G356" s="256" t="str">
        <f>IF(D356="","",VLOOKUP(F356,製品マスタ!$G$5:$H$4999,2,FALSE))</f>
        <v/>
      </c>
      <c r="H356" s="256" t="str">
        <f>IF(D356="","",VLOOKUP(F356,製品マスタ!$G$5:$K$4999,5,FALSE))</f>
        <v/>
      </c>
      <c r="I356" s="200" t="str">
        <f>IF(D356="","",VLOOKUP(F356,製品マスタ!$G$5:$L$4999,6,FALSE))</f>
        <v/>
      </c>
      <c r="J356" s="203"/>
      <c r="K356" s="200" t="str">
        <f>IF(D356="","",VLOOKUP(D356,契約台帳!$A$3:$L$4986,12,FALSE))</f>
        <v/>
      </c>
      <c r="L356" s="200" t="str">
        <f>IF(D356="","",INDEX(製品マスタ!$Q$5:$Q$4999,MATCH('S4'!F356&amp;'S4'!K356,製品マスタ!$AO$5:$AO$4999,0)))</f>
        <v/>
      </c>
      <c r="M356" s="37"/>
      <c r="N356" s="37"/>
      <c r="O356" s="153"/>
      <c r="P356" s="45"/>
      <c r="Q356" s="54"/>
      <c r="R356" s="257" t="str">
        <f ca="1">IF(D356="","",IF(OFFSET(D356,-1,0)&lt;&gt;"","",IF(OR(J356="リード付け",J356="巻足し",J356="巻返しリード付け"),M356,VLOOKUP(D356,契約台帳!$A$3:$N$4986,14,FALSE))))</f>
        <v/>
      </c>
      <c r="S356" s="258" t="str">
        <f ca="1">IF(D356="","",IF(OFFSET(D356,-1,0)&lt;&gt;"","",IF(OR(J356="リード付け",J356="巻足し",J356="巻返しリード付け"),M356,VLOOKUP(D356,契約台帳!$A$3:$O$4986,15,FALSE))))</f>
        <v/>
      </c>
      <c r="T356" s="258" t="str">
        <f ca="1">IF(D356="","",IF(J356="リード付け",N356,IF(J356="巻返しリード付け",N356,IF(J356="巻足し",N356*P356+OFFSET(N356,1,0)*OFFSET(P356,1,0),VLOOKUP(D356,契約台帳!$A$3:$P$4986,16,FALSE)))))</f>
        <v/>
      </c>
      <c r="U356" s="38"/>
      <c r="V356" s="259" t="str">
        <f ca="1">IF(D356="","",IF(OFFSET(D356,-2,0)=D356,"",VLOOKUP(D356,契約台帳!$A$3:$R$4986,18,FALSE)))</f>
        <v/>
      </c>
      <c r="W356" s="256" t="str">
        <f>IF(D356="","",IF(T356="","",IF(OR(J356="巻足し",J356="巻返しリード付け"),"",IF(J356="巻返し",VLOOKUP(F356&amp;K356&amp;M356,製品マスタ!$M$5:$AD$4999,18,FALSE),IF(OR(J356="リード付け",J356="巻返しリード付け"),"原反コア",IF(J356="スリット",VLOOKUP(F356&amp;K356&amp;R356,製品マスタ!$N$5:$AD$4999,17,FALSE),""))))))</f>
        <v/>
      </c>
      <c r="X356" s="256" t="str">
        <f>IF(D356="","",IF(T356="","",IF(J356="巻足し","",IF(J356="巻返し",VLOOKUP(F356&amp;K356&amp;M356,製品マスタ!$M$5:$AE$4999,19,FALSE),IF(OR(J356="リード付け",J356="巻返しリード付け"),"",IF(J356="スリット",VLOOKUP(F356&amp;K356&amp;R356,製品マスタ!$N$5:$AE$4999,18,FALSE),""))))))</f>
        <v/>
      </c>
      <c r="Y356" s="256" t="str">
        <f>IF(D356="","",IF(T356="","",VLOOKUP(D356,契約台帳!$A$3:$Q$4986,17,FALSE)))</f>
        <v/>
      </c>
      <c r="Z356" s="256" t="str">
        <f>IF(D356="","",IF(T356="","",VLOOKUP(D356,契約台帳!$A$3:$E$4986,5,FALSE)))</f>
        <v/>
      </c>
      <c r="AA356" s="54"/>
      <c r="AB356" s="200" t="str">
        <f>IFERROR((VLOOKUP(F356&amp;K356&amp;M356,製品マスタ!$M$5:$AM$4999,27,FALSE)),"")</f>
        <v/>
      </c>
      <c r="AC356" s="31"/>
      <c r="AD356" s="184"/>
      <c r="AE356" s="51"/>
      <c r="AF356" s="52"/>
      <c r="AG356" s="41"/>
      <c r="AH356" s="45"/>
      <c r="AI356" s="28"/>
      <c r="AJ356" s="28"/>
      <c r="AK356" s="28"/>
      <c r="AL356" s="28"/>
      <c r="AM356" s="12"/>
      <c r="AN356" s="12"/>
      <c r="AO356" s="12"/>
      <c r="AP356" s="12"/>
      <c r="AQ356" s="12"/>
      <c r="AR356" s="13"/>
      <c r="AS356" s="14"/>
    </row>
    <row r="357" spans="1:45" s="16" customFormat="1" ht="30.95" hidden="1" customHeight="1" x14ac:dyDescent="0.2">
      <c r="A357" s="35" t="s">
        <v>1009</v>
      </c>
      <c r="B357" s="36" t="s">
        <v>1010</v>
      </c>
      <c r="C357" s="43"/>
      <c r="D357" s="29">
        <v>3700947</v>
      </c>
      <c r="E357" s="29">
        <v>4140902</v>
      </c>
      <c r="F357" s="255" t="str">
        <f>IF(D357="","",VLOOKUP(D357,契約台帳!$A$3:$K$4986,6,FALSE)&amp;VLOOKUP(D357,契約台帳!$A$3:$K$4986,7,FALSE)&amp;VLOOKUP(D357,契約台帳!$A$3:$K$4986,8,FALSE)&amp;VLOOKUP(D357,契約台帳!$A$3:$K$4986,9,FALSE)&amp;VLOOKUP(D357,契約台帳!$A$3:$K$4986,11,FALSE))</f>
        <v>3SNMCLBEYK</v>
      </c>
      <c r="G357" s="256" t="str">
        <f>IF(D357="","",VLOOKUP(F357,製品マスタ!$G$5:$H$4999,2,FALSE))</f>
        <v>S</v>
      </c>
      <c r="H357" s="256" t="str">
        <f>IF(D357="","",VLOOKUP(F357,製品マスタ!$G$5:$K$4999,5,FALSE))</f>
        <v>EYK</v>
      </c>
      <c r="I357" s="200" t="str">
        <f>IF(D357="","",VLOOKUP(F357,製品マスタ!$G$5:$L$4999,6,FALSE))</f>
        <v>メタルミー　ＥＹＫ</v>
      </c>
      <c r="J357" s="203" t="s">
        <v>447</v>
      </c>
      <c r="K357" s="200">
        <f>IF(D357="","",VLOOKUP(D357,契約台帳!$A$3:$L$4986,12,FALSE))</f>
        <v>50</v>
      </c>
      <c r="L357" s="200" t="str">
        <f>IF(D357="","",INDEX(製品マスタ!$Q$5:$Q$4999,MATCH('S4'!F357&amp;'S4'!K357,製品マスタ!$AO$5:$AO$4999,0)))</f>
        <v>T62M</v>
      </c>
      <c r="M357" s="37">
        <v>1125</v>
      </c>
      <c r="N357" s="37">
        <v>12200</v>
      </c>
      <c r="O357" s="153">
        <v>1</v>
      </c>
      <c r="P357" s="45">
        <v>1</v>
      </c>
      <c r="Q357" s="54"/>
      <c r="R357" s="257">
        <f ca="1">IF(D357="","",IF(OFFSET(D357,-1,0)&lt;&gt;"","",IF(OR(J357="リード付け",J357="巻足し",J357="巻返しリード付け"),M357,VLOOKUP(D357,契約台帳!$A$3:$N$4986,14,FALSE))))</f>
        <v>1120</v>
      </c>
      <c r="S357" s="258">
        <f ca="1">IF(D357="","",IF(OFFSET(D357,-1,0)&lt;&gt;"","",IF(OR(J357="リード付け",J357="巻足し",J357="巻返しリード付け"),M357,VLOOKUP(D357,契約台帳!$A$3:$O$4986,15,FALSE))))</f>
        <v>1120</v>
      </c>
      <c r="T357" s="258">
        <f ca="1">IF(D357="","",IF(J357="リード付け",N357,IF(J357="巻返しリード付け",N357,IF(J357="巻足し",N357*P357+OFFSET(N357,1,0)*OFFSET(P357,1,0),VLOOKUP(D357,契約台帳!$A$3:$P$4986,16,FALSE)))))</f>
        <v>6000</v>
      </c>
      <c r="U357" s="38">
        <v>2</v>
      </c>
      <c r="V357" s="259">
        <f ca="1">IF(D357="","",IF(OFFSET(D357,-2,0)=D357,"",VLOOKUP(D357,契約台帳!$A$3:$R$4986,18,FALSE)))</f>
        <v>2</v>
      </c>
      <c r="W357" s="256" t="str">
        <f ca="1">IF(D357="","",IF(T357="","",IF(OR(J357="巻足し",J357="巻返しリード付け"),"",IF(J357="巻返し",VLOOKUP(F357&amp;K357&amp;M357,製品マスタ!$M$5:$AD$4999,18,FALSE),IF(OR(J357="リード付け",J357="巻返しリード付け"),"原反コア",IF(J357="スリット",VLOOKUP(F357&amp;K357&amp;R357,製品マスタ!$N$5:$AD$4999,17,FALSE),""))))))</f>
        <v>6ｲﾝﾁMｺｱ</v>
      </c>
      <c r="X357" s="256">
        <f ca="1">IF(D357="","",IF(T357="","",IF(J357="巻足し","",IF(J357="巻返し",VLOOKUP(F357&amp;K357&amp;M357,製品マスタ!$M$5:$AE$4999,19,FALSE),IF(OR(J357="リード付け",J357="巻返しリード付け"),"",IF(J357="スリット",VLOOKUP(F357&amp;K357&amp;R357,製品マスタ!$N$5:$AE$4999,18,FALSE),""))))))</f>
        <v>1140</v>
      </c>
      <c r="Y357" s="256">
        <f ca="1">IF(D357="","",IF(T357="","",VLOOKUP(D357,契約台帳!$A$3:$Q$4986,17,FALSE)))</f>
        <v>2</v>
      </c>
      <c r="Z357" s="256" t="str">
        <f ca="1">IF(D357="","",IF(T357="","",VLOOKUP(D357,契約台帳!$A$3:$E$4986,5,FALSE)))</f>
        <v>新タック化成㈱</v>
      </c>
      <c r="AA357" s="54"/>
      <c r="AB357" s="200" t="str">
        <f>IFERROR((VLOOKUP(F357&amp;K357&amp;M357,製品マスタ!$M$5:$AM$4999,27,FALSE)),"")</f>
        <v>原反ケース再利用</v>
      </c>
      <c r="AC357" s="31"/>
      <c r="AD357" s="184"/>
      <c r="AE357" s="51"/>
      <c r="AF357" s="52"/>
      <c r="AG357" s="41"/>
      <c r="AH357" s="45"/>
      <c r="AI357" s="28"/>
      <c r="AJ357" s="28"/>
      <c r="AK357" s="28"/>
      <c r="AL357" s="28"/>
      <c r="AM357" s="12"/>
      <c r="AN357" s="12"/>
      <c r="AO357" s="12"/>
      <c r="AP357" s="12"/>
      <c r="AQ357" s="12"/>
      <c r="AR357" s="13"/>
      <c r="AS357" s="14"/>
    </row>
    <row r="358" spans="1:45" s="16" customFormat="1" ht="30.95" hidden="1" customHeight="1" x14ac:dyDescent="0.2">
      <c r="A358" s="35"/>
      <c r="B358" s="36"/>
      <c r="C358" s="43"/>
      <c r="D358" s="29"/>
      <c r="E358" s="29"/>
      <c r="F358" s="255" t="str">
        <f>IF(D358="","",VLOOKUP(D358,契約台帳!$A$3:$K$4986,6,FALSE)&amp;VLOOKUP(D358,契約台帳!$A$3:$K$4986,7,FALSE)&amp;VLOOKUP(D358,契約台帳!$A$3:$K$4986,8,FALSE)&amp;VLOOKUP(D358,契約台帳!$A$3:$K$4986,9,FALSE)&amp;VLOOKUP(D358,契約台帳!$A$3:$K$4986,11,FALSE))</f>
        <v/>
      </c>
      <c r="G358" s="256" t="str">
        <f>IF(D358="","",VLOOKUP(F358,製品マスタ!$G$5:$H$4999,2,FALSE))</f>
        <v/>
      </c>
      <c r="H358" s="256" t="str">
        <f>IF(D358="","",VLOOKUP(F358,製品マスタ!$G$5:$K$4999,5,FALSE))</f>
        <v/>
      </c>
      <c r="I358" s="200" t="str">
        <f>IF(D358="","",VLOOKUP(F358,製品マスタ!$G$5:$L$4999,6,FALSE))</f>
        <v/>
      </c>
      <c r="J358" s="203"/>
      <c r="K358" s="200" t="str">
        <f>IF(D358="","",VLOOKUP(D358,契約台帳!$A$3:$L$4986,12,FALSE))</f>
        <v/>
      </c>
      <c r="L358" s="200" t="str">
        <f>IF(D358="","",INDEX(製品マスタ!$Q$5:$Q$4999,MATCH('S4'!F358&amp;'S4'!K358,製品マスタ!$AO$5:$AO$4999,0)))</f>
        <v/>
      </c>
      <c r="M358" s="37"/>
      <c r="N358" s="37"/>
      <c r="O358" s="153"/>
      <c r="P358" s="45"/>
      <c r="Q358" s="54"/>
      <c r="R358" s="257" t="str">
        <f ca="1">IF(D358="","",IF(OFFSET(D358,-1,0)&lt;&gt;"","",IF(OR(J358="リード付け",J358="巻足し",J358="巻返しリード付け"),M358,VLOOKUP(D358,契約台帳!$A$3:$N$4986,14,FALSE))))</f>
        <v/>
      </c>
      <c r="S358" s="258" t="str">
        <f ca="1">IF(D358="","",IF(OFFSET(D358,-1,0)&lt;&gt;"","",IF(OR(J358="リード付け",J358="巻足し",J358="巻返しリード付け"),M358,VLOOKUP(D358,契約台帳!$A$3:$O$4986,15,FALSE))))</f>
        <v/>
      </c>
      <c r="T358" s="258" t="str">
        <f ca="1">IF(D358="","",IF(J358="リード付け",N358,IF(J358="巻返しリード付け",N358,IF(J358="巻足し",N358*P358+OFFSET(N358,1,0)*OFFSET(P358,1,0),VLOOKUP(D358,契約台帳!$A$3:$P$4986,16,FALSE)))))</f>
        <v/>
      </c>
      <c r="U358" s="38"/>
      <c r="V358" s="259" t="str">
        <f ca="1">IF(D358="","",IF(OFFSET(D358,-2,0)=D358,"",VLOOKUP(D358,契約台帳!$A$3:$R$4986,18,FALSE)))</f>
        <v/>
      </c>
      <c r="W358" s="256" t="str">
        <f>IF(D358="","",IF(T358="","",IF(OR(J358="巻足し",J358="巻返しリード付け"),"",IF(J358="巻返し",VLOOKUP(F358&amp;K358&amp;M358,製品マスタ!$M$5:$AD$4999,18,FALSE),IF(OR(J358="リード付け",J358="巻返しリード付け"),"原反コア",IF(J358="スリット",VLOOKUP(F358&amp;K358&amp;R358,製品マスタ!$N$5:$AD$4999,17,FALSE),""))))))</f>
        <v/>
      </c>
      <c r="X358" s="256" t="str">
        <f>IF(D358="","",IF(T358="","",IF(J358="巻足し","",IF(J358="巻返し",VLOOKUP(F358&amp;K358&amp;M358,製品マスタ!$M$5:$AE$4999,19,FALSE),IF(OR(J358="リード付け",J358="巻返しリード付け"),"",IF(J358="スリット",VLOOKUP(F358&amp;K358&amp;R358,製品マスタ!$N$5:$AE$4999,18,FALSE),""))))))</f>
        <v/>
      </c>
      <c r="Y358" s="256" t="str">
        <f>IF(D358="","",IF(T358="","",VLOOKUP(D358,契約台帳!$A$3:$Q$4986,17,FALSE)))</f>
        <v/>
      </c>
      <c r="Z358" s="256" t="str">
        <f>IF(D358="","",IF(T358="","",VLOOKUP(D358,契約台帳!$A$3:$E$4986,5,FALSE)))</f>
        <v/>
      </c>
      <c r="AA358" s="54"/>
      <c r="AB358" s="200" t="str">
        <f>IFERROR((VLOOKUP(F358&amp;K358&amp;M358,製品マスタ!$M$5:$AM$4999,27,FALSE)),"")</f>
        <v/>
      </c>
      <c r="AC358" s="31"/>
      <c r="AD358" s="184"/>
      <c r="AE358" s="51"/>
      <c r="AF358" s="52"/>
      <c r="AG358" s="41"/>
      <c r="AH358" s="45"/>
      <c r="AI358" s="28"/>
      <c r="AJ358" s="28"/>
      <c r="AK358" s="28"/>
      <c r="AL358" s="28"/>
      <c r="AM358" s="12"/>
      <c r="AN358" s="12"/>
      <c r="AO358" s="12"/>
      <c r="AP358" s="12"/>
      <c r="AQ358" s="12"/>
      <c r="AR358" s="13"/>
      <c r="AS358" s="14"/>
    </row>
    <row r="359" spans="1:45" s="16" customFormat="1" ht="30.95" hidden="1" customHeight="1" x14ac:dyDescent="0.2">
      <c r="A359" s="35" t="s">
        <v>964</v>
      </c>
      <c r="B359" s="36" t="s">
        <v>956</v>
      </c>
      <c r="C359" s="43"/>
      <c r="D359" s="29"/>
      <c r="E359" s="29"/>
      <c r="F359" s="255"/>
      <c r="G359" s="256"/>
      <c r="H359" s="256"/>
      <c r="I359" s="200"/>
      <c r="J359" s="203" t="s">
        <v>1003</v>
      </c>
      <c r="K359" s="200"/>
      <c r="L359" s="200"/>
      <c r="M359" s="37"/>
      <c r="N359" s="37"/>
      <c r="O359" s="153"/>
      <c r="P359" s="45"/>
      <c r="Q359" s="54"/>
      <c r="R359" s="257"/>
      <c r="S359" s="258"/>
      <c r="T359" s="258"/>
      <c r="U359" s="38"/>
      <c r="V359" s="259"/>
      <c r="W359" s="256"/>
      <c r="X359" s="256"/>
      <c r="Y359" s="256"/>
      <c r="Z359" s="256"/>
      <c r="AA359" s="54"/>
      <c r="AB359" s="200"/>
      <c r="AC359" s="31"/>
      <c r="AD359" s="184"/>
      <c r="AE359" s="51"/>
      <c r="AF359" s="52"/>
      <c r="AG359" s="41"/>
      <c r="AH359" s="45"/>
      <c r="AI359" s="28"/>
      <c r="AJ359" s="28"/>
      <c r="AK359" s="28"/>
      <c r="AL359" s="28"/>
      <c r="AM359" s="12"/>
      <c r="AN359" s="12"/>
      <c r="AO359" s="12"/>
      <c r="AP359" s="12"/>
      <c r="AQ359" s="12"/>
      <c r="AR359" s="13"/>
      <c r="AS359" s="14"/>
    </row>
    <row r="360" spans="1:45" s="16" customFormat="1" ht="30.95" hidden="1" customHeight="1" x14ac:dyDescent="0.2">
      <c r="A360" s="35"/>
      <c r="B360" s="36"/>
      <c r="C360" s="43"/>
      <c r="D360" s="29"/>
      <c r="E360" s="29"/>
      <c r="F360" s="255"/>
      <c r="G360" s="256"/>
      <c r="H360" s="256"/>
      <c r="I360" s="200"/>
      <c r="J360" s="203"/>
      <c r="K360" s="200"/>
      <c r="L360" s="200"/>
      <c r="M360" s="37"/>
      <c r="N360" s="37"/>
      <c r="O360" s="153"/>
      <c r="P360" s="45"/>
      <c r="Q360" s="54"/>
      <c r="R360" s="257"/>
      <c r="S360" s="258"/>
      <c r="T360" s="258"/>
      <c r="U360" s="38"/>
      <c r="V360" s="259"/>
      <c r="W360" s="256"/>
      <c r="X360" s="256"/>
      <c r="Y360" s="256"/>
      <c r="Z360" s="256"/>
      <c r="AA360" s="54"/>
      <c r="AB360" s="200"/>
      <c r="AC360" s="31"/>
      <c r="AD360" s="184"/>
      <c r="AE360" s="51"/>
      <c r="AF360" s="52"/>
      <c r="AG360" s="41"/>
      <c r="AH360" s="45"/>
      <c r="AI360" s="28"/>
      <c r="AJ360" s="28"/>
      <c r="AK360" s="28"/>
      <c r="AL360" s="28"/>
      <c r="AM360" s="12"/>
      <c r="AN360" s="12"/>
      <c r="AO360" s="12"/>
      <c r="AP360" s="12"/>
      <c r="AQ360" s="12"/>
      <c r="AR360" s="13"/>
      <c r="AS360" s="14"/>
    </row>
    <row r="361" spans="1:45" s="16" customFormat="1" ht="30.95" hidden="1" customHeight="1" x14ac:dyDescent="0.2">
      <c r="A361" s="35" t="s">
        <v>965</v>
      </c>
      <c r="B361" s="36" t="s">
        <v>957</v>
      </c>
      <c r="C361" s="43"/>
      <c r="D361" s="29"/>
      <c r="E361" s="29"/>
      <c r="F361" s="255"/>
      <c r="G361" s="256"/>
      <c r="H361" s="256"/>
      <c r="I361" s="200"/>
      <c r="J361" s="203" t="s">
        <v>1003</v>
      </c>
      <c r="K361" s="200"/>
      <c r="L361" s="200"/>
      <c r="M361" s="37"/>
      <c r="N361" s="37"/>
      <c r="O361" s="153"/>
      <c r="P361" s="45"/>
      <c r="Q361" s="54"/>
      <c r="R361" s="257"/>
      <c r="S361" s="258"/>
      <c r="T361" s="258"/>
      <c r="U361" s="38"/>
      <c r="V361" s="259"/>
      <c r="W361" s="256"/>
      <c r="X361" s="256"/>
      <c r="Y361" s="256"/>
      <c r="Z361" s="256"/>
      <c r="AA361" s="54"/>
      <c r="AB361" s="200"/>
      <c r="AC361" s="31"/>
      <c r="AD361" s="184"/>
      <c r="AE361" s="51"/>
      <c r="AF361" s="52"/>
      <c r="AG361" s="41"/>
      <c r="AH361" s="45"/>
      <c r="AI361" s="28"/>
      <c r="AJ361" s="28"/>
      <c r="AK361" s="28"/>
      <c r="AL361" s="28"/>
      <c r="AM361" s="12"/>
      <c r="AN361" s="12"/>
      <c r="AO361" s="12"/>
      <c r="AP361" s="12"/>
      <c r="AQ361" s="12"/>
      <c r="AR361" s="13"/>
      <c r="AS361" s="14"/>
    </row>
    <row r="362" spans="1:45" s="16" customFormat="1" ht="30.95" hidden="1" customHeight="1" x14ac:dyDescent="0.2">
      <c r="A362" s="35"/>
      <c r="B362" s="36"/>
      <c r="C362" s="43"/>
      <c r="D362" s="29"/>
      <c r="E362" s="29"/>
      <c r="F362" s="255"/>
      <c r="G362" s="256"/>
      <c r="H362" s="256"/>
      <c r="I362" s="200"/>
      <c r="J362" s="203"/>
      <c r="K362" s="200"/>
      <c r="L362" s="200"/>
      <c r="M362" s="37"/>
      <c r="N362" s="37"/>
      <c r="O362" s="153"/>
      <c r="P362" s="45"/>
      <c r="Q362" s="54"/>
      <c r="R362" s="257"/>
      <c r="S362" s="258"/>
      <c r="T362" s="258"/>
      <c r="U362" s="38"/>
      <c r="V362" s="259"/>
      <c r="W362" s="256"/>
      <c r="X362" s="256"/>
      <c r="Y362" s="256"/>
      <c r="Z362" s="256"/>
      <c r="AA362" s="54"/>
      <c r="AB362" s="200"/>
      <c r="AC362" s="31"/>
      <c r="AD362" s="184"/>
      <c r="AE362" s="51"/>
      <c r="AF362" s="52"/>
      <c r="AG362" s="41"/>
      <c r="AH362" s="45"/>
      <c r="AI362" s="28"/>
      <c r="AJ362" s="28"/>
      <c r="AK362" s="28"/>
      <c r="AL362" s="28"/>
      <c r="AM362" s="12"/>
      <c r="AN362" s="12"/>
      <c r="AO362" s="12"/>
      <c r="AP362" s="12"/>
      <c r="AQ362" s="12"/>
      <c r="AR362" s="13"/>
      <c r="AS362" s="14"/>
    </row>
    <row r="363" spans="1:45" s="16" customFormat="1" ht="30.95" hidden="1" customHeight="1" x14ac:dyDescent="0.2">
      <c r="A363" s="35" t="s">
        <v>966</v>
      </c>
      <c r="B363" s="36" t="s">
        <v>958</v>
      </c>
      <c r="C363" s="43"/>
      <c r="D363" s="29"/>
      <c r="E363" s="29"/>
      <c r="F363" s="255"/>
      <c r="G363" s="256"/>
      <c r="H363" s="256"/>
      <c r="I363" s="200"/>
      <c r="J363" s="203" t="s">
        <v>1003</v>
      </c>
      <c r="K363" s="200"/>
      <c r="L363" s="200"/>
      <c r="M363" s="37"/>
      <c r="N363" s="37"/>
      <c r="O363" s="153"/>
      <c r="P363" s="45"/>
      <c r="Q363" s="54"/>
      <c r="R363" s="257"/>
      <c r="S363" s="258"/>
      <c r="T363" s="258"/>
      <c r="U363" s="38"/>
      <c r="V363" s="259"/>
      <c r="W363" s="256"/>
      <c r="X363" s="256"/>
      <c r="Y363" s="256"/>
      <c r="Z363" s="256"/>
      <c r="AA363" s="54"/>
      <c r="AB363" s="200"/>
      <c r="AC363" s="31"/>
      <c r="AD363" s="184"/>
      <c r="AE363" s="51"/>
      <c r="AF363" s="52"/>
      <c r="AG363" s="41"/>
      <c r="AH363" s="45"/>
      <c r="AI363" s="28"/>
      <c r="AJ363" s="28"/>
      <c r="AK363" s="28"/>
      <c r="AL363" s="28"/>
      <c r="AM363" s="12"/>
      <c r="AN363" s="12"/>
      <c r="AO363" s="12"/>
      <c r="AP363" s="12"/>
      <c r="AQ363" s="12"/>
      <c r="AR363" s="13"/>
      <c r="AS363" s="14"/>
    </row>
    <row r="364" spans="1:45" s="16" customFormat="1" ht="30.95" hidden="1" customHeight="1" x14ac:dyDescent="0.2">
      <c r="A364" s="35"/>
      <c r="B364" s="36"/>
      <c r="C364" s="43"/>
      <c r="D364" s="29"/>
      <c r="E364" s="29"/>
      <c r="F364" s="255"/>
      <c r="G364" s="256"/>
      <c r="H364" s="256"/>
      <c r="I364" s="200"/>
      <c r="J364" s="203"/>
      <c r="K364" s="200"/>
      <c r="L364" s="200"/>
      <c r="M364" s="37"/>
      <c r="N364" s="37"/>
      <c r="O364" s="153"/>
      <c r="P364" s="45"/>
      <c r="Q364" s="54"/>
      <c r="R364" s="257"/>
      <c r="S364" s="258"/>
      <c r="T364" s="258"/>
      <c r="U364" s="38"/>
      <c r="V364" s="259"/>
      <c r="W364" s="256"/>
      <c r="X364" s="256"/>
      <c r="Y364" s="256"/>
      <c r="Z364" s="256"/>
      <c r="AA364" s="54"/>
      <c r="AB364" s="200"/>
      <c r="AC364" s="31"/>
      <c r="AD364" s="184"/>
      <c r="AE364" s="51"/>
      <c r="AF364" s="52"/>
      <c r="AG364" s="41"/>
      <c r="AH364" s="45"/>
      <c r="AI364" s="28"/>
      <c r="AJ364" s="28"/>
      <c r="AK364" s="28"/>
      <c r="AL364" s="28"/>
      <c r="AM364" s="12"/>
      <c r="AN364" s="12"/>
      <c r="AO364" s="12"/>
      <c r="AP364" s="12"/>
      <c r="AQ364" s="12"/>
      <c r="AR364" s="13"/>
      <c r="AS364" s="14"/>
    </row>
    <row r="365" spans="1:45" s="16" customFormat="1" ht="30.95" hidden="1" customHeight="1" x14ac:dyDescent="0.2">
      <c r="A365" s="35" t="s">
        <v>967</v>
      </c>
      <c r="B365" s="36" t="s">
        <v>959</v>
      </c>
      <c r="C365" s="43"/>
      <c r="D365" s="29"/>
      <c r="E365" s="29"/>
      <c r="F365" s="255" t="str">
        <f>IF(D365="","",VLOOKUP(D365,契約台帳!$A$3:$K$4986,6,FALSE)&amp;VLOOKUP(D365,契約台帳!$A$3:$K$4986,7,FALSE)&amp;VLOOKUP(D365,契約台帳!$A$3:$K$4986,8,FALSE)&amp;VLOOKUP(D365,契約台帳!$A$3:$K$4986,9,FALSE)&amp;VLOOKUP(D365,契約台帳!$A$3:$K$4986,11,FALSE))</f>
        <v/>
      </c>
      <c r="G365" s="256" t="str">
        <f>IF(D365="","",VLOOKUP(F365,製品マスタ!$G$5:$H$4999,2,FALSE))</f>
        <v/>
      </c>
      <c r="H365" s="256" t="str">
        <f>IF(D365="","",VLOOKUP(F365,製品マスタ!$G$5:$K$4999,5,FALSE))</f>
        <v/>
      </c>
      <c r="I365" s="200" t="str">
        <f>IF(D365="","",VLOOKUP(F365,製品マスタ!$G$5:$L$4999,6,FALSE))</f>
        <v/>
      </c>
      <c r="J365" s="203" t="s">
        <v>448</v>
      </c>
      <c r="K365" s="200" t="str">
        <f>IF(D365="","",VLOOKUP(D365,契約台帳!$A$3:$L$4986,12,FALSE))</f>
        <v/>
      </c>
      <c r="L365" s="200" t="str">
        <f>IF(D365="","",INDEX(製品マスタ!$Q$5:$Q$4999,MATCH('S4'!F365&amp;'S4'!K365,製品マスタ!$AO$5:$AO$4999,0)))</f>
        <v/>
      </c>
      <c r="M365" s="37"/>
      <c r="N365" s="37"/>
      <c r="O365" s="153"/>
      <c r="P365" s="45"/>
      <c r="Q365" s="54"/>
      <c r="R365" s="257" t="str">
        <f ca="1">IF(D365="","",IF(OFFSET(D365,-1,0)&lt;&gt;"","",IF(OR(J365="リード付け",J365="巻足し",J365="巻返しリード付け"),M365,VLOOKUP(D365,契約台帳!$A$3:$N$4986,14,FALSE))))</f>
        <v/>
      </c>
      <c r="S365" s="258" t="str">
        <f ca="1">IF(D365="","",IF(OFFSET(D365,-1,0)&lt;&gt;"","",IF(OR(J365="リード付け",J365="巻足し",J365="巻返しリード付け"),M365,VLOOKUP(D365,契約台帳!$A$3:$O$4986,15,FALSE))))</f>
        <v/>
      </c>
      <c r="T365" s="258" t="str">
        <f ca="1">IF(D365="","",IF(J365="リード付け",N365,IF(J365="巻返しリード付け",N365,IF(J365="巻足し",N365*P365+OFFSET(N365,1,0)*OFFSET(P365,1,0),VLOOKUP(D365,契約台帳!$A$3:$P$4986,16,FALSE)))))</f>
        <v/>
      </c>
      <c r="U365" s="38"/>
      <c r="V365" s="259" t="str">
        <f ca="1">IF(D365="","",IF(OFFSET(D365,-2,0)=D365,"",VLOOKUP(D365,契約台帳!$A$3:$R$4986,18,FALSE)))</f>
        <v/>
      </c>
      <c r="W365" s="256" t="str">
        <f>IF(D365="","",IF(T365="","",IF(OR(J365="巻足し",J365="巻返しリード付け"),"",IF(J365="巻返し",VLOOKUP(F365&amp;K365&amp;M365,製品マスタ!$M$5:$AD$4999,18,FALSE),IF(OR(J365="リード付け",J365="巻返しリード付け"),"原反コア",IF(J365="スリット",VLOOKUP(F365&amp;K365&amp;R365,製品マスタ!$N$5:$AD$4999,17,FALSE),""))))))</f>
        <v/>
      </c>
      <c r="X365" s="256" t="str">
        <f>IF(D365="","",IF(T365="","",IF(J365="巻足し","",IF(J365="巻返し",VLOOKUP(F365&amp;K365&amp;M365,製品マスタ!$M$5:$AE$4999,19,FALSE),IF(OR(J365="リード付け",J365="巻返しリード付け"),"",IF(J365="スリット",VLOOKUP(F365&amp;K365&amp;R365,製品マスタ!$N$5:$AE$4999,18,FALSE),""))))))</f>
        <v/>
      </c>
      <c r="Y365" s="256" t="str">
        <f>IF(D365="","",IF(T365="","",VLOOKUP(D365,契約台帳!$A$3:$Q$4986,17,FALSE)))</f>
        <v/>
      </c>
      <c r="Z365" s="256" t="str">
        <f>IF(D365="","",IF(T365="","",VLOOKUP(D365,契約台帳!$A$3:$E$4986,5,FALSE)))</f>
        <v/>
      </c>
      <c r="AA365" s="54"/>
      <c r="AB365" s="200" t="str">
        <f>IFERROR((VLOOKUP(F365&amp;K365&amp;M365,製品マスタ!$M$5:$AM$4999,27,FALSE)),"")</f>
        <v/>
      </c>
      <c r="AC365" s="31"/>
      <c r="AD365" s="184"/>
      <c r="AE365" s="51"/>
      <c r="AF365" s="52"/>
      <c r="AG365" s="41"/>
      <c r="AH365" s="45"/>
      <c r="AI365" s="28"/>
      <c r="AJ365" s="28"/>
      <c r="AK365" s="28"/>
      <c r="AL365" s="28"/>
      <c r="AM365" s="12"/>
      <c r="AN365" s="12"/>
      <c r="AO365" s="12"/>
      <c r="AP365" s="12"/>
      <c r="AQ365" s="12"/>
      <c r="AR365" s="13"/>
      <c r="AS365" s="14"/>
    </row>
    <row r="366" spans="1:45" s="16" customFormat="1" ht="30.95" hidden="1" customHeight="1" x14ac:dyDescent="0.2">
      <c r="A366" s="35"/>
      <c r="B366" s="36"/>
      <c r="C366" s="43"/>
      <c r="D366" s="29"/>
      <c r="E366" s="29"/>
      <c r="F366" s="255" t="str">
        <f>IF(D366="","",VLOOKUP(D366,契約台帳!$A$3:$K$4986,6,FALSE)&amp;VLOOKUP(D366,契約台帳!$A$3:$K$4986,7,FALSE)&amp;VLOOKUP(D366,契約台帳!$A$3:$K$4986,8,FALSE)&amp;VLOOKUP(D366,契約台帳!$A$3:$K$4986,9,FALSE)&amp;VLOOKUP(D366,契約台帳!$A$3:$K$4986,11,FALSE))</f>
        <v/>
      </c>
      <c r="G366" s="256" t="str">
        <f>IF(D366="","",VLOOKUP(F366,製品マスタ!$G$5:$H$4999,2,FALSE))</f>
        <v/>
      </c>
      <c r="H366" s="256" t="str">
        <f>IF(D366="","",VLOOKUP(F366,製品マスタ!$G$5:$K$4999,5,FALSE))</f>
        <v/>
      </c>
      <c r="I366" s="200" t="str">
        <f>IF(D366="","",VLOOKUP(F366,製品マスタ!$G$5:$L$4999,6,FALSE))</f>
        <v/>
      </c>
      <c r="J366" s="203"/>
      <c r="K366" s="200" t="str">
        <f>IF(D366="","",VLOOKUP(D366,契約台帳!$A$3:$L$4986,12,FALSE))</f>
        <v/>
      </c>
      <c r="L366" s="200" t="str">
        <f>IF(D366="","",INDEX(製品マスタ!$Q$5:$Q$4999,MATCH('S4'!F366&amp;'S4'!K366,製品マスタ!$AO$5:$AO$4999,0)))</f>
        <v/>
      </c>
      <c r="M366" s="37"/>
      <c r="N366" s="37"/>
      <c r="O366" s="153"/>
      <c r="P366" s="45"/>
      <c r="Q366" s="54"/>
      <c r="R366" s="257" t="str">
        <f ca="1">IF(D366="","",IF(OFFSET(D366,-1,0)&lt;&gt;"","",IF(OR(J366="リード付け",J366="巻足し",J366="巻返しリード付け"),M366,VLOOKUP(D366,契約台帳!$A$3:$N$4986,14,FALSE))))</f>
        <v/>
      </c>
      <c r="S366" s="258" t="str">
        <f ca="1">IF(D366="","",IF(OFFSET(D366,-1,0)&lt;&gt;"","",IF(OR(J366="リード付け",J366="巻足し",J366="巻返しリード付け"),M366,VLOOKUP(D366,契約台帳!$A$3:$O$4986,15,FALSE))))</f>
        <v/>
      </c>
      <c r="T366" s="258" t="str">
        <f ca="1">IF(D366="","",IF(J366="リード付け",N366,IF(J366="巻返しリード付け",N366,IF(J366="巻足し",N366*P366+OFFSET(N366,1,0)*OFFSET(P366,1,0),VLOOKUP(D366,契約台帳!$A$3:$P$4986,16,FALSE)))))</f>
        <v/>
      </c>
      <c r="U366" s="38"/>
      <c r="V366" s="259" t="str">
        <f ca="1">IF(D366="","",IF(OFFSET(D366,-2,0)=D366,"",VLOOKUP(D366,契約台帳!$A$3:$R$4986,18,FALSE)))</f>
        <v/>
      </c>
      <c r="W366" s="256" t="str">
        <f>IF(D366="","",IF(T366="","",IF(OR(J366="巻足し",J366="巻返しリード付け"),"",IF(J366="巻返し",VLOOKUP(F366&amp;K366&amp;M366,製品マスタ!$M$5:$AD$4999,18,FALSE),IF(OR(J366="リード付け",J366="巻返しリード付け"),"原反コア",IF(J366="スリット",VLOOKUP(F366&amp;K366&amp;R366,製品マスタ!$N$5:$AD$4999,17,FALSE),""))))))</f>
        <v/>
      </c>
      <c r="X366" s="256" t="str">
        <f>IF(D366="","",IF(T366="","",IF(J366="巻足し","",IF(J366="巻返し",VLOOKUP(F366&amp;K366&amp;M366,製品マスタ!$M$5:$AE$4999,19,FALSE),IF(OR(J366="リード付け",J366="巻返しリード付け"),"",IF(J366="スリット",VLOOKUP(F366&amp;K366&amp;R366,製品マスタ!$N$5:$AE$4999,18,FALSE),""))))))</f>
        <v/>
      </c>
      <c r="Y366" s="256" t="str">
        <f>IF(D366="","",IF(T366="","",VLOOKUP(D366,契約台帳!$A$3:$Q$4986,17,FALSE)))</f>
        <v/>
      </c>
      <c r="Z366" s="256" t="str">
        <f>IF(D366="","",IF(T366="","",VLOOKUP(D366,契約台帳!$A$3:$E$4986,5,FALSE)))</f>
        <v/>
      </c>
      <c r="AA366" s="54"/>
      <c r="AB366" s="200" t="str">
        <f>IFERROR((VLOOKUP(F366&amp;K366&amp;M366,製品マスタ!$M$5:$AM$4999,27,FALSE)),"")</f>
        <v/>
      </c>
      <c r="AC366" s="31"/>
      <c r="AD366" s="184"/>
      <c r="AE366" s="51"/>
      <c r="AF366" s="52"/>
      <c r="AG366" s="41"/>
      <c r="AH366" s="45"/>
      <c r="AI366" s="28"/>
      <c r="AJ366" s="28"/>
      <c r="AK366" s="28"/>
      <c r="AL366" s="28"/>
      <c r="AM366" s="12"/>
      <c r="AN366" s="12"/>
      <c r="AO366" s="12"/>
      <c r="AP366" s="12"/>
      <c r="AQ366" s="12"/>
      <c r="AR366" s="13"/>
      <c r="AS366" s="14"/>
    </row>
    <row r="367" spans="1:45" s="16" customFormat="1" ht="30.95" hidden="1" customHeight="1" x14ac:dyDescent="0.2">
      <c r="A367" s="35" t="s">
        <v>968</v>
      </c>
      <c r="B367" s="36" t="s">
        <v>960</v>
      </c>
      <c r="C367" s="43"/>
      <c r="D367" s="29"/>
      <c r="E367" s="29"/>
      <c r="F367" s="255" t="str">
        <f>IF(D367="","",VLOOKUP(D367,契約台帳!$A$3:$K$4986,6,FALSE)&amp;VLOOKUP(D367,契約台帳!$A$3:$K$4986,7,FALSE)&amp;VLOOKUP(D367,契約台帳!$A$3:$K$4986,8,FALSE)&amp;VLOOKUP(D367,契約台帳!$A$3:$K$4986,9,FALSE)&amp;VLOOKUP(D367,契約台帳!$A$3:$K$4986,11,FALSE))</f>
        <v/>
      </c>
      <c r="G367" s="256" t="str">
        <f>IF(D367="","",VLOOKUP(F367,製品マスタ!$G$5:$H$4999,2,FALSE))</f>
        <v/>
      </c>
      <c r="H367" s="256" t="str">
        <f>IF(D367="","",VLOOKUP(F367,製品マスタ!$G$5:$K$4999,5,FALSE))</f>
        <v/>
      </c>
      <c r="I367" s="200" t="str">
        <f>IF(D367="","",VLOOKUP(F367,製品マスタ!$G$5:$L$4999,6,FALSE))</f>
        <v/>
      </c>
      <c r="J367" s="203" t="s">
        <v>448</v>
      </c>
      <c r="K367" s="200" t="str">
        <f>IF(D367="","",VLOOKUP(D367,契約台帳!$A$3:$L$4986,12,FALSE))</f>
        <v/>
      </c>
      <c r="L367" s="200" t="str">
        <f>IF(D367="","",INDEX(製品マスタ!$Q$5:$Q$4999,MATCH('S4'!F367&amp;'S4'!K367,製品マスタ!$AO$5:$AO$4999,0)))</f>
        <v/>
      </c>
      <c r="M367" s="37"/>
      <c r="N367" s="37"/>
      <c r="O367" s="153"/>
      <c r="P367" s="45"/>
      <c r="Q367" s="54"/>
      <c r="R367" s="257" t="str">
        <f ca="1">IF(D367="","",IF(OFFSET(D367,-1,0)&lt;&gt;"","",IF(OR(J367="リード付け",J367="巻足し",J367="巻返しリード付け"),M367,VLOOKUP(D367,契約台帳!$A$3:$N$4986,14,FALSE))))</f>
        <v/>
      </c>
      <c r="S367" s="258" t="str">
        <f ca="1">IF(D367="","",IF(OFFSET(D367,-1,0)&lt;&gt;"","",IF(OR(J367="リード付け",J367="巻足し",J367="巻返しリード付け"),M367,VLOOKUP(D367,契約台帳!$A$3:$O$4986,15,FALSE))))</f>
        <v/>
      </c>
      <c r="T367" s="258" t="str">
        <f ca="1">IF(D367="","",IF(J367="リード付け",N367,IF(J367="巻返しリード付け",N367,IF(J367="巻足し",N367*P367+OFFSET(N367,1,0)*OFFSET(P367,1,0),VLOOKUP(D367,契約台帳!$A$3:$P$4986,16,FALSE)))))</f>
        <v/>
      </c>
      <c r="U367" s="38"/>
      <c r="V367" s="259" t="str">
        <f ca="1">IF(D367="","",IF(OFFSET(D367,-2,0)=D367,"",VLOOKUP(D367,契約台帳!$A$3:$R$4986,18,FALSE)))</f>
        <v/>
      </c>
      <c r="W367" s="256" t="str">
        <f>IF(D367="","",IF(T367="","",IF(OR(J367="巻足し",J367="巻返しリード付け"),"",IF(J367="巻返し",VLOOKUP(F367&amp;K367&amp;M367,製品マスタ!$M$5:$AD$4999,18,FALSE),IF(OR(J367="リード付け",J367="巻返しリード付け"),"原反コア",IF(J367="スリット",VLOOKUP(F367&amp;K367&amp;R367,製品マスタ!$N$5:$AD$4999,17,FALSE),""))))))</f>
        <v/>
      </c>
      <c r="X367" s="256" t="str">
        <f>IF(D367="","",IF(T367="","",IF(J367="巻足し","",IF(J367="巻返し",VLOOKUP(F367&amp;K367&amp;M367,製品マスタ!$M$5:$AE$4999,19,FALSE),IF(OR(J367="リード付け",J367="巻返しリード付け"),"",IF(J367="スリット",VLOOKUP(F367&amp;K367&amp;R367,製品マスタ!$N$5:$AE$4999,18,FALSE),""))))))</f>
        <v/>
      </c>
      <c r="Y367" s="256" t="str">
        <f>IF(D367="","",IF(T367="","",VLOOKUP(D367,契約台帳!$A$3:$Q$4986,17,FALSE)))</f>
        <v/>
      </c>
      <c r="Z367" s="256" t="str">
        <f>IF(D367="","",IF(T367="","",VLOOKUP(D367,契約台帳!$A$3:$E$4986,5,FALSE)))</f>
        <v/>
      </c>
      <c r="AA367" s="54"/>
      <c r="AB367" s="200" t="str">
        <f>IFERROR((VLOOKUP(F367&amp;K367&amp;M367,製品マスタ!$M$5:$AM$4999,27,FALSE)),"")</f>
        <v/>
      </c>
      <c r="AC367" s="31"/>
      <c r="AD367" s="184"/>
      <c r="AE367" s="51"/>
      <c r="AF367" s="52"/>
      <c r="AG367" s="41"/>
      <c r="AH367" s="45"/>
      <c r="AI367" s="28"/>
      <c r="AJ367" s="28"/>
      <c r="AK367" s="28"/>
      <c r="AL367" s="28"/>
      <c r="AM367" s="12"/>
      <c r="AN367" s="12"/>
      <c r="AO367" s="12"/>
      <c r="AP367" s="12"/>
      <c r="AQ367" s="12"/>
      <c r="AR367" s="13"/>
      <c r="AS367" s="14"/>
    </row>
    <row r="368" spans="1:45" s="16" customFormat="1" ht="30.95" hidden="1" customHeight="1" x14ac:dyDescent="0.2">
      <c r="A368" s="35"/>
      <c r="B368" s="36"/>
      <c r="C368" s="43"/>
      <c r="D368" s="29"/>
      <c r="E368" s="29"/>
      <c r="F368" s="255" t="str">
        <f>IF(D368="","",VLOOKUP(D368,契約台帳!$A$3:$K$4986,6,FALSE)&amp;VLOOKUP(D368,契約台帳!$A$3:$K$4986,7,FALSE)&amp;VLOOKUP(D368,契約台帳!$A$3:$K$4986,8,FALSE)&amp;VLOOKUP(D368,契約台帳!$A$3:$K$4986,9,FALSE)&amp;VLOOKUP(D368,契約台帳!$A$3:$K$4986,11,FALSE))</f>
        <v/>
      </c>
      <c r="G368" s="256" t="str">
        <f>IF(D368="","",VLOOKUP(F368,製品マスタ!$G$5:$H$4999,2,FALSE))</f>
        <v/>
      </c>
      <c r="H368" s="256" t="str">
        <f>IF(D368="","",VLOOKUP(F368,製品マスタ!$G$5:$K$4999,5,FALSE))</f>
        <v/>
      </c>
      <c r="I368" s="200" t="str">
        <f>IF(D368="","",VLOOKUP(F368,製品マスタ!$G$5:$L$4999,6,FALSE))</f>
        <v/>
      </c>
      <c r="J368" s="203"/>
      <c r="K368" s="200" t="str">
        <f>IF(D368="","",VLOOKUP(D368,契約台帳!$A$3:$L$4986,12,FALSE))</f>
        <v/>
      </c>
      <c r="L368" s="200" t="str">
        <f>IF(D368="","",INDEX(製品マスタ!$Q$5:$Q$4999,MATCH('S4'!F368&amp;'S4'!K368,製品マスタ!$AO$5:$AO$4999,0)))</f>
        <v/>
      </c>
      <c r="M368" s="37"/>
      <c r="N368" s="37"/>
      <c r="O368" s="153"/>
      <c r="P368" s="45"/>
      <c r="Q368" s="54"/>
      <c r="R368" s="257" t="str">
        <f ca="1">IF(D368="","",IF(OFFSET(D368,-1,0)&lt;&gt;"","",IF(OR(J368="リード付け",J368="巻足し",J368="巻返しリード付け"),M368,VLOOKUP(D368,契約台帳!$A$3:$N$4986,14,FALSE))))</f>
        <v/>
      </c>
      <c r="S368" s="258" t="str">
        <f ca="1">IF(D368="","",IF(OFFSET(D368,-1,0)&lt;&gt;"","",IF(OR(J368="リード付け",J368="巻足し",J368="巻返しリード付け"),M368,VLOOKUP(D368,契約台帳!$A$3:$O$4986,15,FALSE))))</f>
        <v/>
      </c>
      <c r="T368" s="258" t="str">
        <f ca="1">IF(D368="","",IF(J368="リード付け",N368,IF(J368="巻返しリード付け",N368,IF(J368="巻足し",N368*P368+OFFSET(N368,1,0)*OFFSET(P368,1,0),VLOOKUP(D368,契約台帳!$A$3:$P$4986,16,FALSE)))))</f>
        <v/>
      </c>
      <c r="U368" s="38"/>
      <c r="V368" s="259" t="str">
        <f ca="1">IF(D368="","",IF(OFFSET(D368,-2,0)=D368,"",VLOOKUP(D368,契約台帳!$A$3:$R$4986,18,FALSE)))</f>
        <v/>
      </c>
      <c r="W368" s="256" t="str">
        <f>IF(D368="","",IF(T368="","",IF(OR(J368="巻足し",J368="巻返しリード付け"),"",IF(J368="巻返し",VLOOKUP(F368&amp;K368&amp;M368,製品マスタ!$M$5:$AD$4999,18,FALSE),IF(OR(J368="リード付け",J368="巻返しリード付け"),"原反コア",IF(J368="スリット",VLOOKUP(F368&amp;K368&amp;R368,製品マスタ!$N$5:$AD$4999,17,FALSE),""))))))</f>
        <v/>
      </c>
      <c r="X368" s="256" t="str">
        <f>IF(D368="","",IF(T368="","",IF(J368="巻足し","",IF(J368="巻返し",VLOOKUP(F368&amp;K368&amp;M368,製品マスタ!$M$5:$AE$4999,19,FALSE),IF(OR(J368="リード付け",J368="巻返しリード付け"),"",IF(J368="スリット",VLOOKUP(F368&amp;K368&amp;R368,製品マスタ!$N$5:$AE$4999,18,FALSE),""))))))</f>
        <v/>
      </c>
      <c r="Y368" s="256" t="str">
        <f>IF(D368="","",IF(T368="","",VLOOKUP(D368,契約台帳!$A$3:$Q$4986,17,FALSE)))</f>
        <v/>
      </c>
      <c r="Z368" s="256" t="str">
        <f>IF(D368="","",IF(T368="","",VLOOKUP(D368,契約台帳!$A$3:$E$4986,5,FALSE)))</f>
        <v/>
      </c>
      <c r="AA368" s="54"/>
      <c r="AB368" s="200" t="str">
        <f>IFERROR((VLOOKUP(F368&amp;K368&amp;M368,製品マスタ!$M$5:$AM$4999,27,FALSE)),"")</f>
        <v/>
      </c>
      <c r="AC368" s="31"/>
      <c r="AD368" s="184"/>
      <c r="AE368" s="51"/>
      <c r="AF368" s="52"/>
      <c r="AG368" s="41"/>
      <c r="AH368" s="45"/>
      <c r="AI368" s="28"/>
      <c r="AJ368" s="28"/>
      <c r="AK368" s="28"/>
      <c r="AL368" s="28"/>
      <c r="AM368" s="12"/>
      <c r="AN368" s="12"/>
      <c r="AO368" s="12"/>
      <c r="AP368" s="12"/>
      <c r="AQ368" s="12"/>
      <c r="AR368" s="13"/>
      <c r="AS368" s="14"/>
    </row>
    <row r="369" spans="1:45" s="16" customFormat="1" ht="30.95" hidden="1" customHeight="1" x14ac:dyDescent="0.2">
      <c r="A369" s="35" t="s">
        <v>969</v>
      </c>
      <c r="B369" s="36" t="s">
        <v>462</v>
      </c>
      <c r="C369" s="43"/>
      <c r="D369" s="29">
        <v>3700946</v>
      </c>
      <c r="E369" s="29">
        <v>4140904</v>
      </c>
      <c r="F369" s="255" t="str">
        <f>IF(D369="","",VLOOKUP(D369,契約台帳!$A$3:$K$4986,6,FALSE)&amp;VLOOKUP(D369,契約台帳!$A$3:$K$4986,7,FALSE)&amp;VLOOKUP(D369,契約台帳!$A$3:$K$4986,8,FALSE)&amp;VLOOKUP(D369,契約台帳!$A$3:$K$4986,9,FALSE)&amp;VLOOKUP(D369,契約台帳!$A$3:$K$4986,11,FALSE))</f>
        <v>3SNMCLBMSNEYK</v>
      </c>
      <c r="G369" s="256" t="str">
        <f>IF(D369="","",VLOOKUP(F369,製品マスタ!$G$5:$H$4999,2,FALSE))</f>
        <v>S</v>
      </c>
      <c r="H369" s="256" t="str">
        <f>IF(D369="","",VLOOKUP(F369,製品マスタ!$G$5:$K$4999,5,FALSE))</f>
        <v>MSNEYK</v>
      </c>
      <c r="I369" s="200" t="str">
        <f>IF(D369="","",VLOOKUP(F369,製品マスタ!$G$5:$L$4999,6,FALSE))</f>
        <v>ＭＳＮ　ＥＹＫ</v>
      </c>
      <c r="J369" s="203" t="s">
        <v>447</v>
      </c>
      <c r="K369" s="200">
        <f>IF(D369="","",VLOOKUP(D369,契約台帳!$A$3:$L$4986,12,FALSE))</f>
        <v>100</v>
      </c>
      <c r="L369" s="200" t="str">
        <f>IF(D369="","",INDEX(製品マスタ!$Q$5:$Q$4999,MATCH('S4'!F369&amp;'S4'!K369,製品マスタ!$AO$5:$AO$4999,0)))</f>
        <v>N-MAT</v>
      </c>
      <c r="M369" s="37">
        <v>1205</v>
      </c>
      <c r="N369" s="37">
        <v>5000</v>
      </c>
      <c r="O369" s="153">
        <v>2</v>
      </c>
      <c r="P369" s="45">
        <v>2</v>
      </c>
      <c r="Q369" s="54"/>
      <c r="R369" s="257">
        <f ca="1">IF(D369="","",IF(OFFSET(D369,-1,0)&lt;&gt;"","",IF(OR(J369="リード付け",J369="巻足し",J369="巻返しリード付け"),M369,VLOOKUP(D369,契約台帳!$A$3:$N$4986,14,FALSE))))</f>
        <v>1205</v>
      </c>
      <c r="S369" s="258">
        <f ca="1">IF(D369="","",IF(OFFSET(D369,-1,0)&lt;&gt;"","",IF(OR(J369="リード付け",J369="巻足し",J369="巻返しリード付け"),M369,VLOOKUP(D369,契約台帳!$A$3:$O$4986,15,FALSE))))</f>
        <v>1205</v>
      </c>
      <c r="T369" s="258">
        <f ca="1">IF(D369="","",IF(J369="リード付け",N369,IF(J369="巻返しリード付け",N369,IF(J369="巻足し",N369*P369+OFFSET(N369,1,0)*OFFSET(P369,1,0),VLOOKUP(D369,契約台帳!$A$3:$P$4986,16,FALSE)))))</f>
        <v>2500</v>
      </c>
      <c r="U369" s="38">
        <v>4</v>
      </c>
      <c r="V369" s="259">
        <f ca="1">IF(D369="","",IF(OFFSET(D369,-2,0)=D369,"",VLOOKUP(D369,契約台帳!$A$3:$R$4986,18,FALSE)))</f>
        <v>4</v>
      </c>
      <c r="W369" s="256" t="str">
        <f ca="1">IF(D369="","",IF(T369="","",IF(OR(J369="巻足し",J369="巻返しリード付け"),"",IF(J369="巻返し",VLOOKUP(F369&amp;K369&amp;M369,製品マスタ!$M$5:$AD$4999,18,FALSE),IF(OR(J369="リード付け",J369="巻返しリード付け"),"原反コア",IF(J369="スリット",VLOOKUP(F369&amp;K369&amp;R369,製品マスタ!$N$5:$AD$4999,17,FALSE),""))))))</f>
        <v>6ｲﾝﾁMｺｱ</v>
      </c>
      <c r="X369" s="256">
        <f ca="1">IF(D369="","",IF(T369="","",IF(J369="巻足し","",IF(J369="巻返し",VLOOKUP(F369&amp;K369&amp;M369,製品マスタ!$M$5:$AE$4999,19,FALSE),IF(OR(J369="リード付け",J369="巻返しリード付け"),"",IF(J369="スリット",VLOOKUP(F369&amp;K369&amp;R369,製品マスタ!$N$5:$AE$4999,18,FALSE),""))))))</f>
        <v>1220</v>
      </c>
      <c r="Y369" s="256">
        <f ca="1">IF(D369="","",IF(T369="","",VLOOKUP(D369,契約台帳!$A$3:$Q$4986,17,FALSE)))</f>
        <v>2</v>
      </c>
      <c r="Z369" s="256" t="str">
        <f ca="1">IF(D369="","",IF(T369="","",VLOOKUP(D369,契約台帳!$A$3:$E$4986,5,FALSE)))</f>
        <v>マルウ接着㈱</v>
      </c>
      <c r="AA369" s="54"/>
      <c r="AB369" s="200" t="str">
        <f>IFERROR((VLOOKUP(F369&amp;K369&amp;M369,製品マスタ!$M$5:$AM$4999,27,FALSE)),"")</f>
        <v>原反ケース再利用</v>
      </c>
      <c r="AC369" s="31"/>
      <c r="AD369" s="184"/>
      <c r="AE369" s="51"/>
      <c r="AF369" s="52"/>
      <c r="AG369" s="41"/>
      <c r="AH369" s="45"/>
      <c r="AI369" s="28"/>
      <c r="AJ369" s="28"/>
      <c r="AK369" s="28"/>
      <c r="AL369" s="28"/>
      <c r="AM369" s="12"/>
      <c r="AN369" s="12"/>
      <c r="AO369" s="12"/>
      <c r="AP369" s="12"/>
      <c r="AQ369" s="12"/>
      <c r="AR369" s="13"/>
      <c r="AS369" s="14"/>
    </row>
    <row r="370" spans="1:45" s="16" customFormat="1" ht="30.95" hidden="1" customHeight="1" x14ac:dyDescent="0.2">
      <c r="A370" s="35"/>
      <c r="B370" s="36"/>
      <c r="C370" s="43"/>
      <c r="D370" s="29"/>
      <c r="E370" s="29"/>
      <c r="F370" s="255" t="str">
        <f>IF(D370="","",VLOOKUP(D370,契約台帳!$A$3:$K$4986,6,FALSE)&amp;VLOOKUP(D370,契約台帳!$A$3:$K$4986,7,FALSE)&amp;VLOOKUP(D370,契約台帳!$A$3:$K$4986,8,FALSE)&amp;VLOOKUP(D370,契約台帳!$A$3:$K$4986,9,FALSE)&amp;VLOOKUP(D370,契約台帳!$A$3:$K$4986,11,FALSE))</f>
        <v/>
      </c>
      <c r="G370" s="256" t="str">
        <f>IF(D370="","",VLOOKUP(F370,製品マスタ!$G$5:$H$4999,2,FALSE))</f>
        <v/>
      </c>
      <c r="H370" s="256" t="str">
        <f>IF(D370="","",VLOOKUP(F370,製品マスタ!$G$5:$K$4999,5,FALSE))</f>
        <v/>
      </c>
      <c r="I370" s="200" t="str">
        <f>IF(D370="","",VLOOKUP(F370,製品マスタ!$G$5:$L$4999,6,FALSE))</f>
        <v/>
      </c>
      <c r="J370" s="203"/>
      <c r="K370" s="200" t="str">
        <f>IF(D370="","",VLOOKUP(D370,契約台帳!$A$3:$L$4986,12,FALSE))</f>
        <v/>
      </c>
      <c r="L370" s="200" t="str">
        <f>IF(D370="","",INDEX(製品マスタ!$Q$5:$Q$4999,MATCH('S4'!F370&amp;'S4'!K370,製品マスタ!$AO$5:$AO$4999,0)))</f>
        <v/>
      </c>
      <c r="M370" s="37"/>
      <c r="N370" s="37"/>
      <c r="O370" s="153"/>
      <c r="P370" s="45"/>
      <c r="Q370" s="54"/>
      <c r="R370" s="257" t="str">
        <f ca="1">IF(D370="","",IF(OFFSET(D370,-1,0)&lt;&gt;"","",IF(OR(J370="リード付け",J370="巻足し",J370="巻返しリード付け"),M370,VLOOKUP(D370,契約台帳!$A$3:$N$4986,14,FALSE))))</f>
        <v/>
      </c>
      <c r="S370" s="258" t="str">
        <f ca="1">IF(D370="","",IF(OFFSET(D370,-1,0)&lt;&gt;"","",IF(OR(J370="リード付け",J370="巻足し",J370="巻返しリード付け"),M370,VLOOKUP(D370,契約台帳!$A$3:$O$4986,15,FALSE))))</f>
        <v/>
      </c>
      <c r="T370" s="258" t="str">
        <f ca="1">IF(D370="","",IF(J370="リード付け",N370,IF(J370="巻返しリード付け",N370,IF(J370="巻足し",N370*P370+OFFSET(N370,1,0)*OFFSET(P370,1,0),VLOOKUP(D370,契約台帳!$A$3:$P$4986,16,FALSE)))))</f>
        <v/>
      </c>
      <c r="U370" s="38"/>
      <c r="V370" s="259" t="str">
        <f ca="1">IF(D370="","",IF(OFFSET(D370,-2,0)=D370,"",VLOOKUP(D370,契約台帳!$A$3:$R$4986,18,FALSE)))</f>
        <v/>
      </c>
      <c r="W370" s="256" t="str">
        <f>IF(D370="","",IF(T370="","",IF(OR(J370="巻足し",J370="巻返しリード付け"),"",IF(J370="巻返し",VLOOKUP(F370&amp;K370&amp;M370,製品マスタ!$M$5:$AD$4999,18,FALSE),IF(OR(J370="リード付け",J370="巻返しリード付け"),"原反コア",IF(J370="スリット",VLOOKUP(F370&amp;K370&amp;R370,製品マスタ!$N$5:$AD$4999,17,FALSE),""))))))</f>
        <v/>
      </c>
      <c r="X370" s="256" t="str">
        <f>IF(D370="","",IF(T370="","",IF(J370="巻足し","",IF(J370="巻返し",VLOOKUP(F370&amp;K370&amp;M370,製品マスタ!$M$5:$AE$4999,19,FALSE),IF(OR(J370="リード付け",J370="巻返しリード付け"),"",IF(J370="スリット",VLOOKUP(F370&amp;K370&amp;R370,製品マスタ!$N$5:$AE$4999,18,FALSE),""))))))</f>
        <v/>
      </c>
      <c r="Y370" s="256" t="str">
        <f>IF(D370="","",IF(T370="","",VLOOKUP(D370,契約台帳!$A$3:$Q$4986,17,FALSE)))</f>
        <v/>
      </c>
      <c r="Z370" s="256" t="str">
        <f>IF(D370="","",IF(T370="","",VLOOKUP(D370,契約台帳!$A$3:$E$4986,5,FALSE)))</f>
        <v/>
      </c>
      <c r="AA370" s="54"/>
      <c r="AB370" s="200" t="str">
        <f>IFERROR((VLOOKUP(F370&amp;K370&amp;M370,製品マスタ!$M$5:$AM$4999,27,FALSE)),"")</f>
        <v/>
      </c>
      <c r="AC370" s="31"/>
      <c r="AD370" s="184"/>
      <c r="AE370" s="51"/>
      <c r="AF370" s="52"/>
      <c r="AG370" s="41"/>
      <c r="AH370" s="45"/>
      <c r="AI370" s="28"/>
      <c r="AJ370" s="28"/>
      <c r="AK370" s="28"/>
      <c r="AL370" s="28"/>
      <c r="AM370" s="12"/>
      <c r="AN370" s="12"/>
      <c r="AO370" s="12"/>
      <c r="AP370" s="12"/>
      <c r="AQ370" s="12"/>
      <c r="AR370" s="13"/>
      <c r="AS370" s="14"/>
    </row>
    <row r="371" spans="1:45" s="16" customFormat="1" ht="30.95" hidden="1" customHeight="1" x14ac:dyDescent="0.2">
      <c r="A371" s="35"/>
      <c r="B371" s="36"/>
      <c r="C371" s="43"/>
      <c r="D371" s="29">
        <v>3702341</v>
      </c>
      <c r="E371" s="29">
        <v>4140908</v>
      </c>
      <c r="F371" s="255" t="str">
        <f>IF(D371="","",VLOOKUP(D371,契約台帳!$A$3:$K$4986,6,FALSE)&amp;VLOOKUP(D371,契約台帳!$A$3:$K$4986,7,FALSE)&amp;VLOOKUP(D371,契約台帳!$A$3:$K$4986,8,FALSE)&amp;VLOOKUP(D371,契約台帳!$A$3:$K$4986,9,FALSE)&amp;VLOOKUP(D371,契約台帳!$A$3:$K$4986,11,FALSE))</f>
        <v>3SNMCLBMSNEYK</v>
      </c>
      <c r="G371" s="256" t="str">
        <f>IF(D371="","",VLOOKUP(F371,製品マスタ!$G$5:$H$4999,2,FALSE))</f>
        <v>S</v>
      </c>
      <c r="H371" s="256" t="str">
        <f>IF(D371="","",VLOOKUP(F371,製品マスタ!$G$5:$K$4999,5,FALSE))</f>
        <v>MSNEYK</v>
      </c>
      <c r="I371" s="200" t="str">
        <f>IF(D371="","",VLOOKUP(F371,製品マスタ!$G$5:$L$4999,6,FALSE))</f>
        <v>ＭＳＮ　ＥＹＫ</v>
      </c>
      <c r="J371" s="203" t="s">
        <v>447</v>
      </c>
      <c r="K371" s="200">
        <f>IF(D371="","",VLOOKUP(D371,契約台帳!$A$3:$L$4986,12,FALSE))</f>
        <v>50</v>
      </c>
      <c r="L371" s="200" t="str">
        <f>IF(D371="","",INDEX(製品マスタ!$Q$5:$Q$4999,MATCH('S4'!F371&amp;'S4'!K371,製品マスタ!$AO$5:$AO$4999,0)))</f>
        <v>N-MAT</v>
      </c>
      <c r="M371" s="37">
        <v>1200</v>
      </c>
      <c r="N371" s="37">
        <v>12000</v>
      </c>
      <c r="O371" s="153">
        <v>3</v>
      </c>
      <c r="P371" s="45">
        <v>3</v>
      </c>
      <c r="Q371" s="54"/>
      <c r="R371" s="257">
        <f ca="1">IF(D371="","",IF(OFFSET(D371,-1,0)&lt;&gt;"","",IF(OR(J371="リード付け",J371="巻足し",J371="巻返しリード付け"),M371,VLOOKUP(D371,契約台帳!$A$3:$N$4986,14,FALSE))))</f>
        <v>1200</v>
      </c>
      <c r="S371" s="258">
        <f ca="1">IF(D371="","",IF(OFFSET(D371,-1,0)&lt;&gt;"","",IF(OR(J371="リード付け",J371="巻足し",J371="巻返しリード付け"),M371,VLOOKUP(D371,契約台帳!$A$3:$O$4986,15,FALSE))))</f>
        <v>1190</v>
      </c>
      <c r="T371" s="258">
        <f ca="1">IF(D371="","",IF(J371="リード付け",N371,IF(J371="巻返しリード付け",N371,IF(J371="巻足し",N371*P371+OFFSET(N371,1,0)*OFFSET(P371,1,0),VLOOKUP(D371,契約台帳!$A$3:$P$4986,16,FALSE)))))</f>
        <v>6000</v>
      </c>
      <c r="U371" s="38">
        <v>6</v>
      </c>
      <c r="V371" s="259">
        <f ca="1">IF(D371="","",IF(OFFSET(D371,-2,0)=D371,"",VLOOKUP(D371,契約台帳!$A$3:$R$4986,18,FALSE)))</f>
        <v>6</v>
      </c>
      <c r="W371" s="256" t="str">
        <f ca="1">IF(D371="","",IF(T371="","",IF(OR(J371="巻足し",J371="巻返しリード付け"),"",IF(J371="巻返し",VLOOKUP(F371&amp;K371&amp;M371,製品マスタ!$M$5:$AD$4999,18,FALSE),IF(OR(J371="リード付け",J371="巻返しリード付け"),"原反コア",IF(J371="スリット",VLOOKUP(F371&amp;K371&amp;R371,製品マスタ!$N$5:$AD$4999,17,FALSE),""))))))</f>
        <v>6ｲﾝﾁMｺｱ</v>
      </c>
      <c r="X371" s="256">
        <f ca="1">IF(D371="","",IF(T371="","",IF(J371="巻足し","",IF(J371="巻返し",VLOOKUP(F371&amp;K371&amp;M371,製品マスタ!$M$5:$AE$4999,19,FALSE),IF(OR(J371="リード付け",J371="巻返しリード付け"),"",IF(J371="スリット",VLOOKUP(F371&amp;K371&amp;R371,製品マスタ!$N$5:$AE$4999,18,FALSE),""))))))</f>
        <v>1220</v>
      </c>
      <c r="Y371" s="256">
        <f ca="1">IF(D371="","",IF(T371="","",VLOOKUP(D371,契約台帳!$A$3:$Q$4986,17,FALSE)))</f>
        <v>2</v>
      </c>
      <c r="Z371" s="256" t="str">
        <f ca="1">IF(D371="","",IF(T371="","",VLOOKUP(D371,契約台帳!$A$3:$E$4986,5,FALSE)))</f>
        <v>大阪シーリング印刷㈱</v>
      </c>
      <c r="AA371" s="54"/>
      <c r="AB371" s="200" t="str">
        <f>IFERROR((VLOOKUP(F371&amp;K371&amp;M371,製品マスタ!$M$5:$AM$4999,27,FALSE)),"")</f>
        <v>原反ケース再利用</v>
      </c>
      <c r="AC371" s="31"/>
      <c r="AD371" s="184"/>
      <c r="AE371" s="51"/>
      <c r="AF371" s="52"/>
      <c r="AG371" s="41"/>
      <c r="AH371" s="45"/>
      <c r="AI371" s="28"/>
      <c r="AJ371" s="28"/>
      <c r="AK371" s="28"/>
      <c r="AL371" s="28"/>
      <c r="AM371" s="12"/>
      <c r="AN371" s="12"/>
      <c r="AO371" s="12"/>
      <c r="AP371" s="12"/>
      <c r="AQ371" s="12"/>
      <c r="AR371" s="13"/>
      <c r="AS371" s="14"/>
    </row>
    <row r="372" spans="1:45" s="16" customFormat="1" ht="30.95" hidden="1" customHeight="1" x14ac:dyDescent="0.2">
      <c r="A372" s="35"/>
      <c r="B372" s="36"/>
      <c r="C372" s="43"/>
      <c r="D372" s="29"/>
      <c r="E372" s="29"/>
      <c r="F372" s="255" t="str">
        <f>IF(D372="","",VLOOKUP(D372,契約台帳!$A$3:$K$4986,6,FALSE)&amp;VLOOKUP(D372,契約台帳!$A$3:$K$4986,7,FALSE)&amp;VLOOKUP(D372,契約台帳!$A$3:$K$4986,8,FALSE)&amp;VLOOKUP(D372,契約台帳!$A$3:$K$4986,9,FALSE)&amp;VLOOKUP(D372,契約台帳!$A$3:$K$4986,11,FALSE))</f>
        <v/>
      </c>
      <c r="G372" s="256" t="str">
        <f>IF(D372="","",VLOOKUP(F372,製品マスタ!$G$5:$H$4999,2,FALSE))</f>
        <v/>
      </c>
      <c r="H372" s="256" t="str">
        <f>IF(D372="","",VLOOKUP(F372,製品マスタ!$G$5:$K$4999,5,FALSE))</f>
        <v/>
      </c>
      <c r="I372" s="200" t="str">
        <f>IF(D372="","",VLOOKUP(F372,製品マスタ!$G$5:$L$4999,6,FALSE))</f>
        <v/>
      </c>
      <c r="J372" s="203"/>
      <c r="K372" s="200" t="str">
        <f>IF(D372="","",VLOOKUP(D372,契約台帳!$A$3:$L$4986,12,FALSE))</f>
        <v/>
      </c>
      <c r="L372" s="200" t="str">
        <f>IF(D372="","",INDEX(製品マスタ!$Q$5:$Q$4999,MATCH('S4'!F372&amp;'S4'!K372,製品マスタ!$AO$5:$AO$4999,0)))</f>
        <v/>
      </c>
      <c r="M372" s="37"/>
      <c r="N372" s="37"/>
      <c r="O372" s="153"/>
      <c r="P372" s="45"/>
      <c r="Q372" s="54"/>
      <c r="R372" s="257" t="str">
        <f ca="1">IF(D372="","",IF(OFFSET(D372,-1,0)&lt;&gt;"","",IF(OR(J372="リード付け",J372="巻足し",J372="巻返しリード付け"),M372,VLOOKUP(D372,契約台帳!$A$3:$N$4986,14,FALSE))))</f>
        <v/>
      </c>
      <c r="S372" s="258" t="str">
        <f ca="1">IF(D372="","",IF(OFFSET(D372,-1,0)&lt;&gt;"","",IF(OR(J372="リード付け",J372="巻足し",J372="巻返しリード付け"),M372,VLOOKUP(D372,契約台帳!$A$3:$O$4986,15,FALSE))))</f>
        <v/>
      </c>
      <c r="T372" s="258" t="str">
        <f ca="1">IF(D372="","",IF(J372="リード付け",N372,IF(J372="巻返しリード付け",N372,IF(J372="巻足し",N372*P372+OFFSET(N372,1,0)*OFFSET(P372,1,0),VLOOKUP(D372,契約台帳!$A$3:$P$4986,16,FALSE)))))</f>
        <v/>
      </c>
      <c r="U372" s="38"/>
      <c r="V372" s="259" t="str">
        <f ca="1">IF(D372="","",IF(OFFSET(D372,-2,0)=D372,"",VLOOKUP(D372,契約台帳!$A$3:$R$4986,18,FALSE)))</f>
        <v/>
      </c>
      <c r="W372" s="256" t="str">
        <f>IF(D372="","",IF(T372="","",IF(OR(J372="巻足し",J372="巻返しリード付け"),"",IF(J372="巻返し",VLOOKUP(F372&amp;K372&amp;M372,製品マスタ!$M$5:$AD$4999,18,FALSE),IF(OR(J372="リード付け",J372="巻返しリード付け"),"原反コア",IF(J372="スリット",VLOOKUP(F372&amp;K372&amp;R372,製品マスタ!$N$5:$AD$4999,17,FALSE),""))))))</f>
        <v/>
      </c>
      <c r="X372" s="256" t="str">
        <f>IF(D372="","",IF(T372="","",IF(J372="巻足し","",IF(J372="巻返し",VLOOKUP(F372&amp;K372&amp;M372,製品マスタ!$M$5:$AE$4999,19,FALSE),IF(OR(J372="リード付け",J372="巻返しリード付け"),"",IF(J372="スリット",VLOOKUP(F372&amp;K372&amp;R372,製品マスタ!$N$5:$AE$4999,18,FALSE),""))))))</f>
        <v/>
      </c>
      <c r="Y372" s="256" t="str">
        <f>IF(D372="","",IF(T372="","",VLOOKUP(D372,契約台帳!$A$3:$Q$4986,17,FALSE)))</f>
        <v/>
      </c>
      <c r="Z372" s="256" t="str">
        <f>IF(D372="","",IF(T372="","",VLOOKUP(D372,契約台帳!$A$3:$E$4986,5,FALSE)))</f>
        <v/>
      </c>
      <c r="AA372" s="54"/>
      <c r="AB372" s="200" t="str">
        <f>IFERROR((VLOOKUP(F372&amp;K372&amp;M372,製品マスタ!$M$5:$AM$4999,27,FALSE)),"")</f>
        <v/>
      </c>
      <c r="AC372" s="31"/>
      <c r="AD372" s="184"/>
      <c r="AE372" s="51"/>
      <c r="AF372" s="52"/>
      <c r="AG372" s="41"/>
      <c r="AH372" s="45"/>
      <c r="AI372" s="28"/>
      <c r="AJ372" s="28"/>
      <c r="AK372" s="28"/>
      <c r="AL372" s="28"/>
      <c r="AM372" s="12"/>
      <c r="AN372" s="12"/>
      <c r="AO372" s="12"/>
      <c r="AP372" s="12"/>
      <c r="AQ372" s="12"/>
      <c r="AR372" s="13"/>
      <c r="AS372" s="14"/>
    </row>
    <row r="373" spans="1:45" s="16" customFormat="1" ht="30.95" hidden="1" customHeight="1" x14ac:dyDescent="0.2">
      <c r="A373" s="35" t="s">
        <v>1011</v>
      </c>
      <c r="B373" s="36" t="s">
        <v>1012</v>
      </c>
      <c r="C373" s="43"/>
      <c r="D373" s="29">
        <v>3698028</v>
      </c>
      <c r="E373" s="29">
        <v>4140894</v>
      </c>
      <c r="F373" s="255" t="str">
        <f>IF(D373="","",VLOOKUP(D373,契約台帳!$A$3:$K$4986,6,FALSE)&amp;VLOOKUP(D373,契約台帳!$A$3:$K$4986,7,FALSE)&amp;VLOOKUP(D373,契約台帳!$A$3:$K$4986,8,FALSE)&amp;VLOOKUP(D373,契約台帳!$A$3:$K$4986,9,FALSE)&amp;VLOOKUP(D373,契約台帳!$A$3:$K$4986,11,FALSE))</f>
        <v>3SNMCLBMSNEYK</v>
      </c>
      <c r="G373" s="256" t="str">
        <f>IF(D373="","",VLOOKUP(F373,製品マスタ!$G$5:$H$4999,2,FALSE))</f>
        <v>S</v>
      </c>
      <c r="H373" s="256" t="str">
        <f>IF(D373="","",VLOOKUP(F373,製品マスタ!$G$5:$K$4999,5,FALSE))</f>
        <v>MSNEYK</v>
      </c>
      <c r="I373" s="200" t="str">
        <f>IF(D373="","",VLOOKUP(F373,製品マスタ!$G$5:$L$4999,6,FALSE))</f>
        <v>ＭＳＮ　ＥＹＫ</v>
      </c>
      <c r="J373" s="203" t="s">
        <v>447</v>
      </c>
      <c r="K373" s="200">
        <f>IF(D373="","",VLOOKUP(D373,契約台帳!$A$3:$L$4986,12,FALSE))</f>
        <v>50</v>
      </c>
      <c r="L373" s="200" t="str">
        <f>IF(D373="","",INDEX(製品マスタ!$Q$5:$Q$4999,MATCH('S4'!F373&amp;'S4'!K373,製品マスタ!$AO$5:$AO$4999,0)))</f>
        <v>N-MAT</v>
      </c>
      <c r="M373" s="37">
        <v>1120</v>
      </c>
      <c r="N373" s="37">
        <v>12000</v>
      </c>
      <c r="O373" s="153">
        <v>2</v>
      </c>
      <c r="P373" s="45">
        <v>2</v>
      </c>
      <c r="Q373" s="54"/>
      <c r="R373" s="257">
        <f ca="1">IF(D373="","",IF(OFFSET(D373,-1,0)&lt;&gt;"","",IF(OR(J373="リード付け",J373="巻足し",J373="巻返しリード付け"),M373,VLOOKUP(D373,契約台帳!$A$3:$N$4986,14,FALSE))))</f>
        <v>1120</v>
      </c>
      <c r="S373" s="258">
        <f ca="1">IF(D373="","",IF(OFFSET(D373,-1,0)&lt;&gt;"","",IF(OR(J373="リード付け",J373="巻足し",J373="巻返しリード付け"),M373,VLOOKUP(D373,契約台帳!$A$3:$O$4986,15,FALSE))))</f>
        <v>1120</v>
      </c>
      <c r="T373" s="258">
        <f ca="1">IF(D373="","",IF(J373="リード付け",N373,IF(J373="巻返しリード付け",N373,IF(J373="巻足し",N373*P373+OFFSET(N373,1,0)*OFFSET(P373,1,0),VLOOKUP(D373,契約台帳!$A$3:$P$4986,16,FALSE)))))</f>
        <v>4000</v>
      </c>
      <c r="U373" s="38">
        <v>6</v>
      </c>
      <c r="V373" s="259">
        <f ca="1">IF(D373="","",IF(OFFSET(D373,-2,0)=D373,"",VLOOKUP(D373,契約台帳!$A$3:$R$4986,18,FALSE)))</f>
        <v>8</v>
      </c>
      <c r="W373" s="256" t="str">
        <f ca="1">IF(D373="","",IF(T373="","",IF(OR(J373="巻足し",J373="巻返しリード付け"),"",IF(J373="巻返し",VLOOKUP(F373&amp;K373&amp;M373,製品マスタ!$M$5:$AD$4999,18,FALSE),IF(OR(J373="リード付け",J373="巻返しリード付け"),"原反コア",IF(J373="スリット",VLOOKUP(F373&amp;K373&amp;R373,製品マスタ!$N$5:$AD$4999,17,FALSE),""))))))</f>
        <v>6ｲﾝﾁMｺｱ</v>
      </c>
      <c r="X373" s="256">
        <f ca="1">IF(D373="","",IF(T373="","",IF(J373="巻足し","",IF(J373="巻返し",VLOOKUP(F373&amp;K373&amp;M373,製品マスタ!$M$5:$AE$4999,19,FALSE),IF(OR(J373="リード付け",J373="巻返しリード付け"),"",IF(J373="スリット",VLOOKUP(F373&amp;K373&amp;R373,製品マスタ!$N$5:$AE$4999,18,FALSE),""))))))</f>
        <v>1140</v>
      </c>
      <c r="Y373" s="256">
        <f ca="1">IF(D373="","",IF(T373="","",VLOOKUP(D373,契約台帳!$A$3:$Q$4986,17,FALSE)))</f>
        <v>2</v>
      </c>
      <c r="Z373" s="256" t="str">
        <f ca="1">IF(D373="","",IF(T373="","",VLOOKUP(D373,契約台帳!$A$3:$E$4986,5,FALSE)))</f>
        <v>新タック化成㈱</v>
      </c>
      <c r="AA373" s="54"/>
      <c r="AB373" s="200" t="str">
        <f>IFERROR((VLOOKUP(F373&amp;K373&amp;M373,製品マスタ!$M$5:$AM$4999,27,FALSE)),"")</f>
        <v>原反ケース再利用</v>
      </c>
      <c r="AC373" s="31"/>
      <c r="AD373" s="184"/>
      <c r="AE373" s="51"/>
      <c r="AF373" s="52"/>
      <c r="AG373" s="41"/>
      <c r="AH373" s="45"/>
      <c r="AI373" s="28"/>
      <c r="AJ373" s="28"/>
      <c r="AK373" s="28"/>
      <c r="AL373" s="28"/>
      <c r="AM373" s="12"/>
      <c r="AN373" s="12"/>
      <c r="AO373" s="12"/>
      <c r="AP373" s="12"/>
      <c r="AQ373" s="12"/>
      <c r="AR373" s="13"/>
      <c r="AS373" s="14"/>
    </row>
    <row r="374" spans="1:45" s="16" customFormat="1" ht="30.95" hidden="1" customHeight="1" x14ac:dyDescent="0.2">
      <c r="A374" s="35"/>
      <c r="B374" s="36"/>
      <c r="C374" s="43"/>
      <c r="D374" s="29"/>
      <c r="E374" s="29"/>
      <c r="F374" s="255" t="str">
        <f>IF(D374="","",VLOOKUP(D374,契約台帳!$A$3:$K$4986,6,FALSE)&amp;VLOOKUP(D374,契約台帳!$A$3:$K$4986,7,FALSE)&amp;VLOOKUP(D374,契約台帳!$A$3:$K$4986,8,FALSE)&amp;VLOOKUP(D374,契約台帳!$A$3:$K$4986,9,FALSE)&amp;VLOOKUP(D374,契約台帳!$A$3:$K$4986,11,FALSE))</f>
        <v/>
      </c>
      <c r="G374" s="256" t="str">
        <f>IF(D374="","",VLOOKUP(F374,製品マスタ!$G$5:$H$4999,2,FALSE))</f>
        <v/>
      </c>
      <c r="H374" s="256" t="str">
        <f>IF(D374="","",VLOOKUP(F374,製品マスタ!$G$5:$K$4999,5,FALSE))</f>
        <v/>
      </c>
      <c r="I374" s="200" t="str">
        <f>IF(D374="","",VLOOKUP(F374,製品マスタ!$G$5:$L$4999,6,FALSE))</f>
        <v/>
      </c>
      <c r="J374" s="203"/>
      <c r="K374" s="200" t="str">
        <f>IF(D374="","",VLOOKUP(D374,契約台帳!$A$3:$L$4986,12,FALSE))</f>
        <v/>
      </c>
      <c r="L374" s="200" t="str">
        <f>IF(D374="","",INDEX(製品マスタ!$Q$5:$Q$4999,MATCH('S4'!F374&amp;'S4'!K374,製品マスタ!$AO$5:$AO$4999,0)))</f>
        <v/>
      </c>
      <c r="M374" s="37"/>
      <c r="N374" s="37"/>
      <c r="O374" s="153"/>
      <c r="P374" s="45"/>
      <c r="Q374" s="54"/>
      <c r="R374" s="257" t="str">
        <f ca="1">IF(D374="","",IF(OFFSET(D374,-1,0)&lt;&gt;"","",IF(OR(J374="リード付け",J374="巻足し",J374="巻返しリード付け"),M374,VLOOKUP(D374,契約台帳!$A$3:$N$4986,14,FALSE))))</f>
        <v/>
      </c>
      <c r="S374" s="258" t="str">
        <f ca="1">IF(D374="","",IF(OFFSET(D374,-1,0)&lt;&gt;"","",IF(OR(J374="リード付け",J374="巻足し",J374="巻返しリード付け"),M374,VLOOKUP(D374,契約台帳!$A$3:$O$4986,15,FALSE))))</f>
        <v/>
      </c>
      <c r="T374" s="258" t="str">
        <f ca="1">IF(D374="","",IF(J374="リード付け",N374,IF(J374="巻返しリード付け",N374,IF(J374="巻足し",N374*P374+OFFSET(N374,1,0)*OFFSET(P374,1,0),VLOOKUP(D374,契約台帳!$A$3:$P$4986,16,FALSE)))))</f>
        <v/>
      </c>
      <c r="U374" s="38"/>
      <c r="V374" s="259" t="str">
        <f ca="1">IF(D374="","",IF(OFFSET(D374,-2,0)=D374,"",VLOOKUP(D374,契約台帳!$A$3:$R$4986,18,FALSE)))</f>
        <v/>
      </c>
      <c r="W374" s="256" t="str">
        <f>IF(D374="","",IF(T374="","",IF(OR(J374="巻足し",J374="巻返しリード付け"),"",IF(J374="巻返し",VLOOKUP(F374&amp;K374&amp;M374,製品マスタ!$M$5:$AD$4999,18,FALSE),IF(OR(J374="リード付け",J374="巻返しリード付け"),"原反コア",IF(J374="スリット",VLOOKUP(F374&amp;K374&amp;R374,製品マスタ!$N$5:$AD$4999,17,FALSE),""))))))</f>
        <v/>
      </c>
      <c r="X374" s="256" t="str">
        <f>IF(D374="","",IF(T374="","",IF(J374="巻足し","",IF(J374="巻返し",VLOOKUP(F374&amp;K374&amp;M374,製品マスタ!$M$5:$AE$4999,19,FALSE),IF(OR(J374="リード付け",J374="巻返しリード付け"),"",IF(J374="スリット",VLOOKUP(F374&amp;K374&amp;R374,製品マスタ!$N$5:$AE$4999,18,FALSE),""))))))</f>
        <v/>
      </c>
      <c r="Y374" s="256" t="str">
        <f>IF(D374="","",IF(T374="","",VLOOKUP(D374,契約台帳!$A$3:$Q$4986,17,FALSE)))</f>
        <v/>
      </c>
      <c r="Z374" s="256" t="str">
        <f>IF(D374="","",IF(T374="","",VLOOKUP(D374,契約台帳!$A$3:$E$4986,5,FALSE)))</f>
        <v/>
      </c>
      <c r="AA374" s="54"/>
      <c r="AB374" s="200" t="str">
        <f>IFERROR((VLOOKUP(F374&amp;K374&amp;M374,製品マスタ!$M$5:$AM$4999,27,FALSE)),"")</f>
        <v/>
      </c>
      <c r="AC374" s="31"/>
      <c r="AD374" s="184"/>
      <c r="AE374" s="51"/>
      <c r="AF374" s="52"/>
      <c r="AG374" s="41"/>
      <c r="AH374" s="45"/>
      <c r="AI374" s="28"/>
      <c r="AJ374" s="28"/>
      <c r="AK374" s="28"/>
      <c r="AL374" s="28"/>
      <c r="AM374" s="12"/>
      <c r="AN374" s="12"/>
      <c r="AO374" s="12"/>
      <c r="AP374" s="12"/>
      <c r="AQ374" s="12"/>
      <c r="AR374" s="13"/>
      <c r="AS374" s="14"/>
    </row>
    <row r="375" spans="1:45" s="16" customFormat="1" ht="30.95" hidden="1" customHeight="1" x14ac:dyDescent="0.2">
      <c r="A375" s="35"/>
      <c r="B375" s="36"/>
      <c r="C375" s="43"/>
      <c r="D375" s="29">
        <v>3698028</v>
      </c>
      <c r="E375" s="29">
        <v>4140894</v>
      </c>
      <c r="F375" s="255" t="str">
        <f>IF(D375="","",VLOOKUP(D375,契約台帳!$A$3:$K$4986,6,FALSE)&amp;VLOOKUP(D375,契約台帳!$A$3:$K$4986,7,FALSE)&amp;VLOOKUP(D375,契約台帳!$A$3:$K$4986,8,FALSE)&amp;VLOOKUP(D375,契約台帳!$A$3:$K$4986,9,FALSE)&amp;VLOOKUP(D375,契約台帳!$A$3:$K$4986,11,FALSE))</f>
        <v>3SNMCLBMSNEYK</v>
      </c>
      <c r="G375" s="256" t="str">
        <f>IF(D375="","",VLOOKUP(F375,製品マスタ!$G$5:$H$4999,2,FALSE))</f>
        <v>S</v>
      </c>
      <c r="H375" s="256" t="str">
        <f>IF(D375="","",VLOOKUP(F375,製品マスタ!$G$5:$K$4999,5,FALSE))</f>
        <v>MSNEYK</v>
      </c>
      <c r="I375" s="200" t="str">
        <f>IF(D375="","",VLOOKUP(F375,製品マスタ!$G$5:$L$4999,6,FALSE))</f>
        <v>ＭＳＮ　ＥＹＫ</v>
      </c>
      <c r="J375" s="203" t="s">
        <v>447</v>
      </c>
      <c r="K375" s="200">
        <f>IF(D375="","",VLOOKUP(D375,契約台帳!$A$3:$L$4986,12,FALSE))</f>
        <v>50</v>
      </c>
      <c r="L375" s="200" t="str">
        <f>IF(D375="","",INDEX(製品マスタ!$Q$5:$Q$4999,MATCH('S4'!F375&amp;'S4'!K375,製品マスタ!$AO$5:$AO$4999,0)))</f>
        <v>N-MAT</v>
      </c>
      <c r="M375" s="37">
        <v>1120</v>
      </c>
      <c r="N375" s="37">
        <v>8000</v>
      </c>
      <c r="O375" s="153">
        <v>1</v>
      </c>
      <c r="P375" s="45">
        <v>1</v>
      </c>
      <c r="Q375" s="54"/>
      <c r="R375" s="257">
        <f ca="1">IF(D375="","",IF(OFFSET(D375,-1,0)&lt;&gt;"","",IF(OR(J375="リード付け",J375="巻足し",J375="巻返しリード付け"),M375,VLOOKUP(D375,契約台帳!$A$3:$N$4986,14,FALSE))))</f>
        <v>1120</v>
      </c>
      <c r="S375" s="258">
        <f ca="1">IF(D375="","",IF(OFFSET(D375,-1,0)&lt;&gt;"","",IF(OR(J375="リード付け",J375="巻足し",J375="巻返しリード付け"),M375,VLOOKUP(D375,契約台帳!$A$3:$O$4986,15,FALSE))))</f>
        <v>1120</v>
      </c>
      <c r="T375" s="258">
        <f ca="1">IF(D375="","",IF(J375="リード付け",N375,IF(J375="巻返しリード付け",N375,IF(J375="巻足し",N375*P375+OFFSET(N375,1,0)*OFFSET(P375,1,0),VLOOKUP(D375,契約台帳!$A$3:$P$4986,16,FALSE)))))</f>
        <v>4000</v>
      </c>
      <c r="U375" s="38">
        <v>2</v>
      </c>
      <c r="V375" s="259" t="str">
        <f ca="1">IF(D375="","",IF(OFFSET(D375,-2,0)=D375,"",VLOOKUP(D375,契約台帳!$A$3:$R$4986,18,FALSE)))</f>
        <v/>
      </c>
      <c r="W375" s="256" t="str">
        <f ca="1">IF(D375="","",IF(T375="","",IF(OR(J375="巻足し",J375="巻返しリード付け"),"",IF(J375="巻返し",VLOOKUP(F375&amp;K375&amp;M375,製品マスタ!$M$5:$AD$4999,18,FALSE),IF(OR(J375="リード付け",J375="巻返しリード付け"),"原反コア",IF(J375="スリット",VLOOKUP(F375&amp;K375&amp;R375,製品マスタ!$N$5:$AD$4999,17,FALSE),""))))))</f>
        <v>6ｲﾝﾁMｺｱ</v>
      </c>
      <c r="X375" s="256">
        <f ca="1">IF(D375="","",IF(T375="","",IF(J375="巻足し","",IF(J375="巻返し",VLOOKUP(F375&amp;K375&amp;M375,製品マスタ!$M$5:$AE$4999,19,FALSE),IF(OR(J375="リード付け",J375="巻返しリード付け"),"",IF(J375="スリット",VLOOKUP(F375&amp;K375&amp;R375,製品マスタ!$N$5:$AE$4999,18,FALSE),""))))))</f>
        <v>1140</v>
      </c>
      <c r="Y375" s="256">
        <f ca="1">IF(D375="","",IF(T375="","",VLOOKUP(D375,契約台帳!$A$3:$Q$4986,17,FALSE)))</f>
        <v>2</v>
      </c>
      <c r="Z375" s="256" t="str">
        <f ca="1">IF(D375="","",IF(T375="","",VLOOKUP(D375,契約台帳!$A$3:$E$4986,5,FALSE)))</f>
        <v>新タック化成㈱</v>
      </c>
      <c r="AA375" s="54"/>
      <c r="AB375" s="200" t="str">
        <f>IFERROR((VLOOKUP(F375&amp;K375&amp;M375,製品マスタ!$M$5:$AM$4999,27,FALSE)),"")</f>
        <v>原反ケース再利用</v>
      </c>
      <c r="AC375" s="31"/>
      <c r="AD375" s="184"/>
      <c r="AE375" s="51"/>
      <c r="AF375" s="52"/>
      <c r="AG375" s="41"/>
      <c r="AH375" s="45"/>
      <c r="AI375" s="28"/>
      <c r="AJ375" s="28"/>
      <c r="AK375" s="28"/>
      <c r="AL375" s="28"/>
      <c r="AM375" s="12"/>
      <c r="AN375" s="12"/>
      <c r="AO375" s="12"/>
      <c r="AP375" s="12"/>
      <c r="AQ375" s="12"/>
      <c r="AR375" s="13"/>
      <c r="AS375" s="14"/>
    </row>
    <row r="376" spans="1:45" s="16" customFormat="1" ht="30.95" hidden="1" customHeight="1" x14ac:dyDescent="0.2">
      <c r="A376" s="35"/>
      <c r="B376" s="36"/>
      <c r="C376" s="43"/>
      <c r="D376" s="29"/>
      <c r="E376" s="29"/>
      <c r="F376" s="255" t="str">
        <f>IF(D376="","",VLOOKUP(D376,契約台帳!$A$3:$K$4986,6,FALSE)&amp;VLOOKUP(D376,契約台帳!$A$3:$K$4986,7,FALSE)&amp;VLOOKUP(D376,契約台帳!$A$3:$K$4986,8,FALSE)&amp;VLOOKUP(D376,契約台帳!$A$3:$K$4986,9,FALSE)&amp;VLOOKUP(D376,契約台帳!$A$3:$K$4986,11,FALSE))</f>
        <v/>
      </c>
      <c r="G376" s="256" t="str">
        <f>IF(D376="","",VLOOKUP(F376,製品マスタ!$G$5:$H$4999,2,FALSE))</f>
        <v/>
      </c>
      <c r="H376" s="256" t="str">
        <f>IF(D376="","",VLOOKUP(F376,製品マスタ!$G$5:$K$4999,5,FALSE))</f>
        <v/>
      </c>
      <c r="I376" s="200" t="str">
        <f>IF(D376="","",VLOOKUP(F376,製品マスタ!$G$5:$L$4999,6,FALSE))</f>
        <v/>
      </c>
      <c r="J376" s="203"/>
      <c r="K376" s="200" t="str">
        <f>IF(D376="","",VLOOKUP(D376,契約台帳!$A$3:$L$4986,12,FALSE))</f>
        <v/>
      </c>
      <c r="L376" s="200" t="str">
        <f>IF(D376="","",INDEX(製品マスタ!$Q$5:$Q$4999,MATCH('S4'!F376&amp;'S4'!K376,製品マスタ!$AO$5:$AO$4999,0)))</f>
        <v/>
      </c>
      <c r="M376" s="37"/>
      <c r="N376" s="37"/>
      <c r="O376" s="153"/>
      <c r="P376" s="45"/>
      <c r="Q376" s="54"/>
      <c r="R376" s="257" t="str">
        <f ca="1">IF(D376="","",IF(OFFSET(D376,-1,0)&lt;&gt;"","",IF(OR(J376="リード付け",J376="巻足し",J376="巻返しリード付け"),M376,VLOOKUP(D376,契約台帳!$A$3:$N$4986,14,FALSE))))</f>
        <v/>
      </c>
      <c r="S376" s="258" t="str">
        <f ca="1">IF(D376="","",IF(OFFSET(D376,-1,0)&lt;&gt;"","",IF(OR(J376="リード付け",J376="巻足し",J376="巻返しリード付け"),M376,VLOOKUP(D376,契約台帳!$A$3:$O$4986,15,FALSE))))</f>
        <v/>
      </c>
      <c r="T376" s="258" t="str">
        <f ca="1">IF(D376="","",IF(J376="リード付け",N376,IF(J376="巻返しリード付け",N376,IF(J376="巻足し",N376*P376+OFFSET(N376,1,0)*OFFSET(P376,1,0),VLOOKUP(D376,契約台帳!$A$3:$P$4986,16,FALSE)))))</f>
        <v/>
      </c>
      <c r="U376" s="38"/>
      <c r="V376" s="259" t="str">
        <f ca="1">IF(D376="","",IF(OFFSET(D376,-2,0)=D376,"",VLOOKUP(D376,契約台帳!$A$3:$R$4986,18,FALSE)))</f>
        <v/>
      </c>
      <c r="W376" s="256" t="str">
        <f>IF(D376="","",IF(T376="","",IF(OR(J376="巻足し",J376="巻返しリード付け"),"",IF(J376="巻返し",VLOOKUP(F376&amp;K376&amp;M376,製品マスタ!$M$5:$AD$4999,18,FALSE),IF(OR(J376="リード付け",J376="巻返しリード付け"),"原反コア",IF(J376="スリット",VLOOKUP(F376&amp;K376&amp;R376,製品マスタ!$N$5:$AD$4999,17,FALSE),""))))))</f>
        <v/>
      </c>
      <c r="X376" s="256" t="str">
        <f>IF(D376="","",IF(T376="","",IF(J376="巻足し","",IF(J376="巻返し",VLOOKUP(F376&amp;K376&amp;M376,製品マスタ!$M$5:$AE$4999,19,FALSE),IF(OR(J376="リード付け",J376="巻返しリード付け"),"",IF(J376="スリット",VLOOKUP(F376&amp;K376&amp;R376,製品マスタ!$N$5:$AE$4999,18,FALSE),""))))))</f>
        <v/>
      </c>
      <c r="Y376" s="256" t="str">
        <f>IF(D376="","",IF(T376="","",VLOOKUP(D376,契約台帳!$A$3:$Q$4986,17,FALSE)))</f>
        <v/>
      </c>
      <c r="Z376" s="256" t="str">
        <f>IF(D376="","",IF(T376="","",VLOOKUP(D376,契約台帳!$A$3:$E$4986,5,FALSE)))</f>
        <v/>
      </c>
      <c r="AA376" s="54"/>
      <c r="AB376" s="200" t="str">
        <f>IFERROR((VLOOKUP(F376&amp;K376&amp;M376,製品マスタ!$M$5:$AM$4999,27,FALSE)),"")</f>
        <v/>
      </c>
      <c r="AC376" s="31"/>
      <c r="AD376" s="184"/>
      <c r="AE376" s="51"/>
      <c r="AF376" s="52"/>
      <c r="AG376" s="41"/>
      <c r="AH376" s="45"/>
      <c r="AI376" s="28"/>
      <c r="AJ376" s="28"/>
      <c r="AK376" s="28"/>
      <c r="AL376" s="28"/>
      <c r="AM376" s="12"/>
      <c r="AN376" s="12"/>
      <c r="AO376" s="12"/>
      <c r="AP376" s="12"/>
      <c r="AQ376" s="12"/>
      <c r="AR376" s="13"/>
      <c r="AS376" s="14"/>
    </row>
    <row r="377" spans="1:45" s="16" customFormat="1" ht="30.95" hidden="1" customHeight="1" x14ac:dyDescent="0.2">
      <c r="A377" s="35"/>
      <c r="B377" s="36"/>
      <c r="C377" s="43"/>
      <c r="D377" s="29">
        <v>3700948</v>
      </c>
      <c r="E377" s="29">
        <v>4140907</v>
      </c>
      <c r="F377" s="255" t="str">
        <f>IF(D377="","",VLOOKUP(D377,契約台帳!$A$3:$K$4986,6,FALSE)&amp;VLOOKUP(D377,契約台帳!$A$3:$K$4986,7,FALSE)&amp;VLOOKUP(D377,契約台帳!$A$3:$K$4986,8,FALSE)&amp;VLOOKUP(D377,契約台帳!$A$3:$K$4986,9,FALSE)&amp;VLOOKUP(D377,契約台帳!$A$3:$K$4986,11,FALSE))</f>
        <v>3SNMCLBMSNEYK</v>
      </c>
      <c r="G377" s="256" t="str">
        <f>IF(D377="","",VLOOKUP(F377,製品マスタ!$G$5:$H$4999,2,FALSE))</f>
        <v>S</v>
      </c>
      <c r="H377" s="256" t="str">
        <f>IF(D377="","",VLOOKUP(F377,製品マスタ!$G$5:$K$4999,5,FALSE))</f>
        <v>MSNEYK</v>
      </c>
      <c r="I377" s="200" t="str">
        <f>IF(D377="","",VLOOKUP(F377,製品マスタ!$G$5:$L$4999,6,FALSE))</f>
        <v>ＭＳＮ　ＥＹＫ</v>
      </c>
      <c r="J377" s="203" t="s">
        <v>447</v>
      </c>
      <c r="K377" s="200">
        <f>IF(D377="","",VLOOKUP(D377,契約台帳!$A$3:$L$4986,12,FALSE))</f>
        <v>50</v>
      </c>
      <c r="L377" s="200" t="str">
        <f>IF(D377="","",INDEX(製品マスタ!$Q$5:$Q$4999,MATCH('S4'!F377&amp;'S4'!K377,製品マスタ!$AO$5:$AO$4999,0)))</f>
        <v>N-MAT</v>
      </c>
      <c r="M377" s="37">
        <v>1120</v>
      </c>
      <c r="N377" s="37">
        <v>12000</v>
      </c>
      <c r="O377" s="153">
        <v>2</v>
      </c>
      <c r="P377" s="45">
        <v>2</v>
      </c>
      <c r="Q377" s="54"/>
      <c r="R377" s="257">
        <f ca="1">IF(D377="","",IF(OFFSET(D377,-1,0)&lt;&gt;"","",IF(OR(J377="リード付け",J377="巻足し",J377="巻返しリード付け"),M377,VLOOKUP(D377,契約台帳!$A$3:$N$4986,14,FALSE))))</f>
        <v>1120</v>
      </c>
      <c r="S377" s="258">
        <f ca="1">IF(D377="","",IF(OFFSET(D377,-1,0)&lt;&gt;"","",IF(OR(J377="リード付け",J377="巻足し",J377="巻返しリード付け"),M377,VLOOKUP(D377,契約台帳!$A$3:$O$4986,15,FALSE))))</f>
        <v>1120</v>
      </c>
      <c r="T377" s="258">
        <f ca="1">IF(D377="","",IF(J377="リード付け",N377,IF(J377="巻返しリード付け",N377,IF(J377="巻足し",N377*P377+OFFSET(N377,1,0)*OFFSET(P377,1,0),VLOOKUP(D377,契約台帳!$A$3:$P$4986,16,FALSE)))))</f>
        <v>4000</v>
      </c>
      <c r="U377" s="38">
        <v>6</v>
      </c>
      <c r="V377" s="259">
        <f ca="1">IF(D377="","",IF(OFFSET(D377,-2,0)=D377,"",VLOOKUP(D377,契約台帳!$A$3:$R$4986,18,FALSE)))</f>
        <v>6</v>
      </c>
      <c r="W377" s="256" t="str">
        <f ca="1">IF(D377="","",IF(T377="","",IF(OR(J377="巻足し",J377="巻返しリード付け"),"",IF(J377="巻返し",VLOOKUP(F377&amp;K377&amp;M377,製品マスタ!$M$5:$AD$4999,18,FALSE),IF(OR(J377="リード付け",J377="巻返しリード付け"),"原反コア",IF(J377="スリット",VLOOKUP(F377&amp;K377&amp;R377,製品マスタ!$N$5:$AD$4999,17,FALSE),""))))))</f>
        <v>6ｲﾝﾁMｺｱ</v>
      </c>
      <c r="X377" s="256">
        <f ca="1">IF(D377="","",IF(T377="","",IF(J377="巻足し","",IF(J377="巻返し",VLOOKUP(F377&amp;K377&amp;M377,製品マスタ!$M$5:$AE$4999,19,FALSE),IF(OR(J377="リード付け",J377="巻返しリード付け"),"",IF(J377="スリット",VLOOKUP(F377&amp;K377&amp;R377,製品マスタ!$N$5:$AE$4999,18,FALSE),""))))))</f>
        <v>1140</v>
      </c>
      <c r="Y377" s="256">
        <f ca="1">IF(D377="","",IF(T377="","",VLOOKUP(D377,契約台帳!$A$3:$Q$4986,17,FALSE)))</f>
        <v>2</v>
      </c>
      <c r="Z377" s="256" t="str">
        <f ca="1">IF(D377="","",IF(T377="","",VLOOKUP(D377,契約台帳!$A$3:$E$4986,5,FALSE)))</f>
        <v>新タック化成㈱</v>
      </c>
      <c r="AA377" s="54"/>
      <c r="AB377" s="200" t="str">
        <f>IFERROR((VLOOKUP(F377&amp;K377&amp;M377,製品マスタ!$M$5:$AM$4999,27,FALSE)),"")</f>
        <v>原反ケース再利用</v>
      </c>
      <c r="AC377" s="31"/>
      <c r="AD377" s="184"/>
      <c r="AE377" s="51"/>
      <c r="AF377" s="52"/>
      <c r="AG377" s="41"/>
      <c r="AH377" s="45"/>
      <c r="AI377" s="28"/>
      <c r="AJ377" s="28"/>
      <c r="AK377" s="28"/>
      <c r="AL377" s="28"/>
      <c r="AM377" s="12"/>
      <c r="AN377" s="12"/>
      <c r="AO377" s="12"/>
      <c r="AP377" s="12"/>
      <c r="AQ377" s="12"/>
      <c r="AR377" s="13"/>
      <c r="AS377" s="14"/>
    </row>
    <row r="378" spans="1:45" s="16" customFormat="1" ht="30.95" hidden="1" customHeight="1" x14ac:dyDescent="0.2">
      <c r="A378" s="35"/>
      <c r="B378" s="36"/>
      <c r="C378" s="43"/>
      <c r="D378" s="29"/>
      <c r="E378" s="29"/>
      <c r="F378" s="255" t="str">
        <f>IF(D378="","",VLOOKUP(D378,契約台帳!$A$3:$K$4986,6,FALSE)&amp;VLOOKUP(D378,契約台帳!$A$3:$K$4986,7,FALSE)&amp;VLOOKUP(D378,契約台帳!$A$3:$K$4986,8,FALSE)&amp;VLOOKUP(D378,契約台帳!$A$3:$K$4986,9,FALSE)&amp;VLOOKUP(D378,契約台帳!$A$3:$K$4986,11,FALSE))</f>
        <v/>
      </c>
      <c r="G378" s="256" t="str">
        <f>IF(D378="","",VLOOKUP(F378,製品マスタ!$G$5:$H$4999,2,FALSE))</f>
        <v/>
      </c>
      <c r="H378" s="256" t="str">
        <f>IF(D378="","",VLOOKUP(F378,製品マスタ!$G$5:$K$4999,5,FALSE))</f>
        <v/>
      </c>
      <c r="I378" s="200" t="str">
        <f>IF(D378="","",VLOOKUP(F378,製品マスタ!$G$5:$L$4999,6,FALSE))</f>
        <v/>
      </c>
      <c r="J378" s="203"/>
      <c r="K378" s="200" t="str">
        <f>IF(D378="","",VLOOKUP(D378,契約台帳!$A$3:$L$4986,12,FALSE))</f>
        <v/>
      </c>
      <c r="L378" s="200" t="str">
        <f>IF(D378="","",INDEX(製品マスタ!$Q$5:$Q$4999,MATCH('S4'!F378&amp;'S4'!K378,製品マスタ!$AO$5:$AO$4999,0)))</f>
        <v/>
      </c>
      <c r="M378" s="37"/>
      <c r="N378" s="37"/>
      <c r="O378" s="153"/>
      <c r="P378" s="45"/>
      <c r="Q378" s="54"/>
      <c r="R378" s="257" t="str">
        <f ca="1">IF(D378="","",IF(OFFSET(D378,-1,0)&lt;&gt;"","",IF(OR(J378="リード付け",J378="巻足し",J378="巻返しリード付け"),M378,VLOOKUP(D378,契約台帳!$A$3:$N$4986,14,FALSE))))</f>
        <v/>
      </c>
      <c r="S378" s="258" t="str">
        <f ca="1">IF(D378="","",IF(OFFSET(D378,-1,0)&lt;&gt;"","",IF(OR(J378="リード付け",J378="巻足し",J378="巻返しリード付け"),M378,VLOOKUP(D378,契約台帳!$A$3:$O$4986,15,FALSE))))</f>
        <v/>
      </c>
      <c r="T378" s="258" t="str">
        <f ca="1">IF(D378="","",IF(J378="リード付け",N378,IF(J378="巻返しリード付け",N378,IF(J378="巻足し",N378*P378+OFFSET(N378,1,0)*OFFSET(P378,1,0),VLOOKUP(D378,契約台帳!$A$3:$P$4986,16,FALSE)))))</f>
        <v/>
      </c>
      <c r="U378" s="38"/>
      <c r="V378" s="259" t="str">
        <f ca="1">IF(D378="","",IF(OFFSET(D378,-2,0)=D378,"",VLOOKUP(D378,契約台帳!$A$3:$R$4986,18,FALSE)))</f>
        <v/>
      </c>
      <c r="W378" s="256" t="str">
        <f>IF(D378="","",IF(T378="","",IF(OR(J378="巻足し",J378="巻返しリード付け"),"",IF(J378="巻返し",VLOOKUP(F378&amp;K378&amp;M378,製品マスタ!$M$5:$AD$4999,18,FALSE),IF(OR(J378="リード付け",J378="巻返しリード付け"),"原反コア",IF(J378="スリット",VLOOKUP(F378&amp;K378&amp;R378,製品マスタ!$N$5:$AD$4999,17,FALSE),""))))))</f>
        <v/>
      </c>
      <c r="X378" s="256" t="str">
        <f>IF(D378="","",IF(T378="","",IF(J378="巻足し","",IF(J378="巻返し",VLOOKUP(F378&amp;K378&amp;M378,製品マスタ!$M$5:$AE$4999,19,FALSE),IF(OR(J378="リード付け",J378="巻返しリード付け"),"",IF(J378="スリット",VLOOKUP(F378&amp;K378&amp;R378,製品マスタ!$N$5:$AE$4999,18,FALSE),""))))))</f>
        <v/>
      </c>
      <c r="Y378" s="256" t="str">
        <f>IF(D378="","",IF(T378="","",VLOOKUP(D378,契約台帳!$A$3:$Q$4986,17,FALSE)))</f>
        <v/>
      </c>
      <c r="Z378" s="256" t="str">
        <f>IF(D378="","",IF(T378="","",VLOOKUP(D378,契約台帳!$A$3:$E$4986,5,FALSE)))</f>
        <v/>
      </c>
      <c r="AA378" s="54"/>
      <c r="AB378" s="200" t="str">
        <f>IFERROR((VLOOKUP(F378&amp;K378&amp;M378,製品マスタ!$M$5:$AM$4999,27,FALSE)),"")</f>
        <v/>
      </c>
      <c r="AC378" s="31"/>
      <c r="AD378" s="184"/>
      <c r="AE378" s="51"/>
      <c r="AF378" s="52"/>
      <c r="AG378" s="41"/>
      <c r="AH378" s="45"/>
      <c r="AI378" s="28"/>
      <c r="AJ378" s="28"/>
      <c r="AK378" s="28"/>
      <c r="AL378" s="28"/>
      <c r="AM378" s="12"/>
      <c r="AN378" s="12"/>
      <c r="AO378" s="12"/>
      <c r="AP378" s="12"/>
      <c r="AQ378" s="12"/>
      <c r="AR378" s="13"/>
      <c r="AS378" s="14"/>
    </row>
    <row r="379" spans="1:45" s="16" customFormat="1" ht="30.95" hidden="1" customHeight="1" x14ac:dyDescent="0.2">
      <c r="A379" s="35" t="s">
        <v>1013</v>
      </c>
      <c r="B379" s="36" t="s">
        <v>1006</v>
      </c>
      <c r="C379" s="43"/>
      <c r="D379" s="29">
        <v>3700961</v>
      </c>
      <c r="E379" s="29">
        <v>4140897</v>
      </c>
      <c r="F379" s="255" t="str">
        <f>IF(D379="","",VLOOKUP(D379,契約台帳!$A$3:$K$4986,6,FALSE)&amp;VLOOKUP(D379,契約台帳!$A$3:$K$4986,7,FALSE)&amp;VLOOKUP(D379,契約台帳!$A$3:$K$4986,8,FALSE)&amp;VLOOKUP(D379,契約台帳!$A$3:$K$4986,9,FALSE)&amp;VLOOKUP(D379,契約台帳!$A$3:$K$4986,11,FALSE))</f>
        <v>33SSNMCLBTEKKFV</v>
      </c>
      <c r="G379" s="256" t="str">
        <f>IF(D379="","",VLOOKUP(F379,製品マスタ!$G$5:$H$4999,2,FALSE))</f>
        <v>S</v>
      </c>
      <c r="H379" s="256" t="str">
        <f>IF(D379="","",VLOOKUP(F379,製品マスタ!$G$5:$K$4999,5,FALSE))</f>
        <v>TEKKFV</v>
      </c>
      <c r="I379" s="200" t="str">
        <f>IF(D379="","",VLOOKUP(F379,製品マスタ!$G$5:$L$4999,6,FALSE))</f>
        <v>メタルミー　ＴＥＳ消開封　Ｖ</v>
      </c>
      <c r="J379" s="203" t="s">
        <v>962</v>
      </c>
      <c r="K379" s="200">
        <f>IF(D379="","",VLOOKUP(D379,契約台帳!$A$3:$L$4986,12,FALSE))</f>
        <v>50</v>
      </c>
      <c r="L379" s="200" t="str">
        <f>IF(D379="","",INDEX(製品マスタ!$Q$5:$Q$4999,MATCH('S4'!F379&amp;'S4'!K379,製品マスタ!$AO$5:$AO$4999,0)))</f>
        <v>X44SEPA</v>
      </c>
      <c r="M379" s="37">
        <v>1005</v>
      </c>
      <c r="N379" s="37">
        <v>12000</v>
      </c>
      <c r="O379" s="153">
        <v>1</v>
      </c>
      <c r="P379" s="45">
        <v>1</v>
      </c>
      <c r="Q379" s="54"/>
      <c r="R379" s="257">
        <f ca="1">IF(D379="","",IF(OFFSET(D379,-1,0)&lt;&gt;"","",IF(OR(J379="リード付け",J379="巻足し",J379="巻返しリード付け"),M379,VLOOKUP(D379,契約台帳!$A$3:$N$4986,14,FALSE))))</f>
        <v>1005</v>
      </c>
      <c r="S379" s="258">
        <f ca="1">IF(D379="","",IF(OFFSET(D379,-1,0)&lt;&gt;"","",IF(OR(J379="リード付け",J379="巻足し",J379="巻返しリード付け"),M379,VLOOKUP(D379,契約台帳!$A$3:$O$4986,15,FALSE))))</f>
        <v>1000</v>
      </c>
      <c r="T379" s="258">
        <f ca="1">IF(D379="","",IF(J379="リード付け",N379,IF(J379="巻返しリード付け",N379,IF(J379="巻足し",N379*P379+OFFSET(N379,1,0)*OFFSET(P379,1,0),VLOOKUP(D379,契約台帳!$A$3:$P$4986,16,FALSE)))))</f>
        <v>4000</v>
      </c>
      <c r="U379" s="38">
        <v>3</v>
      </c>
      <c r="V379" s="259">
        <f ca="1">IF(D379="","",IF(OFFSET(D379,-2,0)=D379,"",VLOOKUP(D379,契約台帳!$A$3:$R$4986,18,FALSE)))</f>
        <v>3</v>
      </c>
      <c r="W379" s="256" t="str">
        <f ca="1">IF(D379="","",IF(T379="","",IF(OR(J379="巻足し",J379="巻返しリード付け"),"",IF(J379="巻返し",VLOOKUP(F379&amp;K379&amp;M379,製品マスタ!$M$5:$AD$4999,18,FALSE),IF(OR(J379="リード付け",J379="巻返しリード付け"),"原反コア",IF(J379="スリット",VLOOKUP(F379&amp;K379&amp;R379,製品マスタ!$N$5:$AD$4999,17,FALSE),""))))))</f>
        <v>6ｲﾝﾁSｺｱ</v>
      </c>
      <c r="X379" s="256">
        <f ca="1">IF(D379="","",IF(T379="","",IF(J379="巻足し","",IF(J379="巻返し",VLOOKUP(F379&amp;K379&amp;M379,製品マスタ!$M$5:$AE$4999,19,FALSE),IF(OR(J379="リード付け",J379="巻返しリード付け"),"",IF(J379="スリット",VLOOKUP(F379&amp;K379&amp;R379,製品マスタ!$N$5:$AE$4999,18,FALSE),""))))))</f>
        <v>1015</v>
      </c>
      <c r="Y379" s="256">
        <f ca="1">IF(D379="","",IF(T379="","",VLOOKUP(D379,契約台帳!$A$3:$Q$4986,17,FALSE)))</f>
        <v>2</v>
      </c>
      <c r="Z379" s="256" t="str">
        <f ca="1">IF(D379="","",IF(T379="","",VLOOKUP(D379,契約台帳!$A$3:$E$4986,5,FALSE)))</f>
        <v>リンテック㈱</v>
      </c>
      <c r="AA379" s="54"/>
      <c r="AB379" s="200">
        <f>IFERROR((VLOOKUP(F379&amp;K379&amp;M379,製品マスタ!$M$5:$AM$4999,27,FALSE)),"")</f>
        <v>0</v>
      </c>
      <c r="AC379" s="31"/>
      <c r="AD379" s="184"/>
      <c r="AE379" s="51"/>
      <c r="AF379" s="52"/>
      <c r="AG379" s="41"/>
      <c r="AH379" s="45"/>
      <c r="AI379" s="28"/>
      <c r="AJ379" s="28"/>
      <c r="AK379" s="28"/>
      <c r="AL379" s="28"/>
      <c r="AM379" s="12"/>
      <c r="AN379" s="12"/>
      <c r="AO379" s="12"/>
      <c r="AP379" s="12"/>
      <c r="AQ379" s="12"/>
      <c r="AR379" s="13"/>
      <c r="AS379" s="14"/>
    </row>
    <row r="380" spans="1:45" s="16" customFormat="1" ht="30.95" hidden="1" customHeight="1" x14ac:dyDescent="0.2">
      <c r="A380" s="35"/>
      <c r="B380" s="36"/>
      <c r="C380" s="43"/>
      <c r="D380" s="29"/>
      <c r="E380" s="29"/>
      <c r="F380" s="255" t="str">
        <f>IF(D380="","",VLOOKUP(D380,契約台帳!$A$3:$K$4986,6,FALSE)&amp;VLOOKUP(D380,契約台帳!$A$3:$K$4986,7,FALSE)&amp;VLOOKUP(D380,契約台帳!$A$3:$K$4986,8,FALSE)&amp;VLOOKUP(D380,契約台帳!$A$3:$K$4986,9,FALSE)&amp;VLOOKUP(D380,契約台帳!$A$3:$K$4986,11,FALSE))</f>
        <v/>
      </c>
      <c r="G380" s="256" t="str">
        <f>IF(D380="","",VLOOKUP(F380,製品マスタ!$G$5:$H$4999,2,FALSE))</f>
        <v/>
      </c>
      <c r="H380" s="256" t="str">
        <f>IF(D380="","",VLOOKUP(F380,製品マスタ!$G$5:$K$4999,5,FALSE))</f>
        <v/>
      </c>
      <c r="I380" s="200" t="str">
        <f>IF(D380="","",VLOOKUP(F380,製品マスタ!$G$5:$L$4999,6,FALSE))</f>
        <v/>
      </c>
      <c r="J380" s="203"/>
      <c r="K380" s="200" t="str">
        <f>IF(D380="","",VLOOKUP(D380,契約台帳!$A$3:$L$4986,12,FALSE))</f>
        <v/>
      </c>
      <c r="L380" s="200" t="str">
        <f>IF(D380="","",INDEX(製品マスタ!$Q$5:$Q$4999,MATCH('S4'!F380&amp;'S4'!K380,製品マスタ!$AO$5:$AO$4999,0)))</f>
        <v/>
      </c>
      <c r="M380" s="37"/>
      <c r="N380" s="37"/>
      <c r="O380" s="153"/>
      <c r="P380" s="45"/>
      <c r="Q380" s="54"/>
      <c r="R380" s="257" t="str">
        <f ca="1">IF(D380="","",IF(OFFSET(D380,-1,0)&lt;&gt;"","",IF(OR(J380="リード付け",J380="巻足し",J380="巻返しリード付け"),M380,VLOOKUP(D380,契約台帳!$A$3:$N$4986,14,FALSE))))</f>
        <v/>
      </c>
      <c r="S380" s="258" t="str">
        <f ca="1">IF(D380="","",IF(OFFSET(D380,-1,0)&lt;&gt;"","",IF(OR(J380="リード付け",J380="巻足し",J380="巻返しリード付け"),M380,VLOOKUP(D380,契約台帳!$A$3:$O$4986,15,FALSE))))</f>
        <v/>
      </c>
      <c r="T380" s="258" t="str">
        <f ca="1">IF(D380="","",IF(J380="リード付け",N380,IF(J380="巻返しリード付け",N380,IF(J380="巻足し",N380*P380+OFFSET(N380,1,0)*OFFSET(P380,1,0),VLOOKUP(D380,契約台帳!$A$3:$P$4986,16,FALSE)))))</f>
        <v/>
      </c>
      <c r="U380" s="38"/>
      <c r="V380" s="259" t="str">
        <f ca="1">IF(D380="","",IF(OFFSET(D380,-2,0)=D380,"",VLOOKUP(D380,契約台帳!$A$3:$R$4986,18,FALSE)))</f>
        <v/>
      </c>
      <c r="W380" s="256" t="str">
        <f>IF(D380="","",IF(T380="","",IF(OR(J380="巻足し",J380="巻返しリード付け"),"",IF(J380="巻返し",VLOOKUP(F380&amp;K380&amp;M380,製品マスタ!$M$5:$AD$4999,18,FALSE),IF(OR(J380="リード付け",J380="巻返しリード付け"),"原反コア",IF(J380="スリット",VLOOKUP(F380&amp;K380&amp;R380,製品マスタ!$N$5:$AD$4999,17,FALSE),""))))))</f>
        <v/>
      </c>
      <c r="X380" s="256" t="str">
        <f>IF(D380="","",IF(T380="","",IF(J380="巻足し","",IF(J380="巻返し",VLOOKUP(F380&amp;K380&amp;M380,製品マスタ!$M$5:$AE$4999,19,FALSE),IF(OR(J380="リード付け",J380="巻返しリード付け"),"",IF(J380="スリット",VLOOKUP(F380&amp;K380&amp;R380,製品マスタ!$N$5:$AE$4999,18,FALSE),""))))))</f>
        <v/>
      </c>
      <c r="Y380" s="256" t="str">
        <f>IF(D380="","",IF(T380="","",VLOOKUP(D380,契約台帳!$A$3:$Q$4986,17,FALSE)))</f>
        <v/>
      </c>
      <c r="Z380" s="256" t="str">
        <f>IF(D380="","",IF(T380="","",VLOOKUP(D380,契約台帳!$A$3:$E$4986,5,FALSE)))</f>
        <v/>
      </c>
      <c r="AA380" s="54"/>
      <c r="AB380" s="200" t="str">
        <f>IFERROR((VLOOKUP(F380&amp;K380&amp;M380,製品マスタ!$M$5:$AM$4999,27,FALSE)),"")</f>
        <v/>
      </c>
      <c r="AC380" s="31"/>
      <c r="AD380" s="184"/>
      <c r="AE380" s="51"/>
      <c r="AF380" s="52"/>
      <c r="AG380" s="41"/>
      <c r="AH380" s="45"/>
      <c r="AI380" s="28"/>
      <c r="AJ380" s="28"/>
      <c r="AK380" s="28"/>
      <c r="AL380" s="28"/>
      <c r="AM380" s="12"/>
      <c r="AN380" s="12"/>
      <c r="AO380" s="12"/>
      <c r="AP380" s="12"/>
      <c r="AQ380" s="12"/>
      <c r="AR380" s="13"/>
      <c r="AS380" s="14"/>
    </row>
    <row r="381" spans="1:45" s="16" customFormat="1" ht="30.95" hidden="1" customHeight="1" x14ac:dyDescent="0.2">
      <c r="A381" s="35"/>
      <c r="B381" s="36"/>
      <c r="C381" s="43"/>
      <c r="D381" s="29">
        <v>3700962</v>
      </c>
      <c r="E381" s="29">
        <v>4140898</v>
      </c>
      <c r="F381" s="255" t="str">
        <f>IF(D381="","",VLOOKUP(D381,契約台帳!$A$3:$K$4986,6,FALSE)&amp;VLOOKUP(D381,契約台帳!$A$3:$K$4986,7,FALSE)&amp;VLOOKUP(D381,契約台帳!$A$3:$K$4986,8,FALSE)&amp;VLOOKUP(D381,契約台帳!$A$3:$K$4986,9,FALSE)&amp;VLOOKUP(D381,契約台帳!$A$3:$K$4986,11,FALSE))</f>
        <v>33SSNMCLBTEKV0V</v>
      </c>
      <c r="G381" s="256" t="str">
        <f>IF(D381="","",VLOOKUP(F381,製品マスタ!$G$5:$H$4999,2,FALSE))</f>
        <v>S</v>
      </c>
      <c r="H381" s="256" t="str">
        <f>IF(D381="","",VLOOKUP(F381,製品マスタ!$G$5:$K$4999,5,FALSE))</f>
        <v>TEKV0V</v>
      </c>
      <c r="I381" s="200" t="str">
        <f>IF(D381="","",VLOOKUP(F381,製品マスタ!$G$5:$L$4999,6,FALSE))</f>
        <v>メタルミー　ＴＥ－Ｓ消　ＶＯＩＤ　Ｖ</v>
      </c>
      <c r="J381" s="203" t="s">
        <v>962</v>
      </c>
      <c r="K381" s="200">
        <f>IF(D381="","",VLOOKUP(D381,契約台帳!$A$3:$L$4986,12,FALSE))</f>
        <v>50</v>
      </c>
      <c r="L381" s="200" t="str">
        <f>IF(D381="","",INDEX(製品マスタ!$Q$5:$Q$4999,MATCH('S4'!F381&amp;'S4'!K381,製品マスタ!$AO$5:$AO$4999,0)))</f>
        <v>X44SEPA</v>
      </c>
      <c r="M381" s="37">
        <v>1005</v>
      </c>
      <c r="N381" s="37">
        <v>12000</v>
      </c>
      <c r="O381" s="153">
        <v>1</v>
      </c>
      <c r="P381" s="45">
        <v>1</v>
      </c>
      <c r="Q381" s="54"/>
      <c r="R381" s="257">
        <f ca="1">IF(D381="","",IF(OFFSET(D381,-1,0)&lt;&gt;"","",IF(OR(J381="リード付け",J381="巻足し",J381="巻返しリード付け"),M381,VLOOKUP(D381,契約台帳!$A$3:$N$4986,14,FALSE))))</f>
        <v>1005</v>
      </c>
      <c r="S381" s="258">
        <f ca="1">IF(D381="","",IF(OFFSET(D381,-1,0)&lt;&gt;"","",IF(OR(J381="リード付け",J381="巻足し",J381="巻返しリード付け"),M381,VLOOKUP(D381,契約台帳!$A$3:$O$4986,15,FALSE))))</f>
        <v>1000</v>
      </c>
      <c r="T381" s="258">
        <f ca="1">IF(D381="","",IF(J381="リード付け",N381,IF(J381="巻返しリード付け",N381,IF(J381="巻足し",N381*P381+OFFSET(N381,1,0)*OFFSET(P381,1,0),VLOOKUP(D381,契約台帳!$A$3:$P$4986,16,FALSE)))))</f>
        <v>4000</v>
      </c>
      <c r="U381" s="38">
        <v>3</v>
      </c>
      <c r="V381" s="259">
        <f ca="1">IF(D381="","",IF(OFFSET(D381,-2,0)=D381,"",VLOOKUP(D381,契約台帳!$A$3:$R$4986,18,FALSE)))</f>
        <v>3</v>
      </c>
      <c r="W381" s="256" t="str">
        <f ca="1">IF(D381="","",IF(T381="","",IF(OR(J381="巻足し",J381="巻返しリード付け"),"",IF(J381="巻返し",VLOOKUP(F381&amp;K381&amp;M381,製品マスタ!$M$5:$AD$4999,18,FALSE),IF(OR(J381="リード付け",J381="巻返しリード付け"),"原反コア",IF(J381="スリット",VLOOKUP(F381&amp;K381&amp;R381,製品マスタ!$N$5:$AD$4999,17,FALSE),""))))))</f>
        <v>6ｲﾝﾁSｺｱ</v>
      </c>
      <c r="X381" s="256">
        <f ca="1">IF(D381="","",IF(T381="","",IF(J381="巻足し","",IF(J381="巻返し",VLOOKUP(F381&amp;K381&amp;M381,製品マスタ!$M$5:$AE$4999,19,FALSE),IF(OR(J381="リード付け",J381="巻返しリード付け"),"",IF(J381="スリット",VLOOKUP(F381&amp;K381&amp;R381,製品マスタ!$N$5:$AE$4999,18,FALSE),""))))))</f>
        <v>1015</v>
      </c>
      <c r="Y381" s="256">
        <f ca="1">IF(D381="","",IF(T381="","",VLOOKUP(D381,契約台帳!$A$3:$Q$4986,17,FALSE)))</f>
        <v>2</v>
      </c>
      <c r="Z381" s="256" t="str">
        <f ca="1">IF(D381="","",IF(T381="","",VLOOKUP(D381,契約台帳!$A$3:$E$4986,5,FALSE)))</f>
        <v>リンテック㈱</v>
      </c>
      <c r="AA381" s="54"/>
      <c r="AB381" s="200">
        <f>IFERROR((VLOOKUP(F381&amp;K381&amp;M381,製品マスタ!$M$5:$AM$4999,27,FALSE)),"")</f>
        <v>0</v>
      </c>
      <c r="AC381" s="31"/>
      <c r="AD381" s="184"/>
      <c r="AE381" s="51"/>
      <c r="AF381" s="52"/>
      <c r="AG381" s="41"/>
      <c r="AH381" s="45"/>
      <c r="AI381" s="28"/>
      <c r="AJ381" s="28"/>
      <c r="AK381" s="28"/>
      <c r="AL381" s="28"/>
      <c r="AM381" s="12"/>
      <c r="AN381" s="12"/>
      <c r="AO381" s="12"/>
      <c r="AP381" s="12"/>
      <c r="AQ381" s="12"/>
      <c r="AR381" s="13"/>
      <c r="AS381" s="14"/>
    </row>
    <row r="382" spans="1:45" s="16" customFormat="1" ht="30.95" hidden="1" customHeight="1" x14ac:dyDescent="0.2">
      <c r="A382" s="35"/>
      <c r="B382" s="36"/>
      <c r="C382" s="43"/>
      <c r="D382" s="29"/>
      <c r="E382" s="29"/>
      <c r="F382" s="255" t="str">
        <f>IF(D382="","",VLOOKUP(D382,契約台帳!$A$3:$K$4986,6,FALSE)&amp;VLOOKUP(D382,契約台帳!$A$3:$K$4986,7,FALSE)&amp;VLOOKUP(D382,契約台帳!$A$3:$K$4986,8,FALSE)&amp;VLOOKUP(D382,契約台帳!$A$3:$K$4986,9,FALSE)&amp;VLOOKUP(D382,契約台帳!$A$3:$K$4986,11,FALSE))</f>
        <v/>
      </c>
      <c r="G382" s="256" t="str">
        <f>IF(D382="","",VLOOKUP(F382,製品マスタ!$G$5:$H$4999,2,FALSE))</f>
        <v/>
      </c>
      <c r="H382" s="256" t="str">
        <f>IF(D382="","",VLOOKUP(F382,製品マスタ!$G$5:$K$4999,5,FALSE))</f>
        <v/>
      </c>
      <c r="I382" s="200" t="str">
        <f>IF(D382="","",VLOOKUP(F382,製品マスタ!$G$5:$L$4999,6,FALSE))</f>
        <v/>
      </c>
      <c r="J382" s="203"/>
      <c r="K382" s="200" t="str">
        <f>IF(D382="","",VLOOKUP(D382,契約台帳!$A$3:$L$4986,12,FALSE))</f>
        <v/>
      </c>
      <c r="L382" s="200" t="str">
        <f>IF(D382="","",INDEX(製品マスタ!$Q$5:$Q$4999,MATCH('S4'!F382&amp;'S4'!K382,製品マスタ!$AO$5:$AO$4999,0)))</f>
        <v/>
      </c>
      <c r="M382" s="37"/>
      <c r="N382" s="37"/>
      <c r="O382" s="153"/>
      <c r="P382" s="45"/>
      <c r="Q382" s="54"/>
      <c r="R382" s="257" t="str">
        <f ca="1">IF(D382="","",IF(OFFSET(D382,-1,0)&lt;&gt;"","",IF(OR(J382="リード付け",J382="巻足し",J382="巻返しリード付け"),M382,VLOOKUP(D382,契約台帳!$A$3:$N$4986,14,FALSE))))</f>
        <v/>
      </c>
      <c r="S382" s="258" t="str">
        <f ca="1">IF(D382="","",IF(OFFSET(D382,-1,0)&lt;&gt;"","",IF(OR(J382="リード付け",J382="巻足し",J382="巻返しリード付け"),M382,VLOOKUP(D382,契約台帳!$A$3:$O$4986,15,FALSE))))</f>
        <v/>
      </c>
      <c r="T382" s="258" t="str">
        <f ca="1">IF(D382="","",IF(J382="リード付け",N382,IF(J382="巻返しリード付け",N382,IF(J382="巻足し",N382*P382+OFFSET(N382,1,0)*OFFSET(P382,1,0),VLOOKUP(D382,契約台帳!$A$3:$P$4986,16,FALSE)))))</f>
        <v/>
      </c>
      <c r="U382" s="38"/>
      <c r="V382" s="259" t="str">
        <f ca="1">IF(D382="","",IF(OFFSET(D382,-2,0)=D382,"",VLOOKUP(D382,契約台帳!$A$3:$R$4986,18,FALSE)))</f>
        <v/>
      </c>
      <c r="W382" s="256" t="str">
        <f>IF(D382="","",IF(T382="","",IF(OR(J382="巻足し",J382="巻返しリード付け"),"",IF(J382="巻返し",VLOOKUP(F382&amp;K382&amp;M382,製品マスタ!$M$5:$AD$4999,18,FALSE),IF(OR(J382="リード付け",J382="巻返しリード付け"),"原反コア",IF(J382="スリット",VLOOKUP(F382&amp;K382&amp;R382,製品マスタ!$N$5:$AD$4999,17,FALSE),""))))))</f>
        <v/>
      </c>
      <c r="X382" s="256" t="str">
        <f>IF(D382="","",IF(T382="","",IF(J382="巻足し","",IF(J382="巻返し",VLOOKUP(F382&amp;K382&amp;M382,製品マスタ!$M$5:$AE$4999,19,FALSE),IF(OR(J382="リード付け",J382="巻返しリード付け"),"",IF(J382="スリット",VLOOKUP(F382&amp;K382&amp;R382,製品マスタ!$N$5:$AE$4999,18,FALSE),""))))))</f>
        <v/>
      </c>
      <c r="Y382" s="256" t="str">
        <f>IF(D382="","",IF(T382="","",VLOOKUP(D382,契約台帳!$A$3:$Q$4986,17,FALSE)))</f>
        <v/>
      </c>
      <c r="Z382" s="256" t="str">
        <f>IF(D382="","",IF(T382="","",VLOOKUP(D382,契約台帳!$A$3:$E$4986,5,FALSE)))</f>
        <v/>
      </c>
      <c r="AA382" s="54"/>
      <c r="AB382" s="200" t="str">
        <f>IFERROR((VLOOKUP(F382&amp;K382&amp;M382,製品マスタ!$M$5:$AM$4999,27,FALSE)),"")</f>
        <v/>
      </c>
      <c r="AC382" s="31"/>
      <c r="AD382" s="184"/>
      <c r="AE382" s="51"/>
      <c r="AF382" s="52"/>
      <c r="AG382" s="41"/>
      <c r="AH382" s="45"/>
      <c r="AI382" s="28"/>
      <c r="AJ382" s="28"/>
      <c r="AK382" s="28"/>
      <c r="AL382" s="28"/>
      <c r="AM382" s="12"/>
      <c r="AN382" s="12"/>
      <c r="AO382" s="12"/>
      <c r="AP382" s="12"/>
      <c r="AQ382" s="12"/>
      <c r="AR382" s="13"/>
      <c r="AS382" s="14"/>
    </row>
    <row r="383" spans="1:45" s="16" customFormat="1" ht="30.95" hidden="1" customHeight="1" x14ac:dyDescent="0.2">
      <c r="A383" s="35"/>
      <c r="B383" s="36"/>
      <c r="C383" s="43"/>
      <c r="D383" s="29">
        <v>3703649</v>
      </c>
      <c r="E383" s="29">
        <v>4140913</v>
      </c>
      <c r="F383" s="255" t="str">
        <f>IF(D383="","",VLOOKUP(D383,契約台帳!$A$3:$K$4986,6,FALSE)&amp;VLOOKUP(D383,契約台帳!$A$3:$K$4986,7,FALSE)&amp;VLOOKUP(D383,契約台帳!$A$3:$K$4986,8,FALSE)&amp;VLOOKUP(D383,契約台帳!$A$3:$K$4986,9,FALSE)&amp;VLOOKUP(D383,契約台帳!$A$3:$K$4986,11,FALSE))</f>
        <v>3TNMCLBHLKTV</v>
      </c>
      <c r="G383" s="256" t="str">
        <f>IF(D383="","",VLOOKUP(F383,製品マスタ!$G$5:$H$4999,2,FALSE))</f>
        <v>T</v>
      </c>
      <c r="H383" s="256" t="str">
        <f>IF(D383="","",VLOOKUP(F383,製品マスタ!$G$5:$K$4999,5,FALSE))</f>
        <v>HLKTV</v>
      </c>
      <c r="I383" s="200" t="str">
        <f>IF(D383="","",VLOOKUP(F383,製品マスタ!$G$5:$L$4999,6,FALSE))</f>
        <v>メタルミー　ヘヤライン金艶　Ｖ</v>
      </c>
      <c r="J383" s="203" t="s">
        <v>447</v>
      </c>
      <c r="K383" s="200">
        <f>IF(D383="","",VLOOKUP(D383,契約台帳!$A$3:$L$4986,12,FALSE))</f>
        <v>50</v>
      </c>
      <c r="L383" s="200" t="str">
        <f>IF(D383="","",INDEX(製品マスタ!$Q$5:$Q$4999,MATCH('S4'!F383&amp;'S4'!K383,製品マスタ!$AO$5:$AO$4999,0)))</f>
        <v>HL50/EC</v>
      </c>
      <c r="M383" s="37">
        <v>1030</v>
      </c>
      <c r="N383" s="37">
        <v>4100</v>
      </c>
      <c r="O383" s="153">
        <v>1</v>
      </c>
      <c r="P383" s="45">
        <v>1</v>
      </c>
      <c r="Q383" s="54"/>
      <c r="R383" s="257">
        <f ca="1">IF(D383="","",IF(OFFSET(D383,-1,0)&lt;&gt;"","",IF(OR(J383="リード付け",J383="巻足し",J383="巻返しリード付け"),M383,VLOOKUP(D383,契約台帳!$A$3:$N$4986,14,FALSE))))</f>
        <v>1000</v>
      </c>
      <c r="S383" s="258">
        <f ca="1">IF(D383="","",IF(OFFSET(D383,-1,0)&lt;&gt;"","",IF(OR(J383="リード付け",J383="巻足し",J383="巻返しリード付け"),M383,VLOOKUP(D383,契約台帳!$A$3:$O$4986,15,FALSE))))</f>
        <v>1000</v>
      </c>
      <c r="T383" s="258">
        <f ca="1">IF(D383="","",IF(J383="リード付け",N383,IF(J383="巻返しリード付け",N383,IF(J383="巻足し",N383*P383+OFFSET(N383,1,0)*OFFSET(P383,1,0),VLOOKUP(D383,契約台帳!$A$3:$P$4986,16,FALSE)))))</f>
        <v>2000</v>
      </c>
      <c r="U383" s="38">
        <v>2</v>
      </c>
      <c r="V383" s="259">
        <f ca="1">IF(D383="","",IF(OFFSET(D383,-2,0)=D383,"",VLOOKUP(D383,契約台帳!$A$3:$R$4986,18,FALSE)))</f>
        <v>2</v>
      </c>
      <c r="W383" s="256" t="str">
        <f ca="1">IF(D383="","",IF(T383="","",IF(OR(J383="巻足し",J383="巻返しリード付け"),"",IF(J383="巻返し",VLOOKUP(F383&amp;K383&amp;M383,製品マスタ!$M$5:$AD$4999,18,FALSE),IF(OR(J383="リード付け",J383="巻返しリード付け"),"原反コア",IF(J383="スリット",VLOOKUP(F383&amp;K383&amp;R383,製品マスタ!$N$5:$AD$4999,17,FALSE),""))))))</f>
        <v>6ｲﾝﾁSｺｱ</v>
      </c>
      <c r="X383" s="256">
        <f ca="1">IF(D383="","",IF(T383="","",IF(J383="巻足し","",IF(J383="巻返し",VLOOKUP(F383&amp;K383&amp;M383,製品マスタ!$M$5:$AE$4999,19,FALSE),IF(OR(J383="リード付け",J383="巻返しリード付け"),"",IF(J383="スリット",VLOOKUP(F383&amp;K383&amp;R383,製品マスタ!$N$5:$AE$4999,18,FALSE),""))))))</f>
        <v>1015</v>
      </c>
      <c r="Y383" s="256">
        <f ca="1">IF(D383="","",IF(T383="","",VLOOKUP(D383,契約台帳!$A$3:$Q$4986,17,FALSE)))</f>
        <v>2</v>
      </c>
      <c r="Z383" s="256" t="str">
        <f ca="1">IF(D383="","",IF(T383="","",VLOOKUP(D383,契約台帳!$A$3:$E$4986,5,FALSE)))</f>
        <v>リンテック㈱</v>
      </c>
      <c r="AA383" s="54"/>
      <c r="AB383" s="200" t="s">
        <v>774</v>
      </c>
      <c r="AC383" s="31"/>
      <c r="AD383" s="184"/>
      <c r="AE383" s="51"/>
      <c r="AF383" s="52"/>
      <c r="AG383" s="41"/>
      <c r="AH383" s="45"/>
      <c r="AI383" s="28"/>
      <c r="AJ383" s="28"/>
      <c r="AK383" s="28"/>
      <c r="AL383" s="28"/>
      <c r="AM383" s="12"/>
      <c r="AN383" s="12"/>
      <c r="AO383" s="12"/>
      <c r="AP383" s="12"/>
      <c r="AQ383" s="12"/>
      <c r="AR383" s="13"/>
      <c r="AS383" s="14"/>
    </row>
    <row r="384" spans="1:45" s="16" customFormat="1" ht="30.95" hidden="1" customHeight="1" x14ac:dyDescent="0.2">
      <c r="A384" s="35"/>
      <c r="B384" s="36"/>
      <c r="C384" s="43"/>
      <c r="D384" s="29"/>
      <c r="E384" s="29"/>
      <c r="F384" s="255"/>
      <c r="G384" s="256"/>
      <c r="H384" s="256"/>
      <c r="I384" s="200"/>
      <c r="J384" s="203"/>
      <c r="K384" s="200"/>
      <c r="L384" s="200"/>
      <c r="M384" s="37"/>
      <c r="N384" s="37"/>
      <c r="O384" s="153"/>
      <c r="P384" s="45"/>
      <c r="Q384" s="54"/>
      <c r="R384" s="257"/>
      <c r="S384" s="258"/>
      <c r="T384" s="258"/>
      <c r="U384" s="38"/>
      <c r="V384" s="259"/>
      <c r="W384" s="256"/>
      <c r="X384" s="256"/>
      <c r="Y384" s="256"/>
      <c r="Z384" s="256"/>
      <c r="AA384" s="54"/>
      <c r="AB384" s="200"/>
      <c r="AC384" s="31"/>
      <c r="AD384" s="184"/>
      <c r="AE384" s="51"/>
      <c r="AF384" s="52"/>
      <c r="AG384" s="41"/>
      <c r="AH384" s="45"/>
      <c r="AI384" s="28"/>
      <c r="AJ384" s="28"/>
      <c r="AK384" s="28"/>
      <c r="AL384" s="28"/>
      <c r="AM384" s="12"/>
      <c r="AN384" s="12"/>
      <c r="AO384" s="12"/>
      <c r="AP384" s="12"/>
      <c r="AQ384" s="12"/>
      <c r="AR384" s="13"/>
      <c r="AS384" s="14"/>
    </row>
    <row r="385" spans="1:45" s="16" customFormat="1" ht="30.95" hidden="1" customHeight="1" x14ac:dyDescent="0.2">
      <c r="A385" s="35"/>
      <c r="B385" s="36"/>
      <c r="C385" s="43"/>
      <c r="D385" s="29">
        <v>3703648</v>
      </c>
      <c r="E385" s="29">
        <v>4140912</v>
      </c>
      <c r="F385" s="255" t="str">
        <f>IF(D385="","",VLOOKUP(D385,契約台帳!$A$3:$K$4986,6,FALSE)&amp;VLOOKUP(D385,契約台帳!$A$3:$K$4986,7,FALSE)&amp;VLOOKUP(D385,契約台帳!$A$3:$K$4986,8,FALSE)&amp;VLOOKUP(D385,契約台帳!$A$3:$K$4986,9,FALSE)&amp;VLOOKUP(D385,契約台帳!$A$3:$K$4986,11,FALSE))</f>
        <v>3TNMCLBHLKTV</v>
      </c>
      <c r="G385" s="256" t="str">
        <f>IF(D385="","",VLOOKUP(F385,製品マスタ!$G$5:$H$4999,2,FALSE))</f>
        <v>T</v>
      </c>
      <c r="H385" s="256" t="str">
        <f>IF(D385="","",VLOOKUP(F385,製品マスタ!$G$5:$K$4999,5,FALSE))</f>
        <v>HLKTV</v>
      </c>
      <c r="I385" s="200" t="str">
        <f>IF(D385="","",VLOOKUP(F385,製品マスタ!$G$5:$L$4999,6,FALSE))</f>
        <v>メタルミー　ヘヤライン金艶　Ｖ</v>
      </c>
      <c r="J385" s="203" t="s">
        <v>447</v>
      </c>
      <c r="K385" s="200">
        <f>IF(D385="","",VLOOKUP(D385,契約台帳!$A$3:$L$4986,12,FALSE))</f>
        <v>25</v>
      </c>
      <c r="L385" s="200" t="str">
        <f>IF(D385="","",INDEX(製品マスタ!$Q$5:$Q$4999,MATCH('S4'!F385&amp;'S4'!K385,製品マスタ!$AO$5:$AO$4999,0)))</f>
        <v>HL25/EC</v>
      </c>
      <c r="M385" s="37">
        <v>1030</v>
      </c>
      <c r="N385" s="37">
        <v>4000</v>
      </c>
      <c r="O385" s="153">
        <v>1</v>
      </c>
      <c r="P385" s="45">
        <v>1</v>
      </c>
      <c r="Q385" s="54"/>
      <c r="R385" s="257">
        <f ca="1">IF(D385="","",IF(OFFSET(D385,-1,0)&lt;&gt;"","",IF(OR(J385="リード付け",J385="巻足し",J385="巻返しリード付け"),M385,VLOOKUP(D385,契約台帳!$A$3:$N$4986,14,FALSE))))</f>
        <v>1000</v>
      </c>
      <c r="S385" s="258">
        <f ca="1">IF(D385="","",IF(OFFSET(D385,-1,0)&lt;&gt;"","",IF(OR(J385="リード付け",J385="巻足し",J385="巻返しリード付け"),M385,VLOOKUP(D385,契約台帳!$A$3:$O$4986,15,FALSE))))</f>
        <v>1000</v>
      </c>
      <c r="T385" s="258">
        <f ca="1">IF(D385="","",IF(J385="リード付け",N385,IF(J385="巻返しリード付け",N385,IF(J385="巻足し",N385*P385+OFFSET(N385,1,0)*OFFSET(P385,1,0),VLOOKUP(D385,契約台帳!$A$3:$P$4986,16,FALSE)))))</f>
        <v>2000</v>
      </c>
      <c r="U385" s="38">
        <v>2</v>
      </c>
      <c r="V385" s="259">
        <f ca="1">IF(D385="","",IF(OFFSET(D385,-2,0)=D385,"",VLOOKUP(D385,契約台帳!$A$3:$R$4986,18,FALSE)))</f>
        <v>2</v>
      </c>
      <c r="W385" s="256" t="str">
        <f ca="1">IF(D385="","",IF(T385="","",IF(OR(J385="巻足し",J385="巻返しリード付け"),"",IF(J385="巻返し",VLOOKUP(F385&amp;K385&amp;M385,製品マスタ!$M$5:$AD$4999,18,FALSE),IF(OR(J385="リード付け",J385="巻返しリード付け"),"原反コア",IF(J385="スリット",VLOOKUP(F385&amp;K385&amp;R385,製品マスタ!$N$5:$AD$4999,17,FALSE),""))))))</f>
        <v>6ｲﾝﾁSｺｱ</v>
      </c>
      <c r="X385" s="256">
        <f ca="1">IF(D385="","",IF(T385="","",IF(J385="巻足し","",IF(J385="巻返し",VLOOKUP(F385&amp;K385&amp;M385,製品マスタ!$M$5:$AE$4999,19,FALSE),IF(OR(J385="リード付け",J385="巻返しリード付け"),"",IF(J385="スリット",VLOOKUP(F385&amp;K385&amp;R385,製品マスタ!$N$5:$AE$4999,18,FALSE),""))))))</f>
        <v>1015</v>
      </c>
      <c r="Y385" s="256">
        <f ca="1">IF(D385="","",IF(T385="","",VLOOKUP(D385,契約台帳!$A$3:$Q$4986,17,FALSE)))</f>
        <v>2</v>
      </c>
      <c r="Z385" s="256" t="str">
        <f ca="1">IF(D385="","",IF(T385="","",VLOOKUP(D385,契約台帳!$A$3:$E$4986,5,FALSE)))</f>
        <v>リンテック㈱</v>
      </c>
      <c r="AA385" s="54"/>
      <c r="AB385" s="200" t="s">
        <v>774</v>
      </c>
      <c r="AC385" s="31"/>
      <c r="AD385" s="184"/>
      <c r="AE385" s="51"/>
      <c r="AF385" s="52"/>
      <c r="AG385" s="41"/>
      <c r="AH385" s="45"/>
      <c r="AI385" s="28"/>
      <c r="AJ385" s="28"/>
      <c r="AK385" s="28"/>
      <c r="AL385" s="28"/>
      <c r="AM385" s="12"/>
      <c r="AN385" s="12"/>
      <c r="AO385" s="12"/>
      <c r="AP385" s="12"/>
      <c r="AQ385" s="12"/>
      <c r="AR385" s="13"/>
      <c r="AS385" s="14"/>
    </row>
    <row r="386" spans="1:45" s="16" customFormat="1" ht="30.95" hidden="1" customHeight="1" x14ac:dyDescent="0.2">
      <c r="A386" s="35"/>
      <c r="B386" s="36"/>
      <c r="C386" s="43"/>
      <c r="D386" s="29"/>
      <c r="E386" s="29"/>
      <c r="F386" s="255"/>
      <c r="G386" s="256"/>
      <c r="H386" s="256"/>
      <c r="I386" s="200"/>
      <c r="J386" s="203"/>
      <c r="K386" s="200"/>
      <c r="L386" s="200"/>
      <c r="M386" s="37"/>
      <c r="N386" s="37"/>
      <c r="O386" s="153"/>
      <c r="P386" s="45"/>
      <c r="Q386" s="54"/>
      <c r="R386" s="257"/>
      <c r="S386" s="258"/>
      <c r="T386" s="258"/>
      <c r="U386" s="38"/>
      <c r="V386" s="259"/>
      <c r="W386" s="256"/>
      <c r="X386" s="256"/>
      <c r="Y386" s="256"/>
      <c r="Z386" s="256"/>
      <c r="AA386" s="54"/>
      <c r="AB386" s="200"/>
      <c r="AC386" s="31"/>
      <c r="AD386" s="184"/>
      <c r="AE386" s="51"/>
      <c r="AF386" s="52"/>
      <c r="AG386" s="41"/>
      <c r="AH386" s="45"/>
      <c r="AI386" s="28"/>
      <c r="AJ386" s="28"/>
      <c r="AK386" s="28"/>
      <c r="AL386" s="28"/>
      <c r="AM386" s="12"/>
      <c r="AN386" s="12"/>
      <c r="AO386" s="12"/>
      <c r="AP386" s="12"/>
      <c r="AQ386" s="12"/>
      <c r="AR386" s="13"/>
      <c r="AS386" s="14"/>
    </row>
    <row r="387" spans="1:45" s="16" customFormat="1" ht="30.95" hidden="1" customHeight="1" x14ac:dyDescent="0.2">
      <c r="A387" s="35"/>
      <c r="B387" s="36"/>
      <c r="C387" s="43"/>
      <c r="D387" s="29">
        <v>3700965</v>
      </c>
      <c r="E387" s="29">
        <v>4140901</v>
      </c>
      <c r="F387" s="255" t="str">
        <f>IF(D387="","",VLOOKUP(D387,契約台帳!$A$3:$K$4986,6,FALSE)&amp;VLOOKUP(D387,契約台帳!$A$3:$K$4986,7,FALSE)&amp;VLOOKUP(D387,契約台帳!$A$3:$K$4986,8,FALSE)&amp;VLOOKUP(D387,契約台帳!$A$3:$K$4986,9,FALSE)&amp;VLOOKUP(D387,契約台帳!$A$3:$K$4986,11,FALSE))</f>
        <v>3SNMCLBHLGTV</v>
      </c>
      <c r="G387" s="256" t="str">
        <f>IF(D387="","",VLOOKUP(F387,製品マスタ!$G$5:$H$4999,2,FALSE))</f>
        <v>S</v>
      </c>
      <c r="H387" s="256" t="str">
        <f>IF(D387="","",VLOOKUP(F387,製品マスタ!$G$5:$K$4999,5,FALSE))</f>
        <v>HLGTV</v>
      </c>
      <c r="I387" s="200" t="str">
        <f>IF(D387="","",VLOOKUP(F387,製品マスタ!$G$5:$L$4999,6,FALSE))</f>
        <v>メタルミー　ヘヤライン　銀艶Ｖ</v>
      </c>
      <c r="J387" s="203" t="s">
        <v>962</v>
      </c>
      <c r="K387" s="200">
        <f>IF(D387="","",VLOOKUP(D387,契約台帳!$A$3:$L$4986,12,FALSE))</f>
        <v>50</v>
      </c>
      <c r="L387" s="200" t="str">
        <f>IF(D387="","",INDEX(製品マスタ!$Q$5:$Q$4999,MATCH('S4'!F387&amp;'S4'!K387,製品マスタ!$AO$5:$AO$4999,0)))</f>
        <v>BRIGHT</v>
      </c>
      <c r="M387" s="37">
        <v>1005</v>
      </c>
      <c r="N387" s="37">
        <v>12300</v>
      </c>
      <c r="O387" s="153">
        <v>2</v>
      </c>
      <c r="P387" s="45">
        <v>2</v>
      </c>
      <c r="Q387" s="54"/>
      <c r="R387" s="257">
        <f ca="1">IF(D387="","",IF(OFFSET(D387,-1,0)&lt;&gt;"","",IF(OR(J387="リード付け",J387="巻足し",J387="巻返しリード付け"),M387,VLOOKUP(D387,契約台帳!$A$3:$N$4986,14,FALSE))))</f>
        <v>1005</v>
      </c>
      <c r="S387" s="258">
        <f ca="1">IF(D387="","",IF(OFFSET(D387,-1,0)&lt;&gt;"","",IF(OR(J387="リード付け",J387="巻足し",J387="巻返しリード付け"),M387,VLOOKUP(D387,契約台帳!$A$3:$O$4986,15,FALSE))))</f>
        <v>1000</v>
      </c>
      <c r="T387" s="258">
        <f ca="1">IF(D387="","",IF(J387="リード付け",N387,IF(J387="巻返しリード付け",N387,IF(J387="巻足し",N387*P387+OFFSET(N387,1,0)*OFFSET(P387,1,0),VLOOKUP(D387,契約台帳!$A$3:$P$4986,16,FALSE)))))</f>
        <v>4000</v>
      </c>
      <c r="U387" s="38">
        <v>6</v>
      </c>
      <c r="V387" s="259">
        <f ca="1">IF(D387="","",IF(OFFSET(D387,-2,0)=D387,"",VLOOKUP(D387,契約台帳!$A$3:$R$4986,18,FALSE)))</f>
        <v>6</v>
      </c>
      <c r="W387" s="256" t="str">
        <f ca="1">IF(D387="","",IF(T387="","",IF(OR(J387="巻足し",J387="巻返しリード付け"),"",IF(J387="巻返し",VLOOKUP(F387&amp;K387&amp;M387,製品マスタ!$M$5:$AD$4999,18,FALSE),IF(OR(J387="リード付け",J387="巻返しリード付け"),"原反コア",IF(J387="スリット",VLOOKUP(F387&amp;K387&amp;R387,製品マスタ!$N$5:$AD$4999,17,FALSE),""))))))</f>
        <v>6ｲﾝﾁSｺｱ</v>
      </c>
      <c r="X387" s="256">
        <f ca="1">IF(D387="","",IF(T387="","",IF(J387="巻足し","",IF(J387="巻返し",VLOOKUP(F387&amp;K387&amp;M387,製品マスタ!$M$5:$AE$4999,19,FALSE),IF(OR(J387="リード付け",J387="巻返しリード付け"),"",IF(J387="スリット",VLOOKUP(F387&amp;K387&amp;R387,製品マスタ!$N$5:$AE$4999,18,FALSE),""))))))</f>
        <v>1015</v>
      </c>
      <c r="Y387" s="256">
        <f ca="1">IF(D387="","",IF(T387="","",VLOOKUP(D387,契約台帳!$A$3:$Q$4986,17,FALSE)))</f>
        <v>2</v>
      </c>
      <c r="Z387" s="256" t="str">
        <f ca="1">IF(D387="","",IF(T387="","",VLOOKUP(D387,契約台帳!$A$3:$E$4986,5,FALSE)))</f>
        <v>リンテック㈱</v>
      </c>
      <c r="AA387" s="54"/>
      <c r="AB387" s="200">
        <f>IFERROR((VLOOKUP(F387&amp;K387&amp;M387,製品マスタ!$M$5:$AM$4999,27,FALSE)),"")</f>
        <v>0</v>
      </c>
      <c r="AC387" s="31"/>
      <c r="AD387" s="184"/>
      <c r="AE387" s="51"/>
      <c r="AF387" s="52"/>
      <c r="AG387" s="41"/>
      <c r="AH387" s="45"/>
      <c r="AI387" s="28"/>
      <c r="AJ387" s="28"/>
      <c r="AK387" s="28"/>
      <c r="AL387" s="28"/>
      <c r="AM387" s="12"/>
      <c r="AN387" s="12"/>
      <c r="AO387" s="12"/>
      <c r="AP387" s="12"/>
      <c r="AQ387" s="12"/>
      <c r="AR387" s="13"/>
      <c r="AS387" s="14"/>
    </row>
    <row r="388" spans="1:45" s="16" customFormat="1" ht="30.95" hidden="1" customHeight="1" x14ac:dyDescent="0.2">
      <c r="A388" s="35"/>
      <c r="B388" s="36"/>
      <c r="C388" s="43"/>
      <c r="D388" s="29"/>
      <c r="E388" s="29"/>
      <c r="F388" s="255" t="str">
        <f>IF(D388="","",VLOOKUP(D388,契約台帳!$A$3:$K$4986,6,FALSE)&amp;VLOOKUP(D388,契約台帳!$A$3:$K$4986,7,FALSE)&amp;VLOOKUP(D388,契約台帳!$A$3:$K$4986,8,FALSE)&amp;VLOOKUP(D388,契約台帳!$A$3:$K$4986,9,FALSE)&amp;VLOOKUP(D388,契約台帳!$A$3:$K$4986,11,FALSE))</f>
        <v/>
      </c>
      <c r="G388" s="256" t="str">
        <f>IF(D388="","",VLOOKUP(F388,製品マスタ!$G$5:$H$4999,2,FALSE))</f>
        <v/>
      </c>
      <c r="H388" s="256" t="str">
        <f>IF(D388="","",VLOOKUP(F388,製品マスタ!$G$5:$K$4999,5,FALSE))</f>
        <v/>
      </c>
      <c r="I388" s="200" t="str">
        <f>IF(D388="","",VLOOKUP(F388,製品マスタ!$G$5:$L$4999,6,FALSE))</f>
        <v/>
      </c>
      <c r="J388" s="203"/>
      <c r="K388" s="200" t="str">
        <f>IF(D388="","",VLOOKUP(D388,契約台帳!$A$3:$L$4986,12,FALSE))</f>
        <v/>
      </c>
      <c r="L388" s="200" t="str">
        <f>IF(D388="","",INDEX(製品マスタ!$Q$5:$Q$4999,MATCH('S4'!F388&amp;'S4'!K388,製品マスタ!$AO$5:$AO$4999,0)))</f>
        <v/>
      </c>
      <c r="M388" s="37"/>
      <c r="N388" s="37"/>
      <c r="O388" s="153"/>
      <c r="P388" s="45"/>
      <c r="Q388" s="54"/>
      <c r="R388" s="257" t="str">
        <f ca="1">IF(D388="","",IF(OFFSET(D388,-1,0)&lt;&gt;"","",IF(OR(J388="リード付け",J388="巻足し",J388="巻返しリード付け"),M388,VLOOKUP(D388,契約台帳!$A$3:$N$4986,14,FALSE))))</f>
        <v/>
      </c>
      <c r="S388" s="258" t="str">
        <f ca="1">IF(D388="","",IF(OFFSET(D388,-1,0)&lt;&gt;"","",IF(OR(J388="リード付け",J388="巻足し",J388="巻返しリード付け"),M388,VLOOKUP(D388,契約台帳!$A$3:$O$4986,15,FALSE))))</f>
        <v/>
      </c>
      <c r="T388" s="258" t="str">
        <f ca="1">IF(D388="","",IF(J388="リード付け",N388,IF(J388="巻返しリード付け",N388,IF(J388="巻足し",N388*P388+OFFSET(N388,1,0)*OFFSET(P388,1,0),VLOOKUP(D388,契約台帳!$A$3:$P$4986,16,FALSE)))))</f>
        <v/>
      </c>
      <c r="U388" s="38"/>
      <c r="V388" s="259" t="str">
        <f ca="1">IF(D388="","",IF(OFFSET(D388,-2,0)=D388,"",VLOOKUP(D388,契約台帳!$A$3:$R$4986,18,FALSE)))</f>
        <v/>
      </c>
      <c r="W388" s="256" t="str">
        <f>IF(D388="","",IF(T388="","",IF(OR(J388="巻足し",J388="巻返しリード付け"),"",IF(J388="巻返し",VLOOKUP(F388&amp;K388&amp;M388,製品マスタ!$M$5:$AD$4999,18,FALSE),IF(OR(J388="リード付け",J388="巻返しリード付け"),"原反コア",IF(J388="スリット",VLOOKUP(F388&amp;K388&amp;R388,製品マスタ!$N$5:$AD$4999,17,FALSE),""))))))</f>
        <v/>
      </c>
      <c r="X388" s="256" t="str">
        <f>IF(D388="","",IF(T388="","",IF(J388="巻足し","",IF(J388="巻返し",VLOOKUP(F388&amp;K388&amp;M388,製品マスタ!$M$5:$AE$4999,19,FALSE),IF(OR(J388="リード付け",J388="巻返しリード付け"),"",IF(J388="スリット",VLOOKUP(F388&amp;K388&amp;R388,製品マスタ!$N$5:$AE$4999,18,FALSE),""))))))</f>
        <v/>
      </c>
      <c r="Y388" s="256" t="str">
        <f>IF(D388="","",IF(T388="","",VLOOKUP(D388,契約台帳!$A$3:$Q$4986,17,FALSE)))</f>
        <v/>
      </c>
      <c r="Z388" s="256" t="str">
        <f>IF(D388="","",IF(T388="","",VLOOKUP(D388,契約台帳!$A$3:$E$4986,5,FALSE)))</f>
        <v/>
      </c>
      <c r="AA388" s="54"/>
      <c r="AB388" s="200" t="str">
        <f>IFERROR((VLOOKUP(F388&amp;K388&amp;M388,製品マスタ!$M$5:$AM$4999,27,FALSE)),"")</f>
        <v/>
      </c>
      <c r="AC388" s="31"/>
      <c r="AD388" s="184"/>
      <c r="AE388" s="51"/>
      <c r="AF388" s="52"/>
      <c r="AG388" s="41"/>
      <c r="AH388" s="45"/>
      <c r="AI388" s="28"/>
      <c r="AJ388" s="28"/>
      <c r="AK388" s="28"/>
      <c r="AL388" s="28"/>
      <c r="AM388" s="12"/>
      <c r="AN388" s="12"/>
      <c r="AO388" s="12"/>
      <c r="AP388" s="12"/>
      <c r="AQ388" s="12"/>
      <c r="AR388" s="13"/>
      <c r="AS388" s="14"/>
    </row>
    <row r="389" spans="1:45" s="16" customFormat="1" ht="30.95" hidden="1" customHeight="1" x14ac:dyDescent="0.2">
      <c r="A389" s="35"/>
      <c r="B389" s="36"/>
      <c r="C389" s="43"/>
      <c r="D389" s="29">
        <v>3700964</v>
      </c>
      <c r="E389" s="29">
        <v>4140900</v>
      </c>
      <c r="F389" s="255" t="str">
        <f>IF(D389="","",VLOOKUP(D389,契約台帳!$A$3:$K$4986,6,FALSE)&amp;VLOOKUP(D389,契約台帳!$A$3:$K$4986,7,FALSE)&amp;VLOOKUP(D389,契約台帳!$A$3:$K$4986,8,FALSE)&amp;VLOOKUP(D389,契約台帳!$A$3:$K$4986,9,FALSE)&amp;VLOOKUP(D389,契約台帳!$A$3:$K$4986,11,FALSE))</f>
        <v>3SNMCLBHLGTV</v>
      </c>
      <c r="G389" s="256" t="str">
        <f>IF(D389="","",VLOOKUP(F389,製品マスタ!$G$5:$H$4999,2,FALSE))</f>
        <v>S</v>
      </c>
      <c r="H389" s="256" t="str">
        <f>IF(D389="","",VLOOKUP(F389,製品マスタ!$G$5:$K$4999,5,FALSE))</f>
        <v>HLGTV</v>
      </c>
      <c r="I389" s="200" t="str">
        <f>IF(D389="","",VLOOKUP(F389,製品マスタ!$G$5:$L$4999,6,FALSE))</f>
        <v>メタルミー　ヘヤライン　銀艶Ｖ</v>
      </c>
      <c r="J389" s="203" t="s">
        <v>962</v>
      </c>
      <c r="K389" s="200">
        <f>IF(D389="","",VLOOKUP(D389,契約台帳!$A$3:$L$4986,12,FALSE))</f>
        <v>25</v>
      </c>
      <c r="L389" s="200" t="str">
        <f>IF(D389="","",INDEX(製品マスタ!$Q$5:$Q$4999,MATCH('S4'!F389&amp;'S4'!K389,製品マスタ!$AO$5:$AO$4999,0)))</f>
        <v>BRIGHT</v>
      </c>
      <c r="M389" s="37">
        <v>1005</v>
      </c>
      <c r="N389" s="37">
        <v>8000</v>
      </c>
      <c r="O389" s="153">
        <v>1</v>
      </c>
      <c r="P389" s="45">
        <v>1</v>
      </c>
      <c r="Q389" s="54"/>
      <c r="R389" s="257">
        <f ca="1">IF(D389="","",IF(OFFSET(D389,-1,0)&lt;&gt;"","",IF(OR(J389="リード付け",J389="巻足し",J389="巻返しリード付け"),M389,VLOOKUP(D389,契約台帳!$A$3:$N$4986,14,FALSE))))</f>
        <v>1005</v>
      </c>
      <c r="S389" s="258">
        <f ca="1">IF(D389="","",IF(OFFSET(D389,-1,0)&lt;&gt;"","",IF(OR(J389="リード付け",J389="巻足し",J389="巻返しリード付け"),M389,VLOOKUP(D389,契約台帳!$A$3:$O$4986,15,FALSE))))</f>
        <v>1000</v>
      </c>
      <c r="T389" s="258">
        <f ca="1">IF(D389="","",IF(J389="リード付け",N389,IF(J389="巻返しリード付け",N389,IF(J389="巻足し",N389*P389+OFFSET(N389,1,0)*OFFSET(P389,1,0),VLOOKUP(D389,契約台帳!$A$3:$P$4986,16,FALSE)))))</f>
        <v>2000</v>
      </c>
      <c r="U389" s="38">
        <v>4</v>
      </c>
      <c r="V389" s="259">
        <f ca="1">IF(D389="","",IF(OFFSET(D389,-2,0)=D389,"",VLOOKUP(D389,契約台帳!$A$3:$R$4986,18,FALSE)))</f>
        <v>4</v>
      </c>
      <c r="W389" s="256" t="str">
        <f ca="1">IF(D389="","",IF(T389="","",IF(OR(J389="巻足し",J389="巻返しリード付け"),"",IF(J389="巻返し",VLOOKUP(F389&amp;K389&amp;M389,製品マスタ!$M$5:$AD$4999,18,FALSE),IF(OR(J389="リード付け",J389="巻返しリード付け"),"原反コア",IF(J389="スリット",VLOOKUP(F389&amp;K389&amp;R389,製品マスタ!$N$5:$AD$4999,17,FALSE),""))))))</f>
        <v>6ｲﾝﾁSｺｱ</v>
      </c>
      <c r="X389" s="256">
        <f ca="1">IF(D389="","",IF(T389="","",IF(J389="巻足し","",IF(J389="巻返し",VLOOKUP(F389&amp;K389&amp;M389,製品マスタ!$M$5:$AE$4999,19,FALSE),IF(OR(J389="リード付け",J389="巻返しリード付け"),"",IF(J389="スリット",VLOOKUP(F389&amp;K389&amp;R389,製品マスタ!$N$5:$AE$4999,18,FALSE),""))))))</f>
        <v>1015</v>
      </c>
      <c r="Y389" s="256">
        <f ca="1">IF(D389="","",IF(T389="","",VLOOKUP(D389,契約台帳!$A$3:$Q$4986,17,FALSE)))</f>
        <v>2</v>
      </c>
      <c r="Z389" s="256" t="str">
        <f ca="1">IF(D389="","",IF(T389="","",VLOOKUP(D389,契約台帳!$A$3:$E$4986,5,FALSE)))</f>
        <v>リンテック㈱</v>
      </c>
      <c r="AA389" s="54"/>
      <c r="AB389" s="200">
        <f>IFERROR((VLOOKUP(F389&amp;K389&amp;M389,製品マスタ!$M$5:$AM$4999,27,FALSE)),"")</f>
        <v>0</v>
      </c>
      <c r="AC389" s="31"/>
      <c r="AD389" s="184"/>
      <c r="AE389" s="51"/>
      <c r="AF389" s="52"/>
      <c r="AG389" s="41"/>
      <c r="AH389" s="45"/>
      <c r="AI389" s="28"/>
      <c r="AJ389" s="28"/>
      <c r="AK389" s="28"/>
      <c r="AL389" s="28"/>
      <c r="AM389" s="12"/>
      <c r="AN389" s="12"/>
      <c r="AO389" s="12"/>
      <c r="AP389" s="12"/>
      <c r="AQ389" s="12"/>
      <c r="AR389" s="13"/>
      <c r="AS389" s="14"/>
    </row>
    <row r="390" spans="1:45" s="16" customFormat="1" ht="30.95" hidden="1" customHeight="1" x14ac:dyDescent="0.2">
      <c r="A390" s="35"/>
      <c r="B390" s="36"/>
      <c r="C390" s="43"/>
      <c r="D390" s="29"/>
      <c r="E390" s="29"/>
      <c r="F390" s="255" t="str">
        <f>IF(D390="","",VLOOKUP(D390,契約台帳!$A$3:$K$4986,6,FALSE)&amp;VLOOKUP(D390,契約台帳!$A$3:$K$4986,7,FALSE)&amp;VLOOKUP(D390,契約台帳!$A$3:$K$4986,8,FALSE)&amp;VLOOKUP(D390,契約台帳!$A$3:$K$4986,9,FALSE)&amp;VLOOKUP(D390,契約台帳!$A$3:$K$4986,11,FALSE))</f>
        <v/>
      </c>
      <c r="G390" s="256" t="str">
        <f>IF(D390="","",VLOOKUP(F390,製品マスタ!$G$5:$H$4999,2,FALSE))</f>
        <v/>
      </c>
      <c r="H390" s="256" t="str">
        <f>IF(D390="","",VLOOKUP(F390,製品マスタ!$G$5:$K$4999,5,FALSE))</f>
        <v/>
      </c>
      <c r="I390" s="200" t="str">
        <f>IF(D390="","",VLOOKUP(F390,製品マスタ!$G$5:$L$4999,6,FALSE))</f>
        <v/>
      </c>
      <c r="J390" s="203"/>
      <c r="K390" s="200" t="str">
        <f>IF(D390="","",VLOOKUP(D390,契約台帳!$A$3:$L$4986,12,FALSE))</f>
        <v/>
      </c>
      <c r="L390" s="200" t="str">
        <f>IF(D390="","",INDEX(製品マスタ!$Q$5:$Q$4999,MATCH('S4'!F390&amp;'S4'!K390,製品マスタ!$AO$5:$AO$4999,0)))</f>
        <v/>
      </c>
      <c r="M390" s="37"/>
      <c r="N390" s="37"/>
      <c r="O390" s="153"/>
      <c r="P390" s="45"/>
      <c r="Q390" s="54"/>
      <c r="R390" s="257" t="str">
        <f ca="1">IF(D390="","",IF(OFFSET(D390,-1,0)&lt;&gt;"","",IF(OR(J390="リード付け",J390="巻足し",J390="巻返しリード付け"),M390,VLOOKUP(D390,契約台帳!$A$3:$N$4986,14,FALSE))))</f>
        <v/>
      </c>
      <c r="S390" s="258" t="str">
        <f ca="1">IF(D390="","",IF(OFFSET(D390,-1,0)&lt;&gt;"","",IF(OR(J390="リード付け",J390="巻足し",J390="巻返しリード付け"),M390,VLOOKUP(D390,契約台帳!$A$3:$O$4986,15,FALSE))))</f>
        <v/>
      </c>
      <c r="T390" s="258" t="str">
        <f ca="1">IF(D390="","",IF(J390="リード付け",N390,IF(J390="巻返しリード付け",N390,IF(J390="巻足し",N390*P390+OFFSET(N390,1,0)*OFFSET(P390,1,0),VLOOKUP(D390,契約台帳!$A$3:$P$4986,16,FALSE)))))</f>
        <v/>
      </c>
      <c r="U390" s="38"/>
      <c r="V390" s="259" t="str">
        <f ca="1">IF(D390="","",IF(OFFSET(D390,-2,0)=D390,"",VLOOKUP(D390,契約台帳!$A$3:$R$4986,18,FALSE)))</f>
        <v/>
      </c>
      <c r="W390" s="256" t="str">
        <f>IF(D390="","",IF(T390="","",IF(OR(J390="巻足し",J390="巻返しリード付け"),"",IF(J390="巻返し",VLOOKUP(F390&amp;K390&amp;M390,製品マスタ!$M$5:$AD$4999,18,FALSE),IF(OR(J390="リード付け",J390="巻返しリード付け"),"原反コア",IF(J390="スリット",VLOOKUP(F390&amp;K390&amp;R390,製品マスタ!$N$5:$AD$4999,17,FALSE),""))))))</f>
        <v/>
      </c>
      <c r="X390" s="256" t="str">
        <f>IF(D390="","",IF(T390="","",IF(J390="巻足し","",IF(J390="巻返し",VLOOKUP(F390&amp;K390&amp;M390,製品マスタ!$M$5:$AE$4999,19,FALSE),IF(OR(J390="リード付け",J390="巻返しリード付け"),"",IF(J390="スリット",VLOOKUP(F390&amp;K390&amp;R390,製品マスタ!$N$5:$AE$4999,18,FALSE),""))))))</f>
        <v/>
      </c>
      <c r="Y390" s="256" t="str">
        <f>IF(D390="","",IF(T390="","",VLOOKUP(D390,契約台帳!$A$3:$Q$4986,17,FALSE)))</f>
        <v/>
      </c>
      <c r="Z390" s="256" t="str">
        <f>IF(D390="","",IF(T390="","",VLOOKUP(D390,契約台帳!$A$3:$E$4986,5,FALSE)))</f>
        <v/>
      </c>
      <c r="AA390" s="54"/>
      <c r="AB390" s="200" t="str">
        <f>IFERROR((VLOOKUP(F390&amp;K390&amp;M390,製品マスタ!$M$5:$AM$4999,27,FALSE)),"")</f>
        <v/>
      </c>
      <c r="AC390" s="31"/>
      <c r="AD390" s="184"/>
      <c r="AE390" s="51"/>
      <c r="AF390" s="52"/>
      <c r="AG390" s="41"/>
      <c r="AH390" s="45"/>
      <c r="AI390" s="28"/>
      <c r="AJ390" s="28"/>
      <c r="AK390" s="28"/>
      <c r="AL390" s="28"/>
      <c r="AM390" s="12"/>
      <c r="AN390" s="12"/>
      <c r="AO390" s="12"/>
      <c r="AP390" s="12"/>
      <c r="AQ390" s="12"/>
      <c r="AR390" s="13"/>
      <c r="AS390" s="14"/>
    </row>
    <row r="391" spans="1:45" s="16" customFormat="1" ht="30.95" hidden="1" customHeight="1" x14ac:dyDescent="0.2">
      <c r="A391" s="35" t="s">
        <v>1014</v>
      </c>
      <c r="B391" s="36" t="s">
        <v>1008</v>
      </c>
      <c r="C391" s="43"/>
      <c r="D391" s="29"/>
      <c r="E391" s="29"/>
      <c r="F391" s="255"/>
      <c r="G391" s="256"/>
      <c r="H391" s="256"/>
      <c r="I391" s="200"/>
      <c r="J391" s="203" t="s">
        <v>490</v>
      </c>
      <c r="K391" s="200"/>
      <c r="L391" s="200"/>
      <c r="M391" s="37"/>
      <c r="N391" s="37"/>
      <c r="O391" s="153"/>
      <c r="P391" s="45"/>
      <c r="Q391" s="54"/>
      <c r="R391" s="257"/>
      <c r="S391" s="258"/>
      <c r="T391" s="258"/>
      <c r="U391" s="38"/>
      <c r="V391" s="259"/>
      <c r="W391" s="256"/>
      <c r="X391" s="256"/>
      <c r="Y391" s="256"/>
      <c r="Z391" s="256"/>
      <c r="AA391" s="54"/>
      <c r="AB391" s="200"/>
      <c r="AC391" s="31"/>
      <c r="AD391" s="184"/>
      <c r="AE391" s="51"/>
      <c r="AF391" s="52"/>
      <c r="AG391" s="41"/>
      <c r="AH391" s="45"/>
      <c r="AI391" s="28"/>
      <c r="AJ391" s="28"/>
      <c r="AK391" s="28"/>
      <c r="AL391" s="28"/>
      <c r="AM391" s="12"/>
      <c r="AN391" s="12"/>
      <c r="AO391" s="12"/>
      <c r="AP391" s="12"/>
      <c r="AQ391" s="12"/>
      <c r="AR391" s="13"/>
      <c r="AS391" s="14"/>
    </row>
    <row r="392" spans="1:45" s="16" customFormat="1" ht="30.95" hidden="1" customHeight="1" x14ac:dyDescent="0.2">
      <c r="A392" s="35"/>
      <c r="B392" s="36"/>
      <c r="C392" s="43"/>
      <c r="D392" s="29"/>
      <c r="E392" s="29"/>
      <c r="F392" s="255"/>
      <c r="G392" s="256"/>
      <c r="H392" s="256"/>
      <c r="I392" s="200"/>
      <c r="J392" s="203"/>
      <c r="K392" s="200"/>
      <c r="L392" s="200"/>
      <c r="M392" s="37"/>
      <c r="N392" s="37"/>
      <c r="O392" s="153"/>
      <c r="P392" s="45"/>
      <c r="Q392" s="54"/>
      <c r="R392" s="257"/>
      <c r="S392" s="258"/>
      <c r="T392" s="258"/>
      <c r="U392" s="38"/>
      <c r="V392" s="259"/>
      <c r="W392" s="256"/>
      <c r="X392" s="256"/>
      <c r="Y392" s="256"/>
      <c r="Z392" s="256"/>
      <c r="AA392" s="54"/>
      <c r="AB392" s="200"/>
      <c r="AC392" s="31"/>
      <c r="AD392" s="184"/>
      <c r="AE392" s="51"/>
      <c r="AF392" s="52"/>
      <c r="AG392" s="41"/>
      <c r="AH392" s="45"/>
      <c r="AI392" s="28"/>
      <c r="AJ392" s="28"/>
      <c r="AK392" s="28"/>
      <c r="AL392" s="28"/>
      <c r="AM392" s="12"/>
      <c r="AN392" s="12"/>
      <c r="AO392" s="12"/>
      <c r="AP392" s="12"/>
      <c r="AQ392" s="12"/>
      <c r="AR392" s="13"/>
      <c r="AS392" s="14"/>
    </row>
    <row r="393" spans="1:45" s="16" customFormat="1" ht="30.95" hidden="1" customHeight="1" x14ac:dyDescent="0.2">
      <c r="A393" s="35" t="s">
        <v>1015</v>
      </c>
      <c r="B393" s="36" t="s">
        <v>1010</v>
      </c>
      <c r="C393" s="43"/>
      <c r="D393" s="29"/>
      <c r="E393" s="29"/>
      <c r="F393" s="255"/>
      <c r="G393" s="256"/>
      <c r="H393" s="256"/>
      <c r="I393" s="200"/>
      <c r="J393" s="203" t="s">
        <v>490</v>
      </c>
      <c r="K393" s="200"/>
      <c r="L393" s="200"/>
      <c r="M393" s="37"/>
      <c r="N393" s="37"/>
      <c r="O393" s="153"/>
      <c r="P393" s="45"/>
      <c r="Q393" s="54"/>
      <c r="R393" s="257"/>
      <c r="S393" s="258"/>
      <c r="T393" s="258"/>
      <c r="U393" s="38"/>
      <c r="V393" s="259"/>
      <c r="W393" s="256"/>
      <c r="X393" s="256"/>
      <c r="Y393" s="256"/>
      <c r="Z393" s="256"/>
      <c r="AA393" s="54"/>
      <c r="AB393" s="200"/>
      <c r="AC393" s="31"/>
      <c r="AD393" s="184"/>
      <c r="AE393" s="51"/>
      <c r="AF393" s="52"/>
      <c r="AG393" s="41"/>
      <c r="AH393" s="45"/>
      <c r="AI393" s="28"/>
      <c r="AJ393" s="28"/>
      <c r="AK393" s="28"/>
      <c r="AL393" s="28"/>
      <c r="AM393" s="12"/>
      <c r="AN393" s="12"/>
      <c r="AO393" s="12"/>
      <c r="AP393" s="12"/>
      <c r="AQ393" s="12"/>
      <c r="AR393" s="13"/>
      <c r="AS393" s="14"/>
    </row>
    <row r="394" spans="1:45" s="16" customFormat="1" ht="30.95" hidden="1" customHeight="1" x14ac:dyDescent="0.2">
      <c r="A394" s="35"/>
      <c r="B394" s="36"/>
      <c r="C394" s="43"/>
      <c r="D394" s="29"/>
      <c r="E394" s="29"/>
      <c r="F394" s="255"/>
      <c r="G394" s="256"/>
      <c r="H394" s="256"/>
      <c r="I394" s="200"/>
      <c r="J394" s="203"/>
      <c r="K394" s="200"/>
      <c r="L394" s="200"/>
      <c r="M394" s="37"/>
      <c r="N394" s="37"/>
      <c r="O394" s="153"/>
      <c r="P394" s="45"/>
      <c r="Q394" s="54"/>
      <c r="R394" s="257"/>
      <c r="S394" s="258"/>
      <c r="T394" s="258"/>
      <c r="U394" s="38"/>
      <c r="V394" s="259"/>
      <c r="W394" s="256"/>
      <c r="X394" s="256"/>
      <c r="Y394" s="256"/>
      <c r="Z394" s="256"/>
      <c r="AA394" s="54"/>
      <c r="AB394" s="200"/>
      <c r="AC394" s="31"/>
      <c r="AD394" s="184"/>
      <c r="AE394" s="51"/>
      <c r="AF394" s="52"/>
      <c r="AG394" s="41"/>
      <c r="AH394" s="45"/>
      <c r="AI394" s="28"/>
      <c r="AJ394" s="28"/>
      <c r="AK394" s="28"/>
      <c r="AL394" s="28"/>
      <c r="AM394" s="12"/>
      <c r="AN394" s="12"/>
      <c r="AO394" s="12"/>
      <c r="AP394" s="12"/>
      <c r="AQ394" s="12"/>
      <c r="AR394" s="13"/>
      <c r="AS394" s="14"/>
    </row>
    <row r="395" spans="1:45" s="16" customFormat="1" ht="30.95" hidden="1" customHeight="1" x14ac:dyDescent="0.2">
      <c r="A395" s="35" t="s">
        <v>973</v>
      </c>
      <c r="B395" s="36" t="s">
        <v>959</v>
      </c>
      <c r="C395" s="43"/>
      <c r="D395" s="29"/>
      <c r="E395" s="29"/>
      <c r="F395" s="255" t="str">
        <f>IF(D395="","",VLOOKUP(D395,契約台帳!$A$3:$K$4986,6,FALSE)&amp;VLOOKUP(D395,契約台帳!$A$3:$K$4986,7,FALSE)&amp;VLOOKUP(D395,契約台帳!$A$3:$K$4986,8,FALSE)&amp;VLOOKUP(D395,契約台帳!$A$3:$K$4986,9,FALSE)&amp;VLOOKUP(D395,契約台帳!$A$3:$K$4986,11,FALSE))</f>
        <v/>
      </c>
      <c r="G395" s="256" t="str">
        <f>IF(D395="","",VLOOKUP(F395,製品マスタ!$G$5:$H$4999,2,FALSE))</f>
        <v/>
      </c>
      <c r="H395" s="256" t="str">
        <f>IF(D395="","",VLOOKUP(F395,製品マスタ!$G$5:$K$4999,5,FALSE))</f>
        <v/>
      </c>
      <c r="I395" s="200" t="str">
        <f>IF(D395="","",VLOOKUP(F395,製品マスタ!$G$5:$L$4999,6,FALSE))</f>
        <v/>
      </c>
      <c r="J395" s="203" t="s">
        <v>448</v>
      </c>
      <c r="K395" s="200" t="str">
        <f>IF(D395="","",VLOOKUP(D395,契約台帳!$A$3:$L$4986,12,FALSE))</f>
        <v/>
      </c>
      <c r="L395" s="200" t="str">
        <f>IF(D395="","",INDEX(製品マスタ!$Q$5:$Q$4999,MATCH('S4'!F395&amp;'S4'!K395,製品マスタ!$AO$5:$AO$4999,0)))</f>
        <v/>
      </c>
      <c r="M395" s="37"/>
      <c r="N395" s="37"/>
      <c r="O395" s="153"/>
      <c r="P395" s="45"/>
      <c r="Q395" s="54"/>
      <c r="R395" s="257" t="str">
        <f ca="1">IF(D395="","",IF(OFFSET(D395,-1,0)&lt;&gt;"","",IF(OR(J395="リード付け",J395="巻足し",J395="巻返しリード付け"),M395,VLOOKUP(D395,契約台帳!$A$3:$N$4986,14,FALSE))))</f>
        <v/>
      </c>
      <c r="S395" s="258" t="str">
        <f ca="1">IF(D395="","",IF(OFFSET(D395,-1,0)&lt;&gt;"","",IF(OR(J395="リード付け",J395="巻足し",J395="巻返しリード付け"),M395,VLOOKUP(D395,契約台帳!$A$3:$O$4986,15,FALSE))))</f>
        <v/>
      </c>
      <c r="T395" s="258" t="str">
        <f ca="1">IF(D395="","",IF(J395="リード付け",N395,IF(J395="巻返しリード付け",N395,IF(J395="巻足し",N395*P395+OFFSET(N395,1,0)*OFFSET(P395,1,0),VLOOKUP(D395,契約台帳!$A$3:$P$4986,16,FALSE)))))</f>
        <v/>
      </c>
      <c r="U395" s="38"/>
      <c r="V395" s="259" t="str">
        <f ca="1">IF(D395="","",IF(OFFSET(D395,-2,0)=D395,"",VLOOKUP(D395,契約台帳!$A$3:$R$4986,18,FALSE)))</f>
        <v/>
      </c>
      <c r="W395" s="256" t="str">
        <f>IF(D395="","",IF(T395="","",IF(OR(J395="巻足し",J395="巻返しリード付け"),"",IF(J395="巻返し",VLOOKUP(F395&amp;K395&amp;M395,製品マスタ!$M$5:$AD$4999,18,FALSE),IF(OR(J395="リード付け",J395="巻返しリード付け"),"原反コア",IF(J395="スリット",VLOOKUP(F395&amp;K395&amp;R395,製品マスタ!$N$5:$AD$4999,17,FALSE),""))))))</f>
        <v/>
      </c>
      <c r="X395" s="256" t="str">
        <f>IF(D395="","",IF(T395="","",IF(J395="巻足し","",IF(J395="巻返し",VLOOKUP(F395&amp;K395&amp;M395,製品マスタ!$M$5:$AE$4999,19,FALSE),IF(OR(J395="リード付け",J395="巻返しリード付け"),"",IF(J395="スリット",VLOOKUP(F395&amp;K395&amp;R395,製品マスタ!$N$5:$AE$4999,18,FALSE),""))))))</f>
        <v/>
      </c>
      <c r="Y395" s="256" t="str">
        <f>IF(D395="","",IF(T395="","",VLOOKUP(D395,契約台帳!$A$3:$Q$4986,17,FALSE)))</f>
        <v/>
      </c>
      <c r="Z395" s="256" t="str">
        <f>IF(D395="","",IF(T395="","",VLOOKUP(D395,契約台帳!$A$3:$E$4986,5,FALSE)))</f>
        <v/>
      </c>
      <c r="AA395" s="54"/>
      <c r="AB395" s="200" t="str">
        <f>IFERROR((VLOOKUP(F395&amp;K395&amp;M395,製品マスタ!$M$5:$AM$4999,27,FALSE)),"")</f>
        <v/>
      </c>
      <c r="AC395" s="31"/>
      <c r="AD395" s="184"/>
      <c r="AE395" s="51"/>
      <c r="AF395" s="52"/>
      <c r="AG395" s="41"/>
      <c r="AH395" s="45"/>
      <c r="AI395" s="28"/>
      <c r="AJ395" s="28"/>
      <c r="AK395" s="28"/>
      <c r="AL395" s="28"/>
      <c r="AM395" s="12"/>
      <c r="AN395" s="12"/>
      <c r="AO395" s="12"/>
      <c r="AP395" s="12"/>
      <c r="AQ395" s="12"/>
      <c r="AR395" s="13"/>
      <c r="AS395" s="14"/>
    </row>
    <row r="396" spans="1:45" s="16" customFormat="1" ht="30.95" hidden="1" customHeight="1" x14ac:dyDescent="0.2">
      <c r="A396" s="35"/>
      <c r="B396" s="36"/>
      <c r="C396" s="43"/>
      <c r="D396" s="29"/>
      <c r="E396" s="29"/>
      <c r="F396" s="255" t="str">
        <f>IF(D396="","",VLOOKUP(D396,契約台帳!$A$3:$K$4986,6,FALSE)&amp;VLOOKUP(D396,契約台帳!$A$3:$K$4986,7,FALSE)&amp;VLOOKUP(D396,契約台帳!$A$3:$K$4986,8,FALSE)&amp;VLOOKUP(D396,契約台帳!$A$3:$K$4986,9,FALSE)&amp;VLOOKUP(D396,契約台帳!$A$3:$K$4986,11,FALSE))</f>
        <v/>
      </c>
      <c r="G396" s="256" t="str">
        <f>IF(D396="","",VLOOKUP(F396,製品マスタ!$G$5:$H$4999,2,FALSE))</f>
        <v/>
      </c>
      <c r="H396" s="256" t="str">
        <f>IF(D396="","",VLOOKUP(F396,製品マスタ!$G$5:$K$4999,5,FALSE))</f>
        <v/>
      </c>
      <c r="I396" s="200" t="str">
        <f>IF(D396="","",VLOOKUP(F396,製品マスタ!$G$5:$L$4999,6,FALSE))</f>
        <v/>
      </c>
      <c r="J396" s="203"/>
      <c r="K396" s="200" t="str">
        <f>IF(D396="","",VLOOKUP(D396,契約台帳!$A$3:$L$4986,12,FALSE))</f>
        <v/>
      </c>
      <c r="L396" s="200" t="str">
        <f>IF(D396="","",INDEX(製品マスタ!$Q$5:$Q$4999,MATCH('S4'!F396&amp;'S4'!K396,製品マスタ!$AO$5:$AO$4999,0)))</f>
        <v/>
      </c>
      <c r="M396" s="37"/>
      <c r="N396" s="37"/>
      <c r="O396" s="153"/>
      <c r="P396" s="45"/>
      <c r="Q396" s="54"/>
      <c r="R396" s="257" t="str">
        <f ca="1">IF(D396="","",IF(OFFSET(D396,-1,0)&lt;&gt;"","",IF(OR(J396="リード付け",J396="巻足し",J396="巻返しリード付け"),M396,VLOOKUP(D396,契約台帳!$A$3:$N$4986,14,FALSE))))</f>
        <v/>
      </c>
      <c r="S396" s="258" t="str">
        <f ca="1">IF(D396="","",IF(OFFSET(D396,-1,0)&lt;&gt;"","",IF(OR(J396="リード付け",J396="巻足し",J396="巻返しリード付け"),M396,VLOOKUP(D396,契約台帳!$A$3:$O$4986,15,FALSE))))</f>
        <v/>
      </c>
      <c r="T396" s="258" t="str">
        <f ca="1">IF(D396="","",IF(J396="リード付け",N396,IF(J396="巻返しリード付け",N396,IF(J396="巻足し",N396*P396+OFFSET(N396,1,0)*OFFSET(P396,1,0),VLOOKUP(D396,契約台帳!$A$3:$P$4986,16,FALSE)))))</f>
        <v/>
      </c>
      <c r="U396" s="38"/>
      <c r="V396" s="259" t="str">
        <f ca="1">IF(D396="","",IF(OFFSET(D396,-2,0)=D396,"",VLOOKUP(D396,契約台帳!$A$3:$R$4986,18,FALSE)))</f>
        <v/>
      </c>
      <c r="W396" s="256" t="str">
        <f>IF(D396="","",IF(T396="","",IF(OR(J396="巻足し",J396="巻返しリード付け"),"",IF(J396="巻返し",VLOOKUP(F396&amp;K396&amp;M396,製品マスタ!$M$5:$AD$4999,18,FALSE),IF(OR(J396="リード付け",J396="巻返しリード付け"),"原反コア",IF(J396="スリット",VLOOKUP(F396&amp;K396&amp;R396,製品マスタ!$N$5:$AD$4999,17,FALSE),""))))))</f>
        <v/>
      </c>
      <c r="X396" s="256" t="str">
        <f>IF(D396="","",IF(T396="","",IF(J396="巻足し","",IF(J396="巻返し",VLOOKUP(F396&amp;K396&amp;M396,製品マスタ!$M$5:$AE$4999,19,FALSE),IF(OR(J396="リード付け",J396="巻返しリード付け"),"",IF(J396="スリット",VLOOKUP(F396&amp;K396&amp;R396,製品マスタ!$N$5:$AE$4999,18,FALSE),""))))))</f>
        <v/>
      </c>
      <c r="Y396" s="256" t="str">
        <f>IF(D396="","",IF(T396="","",VLOOKUP(D396,契約台帳!$A$3:$Q$4986,17,FALSE)))</f>
        <v/>
      </c>
      <c r="Z396" s="256" t="str">
        <f>IF(D396="","",IF(T396="","",VLOOKUP(D396,契約台帳!$A$3:$E$4986,5,FALSE)))</f>
        <v/>
      </c>
      <c r="AA396" s="54"/>
      <c r="AB396" s="200" t="str">
        <f>IFERROR((VLOOKUP(F396&amp;K396&amp;M396,製品マスタ!$M$5:$AM$4999,27,FALSE)),"")</f>
        <v/>
      </c>
      <c r="AC396" s="31"/>
      <c r="AD396" s="184"/>
      <c r="AE396" s="51"/>
      <c r="AF396" s="52"/>
      <c r="AG396" s="41"/>
      <c r="AH396" s="45"/>
      <c r="AI396" s="28"/>
      <c r="AJ396" s="28"/>
      <c r="AK396" s="28"/>
      <c r="AL396" s="28"/>
      <c r="AM396" s="12"/>
      <c r="AN396" s="12"/>
      <c r="AO396" s="12"/>
      <c r="AP396" s="12"/>
      <c r="AQ396" s="12"/>
      <c r="AR396" s="13"/>
      <c r="AS396" s="14"/>
    </row>
    <row r="397" spans="1:45" s="16" customFormat="1" ht="30.95" hidden="1" customHeight="1" x14ac:dyDescent="0.2">
      <c r="A397" s="35" t="s">
        <v>974</v>
      </c>
      <c r="B397" s="36" t="s">
        <v>960</v>
      </c>
      <c r="C397" s="43"/>
      <c r="D397" s="29"/>
      <c r="E397" s="29"/>
      <c r="F397" s="255" t="str">
        <f>IF(D397="","",VLOOKUP(D397,契約台帳!$A$3:$K$4986,6,FALSE)&amp;VLOOKUP(D397,契約台帳!$A$3:$K$4986,7,FALSE)&amp;VLOOKUP(D397,契約台帳!$A$3:$K$4986,8,FALSE)&amp;VLOOKUP(D397,契約台帳!$A$3:$K$4986,9,FALSE)&amp;VLOOKUP(D397,契約台帳!$A$3:$K$4986,11,FALSE))</f>
        <v/>
      </c>
      <c r="G397" s="256" t="str">
        <f>IF(D397="","",VLOOKUP(F397,製品マスタ!$G$5:$H$4999,2,FALSE))</f>
        <v/>
      </c>
      <c r="H397" s="256" t="str">
        <f>IF(D397="","",VLOOKUP(F397,製品マスタ!$G$5:$K$4999,5,FALSE))</f>
        <v/>
      </c>
      <c r="I397" s="200" t="str">
        <f>IF(D397="","",VLOOKUP(F397,製品マスタ!$G$5:$L$4999,6,FALSE))</f>
        <v/>
      </c>
      <c r="J397" s="203" t="s">
        <v>448</v>
      </c>
      <c r="K397" s="200" t="str">
        <f>IF(D397="","",VLOOKUP(D397,契約台帳!$A$3:$L$4986,12,FALSE))</f>
        <v/>
      </c>
      <c r="L397" s="200" t="str">
        <f>IF(D397="","",INDEX(製品マスタ!$Q$5:$Q$4999,MATCH('S4'!F397&amp;'S4'!K397,製品マスタ!$AO$5:$AO$4999,0)))</f>
        <v/>
      </c>
      <c r="M397" s="37"/>
      <c r="N397" s="37"/>
      <c r="O397" s="153"/>
      <c r="P397" s="45"/>
      <c r="Q397" s="54"/>
      <c r="R397" s="257" t="str">
        <f ca="1">IF(D397="","",IF(OFFSET(D397,-1,0)&lt;&gt;"","",IF(OR(J397="リード付け",J397="巻足し",J397="巻返しリード付け"),M397,VLOOKUP(D397,契約台帳!$A$3:$N$4986,14,FALSE))))</f>
        <v/>
      </c>
      <c r="S397" s="258" t="str">
        <f ca="1">IF(D397="","",IF(OFFSET(D397,-1,0)&lt;&gt;"","",IF(OR(J397="リード付け",J397="巻足し",J397="巻返しリード付け"),M397,VLOOKUP(D397,契約台帳!$A$3:$O$4986,15,FALSE))))</f>
        <v/>
      </c>
      <c r="T397" s="258" t="str">
        <f ca="1">IF(D397="","",IF(J397="リード付け",N397,IF(J397="巻返しリード付け",N397,IF(J397="巻足し",N397*P397+OFFSET(N397,1,0)*OFFSET(P397,1,0),VLOOKUP(D397,契約台帳!$A$3:$P$4986,16,FALSE)))))</f>
        <v/>
      </c>
      <c r="U397" s="38"/>
      <c r="V397" s="259" t="str">
        <f ca="1">IF(D397="","",IF(OFFSET(D397,-2,0)=D397,"",VLOOKUP(D397,契約台帳!$A$3:$R$4986,18,FALSE)))</f>
        <v/>
      </c>
      <c r="W397" s="256" t="str">
        <f>IF(D397="","",IF(T397="","",IF(OR(J397="巻足し",J397="巻返しリード付け"),"",IF(J397="巻返し",VLOOKUP(F397&amp;K397&amp;M397,製品マスタ!$M$5:$AD$4999,18,FALSE),IF(OR(J397="リード付け",J397="巻返しリード付け"),"原反コア",IF(J397="スリット",VLOOKUP(F397&amp;K397&amp;R397,製品マスタ!$N$5:$AD$4999,17,FALSE),""))))))</f>
        <v/>
      </c>
      <c r="X397" s="256" t="str">
        <f>IF(D397="","",IF(T397="","",IF(J397="巻足し","",IF(J397="巻返し",VLOOKUP(F397&amp;K397&amp;M397,製品マスタ!$M$5:$AE$4999,19,FALSE),IF(OR(J397="リード付け",J397="巻返しリード付け"),"",IF(J397="スリット",VLOOKUP(F397&amp;K397&amp;R397,製品マスタ!$N$5:$AE$4999,18,FALSE),""))))))</f>
        <v/>
      </c>
      <c r="Y397" s="256" t="str">
        <f>IF(D397="","",IF(T397="","",VLOOKUP(D397,契約台帳!$A$3:$Q$4986,17,FALSE)))</f>
        <v/>
      </c>
      <c r="Z397" s="256" t="str">
        <f>IF(D397="","",IF(T397="","",VLOOKUP(D397,契約台帳!$A$3:$E$4986,5,FALSE)))</f>
        <v/>
      </c>
      <c r="AA397" s="54"/>
      <c r="AB397" s="200" t="str">
        <f>IFERROR((VLOOKUP(F397&amp;K397&amp;M397,製品マスタ!$M$5:$AM$4999,27,FALSE)),"")</f>
        <v/>
      </c>
      <c r="AC397" s="31"/>
      <c r="AD397" s="184"/>
      <c r="AE397" s="51"/>
      <c r="AF397" s="52"/>
      <c r="AG397" s="41"/>
      <c r="AH397" s="45"/>
      <c r="AI397" s="28"/>
      <c r="AJ397" s="28"/>
      <c r="AK397" s="28"/>
      <c r="AL397" s="28"/>
      <c r="AM397" s="12"/>
      <c r="AN397" s="12"/>
      <c r="AO397" s="12"/>
      <c r="AP397" s="12"/>
      <c r="AQ397" s="12"/>
      <c r="AR397" s="13"/>
      <c r="AS397" s="14"/>
    </row>
    <row r="398" spans="1:45" s="16" customFormat="1" ht="30.95" hidden="1" customHeight="1" x14ac:dyDescent="0.2">
      <c r="A398" s="35"/>
      <c r="B398" s="36"/>
      <c r="C398" s="43"/>
      <c r="D398" s="29"/>
      <c r="E398" s="29"/>
      <c r="F398" s="255" t="str">
        <f>IF(D398="","",VLOOKUP(D398,契約台帳!$A$3:$K$4986,6,FALSE)&amp;VLOOKUP(D398,契約台帳!$A$3:$K$4986,7,FALSE)&amp;VLOOKUP(D398,契約台帳!$A$3:$K$4986,8,FALSE)&amp;VLOOKUP(D398,契約台帳!$A$3:$K$4986,9,FALSE)&amp;VLOOKUP(D398,契約台帳!$A$3:$K$4986,11,FALSE))</f>
        <v/>
      </c>
      <c r="G398" s="256" t="str">
        <f>IF(D398="","",VLOOKUP(F398,製品マスタ!$G$5:$H$4999,2,FALSE))</f>
        <v/>
      </c>
      <c r="H398" s="256" t="str">
        <f>IF(D398="","",VLOOKUP(F398,製品マスタ!$G$5:$K$4999,5,FALSE))</f>
        <v/>
      </c>
      <c r="I398" s="200" t="str">
        <f>IF(D398="","",VLOOKUP(F398,製品マスタ!$G$5:$L$4999,6,FALSE))</f>
        <v/>
      </c>
      <c r="J398" s="203"/>
      <c r="K398" s="200" t="str">
        <f>IF(D398="","",VLOOKUP(D398,契約台帳!$A$3:$L$4986,12,FALSE))</f>
        <v/>
      </c>
      <c r="L398" s="200" t="str">
        <f>IF(D398="","",INDEX(製品マスタ!$Q$5:$Q$4999,MATCH('S4'!F398&amp;'S4'!K398,製品マスタ!$AO$5:$AO$4999,0)))</f>
        <v/>
      </c>
      <c r="M398" s="37"/>
      <c r="N398" s="37"/>
      <c r="O398" s="153"/>
      <c r="P398" s="45"/>
      <c r="Q398" s="54"/>
      <c r="R398" s="257" t="str">
        <f ca="1">IF(D398="","",IF(OFFSET(D398,-1,0)&lt;&gt;"","",IF(OR(J398="リード付け",J398="巻足し",J398="巻返しリード付け"),M398,VLOOKUP(D398,契約台帳!$A$3:$N$4986,14,FALSE))))</f>
        <v/>
      </c>
      <c r="S398" s="258" t="str">
        <f ca="1">IF(D398="","",IF(OFFSET(D398,-1,0)&lt;&gt;"","",IF(OR(J398="リード付け",J398="巻足し",J398="巻返しリード付け"),M398,VLOOKUP(D398,契約台帳!$A$3:$O$4986,15,FALSE))))</f>
        <v/>
      </c>
      <c r="T398" s="258" t="str">
        <f ca="1">IF(D398="","",IF(J398="リード付け",N398,IF(J398="巻返しリード付け",N398,IF(J398="巻足し",N398*P398+OFFSET(N398,1,0)*OFFSET(P398,1,0),VLOOKUP(D398,契約台帳!$A$3:$P$4986,16,FALSE)))))</f>
        <v/>
      </c>
      <c r="U398" s="38"/>
      <c r="V398" s="259" t="str">
        <f ca="1">IF(D398="","",IF(OFFSET(D398,-2,0)=D398,"",VLOOKUP(D398,契約台帳!$A$3:$R$4986,18,FALSE)))</f>
        <v/>
      </c>
      <c r="W398" s="256" t="str">
        <f>IF(D398="","",IF(T398="","",IF(OR(J398="巻足し",J398="巻返しリード付け"),"",IF(J398="巻返し",VLOOKUP(F398&amp;K398&amp;M398,製品マスタ!$M$5:$AD$4999,18,FALSE),IF(OR(J398="リード付け",J398="巻返しリード付け"),"原反コア",IF(J398="スリット",VLOOKUP(F398&amp;K398&amp;R398,製品マスタ!$N$5:$AD$4999,17,FALSE),""))))))</f>
        <v/>
      </c>
      <c r="X398" s="256" t="str">
        <f>IF(D398="","",IF(T398="","",IF(J398="巻足し","",IF(J398="巻返し",VLOOKUP(F398&amp;K398&amp;M398,製品マスタ!$M$5:$AE$4999,19,FALSE),IF(OR(J398="リード付け",J398="巻返しリード付け"),"",IF(J398="スリット",VLOOKUP(F398&amp;K398&amp;R398,製品マスタ!$N$5:$AE$4999,18,FALSE),""))))))</f>
        <v/>
      </c>
      <c r="Y398" s="256" t="str">
        <f>IF(D398="","",IF(T398="","",VLOOKUP(D398,契約台帳!$A$3:$Q$4986,17,FALSE)))</f>
        <v/>
      </c>
      <c r="Z398" s="256" t="str">
        <f>IF(D398="","",IF(T398="","",VLOOKUP(D398,契約台帳!$A$3:$E$4986,5,FALSE)))</f>
        <v/>
      </c>
      <c r="AA398" s="54"/>
      <c r="AB398" s="200" t="str">
        <f>IFERROR((VLOOKUP(F398&amp;K398&amp;M398,製品マスタ!$M$5:$AM$4999,27,FALSE)),"")</f>
        <v/>
      </c>
      <c r="AC398" s="31"/>
      <c r="AD398" s="184"/>
      <c r="AE398" s="51"/>
      <c r="AF398" s="52"/>
      <c r="AG398" s="41"/>
      <c r="AH398" s="45"/>
      <c r="AI398" s="28"/>
      <c r="AJ398" s="28"/>
      <c r="AK398" s="28"/>
      <c r="AL398" s="28"/>
      <c r="AM398" s="12"/>
      <c r="AN398" s="12"/>
      <c r="AO398" s="12"/>
      <c r="AP398" s="12"/>
      <c r="AQ398" s="12"/>
      <c r="AR398" s="13"/>
      <c r="AS398" s="14"/>
    </row>
    <row r="399" spans="1:45" s="16" customFormat="1" ht="30.95" hidden="1" customHeight="1" x14ac:dyDescent="0.2">
      <c r="A399" s="35" t="s">
        <v>975</v>
      </c>
      <c r="B399" s="36" t="s">
        <v>961</v>
      </c>
      <c r="C399" s="43"/>
      <c r="D399" s="29"/>
      <c r="E399" s="29"/>
      <c r="F399" s="255" t="str">
        <f>IF(D399="","",VLOOKUP(D399,契約台帳!$A$3:$K$4986,6,FALSE)&amp;VLOOKUP(D399,契約台帳!$A$3:$K$4986,7,FALSE)&amp;VLOOKUP(D399,契約台帳!$A$3:$K$4986,8,FALSE)&amp;VLOOKUP(D399,契約台帳!$A$3:$K$4986,9,FALSE)&amp;VLOOKUP(D399,契約台帳!$A$3:$K$4986,11,FALSE))</f>
        <v/>
      </c>
      <c r="G399" s="256" t="str">
        <f>IF(D399="","",VLOOKUP(F399,製品マスタ!$G$5:$H$4999,2,FALSE))</f>
        <v/>
      </c>
      <c r="H399" s="256" t="str">
        <f>IF(D399="","",VLOOKUP(F399,製品マスタ!$G$5:$K$4999,5,FALSE))</f>
        <v/>
      </c>
      <c r="I399" s="200" t="str">
        <f>IF(D399="","",VLOOKUP(F399,製品マスタ!$G$5:$L$4999,6,FALSE))</f>
        <v/>
      </c>
      <c r="J399" s="203" t="s">
        <v>1001</v>
      </c>
      <c r="K399" s="200" t="str">
        <f>IF(D399="","",VLOOKUP(D399,契約台帳!$A$3:$L$4986,12,FALSE))</f>
        <v/>
      </c>
      <c r="L399" s="200" t="str">
        <f>IF(D399="","",INDEX(製品マスタ!$Q$5:$Q$4999,MATCH('S4'!F399&amp;'S4'!K399,製品マスタ!$AO$5:$AO$4999,0)))</f>
        <v/>
      </c>
      <c r="M399" s="37"/>
      <c r="N399" s="37"/>
      <c r="O399" s="153"/>
      <c r="P399" s="45"/>
      <c r="Q399" s="54"/>
      <c r="R399" s="257" t="str">
        <f ca="1">IF(D399="","",IF(OFFSET(D399,-1,0)&lt;&gt;"","",IF(OR(J399="リード付け",J399="巻足し",J399="巻返しリード付け"),M399,VLOOKUP(D399,契約台帳!$A$3:$N$4986,14,FALSE))))</f>
        <v/>
      </c>
      <c r="S399" s="258" t="str">
        <f ca="1">IF(D399="","",IF(OFFSET(D399,-1,0)&lt;&gt;"","",IF(OR(J399="リード付け",J399="巻足し",J399="巻返しリード付け"),M399,VLOOKUP(D399,契約台帳!$A$3:$O$4986,15,FALSE))))</f>
        <v/>
      </c>
      <c r="T399" s="258" t="str">
        <f ca="1">IF(D399="","",IF(J399="リード付け",N399,IF(J399="巻返しリード付け",N399,IF(J399="巻足し",N399*P399+OFFSET(N399,1,0)*OFFSET(P399,1,0),VLOOKUP(D399,契約台帳!$A$3:$P$4986,16,FALSE)))))</f>
        <v/>
      </c>
      <c r="U399" s="38"/>
      <c r="V399" s="259" t="str">
        <f ca="1">IF(D399="","",IF(OFFSET(D399,-2,0)=D399,"",VLOOKUP(D399,契約台帳!$A$3:$R$4986,18,FALSE)))</f>
        <v/>
      </c>
      <c r="W399" s="256" t="str">
        <f>IF(D399="","",IF(T399="","",IF(OR(J399="巻足し",J399="巻返しリード付け"),"",IF(J399="巻返し",VLOOKUP(F399&amp;K399&amp;M399,製品マスタ!$M$5:$AD$4999,18,FALSE),IF(OR(J399="リード付け",J399="巻返しリード付け"),"原反コア",IF(J399="スリット",VLOOKUP(F399&amp;K399&amp;R399,製品マスタ!$N$5:$AD$4999,17,FALSE),""))))))</f>
        <v/>
      </c>
      <c r="X399" s="256" t="str">
        <f>IF(D399="","",IF(T399="","",IF(J399="巻足し","",IF(J399="巻返し",VLOOKUP(F399&amp;K399&amp;M399,製品マスタ!$M$5:$AE$4999,19,FALSE),IF(OR(J399="リード付け",J399="巻返しリード付け"),"",IF(J399="スリット",VLOOKUP(F399&amp;K399&amp;R399,製品マスタ!$N$5:$AE$4999,18,FALSE),""))))))</f>
        <v/>
      </c>
      <c r="Y399" s="256" t="str">
        <f>IF(D399="","",IF(T399="","",VLOOKUP(D399,契約台帳!$A$3:$Q$4986,17,FALSE)))</f>
        <v/>
      </c>
      <c r="Z399" s="256" t="str">
        <f>IF(D399="","",IF(T399="","",VLOOKUP(D399,契約台帳!$A$3:$E$4986,5,FALSE)))</f>
        <v/>
      </c>
      <c r="AA399" s="54"/>
      <c r="AB399" s="200" t="str">
        <f>IFERROR((VLOOKUP(F399&amp;K399&amp;M399,製品マスタ!$M$5:$AM$4999,27,FALSE)),"")</f>
        <v/>
      </c>
      <c r="AC399" s="31"/>
      <c r="AD399" s="184"/>
      <c r="AE399" s="51"/>
      <c r="AF399" s="52"/>
      <c r="AG399" s="41"/>
      <c r="AH399" s="45"/>
      <c r="AI399" s="28"/>
      <c r="AJ399" s="28"/>
      <c r="AK399" s="28"/>
      <c r="AL399" s="28"/>
      <c r="AM399" s="12"/>
      <c r="AN399" s="12"/>
      <c r="AO399" s="12"/>
      <c r="AP399" s="12"/>
      <c r="AQ399" s="12"/>
      <c r="AR399" s="13"/>
      <c r="AS399" s="14"/>
    </row>
    <row r="400" spans="1:45" s="16" customFormat="1" ht="30.95" hidden="1" customHeight="1" x14ac:dyDescent="0.2">
      <c r="A400" s="35"/>
      <c r="B400" s="36"/>
      <c r="C400" s="43"/>
      <c r="D400" s="29"/>
      <c r="E400" s="29"/>
      <c r="F400" s="255" t="str">
        <f>IF(D400="","",VLOOKUP(D400,契約台帳!$A$3:$K$4986,6,FALSE)&amp;VLOOKUP(D400,契約台帳!$A$3:$K$4986,7,FALSE)&amp;VLOOKUP(D400,契約台帳!$A$3:$K$4986,8,FALSE)&amp;VLOOKUP(D400,契約台帳!$A$3:$K$4986,9,FALSE)&amp;VLOOKUP(D400,契約台帳!$A$3:$K$4986,11,FALSE))</f>
        <v/>
      </c>
      <c r="G400" s="256" t="str">
        <f>IF(D400="","",VLOOKUP(F400,製品マスタ!$G$5:$H$4999,2,FALSE))</f>
        <v/>
      </c>
      <c r="H400" s="256" t="str">
        <f>IF(D400="","",VLOOKUP(F400,製品マスタ!$G$5:$K$4999,5,FALSE))</f>
        <v/>
      </c>
      <c r="I400" s="200" t="str">
        <f>IF(D400="","",VLOOKUP(F400,製品マスタ!$G$5:$L$4999,6,FALSE))</f>
        <v/>
      </c>
      <c r="J400" s="203"/>
      <c r="K400" s="200" t="str">
        <f>IF(D400="","",VLOOKUP(D400,契約台帳!$A$3:$L$4986,12,FALSE))</f>
        <v/>
      </c>
      <c r="L400" s="200" t="str">
        <f>IF(D400="","",INDEX(製品マスタ!$Q$5:$Q$4999,MATCH('S4'!F400&amp;'S4'!K400,製品マスタ!$AO$5:$AO$4999,0)))</f>
        <v/>
      </c>
      <c r="M400" s="37"/>
      <c r="N400" s="37"/>
      <c r="O400" s="153"/>
      <c r="P400" s="45"/>
      <c r="Q400" s="54"/>
      <c r="R400" s="257" t="str">
        <f ca="1">IF(D400="","",IF(OFFSET(D400,-1,0)&lt;&gt;"","",IF(OR(J400="リード付け",J400="巻足し",J400="巻返しリード付け"),M400,VLOOKUP(D400,契約台帳!$A$3:$N$4986,14,FALSE))))</f>
        <v/>
      </c>
      <c r="S400" s="258" t="str">
        <f ca="1">IF(D400="","",IF(OFFSET(D400,-1,0)&lt;&gt;"","",IF(OR(J400="リード付け",J400="巻足し",J400="巻返しリード付け"),M400,VLOOKUP(D400,契約台帳!$A$3:$O$4986,15,FALSE))))</f>
        <v/>
      </c>
      <c r="T400" s="258" t="str">
        <f ca="1">IF(D400="","",IF(J400="リード付け",N400,IF(J400="巻返しリード付け",N400,IF(J400="巻足し",N400*P400+OFFSET(N400,1,0)*OFFSET(P400,1,0),VLOOKUP(D400,契約台帳!$A$3:$P$4986,16,FALSE)))))</f>
        <v/>
      </c>
      <c r="U400" s="38"/>
      <c r="V400" s="259" t="str">
        <f ca="1">IF(D400="","",IF(OFFSET(D400,-2,0)=D400,"",VLOOKUP(D400,契約台帳!$A$3:$R$4986,18,FALSE)))</f>
        <v/>
      </c>
      <c r="W400" s="256" t="str">
        <f>IF(D400="","",IF(T400="","",IF(OR(J400="巻足し",J400="巻返しリード付け"),"",IF(J400="巻返し",VLOOKUP(F400&amp;K400&amp;M400,製品マスタ!$M$5:$AD$4999,18,FALSE),IF(OR(J400="リード付け",J400="巻返しリード付け"),"原反コア",IF(J400="スリット",VLOOKUP(F400&amp;K400&amp;R400,製品マスタ!$N$5:$AD$4999,17,FALSE),""))))))</f>
        <v/>
      </c>
      <c r="X400" s="256" t="str">
        <f>IF(D400="","",IF(T400="","",IF(J400="巻足し","",IF(J400="巻返し",VLOOKUP(F400&amp;K400&amp;M400,製品マスタ!$M$5:$AE$4999,19,FALSE),IF(OR(J400="リード付け",J400="巻返しリード付け"),"",IF(J400="スリット",VLOOKUP(F400&amp;K400&amp;R400,製品マスタ!$N$5:$AE$4999,18,FALSE),""))))))</f>
        <v/>
      </c>
      <c r="Y400" s="256" t="str">
        <f>IF(D400="","",IF(T400="","",VLOOKUP(D400,契約台帳!$A$3:$Q$4986,17,FALSE)))</f>
        <v/>
      </c>
      <c r="Z400" s="256" t="str">
        <f>IF(D400="","",IF(T400="","",VLOOKUP(D400,契約台帳!$A$3:$E$4986,5,FALSE)))</f>
        <v/>
      </c>
      <c r="AA400" s="54"/>
      <c r="AB400" s="200" t="str">
        <f>IFERROR((VLOOKUP(F400&amp;K400&amp;M400,製品マスタ!$M$5:$AM$4999,27,FALSE)),"")</f>
        <v/>
      </c>
      <c r="AC400" s="31"/>
      <c r="AD400" s="184"/>
      <c r="AE400" s="51"/>
      <c r="AF400" s="52"/>
      <c r="AG400" s="41"/>
      <c r="AH400" s="45"/>
      <c r="AI400" s="28"/>
      <c r="AJ400" s="28"/>
      <c r="AK400" s="28"/>
      <c r="AL400" s="28"/>
      <c r="AM400" s="12"/>
      <c r="AN400" s="12"/>
      <c r="AO400" s="12"/>
      <c r="AP400" s="12"/>
      <c r="AQ400" s="12"/>
      <c r="AR400" s="13"/>
      <c r="AS400" s="14"/>
    </row>
    <row r="401" spans="1:45" s="16" customFormat="1" ht="30.95" hidden="1" customHeight="1" x14ac:dyDescent="0.2">
      <c r="A401" s="35" t="s">
        <v>976</v>
      </c>
      <c r="B401" s="36" t="s">
        <v>963</v>
      </c>
      <c r="C401" s="43"/>
      <c r="D401" s="29"/>
      <c r="E401" s="29"/>
      <c r="F401" s="255" t="str">
        <f>IF(D401="","",VLOOKUP(D401,契約台帳!$A$3:$K$4986,6,FALSE)&amp;VLOOKUP(D401,契約台帳!$A$3:$K$4986,7,FALSE)&amp;VLOOKUP(D401,契約台帳!$A$3:$K$4986,8,FALSE)&amp;VLOOKUP(D401,契約台帳!$A$3:$K$4986,9,FALSE)&amp;VLOOKUP(D401,契約台帳!$A$3:$K$4986,11,FALSE))</f>
        <v/>
      </c>
      <c r="G401" s="256" t="str">
        <f>IF(D401="","",VLOOKUP(F401,製品マスタ!$G$5:$H$4999,2,FALSE))</f>
        <v/>
      </c>
      <c r="H401" s="256" t="str">
        <f>IF(D401="","",VLOOKUP(F401,製品マスタ!$G$5:$K$4999,5,FALSE))</f>
        <v/>
      </c>
      <c r="I401" s="200" t="str">
        <f>IF(D401="","",VLOOKUP(F401,製品マスタ!$G$5:$L$4999,6,FALSE))</f>
        <v/>
      </c>
      <c r="J401" s="203" t="s">
        <v>1002</v>
      </c>
      <c r="K401" s="200" t="str">
        <f>IF(D401="","",VLOOKUP(D401,契約台帳!$A$3:$L$4986,12,FALSE))</f>
        <v/>
      </c>
      <c r="L401" s="200" t="str">
        <f>IF(D401="","",INDEX(製品マスタ!$Q$5:$Q$4999,MATCH('S4'!F401&amp;'S4'!K401,製品マスタ!$AO$5:$AO$4999,0)))</f>
        <v/>
      </c>
      <c r="M401" s="37"/>
      <c r="N401" s="37"/>
      <c r="O401" s="153"/>
      <c r="P401" s="45"/>
      <c r="Q401" s="54"/>
      <c r="R401" s="257" t="str">
        <f ca="1">IF(D401="","",IF(OFFSET(D401,-1,0)&lt;&gt;"","",IF(OR(J401="リード付け",J401="巻足し",J401="巻返しリード付け"),M401,VLOOKUP(D401,契約台帳!$A$3:$N$4986,14,FALSE))))</f>
        <v/>
      </c>
      <c r="S401" s="258" t="str">
        <f ca="1">IF(D401="","",IF(OFFSET(D401,-1,0)&lt;&gt;"","",IF(OR(J401="リード付け",J401="巻足し",J401="巻返しリード付け"),M401,VLOOKUP(D401,契約台帳!$A$3:$O$4986,15,FALSE))))</f>
        <v/>
      </c>
      <c r="T401" s="258" t="str">
        <f ca="1">IF(D401="","",IF(J401="リード付け",N401,IF(J401="巻返しリード付け",N401,IF(J401="巻足し",N401*P401+OFFSET(N401,1,0)*OFFSET(P401,1,0),VLOOKUP(D401,契約台帳!$A$3:$P$4986,16,FALSE)))))</f>
        <v/>
      </c>
      <c r="U401" s="38"/>
      <c r="V401" s="259" t="str">
        <f ca="1">IF(D401="","",IF(OFFSET(D401,-2,0)=D401,"",VLOOKUP(D401,契約台帳!$A$3:$R$4986,18,FALSE)))</f>
        <v/>
      </c>
      <c r="W401" s="256" t="str">
        <f>IF(D401="","",IF(T401="","",IF(OR(J401="巻足し",J401="巻返しリード付け"),"",IF(J401="巻返し",VLOOKUP(F401&amp;K401&amp;M401,製品マスタ!$M$5:$AD$4999,18,FALSE),IF(OR(J401="リード付け",J401="巻返しリード付け"),"原反コア",IF(J401="スリット",VLOOKUP(F401&amp;K401&amp;R401,製品マスタ!$N$5:$AD$4999,17,FALSE),""))))))</f>
        <v/>
      </c>
      <c r="X401" s="256" t="str">
        <f>IF(D401="","",IF(T401="","",IF(J401="巻足し","",IF(J401="巻返し",VLOOKUP(F401&amp;K401&amp;M401,製品マスタ!$M$5:$AE$4999,19,FALSE),IF(OR(J401="リード付け",J401="巻返しリード付け"),"",IF(J401="スリット",VLOOKUP(F401&amp;K401&amp;R401,製品マスタ!$N$5:$AE$4999,18,FALSE),""))))))</f>
        <v/>
      </c>
      <c r="Y401" s="256" t="str">
        <f>IF(D401="","",IF(T401="","",VLOOKUP(D401,契約台帳!$A$3:$Q$4986,17,FALSE)))</f>
        <v/>
      </c>
      <c r="Z401" s="256" t="str">
        <f>IF(D401="","",IF(T401="","",VLOOKUP(D401,契約台帳!$A$3:$E$4986,5,FALSE)))</f>
        <v/>
      </c>
      <c r="AA401" s="54"/>
      <c r="AB401" s="200" t="str">
        <f>IFERROR((VLOOKUP(F401&amp;K401&amp;M401,製品マスタ!$M$5:$AM$4999,27,FALSE)),"")</f>
        <v/>
      </c>
      <c r="AC401" s="31"/>
      <c r="AD401" s="184"/>
      <c r="AE401" s="51"/>
      <c r="AF401" s="52"/>
      <c r="AG401" s="41"/>
      <c r="AH401" s="45"/>
      <c r="AI401" s="28"/>
      <c r="AJ401" s="28"/>
      <c r="AK401" s="28"/>
      <c r="AL401" s="28"/>
      <c r="AM401" s="12"/>
      <c r="AN401" s="12"/>
      <c r="AO401" s="12"/>
      <c r="AP401" s="12"/>
      <c r="AQ401" s="12"/>
      <c r="AR401" s="13"/>
      <c r="AS401" s="14"/>
    </row>
    <row r="402" spans="1:45" s="16" customFormat="1" ht="30.95" hidden="1" customHeight="1" x14ac:dyDescent="0.2">
      <c r="A402" s="35"/>
      <c r="B402" s="36"/>
      <c r="C402" s="43"/>
      <c r="D402" s="29"/>
      <c r="E402" s="29"/>
      <c r="F402" s="255" t="str">
        <f>IF(D402="","",VLOOKUP(D402,契約台帳!$A$3:$K$4986,6,FALSE)&amp;VLOOKUP(D402,契約台帳!$A$3:$K$4986,7,FALSE)&amp;VLOOKUP(D402,契約台帳!$A$3:$K$4986,8,FALSE)&amp;VLOOKUP(D402,契約台帳!$A$3:$K$4986,9,FALSE)&amp;VLOOKUP(D402,契約台帳!$A$3:$K$4986,11,FALSE))</f>
        <v/>
      </c>
      <c r="G402" s="256" t="str">
        <f>IF(D402="","",VLOOKUP(F402,製品マスタ!$G$5:$H$4999,2,FALSE))</f>
        <v/>
      </c>
      <c r="H402" s="256" t="str">
        <f>IF(D402="","",VLOOKUP(F402,製品マスタ!$G$5:$K$4999,5,FALSE))</f>
        <v/>
      </c>
      <c r="I402" s="200" t="str">
        <f>IF(D402="","",VLOOKUP(F402,製品マスタ!$G$5:$L$4999,6,FALSE))</f>
        <v/>
      </c>
      <c r="J402" s="203"/>
      <c r="K402" s="200" t="str">
        <f>IF(D402="","",VLOOKUP(D402,契約台帳!$A$3:$L$4986,12,FALSE))</f>
        <v/>
      </c>
      <c r="L402" s="200" t="str">
        <f>IF(D402="","",INDEX(製品マスタ!$Q$5:$Q$4999,MATCH('S4'!F402&amp;'S4'!K402,製品マスタ!$AO$5:$AO$4999,0)))</f>
        <v/>
      </c>
      <c r="M402" s="37"/>
      <c r="N402" s="37"/>
      <c r="O402" s="153"/>
      <c r="P402" s="45"/>
      <c r="Q402" s="54"/>
      <c r="R402" s="257" t="str">
        <f ca="1">IF(D402="","",IF(OFFSET(D402,-1,0)&lt;&gt;"","",IF(OR(J402="リード付け",J402="巻足し",J402="巻返しリード付け"),M402,VLOOKUP(D402,契約台帳!$A$3:$N$4986,14,FALSE))))</f>
        <v/>
      </c>
      <c r="S402" s="258" t="str">
        <f ca="1">IF(D402="","",IF(OFFSET(D402,-1,0)&lt;&gt;"","",IF(OR(J402="リード付け",J402="巻足し",J402="巻返しリード付け"),M402,VLOOKUP(D402,契約台帳!$A$3:$O$4986,15,FALSE))))</f>
        <v/>
      </c>
      <c r="T402" s="258" t="str">
        <f ca="1">IF(D402="","",IF(J402="リード付け",N402,IF(J402="巻返しリード付け",N402,IF(J402="巻足し",N402*P402+OFFSET(N402,1,0)*OFFSET(P402,1,0),VLOOKUP(D402,契約台帳!$A$3:$P$4986,16,FALSE)))))</f>
        <v/>
      </c>
      <c r="U402" s="38"/>
      <c r="V402" s="259" t="str">
        <f ca="1">IF(D402="","",IF(OFFSET(D402,-2,0)=D402,"",VLOOKUP(D402,契約台帳!$A$3:$R$4986,18,FALSE)))</f>
        <v/>
      </c>
      <c r="W402" s="256" t="str">
        <f>IF(D402="","",IF(T402="","",IF(OR(J402="巻足し",J402="巻返しリード付け"),"",IF(J402="巻返し",VLOOKUP(F402&amp;K402&amp;M402,製品マスタ!$M$5:$AD$4999,18,FALSE),IF(OR(J402="リード付け",J402="巻返しリード付け"),"原反コア",IF(J402="スリット",VLOOKUP(F402&amp;K402&amp;R402,製品マスタ!$N$5:$AD$4999,17,FALSE),""))))))</f>
        <v/>
      </c>
      <c r="X402" s="256" t="str">
        <f>IF(D402="","",IF(T402="","",IF(J402="巻足し","",IF(J402="巻返し",VLOOKUP(F402&amp;K402&amp;M402,製品マスタ!$M$5:$AE$4999,19,FALSE),IF(OR(J402="リード付け",J402="巻返しリード付け"),"",IF(J402="スリット",VLOOKUP(F402&amp;K402&amp;R402,製品マスタ!$N$5:$AE$4999,18,FALSE),""))))))</f>
        <v/>
      </c>
      <c r="Y402" s="256" t="str">
        <f>IF(D402="","",IF(T402="","",VLOOKUP(D402,契約台帳!$A$3:$Q$4986,17,FALSE)))</f>
        <v/>
      </c>
      <c r="Z402" s="256" t="str">
        <f>IF(D402="","",IF(T402="","",VLOOKUP(D402,契約台帳!$A$3:$E$4986,5,FALSE)))</f>
        <v/>
      </c>
      <c r="AA402" s="54"/>
      <c r="AB402" s="200" t="str">
        <f>IFERROR((VLOOKUP(F402&amp;K402&amp;M402,製品マスタ!$M$5:$AM$4999,27,FALSE)),"")</f>
        <v/>
      </c>
      <c r="AC402" s="31"/>
      <c r="AD402" s="184"/>
      <c r="AE402" s="51"/>
      <c r="AF402" s="52"/>
      <c r="AG402" s="41"/>
      <c r="AH402" s="45"/>
      <c r="AI402" s="28"/>
      <c r="AJ402" s="28"/>
      <c r="AK402" s="28"/>
      <c r="AL402" s="28"/>
      <c r="AM402" s="12"/>
      <c r="AN402" s="12"/>
      <c r="AO402" s="12"/>
      <c r="AP402" s="12"/>
      <c r="AQ402" s="12"/>
      <c r="AR402" s="13"/>
      <c r="AS402" s="14"/>
    </row>
    <row r="403" spans="1:45" s="16" customFormat="1" ht="30.95" hidden="1" customHeight="1" x14ac:dyDescent="0.2">
      <c r="A403" s="35" t="s">
        <v>977</v>
      </c>
      <c r="B403" s="36" t="s">
        <v>956</v>
      </c>
      <c r="C403" s="43"/>
      <c r="D403" s="29"/>
      <c r="E403" s="29"/>
      <c r="F403" s="255" t="str">
        <f>IF(D403="","",VLOOKUP(D403,契約台帳!$A$3:$K$4986,6,FALSE)&amp;VLOOKUP(D403,契約台帳!$A$3:$K$4986,7,FALSE)&amp;VLOOKUP(D403,契約台帳!$A$3:$K$4986,8,FALSE)&amp;VLOOKUP(D403,契約台帳!$A$3:$K$4986,9,FALSE)&amp;VLOOKUP(D403,契約台帳!$A$3:$K$4986,11,FALSE))</f>
        <v/>
      </c>
      <c r="G403" s="256" t="str">
        <f>IF(D403="","",VLOOKUP(F403,製品マスタ!$G$5:$H$4999,2,FALSE))</f>
        <v/>
      </c>
      <c r="H403" s="256" t="str">
        <f>IF(D403="","",VLOOKUP(F403,製品マスタ!$G$5:$K$4999,5,FALSE))</f>
        <v/>
      </c>
      <c r="I403" s="200" t="str">
        <f>IF(D403="","",VLOOKUP(F403,製品マスタ!$G$5:$L$4999,6,FALSE))</f>
        <v/>
      </c>
      <c r="J403" s="203" t="s">
        <v>1002</v>
      </c>
      <c r="K403" s="200" t="str">
        <f>IF(D403="","",VLOOKUP(D403,契約台帳!$A$3:$L$4986,12,FALSE))</f>
        <v/>
      </c>
      <c r="L403" s="200" t="str">
        <f>IF(D403="","",INDEX(製品マスタ!$Q$5:$Q$4999,MATCH('S4'!F403&amp;'S4'!K403,製品マスタ!$AO$5:$AO$4999,0)))</f>
        <v/>
      </c>
      <c r="M403" s="37"/>
      <c r="N403" s="37"/>
      <c r="O403" s="153"/>
      <c r="P403" s="45"/>
      <c r="Q403" s="54"/>
      <c r="R403" s="257" t="str">
        <f ca="1">IF(D403="","",IF(OFFSET(D403,-1,0)&lt;&gt;"","",IF(OR(J403="リード付け",J403="巻足し",J403="巻返しリード付け"),M403,VLOOKUP(D403,契約台帳!$A$3:$N$4986,14,FALSE))))</f>
        <v/>
      </c>
      <c r="S403" s="258" t="str">
        <f ca="1">IF(D403="","",IF(OFFSET(D403,-1,0)&lt;&gt;"","",IF(OR(J403="リード付け",J403="巻足し",J403="巻返しリード付け"),M403,VLOOKUP(D403,契約台帳!$A$3:$O$4986,15,FALSE))))</f>
        <v/>
      </c>
      <c r="T403" s="258" t="str">
        <f ca="1">IF(D403="","",IF(J403="リード付け",N403,IF(J403="巻返しリード付け",N403,IF(J403="巻足し",N403*P403+OFFSET(N403,1,0)*OFFSET(P403,1,0),VLOOKUP(D403,契約台帳!$A$3:$P$4986,16,FALSE)))))</f>
        <v/>
      </c>
      <c r="U403" s="38"/>
      <c r="V403" s="259" t="str">
        <f ca="1">IF(D403="","",IF(OFFSET(D403,-2,0)=D403,"",VLOOKUP(D403,契約台帳!$A$3:$R$4986,18,FALSE)))</f>
        <v/>
      </c>
      <c r="W403" s="256" t="str">
        <f>IF(D403="","",IF(T403="","",IF(OR(J403="巻足し",J403="巻返しリード付け"),"",IF(J403="巻返し",VLOOKUP(F403&amp;K403&amp;M403,製品マスタ!$M$5:$AD$4999,18,FALSE),IF(OR(J403="リード付け",J403="巻返しリード付け"),"原反コア",IF(J403="スリット",VLOOKUP(F403&amp;K403&amp;R403,製品マスタ!$N$5:$AD$4999,17,FALSE),""))))))</f>
        <v/>
      </c>
      <c r="X403" s="256" t="str">
        <f>IF(D403="","",IF(T403="","",IF(J403="巻足し","",IF(J403="巻返し",VLOOKUP(F403&amp;K403&amp;M403,製品マスタ!$M$5:$AE$4999,19,FALSE),IF(OR(J403="リード付け",J403="巻返しリード付け"),"",IF(J403="スリット",VLOOKUP(F403&amp;K403&amp;R403,製品マスタ!$N$5:$AE$4999,18,FALSE),""))))))</f>
        <v/>
      </c>
      <c r="Y403" s="256" t="str">
        <f>IF(D403="","",IF(T403="","",VLOOKUP(D403,契約台帳!$A$3:$Q$4986,17,FALSE)))</f>
        <v/>
      </c>
      <c r="Z403" s="256" t="str">
        <f>IF(D403="","",IF(T403="","",VLOOKUP(D403,契約台帳!$A$3:$E$4986,5,FALSE)))</f>
        <v/>
      </c>
      <c r="AA403" s="54"/>
      <c r="AB403" s="200" t="str">
        <f>IFERROR((VLOOKUP(F403&amp;K403&amp;M403,製品マスタ!$M$5:$AM$4999,27,FALSE)),"")</f>
        <v/>
      </c>
      <c r="AC403" s="31"/>
      <c r="AD403" s="184"/>
      <c r="AE403" s="51"/>
      <c r="AF403" s="52"/>
      <c r="AG403" s="41"/>
      <c r="AH403" s="45"/>
      <c r="AI403" s="28"/>
      <c r="AJ403" s="28"/>
      <c r="AK403" s="28"/>
      <c r="AL403" s="28"/>
      <c r="AM403" s="12"/>
      <c r="AN403" s="12"/>
      <c r="AO403" s="12"/>
      <c r="AP403" s="12"/>
      <c r="AQ403" s="12"/>
      <c r="AR403" s="13"/>
      <c r="AS403" s="14"/>
    </row>
    <row r="404" spans="1:45" s="16" customFormat="1" ht="30.95" hidden="1" customHeight="1" x14ac:dyDescent="0.2">
      <c r="A404" s="35"/>
      <c r="B404" s="36"/>
      <c r="C404" s="43"/>
      <c r="D404" s="29"/>
      <c r="E404" s="29"/>
      <c r="F404" s="255" t="str">
        <f>IF(D404="","",VLOOKUP(D404,契約台帳!$A$3:$K$4986,6,FALSE)&amp;VLOOKUP(D404,契約台帳!$A$3:$K$4986,7,FALSE)&amp;VLOOKUP(D404,契約台帳!$A$3:$K$4986,8,FALSE)&amp;VLOOKUP(D404,契約台帳!$A$3:$K$4986,9,FALSE)&amp;VLOOKUP(D404,契約台帳!$A$3:$K$4986,11,FALSE))</f>
        <v/>
      </c>
      <c r="G404" s="256" t="str">
        <f>IF(D404="","",VLOOKUP(F404,製品マスタ!$G$5:$H$4999,2,FALSE))</f>
        <v/>
      </c>
      <c r="H404" s="256" t="str">
        <f>IF(D404="","",VLOOKUP(F404,製品マスタ!$G$5:$K$4999,5,FALSE))</f>
        <v/>
      </c>
      <c r="I404" s="200" t="str">
        <f>IF(D404="","",VLOOKUP(F404,製品マスタ!$G$5:$L$4999,6,FALSE))</f>
        <v/>
      </c>
      <c r="J404" s="203"/>
      <c r="K404" s="200" t="str">
        <f>IF(D404="","",VLOOKUP(D404,契約台帳!$A$3:$L$4986,12,FALSE))</f>
        <v/>
      </c>
      <c r="L404" s="200" t="str">
        <f>IF(D404="","",INDEX(製品マスタ!$Q$5:$Q$4999,MATCH('S4'!F404&amp;'S4'!K404,製品マスタ!$AO$5:$AO$4999,0)))</f>
        <v/>
      </c>
      <c r="M404" s="37"/>
      <c r="N404" s="37"/>
      <c r="O404" s="153"/>
      <c r="P404" s="45"/>
      <c r="Q404" s="54"/>
      <c r="R404" s="257" t="str">
        <f ca="1">IF(D404="","",IF(OFFSET(D404,-1,0)&lt;&gt;"","",IF(OR(J404="リード付け",J404="巻足し",J404="巻返しリード付け"),M404,VLOOKUP(D404,契約台帳!$A$3:$N$4986,14,FALSE))))</f>
        <v/>
      </c>
      <c r="S404" s="258" t="str">
        <f ca="1">IF(D404="","",IF(OFFSET(D404,-1,0)&lt;&gt;"","",IF(OR(J404="リード付け",J404="巻足し",J404="巻返しリード付け"),M404,VLOOKUP(D404,契約台帳!$A$3:$O$4986,15,FALSE))))</f>
        <v/>
      </c>
      <c r="T404" s="258" t="str">
        <f ca="1">IF(D404="","",IF(J404="リード付け",N404,IF(J404="巻返しリード付け",N404,IF(J404="巻足し",N404*P404+OFFSET(N404,1,0)*OFFSET(P404,1,0),VLOOKUP(D404,契約台帳!$A$3:$P$4986,16,FALSE)))))</f>
        <v/>
      </c>
      <c r="U404" s="38"/>
      <c r="V404" s="259" t="str">
        <f ca="1">IF(D404="","",IF(OFFSET(D404,-2,0)=D404,"",VLOOKUP(D404,契約台帳!$A$3:$R$4986,18,FALSE)))</f>
        <v/>
      </c>
      <c r="W404" s="256" t="str">
        <f>IF(D404="","",IF(T404="","",IF(OR(J404="巻足し",J404="巻返しリード付け"),"",IF(J404="巻返し",VLOOKUP(F404&amp;K404&amp;M404,製品マスタ!$M$5:$AD$4999,18,FALSE),IF(OR(J404="リード付け",J404="巻返しリード付け"),"原反コア",IF(J404="スリット",VLOOKUP(F404&amp;K404&amp;R404,製品マスタ!$N$5:$AD$4999,17,FALSE),""))))))</f>
        <v/>
      </c>
      <c r="X404" s="256" t="str">
        <f>IF(D404="","",IF(T404="","",IF(J404="巻足し","",IF(J404="巻返し",VLOOKUP(F404&amp;K404&amp;M404,製品マスタ!$M$5:$AE$4999,19,FALSE),IF(OR(J404="リード付け",J404="巻返しリード付け"),"",IF(J404="スリット",VLOOKUP(F404&amp;K404&amp;R404,製品マスタ!$N$5:$AE$4999,18,FALSE),""))))))</f>
        <v/>
      </c>
      <c r="Y404" s="256" t="str">
        <f>IF(D404="","",IF(T404="","",VLOOKUP(D404,契約台帳!$A$3:$Q$4986,17,FALSE)))</f>
        <v/>
      </c>
      <c r="Z404" s="256" t="str">
        <f>IF(D404="","",IF(T404="","",VLOOKUP(D404,契約台帳!$A$3:$E$4986,5,FALSE)))</f>
        <v/>
      </c>
      <c r="AA404" s="54"/>
      <c r="AB404" s="200" t="str">
        <f>IFERROR((VLOOKUP(F404&amp;K404&amp;M404,製品マスタ!$M$5:$AM$4999,27,FALSE)),"")</f>
        <v/>
      </c>
      <c r="AC404" s="31"/>
      <c r="AD404" s="184"/>
      <c r="AE404" s="51"/>
      <c r="AF404" s="52"/>
      <c r="AG404" s="41"/>
      <c r="AH404" s="45"/>
      <c r="AI404" s="28"/>
      <c r="AJ404" s="28"/>
      <c r="AK404" s="28"/>
      <c r="AL404" s="28"/>
      <c r="AM404" s="12"/>
      <c r="AN404" s="12"/>
      <c r="AO404" s="12"/>
      <c r="AP404" s="12"/>
      <c r="AQ404" s="12"/>
      <c r="AR404" s="13"/>
      <c r="AS404" s="14"/>
    </row>
    <row r="405" spans="1:45" s="16" customFormat="1" ht="30.95" hidden="1" customHeight="1" x14ac:dyDescent="0.2">
      <c r="A405" s="35" t="s">
        <v>978</v>
      </c>
      <c r="B405" s="36" t="s">
        <v>957</v>
      </c>
      <c r="C405" s="43"/>
      <c r="D405" s="29"/>
      <c r="E405" s="29"/>
      <c r="F405" s="255" t="str">
        <f>IF(D405="","",VLOOKUP(D405,契約台帳!$A$3:$K$4986,6,FALSE)&amp;VLOOKUP(D405,契約台帳!$A$3:$K$4986,7,FALSE)&amp;VLOOKUP(D405,契約台帳!$A$3:$K$4986,8,FALSE)&amp;VLOOKUP(D405,契約台帳!$A$3:$K$4986,9,FALSE)&amp;VLOOKUP(D405,契約台帳!$A$3:$K$4986,11,FALSE))</f>
        <v/>
      </c>
      <c r="G405" s="256" t="str">
        <f>IF(D405="","",VLOOKUP(F405,製品マスタ!$G$5:$H$4999,2,FALSE))</f>
        <v/>
      </c>
      <c r="H405" s="256" t="str">
        <f>IF(D405="","",VLOOKUP(F405,製品マスタ!$G$5:$K$4999,5,FALSE))</f>
        <v/>
      </c>
      <c r="I405" s="200" t="str">
        <f>IF(D405="","",VLOOKUP(F405,製品マスタ!$G$5:$L$4999,6,FALSE))</f>
        <v/>
      </c>
      <c r="J405" s="203" t="s">
        <v>1003</v>
      </c>
      <c r="K405" s="200" t="str">
        <f>IF(D405="","",VLOOKUP(D405,契約台帳!$A$3:$L$4986,12,FALSE))</f>
        <v/>
      </c>
      <c r="L405" s="200" t="str">
        <f>IF(D405="","",INDEX(製品マスタ!$Q$5:$Q$4999,MATCH('S4'!F405&amp;'S4'!K405,製品マスタ!$AO$5:$AO$4999,0)))</f>
        <v/>
      </c>
      <c r="M405" s="37"/>
      <c r="N405" s="37"/>
      <c r="O405" s="153"/>
      <c r="P405" s="45"/>
      <c r="Q405" s="54"/>
      <c r="R405" s="257" t="str">
        <f ca="1">IF(D405="","",IF(OFFSET(D405,-1,0)&lt;&gt;"","",IF(OR(J405="リード付け",J405="巻足し",J405="巻返しリード付け"),M405,VLOOKUP(D405,契約台帳!$A$3:$N$4986,14,FALSE))))</f>
        <v/>
      </c>
      <c r="S405" s="258" t="str">
        <f ca="1">IF(D405="","",IF(OFFSET(D405,-1,0)&lt;&gt;"","",IF(OR(J405="リード付け",J405="巻足し",J405="巻返しリード付け"),M405,VLOOKUP(D405,契約台帳!$A$3:$O$4986,15,FALSE))))</f>
        <v/>
      </c>
      <c r="T405" s="258" t="str">
        <f ca="1">IF(D405="","",IF(J405="リード付け",N405,IF(J405="巻返しリード付け",N405,IF(J405="巻足し",N405*P405+OFFSET(N405,1,0)*OFFSET(P405,1,0),VLOOKUP(D405,契約台帳!$A$3:$P$4986,16,FALSE)))))</f>
        <v/>
      </c>
      <c r="U405" s="38"/>
      <c r="V405" s="259" t="str">
        <f ca="1">IF(D405="","",IF(OFFSET(D405,-2,0)=D405,"",VLOOKUP(D405,契約台帳!$A$3:$R$4986,18,FALSE)))</f>
        <v/>
      </c>
      <c r="W405" s="256" t="str">
        <f>IF(D405="","",IF(T405="","",IF(OR(J405="巻足し",J405="巻返しリード付け"),"",IF(J405="巻返し",VLOOKUP(F405&amp;K405&amp;M405,製品マスタ!$M$5:$AD$4999,18,FALSE),IF(OR(J405="リード付け",J405="巻返しリード付け"),"原反コア",IF(J405="スリット",VLOOKUP(F405&amp;K405&amp;R405,製品マスタ!$N$5:$AD$4999,17,FALSE),""))))))</f>
        <v/>
      </c>
      <c r="X405" s="256" t="str">
        <f>IF(D405="","",IF(T405="","",IF(J405="巻足し","",IF(J405="巻返し",VLOOKUP(F405&amp;K405&amp;M405,製品マスタ!$M$5:$AE$4999,19,FALSE),IF(OR(J405="リード付け",J405="巻返しリード付け"),"",IF(J405="スリット",VLOOKUP(F405&amp;K405&amp;R405,製品マスタ!$N$5:$AE$4999,18,FALSE),""))))))</f>
        <v/>
      </c>
      <c r="Y405" s="256" t="str">
        <f>IF(D405="","",IF(T405="","",VLOOKUP(D405,契約台帳!$A$3:$Q$4986,17,FALSE)))</f>
        <v/>
      </c>
      <c r="Z405" s="256" t="str">
        <f>IF(D405="","",IF(T405="","",VLOOKUP(D405,契約台帳!$A$3:$E$4986,5,FALSE)))</f>
        <v/>
      </c>
      <c r="AA405" s="54"/>
      <c r="AB405" s="200" t="str">
        <f>IFERROR((VLOOKUP(F405&amp;K405&amp;M405,製品マスタ!$M$5:$AM$4999,27,FALSE)),"")</f>
        <v/>
      </c>
      <c r="AC405" s="31"/>
      <c r="AD405" s="184"/>
      <c r="AE405" s="51"/>
      <c r="AF405" s="52"/>
      <c r="AG405" s="41"/>
      <c r="AH405" s="45"/>
      <c r="AI405" s="28"/>
      <c r="AJ405" s="28"/>
      <c r="AK405" s="28"/>
      <c r="AL405" s="28"/>
      <c r="AM405" s="12"/>
      <c r="AN405" s="12"/>
      <c r="AO405" s="12"/>
      <c r="AP405" s="12"/>
      <c r="AQ405" s="12"/>
      <c r="AR405" s="13"/>
      <c r="AS405" s="14"/>
    </row>
    <row r="406" spans="1:45" s="16" customFormat="1" ht="30.95" hidden="1" customHeight="1" x14ac:dyDescent="0.2">
      <c r="A406" s="35"/>
      <c r="B406" s="36"/>
      <c r="C406" s="43"/>
      <c r="D406" s="29"/>
      <c r="E406" s="29"/>
      <c r="F406" s="255" t="str">
        <f>IF(D406="","",VLOOKUP(D406,契約台帳!$A$3:$K$4986,6,FALSE)&amp;VLOOKUP(D406,契約台帳!$A$3:$K$4986,7,FALSE)&amp;VLOOKUP(D406,契約台帳!$A$3:$K$4986,8,FALSE)&amp;VLOOKUP(D406,契約台帳!$A$3:$K$4986,9,FALSE)&amp;VLOOKUP(D406,契約台帳!$A$3:$K$4986,11,FALSE))</f>
        <v/>
      </c>
      <c r="G406" s="256" t="str">
        <f>IF(D406="","",VLOOKUP(F406,製品マスタ!$G$5:$H$4999,2,FALSE))</f>
        <v/>
      </c>
      <c r="H406" s="256" t="str">
        <f>IF(D406="","",VLOOKUP(F406,製品マスタ!$G$5:$K$4999,5,FALSE))</f>
        <v/>
      </c>
      <c r="I406" s="200" t="str">
        <f>IF(D406="","",VLOOKUP(F406,製品マスタ!$G$5:$L$4999,6,FALSE))</f>
        <v/>
      </c>
      <c r="J406" s="203"/>
      <c r="K406" s="200" t="str">
        <f>IF(D406="","",VLOOKUP(D406,契約台帳!$A$3:$L$4986,12,FALSE))</f>
        <v/>
      </c>
      <c r="L406" s="200" t="str">
        <f>IF(D406="","",INDEX(製品マスタ!$Q$5:$Q$4999,MATCH('S4'!F406&amp;'S4'!K406,製品マスタ!$AO$5:$AO$4999,0)))</f>
        <v/>
      </c>
      <c r="M406" s="37"/>
      <c r="N406" s="37"/>
      <c r="O406" s="153"/>
      <c r="P406" s="45"/>
      <c r="Q406" s="54"/>
      <c r="R406" s="257" t="str">
        <f ca="1">IF(D406="","",IF(OFFSET(D406,-1,0)&lt;&gt;"","",IF(OR(J406="リード付け",J406="巻足し",J406="巻返しリード付け"),M406,VLOOKUP(D406,契約台帳!$A$3:$N$4986,14,FALSE))))</f>
        <v/>
      </c>
      <c r="S406" s="258" t="str">
        <f ca="1">IF(D406="","",IF(OFFSET(D406,-1,0)&lt;&gt;"","",IF(OR(J406="リード付け",J406="巻足し",J406="巻返しリード付け"),M406,VLOOKUP(D406,契約台帳!$A$3:$O$4986,15,FALSE))))</f>
        <v/>
      </c>
      <c r="T406" s="258" t="str">
        <f ca="1">IF(D406="","",IF(J406="リード付け",N406,IF(J406="巻返しリード付け",N406,IF(J406="巻足し",N406*P406+OFFSET(N406,1,0)*OFFSET(P406,1,0),VLOOKUP(D406,契約台帳!$A$3:$P$4986,16,FALSE)))))</f>
        <v/>
      </c>
      <c r="U406" s="38"/>
      <c r="V406" s="259" t="str">
        <f ca="1">IF(D406="","",IF(OFFSET(D406,-2,0)=D406,"",VLOOKUP(D406,契約台帳!$A$3:$R$4986,18,FALSE)))</f>
        <v/>
      </c>
      <c r="W406" s="256" t="str">
        <f>IF(D406="","",IF(T406="","",IF(OR(J406="巻足し",J406="巻返しリード付け"),"",IF(J406="巻返し",VLOOKUP(F406&amp;K406&amp;M406,製品マスタ!$M$5:$AD$4999,18,FALSE),IF(OR(J406="リード付け",J406="巻返しリード付け"),"原反コア",IF(J406="スリット",VLOOKUP(F406&amp;K406&amp;R406,製品マスタ!$N$5:$AD$4999,17,FALSE),""))))))</f>
        <v/>
      </c>
      <c r="X406" s="256" t="str">
        <f>IF(D406="","",IF(T406="","",IF(J406="巻足し","",IF(J406="巻返し",VLOOKUP(F406&amp;K406&amp;M406,製品マスタ!$M$5:$AE$4999,19,FALSE),IF(OR(J406="リード付け",J406="巻返しリード付け"),"",IF(J406="スリット",VLOOKUP(F406&amp;K406&amp;R406,製品マスタ!$N$5:$AE$4999,18,FALSE),""))))))</f>
        <v/>
      </c>
      <c r="Y406" s="256" t="str">
        <f>IF(D406="","",IF(T406="","",VLOOKUP(D406,契約台帳!$A$3:$Q$4986,17,FALSE)))</f>
        <v/>
      </c>
      <c r="Z406" s="256" t="str">
        <f>IF(D406="","",IF(T406="","",VLOOKUP(D406,契約台帳!$A$3:$E$4986,5,FALSE)))</f>
        <v/>
      </c>
      <c r="AA406" s="54"/>
      <c r="AB406" s="200" t="str">
        <f>IFERROR((VLOOKUP(F406&amp;K406&amp;M406,製品マスタ!$M$5:$AM$4999,27,FALSE)),"")</f>
        <v/>
      </c>
      <c r="AC406" s="31"/>
      <c r="AD406" s="184"/>
      <c r="AE406" s="51"/>
      <c r="AF406" s="52"/>
      <c r="AG406" s="41"/>
      <c r="AH406" s="45"/>
      <c r="AI406" s="28"/>
      <c r="AJ406" s="28"/>
      <c r="AK406" s="28"/>
      <c r="AL406" s="28"/>
      <c r="AM406" s="12"/>
      <c r="AN406" s="12"/>
      <c r="AO406" s="12"/>
      <c r="AP406" s="12"/>
      <c r="AQ406" s="12"/>
      <c r="AR406" s="13"/>
      <c r="AS406" s="14"/>
    </row>
    <row r="407" spans="1:45" s="16" customFormat="1" ht="30.95" hidden="1" customHeight="1" x14ac:dyDescent="0.2">
      <c r="A407" s="35" t="s">
        <v>979</v>
      </c>
      <c r="B407" s="36" t="s">
        <v>958</v>
      </c>
      <c r="C407" s="43"/>
      <c r="D407" s="29"/>
      <c r="E407" s="29"/>
      <c r="F407" s="255" t="str">
        <f>IF(D407="","",VLOOKUP(D407,契約台帳!$A$3:$K$4986,6,FALSE)&amp;VLOOKUP(D407,契約台帳!$A$3:$K$4986,7,FALSE)&amp;VLOOKUP(D407,契約台帳!$A$3:$K$4986,8,FALSE)&amp;VLOOKUP(D407,契約台帳!$A$3:$K$4986,9,FALSE)&amp;VLOOKUP(D407,契約台帳!$A$3:$K$4986,11,FALSE))</f>
        <v/>
      </c>
      <c r="G407" s="256" t="str">
        <f>IF(D407="","",VLOOKUP(F407,製品マスタ!$G$5:$H$4999,2,FALSE))</f>
        <v/>
      </c>
      <c r="H407" s="256" t="str">
        <f>IF(D407="","",VLOOKUP(F407,製品マスタ!$G$5:$K$4999,5,FALSE))</f>
        <v/>
      </c>
      <c r="I407" s="200" t="str">
        <f>IF(D407="","",VLOOKUP(F407,製品マスタ!$G$5:$L$4999,6,FALSE))</f>
        <v/>
      </c>
      <c r="J407" s="203" t="s">
        <v>1003</v>
      </c>
      <c r="K407" s="200" t="str">
        <f>IF(D407="","",VLOOKUP(D407,契約台帳!$A$3:$L$4986,12,FALSE))</f>
        <v/>
      </c>
      <c r="L407" s="200" t="str">
        <f>IF(D407="","",INDEX(製品マスタ!$Q$5:$Q$4999,MATCH('S4'!F407&amp;'S4'!K407,製品マスタ!$AO$5:$AO$4999,0)))</f>
        <v/>
      </c>
      <c r="M407" s="37"/>
      <c r="N407" s="37"/>
      <c r="O407" s="153"/>
      <c r="P407" s="45"/>
      <c r="Q407" s="54"/>
      <c r="R407" s="257" t="str">
        <f ca="1">IF(D407="","",IF(OFFSET(D407,-1,0)&lt;&gt;"","",IF(OR(J407="リード付け",J407="巻足し",J407="巻返しリード付け"),M407,VLOOKUP(D407,契約台帳!$A$3:$N$4986,14,FALSE))))</f>
        <v/>
      </c>
      <c r="S407" s="258" t="str">
        <f ca="1">IF(D407="","",IF(OFFSET(D407,-1,0)&lt;&gt;"","",IF(OR(J407="リード付け",J407="巻足し",J407="巻返しリード付け"),M407,VLOOKUP(D407,契約台帳!$A$3:$O$4986,15,FALSE))))</f>
        <v/>
      </c>
      <c r="T407" s="258" t="str">
        <f ca="1">IF(D407="","",IF(J407="リード付け",N407,IF(J407="巻返しリード付け",N407,IF(J407="巻足し",N407*P407+OFFSET(N407,1,0)*OFFSET(P407,1,0),VLOOKUP(D407,契約台帳!$A$3:$P$4986,16,FALSE)))))</f>
        <v/>
      </c>
      <c r="U407" s="38"/>
      <c r="V407" s="259" t="str">
        <f ca="1">IF(D407="","",IF(OFFSET(D407,-2,0)=D407,"",VLOOKUP(D407,契約台帳!$A$3:$R$4986,18,FALSE)))</f>
        <v/>
      </c>
      <c r="W407" s="256" t="str">
        <f>IF(D407="","",IF(T407="","",IF(OR(J407="巻足し",J407="巻返しリード付け"),"",IF(J407="巻返し",VLOOKUP(F407&amp;K407&amp;M407,製品マスタ!$M$5:$AD$4999,18,FALSE),IF(OR(J407="リード付け",J407="巻返しリード付け"),"原反コア",IF(J407="スリット",VLOOKUP(F407&amp;K407&amp;R407,製品マスタ!$N$5:$AD$4999,17,FALSE),""))))))</f>
        <v/>
      </c>
      <c r="X407" s="256" t="str">
        <f>IF(D407="","",IF(T407="","",IF(J407="巻足し","",IF(J407="巻返し",VLOOKUP(F407&amp;K407&amp;M407,製品マスタ!$M$5:$AE$4999,19,FALSE),IF(OR(J407="リード付け",J407="巻返しリード付け"),"",IF(J407="スリット",VLOOKUP(F407&amp;K407&amp;R407,製品マスタ!$N$5:$AE$4999,18,FALSE),""))))))</f>
        <v/>
      </c>
      <c r="Y407" s="256" t="str">
        <f>IF(D407="","",IF(T407="","",VLOOKUP(D407,契約台帳!$A$3:$Q$4986,17,FALSE)))</f>
        <v/>
      </c>
      <c r="Z407" s="256" t="str">
        <f>IF(D407="","",IF(T407="","",VLOOKUP(D407,契約台帳!$A$3:$E$4986,5,FALSE)))</f>
        <v/>
      </c>
      <c r="AA407" s="54"/>
      <c r="AB407" s="200" t="str">
        <f>IFERROR((VLOOKUP(F407&amp;K407&amp;M407,製品マスタ!$M$5:$AM$4999,27,FALSE)),"")</f>
        <v/>
      </c>
      <c r="AC407" s="31"/>
      <c r="AD407" s="184"/>
      <c r="AE407" s="51"/>
      <c r="AF407" s="52"/>
      <c r="AG407" s="41"/>
      <c r="AH407" s="45"/>
      <c r="AI407" s="28"/>
      <c r="AJ407" s="28"/>
      <c r="AK407" s="28"/>
      <c r="AL407" s="28"/>
      <c r="AM407" s="12"/>
      <c r="AN407" s="12"/>
      <c r="AO407" s="12"/>
      <c r="AP407" s="12"/>
      <c r="AQ407" s="12"/>
      <c r="AR407" s="13"/>
      <c r="AS407" s="14"/>
    </row>
    <row r="408" spans="1:45" s="16" customFormat="1" ht="30.95" hidden="1" customHeight="1" x14ac:dyDescent="0.2">
      <c r="A408" s="35"/>
      <c r="B408" s="36"/>
      <c r="C408" s="43"/>
      <c r="D408" s="29"/>
      <c r="E408" s="29"/>
      <c r="F408" s="255" t="str">
        <f>IF(D408="","",VLOOKUP(D408,契約台帳!$A$3:$K$4986,6,FALSE)&amp;VLOOKUP(D408,契約台帳!$A$3:$K$4986,7,FALSE)&amp;VLOOKUP(D408,契約台帳!$A$3:$K$4986,8,FALSE)&amp;VLOOKUP(D408,契約台帳!$A$3:$K$4986,9,FALSE)&amp;VLOOKUP(D408,契約台帳!$A$3:$K$4986,11,FALSE))</f>
        <v/>
      </c>
      <c r="G408" s="256" t="str">
        <f>IF(D408="","",VLOOKUP(F408,製品マスタ!$G$5:$H$4999,2,FALSE))</f>
        <v/>
      </c>
      <c r="H408" s="256" t="str">
        <f>IF(D408="","",VLOOKUP(F408,製品マスタ!$G$5:$K$4999,5,FALSE))</f>
        <v/>
      </c>
      <c r="I408" s="200" t="str">
        <f>IF(D408="","",VLOOKUP(F408,製品マスタ!$G$5:$L$4999,6,FALSE))</f>
        <v/>
      </c>
      <c r="J408" s="203"/>
      <c r="K408" s="200" t="str">
        <f>IF(D408="","",VLOOKUP(D408,契約台帳!$A$3:$L$4986,12,FALSE))</f>
        <v/>
      </c>
      <c r="L408" s="200" t="str">
        <f>IF(D408="","",INDEX(製品マスタ!$Q$5:$Q$4999,MATCH('S4'!F408&amp;'S4'!K408,製品マスタ!$AO$5:$AO$4999,0)))</f>
        <v/>
      </c>
      <c r="M408" s="37"/>
      <c r="N408" s="37"/>
      <c r="O408" s="153"/>
      <c r="P408" s="45"/>
      <c r="Q408" s="54"/>
      <c r="R408" s="257" t="str">
        <f ca="1">IF(D408="","",IF(OFFSET(D408,-1,0)&lt;&gt;"","",IF(OR(J408="リード付け",J408="巻足し",J408="巻返しリード付け"),M408,VLOOKUP(D408,契約台帳!$A$3:$N$4986,14,FALSE))))</f>
        <v/>
      </c>
      <c r="S408" s="258" t="str">
        <f ca="1">IF(D408="","",IF(OFFSET(D408,-1,0)&lt;&gt;"","",IF(OR(J408="リード付け",J408="巻足し",J408="巻返しリード付け"),M408,VLOOKUP(D408,契約台帳!$A$3:$O$4986,15,FALSE))))</f>
        <v/>
      </c>
      <c r="T408" s="258" t="str">
        <f ca="1">IF(D408="","",IF(J408="リード付け",N408,IF(J408="巻返しリード付け",N408,IF(J408="巻足し",N408*P408+OFFSET(N408,1,0)*OFFSET(P408,1,0),VLOOKUP(D408,契約台帳!$A$3:$P$4986,16,FALSE)))))</f>
        <v/>
      </c>
      <c r="U408" s="38"/>
      <c r="V408" s="259" t="str">
        <f ca="1">IF(D408="","",IF(OFFSET(D408,-2,0)=D408,"",VLOOKUP(D408,契約台帳!$A$3:$R$4986,18,FALSE)))</f>
        <v/>
      </c>
      <c r="W408" s="256" t="str">
        <f>IF(D408="","",IF(T408="","",IF(OR(J408="巻足し",J408="巻返しリード付け"),"",IF(J408="巻返し",VLOOKUP(F408&amp;K408&amp;M408,製品マスタ!$M$5:$AD$4999,18,FALSE),IF(OR(J408="リード付け",J408="巻返しリード付け"),"原反コア",IF(J408="スリット",VLOOKUP(F408&amp;K408&amp;R408,製品マスタ!$N$5:$AD$4999,17,FALSE),""))))))</f>
        <v/>
      </c>
      <c r="X408" s="256" t="str">
        <f>IF(D408="","",IF(T408="","",IF(J408="巻足し","",IF(J408="巻返し",VLOOKUP(F408&amp;K408&amp;M408,製品マスタ!$M$5:$AE$4999,19,FALSE),IF(OR(J408="リード付け",J408="巻返しリード付け"),"",IF(J408="スリット",VLOOKUP(F408&amp;K408&amp;R408,製品マスタ!$N$5:$AE$4999,18,FALSE),""))))))</f>
        <v/>
      </c>
      <c r="Y408" s="256" t="str">
        <f>IF(D408="","",IF(T408="","",VLOOKUP(D408,契約台帳!$A$3:$Q$4986,17,FALSE)))</f>
        <v/>
      </c>
      <c r="Z408" s="256" t="str">
        <f>IF(D408="","",IF(T408="","",VLOOKUP(D408,契約台帳!$A$3:$E$4986,5,FALSE)))</f>
        <v/>
      </c>
      <c r="AA408" s="54"/>
      <c r="AB408" s="200" t="str">
        <f>IFERROR((VLOOKUP(F408&amp;K408&amp;M408,製品マスタ!$M$5:$AM$4999,27,FALSE)),"")</f>
        <v/>
      </c>
      <c r="AC408" s="31"/>
      <c r="AD408" s="184"/>
      <c r="AE408" s="51"/>
      <c r="AF408" s="52"/>
      <c r="AG408" s="41"/>
      <c r="AH408" s="45"/>
      <c r="AI408" s="28"/>
      <c r="AJ408" s="28"/>
      <c r="AK408" s="28"/>
      <c r="AL408" s="28"/>
      <c r="AM408" s="12"/>
      <c r="AN408" s="12"/>
      <c r="AO408" s="12"/>
      <c r="AP408" s="12"/>
      <c r="AQ408" s="12"/>
      <c r="AR408" s="13"/>
      <c r="AS408" s="14"/>
    </row>
    <row r="409" spans="1:45" s="16" customFormat="1" ht="30.95" hidden="1" customHeight="1" x14ac:dyDescent="0.2">
      <c r="A409" s="35" t="s">
        <v>980</v>
      </c>
      <c r="B409" s="36" t="s">
        <v>959</v>
      </c>
      <c r="C409" s="43"/>
      <c r="D409" s="29"/>
      <c r="E409" s="29"/>
      <c r="F409" s="255" t="str">
        <f>IF(D409="","",VLOOKUP(D409,契約台帳!$A$3:$K$4986,6,FALSE)&amp;VLOOKUP(D409,契約台帳!$A$3:$K$4986,7,FALSE)&amp;VLOOKUP(D409,契約台帳!$A$3:$K$4986,8,FALSE)&amp;VLOOKUP(D409,契約台帳!$A$3:$K$4986,9,FALSE)&amp;VLOOKUP(D409,契約台帳!$A$3:$K$4986,11,FALSE))</f>
        <v/>
      </c>
      <c r="G409" s="256" t="str">
        <f>IF(D409="","",VLOOKUP(F409,製品マスタ!$G$5:$H$4999,2,FALSE))</f>
        <v/>
      </c>
      <c r="H409" s="256" t="str">
        <f>IF(D409="","",VLOOKUP(F409,製品マスタ!$G$5:$K$4999,5,FALSE))</f>
        <v/>
      </c>
      <c r="I409" s="200" t="str">
        <f>IF(D409="","",VLOOKUP(F409,製品マスタ!$G$5:$L$4999,6,FALSE))</f>
        <v/>
      </c>
      <c r="J409" s="203" t="s">
        <v>448</v>
      </c>
      <c r="K409" s="200" t="str">
        <f>IF(D409="","",VLOOKUP(D409,契約台帳!$A$3:$L$4986,12,FALSE))</f>
        <v/>
      </c>
      <c r="L409" s="200" t="str">
        <f>IF(D409="","",INDEX(製品マスタ!$Q$5:$Q$4999,MATCH('S4'!F409&amp;'S4'!K409,製品マスタ!$AO$5:$AO$4999,0)))</f>
        <v/>
      </c>
      <c r="M409" s="37"/>
      <c r="N409" s="37"/>
      <c r="O409" s="153"/>
      <c r="P409" s="45"/>
      <c r="Q409" s="54"/>
      <c r="R409" s="257" t="str">
        <f ca="1">IF(D409="","",IF(OFFSET(D409,-1,0)&lt;&gt;"","",IF(OR(J409="リード付け",J409="巻足し",J409="巻返しリード付け"),M409,VLOOKUP(D409,契約台帳!$A$3:$N$4986,14,FALSE))))</f>
        <v/>
      </c>
      <c r="S409" s="258" t="str">
        <f ca="1">IF(D409="","",IF(OFFSET(D409,-1,0)&lt;&gt;"","",IF(OR(J409="リード付け",J409="巻足し",J409="巻返しリード付け"),M409,VLOOKUP(D409,契約台帳!$A$3:$O$4986,15,FALSE))))</f>
        <v/>
      </c>
      <c r="T409" s="258" t="str">
        <f ca="1">IF(D409="","",IF(J409="リード付け",N409,IF(J409="巻返しリード付け",N409,IF(J409="巻足し",N409*P409+OFFSET(N409,1,0)*OFFSET(P409,1,0),VLOOKUP(D409,契約台帳!$A$3:$P$4986,16,FALSE)))))</f>
        <v/>
      </c>
      <c r="U409" s="38"/>
      <c r="V409" s="259" t="str">
        <f ca="1">IF(D409="","",IF(OFFSET(D409,-2,0)=D409,"",VLOOKUP(D409,契約台帳!$A$3:$R$4986,18,FALSE)))</f>
        <v/>
      </c>
      <c r="W409" s="256" t="str">
        <f>IF(D409="","",IF(T409="","",IF(OR(J409="巻足し",J409="巻返しリード付け"),"",IF(J409="巻返し",VLOOKUP(F409&amp;K409&amp;M409,製品マスタ!$M$5:$AD$4999,18,FALSE),IF(OR(J409="リード付け",J409="巻返しリード付け"),"原反コア",IF(J409="スリット",VLOOKUP(F409&amp;K409&amp;R409,製品マスタ!$N$5:$AD$4999,17,FALSE),""))))))</f>
        <v/>
      </c>
      <c r="X409" s="256" t="str">
        <f>IF(D409="","",IF(T409="","",IF(J409="巻足し","",IF(J409="巻返し",VLOOKUP(F409&amp;K409&amp;M409,製品マスタ!$M$5:$AE$4999,19,FALSE),IF(OR(J409="リード付け",J409="巻返しリード付け"),"",IF(J409="スリット",VLOOKUP(F409&amp;K409&amp;R409,製品マスタ!$N$5:$AE$4999,18,FALSE),""))))))</f>
        <v/>
      </c>
      <c r="Y409" s="256" t="str">
        <f>IF(D409="","",IF(T409="","",VLOOKUP(D409,契約台帳!$A$3:$Q$4986,17,FALSE)))</f>
        <v/>
      </c>
      <c r="Z409" s="256" t="str">
        <f>IF(D409="","",IF(T409="","",VLOOKUP(D409,契約台帳!$A$3:$E$4986,5,FALSE)))</f>
        <v/>
      </c>
      <c r="AA409" s="54"/>
      <c r="AB409" s="200" t="str">
        <f>IFERROR((VLOOKUP(F409&amp;K409&amp;M409,製品マスタ!$M$5:$AM$4999,27,FALSE)),"")</f>
        <v/>
      </c>
      <c r="AC409" s="31"/>
      <c r="AD409" s="184"/>
      <c r="AE409" s="51"/>
      <c r="AF409" s="52"/>
      <c r="AG409" s="41"/>
      <c r="AH409" s="45"/>
      <c r="AI409" s="28"/>
      <c r="AJ409" s="28"/>
      <c r="AK409" s="28"/>
      <c r="AL409" s="28"/>
      <c r="AM409" s="12"/>
      <c r="AN409" s="12"/>
      <c r="AO409" s="12"/>
      <c r="AP409" s="12"/>
      <c r="AQ409" s="12"/>
      <c r="AR409" s="13"/>
      <c r="AS409" s="14"/>
    </row>
    <row r="410" spans="1:45" s="16" customFormat="1" ht="30.95" hidden="1" customHeight="1" x14ac:dyDescent="0.2">
      <c r="A410" s="35"/>
      <c r="B410" s="36"/>
      <c r="C410" s="43"/>
      <c r="D410" s="29"/>
      <c r="E410" s="29"/>
      <c r="F410" s="255" t="str">
        <f>IF(D410="","",VLOOKUP(D410,契約台帳!$A$3:$K$4986,6,FALSE)&amp;VLOOKUP(D410,契約台帳!$A$3:$K$4986,7,FALSE)&amp;VLOOKUP(D410,契約台帳!$A$3:$K$4986,8,FALSE)&amp;VLOOKUP(D410,契約台帳!$A$3:$K$4986,9,FALSE)&amp;VLOOKUP(D410,契約台帳!$A$3:$K$4986,11,FALSE))</f>
        <v/>
      </c>
      <c r="G410" s="256" t="str">
        <f>IF(D410="","",VLOOKUP(F410,製品マスタ!$G$5:$H$4999,2,FALSE))</f>
        <v/>
      </c>
      <c r="H410" s="256" t="str">
        <f>IF(D410="","",VLOOKUP(F410,製品マスタ!$G$5:$K$4999,5,FALSE))</f>
        <v/>
      </c>
      <c r="I410" s="200" t="str">
        <f>IF(D410="","",VLOOKUP(F410,製品マスタ!$G$5:$L$4999,6,FALSE))</f>
        <v/>
      </c>
      <c r="J410" s="203"/>
      <c r="K410" s="200" t="str">
        <f>IF(D410="","",VLOOKUP(D410,契約台帳!$A$3:$L$4986,12,FALSE))</f>
        <v/>
      </c>
      <c r="L410" s="200" t="str">
        <f>IF(D410="","",INDEX(製品マスタ!$Q$5:$Q$4999,MATCH('S4'!F410&amp;'S4'!K410,製品マスタ!$AO$5:$AO$4999,0)))</f>
        <v/>
      </c>
      <c r="M410" s="37"/>
      <c r="N410" s="37"/>
      <c r="O410" s="153"/>
      <c r="P410" s="45"/>
      <c r="Q410" s="54"/>
      <c r="R410" s="257" t="str">
        <f ca="1">IF(D410="","",IF(OFFSET(D410,-1,0)&lt;&gt;"","",IF(OR(J410="リード付け",J410="巻足し",J410="巻返しリード付け"),M410,VLOOKUP(D410,契約台帳!$A$3:$N$4986,14,FALSE))))</f>
        <v/>
      </c>
      <c r="S410" s="258" t="str">
        <f ca="1">IF(D410="","",IF(OFFSET(D410,-1,0)&lt;&gt;"","",IF(OR(J410="リード付け",J410="巻足し",J410="巻返しリード付け"),M410,VLOOKUP(D410,契約台帳!$A$3:$O$4986,15,FALSE))))</f>
        <v/>
      </c>
      <c r="T410" s="258" t="str">
        <f ca="1">IF(D410="","",IF(J410="リード付け",N410,IF(J410="巻返しリード付け",N410,IF(J410="巻足し",N410*P410+OFFSET(N410,1,0)*OFFSET(P410,1,0),VLOOKUP(D410,契約台帳!$A$3:$P$4986,16,FALSE)))))</f>
        <v/>
      </c>
      <c r="U410" s="38"/>
      <c r="V410" s="259" t="str">
        <f ca="1">IF(D410="","",IF(OFFSET(D410,-2,0)=D410,"",VLOOKUP(D410,契約台帳!$A$3:$R$4986,18,FALSE)))</f>
        <v/>
      </c>
      <c r="W410" s="256" t="str">
        <f>IF(D410="","",IF(T410="","",IF(OR(J410="巻足し",J410="巻返しリード付け"),"",IF(J410="巻返し",VLOOKUP(F410&amp;K410&amp;M410,製品マスタ!$M$5:$AD$4999,18,FALSE),IF(OR(J410="リード付け",J410="巻返しリード付け"),"原反コア",IF(J410="スリット",VLOOKUP(F410&amp;K410&amp;R410,製品マスタ!$N$5:$AD$4999,17,FALSE),""))))))</f>
        <v/>
      </c>
      <c r="X410" s="256" t="str">
        <f>IF(D410="","",IF(T410="","",IF(J410="巻足し","",IF(J410="巻返し",VLOOKUP(F410&amp;K410&amp;M410,製品マスタ!$M$5:$AE$4999,19,FALSE),IF(OR(J410="リード付け",J410="巻返しリード付け"),"",IF(J410="スリット",VLOOKUP(F410&amp;K410&amp;R410,製品マスタ!$N$5:$AE$4999,18,FALSE),""))))))</f>
        <v/>
      </c>
      <c r="Y410" s="256" t="str">
        <f>IF(D410="","",IF(T410="","",VLOOKUP(D410,契約台帳!$A$3:$Q$4986,17,FALSE)))</f>
        <v/>
      </c>
      <c r="Z410" s="256" t="str">
        <f>IF(D410="","",IF(T410="","",VLOOKUP(D410,契約台帳!$A$3:$E$4986,5,FALSE)))</f>
        <v/>
      </c>
      <c r="AA410" s="54"/>
      <c r="AB410" s="200" t="str">
        <f>IFERROR((VLOOKUP(F410&amp;K410&amp;M410,製品マスタ!$M$5:$AM$4999,27,FALSE)),"")</f>
        <v/>
      </c>
      <c r="AC410" s="31"/>
      <c r="AD410" s="184"/>
      <c r="AE410" s="51"/>
      <c r="AF410" s="52"/>
      <c r="AG410" s="41"/>
      <c r="AH410" s="45"/>
      <c r="AI410" s="28"/>
      <c r="AJ410" s="28"/>
      <c r="AK410" s="28"/>
      <c r="AL410" s="28"/>
      <c r="AM410" s="12"/>
      <c r="AN410" s="12"/>
      <c r="AO410" s="12"/>
      <c r="AP410" s="12"/>
      <c r="AQ410" s="12"/>
      <c r="AR410" s="13"/>
      <c r="AS410" s="14"/>
    </row>
    <row r="411" spans="1:45" s="16" customFormat="1" ht="30.95" hidden="1" customHeight="1" x14ac:dyDescent="0.2">
      <c r="A411" s="35" t="s">
        <v>981</v>
      </c>
      <c r="B411" s="36" t="s">
        <v>960</v>
      </c>
      <c r="C411" s="43"/>
      <c r="D411" s="29"/>
      <c r="E411" s="29"/>
      <c r="F411" s="255" t="str">
        <f>IF(D411="","",VLOOKUP(D411,契約台帳!$A$3:$K$4986,6,FALSE)&amp;VLOOKUP(D411,契約台帳!$A$3:$K$4986,7,FALSE)&amp;VLOOKUP(D411,契約台帳!$A$3:$K$4986,8,FALSE)&amp;VLOOKUP(D411,契約台帳!$A$3:$K$4986,9,FALSE)&amp;VLOOKUP(D411,契約台帳!$A$3:$K$4986,11,FALSE))</f>
        <v/>
      </c>
      <c r="G411" s="256" t="str">
        <f>IF(D411="","",VLOOKUP(F411,製品マスタ!$G$5:$H$4999,2,FALSE))</f>
        <v/>
      </c>
      <c r="H411" s="256" t="str">
        <f>IF(D411="","",VLOOKUP(F411,製品マスタ!$G$5:$K$4999,5,FALSE))</f>
        <v/>
      </c>
      <c r="I411" s="200" t="str">
        <f>IF(D411="","",VLOOKUP(F411,製品マスタ!$G$5:$L$4999,6,FALSE))</f>
        <v/>
      </c>
      <c r="J411" s="203" t="s">
        <v>448</v>
      </c>
      <c r="K411" s="200" t="str">
        <f>IF(D411="","",VLOOKUP(D411,契約台帳!$A$3:$L$4986,12,FALSE))</f>
        <v/>
      </c>
      <c r="L411" s="200" t="str">
        <f>IF(D411="","",INDEX(製品マスタ!$Q$5:$Q$4999,MATCH('S4'!F411&amp;'S4'!K411,製品マスタ!$AO$5:$AO$4999,0)))</f>
        <v/>
      </c>
      <c r="M411" s="37"/>
      <c r="N411" s="37"/>
      <c r="O411" s="153"/>
      <c r="P411" s="45"/>
      <c r="Q411" s="54"/>
      <c r="R411" s="257" t="str">
        <f ca="1">IF(D411="","",IF(OFFSET(D411,-1,0)&lt;&gt;"","",IF(OR(J411="リード付け",J411="巻足し",J411="巻返しリード付け"),M411,VLOOKUP(D411,契約台帳!$A$3:$N$4986,14,FALSE))))</f>
        <v/>
      </c>
      <c r="S411" s="258" t="str">
        <f ca="1">IF(D411="","",IF(OFFSET(D411,-1,0)&lt;&gt;"","",IF(OR(J411="リード付け",J411="巻足し",J411="巻返しリード付け"),M411,VLOOKUP(D411,契約台帳!$A$3:$O$4986,15,FALSE))))</f>
        <v/>
      </c>
      <c r="T411" s="258" t="str">
        <f ca="1">IF(D411="","",IF(J411="リード付け",N411,IF(J411="巻返しリード付け",N411,IF(J411="巻足し",N411*P411+OFFSET(N411,1,0)*OFFSET(P411,1,0),VLOOKUP(D411,契約台帳!$A$3:$P$4986,16,FALSE)))))</f>
        <v/>
      </c>
      <c r="U411" s="38"/>
      <c r="V411" s="259" t="str">
        <f ca="1">IF(D411="","",IF(OFFSET(D411,-2,0)=D411,"",VLOOKUP(D411,契約台帳!$A$3:$R$4986,18,FALSE)))</f>
        <v/>
      </c>
      <c r="W411" s="256" t="str">
        <f>IF(D411="","",IF(T411="","",IF(OR(J411="巻足し",J411="巻返しリード付け"),"",IF(J411="巻返し",VLOOKUP(F411&amp;K411&amp;M411,製品マスタ!$M$5:$AD$4999,18,FALSE),IF(OR(J411="リード付け",J411="巻返しリード付け"),"原反コア",IF(J411="スリット",VLOOKUP(F411&amp;K411&amp;R411,製品マスタ!$N$5:$AD$4999,17,FALSE),""))))))</f>
        <v/>
      </c>
      <c r="X411" s="256" t="str">
        <f>IF(D411="","",IF(T411="","",IF(J411="巻足し","",IF(J411="巻返し",VLOOKUP(F411&amp;K411&amp;M411,製品マスタ!$M$5:$AE$4999,19,FALSE),IF(OR(J411="リード付け",J411="巻返しリード付け"),"",IF(J411="スリット",VLOOKUP(F411&amp;K411&amp;R411,製品マスタ!$N$5:$AE$4999,18,FALSE),""))))))</f>
        <v/>
      </c>
      <c r="Y411" s="256" t="str">
        <f>IF(D411="","",IF(T411="","",VLOOKUP(D411,契約台帳!$A$3:$Q$4986,17,FALSE)))</f>
        <v/>
      </c>
      <c r="Z411" s="256" t="str">
        <f>IF(D411="","",IF(T411="","",VLOOKUP(D411,契約台帳!$A$3:$E$4986,5,FALSE)))</f>
        <v/>
      </c>
      <c r="AA411" s="54"/>
      <c r="AB411" s="200" t="str">
        <f>IFERROR((VLOOKUP(F411&amp;K411&amp;M411,製品マスタ!$M$5:$AM$4999,27,FALSE)),"")</f>
        <v/>
      </c>
      <c r="AC411" s="31"/>
      <c r="AD411" s="184"/>
      <c r="AE411" s="51"/>
      <c r="AF411" s="52"/>
      <c r="AG411" s="41"/>
      <c r="AH411" s="45"/>
      <c r="AI411" s="28"/>
      <c r="AJ411" s="28"/>
      <c r="AK411" s="28"/>
      <c r="AL411" s="28"/>
      <c r="AM411" s="12"/>
      <c r="AN411" s="12"/>
      <c r="AO411" s="12"/>
      <c r="AP411" s="12"/>
      <c r="AQ411" s="12"/>
      <c r="AR411" s="13"/>
      <c r="AS411" s="14"/>
    </row>
    <row r="412" spans="1:45" s="16" customFormat="1" ht="30.95" hidden="1" customHeight="1" x14ac:dyDescent="0.2">
      <c r="A412" s="35"/>
      <c r="B412" s="36"/>
      <c r="C412" s="43"/>
      <c r="D412" s="29"/>
      <c r="E412" s="29"/>
      <c r="F412" s="255" t="str">
        <f>IF(D412="","",VLOOKUP(D412,契約台帳!$A$3:$K$4986,6,FALSE)&amp;VLOOKUP(D412,契約台帳!$A$3:$K$4986,7,FALSE)&amp;VLOOKUP(D412,契約台帳!$A$3:$K$4986,8,FALSE)&amp;VLOOKUP(D412,契約台帳!$A$3:$K$4986,9,FALSE)&amp;VLOOKUP(D412,契約台帳!$A$3:$K$4986,11,FALSE))</f>
        <v/>
      </c>
      <c r="G412" s="256" t="str">
        <f>IF(D412="","",VLOOKUP(F412,製品マスタ!$G$5:$H$4999,2,FALSE))</f>
        <v/>
      </c>
      <c r="H412" s="256" t="str">
        <f>IF(D412="","",VLOOKUP(F412,製品マスタ!$G$5:$K$4999,5,FALSE))</f>
        <v/>
      </c>
      <c r="I412" s="200" t="str">
        <f>IF(D412="","",VLOOKUP(F412,製品マスタ!$G$5:$L$4999,6,FALSE))</f>
        <v/>
      </c>
      <c r="J412" s="203"/>
      <c r="K412" s="200" t="str">
        <f>IF(D412="","",VLOOKUP(D412,契約台帳!$A$3:$L$4986,12,FALSE))</f>
        <v/>
      </c>
      <c r="L412" s="200" t="str">
        <f>IF(D412="","",INDEX(製品マスタ!$Q$5:$Q$4999,MATCH('S4'!F412&amp;'S4'!K412,製品マスタ!$AO$5:$AO$4999,0)))</f>
        <v/>
      </c>
      <c r="M412" s="37"/>
      <c r="N412" s="37"/>
      <c r="O412" s="153"/>
      <c r="P412" s="45"/>
      <c r="Q412" s="54"/>
      <c r="R412" s="257" t="str">
        <f ca="1">IF(D412="","",IF(OFFSET(D412,-1,0)&lt;&gt;"","",IF(OR(J412="リード付け",J412="巻足し",J412="巻返しリード付け"),M412,VLOOKUP(D412,契約台帳!$A$3:$N$4986,14,FALSE))))</f>
        <v/>
      </c>
      <c r="S412" s="258" t="str">
        <f ca="1">IF(D412="","",IF(OFFSET(D412,-1,0)&lt;&gt;"","",IF(OR(J412="リード付け",J412="巻足し",J412="巻返しリード付け"),M412,VLOOKUP(D412,契約台帳!$A$3:$O$4986,15,FALSE))))</f>
        <v/>
      </c>
      <c r="T412" s="258" t="str">
        <f ca="1">IF(D412="","",IF(J412="リード付け",N412,IF(J412="巻返しリード付け",N412,IF(J412="巻足し",N412*P412+OFFSET(N412,1,0)*OFFSET(P412,1,0),VLOOKUP(D412,契約台帳!$A$3:$P$4986,16,FALSE)))))</f>
        <v/>
      </c>
      <c r="U412" s="38"/>
      <c r="V412" s="259" t="str">
        <f ca="1">IF(D412="","",IF(OFFSET(D412,-2,0)=D412,"",VLOOKUP(D412,契約台帳!$A$3:$R$4986,18,FALSE)))</f>
        <v/>
      </c>
      <c r="W412" s="256" t="str">
        <f>IF(D412="","",IF(T412="","",IF(OR(J412="巻足し",J412="巻返しリード付け"),"",IF(J412="巻返し",VLOOKUP(F412&amp;K412&amp;M412,製品マスタ!$M$5:$AD$4999,18,FALSE),IF(OR(J412="リード付け",J412="巻返しリード付け"),"原反コア",IF(J412="スリット",VLOOKUP(F412&amp;K412&amp;R412,製品マスタ!$N$5:$AD$4999,17,FALSE),""))))))</f>
        <v/>
      </c>
      <c r="X412" s="256" t="str">
        <f>IF(D412="","",IF(T412="","",IF(J412="巻足し","",IF(J412="巻返し",VLOOKUP(F412&amp;K412&amp;M412,製品マスタ!$M$5:$AE$4999,19,FALSE),IF(OR(J412="リード付け",J412="巻返しリード付け"),"",IF(J412="スリット",VLOOKUP(F412&amp;K412&amp;R412,製品マスタ!$N$5:$AE$4999,18,FALSE),""))))))</f>
        <v/>
      </c>
      <c r="Y412" s="256" t="str">
        <f>IF(D412="","",IF(T412="","",VLOOKUP(D412,契約台帳!$A$3:$Q$4986,17,FALSE)))</f>
        <v/>
      </c>
      <c r="Z412" s="256" t="str">
        <f>IF(D412="","",IF(T412="","",VLOOKUP(D412,契約台帳!$A$3:$E$4986,5,FALSE)))</f>
        <v/>
      </c>
      <c r="AA412" s="54"/>
      <c r="AB412" s="200" t="str">
        <f>IFERROR((VLOOKUP(F412&amp;K412&amp;M412,製品マスタ!$M$5:$AM$4999,27,FALSE)),"")</f>
        <v/>
      </c>
      <c r="AC412" s="31"/>
      <c r="AD412" s="184"/>
      <c r="AE412" s="51"/>
      <c r="AF412" s="52"/>
      <c r="AG412" s="41"/>
      <c r="AH412" s="45"/>
      <c r="AI412" s="28"/>
      <c r="AJ412" s="28"/>
      <c r="AK412" s="28"/>
      <c r="AL412" s="28"/>
      <c r="AM412" s="12"/>
      <c r="AN412" s="12"/>
      <c r="AO412" s="12"/>
      <c r="AP412" s="12"/>
      <c r="AQ412" s="12"/>
      <c r="AR412" s="13"/>
      <c r="AS412" s="14"/>
    </row>
    <row r="413" spans="1:45" s="16" customFormat="1" ht="30.95" hidden="1" customHeight="1" x14ac:dyDescent="0.2">
      <c r="A413" s="35" t="s">
        <v>1019</v>
      </c>
      <c r="B413" s="36" t="s">
        <v>1020</v>
      </c>
      <c r="C413" s="43"/>
      <c r="D413" s="29"/>
      <c r="E413" s="29"/>
      <c r="F413" s="255"/>
      <c r="G413" s="256"/>
      <c r="H413" s="256"/>
      <c r="I413" s="200"/>
      <c r="J413" s="203" t="s">
        <v>1021</v>
      </c>
      <c r="K413" s="200"/>
      <c r="L413" s="200"/>
      <c r="M413" s="37"/>
      <c r="N413" s="37"/>
      <c r="O413" s="153"/>
      <c r="P413" s="45"/>
      <c r="Q413" s="54"/>
      <c r="R413" s="257"/>
      <c r="S413" s="258"/>
      <c r="T413" s="258"/>
      <c r="U413" s="38"/>
      <c r="V413" s="259"/>
      <c r="W413" s="256"/>
      <c r="X413" s="256"/>
      <c r="Y413" s="256"/>
      <c r="Z413" s="256"/>
      <c r="AA413" s="54"/>
      <c r="AB413" s="200"/>
      <c r="AC413" s="31"/>
      <c r="AD413" s="184"/>
      <c r="AE413" s="51"/>
      <c r="AF413" s="52"/>
      <c r="AG413" s="41"/>
      <c r="AH413" s="45"/>
      <c r="AI413" s="28"/>
      <c r="AJ413" s="28"/>
      <c r="AK413" s="28"/>
      <c r="AL413" s="28"/>
      <c r="AM413" s="12"/>
      <c r="AN413" s="12"/>
      <c r="AO413" s="12"/>
      <c r="AP413" s="12"/>
      <c r="AQ413" s="12"/>
      <c r="AR413" s="13"/>
      <c r="AS413" s="14"/>
    </row>
    <row r="414" spans="1:45" s="16" customFormat="1" ht="30.95" hidden="1" customHeight="1" x14ac:dyDescent="0.2">
      <c r="A414" s="35"/>
      <c r="B414" s="36"/>
      <c r="C414" s="43"/>
      <c r="D414" s="29"/>
      <c r="E414" s="29"/>
      <c r="F414" s="255"/>
      <c r="G414" s="256"/>
      <c r="H414" s="256"/>
      <c r="I414" s="200"/>
      <c r="J414" s="203"/>
      <c r="K414" s="200"/>
      <c r="L414" s="200"/>
      <c r="M414" s="37"/>
      <c r="N414" s="37"/>
      <c r="O414" s="153"/>
      <c r="P414" s="45"/>
      <c r="Q414" s="54"/>
      <c r="R414" s="257"/>
      <c r="S414" s="258"/>
      <c r="T414" s="258"/>
      <c r="U414" s="38"/>
      <c r="V414" s="259"/>
      <c r="W414" s="256"/>
      <c r="X414" s="256"/>
      <c r="Y414" s="256"/>
      <c r="Z414" s="256"/>
      <c r="AA414" s="54"/>
      <c r="AB414" s="200"/>
      <c r="AC414" s="31"/>
      <c r="AD414" s="184"/>
      <c r="AE414" s="51"/>
      <c r="AF414" s="52"/>
      <c r="AG414" s="41"/>
      <c r="AH414" s="45"/>
      <c r="AI414" s="28"/>
      <c r="AJ414" s="28"/>
      <c r="AK414" s="28"/>
      <c r="AL414" s="28"/>
      <c r="AM414" s="12"/>
      <c r="AN414" s="12"/>
      <c r="AO414" s="12"/>
      <c r="AP414" s="12"/>
      <c r="AQ414" s="12"/>
      <c r="AR414" s="13"/>
      <c r="AS414" s="14"/>
    </row>
    <row r="415" spans="1:45" s="16" customFormat="1" ht="30.95" hidden="1" customHeight="1" x14ac:dyDescent="0.2">
      <c r="A415" s="35"/>
      <c r="B415" s="36"/>
      <c r="C415" s="43"/>
      <c r="D415" s="29">
        <v>3704463</v>
      </c>
      <c r="E415" s="29">
        <v>4161880</v>
      </c>
      <c r="F415" s="255" t="str">
        <f>IF(D415="","",VLOOKUP(D415,契約台帳!$A$3:$K$4986,6,FALSE)&amp;VLOOKUP(D415,契約台帳!$A$3:$K$4986,7,FALSE)&amp;VLOOKUP(D415,契約台帳!$A$3:$K$4986,8,FALSE)&amp;VLOOKUP(D415,契約台帳!$A$3:$K$4986,9,FALSE)&amp;VLOOKUP(D415,契約台帳!$A$3:$K$4986,11,FALSE))</f>
        <v>3SNMCLBMSNEYK</v>
      </c>
      <c r="G415" s="256" t="str">
        <f>IF(D415="","",VLOOKUP(F415,製品マスタ!$G$5:$H$4999,2,FALSE))</f>
        <v>S</v>
      </c>
      <c r="H415" s="256" t="str">
        <f>IF(D415="","",VLOOKUP(F415,製品マスタ!$G$5:$K$4999,5,FALSE))</f>
        <v>MSNEYK</v>
      </c>
      <c r="I415" s="200" t="str">
        <f>IF(D415="","",VLOOKUP(F415,製品マスタ!$G$5:$L$4999,6,FALSE))</f>
        <v>ＭＳＮ　ＥＹＫ</v>
      </c>
      <c r="J415" s="203" t="s">
        <v>935</v>
      </c>
      <c r="K415" s="200">
        <f>IF(D415="","",VLOOKUP(D415,契約台帳!$A$3:$L$4986,12,FALSE))</f>
        <v>50</v>
      </c>
      <c r="L415" s="200" t="str">
        <f>IF(D415="","",INDEX(製品マスタ!$Q$5:$Q$4999,MATCH('S4'!F415&amp;'S4'!K415,製品マスタ!$AO$5:$AO$4999,0)))</f>
        <v>N-MAT</v>
      </c>
      <c r="M415" s="37">
        <v>1200</v>
      </c>
      <c r="N415" s="37">
        <v>6000</v>
      </c>
      <c r="O415" s="153">
        <v>4</v>
      </c>
      <c r="P415" s="45">
        <v>2</v>
      </c>
      <c r="Q415" s="206">
        <v>45019</v>
      </c>
      <c r="R415" s="257">
        <f ca="1">IF(D415="","",IF(OFFSET(D415,-1,0)&lt;&gt;"","",IF(OR(J415="リード付け",J415="巻足し",J415="巻返しリード付け"),M415,VLOOKUP(D415,契約台帳!$A$3:$N$4986,14,FALSE))))</f>
        <v>1200</v>
      </c>
      <c r="S415" s="258">
        <f ca="1">IF(D415="","",IF(OFFSET(D415,-1,0)&lt;&gt;"","",IF(OR(J415="リード付け",J415="巻足し",J415="巻返しリード付け"),M415,VLOOKUP(D415,契約台帳!$A$3:$O$4986,15,FALSE))))</f>
        <v>1200</v>
      </c>
      <c r="T415" s="258">
        <f ca="1">IF(D415="","",IF(J415="リード付け",N415,IF(J415="巻返しリード付け",N415,IF(J415="巻足し",N415*P415+OFFSET(N415,1,0)*OFFSET(P415,1,0),VLOOKUP(D415,契約台帳!$A$3:$P$4986,16,FALSE)))))</f>
        <v>12000</v>
      </c>
      <c r="U415" s="38">
        <v>2</v>
      </c>
      <c r="V415" s="259">
        <f ca="1">IF(D415="","",IF(OFFSET(D415,-2,0)=D415,"",VLOOKUP(D415,契約台帳!$A$3:$R$4986,18,FALSE)))</f>
        <v>4</v>
      </c>
      <c r="W415" s="256" t="str">
        <f ca="1">IF(D415="","",IF(T415="","",IF(OR(J415="巻足し",J415="巻返しリード付け"),"",IF(J415="巻返し",VLOOKUP(F415&amp;K415&amp;M415,製品マスタ!$M$5:$AD$4999,18,FALSE),IF(OR(J415="リード付け",J415="巻返しリード付け"),"原反コア",IF(J415="スリット",VLOOKUP(F415&amp;K415&amp;R415,製品マスタ!$N$5:$AD$4999,17,FALSE),""))))))</f>
        <v/>
      </c>
      <c r="X415" s="256" t="str">
        <f ca="1">IF(D415="","",IF(T415="","",IF(J415="巻足し","",IF(J415="巻返し",VLOOKUP(F415&amp;K415&amp;M415,製品マスタ!$M$5:$AE$4999,19,FALSE),IF(OR(J415="リード付け",J415="巻返しリード付け"),"",IF(J415="スリット",VLOOKUP(F415&amp;K415&amp;R415,製品マスタ!$N$5:$AE$4999,18,FALSE),""))))))</f>
        <v/>
      </c>
      <c r="Y415" s="256">
        <f ca="1">IF(D415="","",IF(T415="","",VLOOKUP(D415,契約台帳!$A$3:$Q$4986,17,FALSE)))</f>
        <v>2</v>
      </c>
      <c r="Z415" s="256" t="str">
        <f ca="1">IF(D415="","",IF(T415="","",VLOOKUP(D415,契約台帳!$A$3:$E$4986,5,FALSE)))</f>
        <v>大阪シーリング印刷㈱</v>
      </c>
      <c r="AA415" s="54"/>
      <c r="AB415" s="200" t="str">
        <f>IFERROR((VLOOKUP(F415&amp;K415&amp;M415,製品マスタ!$M$5:$AM$4999,27,FALSE)),"")</f>
        <v>原反ケース再利用</v>
      </c>
      <c r="AC415" s="31"/>
      <c r="AD415" s="184"/>
      <c r="AE415" s="51"/>
      <c r="AF415" s="52"/>
      <c r="AG415" s="41"/>
      <c r="AH415" s="45"/>
      <c r="AI415" s="28"/>
      <c r="AJ415" s="28"/>
      <c r="AK415" s="28"/>
      <c r="AL415" s="28"/>
      <c r="AM415" s="12"/>
      <c r="AN415" s="12"/>
      <c r="AO415" s="12"/>
      <c r="AP415" s="12"/>
      <c r="AQ415" s="12"/>
      <c r="AR415" s="13"/>
      <c r="AS415" s="14"/>
    </row>
    <row r="416" spans="1:45" s="16" customFormat="1" ht="30.95" hidden="1" customHeight="1" x14ac:dyDescent="0.2">
      <c r="A416" s="35"/>
      <c r="B416" s="36"/>
      <c r="C416" s="43"/>
      <c r="D416" s="29"/>
      <c r="E416" s="29"/>
      <c r="F416" s="255" t="str">
        <f>IF(D416="","",VLOOKUP(D416,契約台帳!$A$3:$K$4986,6,FALSE)&amp;VLOOKUP(D416,契約台帳!$A$3:$K$4986,7,FALSE)&amp;VLOOKUP(D416,契約台帳!$A$3:$K$4986,8,FALSE)&amp;VLOOKUP(D416,契約台帳!$A$3:$K$4986,9,FALSE)&amp;VLOOKUP(D416,契約台帳!$A$3:$K$4986,11,FALSE))</f>
        <v/>
      </c>
      <c r="G416" s="256" t="str">
        <f>IF(D416="","",VLOOKUP(F416,製品マスタ!$G$5:$H$4999,2,FALSE))</f>
        <v/>
      </c>
      <c r="H416" s="256" t="str">
        <f>IF(D416="","",VLOOKUP(F416,製品マスタ!$G$5:$K$4999,5,FALSE))</f>
        <v/>
      </c>
      <c r="I416" s="200" t="str">
        <f>IF(D416="","",VLOOKUP(F416,製品マスタ!$G$5:$L$4999,6,FALSE))</f>
        <v/>
      </c>
      <c r="J416" s="203"/>
      <c r="K416" s="200" t="str">
        <f>IF(D416="","",VLOOKUP(D416,契約台帳!$A$3:$L$4986,12,FALSE))</f>
        <v/>
      </c>
      <c r="L416" s="200" t="str">
        <f>IF(D416="","",INDEX(製品マスタ!$Q$5:$Q$4999,MATCH('S4'!F416&amp;'S4'!K416,製品マスタ!$AO$5:$AO$4999,0)))</f>
        <v/>
      </c>
      <c r="M416" s="37"/>
      <c r="N416" s="37"/>
      <c r="O416" s="153"/>
      <c r="P416" s="45"/>
      <c r="Q416" s="54"/>
      <c r="R416" s="257" t="str">
        <f ca="1">IF(D416="","",IF(OFFSET(D416,-1,0)&lt;&gt;"","",IF(OR(J416="リード付け",J416="巻足し",J416="巻返しリード付け"),M416,VLOOKUP(D416,契約台帳!$A$3:$N$4986,14,FALSE))))</f>
        <v/>
      </c>
      <c r="S416" s="258" t="str">
        <f ca="1">IF(D416="","",IF(OFFSET(D416,-1,0)&lt;&gt;"","",IF(OR(J416="リード付け",J416="巻足し",J416="巻返しリード付け"),M416,VLOOKUP(D416,契約台帳!$A$3:$O$4986,15,FALSE))))</f>
        <v/>
      </c>
      <c r="T416" s="258" t="str">
        <f ca="1">IF(D416="","",IF(J416="リード付け",N416,IF(J416="巻返しリード付け",N416,IF(J416="巻足し",N416*P416+OFFSET(N416,1,0)*OFFSET(P416,1,0),VLOOKUP(D416,契約台帳!$A$3:$P$4986,16,FALSE)))))</f>
        <v/>
      </c>
      <c r="U416" s="38"/>
      <c r="V416" s="259" t="str">
        <f ca="1">IF(D416="","",IF(OFFSET(D416,-2,0)=D416,"",VLOOKUP(D416,契約台帳!$A$3:$R$4986,18,FALSE)))</f>
        <v/>
      </c>
      <c r="W416" s="256" t="str">
        <f>IF(D416="","",IF(T416="","",IF(OR(J416="巻足し",J416="巻返しリード付け"),"",IF(J416="巻返し",VLOOKUP(F416&amp;K416&amp;M416,製品マスタ!$M$5:$AD$4999,18,FALSE),IF(OR(J416="リード付け",J416="巻返しリード付け"),"原反コア",IF(J416="スリット",VLOOKUP(F416&amp;K416&amp;R416,製品マスタ!$N$5:$AD$4999,17,FALSE),""))))))</f>
        <v/>
      </c>
      <c r="X416" s="256" t="str">
        <f>IF(D416="","",IF(T416="","",IF(J416="巻足し","",IF(J416="巻返し",VLOOKUP(F416&amp;K416&amp;M416,製品マスタ!$M$5:$AE$4999,19,FALSE),IF(OR(J416="リード付け",J416="巻返しリード付け"),"",IF(J416="スリット",VLOOKUP(F416&amp;K416&amp;R416,製品マスタ!$N$5:$AE$4999,18,FALSE),""))))))</f>
        <v/>
      </c>
      <c r="Y416" s="256" t="str">
        <f>IF(D416="","",IF(T416="","",VLOOKUP(D416,契約台帳!$A$3:$Q$4986,17,FALSE)))</f>
        <v/>
      </c>
      <c r="Z416" s="256" t="str">
        <f>IF(D416="","",IF(T416="","",VLOOKUP(D416,契約台帳!$A$3:$E$4986,5,FALSE)))</f>
        <v/>
      </c>
      <c r="AA416" s="54"/>
      <c r="AB416" s="200" t="str">
        <f>IFERROR((VLOOKUP(F416&amp;K416&amp;M416,製品マスタ!$M$5:$AM$4999,27,FALSE)),"")</f>
        <v/>
      </c>
      <c r="AC416" s="31"/>
      <c r="AD416" s="184"/>
      <c r="AE416" s="51"/>
      <c r="AF416" s="52"/>
      <c r="AG416" s="41"/>
      <c r="AH416" s="45"/>
      <c r="AI416" s="28"/>
      <c r="AJ416" s="28"/>
      <c r="AK416" s="28"/>
      <c r="AL416" s="28"/>
      <c r="AM416" s="12"/>
      <c r="AN416" s="12"/>
      <c r="AO416" s="12"/>
      <c r="AP416" s="12"/>
      <c r="AQ416" s="12"/>
      <c r="AR416" s="13"/>
      <c r="AS416" s="14"/>
    </row>
    <row r="417" spans="1:45" s="16" customFormat="1" ht="30.95" hidden="1" customHeight="1" x14ac:dyDescent="0.2">
      <c r="A417" s="35"/>
      <c r="B417" s="36"/>
      <c r="C417" s="43"/>
      <c r="D417" s="29">
        <v>3704002</v>
      </c>
      <c r="E417" s="29">
        <v>4161881</v>
      </c>
      <c r="F417" s="255" t="str">
        <f>IF(D417="","",VLOOKUP(D417,契約台帳!$A$3:$K$4986,6,FALSE)&amp;VLOOKUP(D417,契約台帳!$A$3:$K$4986,7,FALSE)&amp;VLOOKUP(D417,契約台帳!$A$3:$K$4986,8,FALSE)&amp;VLOOKUP(D417,契約台帳!$A$3:$K$4986,9,FALSE)&amp;VLOOKUP(D417,契約台帳!$A$3:$K$4986,11,FALSE))</f>
        <v>3HSNMCLBEYK</v>
      </c>
      <c r="G417" s="256" t="str">
        <f>IF(D417="","",VLOOKUP(F417,製品マスタ!$G$5:$H$4999,2,FALSE))</f>
        <v>S</v>
      </c>
      <c r="H417" s="256" t="str">
        <f>IF(D417="","",VLOOKUP(F417,製品マスタ!$G$5:$K$4999,5,FALSE))</f>
        <v>EYK</v>
      </c>
      <c r="I417" s="200" t="str">
        <f>IF(D417="","",VLOOKUP(F417,製品マスタ!$G$5:$L$4999,6,FALSE))</f>
        <v>メタルミー　ＥＹＫ</v>
      </c>
      <c r="J417" s="203" t="s">
        <v>464</v>
      </c>
      <c r="K417" s="200">
        <f>IF(D417="","",VLOOKUP(D417,契約台帳!$A$3:$L$4986,12,FALSE))</f>
        <v>50</v>
      </c>
      <c r="L417" s="200" t="str">
        <f>IF(D417="","",INDEX(製品マスタ!$Q$5:$Q$4999,MATCH('S4'!F417&amp;'S4'!K417,製品マスタ!$AO$5:$AO$4999,0)))</f>
        <v>T62M</v>
      </c>
      <c r="M417" s="37">
        <v>1195</v>
      </c>
      <c r="N417" s="37">
        <v>6100</v>
      </c>
      <c r="O417" s="153">
        <v>1</v>
      </c>
      <c r="P417" s="45">
        <v>1</v>
      </c>
      <c r="Q417" s="206">
        <v>45019</v>
      </c>
      <c r="R417" s="257">
        <f ca="1">IF(D417="","",IF(OFFSET(D417,-1,0)&lt;&gt;"","",IF(OR(J417="リード付け",J417="巻足し",J417="巻返しリード付け"),M417,VLOOKUP(D417,契約台帳!$A$3:$N$4986,14,FALSE))))</f>
        <v>1195</v>
      </c>
      <c r="S417" s="258">
        <f ca="1">IF(D417="","",IF(OFFSET(D417,-1,0)&lt;&gt;"","",IF(OR(J417="リード付け",J417="巻足し",J417="巻返しリード付け"),M417,VLOOKUP(D417,契約台帳!$A$3:$O$4986,15,FALSE))))</f>
        <v>1195</v>
      </c>
      <c r="T417" s="258">
        <f ca="1">IF(D417="","",IF(J417="リード付け",N417,IF(J417="巻返しリード付け",N417,IF(J417="巻足し",N417*P417+OFFSET(N417,1,0)*OFFSET(P417,1,0),VLOOKUP(D417,契約台帳!$A$3:$P$4986,16,FALSE)))))</f>
        <v>6100</v>
      </c>
      <c r="U417" s="38">
        <v>1</v>
      </c>
      <c r="V417" s="259">
        <f ca="1">IF(D417="","",IF(OFFSET(D417,-2,0)=D417,"",VLOOKUP(D417,契約台帳!$A$3:$R$4986,18,FALSE)))</f>
        <v>1</v>
      </c>
      <c r="W417" s="256" t="str">
        <f ca="1">IF(D417="","",IF(T417="","",IF(OR(J417="巻足し",J417="巻返しリード付け"),"",IF(J417="巻返し",VLOOKUP(F417&amp;K417&amp;M417,製品マスタ!$M$5:$AD$4999,18,FALSE),IF(OR(J417="リード付け",J417="巻返しリード付け"),"原反コア",IF(J417="スリット",VLOOKUP(F417&amp;K417&amp;R417,製品マスタ!$N$5:$AD$4999,17,FALSE),""))))))</f>
        <v>原反コア</v>
      </c>
      <c r="X417" s="256" t="str">
        <f ca="1">IF(D417="","",IF(T417="","",IF(J417="巻足し","",IF(J417="巻返し",VLOOKUP(F417&amp;K417&amp;M417,製品マスタ!$M$5:$AE$4999,19,FALSE),IF(OR(J417="リード付け",J417="巻返しリード付け"),"",IF(J417="スリット",VLOOKUP(F417&amp;K417&amp;R417,製品マスタ!$N$5:$AE$4999,18,FALSE),""))))))</f>
        <v/>
      </c>
      <c r="Y417" s="256">
        <f ca="1">IF(D417="","",IF(T417="","",VLOOKUP(D417,契約台帳!$A$3:$Q$4986,17,FALSE)))</f>
        <v>2</v>
      </c>
      <c r="Z417" s="256" t="str">
        <f ca="1">IF(D417="","",IF(T417="","",VLOOKUP(D417,契約台帳!$A$3:$E$4986,5,FALSE)))</f>
        <v>大阪シーリング印刷㈱</v>
      </c>
      <c r="AA417" s="54"/>
      <c r="AB417" s="200" t="str">
        <f>IFERROR((VLOOKUP(F417&amp;K417&amp;M417,製品マスタ!$M$5:$AM$4999,27,FALSE)),"")</f>
        <v>原反ケース再利用</v>
      </c>
      <c r="AC417" s="31"/>
      <c r="AD417" s="184"/>
      <c r="AE417" s="51"/>
      <c r="AF417" s="52"/>
      <c r="AG417" s="41"/>
      <c r="AH417" s="45"/>
      <c r="AI417" s="28"/>
      <c r="AJ417" s="28"/>
      <c r="AK417" s="28"/>
      <c r="AL417" s="28"/>
      <c r="AM417" s="12"/>
      <c r="AN417" s="12"/>
      <c r="AO417" s="12"/>
      <c r="AP417" s="12"/>
      <c r="AQ417" s="12"/>
      <c r="AR417" s="13"/>
      <c r="AS417" s="14"/>
    </row>
    <row r="418" spans="1:45" s="16" customFormat="1" ht="30.95" hidden="1" customHeight="1" x14ac:dyDescent="0.2">
      <c r="A418" s="35"/>
      <c r="B418" s="36"/>
      <c r="C418" s="43"/>
      <c r="D418" s="29"/>
      <c r="E418" s="29"/>
      <c r="F418" s="255"/>
      <c r="G418" s="256"/>
      <c r="H418" s="256"/>
      <c r="I418" s="279"/>
      <c r="J418" s="203"/>
      <c r="K418" s="200"/>
      <c r="L418" s="200"/>
      <c r="M418" s="37"/>
      <c r="N418" s="37"/>
      <c r="O418" s="153"/>
      <c r="P418" s="45"/>
      <c r="Q418" s="54"/>
      <c r="R418" s="257"/>
      <c r="S418" s="258"/>
      <c r="T418" s="258"/>
      <c r="U418" s="38"/>
      <c r="V418" s="259"/>
      <c r="W418" s="256"/>
      <c r="X418" s="256"/>
      <c r="Y418" s="256"/>
      <c r="Z418" s="256"/>
      <c r="AA418" s="54"/>
      <c r="AB418" s="200"/>
      <c r="AC418" s="31"/>
      <c r="AD418" s="184"/>
      <c r="AE418" s="51"/>
      <c r="AF418" s="52"/>
      <c r="AG418" s="41"/>
      <c r="AH418" s="45"/>
      <c r="AI418" s="28"/>
      <c r="AJ418" s="28"/>
      <c r="AK418" s="28"/>
      <c r="AL418" s="28"/>
      <c r="AM418" s="12"/>
      <c r="AN418" s="12"/>
      <c r="AO418" s="12"/>
      <c r="AP418" s="12"/>
      <c r="AQ418" s="12"/>
      <c r="AR418" s="13"/>
      <c r="AS418" s="14"/>
    </row>
    <row r="419" spans="1:45" s="16" customFormat="1" ht="30.95" hidden="1" customHeight="1" x14ac:dyDescent="0.2">
      <c r="A419" s="35"/>
      <c r="B419" s="36"/>
      <c r="C419" s="43"/>
      <c r="D419" s="29">
        <v>3703996</v>
      </c>
      <c r="E419" s="29">
        <v>4161870</v>
      </c>
      <c r="F419" s="255" t="str">
        <f>IF(D419="","",VLOOKUP(D419,契約台帳!$A$3:$K$4986,6,FALSE)&amp;VLOOKUP(D419,契約台帳!$A$3:$K$4986,7,FALSE)&amp;VLOOKUP(D419,契約台帳!$A$3:$K$4986,8,FALSE)&amp;VLOOKUP(D419,契約台帳!$A$3:$K$4986,9,FALSE)&amp;VLOOKUP(D419,契約台帳!$A$3:$K$4986,11,FALSE))</f>
        <v>3SNMLBMNGTBF</v>
      </c>
      <c r="G419" s="256" t="str">
        <f>IF(D419="","",VLOOKUP(F419,製品マスタ!$G$5:$H$4999,2,FALSE))</f>
        <v>S</v>
      </c>
      <c r="H419" s="256" t="str">
        <f>IF(D419="","",VLOOKUP(F419,製品マスタ!$G$5:$K$4999,5,FALSE))</f>
        <v>MNGTBF</v>
      </c>
      <c r="I419" s="200" t="str">
        <f>IF(D419="","",VLOOKUP(F419,製品マスタ!$G$5:$L$4999,6,FALSE))</f>
        <v>メタルミー　ネーマー　銀艶　Ｂ</v>
      </c>
      <c r="J419" s="203" t="s">
        <v>1022</v>
      </c>
      <c r="K419" s="200">
        <f>IF(D419="","",VLOOKUP(D419,契約台帳!$A$3:$L$4986,12,FALSE))</f>
        <v>50</v>
      </c>
      <c r="L419" s="200" t="str">
        <f>IF(D419="","",INDEX(製品マスタ!$Q$5:$Q$4999,MATCH('S4'!F419&amp;'S4'!K419,製品マスタ!$AO$5:$AO$4999,0)))</f>
        <v>T62</v>
      </c>
      <c r="M419" s="37">
        <v>1120</v>
      </c>
      <c r="N419" s="37">
        <v>5000</v>
      </c>
      <c r="O419" s="153">
        <v>12</v>
      </c>
      <c r="P419" s="45">
        <v>2</v>
      </c>
      <c r="Q419" s="206">
        <v>45019</v>
      </c>
      <c r="R419" s="257">
        <f ca="1">IF(D419="","",IF(OFFSET(D419,-1,0)&lt;&gt;"","",IF(OR(J419="リード付け",J419="巻足し",J419="巻返しリード付け"),M419,VLOOKUP(D419,契約台帳!$A$3:$N$4986,14,FALSE))))</f>
        <v>1120</v>
      </c>
      <c r="S419" s="258">
        <f ca="1">IF(D419="","",IF(OFFSET(D419,-1,0)&lt;&gt;"","",IF(OR(J419="リード付け",J419="巻足し",J419="巻返しリード付け"),M419,VLOOKUP(D419,契約台帳!$A$3:$O$4986,15,FALSE))))</f>
        <v>1120</v>
      </c>
      <c r="T419" s="258">
        <f ca="1">IF(D419="","",IF(J419="リード付け",N419,IF(J419="巻返しリード付け",N419,IF(J419="巻足し",N419*P419+OFFSET(N419,1,0)*OFFSET(P419,1,0),VLOOKUP(D419,契約台帳!$A$3:$P$4986,16,FALSE)))))</f>
        <v>10000</v>
      </c>
      <c r="U419" s="38">
        <v>6</v>
      </c>
      <c r="V419" s="259">
        <f ca="1">IF(D419="","",IF(OFFSET(D419,-2,0)=D419,"",VLOOKUP(D419,契約台帳!$A$3:$R$4986,18,FALSE)))</f>
        <v>12</v>
      </c>
      <c r="W419" s="256" t="str">
        <f ca="1">IF(D419="","",IF(T419="","",IF(OR(J419="巻足し",J419="巻返しリード付け"),"",IF(J419="巻返し",VLOOKUP(F419&amp;K419&amp;M419,製品マスタ!$M$5:$AD$4999,18,FALSE),IF(OR(J419="リード付け",J419="巻返しリード付け"),"原反コア",IF(J419="スリット",VLOOKUP(F419&amp;K419&amp;R419,製品マスタ!$N$5:$AD$4999,17,FALSE),""))))))</f>
        <v/>
      </c>
      <c r="X419" s="256" t="str">
        <f ca="1">IF(D419="","",IF(T419="","",IF(J419="巻足し","",IF(J419="巻返し",VLOOKUP(F419&amp;K419&amp;M419,製品マスタ!$M$5:$AE$4999,19,FALSE),IF(OR(J419="リード付け",J419="巻返しリード付け"),"",IF(J419="スリット",VLOOKUP(F419&amp;K419&amp;R419,製品マスタ!$N$5:$AE$4999,18,FALSE),""))))))</f>
        <v/>
      </c>
      <c r="Y419" s="256">
        <f ca="1">IF(D419="","",IF(T419="","",VLOOKUP(D419,契約台帳!$A$3:$Q$4986,17,FALSE)))</f>
        <v>2</v>
      </c>
      <c r="Z419" s="256" t="str">
        <f ca="1">IF(D419="","",IF(T419="","",VLOOKUP(D419,契約台帳!$A$3:$E$4986,5,FALSE)))</f>
        <v>リンテック㈱</v>
      </c>
      <c r="AA419" s="54"/>
      <c r="AB419" s="200" t="str">
        <f>IFERROR((VLOOKUP(F419&amp;K419&amp;M419,製品マスタ!$M$5:$AM$4999,27,FALSE)),"")</f>
        <v>原反ケース再利用</v>
      </c>
      <c r="AC419" s="31"/>
      <c r="AD419" s="184"/>
      <c r="AE419" s="51"/>
      <c r="AF419" s="52"/>
      <c r="AG419" s="41"/>
      <c r="AH419" s="45"/>
      <c r="AI419" s="28"/>
      <c r="AJ419" s="28"/>
      <c r="AK419" s="28"/>
      <c r="AL419" s="28"/>
      <c r="AM419" s="12"/>
      <c r="AN419" s="12"/>
      <c r="AO419" s="12"/>
      <c r="AP419" s="12"/>
      <c r="AQ419" s="12"/>
      <c r="AR419" s="13"/>
      <c r="AS419" s="14"/>
    </row>
    <row r="420" spans="1:45" s="16" customFormat="1" ht="30.95" hidden="1" customHeight="1" x14ac:dyDescent="0.2">
      <c r="A420" s="35"/>
      <c r="B420" s="36"/>
      <c r="C420" s="43"/>
      <c r="D420" s="29"/>
      <c r="E420" s="29"/>
      <c r="F420" s="255" t="str">
        <f>IF(D420="","",VLOOKUP(D420,契約台帳!$A$3:$K$4986,6,FALSE)&amp;VLOOKUP(D420,契約台帳!$A$3:$K$4986,7,FALSE)&amp;VLOOKUP(D420,契約台帳!$A$3:$K$4986,8,FALSE)&amp;VLOOKUP(D420,契約台帳!$A$3:$K$4986,9,FALSE)&amp;VLOOKUP(D420,契約台帳!$A$3:$K$4986,11,FALSE))</f>
        <v/>
      </c>
      <c r="G420" s="256" t="str">
        <f>IF(D420="","",VLOOKUP(F420,製品マスタ!$G$5:$H$4999,2,FALSE))</f>
        <v/>
      </c>
      <c r="H420" s="256" t="str">
        <f>IF(D420="","",VLOOKUP(F420,製品マスタ!$G$5:$K$4999,5,FALSE))</f>
        <v/>
      </c>
      <c r="I420" s="200" t="str">
        <f>IF(D420="","",VLOOKUP(F420,製品マスタ!$G$5:$L$4999,6,FALSE))</f>
        <v/>
      </c>
      <c r="J420" s="203"/>
      <c r="K420" s="200" t="str">
        <f>IF(D420="","",VLOOKUP(D420,契約台帳!$A$3:$L$4986,12,FALSE))</f>
        <v/>
      </c>
      <c r="L420" s="200" t="str">
        <f>IF(D420="","",INDEX(製品マスタ!$Q$5:$Q$4999,MATCH('S4'!F420&amp;'S4'!K420,製品マスタ!$AO$5:$AO$4999,0)))</f>
        <v/>
      </c>
      <c r="M420" s="37"/>
      <c r="N420" s="37"/>
      <c r="O420" s="153"/>
      <c r="P420" s="45"/>
      <c r="Q420" s="54"/>
      <c r="R420" s="257" t="str">
        <f ca="1">IF(D420="","",IF(OFFSET(D420,-1,0)&lt;&gt;"","",IF(OR(J420="リード付け",J420="巻足し",J420="巻返しリード付け"),M420,VLOOKUP(D420,契約台帳!$A$3:$N$4986,14,FALSE))))</f>
        <v/>
      </c>
      <c r="S420" s="258" t="str">
        <f ca="1">IF(D420="","",IF(OFFSET(D420,-1,0)&lt;&gt;"","",IF(OR(J420="リード付け",J420="巻足し",J420="巻返しリード付け"),M420,VLOOKUP(D420,契約台帳!$A$3:$O$4986,15,FALSE))))</f>
        <v/>
      </c>
      <c r="T420" s="258" t="str">
        <f ca="1">IF(D420="","",IF(J420="リード付け",N420,IF(J420="巻返しリード付け",N420,IF(J420="巻足し",N420*P420+OFFSET(N420,1,0)*OFFSET(P420,1,0),VLOOKUP(D420,契約台帳!$A$3:$P$4986,16,FALSE)))))</f>
        <v/>
      </c>
      <c r="U420" s="38"/>
      <c r="V420" s="259" t="str">
        <f ca="1">IF(D420="","",IF(OFFSET(D420,-2,0)=D420,"",VLOOKUP(D420,契約台帳!$A$3:$R$4986,18,FALSE)))</f>
        <v/>
      </c>
      <c r="W420" s="256" t="str">
        <f>IF(D420="","",IF(T420="","",IF(OR(J420="巻足し",J420="巻返しリード付け"),"",IF(J420="巻返し",VLOOKUP(F420&amp;K420&amp;M420,製品マスタ!$M$5:$AD$4999,18,FALSE),IF(OR(J420="リード付け",J420="巻返しリード付け"),"原反コア",IF(J420="スリット",VLOOKUP(F420&amp;K420&amp;R420,製品マスタ!$N$5:$AD$4999,17,FALSE),""))))))</f>
        <v/>
      </c>
      <c r="X420" s="256" t="str">
        <f>IF(D420="","",IF(T420="","",IF(J420="巻足し","",IF(J420="巻返し",VLOOKUP(F420&amp;K420&amp;M420,製品マスタ!$M$5:$AE$4999,19,FALSE),IF(OR(J420="リード付け",J420="巻返しリード付け"),"",IF(J420="スリット",VLOOKUP(F420&amp;K420&amp;R420,製品マスタ!$N$5:$AE$4999,18,FALSE),""))))))</f>
        <v/>
      </c>
      <c r="Y420" s="256" t="str">
        <f>IF(D420="","",IF(T420="","",VLOOKUP(D420,契約台帳!$A$3:$Q$4986,17,FALSE)))</f>
        <v/>
      </c>
      <c r="Z420" s="256" t="str">
        <f>IF(D420="","",IF(T420="","",VLOOKUP(D420,契約台帳!$A$3:$E$4986,5,FALSE)))</f>
        <v/>
      </c>
      <c r="AA420" s="54"/>
      <c r="AB420" s="200" t="str">
        <f>IFERROR((VLOOKUP(F420&amp;K420&amp;M420,製品マスタ!$M$5:$AM$4999,27,FALSE)),"")</f>
        <v/>
      </c>
      <c r="AC420" s="31"/>
      <c r="AD420" s="184"/>
      <c r="AE420" s="51"/>
      <c r="AF420" s="52"/>
      <c r="AG420" s="41"/>
      <c r="AH420" s="45"/>
      <c r="AI420" s="28"/>
      <c r="AJ420" s="28"/>
      <c r="AK420" s="28"/>
      <c r="AL420" s="28"/>
      <c r="AM420" s="12"/>
      <c r="AN420" s="12"/>
      <c r="AO420" s="12"/>
      <c r="AP420" s="12"/>
      <c r="AQ420" s="12"/>
      <c r="AR420" s="13"/>
      <c r="AS420" s="14"/>
    </row>
    <row r="421" spans="1:45" s="16" customFormat="1" ht="30.95" hidden="1" customHeight="1" x14ac:dyDescent="0.2">
      <c r="A421" s="35" t="s">
        <v>1023</v>
      </c>
      <c r="B421" s="36" t="s">
        <v>1024</v>
      </c>
      <c r="C421" s="43"/>
      <c r="D421" s="29">
        <v>3703997</v>
      </c>
      <c r="E421" s="29">
        <v>4161871</v>
      </c>
      <c r="F421" s="255" t="str">
        <f>IF(D421="","",VLOOKUP(D421,契約台帳!$A$3:$K$4986,6,FALSE)&amp;VLOOKUP(D421,契約台帳!$A$3:$K$4986,7,FALSE)&amp;VLOOKUP(D421,契約台帳!$A$3:$K$4986,8,FALSE)&amp;VLOOKUP(D421,契約台帳!$A$3:$K$4986,9,FALSE)&amp;VLOOKUP(D421,契約台帳!$A$3:$K$4986,11,FALSE))</f>
        <v>3SNMLBMNGTBF</v>
      </c>
      <c r="G421" s="256" t="str">
        <f>IF(D421="","",VLOOKUP(F421,製品マスタ!$G$5:$H$4999,2,FALSE))</f>
        <v>S</v>
      </c>
      <c r="H421" s="256" t="str">
        <f>IF(D421="","",VLOOKUP(F421,製品マスタ!$G$5:$K$4999,5,FALSE))</f>
        <v>MNGTBF</v>
      </c>
      <c r="I421" s="200" t="str">
        <f>IF(D421="","",VLOOKUP(F421,製品マスタ!$G$5:$L$4999,6,FALSE))</f>
        <v>メタルミー　ネーマー　銀艶　Ｂ</v>
      </c>
      <c r="J421" s="203" t="s">
        <v>1022</v>
      </c>
      <c r="K421" s="200">
        <f>IF(D421="","",VLOOKUP(D421,契約台帳!$A$3:$L$4986,12,FALSE))</f>
        <v>50</v>
      </c>
      <c r="L421" s="200" t="str">
        <f>IF(D421="","",INDEX(製品マスタ!$Q$5:$Q$4999,MATCH('S4'!F421&amp;'S4'!K421,製品マスタ!$AO$5:$AO$4999,0)))</f>
        <v>T62</v>
      </c>
      <c r="M421" s="37">
        <v>1120</v>
      </c>
      <c r="N421" s="37">
        <v>5000</v>
      </c>
      <c r="O421" s="153">
        <v>12</v>
      </c>
      <c r="P421" s="45">
        <v>2</v>
      </c>
      <c r="Q421" s="206">
        <v>45019</v>
      </c>
      <c r="R421" s="257">
        <f ca="1">IF(D421="","",IF(OFFSET(D421,-1,0)&lt;&gt;"","",IF(OR(J421="リード付け",J421="巻足し",J421="巻返しリード付け"),M421,VLOOKUP(D421,契約台帳!$A$3:$N$4986,14,FALSE))))</f>
        <v>1120</v>
      </c>
      <c r="S421" s="258">
        <f ca="1">IF(D421="","",IF(OFFSET(D421,-1,0)&lt;&gt;"","",IF(OR(J421="リード付け",J421="巻足し",J421="巻返しリード付け"),M421,VLOOKUP(D421,契約台帳!$A$3:$O$4986,15,FALSE))))</f>
        <v>1120</v>
      </c>
      <c r="T421" s="258">
        <f ca="1">IF(D421="","",IF(J421="リード付け",N421,IF(J421="巻返しリード付け",N421,IF(J421="巻足し",N421*P421+OFFSET(N421,1,0)*OFFSET(P421,1,0),VLOOKUP(D421,契約台帳!$A$3:$P$4986,16,FALSE)))))</f>
        <v>10000</v>
      </c>
      <c r="U421" s="38">
        <v>6</v>
      </c>
      <c r="V421" s="259">
        <f ca="1">IF(D421="","",IF(OFFSET(D421,-2,0)=D421,"",VLOOKUP(D421,契約台帳!$A$3:$R$4986,18,FALSE)))</f>
        <v>12</v>
      </c>
      <c r="W421" s="256" t="str">
        <f ca="1">IF(D421="","",IF(T421="","",IF(OR(J421="巻足し",J421="巻返しリード付け"),"",IF(J421="巻返し",VLOOKUP(F421&amp;K421&amp;M421,製品マスタ!$M$5:$AD$4999,18,FALSE),IF(OR(J421="リード付け",J421="巻返しリード付け"),"原反コア",IF(J421="スリット",VLOOKUP(F421&amp;K421&amp;R421,製品マスタ!$N$5:$AD$4999,17,FALSE),""))))))</f>
        <v/>
      </c>
      <c r="X421" s="256" t="str">
        <f ca="1">IF(D421="","",IF(T421="","",IF(J421="巻足し","",IF(J421="巻返し",VLOOKUP(F421&amp;K421&amp;M421,製品マスタ!$M$5:$AE$4999,19,FALSE),IF(OR(J421="リード付け",J421="巻返しリード付け"),"",IF(J421="スリット",VLOOKUP(F421&amp;K421&amp;R421,製品マスタ!$N$5:$AE$4999,18,FALSE),""))))))</f>
        <v/>
      </c>
      <c r="Y421" s="256">
        <f ca="1">IF(D421="","",IF(T421="","",VLOOKUP(D421,契約台帳!$A$3:$Q$4986,17,FALSE)))</f>
        <v>2</v>
      </c>
      <c r="Z421" s="256" t="str">
        <f ca="1">IF(D421="","",IF(T421="","",VLOOKUP(D421,契約台帳!$A$3:$E$4986,5,FALSE)))</f>
        <v>リンテック㈱</v>
      </c>
      <c r="AA421" s="54"/>
      <c r="AB421" s="200" t="str">
        <f>IFERROR((VLOOKUP(F421&amp;K421&amp;M421,製品マスタ!$M$5:$AM$4999,27,FALSE)),"")</f>
        <v>原反ケース再利用</v>
      </c>
      <c r="AC421" s="31"/>
      <c r="AD421" s="184"/>
      <c r="AE421" s="51"/>
      <c r="AF421" s="52"/>
      <c r="AG421" s="41"/>
      <c r="AH421" s="45"/>
      <c r="AI421" s="28"/>
      <c r="AJ421" s="28"/>
      <c r="AK421" s="28"/>
      <c r="AL421" s="28"/>
      <c r="AM421" s="12"/>
      <c r="AN421" s="12"/>
      <c r="AO421" s="12"/>
      <c r="AP421" s="12"/>
      <c r="AQ421" s="12"/>
      <c r="AR421" s="13"/>
      <c r="AS421" s="14"/>
    </row>
    <row r="422" spans="1:45" s="16" customFormat="1" ht="30.95" hidden="1" customHeight="1" x14ac:dyDescent="0.2">
      <c r="A422" s="35"/>
      <c r="B422" s="36"/>
      <c r="C422" s="43"/>
      <c r="D422" s="29"/>
      <c r="E422" s="29"/>
      <c r="F422" s="255" t="str">
        <f>IF(D422="","",VLOOKUP(D422,契約台帳!$A$3:$K$4986,6,FALSE)&amp;VLOOKUP(D422,契約台帳!$A$3:$K$4986,7,FALSE)&amp;VLOOKUP(D422,契約台帳!$A$3:$K$4986,8,FALSE)&amp;VLOOKUP(D422,契約台帳!$A$3:$K$4986,9,FALSE)&amp;VLOOKUP(D422,契約台帳!$A$3:$K$4986,11,FALSE))</f>
        <v/>
      </c>
      <c r="G422" s="256" t="str">
        <f>IF(D422="","",VLOOKUP(F422,製品マスタ!$G$5:$H$4999,2,FALSE))</f>
        <v/>
      </c>
      <c r="H422" s="256" t="str">
        <f>IF(D422="","",VLOOKUP(F422,製品マスタ!$G$5:$K$4999,5,FALSE))</f>
        <v/>
      </c>
      <c r="I422" s="200" t="str">
        <f>IF(D422="","",VLOOKUP(F422,製品マスタ!$G$5:$L$4999,6,FALSE))</f>
        <v/>
      </c>
      <c r="J422" s="203"/>
      <c r="K422" s="200" t="str">
        <f>IF(D422="","",VLOOKUP(D422,契約台帳!$A$3:$L$4986,12,FALSE))</f>
        <v/>
      </c>
      <c r="L422" s="200" t="str">
        <f>IF(D422="","",INDEX(製品マスタ!$Q$5:$Q$4999,MATCH('S4'!F422&amp;'S4'!K422,製品マスタ!$AO$5:$AO$4999,0)))</f>
        <v/>
      </c>
      <c r="M422" s="37"/>
      <c r="N422" s="37"/>
      <c r="O422" s="153"/>
      <c r="P422" s="45"/>
      <c r="Q422" s="54"/>
      <c r="R422" s="257" t="str">
        <f ca="1">IF(D422="","",IF(OFFSET(D422,-1,0)&lt;&gt;"","",IF(OR(J422="リード付け",J422="巻足し",J422="巻返しリード付け"),M422,VLOOKUP(D422,契約台帳!$A$3:$N$4986,14,FALSE))))</f>
        <v/>
      </c>
      <c r="S422" s="258" t="str">
        <f ca="1">IF(D422="","",IF(OFFSET(D422,-1,0)&lt;&gt;"","",IF(OR(J422="リード付け",J422="巻足し",J422="巻返しリード付け"),M422,VLOOKUP(D422,契約台帳!$A$3:$O$4986,15,FALSE))))</f>
        <v/>
      </c>
      <c r="T422" s="258" t="str">
        <f ca="1">IF(D422="","",IF(J422="リード付け",N422,IF(J422="巻返しリード付け",N422,IF(J422="巻足し",N422*P422+OFFSET(N422,1,0)*OFFSET(P422,1,0),VLOOKUP(D422,契約台帳!$A$3:$P$4986,16,FALSE)))))</f>
        <v/>
      </c>
      <c r="U422" s="38"/>
      <c r="V422" s="259" t="str">
        <f ca="1">IF(D422="","",IF(OFFSET(D422,-2,0)=D422,"",VLOOKUP(D422,契約台帳!$A$3:$R$4986,18,FALSE)))</f>
        <v/>
      </c>
      <c r="W422" s="256" t="str">
        <f>IF(D422="","",IF(T422="","",IF(OR(J422="巻足し",J422="巻返しリード付け"),"",IF(J422="巻返し",VLOOKUP(F422&amp;K422&amp;M422,製品マスタ!$M$5:$AD$4999,18,FALSE),IF(OR(J422="リード付け",J422="巻返しリード付け"),"原反コア",IF(J422="スリット",VLOOKUP(F422&amp;K422&amp;R422,製品マスタ!$N$5:$AD$4999,17,FALSE),""))))))</f>
        <v/>
      </c>
      <c r="X422" s="256" t="str">
        <f>IF(D422="","",IF(T422="","",IF(J422="巻足し","",IF(J422="巻返し",VLOOKUP(F422&amp;K422&amp;M422,製品マスタ!$M$5:$AE$4999,19,FALSE),IF(OR(J422="リード付け",J422="巻返しリード付け"),"",IF(J422="スリット",VLOOKUP(F422&amp;K422&amp;R422,製品マスタ!$N$5:$AE$4999,18,FALSE),""))))))</f>
        <v/>
      </c>
      <c r="Y422" s="256" t="str">
        <f>IF(D422="","",IF(T422="","",VLOOKUP(D422,契約台帳!$A$3:$Q$4986,17,FALSE)))</f>
        <v/>
      </c>
      <c r="Z422" s="256" t="str">
        <f>IF(D422="","",IF(T422="","",VLOOKUP(D422,契約台帳!$A$3:$E$4986,5,FALSE)))</f>
        <v/>
      </c>
      <c r="AA422" s="54"/>
      <c r="AB422" s="200" t="str">
        <f>IFERROR((VLOOKUP(F422&amp;K422&amp;M422,製品マスタ!$M$5:$AM$4999,27,FALSE)),"")</f>
        <v/>
      </c>
      <c r="AC422" s="31"/>
      <c r="AD422" s="184"/>
      <c r="AE422" s="51"/>
      <c r="AF422" s="52"/>
      <c r="AG422" s="41"/>
      <c r="AH422" s="45"/>
      <c r="AI422" s="28"/>
      <c r="AJ422" s="28"/>
      <c r="AK422" s="28"/>
      <c r="AL422" s="28"/>
      <c r="AM422" s="12"/>
      <c r="AN422" s="12"/>
      <c r="AO422" s="12"/>
      <c r="AP422" s="12"/>
      <c r="AQ422" s="12"/>
      <c r="AR422" s="13"/>
      <c r="AS422" s="14"/>
    </row>
    <row r="423" spans="1:45" s="16" customFormat="1" ht="30.95" hidden="1" customHeight="1" x14ac:dyDescent="0.2">
      <c r="A423" s="35" t="s">
        <v>1017</v>
      </c>
      <c r="B423" s="36" t="s">
        <v>1018</v>
      </c>
      <c r="C423" s="43"/>
      <c r="D423" s="29">
        <v>3703998</v>
      </c>
      <c r="E423" s="29">
        <v>4161872</v>
      </c>
      <c r="F423" s="255" t="str">
        <f>IF(D423="","",VLOOKUP(D423,契約台帳!$A$3:$K$4986,6,FALSE)&amp;VLOOKUP(D423,契約台帳!$A$3:$K$4986,7,FALSE)&amp;VLOOKUP(D423,契約台帳!$A$3:$K$4986,8,FALSE)&amp;VLOOKUP(D423,契約台帳!$A$3:$K$4986,9,FALSE)&amp;VLOOKUP(D423,契約台帳!$A$3:$K$4986,11,FALSE))</f>
        <v>3SNMLBMNGTBF</v>
      </c>
      <c r="G423" s="256" t="str">
        <f>IF(D423="","",VLOOKUP(F423,製品マスタ!$G$5:$H$4999,2,FALSE))</f>
        <v>S</v>
      </c>
      <c r="H423" s="256" t="str">
        <f>IF(D423="","",VLOOKUP(F423,製品マスタ!$G$5:$K$4999,5,FALSE))</f>
        <v>MNGTBF</v>
      </c>
      <c r="I423" s="200" t="str">
        <f>IF(D423="","",VLOOKUP(F423,製品マスタ!$G$5:$L$4999,6,FALSE))</f>
        <v>メタルミー　ネーマー　銀艶　Ｂ</v>
      </c>
      <c r="J423" s="203" t="s">
        <v>1022</v>
      </c>
      <c r="K423" s="200">
        <f>IF(D423="","",VLOOKUP(D423,契約台帳!$A$3:$L$4986,12,FALSE))</f>
        <v>50</v>
      </c>
      <c r="L423" s="200" t="str">
        <f>IF(D423="","",INDEX(製品マスタ!$Q$5:$Q$4999,MATCH('S4'!F423&amp;'S4'!K423,製品マスタ!$AO$5:$AO$4999,0)))</f>
        <v>T62</v>
      </c>
      <c r="M423" s="37">
        <v>1120</v>
      </c>
      <c r="N423" s="37">
        <v>5000</v>
      </c>
      <c r="O423" s="153">
        <v>12</v>
      </c>
      <c r="P423" s="45">
        <v>2</v>
      </c>
      <c r="Q423" s="206">
        <v>45020</v>
      </c>
      <c r="R423" s="257">
        <f ca="1">IF(D423="","",IF(OFFSET(D423,-1,0)&lt;&gt;"","",IF(OR(J423="リード付け",J423="巻足し",J423="巻返しリード付け"),M423,VLOOKUP(D423,契約台帳!$A$3:$N$4986,14,FALSE))))</f>
        <v>1120</v>
      </c>
      <c r="S423" s="258">
        <f ca="1">IF(D423="","",IF(OFFSET(D423,-1,0)&lt;&gt;"","",IF(OR(J423="リード付け",J423="巻足し",J423="巻返しリード付け"),M423,VLOOKUP(D423,契約台帳!$A$3:$O$4986,15,FALSE))))</f>
        <v>1120</v>
      </c>
      <c r="T423" s="258">
        <f ca="1">IF(D423="","",IF(J423="リード付け",N423,IF(J423="巻返しリード付け",N423,IF(J423="巻足し",N423*P423+OFFSET(N423,1,0)*OFFSET(P423,1,0),VLOOKUP(D423,契約台帳!$A$3:$P$4986,16,FALSE)))))</f>
        <v>10000</v>
      </c>
      <c r="U423" s="38">
        <v>6</v>
      </c>
      <c r="V423" s="259">
        <f ca="1">IF(D423="","",IF(OFFSET(D423,-2,0)=D423,"",VLOOKUP(D423,契約台帳!$A$3:$R$4986,18,FALSE)))</f>
        <v>12</v>
      </c>
      <c r="W423" s="256" t="str">
        <f ca="1">IF(D423="","",IF(T423="","",IF(OR(J423="巻足し",J423="巻返しリード付け"),"",IF(J423="巻返し",VLOOKUP(F423&amp;K423&amp;M423,製品マスタ!$M$5:$AD$4999,18,FALSE),IF(OR(J423="リード付け",J423="巻返しリード付け"),"原反コア",IF(J423="スリット",VLOOKUP(F423&amp;K423&amp;R423,製品マスタ!$N$5:$AD$4999,17,FALSE),""))))))</f>
        <v/>
      </c>
      <c r="X423" s="256" t="str">
        <f ca="1">IF(D423="","",IF(T423="","",IF(J423="巻足し","",IF(J423="巻返し",VLOOKUP(F423&amp;K423&amp;M423,製品マスタ!$M$5:$AE$4999,19,FALSE),IF(OR(J423="リード付け",J423="巻返しリード付け"),"",IF(J423="スリット",VLOOKUP(F423&amp;K423&amp;R423,製品マスタ!$N$5:$AE$4999,18,FALSE),""))))))</f>
        <v/>
      </c>
      <c r="Y423" s="256">
        <f ca="1">IF(D423="","",IF(T423="","",VLOOKUP(D423,契約台帳!$A$3:$Q$4986,17,FALSE)))</f>
        <v>2</v>
      </c>
      <c r="Z423" s="256" t="str">
        <f ca="1">IF(D423="","",IF(T423="","",VLOOKUP(D423,契約台帳!$A$3:$E$4986,5,FALSE)))</f>
        <v>リンテック㈱</v>
      </c>
      <c r="AA423" s="54"/>
      <c r="AB423" s="200" t="str">
        <f>IFERROR((VLOOKUP(F423&amp;K423&amp;M423,製品マスタ!$M$5:$AM$4999,27,FALSE)),"")</f>
        <v>原反ケース再利用</v>
      </c>
      <c r="AC423" s="31"/>
      <c r="AD423" s="184"/>
      <c r="AE423" s="51"/>
      <c r="AF423" s="52"/>
      <c r="AG423" s="41"/>
      <c r="AH423" s="45"/>
      <c r="AI423" s="28"/>
      <c r="AJ423" s="28"/>
      <c r="AK423" s="28"/>
      <c r="AL423" s="28"/>
      <c r="AM423" s="12"/>
      <c r="AN423" s="12"/>
      <c r="AO423" s="12"/>
      <c r="AP423" s="12"/>
      <c r="AQ423" s="12"/>
      <c r="AR423" s="13"/>
      <c r="AS423" s="14"/>
    </row>
    <row r="424" spans="1:45" s="16" customFormat="1" ht="30.95" hidden="1" customHeight="1" x14ac:dyDescent="0.2">
      <c r="A424" s="35"/>
      <c r="B424" s="36"/>
      <c r="C424" s="43"/>
      <c r="D424" s="29"/>
      <c r="E424" s="29"/>
      <c r="F424" s="255" t="str">
        <f>IF(D424="","",VLOOKUP(D424,契約台帳!$A$3:$K$4986,6,FALSE)&amp;VLOOKUP(D424,契約台帳!$A$3:$K$4986,7,FALSE)&amp;VLOOKUP(D424,契約台帳!$A$3:$K$4986,8,FALSE)&amp;VLOOKUP(D424,契約台帳!$A$3:$K$4986,9,FALSE)&amp;VLOOKUP(D424,契約台帳!$A$3:$K$4986,11,FALSE))</f>
        <v/>
      </c>
      <c r="G424" s="256" t="str">
        <f>IF(D424="","",VLOOKUP(F424,製品マスタ!$G$5:$H$4999,2,FALSE))</f>
        <v/>
      </c>
      <c r="H424" s="256" t="str">
        <f>IF(D424="","",VLOOKUP(F424,製品マスタ!$G$5:$K$4999,5,FALSE))</f>
        <v/>
      </c>
      <c r="I424" s="200" t="str">
        <f>IF(D424="","",VLOOKUP(F424,製品マスタ!$G$5:$L$4999,6,FALSE))</f>
        <v/>
      </c>
      <c r="J424" s="203"/>
      <c r="K424" s="200" t="str">
        <f>IF(D424="","",VLOOKUP(D424,契約台帳!$A$3:$L$4986,12,FALSE))</f>
        <v/>
      </c>
      <c r="L424" s="200" t="str">
        <f>IF(D424="","",INDEX(製品マスタ!$Q$5:$Q$4999,MATCH('S4'!F424&amp;'S4'!K424,製品マスタ!$AO$5:$AO$4999,0)))</f>
        <v/>
      </c>
      <c r="M424" s="37"/>
      <c r="N424" s="37"/>
      <c r="O424" s="153"/>
      <c r="P424" s="45"/>
      <c r="Q424" s="54"/>
      <c r="R424" s="257" t="str">
        <f ca="1">IF(D424="","",IF(OFFSET(D424,-1,0)&lt;&gt;"","",IF(OR(J424="リード付け",J424="巻足し",J424="巻返しリード付け"),M424,VLOOKUP(D424,契約台帳!$A$3:$N$4986,14,FALSE))))</f>
        <v/>
      </c>
      <c r="S424" s="258" t="str">
        <f ca="1">IF(D424="","",IF(OFFSET(D424,-1,0)&lt;&gt;"","",IF(OR(J424="リード付け",J424="巻足し",J424="巻返しリード付け"),M424,VLOOKUP(D424,契約台帳!$A$3:$O$4986,15,FALSE))))</f>
        <v/>
      </c>
      <c r="T424" s="258" t="str">
        <f ca="1">IF(D424="","",IF(J424="リード付け",N424,IF(J424="巻返しリード付け",N424,IF(J424="巻足し",N424*P424+OFFSET(N424,1,0)*OFFSET(P424,1,0),VLOOKUP(D424,契約台帳!$A$3:$P$4986,16,FALSE)))))</f>
        <v/>
      </c>
      <c r="U424" s="38"/>
      <c r="V424" s="259" t="str">
        <f ca="1">IF(D424="","",IF(OFFSET(D424,-2,0)=D424,"",VLOOKUP(D424,契約台帳!$A$3:$R$4986,18,FALSE)))</f>
        <v/>
      </c>
      <c r="W424" s="256" t="str">
        <f>IF(D424="","",IF(T424="","",IF(OR(J424="巻足し",J424="巻返しリード付け"),"",IF(J424="巻返し",VLOOKUP(F424&amp;K424&amp;M424,製品マスタ!$M$5:$AD$4999,18,FALSE),IF(OR(J424="リード付け",J424="巻返しリード付け"),"原反コア",IF(J424="スリット",VLOOKUP(F424&amp;K424&amp;R424,製品マスタ!$N$5:$AD$4999,17,FALSE),""))))))</f>
        <v/>
      </c>
      <c r="X424" s="256" t="str">
        <f>IF(D424="","",IF(T424="","",IF(J424="巻足し","",IF(J424="巻返し",VLOOKUP(F424&amp;K424&amp;M424,製品マスタ!$M$5:$AE$4999,19,FALSE),IF(OR(J424="リード付け",J424="巻返しリード付け"),"",IF(J424="スリット",VLOOKUP(F424&amp;K424&amp;R424,製品マスタ!$N$5:$AE$4999,18,FALSE),""))))))</f>
        <v/>
      </c>
      <c r="Y424" s="256" t="str">
        <f>IF(D424="","",IF(T424="","",VLOOKUP(D424,契約台帳!$A$3:$Q$4986,17,FALSE)))</f>
        <v/>
      </c>
      <c r="Z424" s="256" t="str">
        <f>IF(D424="","",IF(T424="","",VLOOKUP(D424,契約台帳!$A$3:$E$4986,5,FALSE)))</f>
        <v/>
      </c>
      <c r="AA424" s="54"/>
      <c r="AB424" s="200" t="str">
        <f>IFERROR((VLOOKUP(F424&amp;K424&amp;M424,製品マスタ!$M$5:$AM$4999,27,FALSE)),"")</f>
        <v/>
      </c>
      <c r="AC424" s="31"/>
      <c r="AD424" s="184"/>
      <c r="AE424" s="51"/>
      <c r="AF424" s="52"/>
      <c r="AG424" s="41"/>
      <c r="AH424" s="45"/>
      <c r="AI424" s="28"/>
      <c r="AJ424" s="28"/>
      <c r="AK424" s="28"/>
      <c r="AL424" s="28"/>
      <c r="AM424" s="12"/>
      <c r="AN424" s="12"/>
      <c r="AO424" s="12"/>
      <c r="AP424" s="12"/>
      <c r="AQ424" s="12"/>
      <c r="AR424" s="13"/>
      <c r="AS424" s="14"/>
    </row>
    <row r="425" spans="1:45" s="16" customFormat="1" ht="30.95" hidden="1" customHeight="1" x14ac:dyDescent="0.2">
      <c r="A425" s="35" t="s">
        <v>1025</v>
      </c>
      <c r="B425" s="36" t="s">
        <v>443</v>
      </c>
      <c r="C425" s="43"/>
      <c r="D425" s="29">
        <v>3706174</v>
      </c>
      <c r="E425" s="29">
        <v>4161882</v>
      </c>
      <c r="F425" s="255" t="str">
        <f>IF(D425="","",VLOOKUP(D425,契約台帳!$A$3:$K$4986,6,FALSE)&amp;VLOOKUP(D425,契約台帳!$A$3:$K$4986,7,FALSE)&amp;VLOOKUP(D425,契約台帳!$A$3:$K$4986,8,FALSE)&amp;VLOOKUP(D425,契約台帳!$A$3:$K$4986,9,FALSE)&amp;VLOOKUP(D425,契約台帳!$A$3:$K$4986,11,FALSE))</f>
        <v>3SNMLBMNGTBF</v>
      </c>
      <c r="G425" s="256" t="str">
        <f>IF(D425="","",VLOOKUP(F425,製品マスタ!$G$5:$H$4999,2,FALSE))</f>
        <v>S</v>
      </c>
      <c r="H425" s="256" t="str">
        <f>IF(D425="","",VLOOKUP(F425,製品マスタ!$G$5:$K$4999,5,FALSE))</f>
        <v>MNGTBF</v>
      </c>
      <c r="I425" s="200" t="str">
        <f>IF(D425="","",VLOOKUP(F425,製品マスタ!$G$5:$L$4999,6,FALSE))</f>
        <v>メタルミー　ネーマー　銀艶　Ｂ</v>
      </c>
      <c r="J425" s="203" t="s">
        <v>935</v>
      </c>
      <c r="K425" s="200">
        <f>IF(D425="","",VLOOKUP(D425,契約台帳!$A$3:$L$4986,12,FALSE))</f>
        <v>50</v>
      </c>
      <c r="L425" s="200" t="str">
        <f>IF(D425="","",INDEX(製品マスタ!$Q$5:$Q$4999,MATCH('S4'!F425&amp;'S4'!K425,製品マスタ!$AO$5:$AO$4999,0)))</f>
        <v>T62</v>
      </c>
      <c r="M425" s="37">
        <v>1120</v>
      </c>
      <c r="N425" s="37">
        <v>5000</v>
      </c>
      <c r="O425" s="153">
        <v>12</v>
      </c>
      <c r="P425" s="45">
        <v>2</v>
      </c>
      <c r="Q425" s="206">
        <v>45020</v>
      </c>
      <c r="R425" s="257">
        <f ca="1">IF(D425="","",IF(OFFSET(D425,-1,0)&lt;&gt;"","",IF(OR(J425="リード付け",J425="巻足し",J425="巻返しリード付け"),M425,VLOOKUP(D425,契約台帳!$A$3:$N$4986,14,FALSE))))</f>
        <v>1120</v>
      </c>
      <c r="S425" s="258">
        <f ca="1">IF(D425="","",IF(OFFSET(D425,-1,0)&lt;&gt;"","",IF(OR(J425="リード付け",J425="巻足し",J425="巻返しリード付け"),M425,VLOOKUP(D425,契約台帳!$A$3:$O$4986,15,FALSE))))</f>
        <v>1120</v>
      </c>
      <c r="T425" s="258">
        <f ca="1">IF(D425="","",IF(J425="リード付け",N425,IF(J425="巻返しリード付け",N425,IF(J425="巻足し",N425*P425+OFFSET(N425,1,0)*OFFSET(P425,1,0),VLOOKUP(D425,契約台帳!$A$3:$P$4986,16,FALSE)))))</f>
        <v>10000</v>
      </c>
      <c r="U425" s="38">
        <v>6</v>
      </c>
      <c r="V425" s="259">
        <f ca="1">IF(D425="","",IF(OFFSET(D425,-2,0)=D425,"",VLOOKUP(D425,契約台帳!$A$3:$R$4986,18,FALSE)))</f>
        <v>12</v>
      </c>
      <c r="W425" s="256" t="str">
        <f ca="1">IF(D425="","",IF(T425="","",IF(OR(J425="巻足し",J425="巻返しリード付け"),"",IF(J425="巻返し",VLOOKUP(F425&amp;K425&amp;M425,製品マスタ!$M$5:$AD$4999,18,FALSE),IF(OR(J425="リード付け",J425="巻返しリード付け"),"原反コア",IF(J425="スリット",VLOOKUP(F425&amp;K425&amp;R425,製品マスタ!$N$5:$AD$4999,17,FALSE),""))))))</f>
        <v/>
      </c>
      <c r="X425" s="256" t="str">
        <f ca="1">IF(D425="","",IF(T425="","",IF(J425="巻足し","",IF(J425="巻返し",VLOOKUP(F425&amp;K425&amp;M425,製品マスタ!$M$5:$AE$4999,19,FALSE),IF(OR(J425="リード付け",J425="巻返しリード付け"),"",IF(J425="スリット",VLOOKUP(F425&amp;K425&amp;R425,製品マスタ!$N$5:$AE$4999,18,FALSE),""))))))</f>
        <v/>
      </c>
      <c r="Y425" s="256">
        <f ca="1">IF(D425="","",IF(T425="","",VLOOKUP(D425,契約台帳!$A$3:$Q$4986,17,FALSE)))</f>
        <v>2</v>
      </c>
      <c r="Z425" s="256" t="str">
        <f ca="1">IF(D425="","",IF(T425="","",VLOOKUP(D425,契約台帳!$A$3:$E$4986,5,FALSE)))</f>
        <v>リンテック㈱</v>
      </c>
      <c r="AA425" s="54"/>
      <c r="AB425" s="200" t="str">
        <f>IFERROR((VLOOKUP(F425&amp;K425&amp;M425,製品マスタ!$M$5:$AM$4999,27,FALSE)),"")</f>
        <v>原反ケース再利用</v>
      </c>
      <c r="AC425" s="31"/>
      <c r="AD425" s="184"/>
      <c r="AE425" s="51"/>
      <c r="AF425" s="52"/>
      <c r="AG425" s="41"/>
      <c r="AH425" s="45"/>
      <c r="AI425" s="28"/>
      <c r="AJ425" s="28"/>
      <c r="AK425" s="28"/>
      <c r="AL425" s="28"/>
      <c r="AM425" s="12"/>
      <c r="AN425" s="12"/>
      <c r="AO425" s="12"/>
      <c r="AP425" s="12"/>
      <c r="AQ425" s="12"/>
      <c r="AR425" s="13"/>
      <c r="AS425" s="14"/>
    </row>
    <row r="426" spans="1:45" s="16" customFormat="1" ht="30.95" hidden="1" customHeight="1" x14ac:dyDescent="0.2">
      <c r="A426" s="35"/>
      <c r="B426" s="36"/>
      <c r="C426" s="43"/>
      <c r="D426" s="29"/>
      <c r="E426" s="29"/>
      <c r="F426" s="255"/>
      <c r="G426" s="256"/>
      <c r="H426" s="256"/>
      <c r="I426" s="200"/>
      <c r="J426" s="203"/>
      <c r="K426" s="200"/>
      <c r="L426" s="200"/>
      <c r="M426" s="37"/>
      <c r="N426" s="37"/>
      <c r="O426" s="153"/>
      <c r="P426" s="45"/>
      <c r="Q426" s="54"/>
      <c r="R426" s="257"/>
      <c r="S426" s="258"/>
      <c r="T426" s="258"/>
      <c r="U426" s="38"/>
      <c r="V426" s="259"/>
      <c r="W426" s="256"/>
      <c r="X426" s="256"/>
      <c r="Y426" s="256"/>
      <c r="Z426" s="256"/>
      <c r="AA426" s="54"/>
      <c r="AB426" s="200"/>
      <c r="AC426" s="31"/>
      <c r="AD426" s="184"/>
      <c r="AE426" s="51"/>
      <c r="AF426" s="52"/>
      <c r="AG426" s="41"/>
      <c r="AH426" s="45"/>
      <c r="AI426" s="28"/>
      <c r="AJ426" s="28"/>
      <c r="AK426" s="28"/>
      <c r="AL426" s="28"/>
      <c r="AM426" s="12"/>
      <c r="AN426" s="12"/>
      <c r="AO426" s="12"/>
      <c r="AP426" s="12"/>
      <c r="AQ426" s="12"/>
      <c r="AR426" s="13"/>
      <c r="AS426" s="14"/>
    </row>
    <row r="427" spans="1:45" s="16" customFormat="1" ht="30.95" hidden="1" customHeight="1" x14ac:dyDescent="0.2">
      <c r="A427" s="35" t="s">
        <v>1027</v>
      </c>
      <c r="B427" s="36" t="s">
        <v>444</v>
      </c>
      <c r="C427" s="43"/>
      <c r="D427" s="29">
        <v>3704001</v>
      </c>
      <c r="E427" s="29">
        <v>4161875</v>
      </c>
      <c r="F427" s="255" t="str">
        <f>IF(D427="","",VLOOKUP(D427,契約台帳!$A$3:$K$4986,6,FALSE)&amp;VLOOKUP(D427,契約台帳!$A$3:$K$4986,7,FALSE)&amp;VLOOKUP(D427,契約台帳!$A$3:$K$4986,8,FALSE)&amp;VLOOKUP(D427,契約台帳!$A$3:$K$4986,9,FALSE)&amp;VLOOKUP(D427,契約台帳!$A$3:$K$4986,11,FALSE))</f>
        <v>3SYMLBMSBBF</v>
      </c>
      <c r="G427" s="256" t="str">
        <f>IF(D427="","",VLOOKUP(F427,製品マスタ!$G$5:$H$4999,2,FALSE))</f>
        <v>S</v>
      </c>
      <c r="H427" s="256" t="str">
        <f>IF(D427="","",VLOOKUP(F427,製品マスタ!$G$5:$K$4999,5,FALSE))</f>
        <v>MSBBF</v>
      </c>
      <c r="I427" s="200" t="str">
        <f>IF(D427="","",VLOOKUP(F427,製品マスタ!$G$5:$L$4999,6,FALSE))</f>
        <v>ＭＥＴＡＬＵＭＹ　ＳＩＬＶＥＲ　ＢＲＩＧＨＴ　Ｔ６２Ｍ　Ｂ</v>
      </c>
      <c r="J427" s="203" t="s">
        <v>1022</v>
      </c>
      <c r="K427" s="200">
        <f>IF(D427="","",VLOOKUP(D427,契約台帳!$A$3:$L$4986,12,FALSE))</f>
        <v>50</v>
      </c>
      <c r="L427" s="200" t="str">
        <f>IF(D427="","",INDEX(製品マスタ!$Q$5:$Q$4999,MATCH('S4'!F427&amp;'S4'!K427,製品マスタ!$AO$5:$AO$4999,0)))</f>
        <v>T62</v>
      </c>
      <c r="M427" s="37">
        <v>1120</v>
      </c>
      <c r="N427" s="37">
        <v>5000</v>
      </c>
      <c r="O427" s="153">
        <v>2</v>
      </c>
      <c r="P427" s="45">
        <v>2</v>
      </c>
      <c r="Q427" s="206">
        <v>45020</v>
      </c>
      <c r="R427" s="257">
        <f ca="1">IF(D427="","",IF(OFFSET(D427,-1,0)&lt;&gt;"","",IF(OR(J427="リード付け",J427="巻足し",J427="巻返しリード付け"),M427,VLOOKUP(D427,契約台帳!$A$3:$N$4986,14,FALSE))))</f>
        <v>1120</v>
      </c>
      <c r="S427" s="258">
        <f ca="1">IF(D427="","",IF(OFFSET(D427,-1,0)&lt;&gt;"","",IF(OR(J427="リード付け",J427="巻足し",J427="巻返しリード付け"),M427,VLOOKUP(D427,契約台帳!$A$3:$O$4986,15,FALSE))))</f>
        <v>1120</v>
      </c>
      <c r="T427" s="258">
        <f ca="1">IF(D427="","",IF(J427="リード付け",N427,IF(J427="巻返しリード付け",N427,IF(J427="巻足し",N427*P427+OFFSET(N427,1,0)*OFFSET(P427,1,0),VLOOKUP(D427,契約台帳!$A$3:$P$4986,16,FALSE)))))</f>
        <v>10000</v>
      </c>
      <c r="U427" s="38">
        <v>1</v>
      </c>
      <c r="V427" s="259">
        <f ca="1">IF(D427="","",IF(OFFSET(D427,-2,0)=D427,"",VLOOKUP(D427,契約台帳!$A$3:$R$4986,18,FALSE)))</f>
        <v>2</v>
      </c>
      <c r="W427" s="256" t="str">
        <f ca="1">IF(D427="","",IF(T427="","",IF(OR(J427="巻足し",J427="巻返しリード付け"),"",IF(J427="巻返し",VLOOKUP(F427&amp;K427&amp;M427,製品マスタ!$M$5:$AD$4999,18,FALSE),IF(OR(J427="リード付け",J427="巻返しリード付け"),"原反コア",IF(J427="スリット",VLOOKUP(F427&amp;K427&amp;R427,製品マスタ!$N$5:$AD$4999,17,FALSE),""))))))</f>
        <v/>
      </c>
      <c r="X427" s="256" t="str">
        <f ca="1">IF(D427="","",IF(T427="","",IF(J427="巻足し","",IF(J427="巻返し",VLOOKUP(F427&amp;K427&amp;M427,製品マスタ!$M$5:$AE$4999,19,FALSE),IF(OR(J427="リード付け",J427="巻返しリード付け"),"",IF(J427="スリット",VLOOKUP(F427&amp;K427&amp;R427,製品マスタ!$N$5:$AE$4999,18,FALSE),""))))))</f>
        <v/>
      </c>
      <c r="Y427" s="256">
        <f ca="1">IF(D427="","",IF(T427="","",VLOOKUP(D427,契約台帳!$A$3:$Q$4986,17,FALSE)))</f>
        <v>2</v>
      </c>
      <c r="Z427" s="256" t="str">
        <f ca="1">IF(D427="","",IF(T427="","",VLOOKUP(D427,契約台帳!$A$3:$E$4986,5,FALSE)))</f>
        <v>リンテック㈱</v>
      </c>
      <c r="AA427" s="54"/>
      <c r="AB427" s="200" t="str">
        <f>IFERROR((VLOOKUP(F427&amp;K427&amp;M427,製品マスタ!$M$5:$AM$4999,27,FALSE)),"")</f>
        <v>原反ケース再利用</v>
      </c>
      <c r="AC427" s="31"/>
      <c r="AD427" s="184"/>
      <c r="AE427" s="51"/>
      <c r="AF427" s="52"/>
      <c r="AG427" s="41"/>
      <c r="AH427" s="45"/>
      <c r="AI427" s="28"/>
      <c r="AJ427" s="28"/>
      <c r="AK427" s="28"/>
      <c r="AL427" s="28"/>
      <c r="AM427" s="12"/>
      <c r="AN427" s="12"/>
      <c r="AO427" s="12"/>
      <c r="AP427" s="12"/>
      <c r="AQ427" s="12"/>
      <c r="AR427" s="13"/>
      <c r="AS427" s="14"/>
    </row>
    <row r="428" spans="1:45" s="16" customFormat="1" ht="30.95" hidden="1" customHeight="1" x14ac:dyDescent="0.2">
      <c r="A428" s="35"/>
      <c r="B428" s="36"/>
      <c r="C428" s="43"/>
      <c r="D428" s="29"/>
      <c r="E428" s="29"/>
      <c r="F428" s="255" t="str">
        <f>IF(D428="","",VLOOKUP(D428,契約台帳!$A$3:$K$4986,6,FALSE)&amp;VLOOKUP(D428,契約台帳!$A$3:$K$4986,7,FALSE)&amp;VLOOKUP(D428,契約台帳!$A$3:$K$4986,8,FALSE)&amp;VLOOKUP(D428,契約台帳!$A$3:$K$4986,9,FALSE)&amp;VLOOKUP(D428,契約台帳!$A$3:$K$4986,11,FALSE))</f>
        <v/>
      </c>
      <c r="G428" s="256" t="str">
        <f>IF(D428="","",VLOOKUP(F428,製品マスタ!$G$5:$H$4999,2,FALSE))</f>
        <v/>
      </c>
      <c r="H428" s="256" t="str">
        <f>IF(D428="","",VLOOKUP(F428,製品マスタ!$G$5:$K$4999,5,FALSE))</f>
        <v/>
      </c>
      <c r="I428" s="200" t="str">
        <f>IF(D428="","",VLOOKUP(F428,製品マスタ!$G$5:$L$4999,6,FALSE))</f>
        <v/>
      </c>
      <c r="J428" s="203"/>
      <c r="K428" s="200" t="str">
        <f>IF(D428="","",VLOOKUP(D428,契約台帳!$A$3:$L$4986,12,FALSE))</f>
        <v/>
      </c>
      <c r="L428" s="200" t="str">
        <f>IF(D428="","",INDEX(製品マスタ!$Q$5:$Q$4999,MATCH('S4'!F428&amp;'S4'!K428,製品マスタ!$AO$5:$AO$4999,0)))</f>
        <v/>
      </c>
      <c r="M428" s="37"/>
      <c r="N428" s="37"/>
      <c r="O428" s="153"/>
      <c r="P428" s="45"/>
      <c r="Q428" s="54"/>
      <c r="R428" s="257" t="str">
        <f ca="1">IF(D428="","",IF(OFFSET(D428,-1,0)&lt;&gt;"","",IF(OR(J428="リード付け",J428="巻足し",J428="巻返しリード付け"),M428,VLOOKUP(D428,契約台帳!$A$3:$N$4986,14,FALSE))))</f>
        <v/>
      </c>
      <c r="S428" s="258" t="str">
        <f ca="1">IF(D428="","",IF(OFFSET(D428,-1,0)&lt;&gt;"","",IF(OR(J428="リード付け",J428="巻足し",J428="巻返しリード付け"),M428,VLOOKUP(D428,契約台帳!$A$3:$O$4986,15,FALSE))))</f>
        <v/>
      </c>
      <c r="T428" s="258" t="str">
        <f ca="1">IF(D428="","",IF(J428="リード付け",N428,IF(J428="巻返しリード付け",N428,IF(J428="巻足し",N428*P428+OFFSET(N428,1,0)*OFFSET(P428,1,0),VLOOKUP(D428,契約台帳!$A$3:$P$4986,16,FALSE)))))</f>
        <v/>
      </c>
      <c r="U428" s="38"/>
      <c r="V428" s="259" t="str">
        <f ca="1">IF(D428="","",IF(OFFSET(D428,-2,0)=D428,"",VLOOKUP(D428,契約台帳!$A$3:$R$4986,18,FALSE)))</f>
        <v/>
      </c>
      <c r="W428" s="256" t="str">
        <f>IF(D428="","",IF(T428="","",IF(OR(J428="巻足し",J428="巻返しリード付け"),"",IF(J428="巻返し",VLOOKUP(F428&amp;K428&amp;M428,製品マスタ!$M$5:$AD$4999,18,FALSE),IF(OR(J428="リード付け",J428="巻返しリード付け"),"原反コア",IF(J428="スリット",VLOOKUP(F428&amp;K428&amp;R428,製品マスタ!$N$5:$AD$4999,17,FALSE),""))))))</f>
        <v/>
      </c>
      <c r="X428" s="256" t="str">
        <f>IF(D428="","",IF(T428="","",IF(J428="巻足し","",IF(J428="巻返し",VLOOKUP(F428&amp;K428&amp;M428,製品マスタ!$M$5:$AE$4999,19,FALSE),IF(OR(J428="リード付け",J428="巻返しリード付け"),"",IF(J428="スリット",VLOOKUP(F428&amp;K428&amp;R428,製品マスタ!$N$5:$AE$4999,18,FALSE),""))))))</f>
        <v/>
      </c>
      <c r="Y428" s="256" t="str">
        <f>IF(D428="","",IF(T428="","",VLOOKUP(D428,契約台帳!$A$3:$Q$4986,17,FALSE)))</f>
        <v/>
      </c>
      <c r="Z428" s="256" t="str">
        <f>IF(D428="","",IF(T428="","",VLOOKUP(D428,契約台帳!$A$3:$E$4986,5,FALSE)))</f>
        <v/>
      </c>
      <c r="AA428" s="54"/>
      <c r="AB428" s="200" t="str">
        <f>IFERROR((VLOOKUP(F428&amp;K428&amp;M428,製品マスタ!$M$5:$AM$4999,27,FALSE)),"")</f>
        <v/>
      </c>
      <c r="AC428" s="31"/>
      <c r="AD428" s="184"/>
      <c r="AE428" s="51"/>
      <c r="AF428" s="52"/>
      <c r="AG428" s="41"/>
      <c r="AH428" s="45"/>
      <c r="AI428" s="28"/>
      <c r="AJ428" s="28"/>
      <c r="AK428" s="28"/>
      <c r="AL428" s="28"/>
      <c r="AM428" s="12"/>
      <c r="AN428" s="12"/>
      <c r="AO428" s="12"/>
      <c r="AP428" s="12"/>
      <c r="AQ428" s="12"/>
      <c r="AR428" s="13"/>
      <c r="AS428" s="14"/>
    </row>
    <row r="429" spans="1:45" s="16" customFormat="1" ht="30.95" hidden="1" customHeight="1" x14ac:dyDescent="0.2">
      <c r="A429" s="35"/>
      <c r="B429" s="36"/>
      <c r="C429" s="43"/>
      <c r="D429" s="29">
        <v>3703993</v>
      </c>
      <c r="E429" s="29">
        <v>4161867</v>
      </c>
      <c r="F429" s="255" t="str">
        <f>IF(D429="","",VLOOKUP(D429,契約台帳!$A$3:$K$4986,6,FALSE)&amp;VLOOKUP(D429,契約台帳!$A$3:$K$4986,7,FALSE)&amp;VLOOKUP(D429,契約台帳!$A$3:$K$4986,8,FALSE)&amp;VLOOKUP(D429,契約台帳!$A$3:$K$4986,9,FALSE)&amp;VLOOKUP(D429,契約台帳!$A$3:$K$4986,11,FALSE))</f>
        <v>3SNMLBMNGKBF</v>
      </c>
      <c r="G429" s="256" t="str">
        <f>IF(D429="","",VLOOKUP(F429,製品マスタ!$G$5:$H$4999,2,FALSE))</f>
        <v>S</v>
      </c>
      <c r="H429" s="256" t="str">
        <f>IF(D429="","",VLOOKUP(F429,製品マスタ!$G$5:$K$4999,5,FALSE))</f>
        <v>MNGKBF</v>
      </c>
      <c r="I429" s="200" t="str">
        <f>IF(D429="","",VLOOKUP(F429,製品マスタ!$G$5:$L$4999,6,FALSE))</f>
        <v>メタルミー　ネーマー銀消　Ｂ</v>
      </c>
      <c r="J429" s="203" t="s">
        <v>1022</v>
      </c>
      <c r="K429" s="200">
        <f>IF(D429="","",VLOOKUP(D429,契約台帳!$A$3:$L$4986,12,FALSE))</f>
        <v>50</v>
      </c>
      <c r="L429" s="200" t="str">
        <f>IF(D429="","",INDEX(製品マスタ!$Q$5:$Q$4999,MATCH('S4'!F429&amp;'S4'!K429,製品マスタ!$AO$5:$AO$4999,0)))</f>
        <v>MAT</v>
      </c>
      <c r="M429" s="37">
        <v>1050</v>
      </c>
      <c r="N429" s="37">
        <v>4100</v>
      </c>
      <c r="O429" s="153">
        <v>4</v>
      </c>
      <c r="P429" s="45">
        <v>2</v>
      </c>
      <c r="Q429" s="206">
        <v>45019</v>
      </c>
      <c r="R429" s="257">
        <f ca="1">IF(D429="","",IF(OFFSET(D429,-1,0)&lt;&gt;"","",IF(OR(J429="リード付け",J429="巻足し",J429="巻返しリード付け"),M429,VLOOKUP(D429,契約台帳!$A$3:$N$4986,14,FALSE))))</f>
        <v>1050</v>
      </c>
      <c r="S429" s="258">
        <f ca="1">IF(D429="","",IF(OFFSET(D429,-1,0)&lt;&gt;"","",IF(OR(J429="リード付け",J429="巻足し",J429="巻返しリード付け"),M429,VLOOKUP(D429,契約台帳!$A$3:$O$4986,15,FALSE))))</f>
        <v>1050</v>
      </c>
      <c r="T429" s="258">
        <f ca="1">IF(D429="","",IF(J429="リード付け",N429,IF(J429="巻返しリード付け",N429,IF(J429="巻足し",N429*P429+OFFSET(N429,1,0)*OFFSET(P429,1,0),VLOOKUP(D429,契約台帳!$A$3:$P$4986,16,FALSE)))))</f>
        <v>8200</v>
      </c>
      <c r="U429" s="38">
        <v>2</v>
      </c>
      <c r="V429" s="259">
        <f ca="1">IF(D429="","",IF(OFFSET(D429,-2,0)=D429,"",VLOOKUP(D429,契約台帳!$A$3:$R$4986,18,FALSE)))</f>
        <v>4</v>
      </c>
      <c r="W429" s="256" t="str">
        <f ca="1">IF(D429="","",IF(T429="","",IF(OR(J429="巻足し",J429="巻返しリード付け"),"",IF(J429="巻返し",VLOOKUP(F429&amp;K429&amp;M429,製品マスタ!$M$5:$AD$4999,18,FALSE),IF(OR(J429="リード付け",J429="巻返しリード付け"),"原反コア",IF(J429="スリット",VLOOKUP(F429&amp;K429&amp;R429,製品マスタ!$N$5:$AD$4999,17,FALSE),""))))))</f>
        <v/>
      </c>
      <c r="X429" s="256" t="str">
        <f ca="1">IF(D429="","",IF(T429="","",IF(J429="巻足し","",IF(J429="巻返し",VLOOKUP(F429&amp;K429&amp;M429,製品マスタ!$M$5:$AE$4999,19,FALSE),IF(OR(J429="リード付け",J429="巻返しリード付け"),"",IF(J429="スリット",VLOOKUP(F429&amp;K429&amp;R429,製品マスタ!$N$5:$AE$4999,18,FALSE),""))))))</f>
        <v/>
      </c>
      <c r="Y429" s="256">
        <f ca="1">IF(D429="","",IF(T429="","",VLOOKUP(D429,契約台帳!$A$3:$Q$4986,17,FALSE)))</f>
        <v>2</v>
      </c>
      <c r="Z429" s="256" t="str">
        <f ca="1">IF(D429="","",IF(T429="","",VLOOKUP(D429,契約台帳!$A$3:$E$4986,5,FALSE)))</f>
        <v>リンテック㈱</v>
      </c>
      <c r="AA429" s="54"/>
      <c r="AB429" s="200">
        <f>IFERROR((VLOOKUP(F429&amp;K429&amp;M429,製品マスタ!$M$5:$AM$4999,27,FALSE)),"")</f>
        <v>0</v>
      </c>
      <c r="AC429" s="31"/>
      <c r="AD429" s="184"/>
      <c r="AE429" s="51"/>
      <c r="AF429" s="52"/>
      <c r="AG429" s="41"/>
      <c r="AH429" s="45"/>
      <c r="AI429" s="28"/>
      <c r="AJ429" s="28"/>
      <c r="AK429" s="28"/>
      <c r="AL429" s="28"/>
      <c r="AM429" s="12"/>
      <c r="AN429" s="12"/>
      <c r="AO429" s="12"/>
      <c r="AP429" s="12"/>
      <c r="AQ429" s="12"/>
      <c r="AR429" s="13"/>
      <c r="AS429" s="14"/>
    </row>
    <row r="430" spans="1:45" s="16" customFormat="1" ht="30.95" hidden="1" customHeight="1" x14ac:dyDescent="0.2">
      <c r="A430" s="35"/>
      <c r="B430" s="36"/>
      <c r="C430" s="43"/>
      <c r="D430" s="29"/>
      <c r="E430" s="29"/>
      <c r="F430" s="255" t="str">
        <f>IF(D430="","",VLOOKUP(D430,契約台帳!$A$3:$K$4986,6,FALSE)&amp;VLOOKUP(D430,契約台帳!$A$3:$K$4986,7,FALSE)&amp;VLOOKUP(D430,契約台帳!$A$3:$K$4986,8,FALSE)&amp;VLOOKUP(D430,契約台帳!$A$3:$K$4986,9,FALSE)&amp;VLOOKUP(D430,契約台帳!$A$3:$K$4986,11,FALSE))</f>
        <v/>
      </c>
      <c r="G430" s="256" t="str">
        <f>IF(D430="","",VLOOKUP(F430,製品マスタ!$G$5:$H$4999,2,FALSE))</f>
        <v/>
      </c>
      <c r="H430" s="256" t="str">
        <f>IF(D430="","",VLOOKUP(F430,製品マスタ!$G$5:$K$4999,5,FALSE))</f>
        <v/>
      </c>
      <c r="I430" s="200" t="str">
        <f>IF(D430="","",VLOOKUP(F430,製品マスタ!$G$5:$L$4999,6,FALSE))</f>
        <v/>
      </c>
      <c r="J430" s="203"/>
      <c r="K430" s="200" t="str">
        <f>IF(D430="","",VLOOKUP(D430,契約台帳!$A$3:$L$4986,12,FALSE))</f>
        <v/>
      </c>
      <c r="L430" s="200" t="str">
        <f>IF(D430="","",INDEX(製品マスタ!$Q$5:$Q$4999,MATCH('S4'!F430&amp;'S4'!K430,製品マスタ!$AO$5:$AO$4999,0)))</f>
        <v/>
      </c>
      <c r="M430" s="37"/>
      <c r="N430" s="37"/>
      <c r="O430" s="153"/>
      <c r="P430" s="45"/>
      <c r="Q430" s="54"/>
      <c r="R430" s="257" t="str">
        <f ca="1">IF(D430="","",IF(OFFSET(D430,-1,0)&lt;&gt;"","",IF(OR(J430="リード付け",J430="巻足し",J430="巻返しリード付け"),M430,VLOOKUP(D430,契約台帳!$A$3:$N$4986,14,FALSE))))</f>
        <v/>
      </c>
      <c r="S430" s="258" t="str">
        <f ca="1">IF(D430="","",IF(OFFSET(D430,-1,0)&lt;&gt;"","",IF(OR(J430="リード付け",J430="巻足し",J430="巻返しリード付け"),M430,VLOOKUP(D430,契約台帳!$A$3:$O$4986,15,FALSE))))</f>
        <v/>
      </c>
      <c r="T430" s="258" t="str">
        <f ca="1">IF(D430="","",IF(J430="リード付け",N430,IF(J430="巻返しリード付け",N430,IF(J430="巻足し",N430*P430+OFFSET(N430,1,0)*OFFSET(P430,1,0),VLOOKUP(D430,契約台帳!$A$3:$P$4986,16,FALSE)))))</f>
        <v/>
      </c>
      <c r="U430" s="38"/>
      <c r="V430" s="259" t="str">
        <f ca="1">IF(D430="","",IF(OFFSET(D430,-2,0)=D430,"",VLOOKUP(D430,契約台帳!$A$3:$R$4986,18,FALSE)))</f>
        <v/>
      </c>
      <c r="W430" s="256" t="str">
        <f>IF(D430="","",IF(T430="","",IF(OR(J430="巻足し",J430="巻返しリード付け"),"",IF(J430="巻返し",VLOOKUP(F430&amp;K430&amp;M430,製品マスタ!$M$5:$AD$4999,18,FALSE),IF(OR(J430="リード付け",J430="巻返しリード付け"),"原反コア",IF(J430="スリット",VLOOKUP(F430&amp;K430&amp;R430,製品マスタ!$N$5:$AD$4999,17,FALSE),""))))))</f>
        <v/>
      </c>
      <c r="X430" s="256" t="str">
        <f>IF(D430="","",IF(T430="","",IF(J430="巻足し","",IF(J430="巻返し",VLOOKUP(F430&amp;K430&amp;M430,製品マスタ!$M$5:$AE$4999,19,FALSE),IF(OR(J430="リード付け",J430="巻返しリード付け"),"",IF(J430="スリット",VLOOKUP(F430&amp;K430&amp;R430,製品マスタ!$N$5:$AE$4999,18,FALSE),""))))))</f>
        <v/>
      </c>
      <c r="Y430" s="256" t="str">
        <f>IF(D430="","",IF(T430="","",VLOOKUP(D430,契約台帳!$A$3:$Q$4986,17,FALSE)))</f>
        <v/>
      </c>
      <c r="Z430" s="256" t="str">
        <f>IF(D430="","",IF(T430="","",VLOOKUP(D430,契約台帳!$A$3:$E$4986,5,FALSE)))</f>
        <v/>
      </c>
      <c r="AA430" s="54"/>
      <c r="AB430" s="200" t="str">
        <f>IFERROR((VLOOKUP(F430&amp;K430&amp;M430,製品マスタ!$M$5:$AM$4999,27,FALSE)),"")</f>
        <v/>
      </c>
      <c r="AC430" s="31"/>
      <c r="AD430" s="184"/>
      <c r="AE430" s="51"/>
      <c r="AF430" s="52"/>
      <c r="AG430" s="41"/>
      <c r="AH430" s="45"/>
      <c r="AI430" s="28"/>
      <c r="AJ430" s="28"/>
      <c r="AK430" s="28"/>
      <c r="AL430" s="28"/>
      <c r="AM430" s="12"/>
      <c r="AN430" s="12"/>
      <c r="AO430" s="12"/>
      <c r="AP430" s="12"/>
      <c r="AQ430" s="12"/>
      <c r="AR430" s="13"/>
      <c r="AS430" s="14"/>
    </row>
    <row r="431" spans="1:45" s="16" customFormat="1" ht="30.95" hidden="1" customHeight="1" x14ac:dyDescent="0.2">
      <c r="A431" s="35"/>
      <c r="B431" s="36"/>
      <c r="C431" s="43"/>
      <c r="D431" s="29">
        <v>3703992</v>
      </c>
      <c r="E431" s="29">
        <v>4161866</v>
      </c>
      <c r="F431" s="255" t="str">
        <f>IF(D431="","",VLOOKUP(D431,契約台帳!$A$3:$K$4986,6,FALSE)&amp;VLOOKUP(D431,契約台帳!$A$3:$K$4986,7,FALSE)&amp;VLOOKUP(D431,契約台帳!$A$3:$K$4986,8,FALSE)&amp;VLOOKUP(D431,契約台帳!$A$3:$K$4986,9,FALSE)&amp;VLOOKUP(D431,契約台帳!$A$3:$K$4986,11,FALSE))</f>
        <v>3SNMLBMNGKBF</v>
      </c>
      <c r="G431" s="256" t="str">
        <f>IF(D431="","",VLOOKUP(F431,製品マスタ!$G$5:$H$4999,2,FALSE))</f>
        <v>S</v>
      </c>
      <c r="H431" s="256" t="str">
        <f>IF(D431="","",VLOOKUP(F431,製品マスタ!$G$5:$K$4999,5,FALSE))</f>
        <v>MNGKBF</v>
      </c>
      <c r="I431" s="200" t="str">
        <f>IF(D431="","",VLOOKUP(F431,製品マスタ!$G$5:$L$4999,6,FALSE))</f>
        <v>メタルミー　ネーマー銀消　Ｂ</v>
      </c>
      <c r="J431" s="203" t="s">
        <v>1022</v>
      </c>
      <c r="K431" s="200">
        <f>IF(D431="","",VLOOKUP(D431,契約台帳!$A$3:$L$4986,12,FALSE))</f>
        <v>38</v>
      </c>
      <c r="L431" s="200" t="str">
        <f>IF(D431="","",INDEX(製品マスタ!$Q$5:$Q$4999,MATCH('S4'!F431&amp;'S4'!K431,製品マスタ!$AO$5:$AO$4999,0)))</f>
        <v>LUMIMAT</v>
      </c>
      <c r="M431" s="37">
        <v>1005</v>
      </c>
      <c r="N431" s="37">
        <v>4100</v>
      </c>
      <c r="O431" s="153">
        <v>3</v>
      </c>
      <c r="P431" s="45">
        <v>3</v>
      </c>
      <c r="Q431" s="206">
        <v>45019</v>
      </c>
      <c r="R431" s="257">
        <f ca="1">IF(D431="","",IF(OFFSET(D431,-1,0)&lt;&gt;"","",IF(OR(J431="リード付け",J431="巻足し",J431="巻返しリード付け"),M431,VLOOKUP(D431,契約台帳!$A$3:$N$4986,14,FALSE))))</f>
        <v>1005</v>
      </c>
      <c r="S431" s="258">
        <f ca="1">IF(D431="","",IF(OFFSET(D431,-1,0)&lt;&gt;"","",IF(OR(J431="リード付け",J431="巻足し",J431="巻返しリード付け"),M431,VLOOKUP(D431,契約台帳!$A$3:$O$4986,15,FALSE))))</f>
        <v>1005</v>
      </c>
      <c r="T431" s="258">
        <f ca="1">IF(D431="","",IF(J431="リード付け",N431,IF(J431="巻返しリード付け",N431,IF(J431="巻足し",N431*P431+OFFSET(N431,1,0)*OFFSET(P431,1,0),VLOOKUP(D431,契約台帳!$A$3:$P$4986,16,FALSE)))))</f>
        <v>12300</v>
      </c>
      <c r="U431" s="38">
        <v>1</v>
      </c>
      <c r="V431" s="259">
        <f ca="1">IF(D431="","",IF(OFFSET(D431,-2,0)=D431,"",VLOOKUP(D431,契約台帳!$A$3:$R$4986,18,FALSE)))</f>
        <v>3</v>
      </c>
      <c r="W431" s="256" t="str">
        <f ca="1">IF(D431="","",IF(T431="","",IF(OR(J431="巻足し",J431="巻返しリード付け"),"",IF(J431="巻返し",VLOOKUP(F431&amp;K431&amp;M431,製品マスタ!$M$5:$AD$4999,18,FALSE),IF(OR(J431="リード付け",J431="巻返しリード付け"),"原反コア",IF(J431="スリット",VLOOKUP(F431&amp;K431&amp;R431,製品マスタ!$N$5:$AD$4999,17,FALSE),""))))))</f>
        <v/>
      </c>
      <c r="X431" s="256" t="str">
        <f ca="1">IF(D431="","",IF(T431="","",IF(J431="巻足し","",IF(J431="巻返し",VLOOKUP(F431&amp;K431&amp;M431,製品マスタ!$M$5:$AE$4999,19,FALSE),IF(OR(J431="リード付け",J431="巻返しリード付け"),"",IF(J431="スリット",VLOOKUP(F431&amp;K431&amp;R431,製品マスタ!$N$5:$AE$4999,18,FALSE),""))))))</f>
        <v/>
      </c>
      <c r="Y431" s="256">
        <f ca="1">IF(D431="","",IF(T431="","",VLOOKUP(D431,契約台帳!$A$3:$Q$4986,17,FALSE)))</f>
        <v>2</v>
      </c>
      <c r="Z431" s="256" t="str">
        <f ca="1">IF(D431="","",IF(T431="","",VLOOKUP(D431,契約台帳!$A$3:$E$4986,5,FALSE)))</f>
        <v>リンテック㈱</v>
      </c>
      <c r="AA431" s="54"/>
      <c r="AB431" s="200">
        <f>IFERROR((VLOOKUP(F431&amp;K431&amp;M431,製品マスタ!$M$5:$AM$4999,27,FALSE)),"")</f>
        <v>0</v>
      </c>
      <c r="AC431" s="31"/>
      <c r="AD431" s="184"/>
      <c r="AE431" s="51"/>
      <c r="AF431" s="52"/>
      <c r="AG431" s="41"/>
      <c r="AH431" s="45"/>
      <c r="AI431" s="28"/>
      <c r="AJ431" s="28"/>
      <c r="AK431" s="28"/>
      <c r="AL431" s="28"/>
      <c r="AM431" s="12"/>
      <c r="AN431" s="12"/>
      <c r="AO431" s="12"/>
      <c r="AP431" s="12"/>
      <c r="AQ431" s="12"/>
      <c r="AR431" s="13"/>
      <c r="AS431" s="14"/>
    </row>
    <row r="432" spans="1:45" s="16" customFormat="1" ht="30.95" hidden="1" customHeight="1" x14ac:dyDescent="0.2">
      <c r="A432" s="35"/>
      <c r="B432" s="36"/>
      <c r="C432" s="43"/>
      <c r="D432" s="29"/>
      <c r="E432" s="29"/>
      <c r="F432" s="255" t="str">
        <f>IF(D432="","",VLOOKUP(D432,契約台帳!$A$3:$K$4986,6,FALSE)&amp;VLOOKUP(D432,契約台帳!$A$3:$K$4986,7,FALSE)&amp;VLOOKUP(D432,契約台帳!$A$3:$K$4986,8,FALSE)&amp;VLOOKUP(D432,契約台帳!$A$3:$K$4986,9,FALSE)&amp;VLOOKUP(D432,契約台帳!$A$3:$K$4986,11,FALSE))</f>
        <v/>
      </c>
      <c r="G432" s="256" t="str">
        <f>IF(D432="","",VLOOKUP(F432,製品マスタ!$G$5:$H$4999,2,FALSE))</f>
        <v/>
      </c>
      <c r="H432" s="256" t="str">
        <f>IF(D432="","",VLOOKUP(F432,製品マスタ!$G$5:$K$4999,5,FALSE))</f>
        <v/>
      </c>
      <c r="I432" s="200" t="str">
        <f>IF(D432="","",VLOOKUP(F432,製品マスタ!$G$5:$L$4999,6,FALSE))</f>
        <v/>
      </c>
      <c r="J432" s="203"/>
      <c r="K432" s="200" t="str">
        <f>IF(D432="","",VLOOKUP(D432,契約台帳!$A$3:$L$4986,12,FALSE))</f>
        <v/>
      </c>
      <c r="L432" s="200" t="str">
        <f>IF(D432="","",INDEX(製品マスタ!$Q$5:$Q$4999,MATCH('S4'!F432&amp;'S4'!K432,製品マスタ!$AO$5:$AO$4999,0)))</f>
        <v/>
      </c>
      <c r="M432" s="37"/>
      <c r="N432" s="37"/>
      <c r="O432" s="153"/>
      <c r="P432" s="45"/>
      <c r="Q432" s="54"/>
      <c r="R432" s="257" t="str">
        <f ca="1">IF(D432="","",IF(OFFSET(D432,-1,0)&lt;&gt;"","",IF(OR(J432="リード付け",J432="巻足し",J432="巻返しリード付け"),M432,VLOOKUP(D432,契約台帳!$A$3:$N$4986,14,FALSE))))</f>
        <v/>
      </c>
      <c r="S432" s="258" t="str">
        <f ca="1">IF(D432="","",IF(OFFSET(D432,-1,0)&lt;&gt;"","",IF(OR(J432="リード付け",J432="巻足し",J432="巻返しリード付け"),M432,VLOOKUP(D432,契約台帳!$A$3:$O$4986,15,FALSE))))</f>
        <v/>
      </c>
      <c r="T432" s="258" t="str">
        <f ca="1">IF(D432="","",IF(J432="リード付け",N432,IF(J432="巻返しリード付け",N432,IF(J432="巻足し",N432*P432+OFFSET(N432,1,0)*OFFSET(P432,1,0),VLOOKUP(D432,契約台帳!$A$3:$P$4986,16,FALSE)))))</f>
        <v/>
      </c>
      <c r="U432" s="38"/>
      <c r="V432" s="259" t="str">
        <f ca="1">IF(D432="","",IF(OFFSET(D432,-2,0)=D432,"",VLOOKUP(D432,契約台帳!$A$3:$R$4986,18,FALSE)))</f>
        <v/>
      </c>
      <c r="W432" s="256" t="str">
        <f>IF(D432="","",IF(T432="","",IF(OR(J432="巻足し",J432="巻返しリード付け"),"",IF(J432="巻返し",VLOOKUP(F432&amp;K432&amp;M432,製品マスタ!$M$5:$AD$4999,18,FALSE),IF(OR(J432="リード付け",J432="巻返しリード付け"),"原反コア",IF(J432="スリット",VLOOKUP(F432&amp;K432&amp;R432,製品マスタ!$N$5:$AD$4999,17,FALSE),""))))))</f>
        <v/>
      </c>
      <c r="X432" s="256" t="str">
        <f>IF(D432="","",IF(T432="","",IF(J432="巻足し","",IF(J432="巻返し",VLOOKUP(F432&amp;K432&amp;M432,製品マスタ!$M$5:$AE$4999,19,FALSE),IF(OR(J432="リード付け",J432="巻返しリード付け"),"",IF(J432="スリット",VLOOKUP(F432&amp;K432&amp;R432,製品マスタ!$N$5:$AE$4999,18,FALSE),""))))))</f>
        <v/>
      </c>
      <c r="Y432" s="256" t="str">
        <f>IF(D432="","",IF(T432="","",VLOOKUP(D432,契約台帳!$A$3:$Q$4986,17,FALSE)))</f>
        <v/>
      </c>
      <c r="Z432" s="256" t="str">
        <f>IF(D432="","",IF(T432="","",VLOOKUP(D432,契約台帳!$A$3:$E$4986,5,FALSE)))</f>
        <v/>
      </c>
      <c r="AA432" s="54"/>
      <c r="AB432" s="200" t="str">
        <f>IFERROR((VLOOKUP(F432&amp;K432&amp;M432,製品マスタ!$M$5:$AM$4999,27,FALSE)),"")</f>
        <v/>
      </c>
      <c r="AC432" s="31"/>
      <c r="AD432" s="184"/>
      <c r="AE432" s="51"/>
      <c r="AF432" s="52"/>
      <c r="AG432" s="41"/>
      <c r="AH432" s="45"/>
      <c r="AI432" s="28"/>
      <c r="AJ432" s="28"/>
      <c r="AK432" s="28"/>
      <c r="AL432" s="28"/>
      <c r="AM432" s="12"/>
      <c r="AN432" s="12"/>
      <c r="AO432" s="12"/>
      <c r="AP432" s="12"/>
      <c r="AQ432" s="12"/>
      <c r="AR432" s="13"/>
      <c r="AS432" s="14"/>
    </row>
    <row r="433" spans="1:45" s="16" customFormat="1" ht="30.95" hidden="1" customHeight="1" x14ac:dyDescent="0.2">
      <c r="A433" s="35" t="s">
        <v>1029</v>
      </c>
      <c r="B433" s="36" t="s">
        <v>445</v>
      </c>
      <c r="C433" s="43"/>
      <c r="D433" s="29">
        <v>3704000</v>
      </c>
      <c r="E433" s="29">
        <v>4161874</v>
      </c>
      <c r="F433" s="255" t="str">
        <f>IF(D433="","",VLOOKUP(D433,契約台帳!$A$3:$K$4986,6,FALSE)&amp;VLOOKUP(D433,契約台帳!$A$3:$K$4986,7,FALSE)&amp;VLOOKUP(D433,契約台帳!$A$3:$K$4986,8,FALSE)&amp;VLOOKUP(D433,契約台帳!$A$3:$K$4986,9,FALSE)&amp;VLOOKUP(D433,契約台帳!$A$3:$K$4986,11,FALSE))</f>
        <v>3SNMLBMNNGKBF</v>
      </c>
      <c r="G433" s="256" t="str">
        <f>IF(D433="","",VLOOKUP(F433,製品マスタ!$G$5:$H$4999,2,FALSE))</f>
        <v>S</v>
      </c>
      <c r="H433" s="256" t="str">
        <f>IF(D433="","",VLOOKUP(F433,製品マスタ!$G$5:$K$4999,5,FALSE))</f>
        <v>MNNGKBF</v>
      </c>
      <c r="I433" s="200" t="str">
        <f>IF(D433="","",VLOOKUP(F433,製品マスタ!$G$5:$L$4999,6,FALSE))</f>
        <v>メタルミー　ニューネーマー銀消　Ｂ</v>
      </c>
      <c r="J433" s="203" t="s">
        <v>1022</v>
      </c>
      <c r="K433" s="200">
        <f>IF(D433="","",VLOOKUP(D433,契約台帳!$A$3:$L$4986,12,FALSE))</f>
        <v>50</v>
      </c>
      <c r="L433" s="200" t="str">
        <f>IF(D433="","",INDEX(製品マスタ!$Q$5:$Q$4999,MATCH('S4'!F433&amp;'S4'!K433,製品マスタ!$AO$5:$AO$4999,0)))</f>
        <v>X44</v>
      </c>
      <c r="M433" s="37">
        <v>1000</v>
      </c>
      <c r="N433" s="37">
        <v>4000</v>
      </c>
      <c r="O433" s="153">
        <v>15</v>
      </c>
      <c r="P433" s="45">
        <v>3</v>
      </c>
      <c r="Q433" s="206">
        <v>45021</v>
      </c>
      <c r="R433" s="257">
        <f ca="1">IF(D433="","",IF(OFFSET(D433,-1,0)&lt;&gt;"","",IF(OR(J433="リード付け",J433="巻足し",J433="巻返しリード付け"),M433,VLOOKUP(D433,契約台帳!$A$3:$N$4986,14,FALSE))))</f>
        <v>1000</v>
      </c>
      <c r="S433" s="258">
        <f ca="1">IF(D433="","",IF(OFFSET(D433,-1,0)&lt;&gt;"","",IF(OR(J433="リード付け",J433="巻足し",J433="巻返しリード付け"),M433,VLOOKUP(D433,契約台帳!$A$3:$O$4986,15,FALSE))))</f>
        <v>1000</v>
      </c>
      <c r="T433" s="258">
        <f ca="1">IF(D433="","",IF(J433="リード付け",N433,IF(J433="巻返しリード付け",N433,IF(J433="巻足し",N433*P433+OFFSET(N433,1,0)*OFFSET(P433,1,0),VLOOKUP(D433,契約台帳!$A$3:$P$4986,16,FALSE)))))</f>
        <v>12000</v>
      </c>
      <c r="U433" s="38">
        <v>5</v>
      </c>
      <c r="V433" s="259">
        <f ca="1">IF(D433="","",IF(OFFSET(D433,-2,0)=D433,"",VLOOKUP(D433,契約台帳!$A$3:$R$4986,18,FALSE)))</f>
        <v>15</v>
      </c>
      <c r="W433" s="256" t="str">
        <f ca="1">IF(D433="","",IF(T433="","",IF(OR(J433="巻足し",J433="巻返しリード付け"),"",IF(J433="巻返し",VLOOKUP(F433&amp;K433&amp;M433,製品マスタ!$M$5:$AD$4999,18,FALSE),IF(OR(J433="リード付け",J433="巻返しリード付け"),"原反コア",IF(J433="スリット",VLOOKUP(F433&amp;K433&amp;R433,製品マスタ!$N$5:$AD$4999,17,FALSE),""))))))</f>
        <v/>
      </c>
      <c r="X433" s="256" t="str">
        <f ca="1">IF(D433="","",IF(T433="","",IF(J433="巻足し","",IF(J433="巻返し",VLOOKUP(F433&amp;K433&amp;M433,製品マスタ!$M$5:$AE$4999,19,FALSE),IF(OR(J433="リード付け",J433="巻返しリード付け"),"",IF(J433="スリット",VLOOKUP(F433&amp;K433&amp;R433,製品マスタ!$N$5:$AE$4999,18,FALSE),""))))))</f>
        <v/>
      </c>
      <c r="Y433" s="256">
        <f ca="1">IF(D433="","",IF(T433="","",VLOOKUP(D433,契約台帳!$A$3:$Q$4986,17,FALSE)))</f>
        <v>2</v>
      </c>
      <c r="Z433" s="256" t="str">
        <f ca="1">IF(D433="","",IF(T433="","",VLOOKUP(D433,契約台帳!$A$3:$E$4986,5,FALSE)))</f>
        <v>リンテック㈱</v>
      </c>
      <c r="AA433" s="54"/>
      <c r="AB433" s="200" t="str">
        <f>IFERROR((VLOOKUP(F433&amp;K433&amp;M433,製品マスタ!$M$5:$AM$4999,27,FALSE)),"")</f>
        <v>原反ケース再利用</v>
      </c>
      <c r="AC433" s="31"/>
      <c r="AD433" s="184"/>
      <c r="AE433" s="51"/>
      <c r="AF433" s="52"/>
      <c r="AG433" s="41"/>
      <c r="AH433" s="45"/>
      <c r="AI433" s="28"/>
      <c r="AJ433" s="28"/>
      <c r="AK433" s="28"/>
      <c r="AL433" s="28"/>
      <c r="AM433" s="12"/>
      <c r="AN433" s="12"/>
      <c r="AO433" s="12"/>
      <c r="AP433" s="12"/>
      <c r="AQ433" s="12"/>
      <c r="AR433" s="13"/>
      <c r="AS433" s="14"/>
    </row>
    <row r="434" spans="1:45" s="16" customFormat="1" ht="30.95" hidden="1" customHeight="1" x14ac:dyDescent="0.2">
      <c r="A434" s="35"/>
      <c r="B434" s="36"/>
      <c r="C434" s="43"/>
      <c r="D434" s="29"/>
      <c r="E434" s="29"/>
      <c r="F434" s="255" t="str">
        <f>IF(D434="","",VLOOKUP(D434,契約台帳!$A$3:$K$4986,6,FALSE)&amp;VLOOKUP(D434,契約台帳!$A$3:$K$4986,7,FALSE)&amp;VLOOKUP(D434,契約台帳!$A$3:$K$4986,8,FALSE)&amp;VLOOKUP(D434,契約台帳!$A$3:$K$4986,9,FALSE)&amp;VLOOKUP(D434,契約台帳!$A$3:$K$4986,11,FALSE))</f>
        <v/>
      </c>
      <c r="G434" s="256" t="str">
        <f>IF(D434="","",VLOOKUP(F434,製品マスタ!$G$5:$H$4999,2,FALSE))</f>
        <v/>
      </c>
      <c r="H434" s="256" t="str">
        <f>IF(D434="","",VLOOKUP(F434,製品マスタ!$G$5:$K$4999,5,FALSE))</f>
        <v/>
      </c>
      <c r="I434" s="200" t="str">
        <f>IF(D434="","",VLOOKUP(F434,製品マスタ!$G$5:$L$4999,6,FALSE))</f>
        <v/>
      </c>
      <c r="J434" s="203"/>
      <c r="K434" s="200" t="str">
        <f>IF(D434="","",VLOOKUP(D434,契約台帳!$A$3:$L$4986,12,FALSE))</f>
        <v/>
      </c>
      <c r="L434" s="200" t="str">
        <f>IF(D434="","",INDEX(製品マスタ!$Q$5:$Q$4999,MATCH('S4'!F434&amp;'S4'!K434,製品マスタ!$AO$5:$AO$4999,0)))</f>
        <v/>
      </c>
      <c r="M434" s="37"/>
      <c r="N434" s="37"/>
      <c r="O434" s="153"/>
      <c r="P434" s="45"/>
      <c r="Q434" s="54"/>
      <c r="R434" s="257" t="str">
        <f ca="1">IF(D434="","",IF(OFFSET(D434,-1,0)&lt;&gt;"","",IF(OR(J434="リード付け",J434="巻足し",J434="巻返しリード付け"),M434,VLOOKUP(D434,契約台帳!$A$3:$N$4986,14,FALSE))))</f>
        <v/>
      </c>
      <c r="S434" s="258" t="str">
        <f ca="1">IF(D434="","",IF(OFFSET(D434,-1,0)&lt;&gt;"","",IF(OR(J434="リード付け",J434="巻足し",J434="巻返しリード付け"),M434,VLOOKUP(D434,契約台帳!$A$3:$O$4986,15,FALSE))))</f>
        <v/>
      </c>
      <c r="T434" s="258" t="str">
        <f ca="1">IF(D434="","",IF(J434="リード付け",N434,IF(J434="巻返しリード付け",N434,IF(J434="巻足し",N434*P434+OFFSET(N434,1,0)*OFFSET(P434,1,0),VLOOKUP(D434,契約台帳!$A$3:$P$4986,16,FALSE)))))</f>
        <v/>
      </c>
      <c r="U434" s="38"/>
      <c r="V434" s="259" t="str">
        <f ca="1">IF(D434="","",IF(OFFSET(D434,-2,0)=D434,"",VLOOKUP(D434,契約台帳!$A$3:$R$4986,18,FALSE)))</f>
        <v/>
      </c>
      <c r="W434" s="256" t="str">
        <f>IF(D434="","",IF(T434="","",IF(OR(J434="巻足し",J434="巻返しリード付け"),"",IF(J434="巻返し",VLOOKUP(F434&amp;K434&amp;M434,製品マスタ!$M$5:$AD$4999,18,FALSE),IF(OR(J434="リード付け",J434="巻返しリード付け"),"原反コア",IF(J434="スリット",VLOOKUP(F434&amp;K434&amp;R434,製品マスタ!$N$5:$AD$4999,17,FALSE),""))))))</f>
        <v/>
      </c>
      <c r="X434" s="256" t="str">
        <f>IF(D434="","",IF(T434="","",IF(J434="巻足し","",IF(J434="巻返し",VLOOKUP(F434&amp;K434&amp;M434,製品マスタ!$M$5:$AE$4999,19,FALSE),IF(OR(J434="リード付け",J434="巻返しリード付け"),"",IF(J434="スリット",VLOOKUP(F434&amp;K434&amp;R434,製品マスタ!$N$5:$AE$4999,18,FALSE),""))))))</f>
        <v/>
      </c>
      <c r="Y434" s="256" t="str">
        <f>IF(D434="","",IF(T434="","",VLOOKUP(D434,契約台帳!$A$3:$Q$4986,17,FALSE)))</f>
        <v/>
      </c>
      <c r="Z434" s="256" t="str">
        <f>IF(D434="","",IF(T434="","",VLOOKUP(D434,契約台帳!$A$3:$E$4986,5,FALSE)))</f>
        <v/>
      </c>
      <c r="AA434" s="54"/>
      <c r="AB434" s="200" t="str">
        <f>IFERROR((VLOOKUP(F434&amp;K434&amp;M434,製品マスタ!$M$5:$AM$4999,27,FALSE)),"")</f>
        <v/>
      </c>
      <c r="AC434" s="31"/>
      <c r="AD434" s="184"/>
      <c r="AE434" s="51"/>
      <c r="AF434" s="52"/>
      <c r="AG434" s="41"/>
      <c r="AH434" s="45"/>
      <c r="AI434" s="28"/>
      <c r="AJ434" s="28"/>
      <c r="AK434" s="28"/>
      <c r="AL434" s="28"/>
      <c r="AM434" s="12"/>
      <c r="AN434" s="12"/>
      <c r="AO434" s="12"/>
      <c r="AP434" s="12"/>
      <c r="AQ434" s="12"/>
      <c r="AR434" s="13"/>
      <c r="AS434" s="14"/>
    </row>
    <row r="435" spans="1:45" s="16" customFormat="1" ht="30.95" hidden="1" customHeight="1" x14ac:dyDescent="0.2">
      <c r="A435" s="35"/>
      <c r="B435" s="36"/>
      <c r="C435" s="43"/>
      <c r="D435" s="29">
        <v>3706175</v>
      </c>
      <c r="E435" s="29">
        <v>4161883</v>
      </c>
      <c r="F435" s="255" t="str">
        <f>IF(D435="","",VLOOKUP(D435,契約台帳!$A$3:$K$4986,6,FALSE)&amp;VLOOKUP(D435,契約台帳!$A$3:$K$4986,7,FALSE)&amp;VLOOKUP(D435,契約台帳!$A$3:$K$4986,8,FALSE)&amp;VLOOKUP(D435,契約台帳!$A$3:$K$4986,9,FALSE)&amp;VLOOKUP(D435,契約台帳!$A$3:$K$4986,11,FALSE))</f>
        <v>3SNMLBMNNGKBF</v>
      </c>
      <c r="G435" s="256" t="str">
        <f>IF(D435="","",VLOOKUP(F435,製品マスタ!$G$5:$H$4999,2,FALSE))</f>
        <v>S</v>
      </c>
      <c r="H435" s="256" t="str">
        <f>IF(D435="","",VLOOKUP(F435,製品マスタ!$G$5:$K$4999,5,FALSE))</f>
        <v>MNNGKBF</v>
      </c>
      <c r="I435" s="200" t="str">
        <f>IF(D435="","",VLOOKUP(F435,製品マスタ!$G$5:$L$4999,6,FALSE))</f>
        <v>メタルミー　ニューネーマー銀消　Ｂ</v>
      </c>
      <c r="J435" s="203" t="s">
        <v>935</v>
      </c>
      <c r="K435" s="200">
        <f>IF(D435="","",VLOOKUP(D435,契約台帳!$A$3:$L$4986,12,FALSE))</f>
        <v>50</v>
      </c>
      <c r="L435" s="200" t="str">
        <f>IF(D435="","",INDEX(製品マスタ!$Q$5:$Q$4999,MATCH('S4'!F435&amp;'S4'!K435,製品マスタ!$AO$5:$AO$4999,0)))</f>
        <v>X44</v>
      </c>
      <c r="M435" s="37">
        <v>1000</v>
      </c>
      <c r="N435" s="37">
        <v>4000</v>
      </c>
      <c r="O435" s="153">
        <v>6</v>
      </c>
      <c r="P435" s="45">
        <v>3</v>
      </c>
      <c r="Q435" s="206">
        <v>45023</v>
      </c>
      <c r="R435" s="257">
        <f ca="1">IF(D435="","",IF(OFFSET(D435,-1,0)&lt;&gt;"","",IF(OR(J435="リード付け",J435="巻足し",J435="巻返しリード付け"),M435,VLOOKUP(D435,契約台帳!$A$3:$N$4986,14,FALSE))))</f>
        <v>1000</v>
      </c>
      <c r="S435" s="258">
        <f ca="1">IF(D435="","",IF(OFFSET(D435,-1,0)&lt;&gt;"","",IF(OR(J435="リード付け",J435="巻足し",J435="巻返しリード付け"),M435,VLOOKUP(D435,契約台帳!$A$3:$O$4986,15,FALSE))))</f>
        <v>1000</v>
      </c>
      <c r="T435" s="258">
        <f ca="1">IF(D435="","",IF(J435="リード付け",N435,IF(J435="巻返しリード付け",N435,IF(J435="巻足し",N435*P435+OFFSET(N435,1,0)*OFFSET(P435,1,0),VLOOKUP(D435,契約台帳!$A$3:$P$4986,16,FALSE)))))</f>
        <v>12000</v>
      </c>
      <c r="U435" s="38">
        <v>2</v>
      </c>
      <c r="V435" s="259">
        <f ca="1">IF(D435="","",IF(OFFSET(D435,-2,0)=D435,"",VLOOKUP(D435,契約台帳!$A$3:$R$4986,18,FALSE)))</f>
        <v>8</v>
      </c>
      <c r="W435" s="256" t="str">
        <f ca="1">IF(D435="","",IF(T435="","",IF(OR(J435="巻足し",J435="巻返しリード付け"),"",IF(J435="巻返し",VLOOKUP(F435&amp;K435&amp;M435,製品マスタ!$M$5:$AD$4999,18,FALSE),IF(OR(J435="リード付け",J435="巻返しリード付け"),"原反コア",IF(J435="スリット",VLOOKUP(F435&amp;K435&amp;R435,製品マスタ!$N$5:$AD$4999,17,FALSE),""))))))</f>
        <v/>
      </c>
      <c r="X435" s="256" t="str">
        <f ca="1">IF(D435="","",IF(T435="","",IF(J435="巻足し","",IF(J435="巻返し",VLOOKUP(F435&amp;K435&amp;M435,製品マスタ!$M$5:$AE$4999,19,FALSE),IF(OR(J435="リード付け",J435="巻返しリード付け"),"",IF(J435="スリット",VLOOKUP(F435&amp;K435&amp;R435,製品マスタ!$N$5:$AE$4999,18,FALSE),""))))))</f>
        <v/>
      </c>
      <c r="Y435" s="256">
        <f ca="1">IF(D435="","",IF(T435="","",VLOOKUP(D435,契約台帳!$A$3:$Q$4986,17,FALSE)))</f>
        <v>2</v>
      </c>
      <c r="Z435" s="256" t="str">
        <f ca="1">IF(D435="","",IF(T435="","",VLOOKUP(D435,契約台帳!$A$3:$E$4986,5,FALSE)))</f>
        <v>リンテック㈱</v>
      </c>
      <c r="AA435" s="54"/>
      <c r="AB435" s="200" t="str">
        <f>IFERROR((VLOOKUP(F435&amp;K435&amp;M435,製品マスタ!$M$5:$AM$4999,27,FALSE)),"")</f>
        <v>原反ケース再利用</v>
      </c>
      <c r="AC435" s="31"/>
      <c r="AD435" s="184"/>
      <c r="AE435" s="51"/>
      <c r="AF435" s="52"/>
      <c r="AG435" s="41"/>
      <c r="AH435" s="45"/>
      <c r="AI435" s="28"/>
      <c r="AJ435" s="28"/>
      <c r="AK435" s="28"/>
      <c r="AL435" s="28"/>
      <c r="AM435" s="12"/>
      <c r="AN435" s="12"/>
      <c r="AO435" s="12"/>
      <c r="AP435" s="12"/>
      <c r="AQ435" s="12"/>
      <c r="AR435" s="13"/>
      <c r="AS435" s="14"/>
    </row>
    <row r="436" spans="1:45" s="16" customFormat="1" ht="30.95" hidden="1" customHeight="1" x14ac:dyDescent="0.2">
      <c r="A436" s="35"/>
      <c r="B436" s="36"/>
      <c r="C436" s="43"/>
      <c r="D436" s="29"/>
      <c r="E436" s="29"/>
      <c r="F436" s="255"/>
      <c r="G436" s="256"/>
      <c r="H436" s="256"/>
      <c r="I436" s="200"/>
      <c r="J436" s="203"/>
      <c r="K436" s="200"/>
      <c r="L436" s="200"/>
      <c r="M436" s="37"/>
      <c r="N436" s="37"/>
      <c r="O436" s="153"/>
      <c r="P436" s="45"/>
      <c r="Q436" s="54"/>
      <c r="R436" s="257"/>
      <c r="S436" s="258"/>
      <c r="T436" s="258"/>
      <c r="U436" s="38"/>
      <c r="V436" s="259"/>
      <c r="W436" s="256"/>
      <c r="X436" s="256"/>
      <c r="Y436" s="256"/>
      <c r="Z436" s="256"/>
      <c r="AA436" s="54"/>
      <c r="AB436" s="200"/>
      <c r="AC436" s="31"/>
      <c r="AD436" s="184"/>
      <c r="AE436" s="51"/>
      <c r="AF436" s="52"/>
      <c r="AG436" s="41"/>
      <c r="AH436" s="45"/>
      <c r="AI436" s="28"/>
      <c r="AJ436" s="28"/>
      <c r="AK436" s="28"/>
      <c r="AL436" s="28"/>
      <c r="AM436" s="12"/>
      <c r="AN436" s="12"/>
      <c r="AO436" s="12"/>
      <c r="AP436" s="12"/>
      <c r="AQ436" s="12"/>
      <c r="AR436" s="13"/>
      <c r="AS436" s="14"/>
    </row>
    <row r="437" spans="1:45" s="16" customFormat="1" ht="30.95" hidden="1" customHeight="1" x14ac:dyDescent="0.2">
      <c r="A437" s="35"/>
      <c r="B437" s="36"/>
      <c r="C437" s="43"/>
      <c r="D437" s="29">
        <v>3706175</v>
      </c>
      <c r="E437" s="29">
        <v>4161883</v>
      </c>
      <c r="F437" s="255" t="str">
        <f>IF(D437="","",VLOOKUP(D437,契約台帳!$A$3:$K$4986,6,FALSE)&amp;VLOOKUP(D437,契約台帳!$A$3:$K$4986,7,FALSE)&amp;VLOOKUP(D437,契約台帳!$A$3:$K$4986,8,FALSE)&amp;VLOOKUP(D437,契約台帳!$A$3:$K$4986,9,FALSE)&amp;VLOOKUP(D437,契約台帳!$A$3:$K$4986,11,FALSE))</f>
        <v>3SNMLBMNNGKBF</v>
      </c>
      <c r="G437" s="256" t="str">
        <f>IF(D437="","",VLOOKUP(F437,製品マスタ!$G$5:$H$4999,2,FALSE))</f>
        <v>S</v>
      </c>
      <c r="H437" s="256" t="str">
        <f>IF(D437="","",VLOOKUP(F437,製品マスタ!$G$5:$K$4999,5,FALSE))</f>
        <v>MNNGKBF</v>
      </c>
      <c r="I437" s="200" t="str">
        <f>IF(D437="","",VLOOKUP(F437,製品マスタ!$G$5:$L$4999,6,FALSE))</f>
        <v>メタルミー　ニューネーマー銀消　Ｂ</v>
      </c>
      <c r="J437" s="203" t="s">
        <v>935</v>
      </c>
      <c r="K437" s="200">
        <f>IF(D437="","",VLOOKUP(D437,契約台帳!$A$3:$L$4986,12,FALSE))</f>
        <v>50</v>
      </c>
      <c r="L437" s="200" t="str">
        <f>IF(D437="","",INDEX(製品マスタ!$Q$5:$Q$4999,MATCH('S4'!F437&amp;'S4'!K437,製品マスタ!$AO$5:$AO$4999,0)))</f>
        <v>X44</v>
      </c>
      <c r="M437" s="37">
        <v>1000</v>
      </c>
      <c r="N437" s="37">
        <v>4000</v>
      </c>
      <c r="O437" s="153">
        <v>2</v>
      </c>
      <c r="P437" s="45">
        <v>2</v>
      </c>
      <c r="Q437" s="206">
        <v>45023</v>
      </c>
      <c r="R437" s="257">
        <f ca="1">IF(D437="","",IF(OFFSET(D437,-1,0)&lt;&gt;"","",IF(OR(J437="リード付け",J437="巻足し",J437="巻返しリード付け"),M437,VLOOKUP(D437,契約台帳!$A$3:$N$4986,14,FALSE))))</f>
        <v>1000</v>
      </c>
      <c r="S437" s="258">
        <f ca="1">IF(D437="","",IF(OFFSET(D437,-1,0)&lt;&gt;"","",IF(OR(J437="リード付け",J437="巻足し",J437="巻返しリード付け"),M437,VLOOKUP(D437,契約台帳!$A$3:$O$4986,15,FALSE))))</f>
        <v>1000</v>
      </c>
      <c r="T437" s="258">
        <f ca="1">IF(D437="","",IF(J437="リード付け",N437,IF(J437="巻返しリード付け",N437,IF(J437="巻足し",N437*P437+OFFSET(N437,1,0)*OFFSET(P437,1,0),VLOOKUP(D437,契約台帳!$A$3:$P$4986,16,FALSE)))))</f>
        <v>8000</v>
      </c>
      <c r="U437" s="38">
        <v>1</v>
      </c>
      <c r="V437" s="259" t="str">
        <f ca="1">IF(D437="","",IF(OFFSET(D437,-2,0)=D437,"",VLOOKUP(D437,契約台帳!$A$3:$R$4986,18,FALSE)))</f>
        <v/>
      </c>
      <c r="W437" s="256" t="str">
        <f ca="1">IF(D437="","",IF(T437="","",IF(OR(J437="巻足し",J437="巻返しリード付け"),"",IF(J437="巻返し",VLOOKUP(F437&amp;K437&amp;M437,製品マスタ!$M$5:$AD$4999,18,FALSE),IF(OR(J437="リード付け",J437="巻返しリード付け"),"原反コア",IF(J437="スリット",VLOOKUP(F437&amp;K437&amp;R437,製品マスタ!$N$5:$AD$4999,17,FALSE),""))))))</f>
        <v/>
      </c>
      <c r="X437" s="256" t="str">
        <f ca="1">IF(D437="","",IF(T437="","",IF(J437="巻足し","",IF(J437="巻返し",VLOOKUP(F437&amp;K437&amp;M437,製品マスタ!$M$5:$AE$4999,19,FALSE),IF(OR(J437="リード付け",J437="巻返しリード付け"),"",IF(J437="スリット",VLOOKUP(F437&amp;K437&amp;R437,製品マスタ!$N$5:$AE$4999,18,FALSE),""))))))</f>
        <v/>
      </c>
      <c r="Y437" s="256">
        <f ca="1">IF(D437="","",IF(T437="","",VLOOKUP(D437,契約台帳!$A$3:$Q$4986,17,FALSE)))</f>
        <v>2</v>
      </c>
      <c r="Z437" s="256" t="str">
        <f ca="1">IF(D437="","",IF(T437="","",VLOOKUP(D437,契約台帳!$A$3:$E$4986,5,FALSE)))</f>
        <v>リンテック㈱</v>
      </c>
      <c r="AA437" s="54"/>
      <c r="AB437" s="200" t="str">
        <f>IFERROR((VLOOKUP(F437&amp;K437&amp;M437,製品マスタ!$M$5:$AM$4999,27,FALSE)),"")</f>
        <v>原反ケース再利用</v>
      </c>
      <c r="AC437" s="31"/>
      <c r="AD437" s="184"/>
      <c r="AE437" s="51"/>
      <c r="AF437" s="52"/>
      <c r="AG437" s="41"/>
      <c r="AH437" s="45"/>
      <c r="AI437" s="28"/>
      <c r="AJ437" s="28"/>
      <c r="AK437" s="28"/>
      <c r="AL437" s="28"/>
      <c r="AM437" s="12"/>
      <c r="AN437" s="12"/>
      <c r="AO437" s="12"/>
      <c r="AP437" s="12"/>
      <c r="AQ437" s="12"/>
      <c r="AR437" s="13"/>
      <c r="AS437" s="14"/>
    </row>
    <row r="438" spans="1:45" s="16" customFormat="1" ht="30.95" hidden="1" customHeight="1" x14ac:dyDescent="0.2">
      <c r="A438" s="35"/>
      <c r="B438" s="36"/>
      <c r="C438" s="43"/>
      <c r="D438" s="29"/>
      <c r="E438" s="29"/>
      <c r="F438" s="255"/>
      <c r="G438" s="256"/>
      <c r="H438" s="256"/>
      <c r="I438" s="200"/>
      <c r="J438" s="203"/>
      <c r="K438" s="200"/>
      <c r="L438" s="200"/>
      <c r="M438" s="37"/>
      <c r="N438" s="37"/>
      <c r="O438" s="153"/>
      <c r="P438" s="45"/>
      <c r="Q438" s="54"/>
      <c r="R438" s="257"/>
      <c r="S438" s="258"/>
      <c r="T438" s="258"/>
      <c r="U438" s="38"/>
      <c r="V438" s="259"/>
      <c r="W438" s="256"/>
      <c r="X438" s="256"/>
      <c r="Y438" s="256"/>
      <c r="Z438" s="256"/>
      <c r="AA438" s="54"/>
      <c r="AB438" s="200"/>
      <c r="AC438" s="31"/>
      <c r="AD438" s="184"/>
      <c r="AE438" s="51"/>
      <c r="AF438" s="52"/>
      <c r="AG438" s="41"/>
      <c r="AH438" s="45"/>
      <c r="AI438" s="28"/>
      <c r="AJ438" s="28"/>
      <c r="AK438" s="28"/>
      <c r="AL438" s="28"/>
      <c r="AM438" s="12"/>
      <c r="AN438" s="12"/>
      <c r="AO438" s="12"/>
      <c r="AP438" s="12"/>
      <c r="AQ438" s="12"/>
      <c r="AR438" s="13"/>
      <c r="AS438" s="14"/>
    </row>
    <row r="439" spans="1:45" s="16" customFormat="1" ht="30.95" hidden="1" customHeight="1" x14ac:dyDescent="0.2">
      <c r="A439" s="35" t="s">
        <v>1031</v>
      </c>
      <c r="B439" s="36" t="s">
        <v>446</v>
      </c>
      <c r="C439" s="43"/>
      <c r="D439" s="29"/>
      <c r="E439" s="29"/>
      <c r="F439" s="255" t="str">
        <f>IF(D439="","",VLOOKUP(D439,契約台帳!$A$3:$K$4986,6,FALSE)&amp;VLOOKUP(D439,契約台帳!$A$3:$K$4986,7,FALSE)&amp;VLOOKUP(D439,契約台帳!$A$3:$K$4986,8,FALSE)&amp;VLOOKUP(D439,契約台帳!$A$3:$K$4986,9,FALSE)&amp;VLOOKUP(D439,契約台帳!$A$3:$K$4986,11,FALSE))</f>
        <v/>
      </c>
      <c r="G439" s="256" t="str">
        <f>IF(D439="","",VLOOKUP(F439,製品マスタ!$G$5:$H$4999,2,FALSE))</f>
        <v/>
      </c>
      <c r="H439" s="256" t="str">
        <f>IF(D439="","",VLOOKUP(F439,製品マスタ!$G$5:$K$4999,5,FALSE))</f>
        <v/>
      </c>
      <c r="I439" s="200" t="str">
        <f>IF(D439="","",VLOOKUP(F439,製品マスタ!$G$5:$L$4999,6,FALSE))</f>
        <v/>
      </c>
      <c r="J439" s="203" t="s">
        <v>448</v>
      </c>
      <c r="K439" s="200" t="str">
        <f>IF(D439="","",VLOOKUP(D439,契約台帳!$A$3:$L$4986,12,FALSE))</f>
        <v/>
      </c>
      <c r="L439" s="200" t="str">
        <f>IF(D439="","",INDEX(製品マスタ!$Q$5:$Q$4999,MATCH('S4'!F439&amp;'S4'!K439,製品マスタ!$AO$5:$AO$4999,0)))</f>
        <v/>
      </c>
      <c r="M439" s="37"/>
      <c r="N439" s="37"/>
      <c r="O439" s="153"/>
      <c r="P439" s="45"/>
      <c r="Q439" s="54"/>
      <c r="R439" s="257" t="str">
        <f ca="1">IF(D439="","",IF(OFFSET(D439,-1,0)&lt;&gt;"","",IF(OR(J439="リード付け",J439="巻足し",J439="巻返しリード付け"),M439,VLOOKUP(D439,契約台帳!$A$3:$N$4986,14,FALSE))))</f>
        <v/>
      </c>
      <c r="S439" s="258" t="str">
        <f ca="1">IF(D439="","",IF(OFFSET(D439,-1,0)&lt;&gt;"","",IF(OR(J439="リード付け",J439="巻足し",J439="巻返しリード付け"),M439,VLOOKUP(D439,契約台帳!$A$3:$O$4986,15,FALSE))))</f>
        <v/>
      </c>
      <c r="T439" s="258" t="str">
        <f ca="1">IF(D439="","",IF(J439="リード付け",N439,IF(J439="巻返しリード付け",N439,IF(J439="巻足し",N439*P439+OFFSET(N439,1,0)*OFFSET(P439,1,0),VLOOKUP(D439,契約台帳!$A$3:$P$4986,16,FALSE)))))</f>
        <v/>
      </c>
      <c r="U439" s="38"/>
      <c r="V439" s="259" t="str">
        <f ca="1">IF(D439="","",IF(OFFSET(D439,-2,0)=D439,"",VLOOKUP(D439,契約台帳!$A$3:$R$4986,18,FALSE)))</f>
        <v/>
      </c>
      <c r="W439" s="256" t="str">
        <f>IF(D439="","",IF(T439="","",IF(OR(J439="巻足し",J439="巻返しリード付け"),"",IF(J439="巻返し",VLOOKUP(F439&amp;K439&amp;M439,製品マスタ!$M$5:$AD$4999,18,FALSE),IF(OR(J439="リード付け",J439="巻返しリード付け"),"原反コア",IF(J439="スリット",VLOOKUP(F439&amp;K439&amp;R439,製品マスタ!$N$5:$AD$4999,17,FALSE),""))))))</f>
        <v/>
      </c>
      <c r="X439" s="256" t="str">
        <f>IF(D439="","",IF(T439="","",IF(J439="巻足し","",IF(J439="巻返し",VLOOKUP(F439&amp;K439&amp;M439,製品マスタ!$M$5:$AE$4999,19,FALSE),IF(OR(J439="リード付け",J439="巻返しリード付け"),"",IF(J439="スリット",VLOOKUP(F439&amp;K439&amp;R439,製品マスタ!$N$5:$AE$4999,18,FALSE),""))))))</f>
        <v/>
      </c>
      <c r="Y439" s="256" t="str">
        <f>IF(D439="","",IF(T439="","",VLOOKUP(D439,契約台帳!$A$3:$Q$4986,17,FALSE)))</f>
        <v/>
      </c>
      <c r="Z439" s="256" t="str">
        <f>IF(D439="","",IF(T439="","",VLOOKUP(D439,契約台帳!$A$3:$E$4986,5,FALSE)))</f>
        <v/>
      </c>
      <c r="AA439" s="54"/>
      <c r="AB439" s="200" t="str">
        <f>IFERROR((VLOOKUP(F439&amp;K439&amp;M439,製品マスタ!$M$5:$AM$4999,27,FALSE)),"")</f>
        <v/>
      </c>
      <c r="AC439" s="31"/>
      <c r="AD439" s="184"/>
      <c r="AE439" s="51"/>
      <c r="AF439" s="52"/>
      <c r="AG439" s="41"/>
      <c r="AH439" s="45"/>
      <c r="AI439" s="28"/>
      <c r="AJ439" s="28"/>
      <c r="AK439" s="28"/>
      <c r="AL439" s="28"/>
      <c r="AM439" s="12"/>
      <c r="AN439" s="12"/>
      <c r="AO439" s="12"/>
      <c r="AP439" s="12"/>
      <c r="AQ439" s="12"/>
      <c r="AR439" s="13"/>
      <c r="AS439" s="14"/>
    </row>
    <row r="440" spans="1:45" s="16" customFormat="1" ht="30.95" hidden="1" customHeight="1" x14ac:dyDescent="0.2">
      <c r="A440" s="35"/>
      <c r="B440" s="36"/>
      <c r="C440" s="43"/>
      <c r="D440" s="29"/>
      <c r="E440" s="29"/>
      <c r="F440" s="255" t="str">
        <f>IF(D440="","",VLOOKUP(D440,契約台帳!$A$3:$K$4986,6,FALSE)&amp;VLOOKUP(D440,契約台帳!$A$3:$K$4986,7,FALSE)&amp;VLOOKUP(D440,契約台帳!$A$3:$K$4986,8,FALSE)&amp;VLOOKUP(D440,契約台帳!$A$3:$K$4986,9,FALSE)&amp;VLOOKUP(D440,契約台帳!$A$3:$K$4986,11,FALSE))</f>
        <v/>
      </c>
      <c r="G440" s="256" t="str">
        <f>IF(D440="","",VLOOKUP(F440,製品マスタ!$G$5:$H$4999,2,FALSE))</f>
        <v/>
      </c>
      <c r="H440" s="256" t="str">
        <f>IF(D440="","",VLOOKUP(F440,製品マスタ!$G$5:$K$4999,5,FALSE))</f>
        <v/>
      </c>
      <c r="I440" s="200" t="str">
        <f>IF(D440="","",VLOOKUP(F440,製品マスタ!$G$5:$L$4999,6,FALSE))</f>
        <v/>
      </c>
      <c r="J440" s="203"/>
      <c r="K440" s="200" t="str">
        <f>IF(D440="","",VLOOKUP(D440,契約台帳!$A$3:$L$4986,12,FALSE))</f>
        <v/>
      </c>
      <c r="L440" s="200" t="str">
        <f>IF(D440="","",INDEX(製品マスタ!$Q$5:$Q$4999,MATCH('S4'!F440&amp;'S4'!K440,製品マスタ!$AO$5:$AO$4999,0)))</f>
        <v/>
      </c>
      <c r="M440" s="37"/>
      <c r="N440" s="37"/>
      <c r="O440" s="153"/>
      <c r="P440" s="45"/>
      <c r="Q440" s="54"/>
      <c r="R440" s="257" t="str">
        <f ca="1">IF(D440="","",IF(OFFSET(D440,-1,0)&lt;&gt;"","",IF(OR(J440="リード付け",J440="巻足し",J440="巻返しリード付け"),M440,VLOOKUP(D440,契約台帳!$A$3:$N$4986,14,FALSE))))</f>
        <v/>
      </c>
      <c r="S440" s="258" t="str">
        <f ca="1">IF(D440="","",IF(OFFSET(D440,-1,0)&lt;&gt;"","",IF(OR(J440="リード付け",J440="巻足し",J440="巻返しリード付け"),M440,VLOOKUP(D440,契約台帳!$A$3:$O$4986,15,FALSE))))</f>
        <v/>
      </c>
      <c r="T440" s="258" t="str">
        <f ca="1">IF(D440="","",IF(J440="リード付け",N440,IF(J440="巻返しリード付け",N440,IF(J440="巻足し",N440*P440+OFFSET(N440,1,0)*OFFSET(P440,1,0),VLOOKUP(D440,契約台帳!$A$3:$P$4986,16,FALSE)))))</f>
        <v/>
      </c>
      <c r="U440" s="38"/>
      <c r="V440" s="259" t="str">
        <f ca="1">IF(D440="","",IF(OFFSET(D440,-2,0)=D440,"",VLOOKUP(D440,契約台帳!$A$3:$R$4986,18,FALSE)))</f>
        <v/>
      </c>
      <c r="W440" s="256" t="str">
        <f>IF(D440="","",IF(T440="","",IF(OR(J440="巻足し",J440="巻返しリード付け"),"",IF(J440="巻返し",VLOOKUP(F440&amp;K440&amp;M440,製品マスタ!$M$5:$AD$4999,18,FALSE),IF(OR(J440="リード付け",J440="巻返しリード付け"),"原反コア",IF(J440="スリット",VLOOKUP(F440&amp;K440&amp;R440,製品マスタ!$N$5:$AD$4999,17,FALSE),""))))))</f>
        <v/>
      </c>
      <c r="X440" s="256" t="str">
        <f>IF(D440="","",IF(T440="","",IF(J440="巻足し","",IF(J440="巻返し",VLOOKUP(F440&amp;K440&amp;M440,製品マスタ!$M$5:$AE$4999,19,FALSE),IF(OR(J440="リード付け",J440="巻返しリード付け"),"",IF(J440="スリット",VLOOKUP(F440&amp;K440&amp;R440,製品マスタ!$N$5:$AE$4999,18,FALSE),""))))))</f>
        <v/>
      </c>
      <c r="Y440" s="256" t="str">
        <f>IF(D440="","",IF(T440="","",VLOOKUP(D440,契約台帳!$A$3:$Q$4986,17,FALSE)))</f>
        <v/>
      </c>
      <c r="Z440" s="256" t="str">
        <f>IF(D440="","",IF(T440="","",VLOOKUP(D440,契約台帳!$A$3:$E$4986,5,FALSE)))</f>
        <v/>
      </c>
      <c r="AA440" s="54"/>
      <c r="AB440" s="200" t="str">
        <f>IFERROR((VLOOKUP(F440&amp;K440&amp;M440,製品マスタ!$M$5:$AM$4999,27,FALSE)),"")</f>
        <v/>
      </c>
      <c r="AC440" s="31"/>
      <c r="AD440" s="184"/>
      <c r="AE440" s="51"/>
      <c r="AF440" s="52"/>
      <c r="AG440" s="41"/>
      <c r="AH440" s="45"/>
      <c r="AI440" s="28"/>
      <c r="AJ440" s="28"/>
      <c r="AK440" s="28"/>
      <c r="AL440" s="28"/>
      <c r="AM440" s="12"/>
      <c r="AN440" s="12"/>
      <c r="AO440" s="12"/>
      <c r="AP440" s="12"/>
      <c r="AQ440" s="12"/>
      <c r="AR440" s="13"/>
      <c r="AS440" s="14"/>
    </row>
    <row r="441" spans="1:45" s="16" customFormat="1" ht="30.95" hidden="1" customHeight="1" x14ac:dyDescent="0.2">
      <c r="A441" s="35" t="s">
        <v>1032</v>
      </c>
      <c r="B441" s="36" t="s">
        <v>462</v>
      </c>
      <c r="C441" s="43"/>
      <c r="D441" s="29">
        <v>3703988</v>
      </c>
      <c r="E441" s="29">
        <v>4161877</v>
      </c>
      <c r="F441" s="255" t="str">
        <f>IF(D441="","",VLOOKUP(D441,契約台帳!$A$3:$K$4986,6,FALSE)&amp;VLOOKUP(D441,契約台帳!$A$3:$K$4986,7,FALSE)&amp;VLOOKUP(D441,契約台帳!$A$3:$K$4986,8,FALSE)&amp;VLOOKUP(D441,契約台帳!$A$3:$K$4986,9,FALSE)&amp;VLOOKUP(D441,契約台帳!$A$3:$K$4986,11,FALSE))</f>
        <v>3SNMCLBNGKVB</v>
      </c>
      <c r="G441" s="256" t="str">
        <f>IF(D441="","",VLOOKUP(F441,製品マスタ!$G$5:$H$4999,2,FALSE))</f>
        <v>S</v>
      </c>
      <c r="H441" s="256" t="str">
        <f>IF(D441="","",VLOOKUP(F441,製品マスタ!$G$5:$K$4999,5,FALSE))</f>
        <v>NGKVB</v>
      </c>
      <c r="I441" s="200" t="str">
        <f>IF(D441="","",VLOOKUP(F441,製品マスタ!$G$5:$L$4999,6,FALSE))</f>
        <v>メタルミー　ネーマー銀消　ＶＢ</v>
      </c>
      <c r="J441" s="203" t="s">
        <v>1022</v>
      </c>
      <c r="K441" s="200">
        <f>IF(D441="","",VLOOKUP(D441,契約台帳!$A$3:$L$4986,12,FALSE))</f>
        <v>50</v>
      </c>
      <c r="L441" s="200" t="str">
        <f>IF(D441="","",INDEX(製品マスタ!$Q$5:$Q$4999,MATCH('S4'!F441&amp;'S4'!K441,製品マスタ!$AO$5:$AO$4999,0)))</f>
        <v>MAT</v>
      </c>
      <c r="M441" s="37">
        <v>1005</v>
      </c>
      <c r="N441" s="37">
        <v>4100</v>
      </c>
      <c r="O441" s="153">
        <v>3</v>
      </c>
      <c r="P441" s="45">
        <v>3</v>
      </c>
      <c r="Q441" s="206">
        <v>45022</v>
      </c>
      <c r="R441" s="257">
        <f ca="1">IF(D441="","",IF(OFFSET(D441,-1,0)&lt;&gt;"","",IF(OR(J441="リード付け",J441="巻足し",J441="巻返しリード付け"),M441,VLOOKUP(D441,契約台帳!$A$3:$N$4986,14,FALSE))))</f>
        <v>1005</v>
      </c>
      <c r="S441" s="258">
        <f ca="1">IF(D441="","",IF(OFFSET(D441,-1,0)&lt;&gt;"","",IF(OR(J441="リード付け",J441="巻足し",J441="巻返しリード付け"),M441,VLOOKUP(D441,契約台帳!$A$3:$O$4986,15,FALSE))))</f>
        <v>1005</v>
      </c>
      <c r="T441" s="258">
        <f ca="1">IF(D441="","",IF(J441="リード付け",N441,IF(J441="巻返しリード付け",N441,IF(J441="巻足し",N441*P441+OFFSET(N441,1,0)*OFFSET(P441,1,0),VLOOKUP(D441,契約台帳!$A$3:$P$4986,16,FALSE)))))</f>
        <v>12300</v>
      </c>
      <c r="U441" s="38">
        <v>1</v>
      </c>
      <c r="V441" s="259">
        <f ca="1">IF(D441="","",IF(OFFSET(D441,-2,0)=D441,"",VLOOKUP(D441,契約台帳!$A$3:$R$4986,18,FALSE)))</f>
        <v>3</v>
      </c>
      <c r="W441" s="256" t="str">
        <f ca="1">IF(D441="","",IF(T441="","",IF(OR(J441="巻足し",J441="巻返しリード付け"),"",IF(J441="巻返し",VLOOKUP(F441&amp;K441&amp;M441,製品マスタ!$M$5:$AD$4999,18,FALSE),IF(OR(J441="リード付け",J441="巻返しリード付け"),"原反コア",IF(J441="スリット",VLOOKUP(F441&amp;K441&amp;R441,製品マスタ!$N$5:$AD$4999,17,FALSE),""))))))</f>
        <v/>
      </c>
      <c r="X441" s="256" t="str">
        <f ca="1">IF(D441="","",IF(T441="","",IF(J441="巻足し","",IF(J441="巻返し",VLOOKUP(F441&amp;K441&amp;M441,製品マスタ!$M$5:$AE$4999,19,FALSE),IF(OR(J441="リード付け",J441="巻返しリード付け"),"",IF(J441="スリット",VLOOKUP(F441&amp;K441&amp;R441,製品マスタ!$N$5:$AE$4999,18,FALSE),""))))))</f>
        <v/>
      </c>
      <c r="Y441" s="256">
        <f ca="1">IF(D441="","",IF(T441="","",VLOOKUP(D441,契約台帳!$A$3:$Q$4986,17,FALSE)))</f>
        <v>2</v>
      </c>
      <c r="Z441" s="256" t="str">
        <f ca="1">IF(D441="","",IF(T441="","",VLOOKUP(D441,契約台帳!$A$3:$E$4986,5,FALSE)))</f>
        <v>リンテック㈱</v>
      </c>
      <c r="AA441" s="54"/>
      <c r="AB441" s="200">
        <f>IFERROR((VLOOKUP(F441&amp;K441&amp;M441,製品マスタ!$M$5:$AM$4999,27,FALSE)),"")</f>
        <v>0</v>
      </c>
      <c r="AC441" s="31"/>
      <c r="AD441" s="184"/>
      <c r="AE441" s="51"/>
      <c r="AF441" s="52"/>
      <c r="AG441" s="41"/>
      <c r="AH441" s="45"/>
      <c r="AI441" s="28"/>
      <c r="AJ441" s="28"/>
      <c r="AK441" s="28"/>
      <c r="AL441" s="28"/>
      <c r="AM441" s="12"/>
      <c r="AN441" s="12"/>
      <c r="AO441" s="12"/>
      <c r="AP441" s="12"/>
      <c r="AQ441" s="12"/>
      <c r="AR441" s="13"/>
      <c r="AS441" s="14"/>
    </row>
    <row r="442" spans="1:45" s="16" customFormat="1" ht="30.95" hidden="1" customHeight="1" x14ac:dyDescent="0.2">
      <c r="A442" s="35"/>
      <c r="B442" s="36"/>
      <c r="C442" s="43"/>
      <c r="D442" s="29"/>
      <c r="E442" s="29"/>
      <c r="F442" s="255" t="str">
        <f>IF(D442="","",VLOOKUP(D442,契約台帳!$A$3:$K$4986,6,FALSE)&amp;VLOOKUP(D442,契約台帳!$A$3:$K$4986,7,FALSE)&amp;VLOOKUP(D442,契約台帳!$A$3:$K$4986,8,FALSE)&amp;VLOOKUP(D442,契約台帳!$A$3:$K$4986,9,FALSE)&amp;VLOOKUP(D442,契約台帳!$A$3:$K$4986,11,FALSE))</f>
        <v/>
      </c>
      <c r="G442" s="256" t="str">
        <f>IF(D442="","",VLOOKUP(F442,製品マスタ!$G$5:$H$4999,2,FALSE))</f>
        <v/>
      </c>
      <c r="H442" s="256" t="str">
        <f>IF(D442="","",VLOOKUP(F442,製品マスタ!$G$5:$K$4999,5,FALSE))</f>
        <v/>
      </c>
      <c r="I442" s="200" t="str">
        <f>IF(D442="","",VLOOKUP(F442,製品マスタ!$G$5:$L$4999,6,FALSE))</f>
        <v/>
      </c>
      <c r="J442" s="203"/>
      <c r="K442" s="200" t="str">
        <f>IF(D442="","",VLOOKUP(D442,契約台帳!$A$3:$L$4986,12,FALSE))</f>
        <v/>
      </c>
      <c r="L442" s="200" t="str">
        <f>IF(D442="","",INDEX(製品マスタ!$Q$5:$Q$4999,MATCH('S4'!F442&amp;'S4'!K442,製品マスタ!$AO$5:$AO$4999,0)))</f>
        <v/>
      </c>
      <c r="M442" s="37"/>
      <c r="N442" s="37"/>
      <c r="O442" s="153"/>
      <c r="P442" s="45"/>
      <c r="Q442" s="54"/>
      <c r="R442" s="257" t="str">
        <f ca="1">IF(D442="","",IF(OFFSET(D442,-1,0)&lt;&gt;"","",IF(OR(J442="リード付け",J442="巻足し",J442="巻返しリード付け"),M442,VLOOKUP(D442,契約台帳!$A$3:$N$4986,14,FALSE))))</f>
        <v/>
      </c>
      <c r="S442" s="258" t="str">
        <f ca="1">IF(D442="","",IF(OFFSET(D442,-1,0)&lt;&gt;"","",IF(OR(J442="リード付け",J442="巻足し",J442="巻返しリード付け"),M442,VLOOKUP(D442,契約台帳!$A$3:$O$4986,15,FALSE))))</f>
        <v/>
      </c>
      <c r="T442" s="258" t="str">
        <f ca="1">IF(D442="","",IF(J442="リード付け",N442,IF(J442="巻返しリード付け",N442,IF(J442="巻足し",N442*P442+OFFSET(N442,1,0)*OFFSET(P442,1,0),VLOOKUP(D442,契約台帳!$A$3:$P$4986,16,FALSE)))))</f>
        <v/>
      </c>
      <c r="U442" s="38"/>
      <c r="V442" s="259" t="str">
        <f ca="1">IF(D442="","",IF(OFFSET(D442,-2,0)=D442,"",VLOOKUP(D442,契約台帳!$A$3:$R$4986,18,FALSE)))</f>
        <v/>
      </c>
      <c r="W442" s="256" t="str">
        <f>IF(D442="","",IF(T442="","",IF(OR(J442="巻足し",J442="巻返しリード付け"),"",IF(J442="巻返し",VLOOKUP(F442&amp;K442&amp;M442,製品マスタ!$M$5:$AD$4999,18,FALSE),IF(OR(J442="リード付け",J442="巻返しリード付け"),"原反コア",IF(J442="スリット",VLOOKUP(F442&amp;K442&amp;R442,製品マスタ!$N$5:$AD$4999,17,FALSE),""))))))</f>
        <v/>
      </c>
      <c r="X442" s="256" t="str">
        <f>IF(D442="","",IF(T442="","",IF(J442="巻足し","",IF(J442="巻返し",VLOOKUP(F442&amp;K442&amp;M442,製品マスタ!$M$5:$AE$4999,19,FALSE),IF(OR(J442="リード付け",J442="巻返しリード付け"),"",IF(J442="スリット",VLOOKUP(F442&amp;K442&amp;R442,製品マスタ!$N$5:$AE$4999,18,FALSE),""))))))</f>
        <v/>
      </c>
      <c r="Y442" s="256" t="str">
        <f>IF(D442="","",IF(T442="","",VLOOKUP(D442,契約台帳!$A$3:$Q$4986,17,FALSE)))</f>
        <v/>
      </c>
      <c r="Z442" s="256" t="str">
        <f>IF(D442="","",IF(T442="","",VLOOKUP(D442,契約台帳!$A$3:$E$4986,5,FALSE)))</f>
        <v/>
      </c>
      <c r="AA442" s="54"/>
      <c r="AB442" s="200" t="str">
        <f>IFERROR((VLOOKUP(F442&amp;K442&amp;M442,製品マスタ!$M$5:$AM$4999,27,FALSE)),"")</f>
        <v/>
      </c>
      <c r="AC442" s="31"/>
      <c r="AD442" s="184"/>
      <c r="AE442" s="51"/>
      <c r="AF442" s="52"/>
      <c r="AG442" s="41"/>
      <c r="AH442" s="45"/>
      <c r="AI442" s="28"/>
      <c r="AJ442" s="28"/>
      <c r="AK442" s="28"/>
      <c r="AL442" s="28"/>
      <c r="AM442" s="12"/>
      <c r="AN442" s="12"/>
      <c r="AO442" s="12"/>
      <c r="AP442" s="12"/>
      <c r="AQ442" s="12"/>
      <c r="AR442" s="13"/>
      <c r="AS442" s="14"/>
    </row>
    <row r="443" spans="1:45" s="16" customFormat="1" ht="30.95" hidden="1" customHeight="1" x14ac:dyDescent="0.2">
      <c r="A443" s="35"/>
      <c r="B443" s="36"/>
      <c r="C443" s="43"/>
      <c r="D443" s="29">
        <v>3703989</v>
      </c>
      <c r="E443" s="29">
        <v>4161861</v>
      </c>
      <c r="F443" s="255" t="str">
        <f>IF(D443="","",VLOOKUP(D443,契約台帳!$A$3:$K$4986,6,FALSE)&amp;VLOOKUP(D443,契約台帳!$A$3:$K$4986,7,FALSE)&amp;VLOOKUP(D443,契約台帳!$A$3:$K$4986,8,FALSE)&amp;VLOOKUP(D443,契約台帳!$A$3:$K$4986,9,FALSE)&amp;VLOOKUP(D443,契約台帳!$A$3:$K$4986,11,FALSE))</f>
        <v>33SSNMCLBTEKV0V</v>
      </c>
      <c r="G443" s="256" t="str">
        <f>IF(D443="","",VLOOKUP(F443,製品マスタ!$G$5:$H$4999,2,FALSE))</f>
        <v>S</v>
      </c>
      <c r="H443" s="256" t="str">
        <f>IF(D443="","",VLOOKUP(F443,製品マスタ!$G$5:$K$4999,5,FALSE))</f>
        <v>TEKV0V</v>
      </c>
      <c r="I443" s="200" t="str">
        <f>IF(D443="","",VLOOKUP(F443,製品マスタ!$G$5:$L$4999,6,FALSE))</f>
        <v>メタルミー　ＴＥ－Ｓ消　ＶＯＩＤ　Ｖ</v>
      </c>
      <c r="J443" s="203" t="s">
        <v>1022</v>
      </c>
      <c r="K443" s="200">
        <f>IF(D443="","",VLOOKUP(D443,契約台帳!$A$3:$L$4986,12,FALSE))</f>
        <v>50</v>
      </c>
      <c r="L443" s="200" t="str">
        <f>IF(D443="","",INDEX(製品マスタ!$Q$5:$Q$4999,MATCH('S4'!F443&amp;'S4'!K443,製品マスタ!$AO$5:$AO$4999,0)))</f>
        <v>X44SEPA</v>
      </c>
      <c r="M443" s="37">
        <v>1005</v>
      </c>
      <c r="N443" s="37">
        <v>4000</v>
      </c>
      <c r="O443" s="153">
        <v>3</v>
      </c>
      <c r="P443" s="45">
        <v>3</v>
      </c>
      <c r="Q443" s="206">
        <v>45023</v>
      </c>
      <c r="R443" s="257">
        <f ca="1">IF(D443="","",IF(OFFSET(D443,-1,0)&lt;&gt;"","",IF(OR(J443="リード付け",J443="巻足し",J443="巻返しリード付け"),M443,VLOOKUP(D443,契約台帳!$A$3:$N$4986,14,FALSE))))</f>
        <v>1005</v>
      </c>
      <c r="S443" s="258">
        <f ca="1">IF(D443="","",IF(OFFSET(D443,-1,0)&lt;&gt;"","",IF(OR(J443="リード付け",J443="巻足し",J443="巻返しリード付け"),M443,VLOOKUP(D443,契約台帳!$A$3:$O$4986,15,FALSE))))</f>
        <v>1005</v>
      </c>
      <c r="T443" s="258">
        <f ca="1">IF(D443="","",IF(J443="リード付け",N443,IF(J443="巻返しリード付け",N443,IF(J443="巻足し",N443*P443+OFFSET(N443,1,0)*OFFSET(P443,1,0),VLOOKUP(D443,契約台帳!$A$3:$P$4986,16,FALSE)))))</f>
        <v>12000</v>
      </c>
      <c r="U443" s="38">
        <v>1</v>
      </c>
      <c r="V443" s="259">
        <f ca="1">IF(D443="","",IF(OFFSET(D443,-2,0)=D443,"",VLOOKUP(D443,契約台帳!$A$3:$R$4986,18,FALSE)))</f>
        <v>3</v>
      </c>
      <c r="W443" s="256" t="str">
        <f ca="1">IF(D443="","",IF(T443="","",IF(OR(J443="巻足し",J443="巻返しリード付け"),"",IF(J443="巻返し",VLOOKUP(F443&amp;K443&amp;M443,製品マスタ!$M$5:$AD$4999,18,FALSE),IF(OR(J443="リード付け",J443="巻返しリード付け"),"原反コア",IF(J443="スリット",VLOOKUP(F443&amp;K443&amp;R443,製品マスタ!$N$5:$AD$4999,17,FALSE),""))))))</f>
        <v/>
      </c>
      <c r="X443" s="256" t="str">
        <f ca="1">IF(D443="","",IF(T443="","",IF(J443="巻足し","",IF(J443="巻返し",VLOOKUP(F443&amp;K443&amp;M443,製品マスタ!$M$5:$AE$4999,19,FALSE),IF(OR(J443="リード付け",J443="巻返しリード付け"),"",IF(J443="スリット",VLOOKUP(F443&amp;K443&amp;R443,製品マスタ!$N$5:$AE$4999,18,FALSE),""))))))</f>
        <v/>
      </c>
      <c r="Y443" s="256">
        <f ca="1">IF(D443="","",IF(T443="","",VLOOKUP(D443,契約台帳!$A$3:$Q$4986,17,FALSE)))</f>
        <v>2</v>
      </c>
      <c r="Z443" s="256" t="str">
        <f ca="1">IF(D443="","",IF(T443="","",VLOOKUP(D443,契約台帳!$A$3:$E$4986,5,FALSE)))</f>
        <v>リンテック㈱</v>
      </c>
      <c r="AA443" s="54"/>
      <c r="AB443" s="200">
        <f>IFERROR((VLOOKUP(F443&amp;K443&amp;M443,製品マスタ!$M$5:$AM$4999,27,FALSE)),"")</f>
        <v>0</v>
      </c>
      <c r="AC443" s="31"/>
      <c r="AD443" s="184"/>
      <c r="AE443" s="51"/>
      <c r="AF443" s="52"/>
      <c r="AG443" s="41"/>
      <c r="AH443" s="45"/>
      <c r="AI443" s="28"/>
      <c r="AJ443" s="28"/>
      <c r="AK443" s="28"/>
      <c r="AL443" s="28"/>
      <c r="AM443" s="12"/>
      <c r="AN443" s="12"/>
      <c r="AO443" s="12"/>
      <c r="AP443" s="12"/>
      <c r="AQ443" s="12"/>
      <c r="AR443" s="13"/>
      <c r="AS443" s="14"/>
    </row>
    <row r="444" spans="1:45" s="16" customFormat="1" ht="30.95" hidden="1" customHeight="1" x14ac:dyDescent="0.2">
      <c r="A444" s="35"/>
      <c r="B444" s="36"/>
      <c r="C444" s="43"/>
      <c r="D444" s="29"/>
      <c r="E444" s="29"/>
      <c r="F444" s="255" t="str">
        <f>IF(D444="","",VLOOKUP(D444,契約台帳!$A$3:$K$4986,6,FALSE)&amp;VLOOKUP(D444,契約台帳!$A$3:$K$4986,7,FALSE)&amp;VLOOKUP(D444,契約台帳!$A$3:$K$4986,8,FALSE)&amp;VLOOKUP(D444,契約台帳!$A$3:$K$4986,9,FALSE)&amp;VLOOKUP(D444,契約台帳!$A$3:$K$4986,11,FALSE))</f>
        <v/>
      </c>
      <c r="G444" s="256" t="str">
        <f>IF(D444="","",VLOOKUP(F444,製品マスタ!$G$5:$H$4999,2,FALSE))</f>
        <v/>
      </c>
      <c r="H444" s="256" t="str">
        <f>IF(D444="","",VLOOKUP(F444,製品マスタ!$G$5:$K$4999,5,FALSE))</f>
        <v/>
      </c>
      <c r="I444" s="200" t="str">
        <f>IF(D444="","",VLOOKUP(F444,製品マスタ!$G$5:$L$4999,6,FALSE))</f>
        <v/>
      </c>
      <c r="J444" s="203"/>
      <c r="K444" s="200" t="str">
        <f>IF(D444="","",VLOOKUP(D444,契約台帳!$A$3:$L$4986,12,FALSE))</f>
        <v/>
      </c>
      <c r="L444" s="200" t="str">
        <f>IF(D444="","",INDEX(製品マスタ!$Q$5:$Q$4999,MATCH('S4'!F444&amp;'S4'!K444,製品マスタ!$AO$5:$AO$4999,0)))</f>
        <v/>
      </c>
      <c r="M444" s="37"/>
      <c r="N444" s="37"/>
      <c r="O444" s="153"/>
      <c r="P444" s="45"/>
      <c r="Q444" s="54"/>
      <c r="R444" s="257" t="str">
        <f ca="1">IF(D444="","",IF(OFFSET(D444,-1,0)&lt;&gt;"","",IF(OR(J444="リード付け",J444="巻足し",J444="巻返しリード付け"),M444,VLOOKUP(D444,契約台帳!$A$3:$N$4986,14,FALSE))))</f>
        <v/>
      </c>
      <c r="S444" s="258" t="str">
        <f ca="1">IF(D444="","",IF(OFFSET(D444,-1,0)&lt;&gt;"","",IF(OR(J444="リード付け",J444="巻足し",J444="巻返しリード付け"),M444,VLOOKUP(D444,契約台帳!$A$3:$O$4986,15,FALSE))))</f>
        <v/>
      </c>
      <c r="T444" s="258" t="str">
        <f ca="1">IF(D444="","",IF(J444="リード付け",N444,IF(J444="巻返しリード付け",N444,IF(J444="巻足し",N444*P444+OFFSET(N444,1,0)*OFFSET(P444,1,0),VLOOKUP(D444,契約台帳!$A$3:$P$4986,16,FALSE)))))</f>
        <v/>
      </c>
      <c r="U444" s="38"/>
      <c r="V444" s="259" t="str">
        <f ca="1">IF(D444="","",IF(OFFSET(D444,-2,0)=D444,"",VLOOKUP(D444,契約台帳!$A$3:$R$4986,18,FALSE)))</f>
        <v/>
      </c>
      <c r="W444" s="256" t="str">
        <f>IF(D444="","",IF(T444="","",IF(OR(J444="巻足し",J444="巻返しリード付け"),"",IF(J444="巻返し",VLOOKUP(F444&amp;K444&amp;M444,製品マスタ!$M$5:$AD$4999,18,FALSE),IF(OR(J444="リード付け",J444="巻返しリード付け"),"原反コア",IF(J444="スリット",VLOOKUP(F444&amp;K444&amp;R444,製品マスタ!$N$5:$AD$4999,17,FALSE),""))))))</f>
        <v/>
      </c>
      <c r="X444" s="256" t="str">
        <f>IF(D444="","",IF(T444="","",IF(J444="巻足し","",IF(J444="巻返し",VLOOKUP(F444&amp;K444&amp;M444,製品マスタ!$M$5:$AE$4999,19,FALSE),IF(OR(J444="リード付け",J444="巻返しリード付け"),"",IF(J444="スリット",VLOOKUP(F444&amp;K444&amp;R444,製品マスタ!$N$5:$AE$4999,18,FALSE),""))))))</f>
        <v/>
      </c>
      <c r="Y444" s="256" t="str">
        <f>IF(D444="","",IF(T444="","",VLOOKUP(D444,契約台帳!$A$3:$Q$4986,17,FALSE)))</f>
        <v/>
      </c>
      <c r="Z444" s="256" t="str">
        <f>IF(D444="","",IF(T444="","",VLOOKUP(D444,契約台帳!$A$3:$E$4986,5,FALSE)))</f>
        <v/>
      </c>
      <c r="AA444" s="54"/>
      <c r="AB444" s="200" t="str">
        <f>IFERROR((VLOOKUP(F444&amp;K444&amp;M444,製品マスタ!$M$5:$AM$4999,27,FALSE)),"")</f>
        <v/>
      </c>
      <c r="AC444" s="31"/>
      <c r="AD444" s="184"/>
      <c r="AE444" s="51"/>
      <c r="AF444" s="52"/>
      <c r="AG444" s="41"/>
      <c r="AH444" s="45"/>
      <c r="AI444" s="28"/>
      <c r="AJ444" s="28"/>
      <c r="AK444" s="28"/>
      <c r="AL444" s="28"/>
      <c r="AM444" s="12"/>
      <c r="AN444" s="12"/>
      <c r="AO444" s="12"/>
      <c r="AP444" s="12"/>
      <c r="AQ444" s="12"/>
      <c r="AR444" s="13"/>
      <c r="AS444" s="14"/>
    </row>
    <row r="445" spans="1:45" s="16" customFormat="1" ht="30.95" hidden="1" customHeight="1" x14ac:dyDescent="0.2">
      <c r="A445" s="35"/>
      <c r="B445" s="36"/>
      <c r="C445" s="43"/>
      <c r="D445" s="29">
        <v>3703990</v>
      </c>
      <c r="E445" s="29">
        <v>4161862</v>
      </c>
      <c r="F445" s="255" t="str">
        <f>IF(D445="","",VLOOKUP(D445,契約台帳!$A$3:$K$4986,6,FALSE)&amp;VLOOKUP(D445,契約台帳!$A$3:$K$4986,7,FALSE)&amp;VLOOKUP(D445,契約台帳!$A$3:$K$4986,8,FALSE)&amp;VLOOKUP(D445,契約台帳!$A$3:$K$4986,9,FALSE)&amp;VLOOKUP(D445,契約台帳!$A$3:$K$4986,11,FALSE))</f>
        <v>33SSNMCLBTETKFV</v>
      </c>
      <c r="G445" s="256" t="str">
        <f>IF(D445="","",VLOOKUP(F445,製品マスタ!$G$5:$H$4999,2,FALSE))</f>
        <v>S</v>
      </c>
      <c r="H445" s="256" t="str">
        <f>IF(D445="","",VLOOKUP(F445,製品マスタ!$G$5:$K$4999,5,FALSE))</f>
        <v>TETKFV</v>
      </c>
      <c r="I445" s="200" t="str">
        <f>IF(D445="","",VLOOKUP(F445,製品マスタ!$G$5:$L$4999,6,FALSE))</f>
        <v>メタルミー　ＴＥＳ艶開封　Ｖ</v>
      </c>
      <c r="J445" s="203" t="s">
        <v>1022</v>
      </c>
      <c r="K445" s="200">
        <f>IF(D445="","",VLOOKUP(D445,契約台帳!$A$3:$L$4986,12,FALSE))</f>
        <v>50</v>
      </c>
      <c r="L445" s="200" t="str">
        <f>IF(D445="","",INDEX(製品マスタ!$Q$5:$Q$4999,MATCH('S4'!F445&amp;'S4'!K445,製品マスタ!$AO$5:$AO$4999,0)))</f>
        <v>S28SEPA</v>
      </c>
      <c r="M445" s="37">
        <v>1005</v>
      </c>
      <c r="N445" s="37">
        <v>4100</v>
      </c>
      <c r="O445" s="153">
        <v>3</v>
      </c>
      <c r="P445" s="45">
        <v>3</v>
      </c>
      <c r="Q445" s="206">
        <v>45023</v>
      </c>
      <c r="R445" s="257">
        <f ca="1">IF(D445="","",IF(OFFSET(D445,-1,0)&lt;&gt;"","",IF(OR(J445="リード付け",J445="巻足し",J445="巻返しリード付け"),M445,VLOOKUP(D445,契約台帳!$A$3:$N$4986,14,FALSE))))</f>
        <v>1005</v>
      </c>
      <c r="S445" s="258">
        <f ca="1">IF(D445="","",IF(OFFSET(D445,-1,0)&lt;&gt;"","",IF(OR(J445="リード付け",J445="巻足し",J445="巻返しリード付け"),M445,VLOOKUP(D445,契約台帳!$A$3:$O$4986,15,FALSE))))</f>
        <v>1005</v>
      </c>
      <c r="T445" s="258">
        <f ca="1">IF(D445="","",IF(J445="リード付け",N445,IF(J445="巻返しリード付け",N445,IF(J445="巻足し",N445*P445+OFFSET(N445,1,0)*OFFSET(P445,1,0),VLOOKUP(D445,契約台帳!$A$3:$P$4986,16,FALSE)))))</f>
        <v>12300</v>
      </c>
      <c r="U445" s="38">
        <v>1</v>
      </c>
      <c r="V445" s="259">
        <f ca="1">IF(D445="","",IF(OFFSET(D445,-2,0)=D445,"",VLOOKUP(D445,契約台帳!$A$3:$R$4986,18,FALSE)))</f>
        <v>3</v>
      </c>
      <c r="W445" s="256" t="str">
        <f ca="1">IF(D445="","",IF(T445="","",IF(OR(J445="巻足し",J445="巻返しリード付け"),"",IF(J445="巻返し",VLOOKUP(F445&amp;K445&amp;M445,製品マスタ!$M$5:$AD$4999,18,FALSE),IF(OR(J445="リード付け",J445="巻返しリード付け"),"原反コア",IF(J445="スリット",VLOOKUP(F445&amp;K445&amp;R445,製品マスタ!$N$5:$AD$4999,17,FALSE),""))))))</f>
        <v/>
      </c>
      <c r="X445" s="256" t="str">
        <f ca="1">IF(D445="","",IF(T445="","",IF(J445="巻足し","",IF(J445="巻返し",VLOOKUP(F445&amp;K445&amp;M445,製品マスタ!$M$5:$AE$4999,19,FALSE),IF(OR(J445="リード付け",J445="巻返しリード付け"),"",IF(J445="スリット",VLOOKUP(F445&amp;K445&amp;R445,製品マスタ!$N$5:$AE$4999,18,FALSE),""))))))</f>
        <v/>
      </c>
      <c r="Y445" s="256">
        <f ca="1">IF(D445="","",IF(T445="","",VLOOKUP(D445,契約台帳!$A$3:$Q$4986,17,FALSE)))</f>
        <v>2</v>
      </c>
      <c r="Z445" s="256" t="str">
        <f ca="1">IF(D445="","",IF(T445="","",VLOOKUP(D445,契約台帳!$A$3:$E$4986,5,FALSE)))</f>
        <v>リンテック㈱</v>
      </c>
      <c r="AA445" s="54"/>
      <c r="AB445" s="200">
        <f>IFERROR((VLOOKUP(F445&amp;K445&amp;M445,製品マスタ!$M$5:$AM$4999,27,FALSE)),"")</f>
        <v>0</v>
      </c>
      <c r="AC445" s="31"/>
      <c r="AD445" s="184"/>
      <c r="AE445" s="51"/>
      <c r="AF445" s="52"/>
      <c r="AG445" s="41"/>
      <c r="AH445" s="45"/>
      <c r="AI445" s="28"/>
      <c r="AJ445" s="28"/>
      <c r="AK445" s="28"/>
      <c r="AL445" s="28"/>
      <c r="AM445" s="12"/>
      <c r="AN445" s="12"/>
      <c r="AO445" s="12"/>
      <c r="AP445" s="12"/>
      <c r="AQ445" s="12"/>
      <c r="AR445" s="13"/>
      <c r="AS445" s="14"/>
    </row>
    <row r="446" spans="1:45" s="16" customFormat="1" ht="30.95" hidden="1" customHeight="1" x14ac:dyDescent="0.2">
      <c r="A446" s="35"/>
      <c r="B446" s="36"/>
      <c r="C446" s="43"/>
      <c r="D446" s="29"/>
      <c r="E446" s="29"/>
      <c r="F446" s="255" t="str">
        <f>IF(D446="","",VLOOKUP(D446,契約台帳!$A$3:$K$4986,6,FALSE)&amp;VLOOKUP(D446,契約台帳!$A$3:$K$4986,7,FALSE)&amp;VLOOKUP(D446,契約台帳!$A$3:$K$4986,8,FALSE)&amp;VLOOKUP(D446,契約台帳!$A$3:$K$4986,9,FALSE)&amp;VLOOKUP(D446,契約台帳!$A$3:$K$4986,11,FALSE))</f>
        <v/>
      </c>
      <c r="G446" s="256" t="str">
        <f>IF(D446="","",VLOOKUP(F446,製品マスタ!$G$5:$H$4999,2,FALSE))</f>
        <v/>
      </c>
      <c r="H446" s="256" t="str">
        <f>IF(D446="","",VLOOKUP(F446,製品マスタ!$G$5:$K$4999,5,FALSE))</f>
        <v/>
      </c>
      <c r="I446" s="200" t="str">
        <f>IF(D446="","",VLOOKUP(F446,製品マスタ!$G$5:$L$4999,6,FALSE))</f>
        <v/>
      </c>
      <c r="J446" s="203"/>
      <c r="K446" s="200" t="str">
        <f>IF(D446="","",VLOOKUP(D446,契約台帳!$A$3:$L$4986,12,FALSE))</f>
        <v/>
      </c>
      <c r="L446" s="200" t="str">
        <f>IF(D446="","",INDEX(製品マスタ!$Q$5:$Q$4999,MATCH('S4'!F446&amp;'S4'!K446,製品マスタ!$AO$5:$AO$4999,0)))</f>
        <v/>
      </c>
      <c r="M446" s="37"/>
      <c r="N446" s="37"/>
      <c r="O446" s="153"/>
      <c r="P446" s="45"/>
      <c r="Q446" s="54"/>
      <c r="R446" s="257" t="str">
        <f ca="1">IF(D446="","",IF(OFFSET(D446,-1,0)&lt;&gt;"","",IF(OR(J446="リード付け",J446="巻足し",J446="巻返しリード付け"),M446,VLOOKUP(D446,契約台帳!$A$3:$N$4986,14,FALSE))))</f>
        <v/>
      </c>
      <c r="S446" s="258" t="str">
        <f ca="1">IF(D446="","",IF(OFFSET(D446,-1,0)&lt;&gt;"","",IF(OR(J446="リード付け",J446="巻足し",J446="巻返しリード付け"),M446,VLOOKUP(D446,契約台帳!$A$3:$O$4986,15,FALSE))))</f>
        <v/>
      </c>
      <c r="T446" s="258" t="str">
        <f ca="1">IF(D446="","",IF(J446="リード付け",N446,IF(J446="巻返しリード付け",N446,IF(J446="巻足し",N446*P446+OFFSET(N446,1,0)*OFFSET(P446,1,0),VLOOKUP(D446,契約台帳!$A$3:$P$4986,16,FALSE)))))</f>
        <v/>
      </c>
      <c r="U446" s="38"/>
      <c r="V446" s="259" t="str">
        <f ca="1">IF(D446="","",IF(OFFSET(D446,-2,0)=D446,"",VLOOKUP(D446,契約台帳!$A$3:$R$4986,18,FALSE)))</f>
        <v/>
      </c>
      <c r="W446" s="256" t="str">
        <f>IF(D446="","",IF(T446="","",IF(OR(J446="巻足し",J446="巻返しリード付け"),"",IF(J446="巻返し",VLOOKUP(F446&amp;K446&amp;M446,製品マスタ!$M$5:$AD$4999,18,FALSE),IF(OR(J446="リード付け",J446="巻返しリード付け"),"原反コア",IF(J446="スリット",VLOOKUP(F446&amp;K446&amp;R446,製品マスタ!$N$5:$AD$4999,17,FALSE),""))))))</f>
        <v/>
      </c>
      <c r="X446" s="256" t="str">
        <f>IF(D446="","",IF(T446="","",IF(J446="巻足し","",IF(J446="巻返し",VLOOKUP(F446&amp;K446&amp;M446,製品マスタ!$M$5:$AE$4999,19,FALSE),IF(OR(J446="リード付け",J446="巻返しリード付け"),"",IF(J446="スリット",VLOOKUP(F446&amp;K446&amp;R446,製品マスタ!$N$5:$AE$4999,18,FALSE),""))))))</f>
        <v/>
      </c>
      <c r="Y446" s="256" t="str">
        <f>IF(D446="","",IF(T446="","",VLOOKUP(D446,契約台帳!$A$3:$Q$4986,17,FALSE)))</f>
        <v/>
      </c>
      <c r="Z446" s="256" t="str">
        <f>IF(D446="","",IF(T446="","",VLOOKUP(D446,契約台帳!$A$3:$E$4986,5,FALSE)))</f>
        <v/>
      </c>
      <c r="AA446" s="54"/>
      <c r="AB446" s="200" t="str">
        <f>IFERROR((VLOOKUP(F446&amp;K446&amp;M446,製品マスタ!$M$5:$AM$4999,27,FALSE)),"")</f>
        <v/>
      </c>
      <c r="AC446" s="31"/>
      <c r="AD446" s="184"/>
      <c r="AE446" s="51"/>
      <c r="AF446" s="52"/>
      <c r="AG446" s="41"/>
      <c r="AH446" s="45"/>
      <c r="AI446" s="28"/>
      <c r="AJ446" s="28"/>
      <c r="AK446" s="28"/>
      <c r="AL446" s="28"/>
      <c r="AM446" s="12"/>
      <c r="AN446" s="12"/>
      <c r="AO446" s="12"/>
      <c r="AP446" s="12"/>
      <c r="AQ446" s="12"/>
      <c r="AR446" s="13"/>
      <c r="AS446" s="14"/>
    </row>
    <row r="447" spans="1:45" s="16" customFormat="1" ht="30.95" hidden="1" customHeight="1" x14ac:dyDescent="0.2">
      <c r="A447" s="35"/>
      <c r="B447" s="36"/>
      <c r="C447" s="43"/>
      <c r="D447" s="29">
        <v>3703991</v>
      </c>
      <c r="E447" s="29">
        <v>4161878</v>
      </c>
      <c r="F447" s="255" t="str">
        <f>IF(D447="","",VLOOKUP(D447,契約台帳!$A$3:$K$4986,6,FALSE)&amp;VLOOKUP(D447,契約台帳!$A$3:$K$4986,7,FALSE)&amp;VLOOKUP(D447,契約台帳!$A$3:$K$4986,8,FALSE)&amp;VLOOKUP(D447,契約台帳!$A$3:$K$4986,9,FALSE)&amp;VLOOKUP(D447,契約台帳!$A$3:$K$4986,11,FALSE))</f>
        <v>3SNMCLBTETV0V</v>
      </c>
      <c r="G447" s="256" t="str">
        <f>IF(D447="","",VLOOKUP(F447,製品マスタ!$G$5:$H$4999,2,FALSE))</f>
        <v>S</v>
      </c>
      <c r="H447" s="256" t="str">
        <f>IF(D447="","",VLOOKUP(F447,製品マスタ!$G$5:$K$4999,5,FALSE))</f>
        <v>TETV0V</v>
      </c>
      <c r="I447" s="200" t="str">
        <f>IF(D447="","",VLOOKUP(F447,製品マスタ!$G$5:$L$4999,6,FALSE))</f>
        <v>メタルミー　ＴＥＳ艶ＶＯＩＤＶ</v>
      </c>
      <c r="J447" s="203" t="s">
        <v>1022</v>
      </c>
      <c r="K447" s="200">
        <f>IF(D447="","",VLOOKUP(D447,契約台帳!$A$3:$L$4986,12,FALSE))</f>
        <v>50</v>
      </c>
      <c r="L447" s="200" t="str">
        <f>IF(D447="","",INDEX(製品マスタ!$Q$5:$Q$4999,MATCH('S4'!F447&amp;'S4'!K447,製品マスタ!$AO$5:$AO$4999,0)))</f>
        <v>S28SEPA</v>
      </c>
      <c r="M447" s="37">
        <v>1005</v>
      </c>
      <c r="N447" s="37">
        <v>4100</v>
      </c>
      <c r="O447" s="153">
        <v>3</v>
      </c>
      <c r="P447" s="45">
        <v>3</v>
      </c>
      <c r="Q447" s="206">
        <v>45023</v>
      </c>
      <c r="R447" s="257">
        <f ca="1">IF(D447="","",IF(OFFSET(D447,-1,0)&lt;&gt;"","",IF(OR(J447="リード付け",J447="巻足し",J447="巻返しリード付け"),M447,VLOOKUP(D447,契約台帳!$A$3:$N$4986,14,FALSE))))</f>
        <v>1005</v>
      </c>
      <c r="S447" s="258">
        <f ca="1">IF(D447="","",IF(OFFSET(D447,-1,0)&lt;&gt;"","",IF(OR(J447="リード付け",J447="巻足し",J447="巻返しリード付け"),M447,VLOOKUP(D447,契約台帳!$A$3:$O$4986,15,FALSE))))</f>
        <v>1005</v>
      </c>
      <c r="T447" s="258">
        <f ca="1">IF(D447="","",IF(J447="リード付け",N447,IF(J447="巻返しリード付け",N447,IF(J447="巻足し",N447*P447+OFFSET(N447,1,0)*OFFSET(P447,1,0),VLOOKUP(D447,契約台帳!$A$3:$P$4986,16,FALSE)))))</f>
        <v>12300</v>
      </c>
      <c r="U447" s="38">
        <v>1</v>
      </c>
      <c r="V447" s="259">
        <f ca="1">IF(D447="","",IF(OFFSET(D447,-2,0)=D447,"",VLOOKUP(D447,契約台帳!$A$3:$R$4986,18,FALSE)))</f>
        <v>3</v>
      </c>
      <c r="W447" s="256" t="str">
        <f ca="1">IF(D447="","",IF(T447="","",IF(OR(J447="巻足し",J447="巻返しリード付け"),"",IF(J447="巻返し",VLOOKUP(F447&amp;K447&amp;M447,製品マスタ!$M$5:$AD$4999,18,FALSE),IF(OR(J447="リード付け",J447="巻返しリード付け"),"原反コア",IF(J447="スリット",VLOOKUP(F447&amp;K447&amp;R447,製品マスタ!$N$5:$AD$4999,17,FALSE),""))))))</f>
        <v/>
      </c>
      <c r="X447" s="256" t="str">
        <f ca="1">IF(D447="","",IF(T447="","",IF(J447="巻足し","",IF(J447="巻返し",VLOOKUP(F447&amp;K447&amp;M447,製品マスタ!$M$5:$AE$4999,19,FALSE),IF(OR(J447="リード付け",J447="巻返しリード付け"),"",IF(J447="スリット",VLOOKUP(F447&amp;K447&amp;R447,製品マスタ!$N$5:$AE$4999,18,FALSE),""))))))</f>
        <v/>
      </c>
      <c r="Y447" s="256">
        <f ca="1">IF(D447="","",IF(T447="","",VLOOKUP(D447,契約台帳!$A$3:$Q$4986,17,FALSE)))</f>
        <v>2</v>
      </c>
      <c r="Z447" s="256" t="str">
        <f ca="1">IF(D447="","",IF(T447="","",VLOOKUP(D447,契約台帳!$A$3:$E$4986,5,FALSE)))</f>
        <v>リンテック㈱</v>
      </c>
      <c r="AA447" s="54"/>
      <c r="AB447" s="200">
        <f>IFERROR((VLOOKUP(F447&amp;K447&amp;M447,製品マスタ!$M$5:$AM$4999,27,FALSE)),"")</f>
        <v>0</v>
      </c>
      <c r="AC447" s="31"/>
      <c r="AD447" s="184"/>
      <c r="AE447" s="51"/>
      <c r="AF447" s="52"/>
      <c r="AG447" s="41"/>
      <c r="AH447" s="45"/>
      <c r="AI447" s="28"/>
      <c r="AJ447" s="28"/>
      <c r="AK447" s="28"/>
      <c r="AL447" s="28"/>
      <c r="AM447" s="12"/>
      <c r="AN447" s="12"/>
      <c r="AO447" s="12"/>
      <c r="AP447" s="12"/>
      <c r="AQ447" s="12"/>
      <c r="AR447" s="13"/>
      <c r="AS447" s="14"/>
    </row>
    <row r="448" spans="1:45" s="16" customFormat="1" ht="30.95" hidden="1" customHeight="1" x14ac:dyDescent="0.2">
      <c r="A448" s="35"/>
      <c r="B448" s="36"/>
      <c r="C448" s="43"/>
      <c r="D448" s="29"/>
      <c r="E448" s="29"/>
      <c r="F448" s="255" t="str">
        <f>IF(D448="","",VLOOKUP(D448,契約台帳!$A$3:$K$4986,6,FALSE)&amp;VLOOKUP(D448,契約台帳!$A$3:$K$4986,7,FALSE)&amp;VLOOKUP(D448,契約台帳!$A$3:$K$4986,8,FALSE)&amp;VLOOKUP(D448,契約台帳!$A$3:$K$4986,9,FALSE)&amp;VLOOKUP(D448,契約台帳!$A$3:$K$4986,11,FALSE))</f>
        <v/>
      </c>
      <c r="G448" s="256" t="str">
        <f>IF(D448="","",VLOOKUP(F448,製品マスタ!$G$5:$H$4999,2,FALSE))</f>
        <v/>
      </c>
      <c r="H448" s="256" t="str">
        <f>IF(D448="","",VLOOKUP(F448,製品マスタ!$G$5:$K$4999,5,FALSE))</f>
        <v/>
      </c>
      <c r="I448" s="200" t="str">
        <f>IF(D448="","",VLOOKUP(F448,製品マスタ!$G$5:$L$4999,6,FALSE))</f>
        <v/>
      </c>
      <c r="J448" s="203"/>
      <c r="K448" s="200" t="str">
        <f>IF(D448="","",VLOOKUP(D448,契約台帳!$A$3:$L$4986,12,FALSE))</f>
        <v/>
      </c>
      <c r="L448" s="200" t="str">
        <f>IF(D448="","",INDEX(製品マスタ!$Q$5:$Q$4999,MATCH('S4'!F448&amp;'S4'!K448,製品マスタ!$AO$5:$AO$4999,0)))</f>
        <v/>
      </c>
      <c r="M448" s="37"/>
      <c r="N448" s="37"/>
      <c r="O448" s="153"/>
      <c r="P448" s="45"/>
      <c r="Q448" s="54"/>
      <c r="R448" s="257" t="str">
        <f ca="1">IF(D448="","",IF(OFFSET(D448,-1,0)&lt;&gt;"","",IF(OR(J448="リード付け",J448="巻足し",J448="巻返しリード付け"),M448,VLOOKUP(D448,契約台帳!$A$3:$N$4986,14,FALSE))))</f>
        <v/>
      </c>
      <c r="S448" s="258" t="str">
        <f ca="1">IF(D448="","",IF(OFFSET(D448,-1,0)&lt;&gt;"","",IF(OR(J448="リード付け",J448="巻足し",J448="巻返しリード付け"),M448,VLOOKUP(D448,契約台帳!$A$3:$O$4986,15,FALSE))))</f>
        <v/>
      </c>
      <c r="T448" s="258" t="str">
        <f ca="1">IF(D448="","",IF(J448="リード付け",N448,IF(J448="巻返しリード付け",N448,IF(J448="巻足し",N448*P448+OFFSET(N448,1,0)*OFFSET(P448,1,0),VLOOKUP(D448,契約台帳!$A$3:$P$4986,16,FALSE)))))</f>
        <v/>
      </c>
      <c r="U448" s="38"/>
      <c r="V448" s="259" t="str">
        <f ca="1">IF(D448="","",IF(OFFSET(D448,-2,0)=D448,"",VLOOKUP(D448,契約台帳!$A$3:$R$4986,18,FALSE)))</f>
        <v/>
      </c>
      <c r="W448" s="256" t="str">
        <f>IF(D448="","",IF(T448="","",IF(OR(J448="巻足し",J448="巻返しリード付け"),"",IF(J448="巻返し",VLOOKUP(F448&amp;K448&amp;M448,製品マスタ!$M$5:$AD$4999,18,FALSE),IF(OR(J448="リード付け",J448="巻返しリード付け"),"原反コア",IF(J448="スリット",VLOOKUP(F448&amp;K448&amp;R448,製品マスタ!$N$5:$AD$4999,17,FALSE),""))))))</f>
        <v/>
      </c>
      <c r="X448" s="256" t="str">
        <f>IF(D448="","",IF(T448="","",IF(J448="巻足し","",IF(J448="巻返し",VLOOKUP(F448&amp;K448&amp;M448,製品マスタ!$M$5:$AE$4999,19,FALSE),IF(OR(J448="リード付け",J448="巻返しリード付け"),"",IF(J448="スリット",VLOOKUP(F448&amp;K448&amp;R448,製品マスタ!$N$5:$AE$4999,18,FALSE),""))))))</f>
        <v/>
      </c>
      <c r="Y448" s="256" t="str">
        <f>IF(D448="","",IF(T448="","",VLOOKUP(D448,契約台帳!$A$3:$Q$4986,17,FALSE)))</f>
        <v/>
      </c>
      <c r="Z448" s="256" t="str">
        <f>IF(D448="","",IF(T448="","",VLOOKUP(D448,契約台帳!$A$3:$E$4986,5,FALSE)))</f>
        <v/>
      </c>
      <c r="AA448" s="54"/>
      <c r="AB448" s="200" t="str">
        <f>IFERROR((VLOOKUP(F448&amp;K448&amp;M448,製品マスタ!$M$5:$AM$4999,27,FALSE)),"")</f>
        <v/>
      </c>
      <c r="AC448" s="31"/>
      <c r="AD448" s="184"/>
      <c r="AE448" s="51"/>
      <c r="AF448" s="52"/>
      <c r="AG448" s="41"/>
      <c r="AH448" s="45"/>
      <c r="AI448" s="28"/>
      <c r="AJ448" s="28"/>
      <c r="AK448" s="28"/>
      <c r="AL448" s="28"/>
      <c r="AM448" s="12"/>
      <c r="AN448" s="12"/>
      <c r="AO448" s="12"/>
      <c r="AP448" s="12"/>
      <c r="AQ448" s="12"/>
      <c r="AR448" s="13"/>
      <c r="AS448" s="14"/>
    </row>
    <row r="449" spans="1:45" s="16" customFormat="1" ht="30.95" hidden="1" customHeight="1" x14ac:dyDescent="0.2">
      <c r="A449" s="35"/>
      <c r="B449" s="36"/>
      <c r="C449" s="43"/>
      <c r="D449" s="29">
        <v>3703987</v>
      </c>
      <c r="E449" s="29">
        <v>4161863</v>
      </c>
      <c r="F449" s="255" t="str">
        <f>IF(D449="","",VLOOKUP(D449,契約台帳!$A$3:$K$4986,6,FALSE)&amp;VLOOKUP(D449,契約台帳!$A$3:$K$4986,7,FALSE)&amp;VLOOKUP(D449,契約台帳!$A$3:$K$4986,8,FALSE)&amp;VLOOKUP(D449,契約台帳!$A$3:$K$4986,9,FALSE)&amp;VLOOKUP(D449,契約台帳!$A$3:$K$4986,11,FALSE))</f>
        <v>3SNMCLBHLGTV</v>
      </c>
      <c r="G449" s="256" t="str">
        <f>IF(D449="","",VLOOKUP(F449,製品マスタ!$G$5:$H$4999,2,FALSE))</f>
        <v>S</v>
      </c>
      <c r="H449" s="256" t="str">
        <f>IF(D449="","",VLOOKUP(F449,製品マスタ!$G$5:$K$4999,5,FALSE))</f>
        <v>HLGTV</v>
      </c>
      <c r="I449" s="200" t="str">
        <f>IF(D449="","",VLOOKUP(F449,製品マスタ!$G$5:$L$4999,6,FALSE))</f>
        <v>メタルミー　ヘヤライン　銀艶Ｖ</v>
      </c>
      <c r="J449" s="203" t="s">
        <v>1022</v>
      </c>
      <c r="K449" s="200">
        <f>IF(D449="","",VLOOKUP(D449,契約台帳!$A$3:$L$4986,12,FALSE))</f>
        <v>50</v>
      </c>
      <c r="L449" s="200" t="str">
        <f>IF(D449="","",INDEX(製品マスタ!$Q$5:$Q$4999,MATCH('S4'!F449&amp;'S4'!K449,製品マスタ!$AO$5:$AO$4999,0)))</f>
        <v>BRIGHT</v>
      </c>
      <c r="M449" s="37">
        <v>1005</v>
      </c>
      <c r="N449" s="37">
        <v>4100</v>
      </c>
      <c r="O449" s="153">
        <v>3</v>
      </c>
      <c r="P449" s="45">
        <v>3</v>
      </c>
      <c r="Q449" s="206">
        <v>45023</v>
      </c>
      <c r="R449" s="257">
        <f ca="1">IF(D449="","",IF(OFFSET(D449,-1,0)&lt;&gt;"","",IF(OR(J449="リード付け",J449="巻足し",J449="巻返しリード付け"),M449,VLOOKUP(D449,契約台帳!$A$3:$N$4986,14,FALSE))))</f>
        <v>1005</v>
      </c>
      <c r="S449" s="258">
        <f ca="1">IF(D449="","",IF(OFFSET(D449,-1,0)&lt;&gt;"","",IF(OR(J449="リード付け",J449="巻足し",J449="巻返しリード付け"),M449,VLOOKUP(D449,契約台帳!$A$3:$O$4986,15,FALSE))))</f>
        <v>1005</v>
      </c>
      <c r="T449" s="258">
        <f ca="1">IF(D449="","",IF(J449="リード付け",N449,IF(J449="巻返しリード付け",N449,IF(J449="巻足し",N449*P449+OFFSET(N449,1,0)*OFFSET(P449,1,0),VLOOKUP(D449,契約台帳!$A$3:$P$4986,16,FALSE)))))</f>
        <v>12300</v>
      </c>
      <c r="U449" s="38">
        <v>1</v>
      </c>
      <c r="V449" s="259">
        <f ca="1">IF(D449="","",IF(OFFSET(D449,-2,0)=D449,"",VLOOKUP(D449,契約台帳!$A$3:$R$4986,18,FALSE)))</f>
        <v>3</v>
      </c>
      <c r="W449" s="256" t="str">
        <f ca="1">IF(D449="","",IF(T449="","",IF(OR(J449="巻足し",J449="巻返しリード付け"),"",IF(J449="巻返し",VLOOKUP(F449&amp;K449&amp;M449,製品マスタ!$M$5:$AD$4999,18,FALSE),IF(OR(J449="リード付け",J449="巻返しリード付け"),"原反コア",IF(J449="スリット",VLOOKUP(F449&amp;K449&amp;R449,製品マスタ!$N$5:$AD$4999,17,FALSE),""))))))</f>
        <v/>
      </c>
      <c r="X449" s="256" t="str">
        <f ca="1">IF(D449="","",IF(T449="","",IF(J449="巻足し","",IF(J449="巻返し",VLOOKUP(F449&amp;K449&amp;M449,製品マスタ!$M$5:$AE$4999,19,FALSE),IF(OR(J449="リード付け",J449="巻返しリード付け"),"",IF(J449="スリット",VLOOKUP(F449&amp;K449&amp;R449,製品マスタ!$N$5:$AE$4999,18,FALSE),""))))))</f>
        <v/>
      </c>
      <c r="Y449" s="256">
        <f ca="1">IF(D449="","",IF(T449="","",VLOOKUP(D449,契約台帳!$A$3:$Q$4986,17,FALSE)))</f>
        <v>2</v>
      </c>
      <c r="Z449" s="256" t="str">
        <f ca="1">IF(D449="","",IF(T449="","",VLOOKUP(D449,契約台帳!$A$3:$E$4986,5,FALSE)))</f>
        <v>リンテック㈱</v>
      </c>
      <c r="AA449" s="54"/>
      <c r="AB449" s="200">
        <f>IFERROR((VLOOKUP(F449&amp;K449&amp;M449,製品マスタ!$M$5:$AM$4999,27,FALSE)),"")</f>
        <v>0</v>
      </c>
      <c r="AC449" s="31"/>
      <c r="AD449" s="184"/>
      <c r="AE449" s="51"/>
      <c r="AF449" s="52"/>
      <c r="AG449" s="41"/>
      <c r="AH449" s="45"/>
      <c r="AI449" s="28"/>
      <c r="AJ449" s="28"/>
      <c r="AK449" s="28"/>
      <c r="AL449" s="28"/>
      <c r="AM449" s="12"/>
      <c r="AN449" s="12"/>
      <c r="AO449" s="12"/>
      <c r="AP449" s="12"/>
      <c r="AQ449" s="12"/>
      <c r="AR449" s="13"/>
      <c r="AS449" s="14"/>
    </row>
    <row r="450" spans="1:45" s="16" customFormat="1" ht="30.95" hidden="1" customHeight="1" x14ac:dyDescent="0.2">
      <c r="A450" s="35"/>
      <c r="B450" s="36"/>
      <c r="C450" s="43"/>
      <c r="D450" s="29"/>
      <c r="E450" s="29"/>
      <c r="F450" s="255" t="str">
        <f>IF(D450="","",VLOOKUP(D450,契約台帳!$A$3:$K$4986,6,FALSE)&amp;VLOOKUP(D450,契約台帳!$A$3:$K$4986,7,FALSE)&amp;VLOOKUP(D450,契約台帳!$A$3:$K$4986,8,FALSE)&amp;VLOOKUP(D450,契約台帳!$A$3:$K$4986,9,FALSE)&amp;VLOOKUP(D450,契約台帳!$A$3:$K$4986,11,FALSE))</f>
        <v/>
      </c>
      <c r="G450" s="256" t="str">
        <f>IF(D450="","",VLOOKUP(F450,製品マスタ!$G$5:$H$4999,2,FALSE))</f>
        <v/>
      </c>
      <c r="H450" s="256" t="str">
        <f>IF(D450="","",VLOOKUP(F450,製品マスタ!$G$5:$K$4999,5,FALSE))</f>
        <v/>
      </c>
      <c r="I450" s="200" t="str">
        <f>IF(D450="","",VLOOKUP(F450,製品マスタ!$G$5:$L$4999,6,FALSE))</f>
        <v/>
      </c>
      <c r="J450" s="203"/>
      <c r="K450" s="200" t="str">
        <f>IF(D450="","",VLOOKUP(D450,契約台帳!$A$3:$L$4986,12,FALSE))</f>
        <v/>
      </c>
      <c r="L450" s="200" t="str">
        <f>IF(D450="","",INDEX(製品マスタ!$Q$5:$Q$4999,MATCH('S4'!F450&amp;'S4'!K450,製品マスタ!$AO$5:$AO$4999,0)))</f>
        <v/>
      </c>
      <c r="M450" s="37"/>
      <c r="N450" s="37"/>
      <c r="O450" s="153"/>
      <c r="P450" s="45"/>
      <c r="Q450" s="54"/>
      <c r="R450" s="257" t="str">
        <f ca="1">IF(D450="","",IF(OFFSET(D450,-1,0)&lt;&gt;"","",IF(OR(J450="リード付け",J450="巻足し",J450="巻返しリード付け"),M450,VLOOKUP(D450,契約台帳!$A$3:$N$4986,14,FALSE))))</f>
        <v/>
      </c>
      <c r="S450" s="258" t="str">
        <f ca="1">IF(D450="","",IF(OFFSET(D450,-1,0)&lt;&gt;"","",IF(OR(J450="リード付け",J450="巻足し",J450="巻返しリード付け"),M450,VLOOKUP(D450,契約台帳!$A$3:$O$4986,15,FALSE))))</f>
        <v/>
      </c>
      <c r="T450" s="258" t="str">
        <f ca="1">IF(D450="","",IF(J450="リード付け",N450,IF(J450="巻返しリード付け",N450,IF(J450="巻足し",N450*P450+OFFSET(N450,1,0)*OFFSET(P450,1,0),VLOOKUP(D450,契約台帳!$A$3:$P$4986,16,FALSE)))))</f>
        <v/>
      </c>
      <c r="U450" s="38"/>
      <c r="V450" s="259" t="str">
        <f ca="1">IF(D450="","",IF(OFFSET(D450,-2,0)=D450,"",VLOOKUP(D450,契約台帳!$A$3:$R$4986,18,FALSE)))</f>
        <v/>
      </c>
      <c r="W450" s="256" t="str">
        <f>IF(D450="","",IF(T450="","",IF(OR(J450="巻足し",J450="巻返しリード付け"),"",IF(J450="巻返し",VLOOKUP(F450&amp;K450&amp;M450,製品マスタ!$M$5:$AD$4999,18,FALSE),IF(OR(J450="リード付け",J450="巻返しリード付け"),"原反コア",IF(J450="スリット",VLOOKUP(F450&amp;K450&amp;R450,製品マスタ!$N$5:$AD$4999,17,FALSE),""))))))</f>
        <v/>
      </c>
      <c r="X450" s="256" t="str">
        <f>IF(D450="","",IF(T450="","",IF(J450="巻足し","",IF(J450="巻返し",VLOOKUP(F450&amp;K450&amp;M450,製品マスタ!$M$5:$AE$4999,19,FALSE),IF(OR(J450="リード付け",J450="巻返しリード付け"),"",IF(J450="スリット",VLOOKUP(F450&amp;K450&amp;R450,製品マスタ!$N$5:$AE$4999,18,FALSE),""))))))</f>
        <v/>
      </c>
      <c r="Y450" s="256" t="str">
        <f>IF(D450="","",IF(T450="","",VLOOKUP(D450,契約台帳!$A$3:$Q$4986,17,FALSE)))</f>
        <v/>
      </c>
      <c r="Z450" s="256" t="str">
        <f>IF(D450="","",IF(T450="","",VLOOKUP(D450,契約台帳!$A$3:$E$4986,5,FALSE)))</f>
        <v/>
      </c>
      <c r="AA450" s="54"/>
      <c r="AB450" s="200" t="str">
        <f>IFERROR((VLOOKUP(F450&amp;K450&amp;M450,製品マスタ!$M$5:$AM$4999,27,FALSE)),"")</f>
        <v/>
      </c>
      <c r="AC450" s="31"/>
      <c r="AD450" s="184"/>
      <c r="AE450" s="51"/>
      <c r="AF450" s="52"/>
      <c r="AG450" s="41"/>
      <c r="AH450" s="45"/>
      <c r="AI450" s="28"/>
      <c r="AJ450" s="28"/>
      <c r="AK450" s="28"/>
      <c r="AL450" s="28"/>
      <c r="AM450" s="12"/>
      <c r="AN450" s="12"/>
      <c r="AO450" s="12"/>
      <c r="AP450" s="12"/>
      <c r="AQ450" s="12"/>
      <c r="AR450" s="13"/>
      <c r="AS450" s="14"/>
    </row>
    <row r="451" spans="1:45" s="16" customFormat="1" ht="30.95" hidden="1" customHeight="1" x14ac:dyDescent="0.2">
      <c r="A451" s="35" t="s">
        <v>1036</v>
      </c>
      <c r="B451" s="36" t="s">
        <v>688</v>
      </c>
      <c r="C451" s="43"/>
      <c r="D451" s="29">
        <v>3703994</v>
      </c>
      <c r="E451" s="29">
        <v>4161868</v>
      </c>
      <c r="F451" s="255" t="str">
        <f>IF(D451="","",VLOOKUP(D451,契約台帳!$A$3:$K$4986,6,FALSE)&amp;VLOOKUP(D451,契約台帳!$A$3:$K$4986,7,FALSE)&amp;VLOOKUP(D451,契約台帳!$A$3:$K$4986,8,FALSE)&amp;VLOOKUP(D451,契約台帳!$A$3:$K$4986,9,FALSE)&amp;VLOOKUP(D451,契約台帳!$A$3:$K$4986,11,FALSE))</f>
        <v>3SNMLBMNGKKBF</v>
      </c>
      <c r="G451" s="256" t="str">
        <f>IF(D451="","",VLOOKUP(F451,製品マスタ!$G$5:$H$4999,2,FALSE))</f>
        <v>S</v>
      </c>
      <c r="H451" s="256" t="str">
        <f>IF(D451="","",VLOOKUP(F451,製品マスタ!$G$5:$K$4999,5,FALSE))</f>
        <v>MNGKKBF</v>
      </c>
      <c r="I451" s="200" t="str">
        <f>IF(D451="","",VLOOKUP(F451,製品マスタ!$G$5:$L$4999,6,FALSE))</f>
        <v>メタルミー　ネーマー銀消改　Ｂ</v>
      </c>
      <c r="J451" s="203" t="s">
        <v>1022</v>
      </c>
      <c r="K451" s="200">
        <f>IF(D451="","",VLOOKUP(D451,契約台帳!$A$3:$L$4986,12,FALSE))</f>
        <v>25</v>
      </c>
      <c r="L451" s="200" t="str">
        <f>IF(D451="","",INDEX(製品マスタ!$Q$5:$Q$4999,MATCH('S4'!F451&amp;'S4'!K451,製品マスタ!$AO$5:$AO$4999,0)))</f>
        <v>FMATS99</v>
      </c>
      <c r="M451" s="37">
        <v>1120</v>
      </c>
      <c r="N451" s="37">
        <v>4000</v>
      </c>
      <c r="O451" s="153">
        <v>6</v>
      </c>
      <c r="P451" s="45">
        <v>3</v>
      </c>
      <c r="Q451" s="206">
        <v>45023</v>
      </c>
      <c r="R451" s="257">
        <f ca="1">IF(D451="","",IF(OFFSET(D451,-1,0)&lt;&gt;"","",IF(OR(J451="リード付け",J451="巻足し",J451="巻返しリード付け"),M451,VLOOKUP(D451,契約台帳!$A$3:$N$4986,14,FALSE))))</f>
        <v>1120</v>
      </c>
      <c r="S451" s="258">
        <f ca="1">IF(D451="","",IF(OFFSET(D451,-1,0)&lt;&gt;"","",IF(OR(J451="リード付け",J451="巻足し",J451="巻返しリード付け"),M451,VLOOKUP(D451,契約台帳!$A$3:$O$4986,15,FALSE))))</f>
        <v>1120</v>
      </c>
      <c r="T451" s="258">
        <f ca="1">IF(D451="","",IF(J451="リード付け",N451,IF(J451="巻返しリード付け",N451,IF(J451="巻足し",N451*P451+OFFSET(N451,1,0)*OFFSET(P451,1,0),VLOOKUP(D451,契約台帳!$A$3:$P$4986,16,FALSE)))))</f>
        <v>12000</v>
      </c>
      <c r="U451" s="38">
        <v>2</v>
      </c>
      <c r="V451" s="259">
        <f ca="1">IF(D451="","",IF(OFFSET(D451,-2,0)=D451,"",VLOOKUP(D451,契約台帳!$A$3:$R$4986,18,FALSE)))</f>
        <v>6</v>
      </c>
      <c r="W451" s="256" t="str">
        <f ca="1">IF(D451="","",IF(T451="","",IF(OR(J451="巻足し",J451="巻返しリード付け"),"",IF(J451="巻返し",VLOOKUP(F451&amp;K451&amp;M451,製品マスタ!$M$5:$AD$4999,18,FALSE),IF(OR(J451="リード付け",J451="巻返しリード付け"),"原反コア",IF(J451="スリット",VLOOKUP(F451&amp;K451&amp;R451,製品マスタ!$N$5:$AD$4999,17,FALSE),""))))))</f>
        <v/>
      </c>
      <c r="X451" s="256" t="str">
        <f ca="1">IF(D451="","",IF(T451="","",IF(J451="巻足し","",IF(J451="巻返し",VLOOKUP(F451&amp;K451&amp;M451,製品マスタ!$M$5:$AE$4999,19,FALSE),IF(OR(J451="リード付け",J451="巻返しリード付け"),"",IF(J451="スリット",VLOOKUP(F451&amp;K451&amp;R451,製品マスタ!$N$5:$AE$4999,18,FALSE),""))))))</f>
        <v/>
      </c>
      <c r="Y451" s="256">
        <f ca="1">IF(D451="","",IF(T451="","",VLOOKUP(D451,契約台帳!$A$3:$Q$4986,17,FALSE)))</f>
        <v>2</v>
      </c>
      <c r="Z451" s="256" t="str">
        <f ca="1">IF(D451="","",IF(T451="","",VLOOKUP(D451,契約台帳!$A$3:$E$4986,5,FALSE)))</f>
        <v>リンテック㈱</v>
      </c>
      <c r="AA451" s="54"/>
      <c r="AB451" s="200">
        <f>IFERROR((VLOOKUP(F451&amp;K451&amp;M451,製品マスタ!$M$5:$AM$4999,27,FALSE)),"")</f>
        <v>0</v>
      </c>
      <c r="AC451" s="31"/>
      <c r="AD451" s="184"/>
      <c r="AE451" s="51"/>
      <c r="AF451" s="52"/>
      <c r="AG451" s="41"/>
      <c r="AH451" s="45"/>
      <c r="AI451" s="28"/>
      <c r="AJ451" s="28"/>
      <c r="AK451" s="28"/>
      <c r="AL451" s="28"/>
      <c r="AM451" s="12"/>
      <c r="AN451" s="12"/>
      <c r="AO451" s="12"/>
      <c r="AP451" s="12"/>
      <c r="AQ451" s="12"/>
      <c r="AR451" s="13"/>
      <c r="AS451" s="14"/>
    </row>
    <row r="452" spans="1:45" s="16" customFormat="1" ht="30.95" hidden="1" customHeight="1" x14ac:dyDescent="0.2">
      <c r="A452" s="35"/>
      <c r="B452" s="36"/>
      <c r="C452" s="43"/>
      <c r="D452" s="29"/>
      <c r="E452" s="29"/>
      <c r="F452" s="255" t="str">
        <f>IF(D452="","",VLOOKUP(D452,契約台帳!$A$3:$K$4986,6,FALSE)&amp;VLOOKUP(D452,契約台帳!$A$3:$K$4986,7,FALSE)&amp;VLOOKUP(D452,契約台帳!$A$3:$K$4986,8,FALSE)&amp;VLOOKUP(D452,契約台帳!$A$3:$K$4986,9,FALSE)&amp;VLOOKUP(D452,契約台帳!$A$3:$K$4986,11,FALSE))</f>
        <v/>
      </c>
      <c r="G452" s="256" t="str">
        <f>IF(D452="","",VLOOKUP(F452,製品マスタ!$G$5:$H$4999,2,FALSE))</f>
        <v/>
      </c>
      <c r="H452" s="256" t="str">
        <f>IF(D452="","",VLOOKUP(F452,製品マスタ!$G$5:$K$4999,5,FALSE))</f>
        <v/>
      </c>
      <c r="I452" s="200" t="str">
        <f>IF(D452="","",VLOOKUP(F452,製品マスタ!$G$5:$L$4999,6,FALSE))</f>
        <v/>
      </c>
      <c r="J452" s="203"/>
      <c r="K452" s="200" t="str">
        <f>IF(D452="","",VLOOKUP(D452,契約台帳!$A$3:$L$4986,12,FALSE))</f>
        <v/>
      </c>
      <c r="L452" s="200" t="str">
        <f>IF(D452="","",INDEX(製品マスタ!$Q$5:$Q$4999,MATCH('S4'!F452&amp;'S4'!K452,製品マスタ!$AO$5:$AO$4999,0)))</f>
        <v/>
      </c>
      <c r="M452" s="37"/>
      <c r="N452" s="37"/>
      <c r="O452" s="153"/>
      <c r="P452" s="45"/>
      <c r="Q452" s="54"/>
      <c r="R452" s="257" t="str">
        <f ca="1">IF(D452="","",IF(OFFSET(D452,-1,0)&lt;&gt;"","",IF(OR(J452="リード付け",J452="巻足し",J452="巻返しリード付け"),M452,VLOOKUP(D452,契約台帳!$A$3:$N$4986,14,FALSE))))</f>
        <v/>
      </c>
      <c r="S452" s="258" t="str">
        <f ca="1">IF(D452="","",IF(OFFSET(D452,-1,0)&lt;&gt;"","",IF(OR(J452="リード付け",J452="巻足し",J452="巻返しリード付け"),M452,VLOOKUP(D452,契約台帳!$A$3:$O$4986,15,FALSE))))</f>
        <v/>
      </c>
      <c r="T452" s="258" t="str">
        <f ca="1">IF(D452="","",IF(J452="リード付け",N452,IF(J452="巻返しリード付け",N452,IF(J452="巻足し",N452*P452+OFFSET(N452,1,0)*OFFSET(P452,1,0),VLOOKUP(D452,契約台帳!$A$3:$P$4986,16,FALSE)))))</f>
        <v/>
      </c>
      <c r="U452" s="38"/>
      <c r="V452" s="259" t="str">
        <f ca="1">IF(D452="","",IF(OFFSET(D452,-2,0)=D452,"",VLOOKUP(D452,契約台帳!$A$3:$R$4986,18,FALSE)))</f>
        <v/>
      </c>
      <c r="W452" s="256" t="str">
        <f>IF(D452="","",IF(T452="","",IF(OR(J452="巻足し",J452="巻返しリード付け"),"",IF(J452="巻返し",VLOOKUP(F452&amp;K452&amp;M452,製品マスタ!$M$5:$AD$4999,18,FALSE),IF(OR(J452="リード付け",J452="巻返しリード付け"),"原反コア",IF(J452="スリット",VLOOKUP(F452&amp;K452&amp;R452,製品マスタ!$N$5:$AD$4999,17,FALSE),""))))))</f>
        <v/>
      </c>
      <c r="X452" s="256" t="str">
        <f>IF(D452="","",IF(T452="","",IF(J452="巻足し","",IF(J452="巻返し",VLOOKUP(F452&amp;K452&amp;M452,製品マスタ!$M$5:$AE$4999,19,FALSE),IF(OR(J452="リード付け",J452="巻返しリード付け"),"",IF(J452="スリット",VLOOKUP(F452&amp;K452&amp;R452,製品マスタ!$N$5:$AE$4999,18,FALSE),""))))))</f>
        <v/>
      </c>
      <c r="Y452" s="256" t="str">
        <f>IF(D452="","",IF(T452="","",VLOOKUP(D452,契約台帳!$A$3:$Q$4986,17,FALSE)))</f>
        <v/>
      </c>
      <c r="Z452" s="256" t="str">
        <f>IF(D452="","",IF(T452="","",VLOOKUP(D452,契約台帳!$A$3:$E$4986,5,FALSE)))</f>
        <v/>
      </c>
      <c r="AA452" s="54"/>
      <c r="AB452" s="200" t="str">
        <f>IFERROR((VLOOKUP(F452&amp;K452&amp;M452,製品マスタ!$M$5:$AM$4999,27,FALSE)),"")</f>
        <v/>
      </c>
      <c r="AC452" s="31"/>
      <c r="AD452" s="184"/>
      <c r="AE452" s="51"/>
      <c r="AF452" s="52"/>
      <c r="AG452" s="41"/>
      <c r="AH452" s="45"/>
      <c r="AI452" s="28"/>
      <c r="AJ452" s="28"/>
      <c r="AK452" s="28"/>
      <c r="AL452" s="28"/>
      <c r="AM452" s="12"/>
      <c r="AN452" s="12"/>
      <c r="AO452" s="12"/>
      <c r="AP452" s="12"/>
      <c r="AQ452" s="12"/>
      <c r="AR452" s="13"/>
      <c r="AS452" s="14"/>
    </row>
    <row r="453" spans="1:45" s="16" customFormat="1" ht="30.95" hidden="1" customHeight="1" x14ac:dyDescent="0.2">
      <c r="A453" s="35"/>
      <c r="B453" s="36"/>
      <c r="C453" s="43"/>
      <c r="D453" s="29">
        <v>3706358</v>
      </c>
      <c r="E453" s="29">
        <v>4161884</v>
      </c>
      <c r="F453" s="255" t="str">
        <f>IF(D453="","",VLOOKUP(D453,契約台帳!$A$3:$K$4986,6,FALSE)&amp;VLOOKUP(D453,契約台帳!$A$3:$K$4986,7,FALSE)&amp;VLOOKUP(D453,契約台帳!$A$3:$K$4986,8,FALSE)&amp;VLOOKUP(D453,契約台帳!$A$3:$K$4986,9,FALSE)&amp;VLOOKUP(D453,契約台帳!$A$3:$K$4986,11,FALSE))</f>
        <v>3SNMCLBMSNEYK</v>
      </c>
      <c r="G453" s="256" t="str">
        <f>IF(D453="","",VLOOKUP(F453,製品マスタ!$G$5:$H$4999,2,FALSE))</f>
        <v>S</v>
      </c>
      <c r="H453" s="256" t="str">
        <f>IF(D453="","",VLOOKUP(F453,製品マスタ!$G$5:$K$4999,5,FALSE))</f>
        <v>MSNEYK</v>
      </c>
      <c r="I453" s="200" t="str">
        <f>IF(D453="","",VLOOKUP(F453,製品マスタ!$G$5:$L$4999,6,FALSE))</f>
        <v>ＭＳＮ　ＥＹＫ</v>
      </c>
      <c r="J453" s="203" t="s">
        <v>1080</v>
      </c>
      <c r="K453" s="200">
        <f>IF(D453="","",VLOOKUP(D453,契約台帳!$A$3:$L$4986,12,FALSE))</f>
        <v>50</v>
      </c>
      <c r="L453" s="200" t="str">
        <f>IF(D453="","",INDEX(製品マスタ!$Q$5:$Q$4999,MATCH('S4'!F453&amp;'S4'!K453,製品マスタ!$AO$5:$AO$4999,0)))</f>
        <v>N-MAT</v>
      </c>
      <c r="M453" s="37">
        <v>1120</v>
      </c>
      <c r="N453" s="37">
        <v>4000</v>
      </c>
      <c r="O453" s="153">
        <v>2</v>
      </c>
      <c r="P453" s="45">
        <v>2</v>
      </c>
      <c r="Q453" s="206">
        <v>45023</v>
      </c>
      <c r="R453" s="257">
        <f ca="1">IF(D453="","",IF(OFFSET(D453,-1,0)&lt;&gt;"","",IF(OR(J453="リード付け",J453="巻足し",J453="巻返しリード付け"),M453,VLOOKUP(D453,契約台帳!$A$3:$N$4986,14,FALSE))))</f>
        <v>1120</v>
      </c>
      <c r="S453" s="258">
        <f ca="1">IF(D453="","",IF(OFFSET(D453,-1,0)&lt;&gt;"","",IF(OR(J453="リード付け",J453="巻足し",J453="巻返しリード付け"),M453,VLOOKUP(D453,契約台帳!$A$3:$O$4986,15,FALSE))))</f>
        <v>1120</v>
      </c>
      <c r="T453" s="258">
        <f ca="1">IF(D453="","",IF(J453="リード付け",N453,IF(J453="巻返しリード付け",N453,IF(J453="巻足し",N453*P453+OFFSET(N453,1,0)*OFFSET(P453,1,0),VLOOKUP(D453,契約台帳!$A$3:$P$4986,16,FALSE)))))</f>
        <v>8000</v>
      </c>
      <c r="U453" s="38">
        <v>1</v>
      </c>
      <c r="V453" s="259">
        <f ca="1">IF(D453="","",IF(OFFSET(D453,-2,0)=D453,"",VLOOKUP(D453,契約台帳!$A$3:$R$4986,18,FALSE)))</f>
        <v>2</v>
      </c>
      <c r="W453" s="256" t="str">
        <f ca="1">IF(D453="","",IF(T453="","",IF(OR(J453="巻足し",J453="巻返しリード付け"),"",IF(J453="巻返し",VLOOKUP(F453&amp;K453&amp;M453,製品マスタ!$M$5:$AD$4999,18,FALSE),IF(OR(J453="リード付け",J453="巻返しリード付け"),"原反コア",IF(J453="スリット",VLOOKUP(F453&amp;K453&amp;R453,製品マスタ!$N$5:$AD$4999,17,FALSE),""))))))</f>
        <v/>
      </c>
      <c r="X453" s="256" t="str">
        <f ca="1">IF(D453="","",IF(T453="","",IF(J453="巻足し","",IF(J453="巻返し",VLOOKUP(F453&amp;K453&amp;M453,製品マスタ!$M$5:$AE$4999,19,FALSE),IF(OR(J453="リード付け",J453="巻返しリード付け"),"",IF(J453="スリット",VLOOKUP(F453&amp;K453&amp;R453,製品マスタ!$N$5:$AE$4999,18,FALSE),""))))))</f>
        <v/>
      </c>
      <c r="Y453" s="256">
        <f ca="1">IF(D453="","",IF(T453="","",VLOOKUP(D453,契約台帳!$A$3:$Q$4986,17,FALSE)))</f>
        <v>2</v>
      </c>
      <c r="Z453" s="256" t="str">
        <f ca="1">IF(D453="","",IF(T453="","",VLOOKUP(D453,契約台帳!$A$3:$E$4986,5,FALSE)))</f>
        <v>新タック化成㈱</v>
      </c>
      <c r="AA453" s="54"/>
      <c r="AB453" s="200" t="str">
        <f>IFERROR((VLOOKUP(F453&amp;K453&amp;M453,製品マスタ!$M$5:$AM$4999,27,FALSE)),"")</f>
        <v>原反ケース再利用</v>
      </c>
      <c r="AC453" s="31"/>
      <c r="AD453" s="184"/>
      <c r="AE453" s="51"/>
      <c r="AF453" s="52"/>
      <c r="AG453" s="41"/>
      <c r="AH453" s="45"/>
      <c r="AI453" s="28"/>
      <c r="AJ453" s="28"/>
      <c r="AK453" s="28"/>
      <c r="AL453" s="28"/>
      <c r="AM453" s="12"/>
      <c r="AN453" s="12"/>
      <c r="AO453" s="12"/>
      <c r="AP453" s="12"/>
      <c r="AQ453" s="12"/>
      <c r="AR453" s="13"/>
      <c r="AS453" s="14"/>
    </row>
    <row r="454" spans="1:45" s="16" customFormat="1" ht="30.95" hidden="1" customHeight="1" x14ac:dyDescent="0.2">
      <c r="A454" s="35"/>
      <c r="B454" s="36"/>
      <c r="C454" s="43"/>
      <c r="D454" s="29"/>
      <c r="E454" s="29"/>
      <c r="F454" s="255" t="str">
        <f>IF(D454="","",VLOOKUP(D454,契約台帳!$A$3:$K$4986,6,FALSE)&amp;VLOOKUP(D454,契約台帳!$A$3:$K$4986,7,FALSE)&amp;VLOOKUP(D454,契約台帳!$A$3:$K$4986,8,FALSE)&amp;VLOOKUP(D454,契約台帳!$A$3:$K$4986,9,FALSE)&amp;VLOOKUP(D454,契約台帳!$A$3:$K$4986,11,FALSE))</f>
        <v/>
      </c>
      <c r="G454" s="256" t="str">
        <f>IF(D454="","",VLOOKUP(F454,製品マスタ!$G$5:$H$4999,2,FALSE))</f>
        <v/>
      </c>
      <c r="H454" s="256" t="str">
        <f>IF(D454="","",VLOOKUP(F454,製品マスタ!$G$5:$K$4999,5,FALSE))</f>
        <v/>
      </c>
      <c r="I454" s="200" t="str">
        <f>IF(D454="","",VLOOKUP(F454,製品マスタ!$G$5:$L$4999,6,FALSE))</f>
        <v/>
      </c>
      <c r="J454" s="203"/>
      <c r="K454" s="200" t="str">
        <f>IF(D454="","",VLOOKUP(D454,契約台帳!$A$3:$L$4986,12,FALSE))</f>
        <v/>
      </c>
      <c r="L454" s="200" t="str">
        <f>IF(D454="","",INDEX(製品マスタ!$Q$5:$Q$4999,MATCH('S4'!F454&amp;'S4'!K454,製品マスタ!$AO$5:$AO$4999,0)))</f>
        <v/>
      </c>
      <c r="M454" s="37"/>
      <c r="N454" s="37"/>
      <c r="O454" s="153"/>
      <c r="P454" s="45"/>
      <c r="Q454" s="54"/>
      <c r="R454" s="257" t="str">
        <f ca="1">IF(D454="","",IF(OFFSET(D454,-1,0)&lt;&gt;"","",IF(OR(J454="リード付け",J454="巻足し",J454="巻返しリード付け"),M454,VLOOKUP(D454,契約台帳!$A$3:$N$4986,14,FALSE))))</f>
        <v/>
      </c>
      <c r="S454" s="258" t="str">
        <f ca="1">IF(D454="","",IF(OFFSET(D454,-1,0)&lt;&gt;"","",IF(OR(J454="リード付け",J454="巻足し",J454="巻返しリード付け"),M454,VLOOKUP(D454,契約台帳!$A$3:$O$4986,15,FALSE))))</f>
        <v/>
      </c>
      <c r="T454" s="258" t="str">
        <f ca="1">IF(D454="","",IF(J454="リード付け",N454,IF(J454="巻返しリード付け",N454,IF(J454="巻足し",N454*P454+OFFSET(N454,1,0)*OFFSET(P454,1,0),VLOOKUP(D454,契約台帳!$A$3:$P$4986,16,FALSE)))))</f>
        <v/>
      </c>
      <c r="U454" s="38"/>
      <c r="V454" s="259" t="str">
        <f ca="1">IF(D454="","",IF(OFFSET(D454,-2,0)=D454,"",VLOOKUP(D454,契約台帳!$A$3:$R$4986,18,FALSE)))</f>
        <v/>
      </c>
      <c r="W454" s="256" t="str">
        <f>IF(D454="","",IF(T454="","",IF(OR(J454="巻足し",J454="巻返しリード付け"),"",IF(J454="巻返し",VLOOKUP(F454&amp;K454&amp;M454,製品マスタ!$M$5:$AD$4999,18,FALSE),IF(OR(J454="リード付け",J454="巻返しリード付け"),"原反コア",IF(J454="スリット",VLOOKUP(F454&amp;K454&amp;R454,製品マスタ!$N$5:$AD$4999,17,FALSE),""))))))</f>
        <v/>
      </c>
      <c r="X454" s="256" t="str">
        <f>IF(D454="","",IF(T454="","",IF(J454="巻足し","",IF(J454="巻返し",VLOOKUP(F454&amp;K454&amp;M454,製品マスタ!$M$5:$AE$4999,19,FALSE),IF(OR(J454="リード付け",J454="巻返しリード付け"),"",IF(J454="スリット",VLOOKUP(F454&amp;K454&amp;R454,製品マスタ!$N$5:$AE$4999,18,FALSE),""))))))</f>
        <v/>
      </c>
      <c r="Y454" s="256" t="str">
        <f>IF(D454="","",IF(T454="","",VLOOKUP(D454,契約台帳!$A$3:$Q$4986,17,FALSE)))</f>
        <v/>
      </c>
      <c r="Z454" s="256" t="str">
        <f>IF(D454="","",IF(T454="","",VLOOKUP(D454,契約台帳!$A$3:$E$4986,5,FALSE)))</f>
        <v/>
      </c>
      <c r="AA454" s="54"/>
      <c r="AB454" s="200" t="str">
        <f>IFERROR((VLOOKUP(F454&amp;K454&amp;M454,製品マスタ!$M$5:$AM$4999,27,FALSE)),"")</f>
        <v/>
      </c>
      <c r="AC454" s="31"/>
      <c r="AD454" s="184"/>
      <c r="AE454" s="51"/>
      <c r="AF454" s="52"/>
      <c r="AG454" s="41"/>
      <c r="AH454" s="45"/>
      <c r="AI454" s="28"/>
      <c r="AJ454" s="28"/>
      <c r="AK454" s="28"/>
      <c r="AL454" s="28"/>
      <c r="AM454" s="12"/>
      <c r="AN454" s="12"/>
      <c r="AO454" s="12"/>
      <c r="AP454" s="12"/>
      <c r="AQ454" s="12"/>
      <c r="AR454" s="13"/>
      <c r="AS454" s="14"/>
    </row>
    <row r="455" spans="1:45" s="16" customFormat="1" ht="30.95" hidden="1" customHeight="1" x14ac:dyDescent="0.2">
      <c r="A455" s="35" t="s">
        <v>1037</v>
      </c>
      <c r="B455" s="36" t="s">
        <v>1038</v>
      </c>
      <c r="C455" s="43"/>
      <c r="D455" s="29"/>
      <c r="E455" s="29"/>
      <c r="F455" s="255" t="str">
        <f>IF(D455="","",VLOOKUP(D455,契約台帳!$A$3:$K$4986,6,FALSE)&amp;VLOOKUP(D455,契約台帳!$A$3:$K$4986,7,FALSE)&amp;VLOOKUP(D455,契約台帳!$A$3:$K$4986,8,FALSE)&amp;VLOOKUP(D455,契約台帳!$A$3:$K$4986,9,FALSE)&amp;VLOOKUP(D455,契約台帳!$A$3:$K$4986,11,FALSE))</f>
        <v/>
      </c>
      <c r="G455" s="256" t="str">
        <f>IF(D455="","",VLOOKUP(F455,製品マスタ!$G$5:$H$4999,2,FALSE))</f>
        <v/>
      </c>
      <c r="H455" s="256" t="str">
        <f>IF(D455="","",VLOOKUP(F455,製品マスタ!$G$5:$K$4999,5,FALSE))</f>
        <v/>
      </c>
      <c r="I455" s="200" t="str">
        <f>IF(D455="","",VLOOKUP(F455,製品マスタ!$G$5:$L$4999,6,FALSE))</f>
        <v/>
      </c>
      <c r="J455" s="203" t="s">
        <v>1058</v>
      </c>
      <c r="K455" s="200" t="str">
        <f>IF(D455="","",VLOOKUP(D455,契約台帳!$A$3:$L$4986,12,FALSE))</f>
        <v/>
      </c>
      <c r="L455" s="200" t="str">
        <f>IF(D455="","",INDEX(製品マスタ!$Q$5:$Q$4999,MATCH('S4'!F455&amp;'S4'!K455,製品マスタ!$AO$5:$AO$4999,0)))</f>
        <v/>
      </c>
      <c r="M455" s="37"/>
      <c r="N455" s="37"/>
      <c r="O455" s="153"/>
      <c r="P455" s="45"/>
      <c r="Q455" s="54"/>
      <c r="R455" s="257" t="str">
        <f ca="1">IF(D455="","",IF(OFFSET(D455,-1,0)&lt;&gt;"","",IF(OR(J455="リード付け",J455="巻足し",J455="巻返しリード付け"),M455,VLOOKUP(D455,契約台帳!$A$3:$N$4986,14,FALSE))))</f>
        <v/>
      </c>
      <c r="S455" s="258" t="str">
        <f ca="1">IF(D455="","",IF(OFFSET(D455,-1,0)&lt;&gt;"","",IF(OR(J455="リード付け",J455="巻足し",J455="巻返しリード付け"),M455,VLOOKUP(D455,契約台帳!$A$3:$O$4986,15,FALSE))))</f>
        <v/>
      </c>
      <c r="T455" s="258" t="str">
        <f ca="1">IF(D455="","",IF(J455="リード付け",N455,IF(J455="巻返しリード付け",N455,IF(J455="巻足し",N455*P455+OFFSET(N455,1,0)*OFFSET(P455,1,0),VLOOKUP(D455,契約台帳!$A$3:$P$4986,16,FALSE)))))</f>
        <v/>
      </c>
      <c r="U455" s="38"/>
      <c r="V455" s="259" t="str">
        <f ca="1">IF(D455="","",IF(OFFSET(D455,-2,0)=D455,"",VLOOKUP(D455,契約台帳!$A$3:$R$4986,18,FALSE)))</f>
        <v/>
      </c>
      <c r="W455" s="256" t="str">
        <f>IF(D455="","",IF(T455="","",IF(OR(J455="巻足し",J455="巻返しリード付け"),"",IF(J455="巻返し",VLOOKUP(F455&amp;K455&amp;M455,製品マスタ!$M$5:$AD$4999,18,FALSE),IF(OR(J455="リード付け",J455="巻返しリード付け"),"原反コア",IF(J455="スリット",VLOOKUP(F455&amp;K455&amp;R455,製品マスタ!$N$5:$AD$4999,17,FALSE),""))))))</f>
        <v/>
      </c>
      <c r="X455" s="256" t="str">
        <f>IF(D455="","",IF(T455="","",IF(J455="巻足し","",IF(J455="巻返し",VLOOKUP(F455&amp;K455&amp;M455,製品マスタ!$M$5:$AE$4999,19,FALSE),IF(OR(J455="リード付け",J455="巻返しリード付け"),"",IF(J455="スリット",VLOOKUP(F455&amp;K455&amp;R455,製品マスタ!$N$5:$AE$4999,18,FALSE),""))))))</f>
        <v/>
      </c>
      <c r="Y455" s="256" t="str">
        <f>IF(D455="","",IF(T455="","",VLOOKUP(D455,契約台帳!$A$3:$Q$4986,17,FALSE)))</f>
        <v/>
      </c>
      <c r="Z455" s="256" t="str">
        <f>IF(D455="","",IF(T455="","",VLOOKUP(D455,契約台帳!$A$3:$E$4986,5,FALSE)))</f>
        <v/>
      </c>
      <c r="AA455" s="54"/>
      <c r="AB455" s="200" t="str">
        <f>IFERROR((VLOOKUP(F455&amp;K455&amp;M455,製品マスタ!$M$5:$AM$4999,27,FALSE)),"")</f>
        <v/>
      </c>
      <c r="AC455" s="31"/>
      <c r="AD455" s="184"/>
      <c r="AE455" s="51"/>
      <c r="AF455" s="52"/>
      <c r="AG455" s="41"/>
      <c r="AH455" s="45"/>
      <c r="AI455" s="28"/>
      <c r="AJ455" s="28"/>
      <c r="AK455" s="28"/>
      <c r="AL455" s="28"/>
      <c r="AM455" s="12"/>
      <c r="AN455" s="12"/>
      <c r="AO455" s="12"/>
      <c r="AP455" s="12"/>
      <c r="AQ455" s="12"/>
      <c r="AR455" s="13"/>
      <c r="AS455" s="14"/>
    </row>
    <row r="456" spans="1:45" s="16" customFormat="1" ht="30.95" hidden="1" customHeight="1" x14ac:dyDescent="0.2">
      <c r="A456" s="35"/>
      <c r="B456" s="36"/>
      <c r="C456" s="43"/>
      <c r="D456" s="29"/>
      <c r="E456" s="29"/>
      <c r="F456" s="255" t="str">
        <f>IF(D456="","",VLOOKUP(D456,契約台帳!$A$3:$K$4986,6,FALSE)&amp;VLOOKUP(D456,契約台帳!$A$3:$K$4986,7,FALSE)&amp;VLOOKUP(D456,契約台帳!$A$3:$K$4986,8,FALSE)&amp;VLOOKUP(D456,契約台帳!$A$3:$K$4986,9,FALSE)&amp;VLOOKUP(D456,契約台帳!$A$3:$K$4986,11,FALSE))</f>
        <v/>
      </c>
      <c r="G456" s="256" t="str">
        <f>IF(D456="","",VLOOKUP(F456,製品マスタ!$G$5:$H$4999,2,FALSE))</f>
        <v/>
      </c>
      <c r="H456" s="256" t="str">
        <f>IF(D456="","",VLOOKUP(F456,製品マスタ!$G$5:$K$4999,5,FALSE))</f>
        <v/>
      </c>
      <c r="I456" s="200" t="str">
        <f>IF(D456="","",VLOOKUP(F456,製品マスタ!$G$5:$L$4999,6,FALSE))</f>
        <v/>
      </c>
      <c r="J456" s="203"/>
      <c r="K456" s="200" t="str">
        <f>IF(D456="","",VLOOKUP(D456,契約台帳!$A$3:$L$4986,12,FALSE))</f>
        <v/>
      </c>
      <c r="L456" s="200" t="str">
        <f>IF(D456="","",INDEX(製品マスタ!$Q$5:$Q$4999,MATCH('S4'!F456&amp;'S4'!K456,製品マスタ!$AO$5:$AO$4999,0)))</f>
        <v/>
      </c>
      <c r="M456" s="37"/>
      <c r="N456" s="37"/>
      <c r="O456" s="153"/>
      <c r="P456" s="45"/>
      <c r="Q456" s="54"/>
      <c r="R456" s="257" t="str">
        <f ca="1">IF(D456="","",IF(OFFSET(D456,-1,0)&lt;&gt;"","",IF(OR(J456="リード付け",J456="巻足し",J456="巻返しリード付け"),M456,VLOOKUP(D456,契約台帳!$A$3:$N$4986,14,FALSE))))</f>
        <v/>
      </c>
      <c r="S456" s="258" t="str">
        <f ca="1">IF(D456="","",IF(OFFSET(D456,-1,0)&lt;&gt;"","",IF(OR(J456="リード付け",J456="巻足し",J456="巻返しリード付け"),M456,VLOOKUP(D456,契約台帳!$A$3:$O$4986,15,FALSE))))</f>
        <v/>
      </c>
      <c r="T456" s="258" t="str">
        <f ca="1">IF(D456="","",IF(J456="リード付け",N456,IF(J456="巻返しリード付け",N456,IF(J456="巻足し",N456*P456+OFFSET(N456,1,0)*OFFSET(P456,1,0),VLOOKUP(D456,契約台帳!$A$3:$P$4986,16,FALSE)))))</f>
        <v/>
      </c>
      <c r="U456" s="38"/>
      <c r="V456" s="259" t="str">
        <f ca="1">IF(D456="","",IF(OFFSET(D456,-2,0)=D456,"",VLOOKUP(D456,契約台帳!$A$3:$R$4986,18,FALSE)))</f>
        <v/>
      </c>
      <c r="W456" s="256" t="str">
        <f>IF(D456="","",IF(T456="","",IF(OR(J456="巻足し",J456="巻返しリード付け"),"",IF(J456="巻返し",VLOOKUP(F456&amp;K456&amp;M456,製品マスタ!$M$5:$AD$4999,18,FALSE),IF(OR(J456="リード付け",J456="巻返しリード付け"),"原反コア",IF(J456="スリット",VLOOKUP(F456&amp;K456&amp;R456,製品マスタ!$N$5:$AD$4999,17,FALSE),""))))))</f>
        <v/>
      </c>
      <c r="X456" s="256" t="str">
        <f>IF(D456="","",IF(T456="","",IF(J456="巻足し","",IF(J456="巻返し",VLOOKUP(F456&amp;K456&amp;M456,製品マスタ!$M$5:$AE$4999,19,FALSE),IF(OR(J456="リード付け",J456="巻返しリード付け"),"",IF(J456="スリット",VLOOKUP(F456&amp;K456&amp;R456,製品マスタ!$N$5:$AE$4999,18,FALSE),""))))))</f>
        <v/>
      </c>
      <c r="Y456" s="256" t="str">
        <f>IF(D456="","",IF(T456="","",VLOOKUP(D456,契約台帳!$A$3:$Q$4986,17,FALSE)))</f>
        <v/>
      </c>
      <c r="Z456" s="256" t="str">
        <f>IF(D456="","",IF(T456="","",VLOOKUP(D456,契約台帳!$A$3:$E$4986,5,FALSE)))</f>
        <v/>
      </c>
      <c r="AA456" s="54"/>
      <c r="AB456" s="200" t="str">
        <f>IFERROR((VLOOKUP(F456&amp;K456&amp;M456,製品マスタ!$M$5:$AM$4999,27,FALSE)),"")</f>
        <v/>
      </c>
      <c r="AC456" s="31"/>
      <c r="AD456" s="184"/>
      <c r="AE456" s="51"/>
      <c r="AF456" s="52"/>
      <c r="AG456" s="41"/>
      <c r="AH456" s="45"/>
      <c r="AI456" s="28"/>
      <c r="AJ456" s="28"/>
      <c r="AK456" s="28"/>
      <c r="AL456" s="28"/>
      <c r="AM456" s="12"/>
      <c r="AN456" s="12"/>
      <c r="AO456" s="12"/>
      <c r="AP456" s="12"/>
      <c r="AQ456" s="12"/>
      <c r="AR456" s="13"/>
      <c r="AS456" s="14"/>
    </row>
    <row r="457" spans="1:45" s="16" customFormat="1" ht="30.95" hidden="1" customHeight="1" x14ac:dyDescent="0.2">
      <c r="A457" s="35" t="s">
        <v>1039</v>
      </c>
      <c r="B457" s="36" t="s">
        <v>1040</v>
      </c>
      <c r="C457" s="43"/>
      <c r="D457" s="29"/>
      <c r="E457" s="29"/>
      <c r="F457" s="255" t="str">
        <f>IF(D457="","",VLOOKUP(D457,契約台帳!$A$3:$K$4986,6,FALSE)&amp;VLOOKUP(D457,契約台帳!$A$3:$K$4986,7,FALSE)&amp;VLOOKUP(D457,契約台帳!$A$3:$K$4986,8,FALSE)&amp;VLOOKUP(D457,契約台帳!$A$3:$K$4986,9,FALSE)&amp;VLOOKUP(D457,契約台帳!$A$3:$K$4986,11,FALSE))</f>
        <v/>
      </c>
      <c r="G457" s="256" t="str">
        <f>IF(D457="","",VLOOKUP(F457,製品マスタ!$G$5:$H$4999,2,FALSE))</f>
        <v/>
      </c>
      <c r="H457" s="256" t="str">
        <f>IF(D457="","",VLOOKUP(F457,製品マスタ!$G$5:$K$4999,5,FALSE))</f>
        <v/>
      </c>
      <c r="I457" s="200" t="str">
        <f>IF(D457="","",VLOOKUP(F457,製品マスタ!$G$5:$L$4999,6,FALSE))</f>
        <v/>
      </c>
      <c r="J457" s="203" t="s">
        <v>1058</v>
      </c>
      <c r="K457" s="200" t="str">
        <f>IF(D457="","",VLOOKUP(D457,契約台帳!$A$3:$L$4986,12,FALSE))</f>
        <v/>
      </c>
      <c r="L457" s="200" t="str">
        <f>IF(D457="","",INDEX(製品マスタ!$Q$5:$Q$4999,MATCH('S4'!F457&amp;'S4'!K457,製品マスタ!$AO$5:$AO$4999,0)))</f>
        <v/>
      </c>
      <c r="M457" s="37"/>
      <c r="N457" s="37"/>
      <c r="O457" s="153"/>
      <c r="P457" s="45"/>
      <c r="Q457" s="54"/>
      <c r="R457" s="257" t="str">
        <f ca="1">IF(D457="","",IF(OFFSET(D457,-1,0)&lt;&gt;"","",IF(OR(J457="リード付け",J457="巻足し",J457="巻返しリード付け"),M457,VLOOKUP(D457,契約台帳!$A$3:$N$4986,14,FALSE))))</f>
        <v/>
      </c>
      <c r="S457" s="258" t="str">
        <f ca="1">IF(D457="","",IF(OFFSET(D457,-1,0)&lt;&gt;"","",IF(OR(J457="リード付け",J457="巻足し",J457="巻返しリード付け"),M457,VLOOKUP(D457,契約台帳!$A$3:$O$4986,15,FALSE))))</f>
        <v/>
      </c>
      <c r="T457" s="258" t="str">
        <f ca="1">IF(D457="","",IF(J457="リード付け",N457,IF(J457="巻返しリード付け",N457,IF(J457="巻足し",N457*P457+OFFSET(N457,1,0)*OFFSET(P457,1,0),VLOOKUP(D457,契約台帳!$A$3:$P$4986,16,FALSE)))))</f>
        <v/>
      </c>
      <c r="U457" s="38"/>
      <c r="V457" s="259" t="str">
        <f ca="1">IF(D457="","",IF(OFFSET(D457,-2,0)=D457,"",VLOOKUP(D457,契約台帳!$A$3:$R$4986,18,FALSE)))</f>
        <v/>
      </c>
      <c r="W457" s="256" t="str">
        <f>IF(D457="","",IF(T457="","",IF(OR(J457="巻足し",J457="巻返しリード付け"),"",IF(J457="巻返し",VLOOKUP(F457&amp;K457&amp;M457,製品マスタ!$M$5:$AD$4999,18,FALSE),IF(OR(J457="リード付け",J457="巻返しリード付け"),"原反コア",IF(J457="スリット",VLOOKUP(F457&amp;K457&amp;R457,製品マスタ!$N$5:$AD$4999,17,FALSE),""))))))</f>
        <v/>
      </c>
      <c r="X457" s="256" t="str">
        <f>IF(D457="","",IF(T457="","",IF(J457="巻足し","",IF(J457="巻返し",VLOOKUP(F457&amp;K457&amp;M457,製品マスタ!$M$5:$AE$4999,19,FALSE),IF(OR(J457="リード付け",J457="巻返しリード付け"),"",IF(J457="スリット",VLOOKUP(F457&amp;K457&amp;R457,製品マスタ!$N$5:$AE$4999,18,FALSE),""))))))</f>
        <v/>
      </c>
      <c r="Y457" s="256" t="str">
        <f>IF(D457="","",IF(T457="","",VLOOKUP(D457,契約台帳!$A$3:$Q$4986,17,FALSE)))</f>
        <v/>
      </c>
      <c r="Z457" s="256" t="str">
        <f>IF(D457="","",IF(T457="","",VLOOKUP(D457,契約台帳!$A$3:$E$4986,5,FALSE)))</f>
        <v/>
      </c>
      <c r="AA457" s="54"/>
      <c r="AB457" s="200" t="str">
        <f>IFERROR((VLOOKUP(F457&amp;K457&amp;M457,製品マスタ!$M$5:$AM$4999,27,FALSE)),"")</f>
        <v/>
      </c>
      <c r="AC457" s="31"/>
      <c r="AD457" s="184"/>
      <c r="AE457" s="51"/>
      <c r="AF457" s="52"/>
      <c r="AG457" s="41"/>
      <c r="AH457" s="45"/>
      <c r="AI457" s="28"/>
      <c r="AJ457" s="28"/>
      <c r="AK457" s="28"/>
      <c r="AL457" s="28"/>
      <c r="AM457" s="12"/>
      <c r="AN457" s="12"/>
      <c r="AO457" s="12"/>
      <c r="AP457" s="12"/>
      <c r="AQ457" s="12"/>
      <c r="AR457" s="13"/>
      <c r="AS457" s="14"/>
    </row>
    <row r="458" spans="1:45" s="16" customFormat="1" ht="30.95" hidden="1" customHeight="1" x14ac:dyDescent="0.2">
      <c r="A458" s="35"/>
      <c r="B458" s="36"/>
      <c r="C458" s="43"/>
      <c r="D458" s="29"/>
      <c r="E458" s="29"/>
      <c r="F458" s="255" t="str">
        <f>IF(D458="","",VLOOKUP(D458,契約台帳!$A$3:$K$4986,6,FALSE)&amp;VLOOKUP(D458,契約台帳!$A$3:$K$4986,7,FALSE)&amp;VLOOKUP(D458,契約台帳!$A$3:$K$4986,8,FALSE)&amp;VLOOKUP(D458,契約台帳!$A$3:$K$4986,9,FALSE)&amp;VLOOKUP(D458,契約台帳!$A$3:$K$4986,11,FALSE))</f>
        <v/>
      </c>
      <c r="G458" s="256" t="str">
        <f>IF(D458="","",VLOOKUP(F458,製品マスタ!$G$5:$H$4999,2,FALSE))</f>
        <v/>
      </c>
      <c r="H458" s="256" t="str">
        <f>IF(D458="","",VLOOKUP(F458,製品マスタ!$G$5:$K$4999,5,FALSE))</f>
        <v/>
      </c>
      <c r="I458" s="200" t="str">
        <f>IF(D458="","",VLOOKUP(F458,製品マスタ!$G$5:$L$4999,6,FALSE))</f>
        <v/>
      </c>
      <c r="J458" s="203"/>
      <c r="K458" s="200" t="str">
        <f>IF(D458="","",VLOOKUP(D458,契約台帳!$A$3:$L$4986,12,FALSE))</f>
        <v/>
      </c>
      <c r="L458" s="200" t="str">
        <f>IF(D458="","",INDEX(製品マスタ!$Q$5:$Q$4999,MATCH('S4'!F458&amp;'S4'!K458,製品マスタ!$AO$5:$AO$4999,0)))</f>
        <v/>
      </c>
      <c r="M458" s="37"/>
      <c r="N458" s="37"/>
      <c r="O458" s="153"/>
      <c r="P458" s="45"/>
      <c r="Q458" s="54"/>
      <c r="R458" s="257" t="str">
        <f ca="1">IF(D458="","",IF(OFFSET(D458,-1,0)&lt;&gt;"","",IF(OR(J458="リード付け",J458="巻足し",J458="巻返しリード付け"),M458,VLOOKUP(D458,契約台帳!$A$3:$N$4986,14,FALSE))))</f>
        <v/>
      </c>
      <c r="S458" s="258" t="str">
        <f ca="1">IF(D458="","",IF(OFFSET(D458,-1,0)&lt;&gt;"","",IF(OR(J458="リード付け",J458="巻足し",J458="巻返しリード付け"),M458,VLOOKUP(D458,契約台帳!$A$3:$O$4986,15,FALSE))))</f>
        <v/>
      </c>
      <c r="T458" s="258" t="str">
        <f ca="1">IF(D458="","",IF(J458="リード付け",N458,IF(J458="巻返しリード付け",N458,IF(J458="巻足し",N458*P458+OFFSET(N458,1,0)*OFFSET(P458,1,0),VLOOKUP(D458,契約台帳!$A$3:$P$4986,16,FALSE)))))</f>
        <v/>
      </c>
      <c r="U458" s="38"/>
      <c r="V458" s="259" t="str">
        <f ca="1">IF(D458="","",IF(OFFSET(D458,-2,0)=D458,"",VLOOKUP(D458,契約台帳!$A$3:$R$4986,18,FALSE)))</f>
        <v/>
      </c>
      <c r="W458" s="256" t="str">
        <f>IF(D458="","",IF(T458="","",IF(OR(J458="巻足し",J458="巻返しリード付け"),"",IF(J458="巻返し",VLOOKUP(F458&amp;K458&amp;M458,製品マスタ!$M$5:$AD$4999,18,FALSE),IF(OR(J458="リード付け",J458="巻返しリード付け"),"原反コア",IF(J458="スリット",VLOOKUP(F458&amp;K458&amp;R458,製品マスタ!$N$5:$AD$4999,17,FALSE),""))))))</f>
        <v/>
      </c>
      <c r="X458" s="256" t="str">
        <f>IF(D458="","",IF(T458="","",IF(J458="巻足し","",IF(J458="巻返し",VLOOKUP(F458&amp;K458&amp;M458,製品マスタ!$M$5:$AE$4999,19,FALSE),IF(OR(J458="リード付け",J458="巻返しリード付け"),"",IF(J458="スリット",VLOOKUP(F458&amp;K458&amp;R458,製品マスタ!$N$5:$AE$4999,18,FALSE),""))))))</f>
        <v/>
      </c>
      <c r="Y458" s="256" t="str">
        <f>IF(D458="","",IF(T458="","",VLOOKUP(D458,契約台帳!$A$3:$Q$4986,17,FALSE)))</f>
        <v/>
      </c>
      <c r="Z458" s="256" t="str">
        <f>IF(D458="","",IF(T458="","",VLOOKUP(D458,契約台帳!$A$3:$E$4986,5,FALSE)))</f>
        <v/>
      </c>
      <c r="AA458" s="54"/>
      <c r="AB458" s="200" t="str">
        <f>IFERROR((VLOOKUP(F458&amp;K458&amp;M458,製品マスタ!$M$5:$AM$4999,27,FALSE)),"")</f>
        <v/>
      </c>
      <c r="AC458" s="31"/>
      <c r="AD458" s="184"/>
      <c r="AE458" s="51"/>
      <c r="AF458" s="52"/>
      <c r="AG458" s="41"/>
      <c r="AH458" s="45"/>
      <c r="AI458" s="28"/>
      <c r="AJ458" s="28"/>
      <c r="AK458" s="28"/>
      <c r="AL458" s="28"/>
      <c r="AM458" s="12"/>
      <c r="AN458" s="12"/>
      <c r="AO458" s="12"/>
      <c r="AP458" s="12"/>
      <c r="AQ458" s="12"/>
      <c r="AR458" s="13"/>
      <c r="AS458" s="14"/>
    </row>
    <row r="459" spans="1:45" s="16" customFormat="1" ht="30.95" hidden="1" customHeight="1" x14ac:dyDescent="0.2">
      <c r="A459" s="35" t="s">
        <v>1041</v>
      </c>
      <c r="B459" s="36" t="s">
        <v>1042</v>
      </c>
      <c r="C459" s="43"/>
      <c r="D459" s="29"/>
      <c r="E459" s="29"/>
      <c r="F459" s="255" t="str">
        <f>IF(D459="","",VLOOKUP(D459,契約台帳!$A$3:$K$4986,6,FALSE)&amp;VLOOKUP(D459,契約台帳!$A$3:$K$4986,7,FALSE)&amp;VLOOKUP(D459,契約台帳!$A$3:$K$4986,8,FALSE)&amp;VLOOKUP(D459,契約台帳!$A$3:$K$4986,9,FALSE)&amp;VLOOKUP(D459,契約台帳!$A$3:$K$4986,11,FALSE))</f>
        <v/>
      </c>
      <c r="G459" s="256" t="str">
        <f>IF(D459="","",VLOOKUP(F459,製品マスタ!$G$5:$H$4999,2,FALSE))</f>
        <v/>
      </c>
      <c r="H459" s="256" t="str">
        <f>IF(D459="","",VLOOKUP(F459,製品マスタ!$G$5:$K$4999,5,FALSE))</f>
        <v/>
      </c>
      <c r="I459" s="200" t="str">
        <f>IF(D459="","",VLOOKUP(F459,製品マスタ!$G$5:$L$4999,6,FALSE))</f>
        <v/>
      </c>
      <c r="J459" s="203" t="s">
        <v>1058</v>
      </c>
      <c r="K459" s="200" t="str">
        <f>IF(D459="","",VLOOKUP(D459,契約台帳!$A$3:$L$4986,12,FALSE))</f>
        <v/>
      </c>
      <c r="L459" s="200" t="str">
        <f>IF(D459="","",INDEX(製品マスタ!$Q$5:$Q$4999,MATCH('S4'!F459&amp;'S4'!K459,製品マスタ!$AO$5:$AO$4999,0)))</f>
        <v/>
      </c>
      <c r="M459" s="37"/>
      <c r="N459" s="37"/>
      <c r="O459" s="153"/>
      <c r="P459" s="45"/>
      <c r="Q459" s="54"/>
      <c r="R459" s="257" t="str">
        <f ca="1">IF(D459="","",IF(OFFSET(D459,-1,0)&lt;&gt;"","",IF(OR(J459="リード付け",J459="巻足し",J459="巻返しリード付け"),M459,VLOOKUP(D459,契約台帳!$A$3:$N$4986,14,FALSE))))</f>
        <v/>
      </c>
      <c r="S459" s="258" t="str">
        <f ca="1">IF(D459="","",IF(OFFSET(D459,-1,0)&lt;&gt;"","",IF(OR(J459="リード付け",J459="巻足し",J459="巻返しリード付け"),M459,VLOOKUP(D459,契約台帳!$A$3:$O$4986,15,FALSE))))</f>
        <v/>
      </c>
      <c r="T459" s="258" t="str">
        <f ca="1">IF(D459="","",IF(J459="リード付け",N459,IF(J459="巻返しリード付け",N459,IF(J459="巻足し",N459*P459+OFFSET(N459,1,0)*OFFSET(P459,1,0),VLOOKUP(D459,契約台帳!$A$3:$P$4986,16,FALSE)))))</f>
        <v/>
      </c>
      <c r="U459" s="38"/>
      <c r="V459" s="259" t="str">
        <f ca="1">IF(D459="","",IF(OFFSET(D459,-2,0)=D459,"",VLOOKUP(D459,契約台帳!$A$3:$R$4986,18,FALSE)))</f>
        <v/>
      </c>
      <c r="W459" s="256" t="str">
        <f>IF(D459="","",IF(T459="","",IF(OR(J459="巻足し",J459="巻返しリード付け"),"",IF(J459="巻返し",VLOOKUP(F459&amp;K459&amp;M459,製品マスタ!$M$5:$AD$4999,18,FALSE),IF(OR(J459="リード付け",J459="巻返しリード付け"),"原反コア",IF(J459="スリット",VLOOKUP(F459&amp;K459&amp;R459,製品マスタ!$N$5:$AD$4999,17,FALSE),""))))))</f>
        <v/>
      </c>
      <c r="X459" s="256" t="str">
        <f>IF(D459="","",IF(T459="","",IF(J459="巻足し","",IF(J459="巻返し",VLOOKUP(F459&amp;K459&amp;M459,製品マスタ!$M$5:$AE$4999,19,FALSE),IF(OR(J459="リード付け",J459="巻返しリード付け"),"",IF(J459="スリット",VLOOKUP(F459&amp;K459&amp;R459,製品マスタ!$N$5:$AE$4999,18,FALSE),""))))))</f>
        <v/>
      </c>
      <c r="Y459" s="256" t="str">
        <f>IF(D459="","",IF(T459="","",VLOOKUP(D459,契約台帳!$A$3:$Q$4986,17,FALSE)))</f>
        <v/>
      </c>
      <c r="Z459" s="256" t="str">
        <f>IF(D459="","",IF(T459="","",VLOOKUP(D459,契約台帳!$A$3:$E$4986,5,FALSE)))</f>
        <v/>
      </c>
      <c r="AA459" s="54"/>
      <c r="AB459" s="200" t="str">
        <f>IFERROR((VLOOKUP(F459&amp;K459&amp;M459,製品マスタ!$M$5:$AM$4999,27,FALSE)),"")</f>
        <v/>
      </c>
      <c r="AC459" s="31"/>
      <c r="AD459" s="184"/>
      <c r="AE459" s="51"/>
      <c r="AF459" s="52"/>
      <c r="AG459" s="41"/>
      <c r="AH459" s="45"/>
      <c r="AI459" s="28"/>
      <c r="AJ459" s="28"/>
      <c r="AK459" s="28"/>
      <c r="AL459" s="28"/>
      <c r="AM459" s="12"/>
      <c r="AN459" s="12"/>
      <c r="AO459" s="12"/>
      <c r="AP459" s="12"/>
      <c r="AQ459" s="12"/>
      <c r="AR459" s="13"/>
      <c r="AS459" s="14"/>
    </row>
    <row r="460" spans="1:45" s="16" customFormat="1" ht="30.95" hidden="1" customHeight="1" x14ac:dyDescent="0.2">
      <c r="A460" s="35"/>
      <c r="B460" s="36"/>
      <c r="C460" s="43"/>
      <c r="D460" s="29"/>
      <c r="E460" s="29"/>
      <c r="F460" s="255" t="str">
        <f>IF(D460="","",VLOOKUP(D460,契約台帳!$A$3:$K$4986,6,FALSE)&amp;VLOOKUP(D460,契約台帳!$A$3:$K$4986,7,FALSE)&amp;VLOOKUP(D460,契約台帳!$A$3:$K$4986,8,FALSE)&amp;VLOOKUP(D460,契約台帳!$A$3:$K$4986,9,FALSE)&amp;VLOOKUP(D460,契約台帳!$A$3:$K$4986,11,FALSE))</f>
        <v/>
      </c>
      <c r="G460" s="256" t="str">
        <f>IF(D460="","",VLOOKUP(F460,製品マスタ!$G$5:$H$4999,2,FALSE))</f>
        <v/>
      </c>
      <c r="H460" s="256" t="str">
        <f>IF(D460="","",VLOOKUP(F460,製品マスタ!$G$5:$K$4999,5,FALSE))</f>
        <v/>
      </c>
      <c r="I460" s="200" t="str">
        <f>IF(D460="","",VLOOKUP(F460,製品マスタ!$G$5:$L$4999,6,FALSE))</f>
        <v/>
      </c>
      <c r="J460" s="203"/>
      <c r="K460" s="200" t="str">
        <f>IF(D460="","",VLOOKUP(D460,契約台帳!$A$3:$L$4986,12,FALSE))</f>
        <v/>
      </c>
      <c r="L460" s="200" t="str">
        <f>IF(D460="","",INDEX(製品マスタ!$Q$5:$Q$4999,MATCH('S4'!F460&amp;'S4'!K460,製品マスタ!$AO$5:$AO$4999,0)))</f>
        <v/>
      </c>
      <c r="M460" s="37"/>
      <c r="N460" s="37"/>
      <c r="O460" s="153"/>
      <c r="P460" s="45"/>
      <c r="Q460" s="54"/>
      <c r="R460" s="257" t="str">
        <f ca="1">IF(D460="","",IF(OFFSET(D460,-1,0)&lt;&gt;"","",IF(OR(J460="リード付け",J460="巻足し",J460="巻返しリード付け"),M460,VLOOKUP(D460,契約台帳!$A$3:$N$4986,14,FALSE))))</f>
        <v/>
      </c>
      <c r="S460" s="258" t="str">
        <f ca="1">IF(D460="","",IF(OFFSET(D460,-1,0)&lt;&gt;"","",IF(OR(J460="リード付け",J460="巻足し",J460="巻返しリード付け"),M460,VLOOKUP(D460,契約台帳!$A$3:$O$4986,15,FALSE))))</f>
        <v/>
      </c>
      <c r="T460" s="258" t="str">
        <f ca="1">IF(D460="","",IF(J460="リード付け",N460,IF(J460="巻返しリード付け",N460,IF(J460="巻足し",N460*P460+OFFSET(N460,1,0)*OFFSET(P460,1,0),VLOOKUP(D460,契約台帳!$A$3:$P$4986,16,FALSE)))))</f>
        <v/>
      </c>
      <c r="U460" s="38"/>
      <c r="V460" s="259" t="str">
        <f ca="1">IF(D460="","",IF(OFFSET(D460,-2,0)=D460,"",VLOOKUP(D460,契約台帳!$A$3:$R$4986,18,FALSE)))</f>
        <v/>
      </c>
      <c r="W460" s="256" t="str">
        <f>IF(D460="","",IF(T460="","",IF(OR(J460="巻足し",J460="巻返しリード付け"),"",IF(J460="巻返し",VLOOKUP(F460&amp;K460&amp;M460,製品マスタ!$M$5:$AD$4999,18,FALSE),IF(OR(J460="リード付け",J460="巻返しリード付け"),"原反コア",IF(J460="スリット",VLOOKUP(F460&amp;K460&amp;R460,製品マスタ!$N$5:$AD$4999,17,FALSE),""))))))</f>
        <v/>
      </c>
      <c r="X460" s="256" t="str">
        <f>IF(D460="","",IF(T460="","",IF(J460="巻足し","",IF(J460="巻返し",VLOOKUP(F460&amp;K460&amp;M460,製品マスタ!$M$5:$AE$4999,19,FALSE),IF(OR(J460="リード付け",J460="巻返しリード付け"),"",IF(J460="スリット",VLOOKUP(F460&amp;K460&amp;R460,製品マスタ!$N$5:$AE$4999,18,FALSE),""))))))</f>
        <v/>
      </c>
      <c r="Y460" s="256" t="str">
        <f>IF(D460="","",IF(T460="","",VLOOKUP(D460,契約台帳!$A$3:$Q$4986,17,FALSE)))</f>
        <v/>
      </c>
      <c r="Z460" s="256" t="str">
        <f>IF(D460="","",IF(T460="","",VLOOKUP(D460,契約台帳!$A$3:$E$4986,5,FALSE)))</f>
        <v/>
      </c>
      <c r="AA460" s="54"/>
      <c r="AB460" s="200" t="str">
        <f>IFERROR((VLOOKUP(F460&amp;K460&amp;M460,製品マスタ!$M$5:$AM$4999,27,FALSE)),"")</f>
        <v/>
      </c>
      <c r="AC460" s="31"/>
      <c r="AD460" s="184"/>
      <c r="AE460" s="51"/>
      <c r="AF460" s="52"/>
      <c r="AG460" s="41"/>
      <c r="AH460" s="45"/>
      <c r="AI460" s="28"/>
      <c r="AJ460" s="28"/>
      <c r="AK460" s="28"/>
      <c r="AL460" s="28"/>
      <c r="AM460" s="12"/>
      <c r="AN460" s="12"/>
      <c r="AO460" s="12"/>
      <c r="AP460" s="12"/>
      <c r="AQ460" s="12"/>
      <c r="AR460" s="13"/>
      <c r="AS460" s="14"/>
    </row>
    <row r="461" spans="1:45" s="16" customFormat="1" ht="30.95" hidden="1" customHeight="1" x14ac:dyDescent="0.2">
      <c r="A461" s="35" t="s">
        <v>1043</v>
      </c>
      <c r="B461" s="36" t="s">
        <v>1044</v>
      </c>
      <c r="C461" s="43"/>
      <c r="D461" s="29"/>
      <c r="E461" s="29"/>
      <c r="F461" s="255" t="str">
        <f>IF(D461="","",VLOOKUP(D461,契約台帳!$A$3:$K$4986,6,FALSE)&amp;VLOOKUP(D461,契約台帳!$A$3:$K$4986,7,FALSE)&amp;VLOOKUP(D461,契約台帳!$A$3:$K$4986,8,FALSE)&amp;VLOOKUP(D461,契約台帳!$A$3:$K$4986,9,FALSE)&amp;VLOOKUP(D461,契約台帳!$A$3:$K$4986,11,FALSE))</f>
        <v/>
      </c>
      <c r="G461" s="256" t="str">
        <f>IF(D461="","",VLOOKUP(F461,製品マスタ!$G$5:$H$4999,2,FALSE))</f>
        <v/>
      </c>
      <c r="H461" s="256" t="str">
        <f>IF(D461="","",VLOOKUP(F461,製品マスタ!$G$5:$K$4999,5,FALSE))</f>
        <v/>
      </c>
      <c r="I461" s="200" t="str">
        <f>IF(D461="","",VLOOKUP(F461,製品マスタ!$G$5:$L$4999,6,FALSE))</f>
        <v/>
      </c>
      <c r="J461" s="203" t="s">
        <v>448</v>
      </c>
      <c r="K461" s="200" t="str">
        <f>IF(D461="","",VLOOKUP(D461,契約台帳!$A$3:$L$4986,12,FALSE))</f>
        <v/>
      </c>
      <c r="L461" s="200" t="str">
        <f>IF(D461="","",INDEX(製品マスタ!$Q$5:$Q$4999,MATCH('S4'!F461&amp;'S4'!K461,製品マスタ!$AO$5:$AO$4999,0)))</f>
        <v/>
      </c>
      <c r="M461" s="37"/>
      <c r="N461" s="37"/>
      <c r="O461" s="153"/>
      <c r="P461" s="45"/>
      <c r="Q461" s="54"/>
      <c r="R461" s="257" t="str">
        <f ca="1">IF(D461="","",IF(OFFSET(D461,-1,0)&lt;&gt;"","",IF(OR(J461="リード付け",J461="巻足し",J461="巻返しリード付け"),M461,VLOOKUP(D461,契約台帳!$A$3:$N$4986,14,FALSE))))</f>
        <v/>
      </c>
      <c r="S461" s="258" t="str">
        <f ca="1">IF(D461="","",IF(OFFSET(D461,-1,0)&lt;&gt;"","",IF(OR(J461="リード付け",J461="巻足し",J461="巻返しリード付け"),M461,VLOOKUP(D461,契約台帳!$A$3:$O$4986,15,FALSE))))</f>
        <v/>
      </c>
      <c r="T461" s="258" t="str">
        <f ca="1">IF(D461="","",IF(J461="リード付け",N461,IF(J461="巻返しリード付け",N461,IF(J461="巻足し",N461*P461+OFFSET(N461,1,0)*OFFSET(P461,1,0),VLOOKUP(D461,契約台帳!$A$3:$P$4986,16,FALSE)))))</f>
        <v/>
      </c>
      <c r="U461" s="38"/>
      <c r="V461" s="259" t="str">
        <f ca="1">IF(D461="","",IF(OFFSET(D461,-2,0)=D461,"",VLOOKUP(D461,契約台帳!$A$3:$R$4986,18,FALSE)))</f>
        <v/>
      </c>
      <c r="W461" s="256" t="str">
        <f>IF(D461="","",IF(T461="","",IF(OR(J461="巻足し",J461="巻返しリード付け"),"",IF(J461="巻返し",VLOOKUP(F461&amp;K461&amp;M461,製品マスタ!$M$5:$AD$4999,18,FALSE),IF(OR(J461="リード付け",J461="巻返しリード付け"),"原反コア",IF(J461="スリット",VLOOKUP(F461&amp;K461&amp;R461,製品マスタ!$N$5:$AD$4999,17,FALSE),""))))))</f>
        <v/>
      </c>
      <c r="X461" s="256" t="str">
        <f>IF(D461="","",IF(T461="","",IF(J461="巻足し","",IF(J461="巻返し",VLOOKUP(F461&amp;K461&amp;M461,製品マスタ!$M$5:$AE$4999,19,FALSE),IF(OR(J461="リード付け",J461="巻返しリード付け"),"",IF(J461="スリット",VLOOKUP(F461&amp;K461&amp;R461,製品マスタ!$N$5:$AE$4999,18,FALSE),""))))))</f>
        <v/>
      </c>
      <c r="Y461" s="256" t="str">
        <f>IF(D461="","",IF(T461="","",VLOOKUP(D461,契約台帳!$A$3:$Q$4986,17,FALSE)))</f>
        <v/>
      </c>
      <c r="Z461" s="256" t="str">
        <f>IF(D461="","",IF(T461="","",VLOOKUP(D461,契約台帳!$A$3:$E$4986,5,FALSE)))</f>
        <v/>
      </c>
      <c r="AA461" s="54"/>
      <c r="AB461" s="200" t="str">
        <f>IFERROR((VLOOKUP(F461&amp;K461&amp;M461,製品マスタ!$M$5:$AM$4999,27,FALSE)),"")</f>
        <v/>
      </c>
      <c r="AC461" s="31"/>
      <c r="AD461" s="184"/>
      <c r="AE461" s="51"/>
      <c r="AF461" s="52"/>
      <c r="AG461" s="41"/>
      <c r="AH461" s="45"/>
      <c r="AI461" s="28"/>
      <c r="AJ461" s="28"/>
      <c r="AK461" s="28"/>
      <c r="AL461" s="28"/>
      <c r="AM461" s="12"/>
      <c r="AN461" s="12"/>
      <c r="AO461" s="12"/>
      <c r="AP461" s="12"/>
      <c r="AQ461" s="12"/>
      <c r="AR461" s="13"/>
      <c r="AS461" s="14"/>
    </row>
    <row r="462" spans="1:45" s="16" customFormat="1" ht="30.95" hidden="1" customHeight="1" x14ac:dyDescent="0.2">
      <c r="A462" s="35"/>
      <c r="B462" s="36"/>
      <c r="C462" s="43"/>
      <c r="D462" s="29"/>
      <c r="E462" s="29"/>
      <c r="F462" s="255" t="str">
        <f>IF(D462="","",VLOOKUP(D462,契約台帳!$A$3:$K$4986,6,FALSE)&amp;VLOOKUP(D462,契約台帳!$A$3:$K$4986,7,FALSE)&amp;VLOOKUP(D462,契約台帳!$A$3:$K$4986,8,FALSE)&amp;VLOOKUP(D462,契約台帳!$A$3:$K$4986,9,FALSE)&amp;VLOOKUP(D462,契約台帳!$A$3:$K$4986,11,FALSE))</f>
        <v/>
      </c>
      <c r="G462" s="256" t="str">
        <f>IF(D462="","",VLOOKUP(F462,製品マスタ!$G$5:$H$4999,2,FALSE))</f>
        <v/>
      </c>
      <c r="H462" s="256" t="str">
        <f>IF(D462="","",VLOOKUP(F462,製品マスタ!$G$5:$K$4999,5,FALSE))</f>
        <v/>
      </c>
      <c r="I462" s="200" t="str">
        <f>IF(D462="","",VLOOKUP(F462,製品マスタ!$G$5:$L$4999,6,FALSE))</f>
        <v/>
      </c>
      <c r="J462" s="203"/>
      <c r="K462" s="200" t="str">
        <f>IF(D462="","",VLOOKUP(D462,契約台帳!$A$3:$L$4986,12,FALSE))</f>
        <v/>
      </c>
      <c r="L462" s="200" t="str">
        <f>IF(D462="","",INDEX(製品マスタ!$Q$5:$Q$4999,MATCH('S4'!F462&amp;'S4'!K462,製品マスタ!$AO$5:$AO$4999,0)))</f>
        <v/>
      </c>
      <c r="M462" s="37"/>
      <c r="N462" s="37"/>
      <c r="O462" s="153"/>
      <c r="P462" s="45"/>
      <c r="Q462" s="54"/>
      <c r="R462" s="257" t="str">
        <f ca="1">IF(D462="","",IF(OFFSET(D462,-1,0)&lt;&gt;"","",IF(OR(J462="リード付け",J462="巻足し",J462="巻返しリード付け"),M462,VLOOKUP(D462,契約台帳!$A$3:$N$4986,14,FALSE))))</f>
        <v/>
      </c>
      <c r="S462" s="258" t="str">
        <f ca="1">IF(D462="","",IF(OFFSET(D462,-1,0)&lt;&gt;"","",IF(OR(J462="リード付け",J462="巻足し",J462="巻返しリード付け"),M462,VLOOKUP(D462,契約台帳!$A$3:$O$4986,15,FALSE))))</f>
        <v/>
      </c>
      <c r="T462" s="258" t="str">
        <f ca="1">IF(D462="","",IF(J462="リード付け",N462,IF(J462="巻返しリード付け",N462,IF(J462="巻足し",N462*P462+OFFSET(N462,1,0)*OFFSET(P462,1,0),VLOOKUP(D462,契約台帳!$A$3:$P$4986,16,FALSE)))))</f>
        <v/>
      </c>
      <c r="U462" s="38"/>
      <c r="V462" s="259" t="str">
        <f ca="1">IF(D462="","",IF(OFFSET(D462,-2,0)=D462,"",VLOOKUP(D462,契約台帳!$A$3:$R$4986,18,FALSE)))</f>
        <v/>
      </c>
      <c r="W462" s="256" t="str">
        <f>IF(D462="","",IF(T462="","",IF(OR(J462="巻足し",J462="巻返しリード付け"),"",IF(J462="巻返し",VLOOKUP(F462&amp;K462&amp;M462,製品マスタ!$M$5:$AD$4999,18,FALSE),IF(OR(J462="リード付け",J462="巻返しリード付け"),"原反コア",IF(J462="スリット",VLOOKUP(F462&amp;K462&amp;R462,製品マスタ!$N$5:$AD$4999,17,FALSE),""))))))</f>
        <v/>
      </c>
      <c r="X462" s="256" t="str">
        <f>IF(D462="","",IF(T462="","",IF(J462="巻足し","",IF(J462="巻返し",VLOOKUP(F462&amp;K462&amp;M462,製品マスタ!$M$5:$AE$4999,19,FALSE),IF(OR(J462="リード付け",J462="巻返しリード付け"),"",IF(J462="スリット",VLOOKUP(F462&amp;K462&amp;R462,製品マスタ!$N$5:$AE$4999,18,FALSE),""))))))</f>
        <v/>
      </c>
      <c r="Y462" s="256" t="str">
        <f>IF(D462="","",IF(T462="","",VLOOKUP(D462,契約台帳!$A$3:$Q$4986,17,FALSE)))</f>
        <v/>
      </c>
      <c r="Z462" s="256" t="str">
        <f>IF(D462="","",IF(T462="","",VLOOKUP(D462,契約台帳!$A$3:$E$4986,5,FALSE)))</f>
        <v/>
      </c>
      <c r="AA462" s="54"/>
      <c r="AB462" s="200" t="str">
        <f>IFERROR((VLOOKUP(F462&amp;K462&amp;M462,製品マスタ!$M$5:$AM$4999,27,FALSE)),"")</f>
        <v/>
      </c>
      <c r="AC462" s="31"/>
      <c r="AD462" s="184"/>
      <c r="AE462" s="51"/>
      <c r="AF462" s="52"/>
      <c r="AG462" s="41"/>
      <c r="AH462" s="45"/>
      <c r="AI462" s="28"/>
      <c r="AJ462" s="28"/>
      <c r="AK462" s="28"/>
      <c r="AL462" s="28"/>
      <c r="AM462" s="12"/>
      <c r="AN462" s="12"/>
      <c r="AO462" s="12"/>
      <c r="AP462" s="12"/>
      <c r="AQ462" s="12"/>
      <c r="AR462" s="13"/>
      <c r="AS462" s="14"/>
    </row>
    <row r="463" spans="1:45" s="16" customFormat="1" ht="30.95" hidden="1" customHeight="1" x14ac:dyDescent="0.2">
      <c r="A463" s="35" t="s">
        <v>1045</v>
      </c>
      <c r="B463" s="36" t="s">
        <v>1046</v>
      </c>
      <c r="C463" s="43"/>
      <c r="D463" s="29"/>
      <c r="E463" s="29"/>
      <c r="F463" s="255" t="str">
        <f>IF(D463="","",VLOOKUP(D463,契約台帳!$A$3:$K$4986,6,FALSE)&amp;VLOOKUP(D463,契約台帳!$A$3:$K$4986,7,FALSE)&amp;VLOOKUP(D463,契約台帳!$A$3:$K$4986,8,FALSE)&amp;VLOOKUP(D463,契約台帳!$A$3:$K$4986,9,FALSE)&amp;VLOOKUP(D463,契約台帳!$A$3:$K$4986,11,FALSE))</f>
        <v/>
      </c>
      <c r="G463" s="256" t="str">
        <f>IF(D463="","",VLOOKUP(F463,製品マスタ!$G$5:$H$4999,2,FALSE))</f>
        <v/>
      </c>
      <c r="H463" s="256" t="str">
        <f>IF(D463="","",VLOOKUP(F463,製品マスタ!$G$5:$K$4999,5,FALSE))</f>
        <v/>
      </c>
      <c r="I463" s="200" t="str">
        <f>IF(D463="","",VLOOKUP(F463,製品マスタ!$G$5:$L$4999,6,FALSE))</f>
        <v/>
      </c>
      <c r="J463" s="203" t="s">
        <v>448</v>
      </c>
      <c r="K463" s="200" t="str">
        <f>IF(D463="","",VLOOKUP(D463,契約台帳!$A$3:$L$4986,12,FALSE))</f>
        <v/>
      </c>
      <c r="L463" s="200" t="str">
        <f>IF(D463="","",INDEX(製品マスタ!$Q$5:$Q$4999,MATCH('S4'!F463&amp;'S4'!K463,製品マスタ!$AO$5:$AO$4999,0)))</f>
        <v/>
      </c>
      <c r="M463" s="37"/>
      <c r="N463" s="37"/>
      <c r="O463" s="153"/>
      <c r="P463" s="45"/>
      <c r="Q463" s="54"/>
      <c r="R463" s="257" t="str">
        <f ca="1">IF(D463="","",IF(OFFSET(D463,-1,0)&lt;&gt;"","",IF(OR(J463="リード付け",J463="巻足し",J463="巻返しリード付け"),M463,VLOOKUP(D463,契約台帳!$A$3:$N$4986,14,FALSE))))</f>
        <v/>
      </c>
      <c r="S463" s="258" t="str">
        <f ca="1">IF(D463="","",IF(OFFSET(D463,-1,0)&lt;&gt;"","",IF(OR(J463="リード付け",J463="巻足し",J463="巻返しリード付け"),M463,VLOOKUP(D463,契約台帳!$A$3:$O$4986,15,FALSE))))</f>
        <v/>
      </c>
      <c r="T463" s="258" t="str">
        <f ca="1">IF(D463="","",IF(J463="リード付け",N463,IF(J463="巻返しリード付け",N463,IF(J463="巻足し",N463*P463+OFFSET(N463,1,0)*OFFSET(P463,1,0),VLOOKUP(D463,契約台帳!$A$3:$P$4986,16,FALSE)))))</f>
        <v/>
      </c>
      <c r="U463" s="38"/>
      <c r="V463" s="259" t="str">
        <f ca="1">IF(D463="","",IF(OFFSET(D463,-2,0)=D463,"",VLOOKUP(D463,契約台帳!$A$3:$R$4986,18,FALSE)))</f>
        <v/>
      </c>
      <c r="W463" s="256" t="str">
        <f>IF(D463="","",IF(T463="","",IF(OR(J463="巻足し",J463="巻返しリード付け"),"",IF(J463="巻返し",VLOOKUP(F463&amp;K463&amp;M463,製品マスタ!$M$5:$AD$4999,18,FALSE),IF(OR(J463="リード付け",J463="巻返しリード付け"),"原反コア",IF(J463="スリット",VLOOKUP(F463&amp;K463&amp;R463,製品マスタ!$N$5:$AD$4999,17,FALSE),""))))))</f>
        <v/>
      </c>
      <c r="X463" s="256" t="str">
        <f>IF(D463="","",IF(T463="","",IF(J463="巻足し","",IF(J463="巻返し",VLOOKUP(F463&amp;K463&amp;M463,製品マスタ!$M$5:$AE$4999,19,FALSE),IF(OR(J463="リード付け",J463="巻返しリード付け"),"",IF(J463="スリット",VLOOKUP(F463&amp;K463&amp;R463,製品マスタ!$N$5:$AE$4999,18,FALSE),""))))))</f>
        <v/>
      </c>
      <c r="Y463" s="256" t="str">
        <f>IF(D463="","",IF(T463="","",VLOOKUP(D463,契約台帳!$A$3:$Q$4986,17,FALSE)))</f>
        <v/>
      </c>
      <c r="Z463" s="256" t="str">
        <f>IF(D463="","",IF(T463="","",VLOOKUP(D463,契約台帳!$A$3:$E$4986,5,FALSE)))</f>
        <v/>
      </c>
      <c r="AA463" s="54"/>
      <c r="AB463" s="200" t="str">
        <f>IFERROR((VLOOKUP(F463&amp;K463&amp;M463,製品マスタ!$M$5:$AM$4999,27,FALSE)),"")</f>
        <v/>
      </c>
      <c r="AC463" s="31"/>
      <c r="AD463" s="184"/>
      <c r="AE463" s="51"/>
      <c r="AF463" s="52"/>
      <c r="AG463" s="41"/>
      <c r="AH463" s="45"/>
      <c r="AI463" s="28"/>
      <c r="AJ463" s="28"/>
      <c r="AK463" s="28"/>
      <c r="AL463" s="28"/>
      <c r="AM463" s="12"/>
      <c r="AN463" s="12"/>
      <c r="AO463" s="12"/>
      <c r="AP463" s="12"/>
      <c r="AQ463" s="12"/>
      <c r="AR463" s="13"/>
      <c r="AS463" s="14"/>
    </row>
    <row r="464" spans="1:45" s="16" customFormat="1" ht="30.95" hidden="1" customHeight="1" x14ac:dyDescent="0.2">
      <c r="A464" s="35"/>
      <c r="B464" s="36"/>
      <c r="C464" s="43"/>
      <c r="D464" s="29"/>
      <c r="E464" s="29"/>
      <c r="F464" s="255" t="str">
        <f>IF(D464="","",VLOOKUP(D464,契約台帳!$A$3:$K$4986,6,FALSE)&amp;VLOOKUP(D464,契約台帳!$A$3:$K$4986,7,FALSE)&amp;VLOOKUP(D464,契約台帳!$A$3:$K$4986,8,FALSE)&amp;VLOOKUP(D464,契約台帳!$A$3:$K$4986,9,FALSE)&amp;VLOOKUP(D464,契約台帳!$A$3:$K$4986,11,FALSE))</f>
        <v/>
      </c>
      <c r="G464" s="256" t="str">
        <f>IF(D464="","",VLOOKUP(F464,製品マスタ!$G$5:$H$4999,2,FALSE))</f>
        <v/>
      </c>
      <c r="H464" s="256" t="str">
        <f>IF(D464="","",VLOOKUP(F464,製品マスタ!$G$5:$K$4999,5,FALSE))</f>
        <v/>
      </c>
      <c r="I464" s="200" t="str">
        <f>IF(D464="","",VLOOKUP(F464,製品マスタ!$G$5:$L$4999,6,FALSE))</f>
        <v/>
      </c>
      <c r="J464" s="203"/>
      <c r="K464" s="200" t="str">
        <f>IF(D464="","",VLOOKUP(D464,契約台帳!$A$3:$L$4986,12,FALSE))</f>
        <v/>
      </c>
      <c r="L464" s="200" t="str">
        <f>IF(D464="","",INDEX(製品マスタ!$Q$5:$Q$4999,MATCH('S4'!F464&amp;'S4'!K464,製品マスタ!$AO$5:$AO$4999,0)))</f>
        <v/>
      </c>
      <c r="M464" s="37"/>
      <c r="N464" s="37"/>
      <c r="O464" s="153"/>
      <c r="P464" s="45"/>
      <c r="Q464" s="54"/>
      <c r="R464" s="257" t="str">
        <f ca="1">IF(D464="","",IF(OFFSET(D464,-1,0)&lt;&gt;"","",IF(OR(J464="リード付け",J464="巻足し",J464="巻返しリード付け"),M464,VLOOKUP(D464,契約台帳!$A$3:$N$4986,14,FALSE))))</f>
        <v/>
      </c>
      <c r="S464" s="258" t="str">
        <f ca="1">IF(D464="","",IF(OFFSET(D464,-1,0)&lt;&gt;"","",IF(OR(J464="リード付け",J464="巻足し",J464="巻返しリード付け"),M464,VLOOKUP(D464,契約台帳!$A$3:$O$4986,15,FALSE))))</f>
        <v/>
      </c>
      <c r="T464" s="258" t="str">
        <f ca="1">IF(D464="","",IF(J464="リード付け",N464,IF(J464="巻返しリード付け",N464,IF(J464="巻足し",N464*P464+OFFSET(N464,1,0)*OFFSET(P464,1,0),VLOOKUP(D464,契約台帳!$A$3:$P$4986,16,FALSE)))))</f>
        <v/>
      </c>
      <c r="U464" s="38"/>
      <c r="V464" s="259" t="str">
        <f ca="1">IF(D464="","",IF(OFFSET(D464,-2,0)=D464,"",VLOOKUP(D464,契約台帳!$A$3:$R$4986,18,FALSE)))</f>
        <v/>
      </c>
      <c r="W464" s="256" t="str">
        <f>IF(D464="","",IF(T464="","",IF(OR(J464="巻足し",J464="巻返しリード付け"),"",IF(J464="巻返し",VLOOKUP(F464&amp;K464&amp;M464,製品マスタ!$M$5:$AD$4999,18,FALSE),IF(OR(J464="リード付け",J464="巻返しリード付け"),"原反コア",IF(J464="スリット",VLOOKUP(F464&amp;K464&amp;R464,製品マスタ!$N$5:$AD$4999,17,FALSE),""))))))</f>
        <v/>
      </c>
      <c r="X464" s="256" t="str">
        <f>IF(D464="","",IF(T464="","",IF(J464="巻足し","",IF(J464="巻返し",VLOOKUP(F464&amp;K464&amp;M464,製品マスタ!$M$5:$AE$4999,19,FALSE),IF(OR(J464="リード付け",J464="巻返しリード付け"),"",IF(J464="スリット",VLOOKUP(F464&amp;K464&amp;R464,製品マスタ!$N$5:$AE$4999,18,FALSE),""))))))</f>
        <v/>
      </c>
      <c r="Y464" s="256" t="str">
        <f>IF(D464="","",IF(T464="","",VLOOKUP(D464,契約台帳!$A$3:$Q$4986,17,FALSE)))</f>
        <v/>
      </c>
      <c r="Z464" s="256" t="str">
        <f>IF(D464="","",IF(T464="","",VLOOKUP(D464,契約台帳!$A$3:$E$4986,5,FALSE)))</f>
        <v/>
      </c>
      <c r="AA464" s="54"/>
      <c r="AB464" s="200" t="str">
        <f>IFERROR((VLOOKUP(F464&amp;K464&amp;M464,製品マスタ!$M$5:$AM$4999,27,FALSE)),"")</f>
        <v/>
      </c>
      <c r="AC464" s="31"/>
      <c r="AD464" s="184"/>
      <c r="AE464" s="51"/>
      <c r="AF464" s="52"/>
      <c r="AG464" s="41"/>
      <c r="AH464" s="45"/>
      <c r="AI464" s="28"/>
      <c r="AJ464" s="28"/>
      <c r="AK464" s="28"/>
      <c r="AL464" s="28"/>
      <c r="AM464" s="12"/>
      <c r="AN464" s="12"/>
      <c r="AO464" s="12"/>
      <c r="AP464" s="12"/>
      <c r="AQ464" s="12"/>
      <c r="AR464" s="13"/>
      <c r="AS464" s="14"/>
    </row>
    <row r="465" spans="1:45" s="16" customFormat="1" ht="30.95" hidden="1" customHeight="1" x14ac:dyDescent="0.2">
      <c r="A465" s="35" t="s">
        <v>1056</v>
      </c>
      <c r="B465" s="36" t="s">
        <v>1057</v>
      </c>
      <c r="C465" s="43"/>
      <c r="D465" s="29"/>
      <c r="E465" s="29"/>
      <c r="F465" s="255"/>
      <c r="G465" s="256"/>
      <c r="H465" s="256"/>
      <c r="I465" s="200"/>
      <c r="J465" s="203"/>
      <c r="K465" s="200"/>
      <c r="L465" s="200"/>
      <c r="M465" s="37"/>
      <c r="N465" s="37"/>
      <c r="O465" s="153"/>
      <c r="P465" s="45"/>
      <c r="Q465" s="54"/>
      <c r="R465" s="257"/>
      <c r="S465" s="258"/>
      <c r="T465" s="258"/>
      <c r="U465" s="38"/>
      <c r="V465" s="259"/>
      <c r="W465" s="256"/>
      <c r="X465" s="256"/>
      <c r="Y465" s="256"/>
      <c r="Z465" s="256"/>
      <c r="AA465" s="54"/>
      <c r="AB465" s="200"/>
      <c r="AC465" s="31"/>
      <c r="AD465" s="184"/>
      <c r="AE465" s="51"/>
      <c r="AF465" s="52"/>
      <c r="AG465" s="41"/>
      <c r="AH465" s="45"/>
      <c r="AI465" s="28"/>
      <c r="AJ465" s="28"/>
      <c r="AK465" s="28"/>
      <c r="AL465" s="28"/>
      <c r="AM465" s="12"/>
      <c r="AN465" s="12"/>
      <c r="AO465" s="12"/>
      <c r="AP465" s="12"/>
      <c r="AQ465" s="12"/>
      <c r="AR465" s="13"/>
      <c r="AS465" s="14"/>
    </row>
    <row r="466" spans="1:45" s="16" customFormat="1" ht="30.95" hidden="1" customHeight="1" x14ac:dyDescent="0.2">
      <c r="A466" s="35"/>
      <c r="B466" s="36"/>
      <c r="C466" s="43"/>
      <c r="D466" s="29"/>
      <c r="E466" s="29"/>
      <c r="F466" s="255"/>
      <c r="G466" s="256"/>
      <c r="H466" s="256"/>
      <c r="I466" s="200"/>
      <c r="J466" s="203"/>
      <c r="K466" s="200"/>
      <c r="L466" s="200"/>
      <c r="M466" s="37"/>
      <c r="N466" s="37"/>
      <c r="O466" s="153"/>
      <c r="P466" s="45"/>
      <c r="Q466" s="54"/>
      <c r="R466" s="257"/>
      <c r="S466" s="258"/>
      <c r="T466" s="258"/>
      <c r="U466" s="38"/>
      <c r="V466" s="259"/>
      <c r="W466" s="256"/>
      <c r="X466" s="256"/>
      <c r="Y466" s="256"/>
      <c r="Z466" s="256"/>
      <c r="AA466" s="54"/>
      <c r="AB466" s="200"/>
      <c r="AC466" s="31"/>
      <c r="AD466" s="184"/>
      <c r="AE466" s="51"/>
      <c r="AF466" s="52"/>
      <c r="AG466" s="41"/>
      <c r="AH466" s="45"/>
      <c r="AI466" s="28"/>
      <c r="AJ466" s="28"/>
      <c r="AK466" s="28"/>
      <c r="AL466" s="28"/>
      <c r="AM466" s="12"/>
      <c r="AN466" s="12"/>
      <c r="AO466" s="12"/>
      <c r="AP466" s="12"/>
      <c r="AQ466" s="12"/>
      <c r="AR466" s="13"/>
      <c r="AS466" s="14"/>
    </row>
    <row r="467" spans="1:45" s="16" customFormat="1" ht="30.95" hidden="1" customHeight="1" x14ac:dyDescent="0.2">
      <c r="A467" s="35" t="s">
        <v>1059</v>
      </c>
      <c r="B467" s="36" t="s">
        <v>1050</v>
      </c>
      <c r="C467" s="43"/>
      <c r="D467" s="29">
        <v>3704008</v>
      </c>
      <c r="E467" s="29">
        <v>4140926</v>
      </c>
      <c r="F467" s="255" t="str">
        <f>IF(D467="","",VLOOKUP(D467,契約台帳!$A$3:$K$4986,6,FALSE)&amp;VLOOKUP(D467,契約台帳!$A$3:$K$4986,7,FALSE)&amp;VLOOKUP(D467,契約台帳!$A$3:$K$4986,8,FALSE)&amp;VLOOKUP(D467,契約台帳!$A$3:$K$4986,9,FALSE)&amp;VLOOKUP(D467,契約台帳!$A$3:$K$4986,11,FALSE))</f>
        <v>3SNCLBLEYK</v>
      </c>
      <c r="G467" s="256" t="str">
        <f>IF(D467="","",VLOOKUP(F467,製品マスタ!$G$5:$H$4999,2,FALSE))</f>
        <v>S</v>
      </c>
      <c r="H467" s="256" t="str">
        <f>IF(D467="","",VLOOKUP(F467,製品マスタ!$G$5:$K$4999,5,FALSE))</f>
        <v>LEYK</v>
      </c>
      <c r="I467" s="200" t="str">
        <f>IF(D467="","",VLOOKUP(F467,製品マスタ!$G$5:$L$4999,6,FALSE))</f>
        <v>ルミラー　ＥＹＫ</v>
      </c>
      <c r="J467" s="203" t="s">
        <v>1051</v>
      </c>
      <c r="K467" s="200">
        <f>IF(D467="","",VLOOKUP(D467,契約台帳!$A$3:$L$4986,12,FALSE))</f>
        <v>50</v>
      </c>
      <c r="L467" s="200" t="str">
        <f>IF(D467="","",INDEX(製品マスタ!$Q$5:$Q$4999,MATCH('S4'!F467&amp;'S4'!K467,製品マスタ!$AO$5:$AO$4999,0)))</f>
        <v>T62M</v>
      </c>
      <c r="M467" s="37">
        <v>1125</v>
      </c>
      <c r="N467" s="37">
        <v>6100</v>
      </c>
      <c r="O467" s="153">
        <v>2</v>
      </c>
      <c r="P467" s="45">
        <v>2</v>
      </c>
      <c r="Q467" s="54"/>
      <c r="R467" s="257">
        <f ca="1">IF(D467="","",IF(OFFSET(D467,-1,0)&lt;&gt;"","",IF(OR(J467="リード付け",J467="巻足し",J467="巻返しリード付け"),M467,VLOOKUP(D467,契約台帳!$A$3:$N$4986,14,FALSE))))</f>
        <v>1120</v>
      </c>
      <c r="S467" s="258">
        <f ca="1">IF(D467="","",IF(OFFSET(D467,-1,0)&lt;&gt;"","",IF(OR(J467="リード付け",J467="巻足し",J467="巻返しリード付け"),M467,VLOOKUP(D467,契約台帳!$A$3:$O$4986,15,FALSE))))</f>
        <v>1120</v>
      </c>
      <c r="T467" s="258">
        <f ca="1">IF(D467="","",IF(J467="リード付け",N467,IF(J467="巻返しリード付け",N467,IF(J467="巻足し",N467*P467+OFFSET(N467,1,0)*OFFSET(P467,1,0),VLOOKUP(D467,契約台帳!$A$3:$P$4986,16,FALSE)))))</f>
        <v>6000</v>
      </c>
      <c r="U467" s="38">
        <v>2</v>
      </c>
      <c r="V467" s="259">
        <f ca="1">IF(D467="","",IF(OFFSET(D467,-2,0)=D467,"",VLOOKUP(D467,契約台帳!$A$3:$R$4986,18,FALSE)))</f>
        <v>2</v>
      </c>
      <c r="W467" s="256" t="str">
        <f ca="1">IF(D467="","",IF(T467="","",IF(OR(J467="巻足し",J467="巻返しリード付け"),"",IF(J467="巻返し",VLOOKUP(F467&amp;K467&amp;M467,製品マスタ!$M$5:$AD$4999,18,FALSE),IF(OR(J467="リード付け",J467="巻返しリード付け"),"原反コア",IF(J467="スリット",VLOOKUP(F467&amp;K467&amp;R467,製品マスタ!$N$5:$AD$4999,17,FALSE),""))))))</f>
        <v>6ｲﾝﾁMｺｱ</v>
      </c>
      <c r="X467" s="256">
        <f ca="1">IF(D467="","",IF(T467="","",IF(J467="巻足し","",IF(J467="巻返し",VLOOKUP(F467&amp;K467&amp;M467,製品マスタ!$M$5:$AE$4999,19,FALSE),IF(OR(J467="リード付け",J467="巻返しリード付け"),"",IF(J467="スリット",VLOOKUP(F467&amp;K467&amp;R467,製品マスタ!$N$5:$AE$4999,18,FALSE),""))))))</f>
        <v>1140</v>
      </c>
      <c r="Y467" s="256">
        <f ca="1">IF(D467="","",IF(T467="","",VLOOKUP(D467,契約台帳!$A$3:$Q$4986,17,FALSE)))</f>
        <v>2</v>
      </c>
      <c r="Z467" s="256" t="str">
        <f ca="1">IF(D467="","",IF(T467="","",VLOOKUP(D467,契約台帳!$A$3:$E$4986,5,FALSE)))</f>
        <v>新タック化成㈱</v>
      </c>
      <c r="AA467" s="54"/>
      <c r="AB467" s="200" t="str">
        <f>IFERROR((VLOOKUP(F467&amp;K467&amp;M467,製品マスタ!$M$5:$AM$4999,27,FALSE)),"")</f>
        <v>原反ケース再利用</v>
      </c>
      <c r="AC467" s="31"/>
      <c r="AD467" s="184"/>
      <c r="AE467" s="51"/>
      <c r="AF467" s="52"/>
      <c r="AG467" s="41"/>
      <c r="AH467" s="45"/>
      <c r="AI467" s="28"/>
      <c r="AJ467" s="28"/>
      <c r="AK467" s="28"/>
      <c r="AL467" s="28"/>
      <c r="AM467" s="12"/>
      <c r="AN467" s="12"/>
      <c r="AO467" s="12"/>
      <c r="AP467" s="12"/>
      <c r="AQ467" s="12"/>
      <c r="AR467" s="13"/>
      <c r="AS467" s="14"/>
    </row>
    <row r="468" spans="1:45" s="16" customFormat="1" ht="30.95" hidden="1" customHeight="1" x14ac:dyDescent="0.2">
      <c r="A468" s="35"/>
      <c r="B468" s="36"/>
      <c r="C468" s="43"/>
      <c r="D468" s="29"/>
      <c r="E468" s="29"/>
      <c r="F468" s="255" t="str">
        <f>IF(D468="","",VLOOKUP(D468,契約台帳!$A$3:$K$4986,6,FALSE)&amp;VLOOKUP(D468,契約台帳!$A$3:$K$4986,7,FALSE)&amp;VLOOKUP(D468,契約台帳!$A$3:$K$4986,8,FALSE)&amp;VLOOKUP(D468,契約台帳!$A$3:$K$4986,9,FALSE)&amp;VLOOKUP(D468,契約台帳!$A$3:$K$4986,11,FALSE))</f>
        <v/>
      </c>
      <c r="G468" s="256" t="str">
        <f>IF(D468="","",VLOOKUP(F468,製品マスタ!$G$5:$H$4999,2,FALSE))</f>
        <v/>
      </c>
      <c r="H468" s="256" t="str">
        <f>IF(D468="","",VLOOKUP(F468,製品マスタ!$G$5:$K$4999,5,FALSE))</f>
        <v/>
      </c>
      <c r="I468" s="200" t="str">
        <f>IF(D468="","",VLOOKUP(F468,製品マスタ!$G$5:$L$4999,6,FALSE))</f>
        <v/>
      </c>
      <c r="J468" s="203"/>
      <c r="K468" s="200" t="str">
        <f>IF(D468="","",VLOOKUP(D468,契約台帳!$A$3:$L$4986,12,FALSE))</f>
        <v/>
      </c>
      <c r="L468" s="200" t="str">
        <f>IF(D468="","",INDEX(製品マスタ!$Q$5:$Q$4999,MATCH('S4'!F468&amp;'S4'!K468,製品マスタ!$AO$5:$AO$4999,0)))</f>
        <v/>
      </c>
      <c r="M468" s="37"/>
      <c r="N468" s="37"/>
      <c r="O468" s="153"/>
      <c r="P468" s="45"/>
      <c r="Q468" s="54"/>
      <c r="R468" s="257" t="str">
        <f ca="1">IF(D468="","",IF(OFFSET(D468,-1,0)&lt;&gt;"","",IF(OR(J468="リード付け",J468="巻足し",J468="巻返しリード付け"),M468,VLOOKUP(D468,契約台帳!$A$3:$N$4986,14,FALSE))))</f>
        <v/>
      </c>
      <c r="S468" s="258" t="str">
        <f ca="1">IF(D468="","",IF(OFFSET(D468,-1,0)&lt;&gt;"","",IF(OR(J468="リード付け",J468="巻足し",J468="巻返しリード付け"),M468,VLOOKUP(D468,契約台帳!$A$3:$O$4986,15,FALSE))))</f>
        <v/>
      </c>
      <c r="T468" s="258" t="str">
        <f ca="1">IF(D468="","",IF(J468="リード付け",N468,IF(J468="巻返しリード付け",N468,IF(J468="巻足し",N468*P468+OFFSET(N468,1,0)*OFFSET(P468,1,0),VLOOKUP(D468,契約台帳!$A$3:$P$4986,16,FALSE)))))</f>
        <v/>
      </c>
      <c r="U468" s="38"/>
      <c r="V468" s="259" t="str">
        <f ca="1">IF(D468="","",IF(OFFSET(D468,-2,0)=D468,"",VLOOKUP(D468,契約台帳!$A$3:$R$4986,18,FALSE)))</f>
        <v/>
      </c>
      <c r="W468" s="256" t="str">
        <f>IF(D468="","",IF(T468="","",IF(OR(J468="巻足し",J468="巻返しリード付け"),"",IF(J468="巻返し",VLOOKUP(F468&amp;K468&amp;M468,製品マスタ!$M$5:$AD$4999,18,FALSE),IF(OR(J468="リード付け",J468="巻返しリード付け"),"原反コア",IF(J468="スリット",VLOOKUP(F468&amp;K468&amp;R468,製品マスタ!$N$5:$AD$4999,17,FALSE),""))))))</f>
        <v/>
      </c>
      <c r="X468" s="256" t="str">
        <f>IF(D468="","",IF(T468="","",IF(J468="巻足し","",IF(J468="巻返し",VLOOKUP(F468&amp;K468&amp;M468,製品マスタ!$M$5:$AE$4999,19,FALSE),IF(OR(J468="リード付け",J468="巻返しリード付け"),"",IF(J468="スリット",VLOOKUP(F468&amp;K468&amp;R468,製品マスタ!$N$5:$AE$4999,18,FALSE),""))))))</f>
        <v/>
      </c>
      <c r="Y468" s="256" t="str">
        <f>IF(D468="","",IF(T468="","",VLOOKUP(D468,契約台帳!$A$3:$Q$4986,17,FALSE)))</f>
        <v/>
      </c>
      <c r="Z468" s="256" t="str">
        <f>IF(D468="","",IF(T468="","",VLOOKUP(D468,契約台帳!$A$3:$E$4986,5,FALSE)))</f>
        <v/>
      </c>
      <c r="AA468" s="54"/>
      <c r="AB468" s="200" t="str">
        <f>IFERROR((VLOOKUP(F468&amp;K468&amp;M468,製品マスタ!$M$5:$AM$4999,27,FALSE)),"")</f>
        <v/>
      </c>
      <c r="AC468" s="31"/>
      <c r="AD468" s="184"/>
      <c r="AE468" s="51"/>
      <c r="AF468" s="52"/>
      <c r="AG468" s="41"/>
      <c r="AH468" s="45"/>
      <c r="AI468" s="28"/>
      <c r="AJ468" s="28"/>
      <c r="AK468" s="28"/>
      <c r="AL468" s="28"/>
      <c r="AM468" s="12"/>
      <c r="AN468" s="12"/>
      <c r="AO468" s="12"/>
      <c r="AP468" s="12"/>
      <c r="AQ468" s="12"/>
      <c r="AR468" s="13"/>
      <c r="AS468" s="14"/>
    </row>
    <row r="469" spans="1:45" s="16" customFormat="1" ht="30.95" hidden="1" customHeight="1" x14ac:dyDescent="0.2">
      <c r="A469" s="35"/>
      <c r="B469" s="36"/>
      <c r="C469" s="43"/>
      <c r="D469" s="29">
        <v>3703986</v>
      </c>
      <c r="E469" s="29">
        <v>4140917</v>
      </c>
      <c r="F469" s="255" t="str">
        <f>IF(D469="","",VLOOKUP(D469,契約台帳!$A$3:$K$4986,6,FALSE)&amp;VLOOKUP(D469,契約台帳!$A$3:$K$4986,7,FALSE)&amp;VLOOKUP(D469,契約台帳!$A$3:$K$4986,8,FALSE)&amp;VLOOKUP(D469,契約台帳!$A$3:$K$4986,9,FALSE)&amp;VLOOKUP(D469,契約台帳!$A$3:$K$4986,11,FALSE))</f>
        <v>3SNCLBLMEYK</v>
      </c>
      <c r="G469" s="256" t="str">
        <f>IF(D469="","",VLOOKUP(F469,製品マスタ!$G$5:$H$4999,2,FALSE))</f>
        <v>S</v>
      </c>
      <c r="H469" s="256" t="str">
        <f>IF(D469="","",VLOOKUP(F469,製品マスタ!$G$5:$K$4999,5,FALSE))</f>
        <v>LMEYK</v>
      </c>
      <c r="I469" s="200" t="str">
        <f>IF(D469="","",VLOOKUP(F469,製品マスタ!$G$5:$L$4999,6,FALSE))</f>
        <v>ルミマットＥＹＫ</v>
      </c>
      <c r="J469" s="203" t="s">
        <v>447</v>
      </c>
      <c r="K469" s="200">
        <f>IF(D469="","",VLOOKUP(D469,契約台帳!$A$3:$L$4986,12,FALSE))</f>
        <v>38</v>
      </c>
      <c r="L469" s="200" t="str">
        <f>IF(D469="","",INDEX(製品マスタ!$Q$5:$Q$4999,MATCH('S4'!F469&amp;'S4'!K469,製品マスタ!$AO$5:$AO$4999,0)))</f>
        <v>LUMIMAT</v>
      </c>
      <c r="M469" s="37">
        <v>1005</v>
      </c>
      <c r="N469" s="37">
        <v>8000</v>
      </c>
      <c r="O469" s="153">
        <v>4</v>
      </c>
      <c r="P469" s="45">
        <v>4</v>
      </c>
      <c r="Q469" s="54"/>
      <c r="R469" s="257">
        <f ca="1">IF(D469="","",IF(OFFSET(D469,-1,0)&lt;&gt;"","",IF(OR(J469="リード付け",J469="巻足し",J469="巻返しリード付け"),M469,VLOOKUP(D469,契約台帳!$A$3:$N$4986,14,FALSE))))</f>
        <v>1005</v>
      </c>
      <c r="S469" s="258">
        <f ca="1">IF(D469="","",IF(OFFSET(D469,-1,0)&lt;&gt;"","",IF(OR(J469="リード付け",J469="巻足し",J469="巻返しリード付け"),M469,VLOOKUP(D469,契約台帳!$A$3:$O$4986,15,FALSE))))</f>
        <v>1000</v>
      </c>
      <c r="T469" s="258">
        <f ca="1">IF(D469="","",IF(J469="リード付け",N469,IF(J469="巻返しリード付け",N469,IF(J469="巻足し",N469*P469+OFFSET(N469,1,0)*OFFSET(P469,1,0),VLOOKUP(D469,契約台帳!$A$3:$P$4986,16,FALSE)))))</f>
        <v>4000</v>
      </c>
      <c r="U469" s="38">
        <v>8</v>
      </c>
      <c r="V469" s="259">
        <f ca="1">IF(D469="","",IF(OFFSET(D469,-2,0)=D469,"",VLOOKUP(D469,契約台帳!$A$3:$R$4986,18,FALSE)))</f>
        <v>8</v>
      </c>
      <c r="W469" s="256" t="str">
        <f ca="1">IF(D469="","",IF(T469="","",IF(OR(J469="巻足し",J469="巻返しリード付け"),"",IF(J469="巻返し",VLOOKUP(F469&amp;K469&amp;M469,製品マスタ!$M$5:$AD$4999,18,FALSE),IF(OR(J469="リード付け",J469="巻返しリード付け"),"原反コア",IF(J469="スリット",VLOOKUP(F469&amp;K469&amp;R469,製品マスタ!$N$5:$AD$4999,17,FALSE),""))))))</f>
        <v>3ｲﾝﾁSｺｱ</v>
      </c>
      <c r="X469" s="256">
        <f ca="1">IF(D469="","",IF(T469="","",IF(J469="巻足し","",IF(J469="巻返し",VLOOKUP(F469&amp;K469&amp;M469,製品マスタ!$M$5:$AE$4999,19,FALSE),IF(OR(J469="リード付け",J469="巻返しリード付け"),"",IF(J469="スリット",VLOOKUP(F469&amp;K469&amp;R469,製品マスタ!$N$5:$AE$4999,18,FALSE),""))))))</f>
        <v>1015</v>
      </c>
      <c r="Y469" s="256">
        <f ca="1">IF(D469="","",IF(T469="","",VLOOKUP(D469,契約台帳!$A$3:$Q$4986,17,FALSE)))</f>
        <v>2</v>
      </c>
      <c r="Z469" s="256" t="str">
        <f ca="1">IF(D469="","",IF(T469="","",VLOOKUP(D469,契約台帳!$A$3:$E$4986,5,FALSE)))</f>
        <v>リンテック㈱</v>
      </c>
      <c r="AA469" s="54"/>
      <c r="AB469" s="200">
        <f>IFERROR((VLOOKUP(F469&amp;K469&amp;M469,製品マスタ!$M$5:$AM$4999,27,FALSE)),"")</f>
        <v>0</v>
      </c>
      <c r="AC469" s="31"/>
      <c r="AD469" s="184"/>
      <c r="AE469" s="51"/>
      <c r="AF469" s="52"/>
      <c r="AG469" s="41"/>
      <c r="AH469" s="45"/>
      <c r="AI469" s="28"/>
      <c r="AJ469" s="28"/>
      <c r="AK469" s="28"/>
      <c r="AL469" s="28"/>
      <c r="AM469" s="12"/>
      <c r="AN469" s="12"/>
      <c r="AO469" s="12"/>
      <c r="AP469" s="12"/>
      <c r="AQ469" s="12"/>
      <c r="AR469" s="13"/>
      <c r="AS469" s="14"/>
    </row>
    <row r="470" spans="1:45" s="16" customFormat="1" ht="30.95" hidden="1" customHeight="1" x14ac:dyDescent="0.2">
      <c r="A470" s="35"/>
      <c r="B470" s="36"/>
      <c r="C470" s="43"/>
      <c r="D470" s="29"/>
      <c r="E470" s="29"/>
      <c r="F470" s="255"/>
      <c r="G470" s="256"/>
      <c r="H470" s="256"/>
      <c r="I470" s="200"/>
      <c r="J470" s="203"/>
      <c r="K470" s="200"/>
      <c r="L470" s="200"/>
      <c r="M470" s="37"/>
      <c r="N470" s="37"/>
      <c r="O470" s="153"/>
      <c r="P470" s="45"/>
      <c r="Q470" s="54"/>
      <c r="R470" s="257"/>
      <c r="S470" s="258"/>
      <c r="T470" s="258"/>
      <c r="U470" s="38"/>
      <c r="V470" s="259"/>
      <c r="W470" s="256"/>
      <c r="X470" s="256"/>
      <c r="Y470" s="256"/>
      <c r="Z470" s="256"/>
      <c r="AA470" s="54"/>
      <c r="AB470" s="200"/>
      <c r="AC470" s="31"/>
      <c r="AD470" s="184"/>
      <c r="AE470" s="51"/>
      <c r="AF470" s="52"/>
      <c r="AG470" s="41"/>
      <c r="AH470" s="45"/>
      <c r="AI470" s="28"/>
      <c r="AJ470" s="28"/>
      <c r="AK470" s="28"/>
      <c r="AL470" s="28"/>
      <c r="AM470" s="12"/>
      <c r="AN470" s="12"/>
      <c r="AO470" s="12"/>
      <c r="AP470" s="12"/>
      <c r="AQ470" s="12"/>
      <c r="AR470" s="13"/>
      <c r="AS470" s="14"/>
    </row>
    <row r="471" spans="1:45" s="16" customFormat="1" ht="30.95" hidden="1" customHeight="1" x14ac:dyDescent="0.2">
      <c r="A471" s="35"/>
      <c r="B471" s="36"/>
      <c r="C471" s="43"/>
      <c r="D471" s="29"/>
      <c r="E471" s="29"/>
      <c r="F471" s="255"/>
      <c r="G471" s="256"/>
      <c r="H471" s="256"/>
      <c r="I471" s="200"/>
      <c r="J471" s="203" t="s">
        <v>1074</v>
      </c>
      <c r="K471" s="200"/>
      <c r="L471" s="200"/>
      <c r="M471" s="37"/>
      <c r="N471" s="37"/>
      <c r="O471" s="153"/>
      <c r="P471" s="45"/>
      <c r="Q471" s="54"/>
      <c r="R471" s="257"/>
      <c r="S471" s="258"/>
      <c r="T471" s="258"/>
      <c r="U471" s="38"/>
      <c r="V471" s="259"/>
      <c r="W471" s="256"/>
      <c r="X471" s="256"/>
      <c r="Y471" s="256"/>
      <c r="Z471" s="256"/>
      <c r="AA471" s="54"/>
      <c r="AB471" s="200"/>
      <c r="AC471" s="31"/>
      <c r="AD471" s="184"/>
      <c r="AE471" s="51"/>
      <c r="AF471" s="52"/>
      <c r="AG471" s="41"/>
      <c r="AH471" s="45"/>
      <c r="AI471" s="28"/>
      <c r="AJ471" s="28"/>
      <c r="AK471" s="28"/>
      <c r="AL471" s="28"/>
      <c r="AM471" s="12"/>
      <c r="AN471" s="12"/>
      <c r="AO471" s="12"/>
      <c r="AP471" s="12"/>
      <c r="AQ471" s="12"/>
      <c r="AR471" s="13"/>
      <c r="AS471" s="14"/>
    </row>
    <row r="472" spans="1:45" s="16" customFormat="1" ht="30.95" hidden="1" customHeight="1" x14ac:dyDescent="0.2">
      <c r="A472" s="35"/>
      <c r="B472" s="36"/>
      <c r="C472" s="43"/>
      <c r="D472" s="29"/>
      <c r="E472" s="29"/>
      <c r="F472" s="255"/>
      <c r="G472" s="256"/>
      <c r="H472" s="256"/>
      <c r="I472" s="200"/>
      <c r="J472" s="203"/>
      <c r="K472" s="200"/>
      <c r="L472" s="200"/>
      <c r="M472" s="37"/>
      <c r="N472" s="37"/>
      <c r="O472" s="153"/>
      <c r="P472" s="45"/>
      <c r="Q472" s="54"/>
      <c r="R472" s="257"/>
      <c r="S472" s="258"/>
      <c r="T472" s="258"/>
      <c r="U472" s="38"/>
      <c r="V472" s="259"/>
      <c r="W472" s="256"/>
      <c r="X472" s="256"/>
      <c r="Y472" s="256"/>
      <c r="Z472" s="256"/>
      <c r="AA472" s="54"/>
      <c r="AB472" s="200"/>
      <c r="AC472" s="31"/>
      <c r="AD472" s="184"/>
      <c r="AE472" s="51"/>
      <c r="AF472" s="52"/>
      <c r="AG472" s="41"/>
      <c r="AH472" s="45"/>
      <c r="AI472" s="28"/>
      <c r="AJ472" s="28"/>
      <c r="AK472" s="28"/>
      <c r="AL472" s="28"/>
      <c r="AM472" s="12"/>
      <c r="AN472" s="12"/>
      <c r="AO472" s="12"/>
      <c r="AP472" s="12"/>
      <c r="AQ472" s="12"/>
      <c r="AR472" s="13"/>
      <c r="AS472" s="14"/>
    </row>
    <row r="473" spans="1:45" s="16" customFormat="1" ht="30.95" hidden="1" customHeight="1" x14ac:dyDescent="0.2">
      <c r="A473" s="35" t="s">
        <v>1060</v>
      </c>
      <c r="B473" s="36" t="s">
        <v>442</v>
      </c>
      <c r="C473" s="43"/>
      <c r="D473" s="29">
        <v>3704002</v>
      </c>
      <c r="E473" s="29">
        <v>4140931</v>
      </c>
      <c r="F473" s="255" t="str">
        <f>IF(D473="","",VLOOKUP(D473,契約台帳!$A$3:$K$4986,6,FALSE)&amp;VLOOKUP(D473,契約台帳!$A$3:$K$4986,7,FALSE)&amp;VLOOKUP(D473,契約台帳!$A$3:$K$4986,8,FALSE)&amp;VLOOKUP(D473,契約台帳!$A$3:$K$4986,9,FALSE)&amp;VLOOKUP(D473,契約台帳!$A$3:$K$4986,11,FALSE))</f>
        <v>3HSNMCLBEYK</v>
      </c>
      <c r="G473" s="256" t="str">
        <f>IF(D473="","",VLOOKUP(F473,製品マスタ!$G$5:$H$4999,2,FALSE))</f>
        <v>S</v>
      </c>
      <c r="H473" s="256" t="str">
        <f>IF(D473="","",VLOOKUP(F473,製品マスタ!$G$5:$K$4999,5,FALSE))</f>
        <v>EYK</v>
      </c>
      <c r="I473" s="200" t="str">
        <f>IF(D473="","",VLOOKUP(F473,製品マスタ!$G$5:$L$4999,6,FALSE))</f>
        <v>メタルミー　ＥＹＫ</v>
      </c>
      <c r="J473" s="203" t="s">
        <v>447</v>
      </c>
      <c r="K473" s="200">
        <f>IF(D473="","",VLOOKUP(D473,契約台帳!$A$3:$L$4986,12,FALSE))</f>
        <v>50</v>
      </c>
      <c r="L473" s="200" t="str">
        <f>IF(D473="","",INDEX(製品マスタ!$Q$5:$Q$4999,MATCH('S4'!F473&amp;'S4'!K473,製品マスタ!$AO$5:$AO$4999,0)))</f>
        <v>T62M</v>
      </c>
      <c r="M473" s="37">
        <v>1195</v>
      </c>
      <c r="N473" s="37">
        <v>6100</v>
      </c>
      <c r="O473" s="153">
        <v>1</v>
      </c>
      <c r="P473" s="45">
        <v>1</v>
      </c>
      <c r="Q473" s="54"/>
      <c r="R473" s="257">
        <f ca="1">IF(D473="","",IF(OFFSET(D473,-1,0)&lt;&gt;"","",IF(OR(J473="リード付け",J473="巻足し",J473="巻返しリード付け"),M473,VLOOKUP(D473,契約台帳!$A$3:$N$4986,14,FALSE))))</f>
        <v>1190</v>
      </c>
      <c r="S473" s="258">
        <f ca="1">IF(D473="","",IF(OFFSET(D473,-1,0)&lt;&gt;"","",IF(OR(J473="リード付け",J473="巻足し",J473="巻返しリード付け"),M473,VLOOKUP(D473,契約台帳!$A$3:$O$4986,15,FALSE))))</f>
        <v>1190</v>
      </c>
      <c r="T473" s="258">
        <f ca="1">IF(D473="","",IF(J473="リード付け",N473,IF(J473="巻返しリード付け",N473,IF(J473="巻足し",N473*P473+OFFSET(N473,1,0)*OFFSET(P473,1,0),VLOOKUP(D473,契約台帳!$A$3:$P$4986,16,FALSE)))))</f>
        <v>6000</v>
      </c>
      <c r="U473" s="38">
        <v>1</v>
      </c>
      <c r="V473" s="259">
        <f ca="1">IF(D473="","",IF(OFFSET(D473,-2,0)=D473,"",VLOOKUP(D473,契約台帳!$A$3:$R$4986,18,FALSE)))</f>
        <v>1</v>
      </c>
      <c r="W473" s="256" t="str">
        <f ca="1">IF(D473="","",IF(T473="","",IF(OR(J473="巻足し",J473="巻返しリード付け"),"",IF(J473="巻返し",VLOOKUP(F473&amp;K473&amp;M473,製品マスタ!$M$5:$AD$4999,18,FALSE),IF(OR(J473="リード付け",J473="巻返しリード付け"),"原反コア",IF(J473="スリット",VLOOKUP(F473&amp;K473&amp;R473,製品マスタ!$N$5:$AD$4999,17,FALSE),""))))))</f>
        <v>6ｲﾝﾁMｺｱ</v>
      </c>
      <c r="X473" s="256">
        <f ca="1">IF(D473="","",IF(T473="","",IF(J473="巻足し","",IF(J473="巻返し",VLOOKUP(F473&amp;K473&amp;M473,製品マスタ!$M$5:$AE$4999,19,FALSE),IF(OR(J473="リード付け",J473="巻返しリード付け"),"",IF(J473="スリット",VLOOKUP(F473&amp;K473&amp;R473,製品マスタ!$N$5:$AE$4999,18,FALSE),""))))))</f>
        <v>1220</v>
      </c>
      <c r="Y473" s="256">
        <f ca="1">IF(D473="","",IF(T473="","",VLOOKUP(D473,契約台帳!$A$3:$Q$4986,17,FALSE)))</f>
        <v>2</v>
      </c>
      <c r="Z473" s="256" t="str">
        <f ca="1">IF(D473="","",IF(T473="","",VLOOKUP(D473,契約台帳!$A$3:$E$4986,5,FALSE)))</f>
        <v>大阪シーリング印刷㈱</v>
      </c>
      <c r="AA473" s="54"/>
      <c r="AB473" s="200" t="str">
        <f>IFERROR((VLOOKUP(F473&amp;K473&amp;M473,製品マスタ!$M$5:$AM$4999,27,FALSE)),"")</f>
        <v>原反ケース再利用</v>
      </c>
      <c r="AC473" s="31"/>
      <c r="AD473" s="184"/>
      <c r="AE473" s="51"/>
      <c r="AF473" s="52"/>
      <c r="AG473" s="41"/>
      <c r="AH473" s="45"/>
      <c r="AI473" s="28"/>
      <c r="AJ473" s="28"/>
      <c r="AK473" s="28"/>
      <c r="AL473" s="28"/>
      <c r="AM473" s="12"/>
      <c r="AN473" s="12"/>
      <c r="AO473" s="12"/>
      <c r="AP473" s="12"/>
      <c r="AQ473" s="12"/>
      <c r="AR473" s="13"/>
      <c r="AS473" s="14"/>
    </row>
    <row r="474" spans="1:45" s="16" customFormat="1" ht="30.95" hidden="1" customHeight="1" x14ac:dyDescent="0.2">
      <c r="A474" s="35"/>
      <c r="B474" s="36"/>
      <c r="C474" s="43"/>
      <c r="D474" s="29"/>
      <c r="E474" s="29"/>
      <c r="F474" s="255" t="str">
        <f>IF(D474="","",VLOOKUP(D474,契約台帳!$A$3:$K$4986,6,FALSE)&amp;VLOOKUP(D474,契約台帳!$A$3:$K$4986,7,FALSE)&amp;VLOOKUP(D474,契約台帳!$A$3:$K$4986,8,FALSE)&amp;VLOOKUP(D474,契約台帳!$A$3:$K$4986,9,FALSE)&amp;VLOOKUP(D474,契約台帳!$A$3:$K$4986,11,FALSE))</f>
        <v/>
      </c>
      <c r="G474" s="256" t="str">
        <f>IF(D474="","",VLOOKUP(F474,製品マスタ!$G$5:$H$4999,2,FALSE))</f>
        <v/>
      </c>
      <c r="H474" s="256" t="str">
        <f>IF(D474="","",VLOOKUP(F474,製品マスタ!$G$5:$K$4999,5,FALSE))</f>
        <v/>
      </c>
      <c r="I474" s="200" t="str">
        <f>IF(D474="","",VLOOKUP(F474,製品マスタ!$G$5:$L$4999,6,FALSE))</f>
        <v/>
      </c>
      <c r="J474" s="203"/>
      <c r="K474" s="200" t="str">
        <f>IF(D474="","",VLOOKUP(D474,契約台帳!$A$3:$L$4986,12,FALSE))</f>
        <v/>
      </c>
      <c r="L474" s="200" t="str">
        <f>IF(D474="","",INDEX(製品マスタ!$Q$5:$Q$4999,MATCH('S4'!F474&amp;'S4'!K474,製品マスタ!$AO$5:$AO$4999,0)))</f>
        <v/>
      </c>
      <c r="M474" s="37"/>
      <c r="N474" s="37"/>
      <c r="O474" s="153"/>
      <c r="P474" s="45"/>
      <c r="Q474" s="54"/>
      <c r="R474" s="257" t="str">
        <f ca="1">IF(D474="","",IF(OFFSET(D474,-1,0)&lt;&gt;"","",IF(OR(J474="リード付け",J474="巻足し",J474="巻返しリード付け"),M474,VLOOKUP(D474,契約台帳!$A$3:$N$4986,14,FALSE))))</f>
        <v/>
      </c>
      <c r="S474" s="258" t="str">
        <f ca="1">IF(D474="","",IF(OFFSET(D474,-1,0)&lt;&gt;"","",IF(OR(J474="リード付け",J474="巻足し",J474="巻返しリード付け"),M474,VLOOKUP(D474,契約台帳!$A$3:$O$4986,15,FALSE))))</f>
        <v/>
      </c>
      <c r="T474" s="258" t="str">
        <f ca="1">IF(D474="","",IF(J474="リード付け",N474,IF(J474="巻返しリード付け",N474,IF(J474="巻足し",N474*P474+OFFSET(N474,1,0)*OFFSET(P474,1,0),VLOOKUP(D474,契約台帳!$A$3:$P$4986,16,FALSE)))))</f>
        <v/>
      </c>
      <c r="U474" s="38"/>
      <c r="V474" s="259" t="str">
        <f ca="1">IF(D474="","",IF(OFFSET(D474,-2,0)=D474,"",VLOOKUP(D474,契約台帳!$A$3:$R$4986,18,FALSE)))</f>
        <v/>
      </c>
      <c r="W474" s="256" t="str">
        <f>IF(D474="","",IF(T474="","",IF(OR(J474="巻足し",J474="巻返しリード付け"),"",IF(J474="巻返し",VLOOKUP(F474&amp;K474&amp;M474,製品マスタ!$M$5:$AD$4999,18,FALSE),IF(OR(J474="リード付け",J474="巻返しリード付け"),"原反コア",IF(J474="スリット",VLOOKUP(F474&amp;K474&amp;R474,製品マスタ!$N$5:$AD$4999,17,FALSE),""))))))</f>
        <v/>
      </c>
      <c r="X474" s="256" t="str">
        <f>IF(D474="","",IF(T474="","",IF(J474="巻足し","",IF(J474="巻返し",VLOOKUP(F474&amp;K474&amp;M474,製品マスタ!$M$5:$AE$4999,19,FALSE),IF(OR(J474="リード付け",J474="巻返しリード付け"),"",IF(J474="スリット",VLOOKUP(F474&amp;K474&amp;R474,製品マスタ!$N$5:$AE$4999,18,FALSE),""))))))</f>
        <v/>
      </c>
      <c r="Y474" s="256" t="str">
        <f>IF(D474="","",IF(T474="","",VLOOKUP(D474,契約台帳!$A$3:$Q$4986,17,FALSE)))</f>
        <v/>
      </c>
      <c r="Z474" s="256" t="str">
        <f>IF(D474="","",IF(T474="","",VLOOKUP(D474,契約台帳!$A$3:$E$4986,5,FALSE)))</f>
        <v/>
      </c>
      <c r="AA474" s="54"/>
      <c r="AB474" s="200" t="str">
        <f>IFERROR((VLOOKUP(F474&amp;K474&amp;M474,製品マスタ!$M$5:$AM$4999,27,FALSE)),"")</f>
        <v/>
      </c>
      <c r="AC474" s="31"/>
      <c r="AD474" s="184"/>
      <c r="AE474" s="51"/>
      <c r="AF474" s="52"/>
      <c r="AG474" s="41"/>
      <c r="AH474" s="45"/>
      <c r="AI474" s="28"/>
      <c r="AJ474" s="28"/>
      <c r="AK474" s="28"/>
      <c r="AL474" s="28"/>
      <c r="AM474" s="12"/>
      <c r="AN474" s="12"/>
      <c r="AO474" s="12"/>
      <c r="AP474" s="12"/>
      <c r="AQ474" s="12"/>
      <c r="AR474" s="13"/>
      <c r="AS474" s="14"/>
    </row>
    <row r="475" spans="1:45" s="16" customFormat="1" ht="30.95" hidden="1" customHeight="1" x14ac:dyDescent="0.2">
      <c r="A475" s="35"/>
      <c r="B475" s="36"/>
      <c r="C475" s="43"/>
      <c r="D475" s="29">
        <v>3704463</v>
      </c>
      <c r="E475" s="29">
        <v>4140925</v>
      </c>
      <c r="F475" s="255" t="str">
        <f>IF(D475="","",VLOOKUP(D475,契約台帳!$A$3:$K$4986,6,FALSE)&amp;VLOOKUP(D475,契約台帳!$A$3:$K$4986,7,FALSE)&amp;VLOOKUP(D475,契約台帳!$A$3:$K$4986,8,FALSE)&amp;VLOOKUP(D475,契約台帳!$A$3:$K$4986,9,FALSE)&amp;VLOOKUP(D475,契約台帳!$A$3:$K$4986,11,FALSE))</f>
        <v>3SNMCLBMSNEYK</v>
      </c>
      <c r="G475" s="256" t="str">
        <f>IF(D475="","",VLOOKUP(F475,製品マスタ!$G$5:$H$4999,2,FALSE))</f>
        <v>S</v>
      </c>
      <c r="H475" s="256" t="str">
        <f>IF(D475="","",VLOOKUP(F475,製品マスタ!$G$5:$K$4999,5,FALSE))</f>
        <v>MSNEYK</v>
      </c>
      <c r="I475" s="200" t="str">
        <f>IF(D475="","",VLOOKUP(F475,製品マスタ!$G$5:$L$4999,6,FALSE))</f>
        <v>ＭＳＮ　ＥＹＫ</v>
      </c>
      <c r="J475" s="203" t="s">
        <v>1051</v>
      </c>
      <c r="K475" s="200">
        <f>IF(D475="","",VLOOKUP(D475,契約台帳!$A$3:$L$4986,12,FALSE))</f>
        <v>50</v>
      </c>
      <c r="L475" s="200" t="str">
        <f>IF(D475="","",INDEX(製品マスタ!$Q$5:$Q$4999,MATCH('S4'!F475&amp;'S4'!K475,製品マスタ!$AO$5:$AO$4999,0)))</f>
        <v>N-MAT</v>
      </c>
      <c r="M475" s="37">
        <v>1200</v>
      </c>
      <c r="N475" s="37">
        <v>12000</v>
      </c>
      <c r="O475" s="153">
        <v>2</v>
      </c>
      <c r="P475" s="45">
        <v>2</v>
      </c>
      <c r="Q475" s="54"/>
      <c r="R475" s="257">
        <f ca="1">IF(D475="","",IF(OFFSET(D475,-1,0)&lt;&gt;"","",IF(OR(J475="リード付け",J475="巻足し",J475="巻返しリード付け"),M475,VLOOKUP(D475,契約台帳!$A$3:$N$4986,14,FALSE))))</f>
        <v>1200</v>
      </c>
      <c r="S475" s="258">
        <f ca="1">IF(D475="","",IF(OFFSET(D475,-1,0)&lt;&gt;"","",IF(OR(J475="リード付け",J475="巻足し",J475="巻返しリード付け"),M475,VLOOKUP(D475,契約台帳!$A$3:$O$4986,15,FALSE))))</f>
        <v>1190</v>
      </c>
      <c r="T475" s="258">
        <f ca="1">IF(D475="","",IF(J475="リード付け",N475,IF(J475="巻返しリード付け",N475,IF(J475="巻足し",N475*P475+OFFSET(N475,1,0)*OFFSET(P475,1,0),VLOOKUP(D475,契約台帳!$A$3:$P$4986,16,FALSE)))))</f>
        <v>6000</v>
      </c>
      <c r="U475" s="38">
        <v>4</v>
      </c>
      <c r="V475" s="259">
        <f ca="1">IF(D475="","",IF(OFFSET(D475,-2,0)=D475,"",VLOOKUP(D475,契約台帳!$A$3:$R$4986,18,FALSE)))</f>
        <v>4</v>
      </c>
      <c r="W475" s="256" t="str">
        <f ca="1">IF(D475="","",IF(T475="","",IF(OR(J475="巻足し",J475="巻返しリード付け"),"",IF(J475="巻返し",VLOOKUP(F475&amp;K475&amp;M475,製品マスタ!$M$5:$AD$4999,18,FALSE),IF(OR(J475="リード付け",J475="巻返しリード付け"),"原反コア",IF(J475="スリット",VLOOKUP(F475&amp;K475&amp;R475,製品マスタ!$N$5:$AD$4999,17,FALSE),""))))))</f>
        <v>6ｲﾝﾁMｺｱ</v>
      </c>
      <c r="X475" s="256">
        <f ca="1">IF(D475="","",IF(T475="","",IF(J475="巻足し","",IF(J475="巻返し",VLOOKUP(F475&amp;K475&amp;M475,製品マスタ!$M$5:$AE$4999,19,FALSE),IF(OR(J475="リード付け",J475="巻返しリード付け"),"",IF(J475="スリット",VLOOKUP(F475&amp;K475&amp;R475,製品マスタ!$N$5:$AE$4999,18,FALSE),""))))))</f>
        <v>1220</v>
      </c>
      <c r="Y475" s="256">
        <f ca="1">IF(D475="","",IF(T475="","",VLOOKUP(D475,契約台帳!$A$3:$Q$4986,17,FALSE)))</f>
        <v>2</v>
      </c>
      <c r="Z475" s="256" t="str">
        <f ca="1">IF(D475="","",IF(T475="","",VLOOKUP(D475,契約台帳!$A$3:$E$4986,5,FALSE)))</f>
        <v>大阪シーリング印刷㈱</v>
      </c>
      <c r="AA475" s="54"/>
      <c r="AB475" s="200" t="str">
        <f>IFERROR((VLOOKUP(F475&amp;K475&amp;M475,製品マスタ!$M$5:$AM$4999,27,FALSE)),"")</f>
        <v>原反ケース再利用</v>
      </c>
      <c r="AC475" s="31"/>
      <c r="AD475" s="184"/>
      <c r="AE475" s="51"/>
      <c r="AF475" s="52"/>
      <c r="AG475" s="41"/>
      <c r="AH475" s="45"/>
      <c r="AI475" s="28"/>
      <c r="AJ475" s="28"/>
      <c r="AK475" s="28"/>
      <c r="AL475" s="28"/>
      <c r="AM475" s="12"/>
      <c r="AN475" s="12"/>
      <c r="AO475" s="12"/>
      <c r="AP475" s="12"/>
      <c r="AQ475" s="12"/>
      <c r="AR475" s="13"/>
      <c r="AS475" s="14"/>
    </row>
    <row r="476" spans="1:45" s="16" customFormat="1" ht="30.95" hidden="1" customHeight="1" x14ac:dyDescent="0.2">
      <c r="A476" s="35"/>
      <c r="B476" s="36"/>
      <c r="C476" s="43"/>
      <c r="D476" s="29"/>
      <c r="E476" s="29"/>
      <c r="F476" s="255" t="str">
        <f>IF(D476="","",VLOOKUP(D476,契約台帳!$A$3:$K$4986,6,FALSE)&amp;VLOOKUP(D476,契約台帳!$A$3:$K$4986,7,FALSE)&amp;VLOOKUP(D476,契約台帳!$A$3:$K$4986,8,FALSE)&amp;VLOOKUP(D476,契約台帳!$A$3:$K$4986,9,FALSE)&amp;VLOOKUP(D476,契約台帳!$A$3:$K$4986,11,FALSE))</f>
        <v/>
      </c>
      <c r="G476" s="256" t="str">
        <f>IF(D476="","",VLOOKUP(F476,製品マスタ!$G$5:$H$4999,2,FALSE))</f>
        <v/>
      </c>
      <c r="H476" s="256" t="str">
        <f>IF(D476="","",VLOOKUP(F476,製品マスタ!$G$5:$K$4999,5,FALSE))</f>
        <v/>
      </c>
      <c r="I476" s="200" t="str">
        <f>IF(D476="","",VLOOKUP(F476,製品マスタ!$G$5:$L$4999,6,FALSE))</f>
        <v/>
      </c>
      <c r="J476" s="203"/>
      <c r="K476" s="200" t="str">
        <f>IF(D476="","",VLOOKUP(D476,契約台帳!$A$3:$L$4986,12,FALSE))</f>
        <v/>
      </c>
      <c r="L476" s="200" t="str">
        <f>IF(D476="","",INDEX(製品マスタ!$Q$5:$Q$4999,MATCH('S4'!F476&amp;'S4'!K476,製品マスタ!$AO$5:$AO$4999,0)))</f>
        <v/>
      </c>
      <c r="M476" s="37"/>
      <c r="N476" s="37"/>
      <c r="O476" s="153"/>
      <c r="P476" s="45"/>
      <c r="Q476" s="54"/>
      <c r="R476" s="257" t="str">
        <f ca="1">IF(D476="","",IF(OFFSET(D476,-1,0)&lt;&gt;"","",IF(OR(J476="リード付け",J476="巻足し",J476="巻返しリード付け"),M476,VLOOKUP(D476,契約台帳!$A$3:$N$4986,14,FALSE))))</f>
        <v/>
      </c>
      <c r="S476" s="258" t="str">
        <f ca="1">IF(D476="","",IF(OFFSET(D476,-1,0)&lt;&gt;"","",IF(OR(J476="リード付け",J476="巻足し",J476="巻返しリード付け"),M476,VLOOKUP(D476,契約台帳!$A$3:$O$4986,15,FALSE))))</f>
        <v/>
      </c>
      <c r="T476" s="258" t="str">
        <f ca="1">IF(D476="","",IF(J476="リード付け",N476,IF(J476="巻返しリード付け",N476,IF(J476="巻足し",N476*P476+OFFSET(N476,1,0)*OFFSET(P476,1,0),VLOOKUP(D476,契約台帳!$A$3:$P$4986,16,FALSE)))))</f>
        <v/>
      </c>
      <c r="U476" s="38"/>
      <c r="V476" s="259" t="str">
        <f ca="1">IF(D476="","",IF(OFFSET(D476,-2,0)=D476,"",VLOOKUP(D476,契約台帳!$A$3:$R$4986,18,FALSE)))</f>
        <v/>
      </c>
      <c r="W476" s="256" t="str">
        <f>IF(D476="","",IF(T476="","",IF(OR(J476="巻足し",J476="巻返しリード付け"),"",IF(J476="巻返し",VLOOKUP(F476&amp;K476&amp;M476,製品マスタ!$M$5:$AD$4999,18,FALSE),IF(OR(J476="リード付け",J476="巻返しリード付け"),"原反コア",IF(J476="スリット",VLOOKUP(F476&amp;K476&amp;R476,製品マスタ!$N$5:$AD$4999,17,FALSE),""))))))</f>
        <v/>
      </c>
      <c r="X476" s="256" t="str">
        <f>IF(D476="","",IF(T476="","",IF(J476="巻足し","",IF(J476="巻返し",VLOOKUP(F476&amp;K476&amp;M476,製品マスタ!$M$5:$AE$4999,19,FALSE),IF(OR(J476="リード付け",J476="巻返しリード付け"),"",IF(J476="スリット",VLOOKUP(F476&amp;K476&amp;R476,製品マスタ!$N$5:$AE$4999,18,FALSE),""))))))</f>
        <v/>
      </c>
      <c r="Y476" s="256" t="str">
        <f>IF(D476="","",IF(T476="","",VLOOKUP(D476,契約台帳!$A$3:$Q$4986,17,FALSE)))</f>
        <v/>
      </c>
      <c r="Z476" s="256" t="str">
        <f>IF(D476="","",IF(T476="","",VLOOKUP(D476,契約台帳!$A$3:$E$4986,5,FALSE)))</f>
        <v/>
      </c>
      <c r="AA476" s="54"/>
      <c r="AB476" s="200" t="str">
        <f>IFERROR((VLOOKUP(F476&amp;K476&amp;M476,製品マスタ!$M$5:$AM$4999,27,FALSE)),"")</f>
        <v/>
      </c>
      <c r="AC476" s="31"/>
      <c r="AD476" s="184"/>
      <c r="AE476" s="51"/>
      <c r="AF476" s="52"/>
      <c r="AG476" s="41"/>
      <c r="AH476" s="45"/>
      <c r="AI476" s="28"/>
      <c r="AJ476" s="28"/>
      <c r="AK476" s="28"/>
      <c r="AL476" s="28"/>
      <c r="AM476" s="12"/>
      <c r="AN476" s="12"/>
      <c r="AO476" s="12"/>
      <c r="AP476" s="12"/>
      <c r="AQ476" s="12"/>
      <c r="AR476" s="13"/>
      <c r="AS476" s="14"/>
    </row>
    <row r="477" spans="1:45" s="16" customFormat="1" ht="30.95" hidden="1" customHeight="1" x14ac:dyDescent="0.2">
      <c r="A477" s="35"/>
      <c r="B477" s="36"/>
      <c r="C477" s="43"/>
      <c r="D477" s="29">
        <v>3706358</v>
      </c>
      <c r="E477" s="29">
        <v>4140932</v>
      </c>
      <c r="F477" s="255" t="str">
        <f>IF(D477="","",VLOOKUP(D477,契約台帳!$A$3:$K$4986,6,FALSE)&amp;VLOOKUP(D477,契約台帳!$A$3:$K$4986,7,FALSE)&amp;VLOOKUP(D477,契約台帳!$A$3:$K$4986,8,FALSE)&amp;VLOOKUP(D477,契約台帳!$A$3:$K$4986,9,FALSE)&amp;VLOOKUP(D477,契約台帳!$A$3:$K$4986,11,FALSE))</f>
        <v>3SNMCLBMSNEYK</v>
      </c>
      <c r="G477" s="256" t="str">
        <f>IF(D477="","",VLOOKUP(F477,製品マスタ!$G$5:$H$4999,2,FALSE))</f>
        <v>S</v>
      </c>
      <c r="H477" s="256" t="str">
        <f>IF(D477="","",VLOOKUP(F477,製品マスタ!$G$5:$K$4999,5,FALSE))</f>
        <v>MSNEYK</v>
      </c>
      <c r="I477" s="200" t="str">
        <f>IF(D477="","",VLOOKUP(F477,製品マスタ!$G$5:$L$4999,6,FALSE))</f>
        <v>ＭＳＮ　ＥＹＫ</v>
      </c>
      <c r="J477" s="203" t="s">
        <v>447</v>
      </c>
      <c r="K477" s="200">
        <f>IF(D477="","",VLOOKUP(D477,契約台帳!$A$3:$L$4986,12,FALSE))</f>
        <v>50</v>
      </c>
      <c r="L477" s="200" t="str">
        <f>IF(D477="","",INDEX(製品マスタ!$Q$5:$Q$4999,MATCH('S4'!F477&amp;'S4'!K477,製品マスタ!$AO$5:$AO$4999,0)))</f>
        <v>N-MAT</v>
      </c>
      <c r="M477" s="37">
        <v>1120</v>
      </c>
      <c r="N477" s="37">
        <v>8000</v>
      </c>
      <c r="O477" s="153">
        <v>1</v>
      </c>
      <c r="P477" s="45">
        <v>1</v>
      </c>
      <c r="Q477" s="54"/>
      <c r="R477" s="257">
        <f ca="1">IF(D477="","",IF(OFFSET(D477,-1,0)&lt;&gt;"","",IF(OR(J477="リード付け",J477="巻足し",J477="巻返しリード付け"),M477,VLOOKUP(D477,契約台帳!$A$3:$N$4986,14,FALSE))))</f>
        <v>1120</v>
      </c>
      <c r="S477" s="258">
        <f ca="1">IF(D477="","",IF(OFFSET(D477,-1,0)&lt;&gt;"","",IF(OR(J477="リード付け",J477="巻足し",J477="巻返しリード付け"),M477,VLOOKUP(D477,契約台帳!$A$3:$O$4986,15,FALSE))))</f>
        <v>1120</v>
      </c>
      <c r="T477" s="258">
        <f ca="1">IF(D477="","",IF(J477="リード付け",N477,IF(J477="巻返しリード付け",N477,IF(J477="巻足し",N477*P477+OFFSET(N477,1,0)*OFFSET(P477,1,0),VLOOKUP(D477,契約台帳!$A$3:$P$4986,16,FALSE)))))</f>
        <v>4000</v>
      </c>
      <c r="U477" s="38">
        <v>2</v>
      </c>
      <c r="V477" s="259">
        <f ca="1">IF(D477="","",IF(OFFSET(D477,-2,0)=D477,"",VLOOKUP(D477,契約台帳!$A$3:$R$4986,18,FALSE)))</f>
        <v>2</v>
      </c>
      <c r="W477" s="256" t="str">
        <f ca="1">IF(D477="","",IF(T477="","",IF(OR(J477="巻足し",J477="巻返しリード付け"),"",IF(J477="巻返し",VLOOKUP(F477&amp;K477&amp;M477,製品マスタ!$M$5:$AD$4999,18,FALSE),IF(OR(J477="リード付け",J477="巻返しリード付け"),"原反コア",IF(J477="スリット",VLOOKUP(F477&amp;K477&amp;R477,製品マスタ!$N$5:$AD$4999,17,FALSE),""))))))</f>
        <v>6ｲﾝﾁMｺｱ</v>
      </c>
      <c r="X477" s="256">
        <f ca="1">IF(D477="","",IF(T477="","",IF(J477="巻足し","",IF(J477="巻返し",VLOOKUP(F477&amp;K477&amp;M477,製品マスタ!$M$5:$AE$4999,19,FALSE),IF(OR(J477="リード付け",J477="巻返しリード付け"),"",IF(J477="スリット",VLOOKUP(F477&amp;K477&amp;R477,製品マスタ!$N$5:$AE$4999,18,FALSE),""))))))</f>
        <v>1140</v>
      </c>
      <c r="Y477" s="256">
        <f ca="1">IF(D477="","",IF(T477="","",VLOOKUP(D477,契約台帳!$A$3:$Q$4986,17,FALSE)))</f>
        <v>2</v>
      </c>
      <c r="Z477" s="256" t="str">
        <f ca="1">IF(D477="","",IF(T477="","",VLOOKUP(D477,契約台帳!$A$3:$E$4986,5,FALSE)))</f>
        <v>新タック化成㈱</v>
      </c>
      <c r="AA477" s="54"/>
      <c r="AB477" s="200" t="str">
        <f>IFERROR((VLOOKUP(F477&amp;K477&amp;M477,製品マスタ!$M$5:$AM$4999,27,FALSE)),"")</f>
        <v>原反ケース再利用</v>
      </c>
      <c r="AC477" s="31"/>
      <c r="AD477" s="184"/>
      <c r="AE477" s="51"/>
      <c r="AF477" s="52"/>
      <c r="AG477" s="41"/>
      <c r="AH477" s="45"/>
      <c r="AI477" s="28"/>
      <c r="AJ477" s="28"/>
      <c r="AK477" s="28"/>
      <c r="AL477" s="28"/>
      <c r="AM477" s="12"/>
      <c r="AN477" s="12"/>
      <c r="AO477" s="12"/>
      <c r="AP477" s="12"/>
      <c r="AQ477" s="12"/>
      <c r="AR477" s="13"/>
      <c r="AS477" s="14"/>
    </row>
    <row r="478" spans="1:45" s="16" customFormat="1" ht="30.95" hidden="1" customHeight="1" x14ac:dyDescent="0.2">
      <c r="A478" s="35"/>
      <c r="B478" s="36"/>
      <c r="C478" s="43"/>
      <c r="D478" s="29"/>
      <c r="E478" s="29"/>
      <c r="F478" s="255" t="str">
        <f>IF(D478="","",VLOOKUP(D478,契約台帳!$A$3:$K$4986,6,FALSE)&amp;VLOOKUP(D478,契約台帳!$A$3:$K$4986,7,FALSE)&amp;VLOOKUP(D478,契約台帳!$A$3:$K$4986,8,FALSE)&amp;VLOOKUP(D478,契約台帳!$A$3:$K$4986,9,FALSE)&amp;VLOOKUP(D478,契約台帳!$A$3:$K$4986,11,FALSE))</f>
        <v/>
      </c>
      <c r="G478" s="256" t="str">
        <f>IF(D478="","",VLOOKUP(F478,製品マスタ!$G$5:$H$4999,2,FALSE))</f>
        <v/>
      </c>
      <c r="H478" s="256" t="str">
        <f>IF(D478="","",VLOOKUP(F478,製品マスタ!$G$5:$K$4999,5,FALSE))</f>
        <v/>
      </c>
      <c r="I478" s="200" t="str">
        <f>IF(D478="","",VLOOKUP(F478,製品マスタ!$G$5:$L$4999,6,FALSE))</f>
        <v/>
      </c>
      <c r="J478" s="203"/>
      <c r="K478" s="200" t="str">
        <f>IF(D478="","",VLOOKUP(D478,契約台帳!$A$3:$L$4986,12,FALSE))</f>
        <v/>
      </c>
      <c r="L478" s="200" t="str">
        <f>IF(D478="","",INDEX(製品マスタ!$Q$5:$Q$4999,MATCH('S4'!F478&amp;'S4'!K478,製品マスタ!$AO$5:$AO$4999,0)))</f>
        <v/>
      </c>
      <c r="M478" s="37"/>
      <c r="N478" s="37"/>
      <c r="O478" s="153"/>
      <c r="P478" s="45"/>
      <c r="Q478" s="54"/>
      <c r="R478" s="257" t="str">
        <f ca="1">IF(D478="","",IF(OFFSET(D478,-1,0)&lt;&gt;"","",IF(OR(J478="リード付け",J478="巻足し",J478="巻返しリード付け"),M478,VLOOKUP(D478,契約台帳!$A$3:$N$4986,14,FALSE))))</f>
        <v/>
      </c>
      <c r="S478" s="258" t="str">
        <f ca="1">IF(D478="","",IF(OFFSET(D478,-1,0)&lt;&gt;"","",IF(OR(J478="リード付け",J478="巻足し",J478="巻返しリード付け"),M478,VLOOKUP(D478,契約台帳!$A$3:$O$4986,15,FALSE))))</f>
        <v/>
      </c>
      <c r="T478" s="258" t="str">
        <f ca="1">IF(D478="","",IF(J478="リード付け",N478,IF(J478="巻返しリード付け",N478,IF(J478="巻足し",N478*P478+OFFSET(N478,1,0)*OFFSET(P478,1,0),VLOOKUP(D478,契約台帳!$A$3:$P$4986,16,FALSE)))))</f>
        <v/>
      </c>
      <c r="U478" s="38"/>
      <c r="V478" s="259" t="str">
        <f ca="1">IF(D478="","",IF(OFFSET(D478,-2,0)=D478,"",VLOOKUP(D478,契約台帳!$A$3:$R$4986,18,FALSE)))</f>
        <v/>
      </c>
      <c r="W478" s="256" t="str">
        <f>IF(D478="","",IF(T478="","",IF(OR(J478="巻足し",J478="巻返しリード付け"),"",IF(J478="巻返し",VLOOKUP(F478&amp;K478&amp;M478,製品マスタ!$M$5:$AD$4999,18,FALSE),IF(OR(J478="リード付け",J478="巻返しリード付け"),"原反コア",IF(J478="スリット",VLOOKUP(F478&amp;K478&amp;R478,製品マスタ!$N$5:$AD$4999,17,FALSE),""))))))</f>
        <v/>
      </c>
      <c r="X478" s="256" t="str">
        <f>IF(D478="","",IF(T478="","",IF(J478="巻足し","",IF(J478="巻返し",VLOOKUP(F478&amp;K478&amp;M478,製品マスタ!$M$5:$AE$4999,19,FALSE),IF(OR(J478="リード付け",J478="巻返しリード付け"),"",IF(J478="スリット",VLOOKUP(F478&amp;K478&amp;R478,製品マスタ!$N$5:$AE$4999,18,FALSE),""))))))</f>
        <v/>
      </c>
      <c r="Y478" s="256" t="str">
        <f>IF(D478="","",IF(T478="","",VLOOKUP(D478,契約台帳!$A$3:$Q$4986,17,FALSE)))</f>
        <v/>
      </c>
      <c r="Z478" s="256" t="str">
        <f>IF(D478="","",IF(T478="","",VLOOKUP(D478,契約台帳!$A$3:$E$4986,5,FALSE)))</f>
        <v/>
      </c>
      <c r="AA478" s="54"/>
      <c r="AB478" s="200" t="str">
        <f>IFERROR((VLOOKUP(F478&amp;K478&amp;M478,製品マスタ!$M$5:$AM$4999,27,FALSE)),"")</f>
        <v/>
      </c>
      <c r="AC478" s="31"/>
      <c r="AD478" s="184"/>
      <c r="AE478" s="51"/>
      <c r="AF478" s="52"/>
      <c r="AG478" s="41"/>
      <c r="AH478" s="45"/>
      <c r="AI478" s="28"/>
      <c r="AJ478" s="28"/>
      <c r="AK478" s="28"/>
      <c r="AL478" s="28"/>
      <c r="AM478" s="12"/>
      <c r="AN478" s="12"/>
      <c r="AO478" s="12"/>
      <c r="AP478" s="12"/>
      <c r="AQ478" s="12"/>
      <c r="AR478" s="13"/>
      <c r="AS478" s="14"/>
    </row>
    <row r="479" spans="1:45" s="16" customFormat="1" ht="30.95" hidden="1" customHeight="1" x14ac:dyDescent="0.2">
      <c r="A479" s="35" t="s">
        <v>1061</v>
      </c>
      <c r="B479" s="36" t="s">
        <v>1052</v>
      </c>
      <c r="C479" s="43"/>
      <c r="D479" s="29">
        <v>3703990</v>
      </c>
      <c r="E479" s="29">
        <v>4140915</v>
      </c>
      <c r="F479" s="255" t="str">
        <f>IF(D479="","",VLOOKUP(D479,契約台帳!$A$3:$K$4986,6,FALSE)&amp;VLOOKUP(D479,契約台帳!$A$3:$K$4986,7,FALSE)&amp;VLOOKUP(D479,契約台帳!$A$3:$K$4986,8,FALSE)&amp;VLOOKUP(D479,契約台帳!$A$3:$K$4986,9,FALSE)&amp;VLOOKUP(D479,契約台帳!$A$3:$K$4986,11,FALSE))</f>
        <v>33SSNMCLBTETKFV</v>
      </c>
      <c r="G479" s="256" t="str">
        <f>IF(D479="","",VLOOKUP(F479,製品マスタ!$G$5:$H$4999,2,FALSE))</f>
        <v>S</v>
      </c>
      <c r="H479" s="256" t="str">
        <f>IF(D479="","",VLOOKUP(F479,製品マスタ!$G$5:$K$4999,5,FALSE))</f>
        <v>TETKFV</v>
      </c>
      <c r="I479" s="200" t="str">
        <f>IF(D479="","",VLOOKUP(F479,製品マスタ!$G$5:$L$4999,6,FALSE))</f>
        <v>メタルミー　ＴＥＳ艶開封　Ｖ</v>
      </c>
      <c r="J479" s="203" t="s">
        <v>1051</v>
      </c>
      <c r="K479" s="200">
        <f>IF(D479="","",VLOOKUP(D479,契約台帳!$A$3:$L$4986,12,FALSE))</f>
        <v>50</v>
      </c>
      <c r="L479" s="200" t="str">
        <f>IF(D479="","",INDEX(製品マスタ!$Q$5:$Q$4999,MATCH('S4'!F479&amp;'S4'!K479,製品マスタ!$AO$5:$AO$4999,0)))</f>
        <v>S28SEPA</v>
      </c>
      <c r="M479" s="37">
        <v>1005</v>
      </c>
      <c r="N479" s="37">
        <v>12300</v>
      </c>
      <c r="O479" s="153">
        <v>1</v>
      </c>
      <c r="P479" s="45">
        <v>1</v>
      </c>
      <c r="Q479" s="54"/>
      <c r="R479" s="257">
        <f ca="1">IF(D479="","",IF(OFFSET(D479,-1,0)&lt;&gt;"","",IF(OR(J479="リード付け",J479="巻足し",J479="巻返しリード付け"),M479,VLOOKUP(D479,契約台帳!$A$3:$N$4986,14,FALSE))))</f>
        <v>1005</v>
      </c>
      <c r="S479" s="258">
        <f ca="1">IF(D479="","",IF(OFFSET(D479,-1,0)&lt;&gt;"","",IF(OR(J479="リード付け",J479="巻足し",J479="巻返しリード付け"),M479,VLOOKUP(D479,契約台帳!$A$3:$O$4986,15,FALSE))))</f>
        <v>1000</v>
      </c>
      <c r="T479" s="258">
        <f ca="1">IF(D479="","",IF(J479="リード付け",N479,IF(J479="巻返しリード付け",N479,IF(J479="巻足し",N479*P479+OFFSET(N479,1,0)*OFFSET(P479,1,0),VLOOKUP(D479,契約台帳!$A$3:$P$4986,16,FALSE)))))</f>
        <v>4000</v>
      </c>
      <c r="U479" s="38">
        <v>3</v>
      </c>
      <c r="V479" s="259">
        <f ca="1">IF(D479="","",IF(OFFSET(D479,-2,0)=D479,"",VLOOKUP(D479,契約台帳!$A$3:$R$4986,18,FALSE)))</f>
        <v>3</v>
      </c>
      <c r="W479" s="256" t="str">
        <f ca="1">IF(D479="","",IF(T479="","",IF(OR(J479="巻足し",J479="巻返しリード付け"),"",IF(J479="巻返し",VLOOKUP(F479&amp;K479&amp;M479,製品マスタ!$M$5:$AD$4999,18,FALSE),IF(OR(J479="リード付け",J479="巻返しリード付け"),"原反コア",IF(J479="スリット",VLOOKUP(F479&amp;K479&amp;R479,製品マスタ!$N$5:$AD$4999,17,FALSE),""))))))</f>
        <v>6ｲﾝﾁSｺｱ</v>
      </c>
      <c r="X479" s="256">
        <f ca="1">IF(D479="","",IF(T479="","",IF(J479="巻足し","",IF(J479="巻返し",VLOOKUP(F479&amp;K479&amp;M479,製品マスタ!$M$5:$AE$4999,19,FALSE),IF(OR(J479="リード付け",J479="巻返しリード付け"),"",IF(J479="スリット",VLOOKUP(F479&amp;K479&amp;R479,製品マスタ!$N$5:$AE$4999,18,FALSE),""))))))</f>
        <v>1015</v>
      </c>
      <c r="Y479" s="256">
        <f ca="1">IF(D479="","",IF(T479="","",VLOOKUP(D479,契約台帳!$A$3:$Q$4986,17,FALSE)))</f>
        <v>2</v>
      </c>
      <c r="Z479" s="256" t="str">
        <f ca="1">IF(D479="","",IF(T479="","",VLOOKUP(D479,契約台帳!$A$3:$E$4986,5,FALSE)))</f>
        <v>リンテック㈱</v>
      </c>
      <c r="AA479" s="54"/>
      <c r="AB479" s="200">
        <f>IFERROR((VLOOKUP(F479&amp;K479&amp;M479,製品マスタ!$M$5:$AM$4999,27,FALSE)),"")</f>
        <v>0</v>
      </c>
      <c r="AC479" s="31"/>
      <c r="AD479" s="184"/>
      <c r="AE479" s="51"/>
      <c r="AF479" s="52"/>
      <c r="AG479" s="41"/>
      <c r="AH479" s="45"/>
      <c r="AI479" s="28"/>
      <c r="AJ479" s="28"/>
      <c r="AK479" s="28"/>
      <c r="AL479" s="28"/>
      <c r="AM479" s="12"/>
      <c r="AN479" s="12"/>
      <c r="AO479" s="12"/>
      <c r="AP479" s="12"/>
      <c r="AQ479" s="12"/>
      <c r="AR479" s="13"/>
      <c r="AS479" s="14"/>
    </row>
    <row r="480" spans="1:45" s="16" customFormat="1" ht="30.95" hidden="1" customHeight="1" x14ac:dyDescent="0.2">
      <c r="A480" s="35"/>
      <c r="B480" s="36"/>
      <c r="C480" s="43"/>
      <c r="D480" s="29"/>
      <c r="E480" s="29"/>
      <c r="F480" s="255" t="str">
        <f>IF(D480="","",VLOOKUP(D480,契約台帳!$A$3:$K$4986,6,FALSE)&amp;VLOOKUP(D480,契約台帳!$A$3:$K$4986,7,FALSE)&amp;VLOOKUP(D480,契約台帳!$A$3:$K$4986,8,FALSE)&amp;VLOOKUP(D480,契約台帳!$A$3:$K$4986,9,FALSE)&amp;VLOOKUP(D480,契約台帳!$A$3:$K$4986,11,FALSE))</f>
        <v/>
      </c>
      <c r="G480" s="256" t="str">
        <f>IF(D480="","",VLOOKUP(F480,製品マスタ!$G$5:$H$4999,2,FALSE))</f>
        <v/>
      </c>
      <c r="H480" s="256" t="str">
        <f>IF(D480="","",VLOOKUP(F480,製品マスタ!$G$5:$K$4999,5,FALSE))</f>
        <v/>
      </c>
      <c r="I480" s="200" t="str">
        <f>IF(D480="","",VLOOKUP(F480,製品マスタ!$G$5:$L$4999,6,FALSE))</f>
        <v/>
      </c>
      <c r="J480" s="203"/>
      <c r="K480" s="200" t="str">
        <f>IF(D480="","",VLOOKUP(D480,契約台帳!$A$3:$L$4986,12,FALSE))</f>
        <v/>
      </c>
      <c r="L480" s="200" t="str">
        <f>IF(D480="","",INDEX(製品マスタ!$Q$5:$Q$4999,MATCH('S4'!F480&amp;'S4'!K480,製品マスタ!$AO$5:$AO$4999,0)))</f>
        <v/>
      </c>
      <c r="M480" s="37"/>
      <c r="N480" s="37"/>
      <c r="O480" s="153"/>
      <c r="P480" s="45"/>
      <c r="Q480" s="54"/>
      <c r="R480" s="257" t="str">
        <f ca="1">IF(D480="","",IF(OFFSET(D480,-1,0)&lt;&gt;"","",IF(OR(J480="リード付け",J480="巻足し",J480="巻返しリード付け"),M480,VLOOKUP(D480,契約台帳!$A$3:$N$4986,14,FALSE))))</f>
        <v/>
      </c>
      <c r="S480" s="258" t="str">
        <f ca="1">IF(D480="","",IF(OFFSET(D480,-1,0)&lt;&gt;"","",IF(OR(J480="リード付け",J480="巻足し",J480="巻返しリード付け"),M480,VLOOKUP(D480,契約台帳!$A$3:$O$4986,15,FALSE))))</f>
        <v/>
      </c>
      <c r="T480" s="258" t="str">
        <f ca="1">IF(D480="","",IF(J480="リード付け",N480,IF(J480="巻返しリード付け",N480,IF(J480="巻足し",N480*P480+OFFSET(N480,1,0)*OFFSET(P480,1,0),VLOOKUP(D480,契約台帳!$A$3:$P$4986,16,FALSE)))))</f>
        <v/>
      </c>
      <c r="U480" s="38"/>
      <c r="V480" s="259" t="str">
        <f ca="1">IF(D480="","",IF(OFFSET(D480,-2,0)=D480,"",VLOOKUP(D480,契約台帳!$A$3:$R$4986,18,FALSE)))</f>
        <v/>
      </c>
      <c r="W480" s="256" t="str">
        <f>IF(D480="","",IF(T480="","",IF(OR(J480="巻足し",J480="巻返しリード付け"),"",IF(J480="巻返し",VLOOKUP(F480&amp;K480&amp;M480,製品マスタ!$M$5:$AD$4999,18,FALSE),IF(OR(J480="リード付け",J480="巻返しリード付け"),"原反コア",IF(J480="スリット",VLOOKUP(F480&amp;K480&amp;R480,製品マスタ!$N$5:$AD$4999,17,FALSE),""))))))</f>
        <v/>
      </c>
      <c r="X480" s="256" t="str">
        <f>IF(D480="","",IF(T480="","",IF(J480="巻足し","",IF(J480="巻返し",VLOOKUP(F480&amp;K480&amp;M480,製品マスタ!$M$5:$AE$4999,19,FALSE),IF(OR(J480="リード付け",J480="巻返しリード付け"),"",IF(J480="スリット",VLOOKUP(F480&amp;K480&amp;R480,製品マスタ!$N$5:$AE$4999,18,FALSE),""))))))</f>
        <v/>
      </c>
      <c r="Y480" s="256" t="str">
        <f>IF(D480="","",IF(T480="","",VLOOKUP(D480,契約台帳!$A$3:$Q$4986,17,FALSE)))</f>
        <v/>
      </c>
      <c r="Z480" s="256" t="str">
        <f>IF(D480="","",IF(T480="","",VLOOKUP(D480,契約台帳!$A$3:$E$4986,5,FALSE)))</f>
        <v/>
      </c>
      <c r="AA480" s="54"/>
      <c r="AB480" s="200" t="str">
        <f>IFERROR((VLOOKUP(F480&amp;K480&amp;M480,製品マスタ!$M$5:$AM$4999,27,FALSE)),"")</f>
        <v/>
      </c>
      <c r="AC480" s="31"/>
      <c r="AD480" s="184"/>
      <c r="AE480" s="51"/>
      <c r="AF480" s="52"/>
      <c r="AG480" s="41"/>
      <c r="AH480" s="45"/>
      <c r="AI480" s="28"/>
      <c r="AJ480" s="28"/>
      <c r="AK480" s="28"/>
      <c r="AL480" s="28"/>
      <c r="AM480" s="12"/>
      <c r="AN480" s="12"/>
      <c r="AO480" s="12"/>
      <c r="AP480" s="12"/>
      <c r="AQ480" s="12"/>
      <c r="AR480" s="13"/>
      <c r="AS480" s="14"/>
    </row>
    <row r="481" spans="1:45" s="16" customFormat="1" ht="30.95" hidden="1" customHeight="1" x14ac:dyDescent="0.2">
      <c r="A481" s="35"/>
      <c r="B481" s="36"/>
      <c r="C481" s="43"/>
      <c r="D481" s="29">
        <v>3703991</v>
      </c>
      <c r="E481" s="29">
        <v>4140923</v>
      </c>
      <c r="F481" s="255" t="str">
        <f>IF(D481="","",VLOOKUP(D481,契約台帳!$A$3:$K$4986,6,FALSE)&amp;VLOOKUP(D481,契約台帳!$A$3:$K$4986,7,FALSE)&amp;VLOOKUP(D481,契約台帳!$A$3:$K$4986,8,FALSE)&amp;VLOOKUP(D481,契約台帳!$A$3:$K$4986,9,FALSE)&amp;VLOOKUP(D481,契約台帳!$A$3:$K$4986,11,FALSE))</f>
        <v>3SNMCLBTETV0V</v>
      </c>
      <c r="G481" s="256" t="str">
        <f>IF(D481="","",VLOOKUP(F481,製品マスタ!$G$5:$H$4999,2,FALSE))</f>
        <v>S</v>
      </c>
      <c r="H481" s="256" t="str">
        <f>IF(D481="","",VLOOKUP(F481,製品マスタ!$G$5:$K$4999,5,FALSE))</f>
        <v>TETV0V</v>
      </c>
      <c r="I481" s="200" t="str">
        <f>IF(D481="","",VLOOKUP(F481,製品マスタ!$G$5:$L$4999,6,FALSE))</f>
        <v>メタルミー　ＴＥＳ艶ＶＯＩＤＶ</v>
      </c>
      <c r="J481" s="203" t="s">
        <v>1051</v>
      </c>
      <c r="K481" s="200">
        <f>IF(D481="","",VLOOKUP(D481,契約台帳!$A$3:$L$4986,12,FALSE))</f>
        <v>50</v>
      </c>
      <c r="L481" s="200" t="str">
        <f>IF(D481="","",INDEX(製品マスタ!$Q$5:$Q$4999,MATCH('S4'!F481&amp;'S4'!K481,製品マスタ!$AO$5:$AO$4999,0)))</f>
        <v>S28SEPA</v>
      </c>
      <c r="M481" s="37">
        <v>1005</v>
      </c>
      <c r="N481" s="37">
        <v>12300</v>
      </c>
      <c r="O481" s="153">
        <v>1</v>
      </c>
      <c r="P481" s="45">
        <v>1</v>
      </c>
      <c r="Q481" s="54"/>
      <c r="R481" s="257">
        <f ca="1">IF(D481="","",IF(OFFSET(D481,-1,0)&lt;&gt;"","",IF(OR(J481="リード付け",J481="巻足し",J481="巻返しリード付け"),M481,VLOOKUP(D481,契約台帳!$A$3:$N$4986,14,FALSE))))</f>
        <v>1005</v>
      </c>
      <c r="S481" s="258">
        <f ca="1">IF(D481="","",IF(OFFSET(D481,-1,0)&lt;&gt;"","",IF(OR(J481="リード付け",J481="巻足し",J481="巻返しリード付け"),M481,VLOOKUP(D481,契約台帳!$A$3:$O$4986,15,FALSE))))</f>
        <v>1000</v>
      </c>
      <c r="T481" s="258">
        <f ca="1">IF(D481="","",IF(J481="リード付け",N481,IF(J481="巻返しリード付け",N481,IF(J481="巻足し",N481*P481+OFFSET(N481,1,0)*OFFSET(P481,1,0),VLOOKUP(D481,契約台帳!$A$3:$P$4986,16,FALSE)))))</f>
        <v>4000</v>
      </c>
      <c r="U481" s="38">
        <v>3</v>
      </c>
      <c r="V481" s="259">
        <f ca="1">IF(D481="","",IF(OFFSET(D481,-2,0)=D481,"",VLOOKUP(D481,契約台帳!$A$3:$R$4986,18,FALSE)))</f>
        <v>3</v>
      </c>
      <c r="W481" s="256" t="str">
        <f ca="1">IF(D481="","",IF(T481="","",IF(OR(J481="巻足し",J481="巻返しリード付け"),"",IF(J481="巻返し",VLOOKUP(F481&amp;K481&amp;M481,製品マスタ!$M$5:$AD$4999,18,FALSE),IF(OR(J481="リード付け",J481="巻返しリード付け"),"原反コア",IF(J481="スリット",VLOOKUP(F481&amp;K481&amp;R481,製品マスタ!$N$5:$AD$4999,17,FALSE),""))))))</f>
        <v>6ｲﾝﾁSｺｱ</v>
      </c>
      <c r="X481" s="256">
        <f ca="1">IF(D481="","",IF(T481="","",IF(J481="巻足し","",IF(J481="巻返し",VLOOKUP(F481&amp;K481&amp;M481,製品マスタ!$M$5:$AE$4999,19,FALSE),IF(OR(J481="リード付け",J481="巻返しリード付け"),"",IF(J481="スリット",VLOOKUP(F481&amp;K481&amp;R481,製品マスタ!$N$5:$AE$4999,18,FALSE),""))))))</f>
        <v>1015</v>
      </c>
      <c r="Y481" s="256">
        <f ca="1">IF(D481="","",IF(T481="","",VLOOKUP(D481,契約台帳!$A$3:$Q$4986,17,FALSE)))</f>
        <v>2</v>
      </c>
      <c r="Z481" s="256" t="str">
        <f ca="1">IF(D481="","",IF(T481="","",VLOOKUP(D481,契約台帳!$A$3:$E$4986,5,FALSE)))</f>
        <v>リンテック㈱</v>
      </c>
      <c r="AA481" s="54"/>
      <c r="AB481" s="200">
        <f>IFERROR((VLOOKUP(F481&amp;K481&amp;M481,製品マスタ!$M$5:$AM$4999,27,FALSE)),"")</f>
        <v>0</v>
      </c>
      <c r="AC481" s="31"/>
      <c r="AD481" s="184"/>
      <c r="AE481" s="51"/>
      <c r="AF481" s="52"/>
      <c r="AG481" s="41"/>
      <c r="AH481" s="45"/>
      <c r="AI481" s="28"/>
      <c r="AJ481" s="28"/>
      <c r="AK481" s="28"/>
      <c r="AL481" s="28"/>
      <c r="AM481" s="12"/>
      <c r="AN481" s="12"/>
      <c r="AO481" s="12"/>
      <c r="AP481" s="12"/>
      <c r="AQ481" s="12"/>
      <c r="AR481" s="13"/>
      <c r="AS481" s="14"/>
    </row>
    <row r="482" spans="1:45" s="16" customFormat="1" ht="30.95" hidden="1" customHeight="1" x14ac:dyDescent="0.2">
      <c r="A482" s="35"/>
      <c r="B482" s="36"/>
      <c r="C482" s="43"/>
      <c r="D482" s="29"/>
      <c r="E482" s="29"/>
      <c r="F482" s="255" t="str">
        <f>IF(D482="","",VLOOKUP(D482,契約台帳!$A$3:$K$4986,6,FALSE)&amp;VLOOKUP(D482,契約台帳!$A$3:$K$4986,7,FALSE)&amp;VLOOKUP(D482,契約台帳!$A$3:$K$4986,8,FALSE)&amp;VLOOKUP(D482,契約台帳!$A$3:$K$4986,9,FALSE)&amp;VLOOKUP(D482,契約台帳!$A$3:$K$4986,11,FALSE))</f>
        <v/>
      </c>
      <c r="G482" s="256" t="str">
        <f>IF(D482="","",VLOOKUP(F482,製品マスタ!$G$5:$H$4999,2,FALSE))</f>
        <v/>
      </c>
      <c r="H482" s="256" t="str">
        <f>IF(D482="","",VLOOKUP(F482,製品マスタ!$G$5:$K$4999,5,FALSE))</f>
        <v/>
      </c>
      <c r="I482" s="200" t="str">
        <f>IF(D482="","",VLOOKUP(F482,製品マスタ!$G$5:$L$4999,6,FALSE))</f>
        <v/>
      </c>
      <c r="J482" s="203"/>
      <c r="K482" s="200" t="str">
        <f>IF(D482="","",VLOOKUP(D482,契約台帳!$A$3:$L$4986,12,FALSE))</f>
        <v/>
      </c>
      <c r="L482" s="200" t="str">
        <f>IF(D482="","",INDEX(製品マスタ!$Q$5:$Q$4999,MATCH('S4'!F482&amp;'S4'!K482,製品マスタ!$AO$5:$AO$4999,0)))</f>
        <v/>
      </c>
      <c r="M482" s="37"/>
      <c r="N482" s="37"/>
      <c r="O482" s="153"/>
      <c r="P482" s="45"/>
      <c r="Q482" s="54"/>
      <c r="R482" s="257" t="str">
        <f ca="1">IF(D482="","",IF(OFFSET(D482,-1,0)&lt;&gt;"","",IF(OR(J482="リード付け",J482="巻足し",J482="巻返しリード付け"),M482,VLOOKUP(D482,契約台帳!$A$3:$N$4986,14,FALSE))))</f>
        <v/>
      </c>
      <c r="S482" s="258" t="str">
        <f ca="1">IF(D482="","",IF(OFFSET(D482,-1,0)&lt;&gt;"","",IF(OR(J482="リード付け",J482="巻足し",J482="巻返しリード付け"),M482,VLOOKUP(D482,契約台帳!$A$3:$O$4986,15,FALSE))))</f>
        <v/>
      </c>
      <c r="T482" s="258" t="str">
        <f ca="1">IF(D482="","",IF(J482="リード付け",N482,IF(J482="巻返しリード付け",N482,IF(J482="巻足し",N482*P482+OFFSET(N482,1,0)*OFFSET(P482,1,0),VLOOKUP(D482,契約台帳!$A$3:$P$4986,16,FALSE)))))</f>
        <v/>
      </c>
      <c r="U482" s="38"/>
      <c r="V482" s="259" t="str">
        <f ca="1">IF(D482="","",IF(OFFSET(D482,-2,0)=D482,"",VLOOKUP(D482,契約台帳!$A$3:$R$4986,18,FALSE)))</f>
        <v/>
      </c>
      <c r="W482" s="256" t="str">
        <f>IF(D482="","",IF(T482="","",IF(OR(J482="巻足し",J482="巻返しリード付け"),"",IF(J482="巻返し",VLOOKUP(F482&amp;K482&amp;M482,製品マスタ!$M$5:$AD$4999,18,FALSE),IF(OR(J482="リード付け",J482="巻返しリード付け"),"原反コア",IF(J482="スリット",VLOOKUP(F482&amp;K482&amp;R482,製品マスタ!$N$5:$AD$4999,17,FALSE),""))))))</f>
        <v/>
      </c>
      <c r="X482" s="256" t="str">
        <f>IF(D482="","",IF(T482="","",IF(J482="巻足し","",IF(J482="巻返し",VLOOKUP(F482&amp;K482&amp;M482,製品マスタ!$M$5:$AE$4999,19,FALSE),IF(OR(J482="リード付け",J482="巻返しリード付け"),"",IF(J482="スリット",VLOOKUP(F482&amp;K482&amp;R482,製品マスタ!$N$5:$AE$4999,18,FALSE),""))))))</f>
        <v/>
      </c>
      <c r="Y482" s="256" t="str">
        <f>IF(D482="","",IF(T482="","",VLOOKUP(D482,契約台帳!$A$3:$Q$4986,17,FALSE)))</f>
        <v/>
      </c>
      <c r="Z482" s="256" t="str">
        <f>IF(D482="","",IF(T482="","",VLOOKUP(D482,契約台帳!$A$3:$E$4986,5,FALSE)))</f>
        <v/>
      </c>
      <c r="AA482" s="54"/>
      <c r="AB482" s="200" t="str">
        <f>IFERROR((VLOOKUP(F482&amp;K482&amp;M482,製品マスタ!$M$5:$AM$4999,27,FALSE)),"")</f>
        <v/>
      </c>
      <c r="AC482" s="31"/>
      <c r="AD482" s="184"/>
      <c r="AE482" s="51"/>
      <c r="AF482" s="52"/>
      <c r="AG482" s="41"/>
      <c r="AH482" s="45"/>
      <c r="AI482" s="28"/>
      <c r="AJ482" s="28"/>
      <c r="AK482" s="28"/>
      <c r="AL482" s="28"/>
      <c r="AM482" s="12"/>
      <c r="AN482" s="12"/>
      <c r="AO482" s="12"/>
      <c r="AP482" s="12"/>
      <c r="AQ482" s="12"/>
      <c r="AR482" s="13"/>
      <c r="AS482" s="14"/>
    </row>
    <row r="483" spans="1:45" s="16" customFormat="1" ht="30.95" hidden="1" customHeight="1" x14ac:dyDescent="0.2">
      <c r="A483" s="35"/>
      <c r="B483" s="36"/>
      <c r="C483" s="43"/>
      <c r="D483" s="29">
        <v>3703988</v>
      </c>
      <c r="E483" s="29">
        <v>4140922</v>
      </c>
      <c r="F483" s="255" t="str">
        <f>IF(D483="","",VLOOKUP(D483,契約台帳!$A$3:$K$4986,6,FALSE)&amp;VLOOKUP(D483,契約台帳!$A$3:$K$4986,7,FALSE)&amp;VLOOKUP(D483,契約台帳!$A$3:$K$4986,8,FALSE)&amp;VLOOKUP(D483,契約台帳!$A$3:$K$4986,9,FALSE)&amp;VLOOKUP(D483,契約台帳!$A$3:$K$4986,11,FALSE))</f>
        <v>3SNMCLBNGKVB</v>
      </c>
      <c r="G483" s="256" t="str">
        <f>IF(D483="","",VLOOKUP(F483,製品マスタ!$G$5:$H$4999,2,FALSE))</f>
        <v>S</v>
      </c>
      <c r="H483" s="256" t="str">
        <f>IF(D483="","",VLOOKUP(F483,製品マスタ!$G$5:$K$4999,5,FALSE))</f>
        <v>NGKVB</v>
      </c>
      <c r="I483" s="200" t="str">
        <f>IF(D483="","",VLOOKUP(F483,製品マスタ!$G$5:$L$4999,6,FALSE))</f>
        <v>メタルミー　ネーマー銀消　ＶＢ</v>
      </c>
      <c r="J483" s="203" t="s">
        <v>1051</v>
      </c>
      <c r="K483" s="200">
        <f>IF(D483="","",VLOOKUP(D483,契約台帳!$A$3:$L$4986,12,FALSE))</f>
        <v>50</v>
      </c>
      <c r="L483" s="200" t="str">
        <f>IF(D483="","",INDEX(製品マスタ!$Q$5:$Q$4999,MATCH('S4'!F483&amp;'S4'!K483,製品マスタ!$AO$5:$AO$4999,0)))</f>
        <v>MAT</v>
      </c>
      <c r="M483" s="37">
        <v>1005</v>
      </c>
      <c r="N483" s="37">
        <v>12300</v>
      </c>
      <c r="O483" s="153">
        <v>1</v>
      </c>
      <c r="P483" s="45">
        <v>1</v>
      </c>
      <c r="Q483" s="54"/>
      <c r="R483" s="257">
        <f ca="1">IF(D483="","",IF(OFFSET(D483,-1,0)&lt;&gt;"","",IF(OR(J483="リード付け",J483="巻足し",J483="巻返しリード付け"),M483,VLOOKUP(D483,契約台帳!$A$3:$N$4986,14,FALSE))))</f>
        <v>1005</v>
      </c>
      <c r="S483" s="258">
        <f ca="1">IF(D483="","",IF(OFFSET(D483,-1,0)&lt;&gt;"","",IF(OR(J483="リード付け",J483="巻足し",J483="巻返しリード付け"),M483,VLOOKUP(D483,契約台帳!$A$3:$O$4986,15,FALSE))))</f>
        <v>1000</v>
      </c>
      <c r="T483" s="258">
        <f ca="1">IF(D483="","",IF(J483="リード付け",N483,IF(J483="巻返しリード付け",N483,IF(J483="巻足し",N483*P483+OFFSET(N483,1,0)*OFFSET(P483,1,0),VLOOKUP(D483,契約台帳!$A$3:$P$4986,16,FALSE)))))</f>
        <v>4000</v>
      </c>
      <c r="U483" s="38">
        <v>3</v>
      </c>
      <c r="V483" s="259">
        <f ca="1">IF(D483="","",IF(OFFSET(D483,-2,0)=D483,"",VLOOKUP(D483,契約台帳!$A$3:$R$4986,18,FALSE)))</f>
        <v>3</v>
      </c>
      <c r="W483" s="256" t="str">
        <f ca="1">IF(D483="","",IF(T483="","",IF(OR(J483="巻足し",J483="巻返しリード付け"),"",IF(J483="巻返し",VLOOKUP(F483&amp;K483&amp;M483,製品マスタ!$M$5:$AD$4999,18,FALSE),IF(OR(J483="リード付け",J483="巻返しリード付け"),"原反コア",IF(J483="スリット",VLOOKUP(F483&amp;K483&amp;R483,製品マスタ!$N$5:$AD$4999,17,FALSE),""))))))</f>
        <v>6ｲﾝﾁMｺｱ</v>
      </c>
      <c r="X483" s="256">
        <f ca="1">IF(D483="","",IF(T483="","",IF(J483="巻足し","",IF(J483="巻返し",VLOOKUP(F483&amp;K483&amp;M483,製品マスタ!$M$5:$AE$4999,19,FALSE),IF(OR(J483="リード付け",J483="巻返しリード付け"),"",IF(J483="スリット",VLOOKUP(F483&amp;K483&amp;R483,製品マスタ!$N$5:$AE$4999,18,FALSE),""))))))</f>
        <v>1020</v>
      </c>
      <c r="Y483" s="256">
        <f ca="1">IF(D483="","",IF(T483="","",VLOOKUP(D483,契約台帳!$A$3:$Q$4986,17,FALSE)))</f>
        <v>2</v>
      </c>
      <c r="Z483" s="256" t="str">
        <f ca="1">IF(D483="","",IF(T483="","",VLOOKUP(D483,契約台帳!$A$3:$E$4986,5,FALSE)))</f>
        <v>リンテック㈱</v>
      </c>
      <c r="AA483" s="54"/>
      <c r="AB483" s="200">
        <f>IFERROR((VLOOKUP(F483&amp;K483&amp;M483,製品マスタ!$M$5:$AM$4999,27,FALSE)),"")</f>
        <v>0</v>
      </c>
      <c r="AC483" s="31"/>
      <c r="AD483" s="184"/>
      <c r="AE483" s="51"/>
      <c r="AF483" s="52"/>
      <c r="AG483" s="41"/>
      <c r="AH483" s="45"/>
      <c r="AI483" s="28"/>
      <c r="AJ483" s="28"/>
      <c r="AK483" s="28"/>
      <c r="AL483" s="28"/>
      <c r="AM483" s="12"/>
      <c r="AN483" s="12"/>
      <c r="AO483" s="12"/>
      <c r="AP483" s="12"/>
      <c r="AQ483" s="12"/>
      <c r="AR483" s="13"/>
      <c r="AS483" s="14"/>
    </row>
    <row r="484" spans="1:45" s="16" customFormat="1" ht="30.95" hidden="1" customHeight="1" x14ac:dyDescent="0.2">
      <c r="A484" s="35"/>
      <c r="B484" s="36"/>
      <c r="C484" s="43"/>
      <c r="D484" s="29"/>
      <c r="E484" s="29"/>
      <c r="F484" s="255" t="str">
        <f>IF(D484="","",VLOOKUP(D484,契約台帳!$A$3:$K$4986,6,FALSE)&amp;VLOOKUP(D484,契約台帳!$A$3:$K$4986,7,FALSE)&amp;VLOOKUP(D484,契約台帳!$A$3:$K$4986,8,FALSE)&amp;VLOOKUP(D484,契約台帳!$A$3:$K$4986,9,FALSE)&amp;VLOOKUP(D484,契約台帳!$A$3:$K$4986,11,FALSE))</f>
        <v/>
      </c>
      <c r="G484" s="256" t="str">
        <f>IF(D484="","",VLOOKUP(F484,製品マスタ!$G$5:$H$4999,2,FALSE))</f>
        <v/>
      </c>
      <c r="H484" s="256" t="str">
        <f>IF(D484="","",VLOOKUP(F484,製品マスタ!$G$5:$K$4999,5,FALSE))</f>
        <v/>
      </c>
      <c r="I484" s="200" t="str">
        <f>IF(D484="","",VLOOKUP(F484,製品マスタ!$G$5:$L$4999,6,FALSE))</f>
        <v/>
      </c>
      <c r="J484" s="203"/>
      <c r="K484" s="200" t="str">
        <f>IF(D484="","",VLOOKUP(D484,契約台帳!$A$3:$L$4986,12,FALSE))</f>
        <v/>
      </c>
      <c r="L484" s="200" t="str">
        <f>IF(D484="","",INDEX(製品マスタ!$Q$5:$Q$4999,MATCH('S4'!F484&amp;'S4'!K484,製品マスタ!$AO$5:$AO$4999,0)))</f>
        <v/>
      </c>
      <c r="M484" s="37"/>
      <c r="N484" s="37"/>
      <c r="O484" s="153"/>
      <c r="P484" s="45"/>
      <c r="Q484" s="54"/>
      <c r="R484" s="257" t="str">
        <f ca="1">IF(D484="","",IF(OFFSET(D484,-1,0)&lt;&gt;"","",IF(OR(J484="リード付け",J484="巻足し",J484="巻返しリード付け"),M484,VLOOKUP(D484,契約台帳!$A$3:$N$4986,14,FALSE))))</f>
        <v/>
      </c>
      <c r="S484" s="258" t="str">
        <f ca="1">IF(D484="","",IF(OFFSET(D484,-1,0)&lt;&gt;"","",IF(OR(J484="リード付け",J484="巻足し",J484="巻返しリード付け"),M484,VLOOKUP(D484,契約台帳!$A$3:$O$4986,15,FALSE))))</f>
        <v/>
      </c>
      <c r="T484" s="258" t="str">
        <f ca="1">IF(D484="","",IF(J484="リード付け",N484,IF(J484="巻返しリード付け",N484,IF(J484="巻足し",N484*P484+OFFSET(N484,1,0)*OFFSET(P484,1,0),VLOOKUP(D484,契約台帳!$A$3:$P$4986,16,FALSE)))))</f>
        <v/>
      </c>
      <c r="U484" s="38"/>
      <c r="V484" s="259" t="str">
        <f ca="1">IF(D484="","",IF(OFFSET(D484,-2,0)=D484,"",VLOOKUP(D484,契約台帳!$A$3:$R$4986,18,FALSE)))</f>
        <v/>
      </c>
      <c r="W484" s="256" t="str">
        <f>IF(D484="","",IF(T484="","",IF(OR(J484="巻足し",J484="巻返しリード付け"),"",IF(J484="巻返し",VLOOKUP(F484&amp;K484&amp;M484,製品マスタ!$M$5:$AD$4999,18,FALSE),IF(OR(J484="リード付け",J484="巻返しリード付け"),"原反コア",IF(J484="スリット",VLOOKUP(F484&amp;K484&amp;R484,製品マスタ!$N$5:$AD$4999,17,FALSE),""))))))</f>
        <v/>
      </c>
      <c r="X484" s="256" t="str">
        <f>IF(D484="","",IF(T484="","",IF(J484="巻足し","",IF(J484="巻返し",VLOOKUP(F484&amp;K484&amp;M484,製品マスタ!$M$5:$AE$4999,19,FALSE),IF(OR(J484="リード付け",J484="巻返しリード付け"),"",IF(J484="スリット",VLOOKUP(F484&amp;K484&amp;R484,製品マスタ!$N$5:$AE$4999,18,FALSE),""))))))</f>
        <v/>
      </c>
      <c r="Y484" s="256" t="str">
        <f>IF(D484="","",IF(T484="","",VLOOKUP(D484,契約台帳!$A$3:$Q$4986,17,FALSE)))</f>
        <v/>
      </c>
      <c r="Z484" s="256" t="str">
        <f>IF(D484="","",IF(T484="","",VLOOKUP(D484,契約台帳!$A$3:$E$4986,5,FALSE)))</f>
        <v/>
      </c>
      <c r="AA484" s="54"/>
      <c r="AB484" s="200" t="str">
        <f>IFERROR((VLOOKUP(F484&amp;K484&amp;M484,製品マスタ!$M$5:$AM$4999,27,FALSE)),"")</f>
        <v/>
      </c>
      <c r="AC484" s="31"/>
      <c r="AD484" s="184"/>
      <c r="AE484" s="51"/>
      <c r="AF484" s="52"/>
      <c r="AG484" s="41"/>
      <c r="AH484" s="45"/>
      <c r="AI484" s="28"/>
      <c r="AJ484" s="28"/>
      <c r="AK484" s="28"/>
      <c r="AL484" s="28"/>
      <c r="AM484" s="12"/>
      <c r="AN484" s="12"/>
      <c r="AO484" s="12"/>
      <c r="AP484" s="12"/>
      <c r="AQ484" s="12"/>
      <c r="AR484" s="13"/>
      <c r="AS484" s="14"/>
    </row>
    <row r="485" spans="1:45" s="16" customFormat="1" ht="30.95" hidden="1" customHeight="1" x14ac:dyDescent="0.2">
      <c r="A485" s="35"/>
      <c r="B485" s="36"/>
      <c r="C485" s="43"/>
      <c r="D485" s="29">
        <v>3703989</v>
      </c>
      <c r="E485" s="29">
        <v>4140914</v>
      </c>
      <c r="F485" s="255" t="str">
        <f>IF(D485="","",VLOOKUP(D485,契約台帳!$A$3:$K$4986,6,FALSE)&amp;VLOOKUP(D485,契約台帳!$A$3:$K$4986,7,FALSE)&amp;VLOOKUP(D485,契約台帳!$A$3:$K$4986,8,FALSE)&amp;VLOOKUP(D485,契約台帳!$A$3:$K$4986,9,FALSE)&amp;VLOOKUP(D485,契約台帳!$A$3:$K$4986,11,FALSE))</f>
        <v>33SSNMCLBTEKV0V</v>
      </c>
      <c r="G485" s="256" t="str">
        <f>IF(D485="","",VLOOKUP(F485,製品マスタ!$G$5:$H$4999,2,FALSE))</f>
        <v>S</v>
      </c>
      <c r="H485" s="256" t="str">
        <f>IF(D485="","",VLOOKUP(F485,製品マスタ!$G$5:$K$4999,5,FALSE))</f>
        <v>TEKV0V</v>
      </c>
      <c r="I485" s="200" t="str">
        <f>IF(D485="","",VLOOKUP(F485,製品マスタ!$G$5:$L$4999,6,FALSE))</f>
        <v>メタルミー　ＴＥ－Ｓ消　ＶＯＩＤ　Ｖ</v>
      </c>
      <c r="J485" s="203" t="s">
        <v>1051</v>
      </c>
      <c r="K485" s="200">
        <f>IF(D485="","",VLOOKUP(D485,契約台帳!$A$3:$L$4986,12,FALSE))</f>
        <v>50</v>
      </c>
      <c r="L485" s="200" t="str">
        <f>IF(D485="","",INDEX(製品マスタ!$Q$5:$Q$4999,MATCH('S4'!F485&amp;'S4'!K485,製品マスタ!$AO$5:$AO$4999,0)))</f>
        <v>X44SEPA</v>
      </c>
      <c r="M485" s="37">
        <v>1005</v>
      </c>
      <c r="N485" s="37">
        <v>12000</v>
      </c>
      <c r="O485" s="153">
        <v>1</v>
      </c>
      <c r="P485" s="45">
        <v>1</v>
      </c>
      <c r="Q485" s="54"/>
      <c r="R485" s="257">
        <f ca="1">IF(D485="","",IF(OFFSET(D485,-1,0)&lt;&gt;"","",IF(OR(J485="リード付け",J485="巻足し",J485="巻返しリード付け"),M485,VLOOKUP(D485,契約台帳!$A$3:$N$4986,14,FALSE))))</f>
        <v>1005</v>
      </c>
      <c r="S485" s="258">
        <f ca="1">IF(D485="","",IF(OFFSET(D485,-1,0)&lt;&gt;"","",IF(OR(J485="リード付け",J485="巻足し",J485="巻返しリード付け"),M485,VLOOKUP(D485,契約台帳!$A$3:$O$4986,15,FALSE))))</f>
        <v>1000</v>
      </c>
      <c r="T485" s="258">
        <f ca="1">IF(D485="","",IF(J485="リード付け",N485,IF(J485="巻返しリード付け",N485,IF(J485="巻足し",N485*P485+OFFSET(N485,1,0)*OFFSET(P485,1,0),VLOOKUP(D485,契約台帳!$A$3:$P$4986,16,FALSE)))))</f>
        <v>4000</v>
      </c>
      <c r="U485" s="38">
        <v>3</v>
      </c>
      <c r="V485" s="259">
        <f ca="1">IF(D485="","",IF(OFFSET(D485,-2,0)=D485,"",VLOOKUP(D485,契約台帳!$A$3:$R$4986,18,FALSE)))</f>
        <v>3</v>
      </c>
      <c r="W485" s="256" t="str">
        <f ca="1">IF(D485="","",IF(T485="","",IF(OR(J485="巻足し",J485="巻返しリード付け"),"",IF(J485="巻返し",VLOOKUP(F485&amp;K485&amp;M485,製品マスタ!$M$5:$AD$4999,18,FALSE),IF(OR(J485="リード付け",J485="巻返しリード付け"),"原反コア",IF(J485="スリット",VLOOKUP(F485&amp;K485&amp;R485,製品マスタ!$N$5:$AD$4999,17,FALSE),""))))))</f>
        <v>6ｲﾝﾁSｺｱ</v>
      </c>
      <c r="X485" s="256">
        <f ca="1">IF(D485="","",IF(T485="","",IF(J485="巻足し","",IF(J485="巻返し",VLOOKUP(F485&amp;K485&amp;M485,製品マスタ!$M$5:$AE$4999,19,FALSE),IF(OR(J485="リード付け",J485="巻返しリード付け"),"",IF(J485="スリット",VLOOKUP(F485&amp;K485&amp;R485,製品マスタ!$N$5:$AE$4999,18,FALSE),""))))))</f>
        <v>1015</v>
      </c>
      <c r="Y485" s="256">
        <f ca="1">IF(D485="","",IF(T485="","",VLOOKUP(D485,契約台帳!$A$3:$Q$4986,17,FALSE)))</f>
        <v>2</v>
      </c>
      <c r="Z485" s="256" t="str">
        <f ca="1">IF(D485="","",IF(T485="","",VLOOKUP(D485,契約台帳!$A$3:$E$4986,5,FALSE)))</f>
        <v>リンテック㈱</v>
      </c>
      <c r="AA485" s="54"/>
      <c r="AB485" s="200">
        <f>IFERROR((VLOOKUP(F485&amp;K485&amp;M485,製品マスタ!$M$5:$AM$4999,27,FALSE)),"")</f>
        <v>0</v>
      </c>
      <c r="AC485" s="31"/>
      <c r="AD485" s="184"/>
      <c r="AE485" s="51"/>
      <c r="AF485" s="52"/>
      <c r="AG485" s="41"/>
      <c r="AH485" s="45"/>
      <c r="AI485" s="28"/>
      <c r="AJ485" s="28"/>
      <c r="AK485" s="28"/>
      <c r="AL485" s="28"/>
      <c r="AM485" s="12"/>
      <c r="AN485" s="12"/>
      <c r="AO485" s="12"/>
      <c r="AP485" s="12"/>
      <c r="AQ485" s="12"/>
      <c r="AR485" s="13"/>
      <c r="AS485" s="14"/>
    </row>
    <row r="486" spans="1:45" s="16" customFormat="1" ht="30.95" hidden="1" customHeight="1" x14ac:dyDescent="0.2">
      <c r="A486" s="35"/>
      <c r="B486" s="36"/>
      <c r="C486" s="43"/>
      <c r="D486" s="29"/>
      <c r="E486" s="29"/>
      <c r="F486" s="255" t="str">
        <f>IF(D486="","",VLOOKUP(D486,契約台帳!$A$3:$K$4986,6,FALSE)&amp;VLOOKUP(D486,契約台帳!$A$3:$K$4986,7,FALSE)&amp;VLOOKUP(D486,契約台帳!$A$3:$K$4986,8,FALSE)&amp;VLOOKUP(D486,契約台帳!$A$3:$K$4986,9,FALSE)&amp;VLOOKUP(D486,契約台帳!$A$3:$K$4986,11,FALSE))</f>
        <v/>
      </c>
      <c r="G486" s="256" t="str">
        <f>IF(D486="","",VLOOKUP(F486,製品マスタ!$G$5:$H$4999,2,FALSE))</f>
        <v/>
      </c>
      <c r="H486" s="256" t="str">
        <f>IF(D486="","",VLOOKUP(F486,製品マスタ!$G$5:$K$4999,5,FALSE))</f>
        <v/>
      </c>
      <c r="I486" s="200" t="str">
        <f>IF(D486="","",VLOOKUP(F486,製品マスタ!$G$5:$L$4999,6,FALSE))</f>
        <v/>
      </c>
      <c r="J486" s="203"/>
      <c r="K486" s="200" t="str">
        <f>IF(D486="","",VLOOKUP(D486,契約台帳!$A$3:$L$4986,12,FALSE))</f>
        <v/>
      </c>
      <c r="L486" s="200" t="str">
        <f>IF(D486="","",INDEX(製品マスタ!$Q$5:$Q$4999,MATCH('S4'!F486&amp;'S4'!K486,製品マスタ!$AO$5:$AO$4999,0)))</f>
        <v/>
      </c>
      <c r="M486" s="37"/>
      <c r="N486" s="37"/>
      <c r="O486" s="153"/>
      <c r="P486" s="45"/>
      <c r="Q486" s="54"/>
      <c r="R486" s="257" t="str">
        <f ca="1">IF(D486="","",IF(OFFSET(D486,-1,0)&lt;&gt;"","",IF(OR(J486="リード付け",J486="巻足し",J486="巻返しリード付け"),M486,VLOOKUP(D486,契約台帳!$A$3:$N$4986,14,FALSE))))</f>
        <v/>
      </c>
      <c r="S486" s="258" t="str">
        <f ca="1">IF(D486="","",IF(OFFSET(D486,-1,0)&lt;&gt;"","",IF(OR(J486="リード付け",J486="巻足し",J486="巻返しリード付け"),M486,VLOOKUP(D486,契約台帳!$A$3:$O$4986,15,FALSE))))</f>
        <v/>
      </c>
      <c r="T486" s="258" t="str">
        <f ca="1">IF(D486="","",IF(J486="リード付け",N486,IF(J486="巻返しリード付け",N486,IF(J486="巻足し",N486*P486+OFFSET(N486,1,0)*OFFSET(P486,1,0),VLOOKUP(D486,契約台帳!$A$3:$P$4986,16,FALSE)))))</f>
        <v/>
      </c>
      <c r="U486" s="38"/>
      <c r="V486" s="259" t="str">
        <f ca="1">IF(D486="","",IF(OFFSET(D486,-2,0)=D486,"",VLOOKUP(D486,契約台帳!$A$3:$R$4986,18,FALSE)))</f>
        <v/>
      </c>
      <c r="W486" s="256" t="str">
        <f>IF(D486="","",IF(T486="","",IF(OR(J486="巻足し",J486="巻返しリード付け"),"",IF(J486="巻返し",VLOOKUP(F486&amp;K486&amp;M486,製品マスタ!$M$5:$AD$4999,18,FALSE),IF(OR(J486="リード付け",J486="巻返しリード付け"),"原反コア",IF(J486="スリット",VLOOKUP(F486&amp;K486&amp;R486,製品マスタ!$N$5:$AD$4999,17,FALSE),""))))))</f>
        <v/>
      </c>
      <c r="X486" s="256" t="str">
        <f>IF(D486="","",IF(T486="","",IF(J486="巻足し","",IF(J486="巻返し",VLOOKUP(F486&amp;K486&amp;M486,製品マスタ!$M$5:$AE$4999,19,FALSE),IF(OR(J486="リード付け",J486="巻返しリード付け"),"",IF(J486="スリット",VLOOKUP(F486&amp;K486&amp;R486,製品マスタ!$N$5:$AE$4999,18,FALSE),""))))))</f>
        <v/>
      </c>
      <c r="Y486" s="256" t="str">
        <f>IF(D486="","",IF(T486="","",VLOOKUP(D486,契約台帳!$A$3:$Q$4986,17,FALSE)))</f>
        <v/>
      </c>
      <c r="Z486" s="256" t="str">
        <f>IF(D486="","",IF(T486="","",VLOOKUP(D486,契約台帳!$A$3:$E$4986,5,FALSE)))</f>
        <v/>
      </c>
      <c r="AA486" s="54"/>
      <c r="AB486" s="200" t="str">
        <f>IFERROR((VLOOKUP(F486&amp;K486&amp;M486,製品マスタ!$M$5:$AM$4999,27,FALSE)),"")</f>
        <v/>
      </c>
      <c r="AC486" s="31"/>
      <c r="AD486" s="184"/>
      <c r="AE486" s="51"/>
      <c r="AF486" s="52"/>
      <c r="AG486" s="41"/>
      <c r="AH486" s="45"/>
      <c r="AI486" s="28"/>
      <c r="AJ486" s="28"/>
      <c r="AK486" s="28"/>
      <c r="AL486" s="28"/>
      <c r="AM486" s="12"/>
      <c r="AN486" s="12"/>
      <c r="AO486" s="12"/>
      <c r="AP486" s="12"/>
      <c r="AQ486" s="12"/>
      <c r="AR486" s="13"/>
      <c r="AS486" s="14"/>
    </row>
    <row r="487" spans="1:45" s="16" customFormat="1" ht="30.95" hidden="1" customHeight="1" x14ac:dyDescent="0.2">
      <c r="A487" s="35"/>
      <c r="B487" s="36"/>
      <c r="C487" s="43"/>
      <c r="D487" s="29">
        <v>3703987</v>
      </c>
      <c r="E487" s="29">
        <v>4140916</v>
      </c>
      <c r="F487" s="255" t="str">
        <f>IF(D487="","",VLOOKUP(D487,契約台帳!$A$3:$K$4986,6,FALSE)&amp;VLOOKUP(D487,契約台帳!$A$3:$K$4986,7,FALSE)&amp;VLOOKUP(D487,契約台帳!$A$3:$K$4986,8,FALSE)&amp;VLOOKUP(D487,契約台帳!$A$3:$K$4986,9,FALSE)&amp;VLOOKUP(D487,契約台帳!$A$3:$K$4986,11,FALSE))</f>
        <v>3SNMCLBHLGTV</v>
      </c>
      <c r="G487" s="256" t="str">
        <f>IF(D487="","",VLOOKUP(F487,製品マスタ!$G$5:$H$4999,2,FALSE))</f>
        <v>S</v>
      </c>
      <c r="H487" s="256" t="str">
        <f>IF(D487="","",VLOOKUP(F487,製品マスタ!$G$5:$K$4999,5,FALSE))</f>
        <v>HLGTV</v>
      </c>
      <c r="I487" s="200" t="str">
        <f>IF(D487="","",VLOOKUP(F487,製品マスタ!$G$5:$L$4999,6,FALSE))</f>
        <v>メタルミー　ヘヤライン　銀艶Ｖ</v>
      </c>
      <c r="J487" s="203" t="s">
        <v>1051</v>
      </c>
      <c r="K487" s="200">
        <f>IF(D487="","",VLOOKUP(D487,契約台帳!$A$3:$L$4986,12,FALSE))</f>
        <v>50</v>
      </c>
      <c r="L487" s="200" t="str">
        <f>IF(D487="","",INDEX(製品マスタ!$Q$5:$Q$4999,MATCH('S4'!F487&amp;'S4'!K487,製品マスタ!$AO$5:$AO$4999,0)))</f>
        <v>BRIGHT</v>
      </c>
      <c r="M487" s="37">
        <v>1005</v>
      </c>
      <c r="N487" s="37">
        <v>12300</v>
      </c>
      <c r="O487" s="153">
        <v>1</v>
      </c>
      <c r="P487" s="45">
        <v>1</v>
      </c>
      <c r="Q487" s="54"/>
      <c r="R487" s="257">
        <f ca="1">IF(D487="","",IF(OFFSET(D487,-1,0)&lt;&gt;"","",IF(OR(J487="リード付け",J487="巻足し",J487="巻返しリード付け"),M487,VLOOKUP(D487,契約台帳!$A$3:$N$4986,14,FALSE))))</f>
        <v>1005</v>
      </c>
      <c r="S487" s="258">
        <f ca="1">IF(D487="","",IF(OFFSET(D487,-1,0)&lt;&gt;"","",IF(OR(J487="リード付け",J487="巻足し",J487="巻返しリード付け"),M487,VLOOKUP(D487,契約台帳!$A$3:$O$4986,15,FALSE))))</f>
        <v>1000</v>
      </c>
      <c r="T487" s="258">
        <f ca="1">IF(D487="","",IF(J487="リード付け",N487,IF(J487="巻返しリード付け",N487,IF(J487="巻足し",N487*P487+OFFSET(N487,1,0)*OFFSET(P487,1,0),VLOOKUP(D487,契約台帳!$A$3:$P$4986,16,FALSE)))))</f>
        <v>4000</v>
      </c>
      <c r="U487" s="38">
        <v>3</v>
      </c>
      <c r="V487" s="259">
        <f ca="1">IF(D487="","",IF(OFFSET(D487,-2,0)=D487,"",VLOOKUP(D487,契約台帳!$A$3:$R$4986,18,FALSE)))</f>
        <v>3</v>
      </c>
      <c r="W487" s="256" t="str">
        <f ca="1">IF(D487="","",IF(T487="","",IF(OR(J487="巻足し",J487="巻返しリード付け"),"",IF(J487="巻返し",VLOOKUP(F487&amp;K487&amp;M487,製品マスタ!$M$5:$AD$4999,18,FALSE),IF(OR(J487="リード付け",J487="巻返しリード付け"),"原反コア",IF(J487="スリット",VLOOKUP(F487&amp;K487&amp;R487,製品マスタ!$N$5:$AD$4999,17,FALSE),""))))))</f>
        <v>6ｲﾝﾁSｺｱ</v>
      </c>
      <c r="X487" s="256">
        <f ca="1">IF(D487="","",IF(T487="","",IF(J487="巻足し","",IF(J487="巻返し",VLOOKUP(F487&amp;K487&amp;M487,製品マスタ!$M$5:$AE$4999,19,FALSE),IF(OR(J487="リード付け",J487="巻返しリード付け"),"",IF(J487="スリット",VLOOKUP(F487&amp;K487&amp;R487,製品マスタ!$N$5:$AE$4999,18,FALSE),""))))))</f>
        <v>1015</v>
      </c>
      <c r="Y487" s="256">
        <f ca="1">IF(D487="","",IF(T487="","",VLOOKUP(D487,契約台帳!$A$3:$Q$4986,17,FALSE)))</f>
        <v>2</v>
      </c>
      <c r="Z487" s="256" t="str">
        <f ca="1">IF(D487="","",IF(T487="","",VLOOKUP(D487,契約台帳!$A$3:$E$4986,5,FALSE)))</f>
        <v>リンテック㈱</v>
      </c>
      <c r="AA487" s="54"/>
      <c r="AB487" s="200">
        <f>IFERROR((VLOOKUP(F487&amp;K487&amp;M487,製品マスタ!$M$5:$AM$4999,27,FALSE)),"")</f>
        <v>0</v>
      </c>
      <c r="AC487" s="31"/>
      <c r="AD487" s="184"/>
      <c r="AE487" s="51"/>
      <c r="AF487" s="52"/>
      <c r="AG487" s="41"/>
      <c r="AH487" s="45"/>
      <c r="AI487" s="28"/>
      <c r="AJ487" s="28"/>
      <c r="AK487" s="28"/>
      <c r="AL487" s="28"/>
      <c r="AM487" s="12"/>
      <c r="AN487" s="12"/>
      <c r="AO487" s="12"/>
      <c r="AP487" s="12"/>
      <c r="AQ487" s="12"/>
      <c r="AR487" s="13"/>
      <c r="AS487" s="14"/>
    </row>
    <row r="488" spans="1:45" s="16" customFormat="1" ht="30.95" hidden="1" customHeight="1" x14ac:dyDescent="0.2">
      <c r="A488" s="35"/>
      <c r="B488" s="36"/>
      <c r="C488" s="43"/>
      <c r="D488" s="29"/>
      <c r="E488" s="29"/>
      <c r="F488" s="255" t="str">
        <f>IF(D488="","",VLOOKUP(D488,契約台帳!$A$3:$K$4986,6,FALSE)&amp;VLOOKUP(D488,契約台帳!$A$3:$K$4986,7,FALSE)&amp;VLOOKUP(D488,契約台帳!$A$3:$K$4986,8,FALSE)&amp;VLOOKUP(D488,契約台帳!$A$3:$K$4986,9,FALSE)&amp;VLOOKUP(D488,契約台帳!$A$3:$K$4986,11,FALSE))</f>
        <v/>
      </c>
      <c r="G488" s="256" t="str">
        <f>IF(D488="","",VLOOKUP(F488,製品マスタ!$G$5:$H$4999,2,FALSE))</f>
        <v/>
      </c>
      <c r="H488" s="256" t="str">
        <f>IF(D488="","",VLOOKUP(F488,製品マスタ!$G$5:$K$4999,5,FALSE))</f>
        <v/>
      </c>
      <c r="I488" s="200" t="str">
        <f>IF(D488="","",VLOOKUP(F488,製品マスタ!$G$5:$L$4999,6,FALSE))</f>
        <v/>
      </c>
      <c r="J488" s="203"/>
      <c r="K488" s="200" t="str">
        <f>IF(D488="","",VLOOKUP(D488,契約台帳!$A$3:$L$4986,12,FALSE))</f>
        <v/>
      </c>
      <c r="L488" s="200" t="str">
        <f>IF(D488="","",INDEX(製品マスタ!$Q$5:$Q$4999,MATCH('S4'!F488&amp;'S4'!K488,製品マスタ!$AO$5:$AO$4999,0)))</f>
        <v/>
      </c>
      <c r="M488" s="37"/>
      <c r="N488" s="37"/>
      <c r="O488" s="153"/>
      <c r="P488" s="45"/>
      <c r="Q488" s="54"/>
      <c r="R488" s="257" t="str">
        <f ca="1">IF(D488="","",IF(OFFSET(D488,-1,0)&lt;&gt;"","",IF(OR(J488="リード付け",J488="巻足し",J488="巻返しリード付け"),M488,VLOOKUP(D488,契約台帳!$A$3:$N$4986,14,FALSE))))</f>
        <v/>
      </c>
      <c r="S488" s="258" t="str">
        <f ca="1">IF(D488="","",IF(OFFSET(D488,-1,0)&lt;&gt;"","",IF(OR(J488="リード付け",J488="巻足し",J488="巻返しリード付け"),M488,VLOOKUP(D488,契約台帳!$A$3:$O$4986,15,FALSE))))</f>
        <v/>
      </c>
      <c r="T488" s="258" t="str">
        <f ca="1">IF(D488="","",IF(J488="リード付け",N488,IF(J488="巻返しリード付け",N488,IF(J488="巻足し",N488*P488+OFFSET(N488,1,0)*OFFSET(P488,1,0),VLOOKUP(D488,契約台帳!$A$3:$P$4986,16,FALSE)))))</f>
        <v/>
      </c>
      <c r="U488" s="38"/>
      <c r="V488" s="259" t="str">
        <f ca="1">IF(D488="","",IF(OFFSET(D488,-2,0)=D488,"",VLOOKUP(D488,契約台帳!$A$3:$R$4986,18,FALSE)))</f>
        <v/>
      </c>
      <c r="W488" s="256" t="str">
        <f>IF(D488="","",IF(T488="","",IF(OR(J488="巻足し",J488="巻返しリード付け"),"",IF(J488="巻返し",VLOOKUP(F488&amp;K488&amp;M488,製品マスタ!$M$5:$AD$4999,18,FALSE),IF(OR(J488="リード付け",J488="巻返しリード付け"),"原反コア",IF(J488="スリット",VLOOKUP(F488&amp;K488&amp;R488,製品マスタ!$N$5:$AD$4999,17,FALSE),""))))))</f>
        <v/>
      </c>
      <c r="X488" s="256" t="str">
        <f>IF(D488="","",IF(T488="","",IF(J488="巻足し","",IF(J488="巻返し",VLOOKUP(F488&amp;K488&amp;M488,製品マスタ!$M$5:$AE$4999,19,FALSE),IF(OR(J488="リード付け",J488="巻返しリード付け"),"",IF(J488="スリット",VLOOKUP(F488&amp;K488&amp;R488,製品マスタ!$N$5:$AE$4999,18,FALSE),""))))))</f>
        <v/>
      </c>
      <c r="Y488" s="256" t="str">
        <f>IF(D488="","",IF(T488="","",VLOOKUP(D488,契約台帳!$A$3:$Q$4986,17,FALSE)))</f>
        <v/>
      </c>
      <c r="Z488" s="256" t="str">
        <f>IF(D488="","",IF(T488="","",VLOOKUP(D488,契約台帳!$A$3:$E$4986,5,FALSE)))</f>
        <v/>
      </c>
      <c r="AA488" s="54"/>
      <c r="AB488" s="200" t="str">
        <f>IFERROR((VLOOKUP(F488&amp;K488&amp;M488,製品マスタ!$M$5:$AM$4999,27,FALSE)),"")</f>
        <v/>
      </c>
      <c r="AC488" s="31"/>
      <c r="AD488" s="184"/>
      <c r="AE488" s="51"/>
      <c r="AF488" s="52"/>
      <c r="AG488" s="41"/>
      <c r="AH488" s="45"/>
      <c r="AI488" s="28"/>
      <c r="AJ488" s="28"/>
      <c r="AK488" s="28"/>
      <c r="AL488" s="28"/>
      <c r="AM488" s="12"/>
      <c r="AN488" s="12"/>
      <c r="AO488" s="12"/>
      <c r="AP488" s="12"/>
      <c r="AQ488" s="12"/>
      <c r="AR488" s="13"/>
      <c r="AS488" s="14"/>
    </row>
    <row r="489" spans="1:45" s="16" customFormat="1" ht="30.95" hidden="1" customHeight="1" x14ac:dyDescent="0.2">
      <c r="A489" s="35" t="s">
        <v>1062</v>
      </c>
      <c r="B489" s="36" t="s">
        <v>1053</v>
      </c>
      <c r="C489" s="43"/>
      <c r="D489" s="29"/>
      <c r="E489" s="29"/>
      <c r="F489" s="255" t="str">
        <f>IF(D489="","",VLOOKUP(D489,契約台帳!$A$3:$K$4986,6,FALSE)&amp;VLOOKUP(D489,契約台帳!$A$3:$K$4986,7,FALSE)&amp;VLOOKUP(D489,契約台帳!$A$3:$K$4986,8,FALSE)&amp;VLOOKUP(D489,契約台帳!$A$3:$K$4986,9,FALSE)&amp;VLOOKUP(D489,契約台帳!$A$3:$K$4986,11,FALSE))</f>
        <v/>
      </c>
      <c r="G489" s="256" t="str">
        <f>IF(D489="","",VLOOKUP(F489,製品マスタ!$G$5:$H$4999,2,FALSE))</f>
        <v/>
      </c>
      <c r="H489" s="256" t="str">
        <f>IF(D489="","",VLOOKUP(F489,製品マスタ!$G$5:$K$4999,5,FALSE))</f>
        <v/>
      </c>
      <c r="I489" s="200" t="str">
        <f>IF(D489="","",VLOOKUP(F489,製品マスタ!$G$5:$L$4999,6,FALSE))</f>
        <v/>
      </c>
      <c r="J489" s="203" t="s">
        <v>1075</v>
      </c>
      <c r="K489" s="200" t="str">
        <f>IF(D489="","",VLOOKUP(D489,契約台帳!$A$3:$L$4986,12,FALSE))</f>
        <v/>
      </c>
      <c r="L489" s="200" t="str">
        <f>IF(D489="","",INDEX(製品マスタ!$Q$5:$Q$4999,MATCH('S4'!F489&amp;'S4'!K489,製品マスタ!$AO$5:$AO$4999,0)))</f>
        <v/>
      </c>
      <c r="M489" s="37"/>
      <c r="N489" s="37"/>
      <c r="O489" s="153"/>
      <c r="P489" s="45"/>
      <c r="Q489" s="54"/>
      <c r="R489" s="257" t="str">
        <f ca="1">IF(D489="","",IF(OFFSET(D489,-1,0)&lt;&gt;"","",IF(OR(J489="リード付け",J489="巻足し",J489="巻返しリード付け"),M489,VLOOKUP(D489,契約台帳!$A$3:$N$4986,14,FALSE))))</f>
        <v/>
      </c>
      <c r="S489" s="258" t="str">
        <f ca="1">IF(D489="","",IF(OFFSET(D489,-1,0)&lt;&gt;"","",IF(OR(J489="リード付け",J489="巻足し",J489="巻返しリード付け"),M489,VLOOKUP(D489,契約台帳!$A$3:$O$4986,15,FALSE))))</f>
        <v/>
      </c>
      <c r="T489" s="258" t="str">
        <f ca="1">IF(D489="","",IF(J489="リード付け",N489,IF(J489="巻返しリード付け",N489,IF(J489="巻足し",N489*P489+OFFSET(N489,1,0)*OFFSET(P489,1,0),VLOOKUP(D489,契約台帳!$A$3:$P$4986,16,FALSE)))))</f>
        <v/>
      </c>
      <c r="U489" s="38"/>
      <c r="V489" s="259" t="str">
        <f ca="1">IF(D489="","",IF(OFFSET(D489,-2,0)=D489,"",VLOOKUP(D489,契約台帳!$A$3:$R$4986,18,FALSE)))</f>
        <v/>
      </c>
      <c r="W489" s="256" t="str">
        <f>IF(D489="","",IF(T489="","",IF(OR(J489="巻足し",J489="巻返しリード付け"),"",IF(J489="巻返し",VLOOKUP(F489&amp;K489&amp;M489,製品マスタ!$M$5:$AD$4999,18,FALSE),IF(OR(J489="リード付け",J489="巻返しリード付け"),"原反コア",IF(J489="スリット",VLOOKUP(F489&amp;K489&amp;R489,製品マスタ!$N$5:$AD$4999,17,FALSE),""))))))</f>
        <v/>
      </c>
      <c r="X489" s="256" t="str">
        <f>IF(D489="","",IF(T489="","",IF(J489="巻足し","",IF(J489="巻返し",VLOOKUP(F489&amp;K489&amp;M489,製品マスタ!$M$5:$AE$4999,19,FALSE),IF(OR(J489="リード付け",J489="巻返しリード付け"),"",IF(J489="スリット",VLOOKUP(F489&amp;K489&amp;R489,製品マスタ!$N$5:$AE$4999,18,FALSE),""))))))</f>
        <v/>
      </c>
      <c r="Y489" s="256" t="str">
        <f>IF(D489="","",IF(T489="","",VLOOKUP(D489,契約台帳!$A$3:$Q$4986,17,FALSE)))</f>
        <v/>
      </c>
      <c r="Z489" s="256" t="str">
        <f>IF(D489="","",IF(T489="","",VLOOKUP(D489,契約台帳!$A$3:$E$4986,5,FALSE)))</f>
        <v/>
      </c>
      <c r="AA489" s="54"/>
      <c r="AB489" s="200" t="str">
        <f>IFERROR((VLOOKUP(F489&amp;K489&amp;M489,製品マスタ!$M$5:$AM$4999,27,FALSE)),"")</f>
        <v/>
      </c>
      <c r="AC489" s="31"/>
      <c r="AD489" s="184"/>
      <c r="AE489" s="51"/>
      <c r="AF489" s="52"/>
      <c r="AG489" s="41"/>
      <c r="AH489" s="45"/>
      <c r="AI489" s="28"/>
      <c r="AJ489" s="28"/>
      <c r="AK489" s="28"/>
      <c r="AL489" s="28"/>
      <c r="AM489" s="12"/>
      <c r="AN489" s="12"/>
      <c r="AO489" s="12"/>
      <c r="AP489" s="12"/>
      <c r="AQ489" s="12"/>
      <c r="AR489" s="13"/>
      <c r="AS489" s="14"/>
    </row>
    <row r="490" spans="1:45" s="16" customFormat="1" ht="30.95" hidden="1" customHeight="1" x14ac:dyDescent="0.2">
      <c r="A490" s="35"/>
      <c r="B490" s="36"/>
      <c r="C490" s="43"/>
      <c r="D490" s="29"/>
      <c r="E490" s="29"/>
      <c r="F490" s="255" t="str">
        <f>IF(D490="","",VLOOKUP(D490,契約台帳!$A$3:$K$4986,6,FALSE)&amp;VLOOKUP(D490,契約台帳!$A$3:$K$4986,7,FALSE)&amp;VLOOKUP(D490,契約台帳!$A$3:$K$4986,8,FALSE)&amp;VLOOKUP(D490,契約台帳!$A$3:$K$4986,9,FALSE)&amp;VLOOKUP(D490,契約台帳!$A$3:$K$4986,11,FALSE))</f>
        <v/>
      </c>
      <c r="G490" s="256" t="str">
        <f>IF(D490="","",VLOOKUP(F490,製品マスタ!$G$5:$H$4999,2,FALSE))</f>
        <v/>
      </c>
      <c r="H490" s="256" t="str">
        <f>IF(D490="","",VLOOKUP(F490,製品マスタ!$G$5:$K$4999,5,FALSE))</f>
        <v/>
      </c>
      <c r="I490" s="200" t="str">
        <f>IF(D490="","",VLOOKUP(F490,製品マスタ!$G$5:$L$4999,6,FALSE))</f>
        <v/>
      </c>
      <c r="J490" s="203"/>
      <c r="K490" s="200" t="str">
        <f>IF(D490="","",VLOOKUP(D490,契約台帳!$A$3:$L$4986,12,FALSE))</f>
        <v/>
      </c>
      <c r="L490" s="200" t="str">
        <f>IF(D490="","",INDEX(製品マスタ!$Q$5:$Q$4999,MATCH('S4'!F490&amp;'S4'!K490,製品マスタ!$AO$5:$AO$4999,0)))</f>
        <v/>
      </c>
      <c r="M490" s="37"/>
      <c r="N490" s="37"/>
      <c r="O490" s="153"/>
      <c r="P490" s="45"/>
      <c r="Q490" s="54"/>
      <c r="R490" s="257" t="str">
        <f ca="1">IF(D490="","",IF(OFFSET(D490,-1,0)&lt;&gt;"","",IF(OR(J490="リード付け",J490="巻足し",J490="巻返しリード付け"),M490,VLOOKUP(D490,契約台帳!$A$3:$N$4986,14,FALSE))))</f>
        <v/>
      </c>
      <c r="S490" s="258" t="str">
        <f ca="1">IF(D490="","",IF(OFFSET(D490,-1,0)&lt;&gt;"","",IF(OR(J490="リード付け",J490="巻足し",J490="巻返しリード付け"),M490,VLOOKUP(D490,契約台帳!$A$3:$O$4986,15,FALSE))))</f>
        <v/>
      </c>
      <c r="T490" s="258" t="str">
        <f ca="1">IF(D490="","",IF(J490="リード付け",N490,IF(J490="巻返しリード付け",N490,IF(J490="巻足し",N490*P490+OFFSET(N490,1,0)*OFFSET(P490,1,0),VLOOKUP(D490,契約台帳!$A$3:$P$4986,16,FALSE)))))</f>
        <v/>
      </c>
      <c r="U490" s="38"/>
      <c r="V490" s="259" t="str">
        <f ca="1">IF(D490="","",IF(OFFSET(D490,-2,0)=D490,"",VLOOKUP(D490,契約台帳!$A$3:$R$4986,18,FALSE)))</f>
        <v/>
      </c>
      <c r="W490" s="256" t="str">
        <f>IF(D490="","",IF(T490="","",IF(OR(J490="巻足し",J490="巻返しリード付け"),"",IF(J490="巻返し",VLOOKUP(F490&amp;K490&amp;M490,製品マスタ!$M$5:$AD$4999,18,FALSE),IF(OR(J490="リード付け",J490="巻返しリード付け"),"原反コア",IF(J490="スリット",VLOOKUP(F490&amp;K490&amp;R490,製品マスタ!$N$5:$AD$4999,17,FALSE),""))))))</f>
        <v/>
      </c>
      <c r="X490" s="256" t="str">
        <f>IF(D490="","",IF(T490="","",IF(J490="巻足し","",IF(J490="巻返し",VLOOKUP(F490&amp;K490&amp;M490,製品マスタ!$M$5:$AE$4999,19,FALSE),IF(OR(J490="リード付け",J490="巻返しリード付け"),"",IF(J490="スリット",VLOOKUP(F490&amp;K490&amp;R490,製品マスタ!$N$5:$AE$4999,18,FALSE),""))))))</f>
        <v/>
      </c>
      <c r="Y490" s="256" t="str">
        <f>IF(D490="","",IF(T490="","",VLOOKUP(D490,契約台帳!$A$3:$Q$4986,17,FALSE)))</f>
        <v/>
      </c>
      <c r="Z490" s="256" t="str">
        <f>IF(D490="","",IF(T490="","",VLOOKUP(D490,契約台帳!$A$3:$E$4986,5,FALSE)))</f>
        <v/>
      </c>
      <c r="AA490" s="54"/>
      <c r="AB490" s="200" t="str">
        <f>IFERROR((VLOOKUP(F490&amp;K490&amp;M490,製品マスタ!$M$5:$AM$4999,27,FALSE)),"")</f>
        <v/>
      </c>
      <c r="AC490" s="31"/>
      <c r="AD490" s="184"/>
      <c r="AE490" s="51"/>
      <c r="AF490" s="52"/>
      <c r="AG490" s="41"/>
      <c r="AH490" s="45"/>
      <c r="AI490" s="28"/>
      <c r="AJ490" s="28"/>
      <c r="AK490" s="28"/>
      <c r="AL490" s="28"/>
      <c r="AM490" s="12"/>
      <c r="AN490" s="12"/>
      <c r="AO490" s="12"/>
      <c r="AP490" s="12"/>
      <c r="AQ490" s="12"/>
      <c r="AR490" s="13"/>
      <c r="AS490" s="14"/>
    </row>
    <row r="491" spans="1:45" s="16" customFormat="1" ht="30.95" hidden="1" customHeight="1" x14ac:dyDescent="0.2">
      <c r="A491" s="35"/>
      <c r="B491" s="36"/>
      <c r="C491" s="43"/>
      <c r="D491" s="29"/>
      <c r="E491" s="29"/>
      <c r="F491" s="255"/>
      <c r="G491" s="256"/>
      <c r="H491" s="256"/>
      <c r="I491" s="200"/>
      <c r="J491" s="203" t="s">
        <v>1076</v>
      </c>
      <c r="K491" s="200"/>
      <c r="L491" s="200"/>
      <c r="M491" s="37"/>
      <c r="N491" s="37"/>
      <c r="O491" s="153"/>
      <c r="P491" s="45"/>
      <c r="Q491" s="54"/>
      <c r="R491" s="257"/>
      <c r="S491" s="258"/>
      <c r="T491" s="258"/>
      <c r="U491" s="38"/>
      <c r="V491" s="259"/>
      <c r="W491" s="256"/>
      <c r="X491" s="256"/>
      <c r="Y491" s="256"/>
      <c r="Z491" s="256"/>
      <c r="AA491" s="54"/>
      <c r="AB491" s="200"/>
      <c r="AC491" s="31"/>
      <c r="AD491" s="184"/>
      <c r="AE491" s="51"/>
      <c r="AF491" s="52"/>
      <c r="AG491" s="41"/>
      <c r="AH491" s="45"/>
      <c r="AI491" s="28"/>
      <c r="AJ491" s="28"/>
      <c r="AK491" s="28"/>
      <c r="AL491" s="28"/>
      <c r="AM491" s="12"/>
      <c r="AN491" s="12"/>
      <c r="AO491" s="12"/>
      <c r="AP491" s="12"/>
      <c r="AQ491" s="12"/>
      <c r="AR491" s="13"/>
      <c r="AS491" s="14"/>
    </row>
    <row r="492" spans="1:45" s="16" customFormat="1" ht="30.95" hidden="1" customHeight="1" x14ac:dyDescent="0.2">
      <c r="A492" s="35"/>
      <c r="B492" s="36"/>
      <c r="C492" s="43"/>
      <c r="D492" s="29"/>
      <c r="E492" s="29"/>
      <c r="F492" s="255"/>
      <c r="G492" s="256"/>
      <c r="H492" s="256"/>
      <c r="I492" s="200"/>
      <c r="J492" s="203"/>
      <c r="K492" s="200"/>
      <c r="L492" s="200"/>
      <c r="M492" s="37"/>
      <c r="N492" s="37"/>
      <c r="O492" s="153"/>
      <c r="P492" s="45"/>
      <c r="Q492" s="54"/>
      <c r="R492" s="257"/>
      <c r="S492" s="258"/>
      <c r="T492" s="258"/>
      <c r="U492" s="38"/>
      <c r="V492" s="259"/>
      <c r="W492" s="256"/>
      <c r="X492" s="256"/>
      <c r="Y492" s="256"/>
      <c r="Z492" s="256"/>
      <c r="AA492" s="54"/>
      <c r="AB492" s="200"/>
      <c r="AC492" s="31"/>
      <c r="AD492" s="184"/>
      <c r="AE492" s="51"/>
      <c r="AF492" s="52"/>
      <c r="AG492" s="41"/>
      <c r="AH492" s="45"/>
      <c r="AI492" s="28"/>
      <c r="AJ492" s="28"/>
      <c r="AK492" s="28"/>
      <c r="AL492" s="28"/>
      <c r="AM492" s="12"/>
      <c r="AN492" s="12"/>
      <c r="AO492" s="12"/>
      <c r="AP492" s="12"/>
      <c r="AQ492" s="12"/>
      <c r="AR492" s="13"/>
      <c r="AS492" s="14"/>
    </row>
    <row r="493" spans="1:45" s="16" customFormat="1" ht="30.95" hidden="1" customHeight="1" x14ac:dyDescent="0.2">
      <c r="A493" s="35" t="s">
        <v>1063</v>
      </c>
      <c r="B493" s="36" t="s">
        <v>1054</v>
      </c>
      <c r="C493" s="43"/>
      <c r="D493" s="29"/>
      <c r="E493" s="29"/>
      <c r="F493" s="255" t="str">
        <f>IF(D493="","",VLOOKUP(D493,契約台帳!$A$3:$K$4986,6,FALSE)&amp;VLOOKUP(D493,契約台帳!$A$3:$K$4986,7,FALSE)&amp;VLOOKUP(D493,契約台帳!$A$3:$K$4986,8,FALSE)&amp;VLOOKUP(D493,契約台帳!$A$3:$K$4986,9,FALSE)&amp;VLOOKUP(D493,契約台帳!$A$3:$K$4986,11,FALSE))</f>
        <v/>
      </c>
      <c r="G493" s="256" t="str">
        <f>IF(D493="","",VLOOKUP(F493,製品マスタ!$G$5:$H$4999,2,FALSE))</f>
        <v/>
      </c>
      <c r="H493" s="256" t="str">
        <f>IF(D493="","",VLOOKUP(F493,製品マスタ!$G$5:$K$4999,5,FALSE))</f>
        <v/>
      </c>
      <c r="I493" s="200" t="str">
        <f>IF(D493="","",VLOOKUP(F493,製品マスタ!$G$5:$L$4999,6,FALSE))</f>
        <v/>
      </c>
      <c r="J493" s="203" t="s">
        <v>448</v>
      </c>
      <c r="K493" s="200" t="str">
        <f>IF(D493="","",VLOOKUP(D493,契約台帳!$A$3:$L$4986,12,FALSE))</f>
        <v/>
      </c>
      <c r="L493" s="200" t="str">
        <f>IF(D493="","",INDEX(製品マスタ!$Q$5:$Q$4999,MATCH('S4'!F493&amp;'S4'!K493,製品マスタ!$AO$5:$AO$4999,0)))</f>
        <v/>
      </c>
      <c r="M493" s="37"/>
      <c r="N493" s="37"/>
      <c r="O493" s="153"/>
      <c r="P493" s="45"/>
      <c r="Q493" s="54"/>
      <c r="R493" s="257" t="str">
        <f ca="1">IF(D493="","",IF(OFFSET(D493,-1,0)&lt;&gt;"","",IF(OR(J493="リード付け",J493="巻足し",J493="巻返しリード付け"),M493,VLOOKUP(D493,契約台帳!$A$3:$N$4986,14,FALSE))))</f>
        <v/>
      </c>
      <c r="S493" s="258" t="str">
        <f ca="1">IF(D493="","",IF(OFFSET(D493,-1,0)&lt;&gt;"","",IF(OR(J493="リード付け",J493="巻足し",J493="巻返しリード付け"),M493,VLOOKUP(D493,契約台帳!$A$3:$O$4986,15,FALSE))))</f>
        <v/>
      </c>
      <c r="T493" s="258" t="str">
        <f ca="1">IF(D493="","",IF(J493="リード付け",N493,IF(J493="巻返しリード付け",N493,IF(J493="巻足し",N493*P493+OFFSET(N493,1,0)*OFFSET(P493,1,0),VLOOKUP(D493,契約台帳!$A$3:$P$4986,16,FALSE)))))</f>
        <v/>
      </c>
      <c r="U493" s="38"/>
      <c r="V493" s="259" t="str">
        <f ca="1">IF(D493="","",IF(OFFSET(D493,-2,0)=D493,"",VLOOKUP(D493,契約台帳!$A$3:$R$4986,18,FALSE)))</f>
        <v/>
      </c>
      <c r="W493" s="256" t="str">
        <f>IF(D493="","",IF(T493="","",IF(OR(J493="巻足し",J493="巻返しリード付け"),"",IF(J493="巻返し",VLOOKUP(F493&amp;K493&amp;M493,製品マスタ!$M$5:$AD$4999,18,FALSE),IF(OR(J493="リード付け",J493="巻返しリード付け"),"原反コア",IF(J493="スリット",VLOOKUP(F493&amp;K493&amp;R493,製品マスタ!$N$5:$AD$4999,17,FALSE),""))))))</f>
        <v/>
      </c>
      <c r="X493" s="256" t="str">
        <f>IF(D493="","",IF(T493="","",IF(J493="巻足し","",IF(J493="巻返し",VLOOKUP(F493&amp;K493&amp;M493,製品マスタ!$M$5:$AE$4999,19,FALSE),IF(OR(J493="リード付け",J493="巻返しリード付け"),"",IF(J493="スリット",VLOOKUP(F493&amp;K493&amp;R493,製品マスタ!$N$5:$AE$4999,18,FALSE),""))))))</f>
        <v/>
      </c>
      <c r="Y493" s="256" t="str">
        <f>IF(D493="","",IF(T493="","",VLOOKUP(D493,契約台帳!$A$3:$Q$4986,17,FALSE)))</f>
        <v/>
      </c>
      <c r="Z493" s="256" t="str">
        <f>IF(D493="","",IF(T493="","",VLOOKUP(D493,契約台帳!$A$3:$E$4986,5,FALSE)))</f>
        <v/>
      </c>
      <c r="AA493" s="54"/>
      <c r="AB493" s="200" t="str">
        <f>IFERROR((VLOOKUP(F493&amp;K493&amp;M493,製品マスタ!$M$5:$AM$4999,27,FALSE)),"")</f>
        <v/>
      </c>
      <c r="AC493" s="31"/>
      <c r="AD493" s="184"/>
      <c r="AE493" s="51"/>
      <c r="AF493" s="52"/>
      <c r="AG493" s="41"/>
      <c r="AH493" s="45"/>
      <c r="AI493" s="28"/>
      <c r="AJ493" s="28"/>
      <c r="AK493" s="28"/>
      <c r="AL493" s="28"/>
      <c r="AM493" s="12"/>
      <c r="AN493" s="12"/>
      <c r="AO493" s="12"/>
      <c r="AP493" s="12"/>
      <c r="AQ493" s="12"/>
      <c r="AR493" s="13"/>
      <c r="AS493" s="14"/>
    </row>
    <row r="494" spans="1:45" s="16" customFormat="1" ht="30.95" hidden="1" customHeight="1" x14ac:dyDescent="0.2">
      <c r="A494" s="35"/>
      <c r="B494" s="36"/>
      <c r="C494" s="43"/>
      <c r="D494" s="29"/>
      <c r="E494" s="29"/>
      <c r="F494" s="255" t="str">
        <f>IF(D494="","",VLOOKUP(D494,契約台帳!$A$3:$K$4986,6,FALSE)&amp;VLOOKUP(D494,契約台帳!$A$3:$K$4986,7,FALSE)&amp;VLOOKUP(D494,契約台帳!$A$3:$K$4986,8,FALSE)&amp;VLOOKUP(D494,契約台帳!$A$3:$K$4986,9,FALSE)&amp;VLOOKUP(D494,契約台帳!$A$3:$K$4986,11,FALSE))</f>
        <v/>
      </c>
      <c r="G494" s="256" t="str">
        <f>IF(D494="","",VLOOKUP(F494,製品マスタ!$G$5:$H$4999,2,FALSE))</f>
        <v/>
      </c>
      <c r="H494" s="256" t="str">
        <f>IF(D494="","",VLOOKUP(F494,製品マスタ!$G$5:$K$4999,5,FALSE))</f>
        <v/>
      </c>
      <c r="I494" s="200" t="str">
        <f>IF(D494="","",VLOOKUP(F494,製品マスタ!$G$5:$L$4999,6,FALSE))</f>
        <v/>
      </c>
      <c r="J494" s="203"/>
      <c r="K494" s="200" t="str">
        <f>IF(D494="","",VLOOKUP(D494,契約台帳!$A$3:$L$4986,12,FALSE))</f>
        <v/>
      </c>
      <c r="L494" s="200" t="str">
        <f>IF(D494="","",INDEX(製品マスタ!$Q$5:$Q$4999,MATCH('S4'!F494&amp;'S4'!K494,製品マスタ!$AO$5:$AO$4999,0)))</f>
        <v/>
      </c>
      <c r="M494" s="37"/>
      <c r="N494" s="37"/>
      <c r="O494" s="153"/>
      <c r="P494" s="45"/>
      <c r="Q494" s="54"/>
      <c r="R494" s="257" t="str">
        <f ca="1">IF(D494="","",IF(OFFSET(D494,-1,0)&lt;&gt;"","",IF(OR(J494="リード付け",J494="巻足し",J494="巻返しリード付け"),M494,VLOOKUP(D494,契約台帳!$A$3:$N$4986,14,FALSE))))</f>
        <v/>
      </c>
      <c r="S494" s="258" t="str">
        <f ca="1">IF(D494="","",IF(OFFSET(D494,-1,0)&lt;&gt;"","",IF(OR(J494="リード付け",J494="巻足し",J494="巻返しリード付け"),M494,VLOOKUP(D494,契約台帳!$A$3:$O$4986,15,FALSE))))</f>
        <v/>
      </c>
      <c r="T494" s="258" t="str">
        <f ca="1">IF(D494="","",IF(J494="リード付け",N494,IF(J494="巻返しリード付け",N494,IF(J494="巻足し",N494*P494+OFFSET(N494,1,0)*OFFSET(P494,1,0),VLOOKUP(D494,契約台帳!$A$3:$P$4986,16,FALSE)))))</f>
        <v/>
      </c>
      <c r="U494" s="38"/>
      <c r="V494" s="259" t="str">
        <f ca="1">IF(D494="","",IF(OFFSET(D494,-2,0)=D494,"",VLOOKUP(D494,契約台帳!$A$3:$R$4986,18,FALSE)))</f>
        <v/>
      </c>
      <c r="W494" s="256" t="str">
        <f>IF(D494="","",IF(T494="","",IF(OR(J494="巻足し",J494="巻返しリード付け"),"",IF(J494="巻返し",VLOOKUP(F494&amp;K494&amp;M494,製品マスタ!$M$5:$AD$4999,18,FALSE),IF(OR(J494="リード付け",J494="巻返しリード付け"),"原反コア",IF(J494="スリット",VLOOKUP(F494&amp;K494&amp;R494,製品マスタ!$N$5:$AD$4999,17,FALSE),""))))))</f>
        <v/>
      </c>
      <c r="X494" s="256" t="str">
        <f>IF(D494="","",IF(T494="","",IF(J494="巻足し","",IF(J494="巻返し",VLOOKUP(F494&amp;K494&amp;M494,製品マスタ!$M$5:$AE$4999,19,FALSE),IF(OR(J494="リード付け",J494="巻返しリード付け"),"",IF(J494="スリット",VLOOKUP(F494&amp;K494&amp;R494,製品マスタ!$N$5:$AE$4999,18,FALSE),""))))))</f>
        <v/>
      </c>
      <c r="Y494" s="256" t="str">
        <f>IF(D494="","",IF(T494="","",VLOOKUP(D494,契約台帳!$A$3:$Q$4986,17,FALSE)))</f>
        <v/>
      </c>
      <c r="Z494" s="256" t="str">
        <f>IF(D494="","",IF(T494="","",VLOOKUP(D494,契約台帳!$A$3:$E$4986,5,FALSE)))</f>
        <v/>
      </c>
      <c r="AA494" s="54"/>
      <c r="AB494" s="200" t="str">
        <f>IFERROR((VLOOKUP(F494&amp;K494&amp;M494,製品マスタ!$M$5:$AM$4999,27,FALSE)),"")</f>
        <v/>
      </c>
      <c r="AC494" s="31"/>
      <c r="AD494" s="184"/>
      <c r="AE494" s="51"/>
      <c r="AF494" s="52"/>
      <c r="AG494" s="41"/>
      <c r="AH494" s="45"/>
      <c r="AI494" s="28"/>
      <c r="AJ494" s="28"/>
      <c r="AK494" s="28"/>
      <c r="AL494" s="28"/>
      <c r="AM494" s="12"/>
      <c r="AN494" s="12"/>
      <c r="AO494" s="12"/>
      <c r="AP494" s="12"/>
      <c r="AQ494" s="12"/>
      <c r="AR494" s="13"/>
      <c r="AS494" s="14"/>
    </row>
    <row r="495" spans="1:45" s="16" customFormat="1" ht="30.95" hidden="1" customHeight="1" x14ac:dyDescent="0.2">
      <c r="A495" s="35" t="s">
        <v>1064</v>
      </c>
      <c r="B495" s="36" t="s">
        <v>1055</v>
      </c>
      <c r="C495" s="43"/>
      <c r="D495" s="29"/>
      <c r="E495" s="29"/>
      <c r="F495" s="255" t="str">
        <f>IF(D495="","",VLOOKUP(D495,契約台帳!$A$3:$K$4986,6,FALSE)&amp;VLOOKUP(D495,契約台帳!$A$3:$K$4986,7,FALSE)&amp;VLOOKUP(D495,契約台帳!$A$3:$K$4986,8,FALSE)&amp;VLOOKUP(D495,契約台帳!$A$3:$K$4986,9,FALSE)&amp;VLOOKUP(D495,契約台帳!$A$3:$K$4986,11,FALSE))</f>
        <v/>
      </c>
      <c r="G495" s="256" t="str">
        <f>IF(D495="","",VLOOKUP(F495,製品マスタ!$G$5:$H$4999,2,FALSE))</f>
        <v/>
      </c>
      <c r="H495" s="256" t="str">
        <f>IF(D495="","",VLOOKUP(F495,製品マスタ!$G$5:$K$4999,5,FALSE))</f>
        <v/>
      </c>
      <c r="I495" s="200" t="str">
        <f>IF(D495="","",VLOOKUP(F495,製品マスタ!$G$5:$L$4999,6,FALSE))</f>
        <v/>
      </c>
      <c r="J495" s="203" t="s">
        <v>448</v>
      </c>
      <c r="K495" s="200" t="str">
        <f>IF(D495="","",VLOOKUP(D495,契約台帳!$A$3:$L$4986,12,FALSE))</f>
        <v/>
      </c>
      <c r="L495" s="200" t="str">
        <f>IF(D495="","",INDEX(製品マスタ!$Q$5:$Q$4999,MATCH('S4'!F495&amp;'S4'!K495,製品マスタ!$AO$5:$AO$4999,0)))</f>
        <v/>
      </c>
      <c r="M495" s="37"/>
      <c r="N495" s="37"/>
      <c r="O495" s="153"/>
      <c r="P495" s="45"/>
      <c r="Q495" s="54"/>
      <c r="R495" s="257" t="str">
        <f ca="1">IF(D495="","",IF(OFFSET(D495,-1,0)&lt;&gt;"","",IF(OR(J495="リード付け",J495="巻足し",J495="巻返しリード付け"),M495,VLOOKUP(D495,契約台帳!$A$3:$N$4986,14,FALSE))))</f>
        <v/>
      </c>
      <c r="S495" s="258" t="str">
        <f ca="1">IF(D495="","",IF(OFFSET(D495,-1,0)&lt;&gt;"","",IF(OR(J495="リード付け",J495="巻足し",J495="巻返しリード付け"),M495,VLOOKUP(D495,契約台帳!$A$3:$O$4986,15,FALSE))))</f>
        <v/>
      </c>
      <c r="T495" s="258" t="str">
        <f ca="1">IF(D495="","",IF(J495="リード付け",N495,IF(J495="巻返しリード付け",N495,IF(J495="巻足し",N495*P495+OFFSET(N495,1,0)*OFFSET(P495,1,0),VLOOKUP(D495,契約台帳!$A$3:$P$4986,16,FALSE)))))</f>
        <v/>
      </c>
      <c r="U495" s="38"/>
      <c r="V495" s="259" t="str">
        <f ca="1">IF(D495="","",IF(OFFSET(D495,-2,0)=D495,"",VLOOKUP(D495,契約台帳!$A$3:$R$4986,18,FALSE)))</f>
        <v/>
      </c>
      <c r="W495" s="256" t="str">
        <f>IF(D495="","",IF(T495="","",IF(OR(J495="巻足し",J495="巻返しリード付け"),"",IF(J495="巻返し",VLOOKUP(F495&amp;K495&amp;M495,製品マスタ!$M$5:$AD$4999,18,FALSE),IF(OR(J495="リード付け",J495="巻返しリード付け"),"原反コア",IF(J495="スリット",VLOOKUP(F495&amp;K495&amp;R495,製品マスタ!$N$5:$AD$4999,17,FALSE),""))))))</f>
        <v/>
      </c>
      <c r="X495" s="256" t="str">
        <f>IF(D495="","",IF(T495="","",IF(J495="巻足し","",IF(J495="巻返し",VLOOKUP(F495&amp;K495&amp;M495,製品マスタ!$M$5:$AE$4999,19,FALSE),IF(OR(J495="リード付け",J495="巻返しリード付け"),"",IF(J495="スリット",VLOOKUP(F495&amp;K495&amp;R495,製品マスタ!$N$5:$AE$4999,18,FALSE),""))))))</f>
        <v/>
      </c>
      <c r="Y495" s="256" t="str">
        <f>IF(D495="","",IF(T495="","",VLOOKUP(D495,契約台帳!$A$3:$Q$4986,17,FALSE)))</f>
        <v/>
      </c>
      <c r="Z495" s="256" t="str">
        <f>IF(D495="","",IF(T495="","",VLOOKUP(D495,契約台帳!$A$3:$E$4986,5,FALSE)))</f>
        <v/>
      </c>
      <c r="AA495" s="54"/>
      <c r="AB495" s="200" t="str">
        <f>IFERROR((VLOOKUP(F495&amp;K495&amp;M495,製品マスタ!$M$5:$AM$4999,27,FALSE)),"")</f>
        <v/>
      </c>
      <c r="AC495" s="31"/>
      <c r="AD495" s="184"/>
      <c r="AE495" s="51"/>
      <c r="AF495" s="52"/>
      <c r="AG495" s="41"/>
      <c r="AH495" s="45"/>
      <c r="AI495" s="28"/>
      <c r="AJ495" s="28"/>
      <c r="AK495" s="28"/>
      <c r="AL495" s="28"/>
      <c r="AM495" s="12"/>
      <c r="AN495" s="12"/>
      <c r="AO495" s="12"/>
      <c r="AP495" s="12"/>
      <c r="AQ495" s="12"/>
      <c r="AR495" s="13"/>
      <c r="AS495" s="14"/>
    </row>
    <row r="496" spans="1:45" s="16" customFormat="1" ht="30.95" hidden="1" customHeight="1" x14ac:dyDescent="0.2">
      <c r="A496" s="35"/>
      <c r="B496" s="36"/>
      <c r="C496" s="43"/>
      <c r="D496" s="29"/>
      <c r="E496" s="29"/>
      <c r="F496" s="255" t="str">
        <f>IF(D496="","",VLOOKUP(D496,契約台帳!$A$3:$K$4986,6,FALSE)&amp;VLOOKUP(D496,契約台帳!$A$3:$K$4986,7,FALSE)&amp;VLOOKUP(D496,契約台帳!$A$3:$K$4986,8,FALSE)&amp;VLOOKUP(D496,契約台帳!$A$3:$K$4986,9,FALSE)&amp;VLOOKUP(D496,契約台帳!$A$3:$K$4986,11,FALSE))</f>
        <v/>
      </c>
      <c r="G496" s="256" t="str">
        <f>IF(D496="","",VLOOKUP(F496,製品マスタ!$G$5:$H$4999,2,FALSE))</f>
        <v/>
      </c>
      <c r="H496" s="256" t="str">
        <f>IF(D496="","",VLOOKUP(F496,製品マスタ!$G$5:$K$4999,5,FALSE))</f>
        <v/>
      </c>
      <c r="I496" s="200" t="str">
        <f>IF(D496="","",VLOOKUP(F496,製品マスタ!$G$5:$L$4999,6,FALSE))</f>
        <v/>
      </c>
      <c r="J496" s="203"/>
      <c r="K496" s="200" t="str">
        <f>IF(D496="","",VLOOKUP(D496,契約台帳!$A$3:$L$4986,12,FALSE))</f>
        <v/>
      </c>
      <c r="L496" s="200" t="str">
        <f>IF(D496="","",INDEX(製品マスタ!$Q$5:$Q$4999,MATCH('S4'!F496&amp;'S4'!K496,製品マスタ!$AO$5:$AO$4999,0)))</f>
        <v/>
      </c>
      <c r="M496" s="37"/>
      <c r="N496" s="37"/>
      <c r="O496" s="153"/>
      <c r="P496" s="45"/>
      <c r="Q496" s="54"/>
      <c r="R496" s="257" t="str">
        <f ca="1">IF(D496="","",IF(OFFSET(D496,-1,0)&lt;&gt;"","",IF(OR(J496="リード付け",J496="巻足し",J496="巻返しリード付け"),M496,VLOOKUP(D496,契約台帳!$A$3:$N$4986,14,FALSE))))</f>
        <v/>
      </c>
      <c r="S496" s="258" t="str">
        <f ca="1">IF(D496="","",IF(OFFSET(D496,-1,0)&lt;&gt;"","",IF(OR(J496="リード付け",J496="巻足し",J496="巻返しリード付け"),M496,VLOOKUP(D496,契約台帳!$A$3:$O$4986,15,FALSE))))</f>
        <v/>
      </c>
      <c r="T496" s="258" t="str">
        <f ca="1">IF(D496="","",IF(J496="リード付け",N496,IF(J496="巻返しリード付け",N496,IF(J496="巻足し",N496*P496+OFFSET(N496,1,0)*OFFSET(P496,1,0),VLOOKUP(D496,契約台帳!$A$3:$P$4986,16,FALSE)))))</f>
        <v/>
      </c>
      <c r="U496" s="38"/>
      <c r="V496" s="259" t="str">
        <f ca="1">IF(D496="","",IF(OFFSET(D496,-2,0)=D496,"",VLOOKUP(D496,契約台帳!$A$3:$R$4986,18,FALSE)))</f>
        <v/>
      </c>
      <c r="W496" s="256" t="str">
        <f>IF(D496="","",IF(T496="","",IF(OR(J496="巻足し",J496="巻返しリード付け"),"",IF(J496="巻返し",VLOOKUP(F496&amp;K496&amp;M496,製品マスタ!$M$5:$AD$4999,18,FALSE),IF(OR(J496="リード付け",J496="巻返しリード付け"),"原反コア",IF(J496="スリット",VLOOKUP(F496&amp;K496&amp;R496,製品マスタ!$N$5:$AD$4999,17,FALSE),""))))))</f>
        <v/>
      </c>
      <c r="X496" s="256" t="str">
        <f>IF(D496="","",IF(T496="","",IF(J496="巻足し","",IF(J496="巻返し",VLOOKUP(F496&amp;K496&amp;M496,製品マスタ!$M$5:$AE$4999,19,FALSE),IF(OR(J496="リード付け",J496="巻返しリード付け"),"",IF(J496="スリット",VLOOKUP(F496&amp;K496&amp;R496,製品マスタ!$N$5:$AE$4999,18,FALSE),""))))))</f>
        <v/>
      </c>
      <c r="Y496" s="256" t="str">
        <f>IF(D496="","",IF(T496="","",VLOOKUP(D496,契約台帳!$A$3:$Q$4986,17,FALSE)))</f>
        <v/>
      </c>
      <c r="Z496" s="256" t="str">
        <f>IF(D496="","",IF(T496="","",VLOOKUP(D496,契約台帳!$A$3:$E$4986,5,FALSE)))</f>
        <v/>
      </c>
      <c r="AA496" s="54"/>
      <c r="AB496" s="200" t="str">
        <f>IFERROR((VLOOKUP(F496&amp;K496&amp;M496,製品マスタ!$M$5:$AM$4999,27,FALSE)),"")</f>
        <v/>
      </c>
      <c r="AC496" s="31"/>
      <c r="AD496" s="184"/>
      <c r="AE496" s="51"/>
      <c r="AF496" s="52"/>
      <c r="AG496" s="41"/>
      <c r="AH496" s="45"/>
      <c r="AI496" s="28"/>
      <c r="AJ496" s="28"/>
      <c r="AK496" s="28"/>
      <c r="AL496" s="28"/>
      <c r="AM496" s="12"/>
      <c r="AN496" s="12"/>
      <c r="AO496" s="12"/>
      <c r="AP496" s="12"/>
      <c r="AQ496" s="12"/>
      <c r="AR496" s="13"/>
      <c r="AS496" s="14"/>
    </row>
    <row r="497" spans="1:45" s="16" customFormat="1" ht="30.95" hidden="1" customHeight="1" x14ac:dyDescent="0.2">
      <c r="A497" s="35" t="s">
        <v>1065</v>
      </c>
      <c r="B497" s="36" t="s">
        <v>1057</v>
      </c>
      <c r="C497" s="43"/>
      <c r="D497" s="29"/>
      <c r="E497" s="29"/>
      <c r="F497" s="255" t="str">
        <f>IF(D497="","",VLOOKUP(D497,契約台帳!$A$3:$K$4986,6,FALSE)&amp;VLOOKUP(D497,契約台帳!$A$3:$K$4986,7,FALSE)&amp;VLOOKUP(D497,契約台帳!$A$3:$K$4986,8,FALSE)&amp;VLOOKUP(D497,契約台帳!$A$3:$K$4986,9,FALSE)&amp;VLOOKUP(D497,契約台帳!$A$3:$K$4986,11,FALSE))</f>
        <v/>
      </c>
      <c r="G497" s="256" t="str">
        <f>IF(D497="","",VLOOKUP(F497,製品マスタ!$G$5:$H$4999,2,FALSE))</f>
        <v/>
      </c>
      <c r="H497" s="256" t="str">
        <f>IF(D497="","",VLOOKUP(F497,製品マスタ!$G$5:$K$4999,5,FALSE))</f>
        <v/>
      </c>
      <c r="I497" s="200" t="str">
        <f>IF(D497="","",VLOOKUP(F497,製品マスタ!$G$5:$L$4999,6,FALSE))</f>
        <v/>
      </c>
      <c r="J497" s="203" t="s">
        <v>1076</v>
      </c>
      <c r="K497" s="200" t="str">
        <f>IF(D497="","",VLOOKUP(D497,契約台帳!$A$3:$L$4986,12,FALSE))</f>
        <v/>
      </c>
      <c r="L497" s="200" t="str">
        <f>IF(D497="","",INDEX(製品マスタ!$Q$5:$Q$4999,MATCH('S4'!F497&amp;'S4'!K497,製品マスタ!$AO$5:$AO$4999,0)))</f>
        <v/>
      </c>
      <c r="M497" s="37"/>
      <c r="N497" s="37"/>
      <c r="O497" s="153"/>
      <c r="P497" s="45"/>
      <c r="Q497" s="54"/>
      <c r="R497" s="257" t="str">
        <f ca="1">IF(D497="","",IF(OFFSET(D497,-1,0)&lt;&gt;"","",IF(OR(J497="リード付け",J497="巻足し",J497="巻返しリード付け"),M497,VLOOKUP(D497,契約台帳!$A$3:$N$4986,14,FALSE))))</f>
        <v/>
      </c>
      <c r="S497" s="258" t="str">
        <f ca="1">IF(D497="","",IF(OFFSET(D497,-1,0)&lt;&gt;"","",IF(OR(J497="リード付け",J497="巻足し",J497="巻返しリード付け"),M497,VLOOKUP(D497,契約台帳!$A$3:$O$4986,15,FALSE))))</f>
        <v/>
      </c>
      <c r="T497" s="258" t="str">
        <f ca="1">IF(D497="","",IF(J497="リード付け",N497,IF(J497="巻返しリード付け",N497,IF(J497="巻足し",N497*P497+OFFSET(N497,1,0)*OFFSET(P497,1,0),VLOOKUP(D497,契約台帳!$A$3:$P$4986,16,FALSE)))))</f>
        <v/>
      </c>
      <c r="U497" s="38"/>
      <c r="V497" s="259" t="str">
        <f ca="1">IF(D497="","",IF(OFFSET(D497,-2,0)=D497,"",VLOOKUP(D497,契約台帳!$A$3:$R$4986,18,FALSE)))</f>
        <v/>
      </c>
      <c r="W497" s="256" t="str">
        <f>IF(D497="","",IF(T497="","",IF(OR(J497="巻足し",J497="巻返しリード付け"),"",IF(J497="巻返し",VLOOKUP(F497&amp;K497&amp;M497,製品マスタ!$M$5:$AD$4999,18,FALSE),IF(OR(J497="リード付け",J497="巻返しリード付け"),"原反コア",IF(J497="スリット",VLOOKUP(F497&amp;K497&amp;R497,製品マスタ!$N$5:$AD$4999,17,FALSE),""))))))</f>
        <v/>
      </c>
      <c r="X497" s="256" t="str">
        <f>IF(D497="","",IF(T497="","",IF(J497="巻足し","",IF(J497="巻返し",VLOOKUP(F497&amp;K497&amp;M497,製品マスタ!$M$5:$AE$4999,19,FALSE),IF(OR(J497="リード付け",J497="巻返しリード付け"),"",IF(J497="スリット",VLOOKUP(F497&amp;K497&amp;R497,製品マスタ!$N$5:$AE$4999,18,FALSE),""))))))</f>
        <v/>
      </c>
      <c r="Y497" s="256" t="str">
        <f>IF(D497="","",IF(T497="","",VLOOKUP(D497,契約台帳!$A$3:$Q$4986,17,FALSE)))</f>
        <v/>
      </c>
      <c r="Z497" s="256" t="str">
        <f>IF(D497="","",IF(T497="","",VLOOKUP(D497,契約台帳!$A$3:$E$4986,5,FALSE)))</f>
        <v/>
      </c>
      <c r="AA497" s="54"/>
      <c r="AB497" s="200" t="str">
        <f>IFERROR((VLOOKUP(F497&amp;K497&amp;M497,製品マスタ!$M$5:$AM$4999,27,FALSE)),"")</f>
        <v/>
      </c>
      <c r="AC497" s="31"/>
      <c r="AD497" s="184"/>
      <c r="AE497" s="51"/>
      <c r="AF497" s="52"/>
      <c r="AG497" s="41"/>
      <c r="AH497" s="45"/>
      <c r="AI497" s="28"/>
      <c r="AJ497" s="28"/>
      <c r="AK497" s="28"/>
      <c r="AL497" s="28"/>
      <c r="AM497" s="12"/>
      <c r="AN497" s="12"/>
      <c r="AO497" s="12"/>
      <c r="AP497" s="12"/>
      <c r="AQ497" s="12"/>
      <c r="AR497" s="13"/>
      <c r="AS497" s="14"/>
    </row>
    <row r="498" spans="1:45" s="16" customFormat="1" ht="30.95" hidden="1" customHeight="1" x14ac:dyDescent="0.2">
      <c r="A498" s="35"/>
      <c r="B498" s="36"/>
      <c r="C498" s="43"/>
      <c r="D498" s="29"/>
      <c r="E498" s="29"/>
      <c r="F498" s="255" t="str">
        <f>IF(D498="","",VLOOKUP(D498,契約台帳!$A$3:$K$4986,6,FALSE)&amp;VLOOKUP(D498,契約台帳!$A$3:$K$4986,7,FALSE)&amp;VLOOKUP(D498,契約台帳!$A$3:$K$4986,8,FALSE)&amp;VLOOKUP(D498,契約台帳!$A$3:$K$4986,9,FALSE)&amp;VLOOKUP(D498,契約台帳!$A$3:$K$4986,11,FALSE))</f>
        <v/>
      </c>
      <c r="G498" s="256" t="str">
        <f>IF(D498="","",VLOOKUP(F498,製品マスタ!$G$5:$H$4999,2,FALSE))</f>
        <v/>
      </c>
      <c r="H498" s="256" t="str">
        <f>IF(D498="","",VLOOKUP(F498,製品マスタ!$G$5:$K$4999,5,FALSE))</f>
        <v/>
      </c>
      <c r="I498" s="200" t="str">
        <f>IF(D498="","",VLOOKUP(F498,製品マスタ!$G$5:$L$4999,6,FALSE))</f>
        <v/>
      </c>
      <c r="J498" s="203"/>
      <c r="K498" s="200" t="str">
        <f>IF(D498="","",VLOOKUP(D498,契約台帳!$A$3:$L$4986,12,FALSE))</f>
        <v/>
      </c>
      <c r="L498" s="200" t="str">
        <f>IF(D498="","",INDEX(製品マスタ!$Q$5:$Q$4999,MATCH('S4'!F498&amp;'S4'!K498,製品マスタ!$AO$5:$AO$4999,0)))</f>
        <v/>
      </c>
      <c r="M498" s="37"/>
      <c r="N498" s="37"/>
      <c r="O498" s="153"/>
      <c r="P498" s="45"/>
      <c r="Q498" s="54"/>
      <c r="R498" s="257" t="str">
        <f ca="1">IF(D498="","",IF(OFFSET(D498,-1,0)&lt;&gt;"","",IF(OR(J498="リード付け",J498="巻足し",J498="巻返しリード付け"),M498,VLOOKUP(D498,契約台帳!$A$3:$N$4986,14,FALSE))))</f>
        <v/>
      </c>
      <c r="S498" s="258" t="str">
        <f ca="1">IF(D498="","",IF(OFFSET(D498,-1,0)&lt;&gt;"","",IF(OR(J498="リード付け",J498="巻足し",J498="巻返しリード付け"),M498,VLOOKUP(D498,契約台帳!$A$3:$O$4986,15,FALSE))))</f>
        <v/>
      </c>
      <c r="T498" s="258" t="str">
        <f ca="1">IF(D498="","",IF(J498="リード付け",N498,IF(J498="巻返しリード付け",N498,IF(J498="巻足し",N498*P498+OFFSET(N498,1,0)*OFFSET(P498,1,0),VLOOKUP(D498,契約台帳!$A$3:$P$4986,16,FALSE)))))</f>
        <v/>
      </c>
      <c r="U498" s="38"/>
      <c r="V498" s="259" t="str">
        <f ca="1">IF(D498="","",IF(OFFSET(D498,-2,0)=D498,"",VLOOKUP(D498,契約台帳!$A$3:$R$4986,18,FALSE)))</f>
        <v/>
      </c>
      <c r="W498" s="256" t="str">
        <f>IF(D498="","",IF(T498="","",IF(OR(J498="巻足し",J498="巻返しリード付け"),"",IF(J498="巻返し",VLOOKUP(F498&amp;K498&amp;M498,製品マスタ!$M$5:$AD$4999,18,FALSE),IF(OR(J498="リード付け",J498="巻返しリード付け"),"原反コア",IF(J498="スリット",VLOOKUP(F498&amp;K498&amp;R498,製品マスタ!$N$5:$AD$4999,17,FALSE),""))))))</f>
        <v/>
      </c>
      <c r="X498" s="256" t="str">
        <f>IF(D498="","",IF(T498="","",IF(J498="巻足し","",IF(J498="巻返し",VLOOKUP(F498&amp;K498&amp;M498,製品マスタ!$M$5:$AE$4999,19,FALSE),IF(OR(J498="リード付け",J498="巻返しリード付け"),"",IF(J498="スリット",VLOOKUP(F498&amp;K498&amp;R498,製品マスタ!$N$5:$AE$4999,18,FALSE),""))))))</f>
        <v/>
      </c>
      <c r="Y498" s="256" t="str">
        <f>IF(D498="","",IF(T498="","",VLOOKUP(D498,契約台帳!$A$3:$Q$4986,17,FALSE)))</f>
        <v/>
      </c>
      <c r="Z498" s="256" t="str">
        <f>IF(D498="","",IF(T498="","",VLOOKUP(D498,契約台帳!$A$3:$E$4986,5,FALSE)))</f>
        <v/>
      </c>
      <c r="AA498" s="54"/>
      <c r="AB498" s="200" t="str">
        <f>IFERROR((VLOOKUP(F498&amp;K498&amp;M498,製品マスタ!$M$5:$AM$4999,27,FALSE)),"")</f>
        <v/>
      </c>
      <c r="AC498" s="31"/>
      <c r="AD498" s="184"/>
      <c r="AE498" s="51"/>
      <c r="AF498" s="52"/>
      <c r="AG498" s="41"/>
      <c r="AH498" s="45"/>
      <c r="AI498" s="28"/>
      <c r="AJ498" s="28"/>
      <c r="AK498" s="28"/>
      <c r="AL498" s="28"/>
      <c r="AM498" s="12"/>
      <c r="AN498" s="12"/>
      <c r="AO498" s="12"/>
      <c r="AP498" s="12"/>
      <c r="AQ498" s="12"/>
      <c r="AR498" s="13"/>
      <c r="AS498" s="14"/>
    </row>
    <row r="499" spans="1:45" s="16" customFormat="1" ht="30.95" hidden="1" customHeight="1" x14ac:dyDescent="0.2">
      <c r="A499" s="35" t="s">
        <v>1066</v>
      </c>
      <c r="B499" s="36" t="s">
        <v>1050</v>
      </c>
      <c r="C499" s="43"/>
      <c r="D499" s="29">
        <v>3704004</v>
      </c>
      <c r="E499" s="29">
        <v>4161879</v>
      </c>
      <c r="F499" s="255" t="str">
        <f>IF(D499="","",VLOOKUP(D499,契約台帳!$A$3:$K$4986,6,FALSE)&amp;VLOOKUP(D499,契約台帳!$A$3:$K$4986,7,FALSE)&amp;VLOOKUP(D499,契約台帳!$A$3:$K$4986,8,FALSE)&amp;VLOOKUP(D499,契約台帳!$A$3:$K$4986,9,FALSE)&amp;VLOOKUP(D499,契約台帳!$A$3:$K$4986,11,FALSE))</f>
        <v>3SNMCLBMSNEYK</v>
      </c>
      <c r="G499" s="256" t="str">
        <f>IF(D499="","",VLOOKUP(F499,製品マスタ!$G$5:$H$4999,2,FALSE))</f>
        <v>S</v>
      </c>
      <c r="H499" s="256" t="str">
        <f>IF(D499="","",VLOOKUP(F499,製品マスタ!$G$5:$K$4999,5,FALSE))</f>
        <v>MSNEYK</v>
      </c>
      <c r="I499" s="200" t="str">
        <f>IF(D499="","",VLOOKUP(F499,製品マスタ!$G$5:$L$4999,6,FALSE))</f>
        <v>ＭＳＮ　ＥＹＫ</v>
      </c>
      <c r="J499" s="203" t="s">
        <v>1077</v>
      </c>
      <c r="K499" s="200">
        <f>IF(D499="","",VLOOKUP(D499,契約台帳!$A$3:$L$4986,12,FALSE))</f>
        <v>50</v>
      </c>
      <c r="L499" s="200" t="str">
        <f>IF(D499="","",INDEX(製品マスタ!$Q$5:$Q$4999,MATCH('S4'!F499&amp;'S4'!K499,製品マスタ!$AO$5:$AO$4999,0)))</f>
        <v>N-MAT</v>
      </c>
      <c r="M499" s="37">
        <v>1200</v>
      </c>
      <c r="N499" s="37">
        <v>6000</v>
      </c>
      <c r="O499" s="153">
        <v>8</v>
      </c>
      <c r="P499" s="45">
        <v>2</v>
      </c>
      <c r="Q499" s="206">
        <v>45036</v>
      </c>
      <c r="R499" s="257">
        <f ca="1">IF(D499="","",IF(OFFSET(D499,-1,0)&lt;&gt;"","",IF(OR(J499="リード付け",J499="巻足し",J499="巻返しリード付け"),M499,VLOOKUP(D499,契約台帳!$A$3:$N$4986,14,FALSE))))</f>
        <v>1200</v>
      </c>
      <c r="S499" s="258">
        <f ca="1">IF(D499="","",IF(OFFSET(D499,-1,0)&lt;&gt;"","",IF(OR(J499="リード付け",J499="巻足し",J499="巻返しリード付け"),M499,VLOOKUP(D499,契約台帳!$A$3:$O$4986,15,FALSE))))</f>
        <v>1200</v>
      </c>
      <c r="T499" s="258">
        <f ca="1">IF(D499="","",IF(J499="リード付け",N499,IF(J499="巻返しリード付け",N499,IF(J499="巻足し",N499*P499+OFFSET(N499,1,0)*OFFSET(P499,1,0),VLOOKUP(D499,契約台帳!$A$3:$P$4986,16,FALSE)))))</f>
        <v>12000</v>
      </c>
      <c r="U499" s="38">
        <v>4</v>
      </c>
      <c r="V499" s="259">
        <f ca="1">IF(D499="","",IF(OFFSET(D499,-2,0)=D499,"",VLOOKUP(D499,契約台帳!$A$3:$R$4986,18,FALSE)))</f>
        <v>8</v>
      </c>
      <c r="W499" s="256" t="str">
        <f ca="1">IF(D499="","",IF(T499="","",IF(OR(J499="巻足し",J499="巻返しリード付け"),"",IF(J499="巻返し",VLOOKUP(F499&amp;K499&amp;M499,製品マスタ!$M$5:$AD$4999,18,FALSE),IF(OR(J499="リード付け",J499="巻返しリード付け"),"原反コア",IF(J499="スリット",VLOOKUP(F499&amp;K499&amp;R499,製品マスタ!$N$5:$AD$4999,17,FALSE),""))))))</f>
        <v/>
      </c>
      <c r="X499" s="256" t="str">
        <f ca="1">IF(D499="","",IF(T499="","",IF(J499="巻足し","",IF(J499="巻返し",VLOOKUP(F499&amp;K499&amp;M499,製品マスタ!$M$5:$AE$4999,19,FALSE),IF(OR(J499="リード付け",J499="巻返しリード付け"),"",IF(J499="スリット",VLOOKUP(F499&amp;K499&amp;R499,製品マスタ!$N$5:$AE$4999,18,FALSE),""))))))</f>
        <v/>
      </c>
      <c r="Y499" s="256">
        <f ca="1">IF(D499="","",IF(T499="","",VLOOKUP(D499,契約台帳!$A$3:$Q$4986,17,FALSE)))</f>
        <v>2</v>
      </c>
      <c r="Z499" s="256" t="str">
        <f ca="1">IF(D499="","",IF(T499="","",VLOOKUP(D499,契約台帳!$A$3:$E$4986,5,FALSE)))</f>
        <v>大阪シーリング印刷㈱</v>
      </c>
      <c r="AA499" s="54"/>
      <c r="AB499" s="200" t="str">
        <f>IFERROR((VLOOKUP(F499&amp;K499&amp;M499,製品マスタ!$M$5:$AM$4999,27,FALSE)),"")</f>
        <v>原反ケース再利用</v>
      </c>
      <c r="AC499" s="31"/>
      <c r="AD499" s="184"/>
      <c r="AE499" s="51"/>
      <c r="AF499" s="52"/>
      <c r="AG499" s="41"/>
      <c r="AH499" s="45"/>
      <c r="AI499" s="28"/>
      <c r="AJ499" s="28"/>
      <c r="AK499" s="28"/>
      <c r="AL499" s="28"/>
      <c r="AM499" s="12"/>
      <c r="AN499" s="12"/>
      <c r="AO499" s="12"/>
      <c r="AP499" s="12"/>
      <c r="AQ499" s="12"/>
      <c r="AR499" s="13"/>
      <c r="AS499" s="14"/>
    </row>
    <row r="500" spans="1:45" s="16" customFormat="1" ht="30.95" hidden="1" customHeight="1" x14ac:dyDescent="0.2">
      <c r="A500" s="35"/>
      <c r="B500" s="36"/>
      <c r="C500" s="43"/>
      <c r="D500" s="29"/>
      <c r="E500" s="29"/>
      <c r="F500" s="255" t="str">
        <f>IF(D500="","",VLOOKUP(D500,契約台帳!$A$3:$K$4986,6,FALSE)&amp;VLOOKUP(D500,契約台帳!$A$3:$K$4986,7,FALSE)&amp;VLOOKUP(D500,契約台帳!$A$3:$K$4986,8,FALSE)&amp;VLOOKUP(D500,契約台帳!$A$3:$K$4986,9,FALSE)&amp;VLOOKUP(D500,契約台帳!$A$3:$K$4986,11,FALSE))</f>
        <v/>
      </c>
      <c r="G500" s="256" t="str">
        <f>IF(D500="","",VLOOKUP(F500,製品マスタ!$G$5:$H$4999,2,FALSE))</f>
        <v/>
      </c>
      <c r="H500" s="256" t="str">
        <f>IF(D500="","",VLOOKUP(F500,製品マスタ!$G$5:$K$4999,5,FALSE))</f>
        <v/>
      </c>
      <c r="I500" s="200" t="str">
        <f>IF(D500="","",VLOOKUP(F500,製品マスタ!$G$5:$L$4999,6,FALSE))</f>
        <v/>
      </c>
      <c r="J500" s="203"/>
      <c r="K500" s="200" t="str">
        <f>IF(D500="","",VLOOKUP(D500,契約台帳!$A$3:$L$4986,12,FALSE))</f>
        <v/>
      </c>
      <c r="L500" s="200" t="str">
        <f>IF(D500="","",INDEX(製品マスタ!$Q$5:$Q$4999,MATCH('S4'!F500&amp;'S4'!K500,製品マスタ!$AO$5:$AO$4999,0)))</f>
        <v/>
      </c>
      <c r="M500" s="37"/>
      <c r="N500" s="37"/>
      <c r="O500" s="153"/>
      <c r="P500" s="45"/>
      <c r="Q500" s="54"/>
      <c r="R500" s="257" t="str">
        <f ca="1">IF(D500="","",IF(OFFSET(D500,-1,0)&lt;&gt;"","",IF(OR(J500="リード付け",J500="巻足し",J500="巻返しリード付け"),M500,VLOOKUP(D500,契約台帳!$A$3:$N$4986,14,FALSE))))</f>
        <v/>
      </c>
      <c r="S500" s="258" t="str">
        <f ca="1">IF(D500="","",IF(OFFSET(D500,-1,0)&lt;&gt;"","",IF(OR(J500="リード付け",J500="巻足し",J500="巻返しリード付け"),M500,VLOOKUP(D500,契約台帳!$A$3:$O$4986,15,FALSE))))</f>
        <v/>
      </c>
      <c r="T500" s="258" t="str">
        <f ca="1">IF(D500="","",IF(J500="リード付け",N500,IF(J500="巻返しリード付け",N500,IF(J500="巻足し",N500*P500+OFFSET(N500,1,0)*OFFSET(P500,1,0),VLOOKUP(D500,契約台帳!$A$3:$P$4986,16,FALSE)))))</f>
        <v/>
      </c>
      <c r="U500" s="38"/>
      <c r="V500" s="259" t="str">
        <f ca="1">IF(D500="","",IF(OFFSET(D500,-2,0)=D500,"",VLOOKUP(D500,契約台帳!$A$3:$R$4986,18,FALSE)))</f>
        <v/>
      </c>
      <c r="W500" s="256" t="str">
        <f>IF(D500="","",IF(T500="","",IF(OR(J500="巻足し",J500="巻返しリード付け"),"",IF(J500="巻返し",VLOOKUP(F500&amp;K500&amp;M500,製品マスタ!$M$5:$AD$4999,18,FALSE),IF(OR(J500="リード付け",J500="巻返しリード付け"),"原反コア",IF(J500="スリット",VLOOKUP(F500&amp;K500&amp;R500,製品マスタ!$N$5:$AD$4999,17,FALSE),""))))))</f>
        <v/>
      </c>
      <c r="X500" s="256" t="str">
        <f>IF(D500="","",IF(T500="","",IF(J500="巻足し","",IF(J500="巻返し",VLOOKUP(F500&amp;K500&amp;M500,製品マスタ!$M$5:$AE$4999,19,FALSE),IF(OR(J500="リード付け",J500="巻返しリード付け"),"",IF(J500="スリット",VLOOKUP(F500&amp;K500&amp;R500,製品マスタ!$N$5:$AE$4999,18,FALSE),""))))))</f>
        <v/>
      </c>
      <c r="Y500" s="256" t="str">
        <f>IF(D500="","",IF(T500="","",VLOOKUP(D500,契約台帳!$A$3:$Q$4986,17,FALSE)))</f>
        <v/>
      </c>
      <c r="Z500" s="256" t="str">
        <f>IF(D500="","",IF(T500="","",VLOOKUP(D500,契約台帳!$A$3:$E$4986,5,FALSE)))</f>
        <v/>
      </c>
      <c r="AA500" s="54"/>
      <c r="AB500" s="200" t="str">
        <f>IFERROR((VLOOKUP(F500&amp;K500&amp;M500,製品マスタ!$M$5:$AM$4999,27,FALSE)),"")</f>
        <v/>
      </c>
      <c r="AC500" s="31"/>
      <c r="AD500" s="184"/>
      <c r="AE500" s="51"/>
      <c r="AF500" s="52"/>
      <c r="AG500" s="41"/>
      <c r="AH500" s="45"/>
      <c r="AI500" s="28"/>
      <c r="AJ500" s="28"/>
      <c r="AK500" s="28"/>
      <c r="AL500" s="28"/>
      <c r="AM500" s="12"/>
      <c r="AN500" s="12"/>
      <c r="AO500" s="12"/>
      <c r="AP500" s="12"/>
      <c r="AQ500" s="12"/>
      <c r="AR500" s="13"/>
      <c r="AS500" s="14"/>
    </row>
    <row r="501" spans="1:45" s="16" customFormat="1" ht="30.95" hidden="1" customHeight="1" x14ac:dyDescent="0.2">
      <c r="A501" s="35" t="s">
        <v>1098</v>
      </c>
      <c r="B501" s="36" t="s">
        <v>1099</v>
      </c>
      <c r="C501" s="43"/>
      <c r="D501" s="29">
        <v>3708724</v>
      </c>
      <c r="E501" s="29">
        <v>4161910</v>
      </c>
      <c r="F501" s="255" t="str">
        <f>IF(D501="","",VLOOKUP(D501,契約台帳!$A$3:$K$4986,6,FALSE)&amp;VLOOKUP(D501,契約台帳!$A$3:$K$4986,7,FALSE)&amp;VLOOKUP(D501,契約台帳!$A$3:$K$4986,8,FALSE)&amp;VLOOKUP(D501,契約台帳!$A$3:$K$4986,9,FALSE)&amp;VLOOKUP(D501,契約台帳!$A$3:$K$4986,11,FALSE))</f>
        <v>3SYMLBMSNMBZF</v>
      </c>
      <c r="G501" s="256" t="str">
        <f>IF(D501="","",VLOOKUP(F501,製品マスタ!$G$5:$H$4999,2,FALSE))</f>
        <v>S</v>
      </c>
      <c r="H501" s="256" t="str">
        <f>IF(D501="","",VLOOKUP(F501,製品マスタ!$G$5:$K$4999,5,FALSE))</f>
        <v>MSNMBZF</v>
      </c>
      <c r="I501" s="200" t="str">
        <f>IF(D501="","",VLOOKUP(F501,製品マスタ!$G$5:$L$4999,6,FALSE))</f>
        <v>ＭＥＴＡＬＵＭＹ　ＳＩＬＶＥＲ　Ｎ－ＭＡＴＴＥ　Ｂ</v>
      </c>
      <c r="J501" s="203" t="s">
        <v>935</v>
      </c>
      <c r="K501" s="200">
        <f>IF(D501="","",VLOOKUP(D501,契約台帳!$A$3:$L$4986,12,FALSE))</f>
        <v>50</v>
      </c>
      <c r="L501" s="200" t="str">
        <f>IF(D501="","",INDEX(製品マスタ!$Q$5:$Q$4999,MATCH('S4'!F501&amp;'S4'!K501,製品マスタ!$AO$5:$AO$4999,0)))</f>
        <v>X44</v>
      </c>
      <c r="M501" s="37">
        <v>1120</v>
      </c>
      <c r="N501" s="37">
        <v>4000</v>
      </c>
      <c r="O501" s="153">
        <v>12</v>
      </c>
      <c r="P501" s="45">
        <v>3</v>
      </c>
      <c r="Q501" s="206">
        <v>45042</v>
      </c>
      <c r="R501" s="257">
        <f ca="1">IF(D501="","",IF(OFFSET(D501,-1,0)&lt;&gt;"","",IF(OR(J501="リード付け",J501="巻足し",J501="巻返しリード付け"),M501,VLOOKUP(D501,契約台帳!$A$3:$N$4986,14,FALSE))))</f>
        <v>1120</v>
      </c>
      <c r="S501" s="258">
        <f ca="1">IF(D501="","",IF(OFFSET(D501,-1,0)&lt;&gt;"","",IF(OR(J501="リード付け",J501="巻足し",J501="巻返しリード付け"),M501,VLOOKUP(D501,契約台帳!$A$3:$O$4986,15,FALSE))))</f>
        <v>1120</v>
      </c>
      <c r="T501" s="258">
        <f ca="1">IF(D501="","",IF(J501="リード付け",N501,IF(J501="巻返しリード付け",N501,IF(J501="巻足し",N501*P501+OFFSET(N501,1,0)*OFFSET(P501,1,0),VLOOKUP(D501,契約台帳!$A$3:$P$4986,16,FALSE)))))</f>
        <v>12000</v>
      </c>
      <c r="U501" s="38">
        <v>4</v>
      </c>
      <c r="V501" s="259">
        <f ca="1">IF(D501="","",IF(OFFSET(D501,-2,0)=D501,"",VLOOKUP(D501,契約台帳!$A$3:$R$4986,18,FALSE)))</f>
        <v>16</v>
      </c>
      <c r="W501" s="256" t="str">
        <f ca="1">IF(D501="","",IF(T501="","",IF(OR(J501="巻足し",J501="巻返しリード付け"),"",IF(J501="巻返し",VLOOKUP(F501&amp;K501&amp;M501,製品マスタ!$M$5:$AD$4999,18,FALSE),IF(OR(J501="リード付け",J501="巻返しリード付け"),"原反コア",IF(J501="スリット",VLOOKUP(F501&amp;K501&amp;R501,製品マスタ!$N$5:$AD$4999,17,FALSE),""))))))</f>
        <v/>
      </c>
      <c r="X501" s="256" t="str">
        <f ca="1">IF(D501="","",IF(T501="","",IF(J501="巻足し","",IF(J501="巻返し",VLOOKUP(F501&amp;K501&amp;M501,製品マスタ!$M$5:$AE$4999,19,FALSE),IF(OR(J501="リード付け",J501="巻返しリード付け"),"",IF(J501="スリット",VLOOKUP(F501&amp;K501&amp;R501,製品マスタ!$N$5:$AE$4999,18,FALSE),""))))))</f>
        <v/>
      </c>
      <c r="Y501" s="256">
        <f ca="1">IF(D501="","",IF(T501="","",VLOOKUP(D501,契約台帳!$A$3:$Q$4986,17,FALSE)))</f>
        <v>2</v>
      </c>
      <c r="Z501" s="256" t="str">
        <f ca="1">IF(D501="","",IF(T501="","",VLOOKUP(D501,契約台帳!$A$3:$E$4986,5,FALSE)))</f>
        <v>リンテック㈱</v>
      </c>
      <c r="AA501" s="54"/>
      <c r="AB501" s="200">
        <f>IFERROR((VLOOKUP(F501&amp;K501&amp;M501,製品マスタ!$M$5:$AM$4999,27,FALSE)),"")</f>
        <v>0</v>
      </c>
      <c r="AC501" s="31"/>
      <c r="AD501" s="184"/>
      <c r="AE501" s="51"/>
      <c r="AF501" s="52"/>
      <c r="AG501" s="41"/>
      <c r="AH501" s="45"/>
      <c r="AI501" s="28"/>
      <c r="AJ501" s="28"/>
      <c r="AK501" s="28"/>
      <c r="AL501" s="28"/>
      <c r="AM501" s="12"/>
      <c r="AN501" s="12"/>
      <c r="AO501" s="12"/>
      <c r="AP501" s="12"/>
      <c r="AQ501" s="12"/>
      <c r="AR501" s="13"/>
      <c r="AS501" s="14"/>
    </row>
    <row r="502" spans="1:45" s="16" customFormat="1" ht="30.95" hidden="1" customHeight="1" x14ac:dyDescent="0.2">
      <c r="A502" s="35"/>
      <c r="B502" s="36"/>
      <c r="C502" s="43"/>
      <c r="D502" s="29"/>
      <c r="E502" s="29"/>
      <c r="F502" s="255" t="str">
        <f>IF(D502="","",VLOOKUP(D502,契約台帳!$A$3:$K$4986,6,FALSE)&amp;VLOOKUP(D502,契約台帳!$A$3:$K$4986,7,FALSE)&amp;VLOOKUP(D502,契約台帳!$A$3:$K$4986,8,FALSE)&amp;VLOOKUP(D502,契約台帳!$A$3:$K$4986,9,FALSE)&amp;VLOOKUP(D502,契約台帳!$A$3:$K$4986,11,FALSE))</f>
        <v/>
      </c>
      <c r="G502" s="256" t="str">
        <f>IF(D502="","",VLOOKUP(F502,製品マスタ!$G$5:$H$4999,2,FALSE))</f>
        <v/>
      </c>
      <c r="H502" s="256" t="str">
        <f>IF(D502="","",VLOOKUP(F502,製品マスタ!$G$5:$K$4999,5,FALSE))</f>
        <v/>
      </c>
      <c r="I502" s="200" t="str">
        <f>IF(D502="","",VLOOKUP(F502,製品マスタ!$G$5:$L$4999,6,FALSE))</f>
        <v/>
      </c>
      <c r="J502" s="203"/>
      <c r="K502" s="200" t="str">
        <f>IF(D502="","",VLOOKUP(D502,契約台帳!$A$3:$L$4986,12,FALSE))</f>
        <v/>
      </c>
      <c r="L502" s="200" t="str">
        <f>IF(D502="","",INDEX(製品マスタ!$Q$5:$Q$4999,MATCH('S4'!F502&amp;'S4'!K502,製品マスタ!$AO$5:$AO$4999,0)))</f>
        <v/>
      </c>
      <c r="M502" s="37"/>
      <c r="N502" s="37"/>
      <c r="O502" s="153"/>
      <c r="P502" s="45"/>
      <c r="Q502" s="54"/>
      <c r="R502" s="257" t="str">
        <f ca="1">IF(D502="","",IF(OFFSET(D502,-1,0)&lt;&gt;"","",IF(OR(J502="リード付け",J502="巻足し",J502="巻返しリード付け"),M502,VLOOKUP(D502,契約台帳!$A$3:$N$4986,14,FALSE))))</f>
        <v/>
      </c>
      <c r="S502" s="258" t="str">
        <f ca="1">IF(D502="","",IF(OFFSET(D502,-1,0)&lt;&gt;"","",IF(OR(J502="リード付け",J502="巻足し",J502="巻返しリード付け"),M502,VLOOKUP(D502,契約台帳!$A$3:$O$4986,15,FALSE))))</f>
        <v/>
      </c>
      <c r="T502" s="258" t="str">
        <f ca="1">IF(D502="","",IF(J502="リード付け",N502,IF(J502="巻返しリード付け",N502,IF(J502="巻足し",N502*P502+OFFSET(N502,1,0)*OFFSET(P502,1,0),VLOOKUP(D502,契約台帳!$A$3:$P$4986,16,FALSE)))))</f>
        <v/>
      </c>
      <c r="U502" s="38"/>
      <c r="V502" s="259" t="str">
        <f ca="1">IF(D502="","",IF(OFFSET(D502,-2,0)=D502,"",VLOOKUP(D502,契約台帳!$A$3:$R$4986,18,FALSE)))</f>
        <v/>
      </c>
      <c r="W502" s="256" t="str">
        <f>IF(D502="","",IF(T502="","",IF(OR(J502="巻足し",J502="巻返しリード付け"),"",IF(J502="巻返し",VLOOKUP(F502&amp;K502&amp;M502,製品マスタ!$M$5:$AD$4999,18,FALSE),IF(OR(J502="リード付け",J502="巻返しリード付け"),"原反コア",IF(J502="スリット",VLOOKUP(F502&amp;K502&amp;R502,製品マスタ!$N$5:$AD$4999,17,FALSE),""))))))</f>
        <v/>
      </c>
      <c r="X502" s="256" t="str">
        <f>IF(D502="","",IF(T502="","",IF(J502="巻足し","",IF(J502="巻返し",VLOOKUP(F502&amp;K502&amp;M502,製品マスタ!$M$5:$AE$4999,19,FALSE),IF(OR(J502="リード付け",J502="巻返しリード付け"),"",IF(J502="スリット",VLOOKUP(F502&amp;K502&amp;R502,製品マスタ!$N$5:$AE$4999,18,FALSE),""))))))</f>
        <v/>
      </c>
      <c r="Y502" s="256" t="str">
        <f>IF(D502="","",IF(T502="","",VLOOKUP(D502,契約台帳!$A$3:$Q$4986,17,FALSE)))</f>
        <v/>
      </c>
      <c r="Z502" s="256" t="str">
        <f>IF(D502="","",IF(T502="","",VLOOKUP(D502,契約台帳!$A$3:$E$4986,5,FALSE)))</f>
        <v/>
      </c>
      <c r="AA502" s="54"/>
      <c r="AB502" s="200" t="str">
        <f>IFERROR((VLOOKUP(F502&amp;K502&amp;M502,製品マスタ!$M$5:$AM$4999,27,FALSE)),"")</f>
        <v/>
      </c>
      <c r="AC502" s="31"/>
      <c r="AD502" s="184"/>
      <c r="AE502" s="51"/>
      <c r="AF502" s="52"/>
      <c r="AG502" s="41"/>
      <c r="AH502" s="45"/>
      <c r="AI502" s="28"/>
      <c r="AJ502" s="28"/>
      <c r="AK502" s="28"/>
      <c r="AL502" s="28"/>
      <c r="AM502" s="12"/>
      <c r="AN502" s="12"/>
      <c r="AO502" s="12"/>
      <c r="AP502" s="12"/>
      <c r="AQ502" s="12"/>
      <c r="AR502" s="13"/>
      <c r="AS502" s="14"/>
    </row>
    <row r="503" spans="1:45" s="16" customFormat="1" ht="30.95" hidden="1" customHeight="1" x14ac:dyDescent="0.2">
      <c r="A503" s="35"/>
      <c r="B503" s="36"/>
      <c r="C503" s="43"/>
      <c r="D503" s="29">
        <v>3708724</v>
      </c>
      <c r="E503" s="29">
        <v>4161910</v>
      </c>
      <c r="F503" s="255" t="str">
        <f>IF(D503="","",VLOOKUP(D503,契約台帳!$A$3:$K$4986,6,FALSE)&amp;VLOOKUP(D503,契約台帳!$A$3:$K$4986,7,FALSE)&amp;VLOOKUP(D503,契約台帳!$A$3:$K$4986,8,FALSE)&amp;VLOOKUP(D503,契約台帳!$A$3:$K$4986,9,FALSE)&amp;VLOOKUP(D503,契約台帳!$A$3:$K$4986,11,FALSE))</f>
        <v>3SYMLBMSNMBZF</v>
      </c>
      <c r="G503" s="256" t="str">
        <f>IF(D503="","",VLOOKUP(F503,製品マスタ!$G$5:$H$4999,2,FALSE))</f>
        <v>S</v>
      </c>
      <c r="H503" s="256" t="str">
        <f>IF(D503="","",VLOOKUP(F503,製品マスタ!$G$5:$K$4999,5,FALSE))</f>
        <v>MSNMBZF</v>
      </c>
      <c r="I503" s="200" t="str">
        <f>IF(D503="","",VLOOKUP(F503,製品マスタ!$G$5:$L$4999,6,FALSE))</f>
        <v>ＭＥＴＡＬＵＭＹ　ＳＩＬＶＥＲ　Ｎ－ＭＡＴＴＥ　Ｂ</v>
      </c>
      <c r="J503" s="203" t="s">
        <v>935</v>
      </c>
      <c r="K503" s="200">
        <f>IF(D503="","",VLOOKUP(D503,契約台帳!$A$3:$L$4986,12,FALSE))</f>
        <v>50</v>
      </c>
      <c r="L503" s="200" t="str">
        <f>IF(D503="","",INDEX(製品マスタ!$Q$5:$Q$4999,MATCH('S4'!F503&amp;'S4'!K503,製品マスタ!$AO$5:$AO$4999,0)))</f>
        <v>X44</v>
      </c>
      <c r="M503" s="37">
        <v>1120</v>
      </c>
      <c r="N503" s="37">
        <v>4000</v>
      </c>
      <c r="O503" s="153">
        <v>4</v>
      </c>
      <c r="P503" s="45">
        <v>2</v>
      </c>
      <c r="Q503" s="206">
        <v>45042</v>
      </c>
      <c r="R503" s="257">
        <f ca="1">IF(D503="","",IF(OFFSET(D503,-1,0)&lt;&gt;"","",IF(OR(J503="リード付け",J503="巻足し",J503="巻返しリード付け"),M503,VLOOKUP(D503,契約台帳!$A$3:$N$4986,14,FALSE))))</f>
        <v>1120</v>
      </c>
      <c r="S503" s="258">
        <f ca="1">IF(D503="","",IF(OFFSET(D503,-1,0)&lt;&gt;"","",IF(OR(J503="リード付け",J503="巻足し",J503="巻返しリード付け"),M503,VLOOKUP(D503,契約台帳!$A$3:$O$4986,15,FALSE))))</f>
        <v>1120</v>
      </c>
      <c r="T503" s="258">
        <f ca="1">IF(D503="","",IF(J503="リード付け",N503,IF(J503="巻返しリード付け",N503,IF(J503="巻足し",N503*P503+OFFSET(N503,1,0)*OFFSET(P503,1,0),VLOOKUP(D503,契約台帳!$A$3:$P$4986,16,FALSE)))))</f>
        <v>8000</v>
      </c>
      <c r="U503" s="38">
        <v>2</v>
      </c>
      <c r="V503" s="259" t="str">
        <f ca="1">IF(D503="","",IF(OFFSET(D503,-2,0)=D503,"",VLOOKUP(D503,契約台帳!$A$3:$R$4986,18,FALSE)))</f>
        <v/>
      </c>
      <c r="W503" s="256" t="str">
        <f ca="1">IF(D503="","",IF(T503="","",IF(OR(J503="巻足し",J503="巻返しリード付け"),"",IF(J503="巻返し",VLOOKUP(F503&amp;K503&amp;M503,製品マスタ!$M$5:$AD$4999,18,FALSE),IF(OR(J503="リード付け",J503="巻返しリード付け"),"原反コア",IF(J503="スリット",VLOOKUP(F503&amp;K503&amp;R503,製品マスタ!$N$5:$AD$4999,17,FALSE),""))))))</f>
        <v/>
      </c>
      <c r="X503" s="256" t="str">
        <f ca="1">IF(D503="","",IF(T503="","",IF(J503="巻足し","",IF(J503="巻返し",VLOOKUP(F503&amp;K503&amp;M503,製品マスタ!$M$5:$AE$4999,19,FALSE),IF(OR(J503="リード付け",J503="巻返しリード付け"),"",IF(J503="スリット",VLOOKUP(F503&amp;K503&amp;R503,製品マスタ!$N$5:$AE$4999,18,FALSE),""))))))</f>
        <v/>
      </c>
      <c r="Y503" s="256">
        <f ca="1">IF(D503="","",IF(T503="","",VLOOKUP(D503,契約台帳!$A$3:$Q$4986,17,FALSE)))</f>
        <v>2</v>
      </c>
      <c r="Z503" s="256" t="str">
        <f ca="1">IF(D503="","",IF(T503="","",VLOOKUP(D503,契約台帳!$A$3:$E$4986,5,FALSE)))</f>
        <v>リンテック㈱</v>
      </c>
      <c r="AA503" s="54"/>
      <c r="AB503" s="200">
        <f>IFERROR((VLOOKUP(F503&amp;K503&amp;M503,製品マスタ!$M$5:$AM$4999,27,FALSE)),"")</f>
        <v>0</v>
      </c>
      <c r="AC503" s="31"/>
      <c r="AD503" s="184"/>
      <c r="AE503" s="51"/>
      <c r="AF503" s="52"/>
      <c r="AG503" s="41"/>
      <c r="AH503" s="45"/>
      <c r="AI503" s="28"/>
      <c r="AJ503" s="28"/>
      <c r="AK503" s="28"/>
      <c r="AL503" s="28"/>
      <c r="AM503" s="12"/>
      <c r="AN503" s="12"/>
      <c r="AO503" s="12"/>
      <c r="AP503" s="12"/>
      <c r="AQ503" s="12"/>
      <c r="AR503" s="13"/>
      <c r="AS503" s="14"/>
    </row>
    <row r="504" spans="1:45" s="16" customFormat="1" ht="30.95" hidden="1" customHeight="1" x14ac:dyDescent="0.2">
      <c r="A504" s="35"/>
      <c r="B504" s="36"/>
      <c r="C504" s="43"/>
      <c r="D504" s="29"/>
      <c r="E504" s="29"/>
      <c r="F504" s="255" t="str">
        <f>IF(D504="","",VLOOKUP(D504,契約台帳!$A$3:$K$4986,6,FALSE)&amp;VLOOKUP(D504,契約台帳!$A$3:$K$4986,7,FALSE)&amp;VLOOKUP(D504,契約台帳!$A$3:$K$4986,8,FALSE)&amp;VLOOKUP(D504,契約台帳!$A$3:$K$4986,9,FALSE)&amp;VLOOKUP(D504,契約台帳!$A$3:$K$4986,11,FALSE))</f>
        <v/>
      </c>
      <c r="G504" s="256" t="str">
        <f>IF(D504="","",VLOOKUP(F504,製品マスタ!$G$5:$H$4999,2,FALSE))</f>
        <v/>
      </c>
      <c r="H504" s="256" t="str">
        <f>IF(D504="","",VLOOKUP(F504,製品マスタ!$G$5:$K$4999,5,FALSE))</f>
        <v/>
      </c>
      <c r="I504" s="200" t="str">
        <f>IF(D504="","",VLOOKUP(F504,製品マスタ!$G$5:$L$4999,6,FALSE))</f>
        <v/>
      </c>
      <c r="J504" s="203"/>
      <c r="K504" s="200" t="str">
        <f>IF(D504="","",VLOOKUP(D504,契約台帳!$A$3:$L$4986,12,FALSE))</f>
        <v/>
      </c>
      <c r="L504" s="200" t="str">
        <f>IF(D504="","",INDEX(製品マスタ!$Q$5:$Q$4999,MATCH('S4'!F504&amp;'S4'!K504,製品マスタ!$AO$5:$AO$4999,0)))</f>
        <v/>
      </c>
      <c r="M504" s="37"/>
      <c r="N504" s="37"/>
      <c r="O504" s="153"/>
      <c r="P504" s="45"/>
      <c r="Q504" s="54"/>
      <c r="R504" s="257" t="str">
        <f ca="1">IF(D504="","",IF(OFFSET(D504,-1,0)&lt;&gt;"","",IF(OR(J504="リード付け",J504="巻足し",J504="巻返しリード付け"),M504,VLOOKUP(D504,契約台帳!$A$3:$N$4986,14,FALSE))))</f>
        <v/>
      </c>
      <c r="S504" s="258" t="str">
        <f ca="1">IF(D504="","",IF(OFFSET(D504,-1,0)&lt;&gt;"","",IF(OR(J504="リード付け",J504="巻足し",J504="巻返しリード付け"),M504,VLOOKUP(D504,契約台帳!$A$3:$O$4986,15,FALSE))))</f>
        <v/>
      </c>
      <c r="T504" s="258" t="str">
        <f ca="1">IF(D504="","",IF(J504="リード付け",N504,IF(J504="巻返しリード付け",N504,IF(J504="巻足し",N504*P504+OFFSET(N504,1,0)*OFFSET(P504,1,0),VLOOKUP(D504,契約台帳!$A$3:$P$4986,16,FALSE)))))</f>
        <v/>
      </c>
      <c r="U504" s="38"/>
      <c r="V504" s="259" t="str">
        <f ca="1">IF(D504="","",IF(OFFSET(D504,-2,0)=D504,"",VLOOKUP(D504,契約台帳!$A$3:$R$4986,18,FALSE)))</f>
        <v/>
      </c>
      <c r="W504" s="256" t="str">
        <f>IF(D504="","",IF(T504="","",IF(OR(J504="巻足し",J504="巻返しリード付け"),"",IF(J504="巻返し",VLOOKUP(F504&amp;K504&amp;M504,製品マスタ!$M$5:$AD$4999,18,FALSE),IF(OR(J504="リード付け",J504="巻返しリード付け"),"原反コア",IF(J504="スリット",VLOOKUP(F504&amp;K504&amp;R504,製品マスタ!$N$5:$AD$4999,17,FALSE),""))))))</f>
        <v/>
      </c>
      <c r="X504" s="256" t="str">
        <f>IF(D504="","",IF(T504="","",IF(J504="巻足し","",IF(J504="巻返し",VLOOKUP(F504&amp;K504&amp;M504,製品マスタ!$M$5:$AE$4999,19,FALSE),IF(OR(J504="リード付け",J504="巻返しリード付け"),"",IF(J504="スリット",VLOOKUP(F504&amp;K504&amp;R504,製品マスタ!$N$5:$AE$4999,18,FALSE),""))))))</f>
        <v/>
      </c>
      <c r="Y504" s="256" t="str">
        <f>IF(D504="","",IF(T504="","",VLOOKUP(D504,契約台帳!$A$3:$Q$4986,17,FALSE)))</f>
        <v/>
      </c>
      <c r="Z504" s="256" t="str">
        <f>IF(D504="","",IF(T504="","",VLOOKUP(D504,契約台帳!$A$3:$E$4986,5,FALSE)))</f>
        <v/>
      </c>
      <c r="AA504" s="54"/>
      <c r="AB504" s="200" t="str">
        <f>IFERROR((VLOOKUP(F504&amp;K504&amp;M504,製品マスタ!$M$5:$AM$4999,27,FALSE)),"")</f>
        <v/>
      </c>
      <c r="AC504" s="31"/>
      <c r="AD504" s="184"/>
      <c r="AE504" s="51"/>
      <c r="AF504" s="52"/>
      <c r="AG504" s="41"/>
      <c r="AH504" s="45"/>
      <c r="AI504" s="28"/>
      <c r="AJ504" s="28"/>
      <c r="AK504" s="28"/>
      <c r="AL504" s="28"/>
      <c r="AM504" s="12"/>
      <c r="AN504" s="12"/>
      <c r="AO504" s="12"/>
      <c r="AP504" s="12"/>
      <c r="AQ504" s="12"/>
      <c r="AR504" s="13"/>
      <c r="AS504" s="14"/>
    </row>
    <row r="505" spans="1:45" s="16" customFormat="1" ht="30.95" hidden="1" customHeight="1" x14ac:dyDescent="0.2">
      <c r="A505" s="35" t="s">
        <v>1100</v>
      </c>
      <c r="B505" s="36" t="s">
        <v>1101</v>
      </c>
      <c r="C505" s="43"/>
      <c r="D505" s="29">
        <v>3708705</v>
      </c>
      <c r="E505" s="29">
        <v>4161895</v>
      </c>
      <c r="F505" s="255" t="str">
        <f>IF(D505="","",VLOOKUP(D505,契約台帳!$A$3:$K$4986,6,FALSE)&amp;VLOOKUP(D505,契約台帳!$A$3:$K$4986,7,FALSE)&amp;VLOOKUP(D505,契約台帳!$A$3:$K$4986,8,FALSE)&amp;VLOOKUP(D505,契約台帳!$A$3:$K$4986,9,FALSE)&amp;VLOOKUP(D505,契約台帳!$A$3:$K$4986,11,FALSE))</f>
        <v>3SNMLBMNGKKBF</v>
      </c>
      <c r="G505" s="256" t="str">
        <f>IF(D505="","",VLOOKUP(F505,製品マスタ!$G$5:$H$4999,2,FALSE))</f>
        <v>S</v>
      </c>
      <c r="H505" s="256" t="str">
        <f>IF(D505="","",VLOOKUP(F505,製品マスタ!$G$5:$K$4999,5,FALSE))</f>
        <v>MNGKKBF</v>
      </c>
      <c r="I505" s="200" t="str">
        <f>IF(D505="","",VLOOKUP(F505,製品マスタ!$G$5:$L$4999,6,FALSE))</f>
        <v>メタルミー　ネーマー銀消改　Ｂ</v>
      </c>
      <c r="J505" s="203" t="s">
        <v>1102</v>
      </c>
      <c r="K505" s="200">
        <f>IF(D505="","",VLOOKUP(D505,契約台帳!$A$3:$L$4986,12,FALSE))</f>
        <v>25</v>
      </c>
      <c r="L505" s="200" t="str">
        <f>IF(D505="","",INDEX(製品マスタ!$Q$5:$Q$4999,MATCH('S4'!F505&amp;'S4'!K505,製品マスタ!$AO$5:$AO$4999,0)))</f>
        <v>FMATS99</v>
      </c>
      <c r="M505" s="37">
        <v>1120</v>
      </c>
      <c r="N505" s="37">
        <v>3800</v>
      </c>
      <c r="O505" s="153">
        <v>9</v>
      </c>
      <c r="P505" s="45">
        <v>3</v>
      </c>
      <c r="Q505" s="206">
        <v>45042</v>
      </c>
      <c r="R505" s="257">
        <f ca="1">IF(D505="","",IF(OFFSET(D505,-1,0)&lt;&gt;"","",IF(OR(J505="リード付け",J505="巻足し",J505="巻返しリード付け"),M505,VLOOKUP(D505,契約台帳!$A$3:$N$4986,14,FALSE))))</f>
        <v>1120</v>
      </c>
      <c r="S505" s="258">
        <f ca="1">IF(D505="","",IF(OFFSET(D505,-1,0)&lt;&gt;"","",IF(OR(J505="リード付け",J505="巻足し",J505="巻返しリード付け"),M505,VLOOKUP(D505,契約台帳!$A$3:$O$4986,15,FALSE))))</f>
        <v>1120</v>
      </c>
      <c r="T505" s="258">
        <f ca="1">IF(D505="","",IF(J505="リード付け",N505,IF(J505="巻返しリード付け",N505,IF(J505="巻足し",N505*P505+OFFSET(N505,1,0)*OFFSET(P505,1,0),VLOOKUP(D505,契約台帳!$A$3:$P$4986,16,FALSE)))))</f>
        <v>11400</v>
      </c>
      <c r="U505" s="38">
        <v>3</v>
      </c>
      <c r="V505" s="259">
        <f ca="1">IF(D505="","",IF(OFFSET(D505,-2,0)=D505,"",VLOOKUP(D505,契約台帳!$A$3:$R$4986,18,FALSE)))</f>
        <v>9</v>
      </c>
      <c r="W505" s="256" t="str">
        <f ca="1">IF(D505="","",IF(T505="","",IF(OR(J505="巻足し",J505="巻返しリード付け"),"",IF(J505="巻返し",VLOOKUP(F505&amp;K505&amp;M505,製品マスタ!$M$5:$AD$4999,18,FALSE),IF(OR(J505="リード付け",J505="巻返しリード付け"),"原反コア",IF(J505="スリット",VLOOKUP(F505&amp;K505&amp;R505,製品マスタ!$N$5:$AD$4999,17,FALSE),""))))))</f>
        <v/>
      </c>
      <c r="X505" s="256" t="str">
        <f ca="1">IF(D505="","",IF(T505="","",IF(J505="巻足し","",IF(J505="巻返し",VLOOKUP(F505&amp;K505&amp;M505,製品マスタ!$M$5:$AE$4999,19,FALSE),IF(OR(J505="リード付け",J505="巻返しリード付け"),"",IF(J505="スリット",VLOOKUP(F505&amp;K505&amp;R505,製品マスタ!$N$5:$AE$4999,18,FALSE),""))))))</f>
        <v/>
      </c>
      <c r="Y505" s="256">
        <f ca="1">IF(D505="","",IF(T505="","",VLOOKUP(D505,契約台帳!$A$3:$Q$4986,17,FALSE)))</f>
        <v>2</v>
      </c>
      <c r="Z505" s="256" t="str">
        <f ca="1">IF(D505="","",IF(T505="","",VLOOKUP(D505,契約台帳!$A$3:$E$4986,5,FALSE)))</f>
        <v>リンテック㈱</v>
      </c>
      <c r="AA505" s="54"/>
      <c r="AB505" s="200">
        <f>IFERROR((VLOOKUP(F505&amp;K505&amp;M505,製品マスタ!$M$5:$AM$4999,27,FALSE)),"")</f>
        <v>0</v>
      </c>
      <c r="AC505" s="31"/>
      <c r="AD505" s="184"/>
      <c r="AE505" s="51"/>
      <c r="AF505" s="52"/>
      <c r="AG505" s="41"/>
      <c r="AH505" s="45"/>
      <c r="AI505" s="28"/>
      <c r="AJ505" s="28"/>
      <c r="AK505" s="28"/>
      <c r="AL505" s="28"/>
      <c r="AM505" s="12"/>
      <c r="AN505" s="12"/>
      <c r="AO505" s="12"/>
      <c r="AP505" s="12"/>
      <c r="AQ505" s="12"/>
      <c r="AR505" s="13"/>
      <c r="AS505" s="14"/>
    </row>
    <row r="506" spans="1:45" s="16" customFormat="1" ht="30.95" hidden="1" customHeight="1" x14ac:dyDescent="0.2">
      <c r="A506" s="35"/>
      <c r="B506" s="36"/>
      <c r="C506" s="43"/>
      <c r="D506" s="29"/>
      <c r="E506" s="29"/>
      <c r="F506" s="255" t="str">
        <f>IF(D506="","",VLOOKUP(D506,契約台帳!$A$3:$K$4986,6,FALSE)&amp;VLOOKUP(D506,契約台帳!$A$3:$K$4986,7,FALSE)&amp;VLOOKUP(D506,契約台帳!$A$3:$K$4986,8,FALSE)&amp;VLOOKUP(D506,契約台帳!$A$3:$K$4986,9,FALSE)&amp;VLOOKUP(D506,契約台帳!$A$3:$K$4986,11,FALSE))</f>
        <v/>
      </c>
      <c r="G506" s="256" t="str">
        <f>IF(D506="","",VLOOKUP(F506,製品マスタ!$G$5:$H$4999,2,FALSE))</f>
        <v/>
      </c>
      <c r="H506" s="256" t="str">
        <f>IF(D506="","",VLOOKUP(F506,製品マスタ!$G$5:$K$4999,5,FALSE))</f>
        <v/>
      </c>
      <c r="I506" s="200" t="str">
        <f>IF(D506="","",VLOOKUP(F506,製品マスタ!$G$5:$L$4999,6,FALSE))</f>
        <v/>
      </c>
      <c r="J506" s="203"/>
      <c r="K506" s="200" t="str">
        <f>IF(D506="","",VLOOKUP(D506,契約台帳!$A$3:$L$4986,12,FALSE))</f>
        <v/>
      </c>
      <c r="L506" s="200" t="str">
        <f>IF(D506="","",INDEX(製品マスタ!$Q$5:$Q$4999,MATCH('S4'!F506&amp;'S4'!K506,製品マスタ!$AO$5:$AO$4999,0)))</f>
        <v/>
      </c>
      <c r="M506" s="37"/>
      <c r="N506" s="37"/>
      <c r="O506" s="153"/>
      <c r="P506" s="45"/>
      <c r="Q506" s="54"/>
      <c r="R506" s="257" t="str">
        <f ca="1">IF(D506="","",IF(OFFSET(D506,-1,0)&lt;&gt;"","",IF(OR(J506="リード付け",J506="巻足し",J506="巻返しリード付け"),M506,VLOOKUP(D506,契約台帳!$A$3:$N$4986,14,FALSE))))</f>
        <v/>
      </c>
      <c r="S506" s="258" t="str">
        <f ca="1">IF(D506="","",IF(OFFSET(D506,-1,0)&lt;&gt;"","",IF(OR(J506="リード付け",J506="巻足し",J506="巻返しリード付け"),M506,VLOOKUP(D506,契約台帳!$A$3:$O$4986,15,FALSE))))</f>
        <v/>
      </c>
      <c r="T506" s="258" t="str">
        <f ca="1">IF(D506="","",IF(J506="リード付け",N506,IF(J506="巻返しリード付け",N506,IF(J506="巻足し",N506*P506+OFFSET(N506,1,0)*OFFSET(P506,1,0),VLOOKUP(D506,契約台帳!$A$3:$P$4986,16,FALSE)))))</f>
        <v/>
      </c>
      <c r="U506" s="38"/>
      <c r="V506" s="259" t="str">
        <f ca="1">IF(D506="","",IF(OFFSET(D506,-2,0)=D506,"",VLOOKUP(D506,契約台帳!$A$3:$R$4986,18,FALSE)))</f>
        <v/>
      </c>
      <c r="W506" s="256" t="str">
        <f>IF(D506="","",IF(T506="","",IF(OR(J506="巻足し",J506="巻返しリード付け"),"",IF(J506="巻返し",VLOOKUP(F506&amp;K506&amp;M506,製品マスタ!$M$5:$AD$4999,18,FALSE),IF(OR(J506="リード付け",J506="巻返しリード付け"),"原反コア",IF(J506="スリット",VLOOKUP(F506&amp;K506&amp;R506,製品マスタ!$N$5:$AD$4999,17,FALSE),""))))))</f>
        <v/>
      </c>
      <c r="X506" s="256" t="str">
        <f>IF(D506="","",IF(T506="","",IF(J506="巻足し","",IF(J506="巻返し",VLOOKUP(F506&amp;K506&amp;M506,製品マスタ!$M$5:$AE$4999,19,FALSE),IF(OR(J506="リード付け",J506="巻返しリード付け"),"",IF(J506="スリット",VLOOKUP(F506&amp;K506&amp;R506,製品マスタ!$N$5:$AE$4999,18,FALSE),""))))))</f>
        <v/>
      </c>
      <c r="Y506" s="256" t="str">
        <f>IF(D506="","",IF(T506="","",VLOOKUP(D506,契約台帳!$A$3:$Q$4986,17,FALSE)))</f>
        <v/>
      </c>
      <c r="Z506" s="256" t="str">
        <f>IF(D506="","",IF(T506="","",VLOOKUP(D506,契約台帳!$A$3:$E$4986,5,FALSE)))</f>
        <v/>
      </c>
      <c r="AA506" s="54"/>
      <c r="AB506" s="200" t="str">
        <f>IFERROR((VLOOKUP(F506&amp;K506&amp;M506,製品マスタ!$M$5:$AM$4999,27,FALSE)),"")</f>
        <v/>
      </c>
      <c r="AC506" s="31"/>
      <c r="AD506" s="184"/>
      <c r="AE506" s="51"/>
      <c r="AF506" s="52"/>
      <c r="AG506" s="41"/>
      <c r="AH506" s="45"/>
      <c r="AI506" s="28"/>
      <c r="AJ506" s="28"/>
      <c r="AK506" s="28"/>
      <c r="AL506" s="28"/>
      <c r="AM506" s="12"/>
      <c r="AN506" s="12"/>
      <c r="AO506" s="12"/>
      <c r="AP506" s="12"/>
      <c r="AQ506" s="12"/>
      <c r="AR506" s="13"/>
      <c r="AS506" s="14"/>
    </row>
    <row r="507" spans="1:45" s="16" customFormat="1" ht="30.95" hidden="1" customHeight="1" x14ac:dyDescent="0.2">
      <c r="A507" s="35"/>
      <c r="B507" s="36"/>
      <c r="C507" s="43"/>
      <c r="D507" s="29">
        <v>3708725</v>
      </c>
      <c r="E507" s="29">
        <v>4161904</v>
      </c>
      <c r="F507" s="255" t="str">
        <f>IF(D507="","",VLOOKUP(D507,契約台帳!$A$3:$K$4986,6,FALSE)&amp;VLOOKUP(D507,契約台帳!$A$3:$K$4986,7,FALSE)&amp;VLOOKUP(D507,契約台帳!$A$3:$K$4986,8,FALSE)&amp;VLOOKUP(D507,契約台帳!$A$3:$K$4986,9,FALSE)&amp;VLOOKUP(D507,契約台帳!$A$3:$K$4986,11,FALSE))</f>
        <v>3SYMLBMSBBZF</v>
      </c>
      <c r="G507" s="256" t="str">
        <f>IF(D507="","",VLOOKUP(F507,製品マスタ!$G$5:$H$4999,2,FALSE))</f>
        <v>S</v>
      </c>
      <c r="H507" s="256" t="str">
        <f>IF(D507="","",VLOOKUP(F507,製品マスタ!$G$5:$K$4999,5,FALSE))</f>
        <v>MSBBZF</v>
      </c>
      <c r="I507" s="200" t="str">
        <f>IF(D507="","",VLOOKUP(F507,製品マスタ!$G$5:$L$4999,6,FALSE))</f>
        <v>ＭＥＴＡＬＵＭＹ　ＳＩＬＶＥＲ　ＢＲＩＧＨＴ　Ｂ</v>
      </c>
      <c r="J507" s="203" t="s">
        <v>1102</v>
      </c>
      <c r="K507" s="200">
        <f>IF(D507="","",VLOOKUP(D507,契約台帳!$A$3:$L$4986,12,FALSE))</f>
        <v>50</v>
      </c>
      <c r="L507" s="200" t="str">
        <f>IF(D507="","",INDEX(製品マスタ!$Q$5:$Q$4999,MATCH('S4'!F507&amp;'S4'!K507,製品マスタ!$AO$5:$AO$4999,0)))</f>
        <v>T62</v>
      </c>
      <c r="M507" s="37">
        <v>1120</v>
      </c>
      <c r="N507" s="37">
        <v>5000</v>
      </c>
      <c r="O507" s="153">
        <v>2</v>
      </c>
      <c r="P507" s="45">
        <v>2</v>
      </c>
      <c r="Q507" s="206">
        <v>45042</v>
      </c>
      <c r="R507" s="257">
        <f ca="1">IF(D507="","",IF(OFFSET(D507,-1,0)&lt;&gt;"","",IF(OR(J507="リード付け",J507="巻足し",J507="巻返しリード付け"),M507,VLOOKUP(D507,契約台帳!$A$3:$N$4986,14,FALSE))))</f>
        <v>1120</v>
      </c>
      <c r="S507" s="258">
        <f ca="1">IF(D507="","",IF(OFFSET(D507,-1,0)&lt;&gt;"","",IF(OR(J507="リード付け",J507="巻足し",J507="巻返しリード付け"),M507,VLOOKUP(D507,契約台帳!$A$3:$O$4986,15,FALSE))))</f>
        <v>1120</v>
      </c>
      <c r="T507" s="258">
        <f ca="1">IF(D507="","",IF(J507="リード付け",N507,IF(J507="巻返しリード付け",N507,IF(J507="巻足し",N507*P507+OFFSET(N507,1,0)*OFFSET(P507,1,0),VLOOKUP(D507,契約台帳!$A$3:$P$4986,16,FALSE)))))</f>
        <v>10000</v>
      </c>
      <c r="U507" s="38">
        <v>1</v>
      </c>
      <c r="V507" s="259">
        <f ca="1">IF(D507="","",IF(OFFSET(D507,-2,0)=D507,"",VLOOKUP(D507,契約台帳!$A$3:$R$4986,18,FALSE)))</f>
        <v>2</v>
      </c>
      <c r="W507" s="256" t="str">
        <f ca="1">IF(D507="","",IF(T507="","",IF(OR(J507="巻足し",J507="巻返しリード付け"),"",IF(J507="巻返し",VLOOKUP(F507&amp;K507&amp;M507,製品マスタ!$M$5:$AD$4999,18,FALSE),IF(OR(J507="リード付け",J507="巻返しリード付け"),"原反コア",IF(J507="スリット",VLOOKUP(F507&amp;K507&amp;R507,製品マスタ!$N$5:$AD$4999,17,FALSE),""))))))</f>
        <v/>
      </c>
      <c r="X507" s="256" t="str">
        <f ca="1">IF(D507="","",IF(T507="","",IF(J507="巻足し","",IF(J507="巻返し",VLOOKUP(F507&amp;K507&amp;M507,製品マスタ!$M$5:$AE$4999,19,FALSE),IF(OR(J507="リード付け",J507="巻返しリード付け"),"",IF(J507="スリット",VLOOKUP(F507&amp;K507&amp;R507,製品マスタ!$N$5:$AE$4999,18,FALSE),""))))))</f>
        <v/>
      </c>
      <c r="Y507" s="256">
        <f ca="1">IF(D507="","",IF(T507="","",VLOOKUP(D507,契約台帳!$A$3:$Q$4986,17,FALSE)))</f>
        <v>2</v>
      </c>
      <c r="Z507" s="256" t="str">
        <f ca="1">IF(D507="","",IF(T507="","",VLOOKUP(D507,契約台帳!$A$3:$E$4986,5,FALSE)))</f>
        <v>リンテック㈱</v>
      </c>
      <c r="AA507" s="54"/>
      <c r="AB507" s="200" t="str">
        <f>IFERROR((VLOOKUP(F507&amp;K507&amp;M507,製品マスタ!$M$5:$AM$4999,27,FALSE)),"")</f>
        <v>原反ケース再利用</v>
      </c>
      <c r="AC507" s="31"/>
      <c r="AD507" s="184"/>
      <c r="AE507" s="51"/>
      <c r="AF507" s="52"/>
      <c r="AG507" s="41"/>
      <c r="AH507" s="45"/>
      <c r="AI507" s="28"/>
      <c r="AJ507" s="28"/>
      <c r="AK507" s="28"/>
      <c r="AL507" s="28"/>
      <c r="AM507" s="12"/>
      <c r="AN507" s="12"/>
      <c r="AO507" s="12"/>
      <c r="AP507" s="12"/>
      <c r="AQ507" s="12"/>
      <c r="AR507" s="13"/>
      <c r="AS507" s="14"/>
    </row>
    <row r="508" spans="1:45" s="16" customFormat="1" ht="30.95" hidden="1" customHeight="1" x14ac:dyDescent="0.2">
      <c r="A508" s="35"/>
      <c r="B508" s="36"/>
      <c r="C508" s="43"/>
      <c r="D508" s="29"/>
      <c r="E508" s="29"/>
      <c r="F508" s="255" t="str">
        <f>IF(D508="","",VLOOKUP(D508,契約台帳!$A$3:$K$4986,6,FALSE)&amp;VLOOKUP(D508,契約台帳!$A$3:$K$4986,7,FALSE)&amp;VLOOKUP(D508,契約台帳!$A$3:$K$4986,8,FALSE)&amp;VLOOKUP(D508,契約台帳!$A$3:$K$4986,9,FALSE)&amp;VLOOKUP(D508,契約台帳!$A$3:$K$4986,11,FALSE))</f>
        <v/>
      </c>
      <c r="G508" s="256" t="str">
        <f>IF(D508="","",VLOOKUP(F508,製品マスタ!$G$5:$H$4999,2,FALSE))</f>
        <v/>
      </c>
      <c r="H508" s="256" t="str">
        <f>IF(D508="","",VLOOKUP(F508,製品マスタ!$G$5:$K$4999,5,FALSE))</f>
        <v/>
      </c>
      <c r="I508" s="200" t="str">
        <f>IF(D508="","",VLOOKUP(F508,製品マスタ!$G$5:$L$4999,6,FALSE))</f>
        <v/>
      </c>
      <c r="J508" s="203"/>
      <c r="K508" s="200" t="str">
        <f>IF(D508="","",VLOOKUP(D508,契約台帳!$A$3:$L$4986,12,FALSE))</f>
        <v/>
      </c>
      <c r="L508" s="200" t="str">
        <f>IF(D508="","",INDEX(製品マスタ!$Q$5:$Q$4999,MATCH('S4'!F508&amp;'S4'!K508,製品マスタ!$AO$5:$AO$4999,0)))</f>
        <v/>
      </c>
      <c r="M508" s="37"/>
      <c r="N508" s="37"/>
      <c r="O508" s="153"/>
      <c r="P508" s="45"/>
      <c r="Q508" s="54"/>
      <c r="R508" s="257" t="str">
        <f ca="1">IF(D508="","",IF(OFFSET(D508,-1,0)&lt;&gt;"","",IF(OR(J508="リード付け",J508="巻足し",J508="巻返しリード付け"),M508,VLOOKUP(D508,契約台帳!$A$3:$N$4986,14,FALSE))))</f>
        <v/>
      </c>
      <c r="S508" s="258" t="str">
        <f ca="1">IF(D508="","",IF(OFFSET(D508,-1,0)&lt;&gt;"","",IF(OR(J508="リード付け",J508="巻足し",J508="巻返しリード付け"),M508,VLOOKUP(D508,契約台帳!$A$3:$O$4986,15,FALSE))))</f>
        <v/>
      </c>
      <c r="T508" s="258" t="str">
        <f ca="1">IF(D508="","",IF(J508="リード付け",N508,IF(J508="巻返しリード付け",N508,IF(J508="巻足し",N508*P508+OFFSET(N508,1,0)*OFFSET(P508,1,0),VLOOKUP(D508,契約台帳!$A$3:$P$4986,16,FALSE)))))</f>
        <v/>
      </c>
      <c r="U508" s="38"/>
      <c r="V508" s="259" t="str">
        <f ca="1">IF(D508="","",IF(OFFSET(D508,-2,0)=D508,"",VLOOKUP(D508,契約台帳!$A$3:$R$4986,18,FALSE)))</f>
        <v/>
      </c>
      <c r="W508" s="256" t="str">
        <f>IF(D508="","",IF(T508="","",IF(OR(J508="巻足し",J508="巻返しリード付け"),"",IF(J508="巻返し",VLOOKUP(F508&amp;K508&amp;M508,製品マスタ!$M$5:$AD$4999,18,FALSE),IF(OR(J508="リード付け",J508="巻返しリード付け"),"原反コア",IF(J508="スリット",VLOOKUP(F508&amp;K508&amp;R508,製品マスタ!$N$5:$AD$4999,17,FALSE),""))))))</f>
        <v/>
      </c>
      <c r="X508" s="256" t="str">
        <f>IF(D508="","",IF(T508="","",IF(J508="巻足し","",IF(J508="巻返し",VLOOKUP(F508&amp;K508&amp;M508,製品マスタ!$M$5:$AE$4999,19,FALSE),IF(OR(J508="リード付け",J508="巻返しリード付け"),"",IF(J508="スリット",VLOOKUP(F508&amp;K508&amp;R508,製品マスタ!$N$5:$AE$4999,18,FALSE),""))))))</f>
        <v/>
      </c>
      <c r="Y508" s="256" t="str">
        <f>IF(D508="","",IF(T508="","",VLOOKUP(D508,契約台帳!$A$3:$Q$4986,17,FALSE)))</f>
        <v/>
      </c>
      <c r="Z508" s="256" t="str">
        <f>IF(D508="","",IF(T508="","",VLOOKUP(D508,契約台帳!$A$3:$E$4986,5,FALSE)))</f>
        <v/>
      </c>
      <c r="AA508" s="54"/>
      <c r="AB508" s="200" t="str">
        <f>IFERROR((VLOOKUP(F508&amp;K508&amp;M508,製品マスタ!$M$5:$AM$4999,27,FALSE)),"")</f>
        <v/>
      </c>
      <c r="AC508" s="31"/>
      <c r="AD508" s="184"/>
      <c r="AE508" s="51"/>
      <c r="AF508" s="52"/>
      <c r="AG508" s="41"/>
      <c r="AH508" s="45"/>
      <c r="AI508" s="28"/>
      <c r="AJ508" s="28"/>
      <c r="AK508" s="28"/>
      <c r="AL508" s="28"/>
      <c r="AM508" s="12"/>
      <c r="AN508" s="12"/>
      <c r="AO508" s="12"/>
      <c r="AP508" s="12"/>
      <c r="AQ508" s="12"/>
      <c r="AR508" s="13"/>
      <c r="AS508" s="14"/>
    </row>
    <row r="509" spans="1:45" s="16" customFormat="1" ht="30.95" hidden="1" customHeight="1" x14ac:dyDescent="0.2">
      <c r="A509" s="35"/>
      <c r="B509" s="36"/>
      <c r="C509" s="43"/>
      <c r="D509" s="29">
        <v>3708707</v>
      </c>
      <c r="E509" s="29">
        <v>4161893</v>
      </c>
      <c r="F509" s="255" t="str">
        <f>IF(D509="","",VLOOKUP(D509,契約台帳!$A$3:$K$4986,6,FALSE)&amp;VLOOKUP(D509,契約台帳!$A$3:$K$4986,7,FALSE)&amp;VLOOKUP(D509,契約台帳!$A$3:$K$4986,8,FALSE)&amp;VLOOKUP(D509,契約台帳!$A$3:$K$4986,9,FALSE)&amp;VLOOKUP(D509,契約台帳!$A$3:$K$4986,11,FALSE))</f>
        <v>3SNMLBMNGKBF</v>
      </c>
      <c r="G509" s="256" t="str">
        <f>IF(D509="","",VLOOKUP(F509,製品マスタ!$G$5:$H$4999,2,FALSE))</f>
        <v>S</v>
      </c>
      <c r="H509" s="256" t="str">
        <f>IF(D509="","",VLOOKUP(F509,製品マスタ!$G$5:$K$4999,5,FALSE))</f>
        <v>MNGKBF</v>
      </c>
      <c r="I509" s="200" t="str">
        <f>IF(D509="","",VLOOKUP(F509,製品マスタ!$G$5:$L$4999,6,FALSE))</f>
        <v>メタルミー　ネーマー銀消　Ｂ</v>
      </c>
      <c r="J509" s="203" t="s">
        <v>1102</v>
      </c>
      <c r="K509" s="200">
        <f>IF(D509="","",VLOOKUP(D509,契約台帳!$A$3:$L$4986,12,FALSE))</f>
        <v>50</v>
      </c>
      <c r="L509" s="200" t="str">
        <f>IF(D509="","",INDEX(製品マスタ!$Q$5:$Q$4999,MATCH('S4'!F509&amp;'S4'!K509,製品マスタ!$AO$5:$AO$4999,0)))</f>
        <v>MAT</v>
      </c>
      <c r="M509" s="37">
        <v>1050</v>
      </c>
      <c r="N509" s="37">
        <v>4100</v>
      </c>
      <c r="O509" s="153">
        <v>4</v>
      </c>
      <c r="P509" s="45">
        <v>2</v>
      </c>
      <c r="Q509" s="206">
        <v>45042</v>
      </c>
      <c r="R509" s="257">
        <f ca="1">IF(D509="","",IF(OFFSET(D509,-1,0)&lt;&gt;"","",IF(OR(J509="リード付け",J509="巻足し",J509="巻返しリード付け"),M509,VLOOKUP(D509,契約台帳!$A$3:$N$4986,14,FALSE))))</f>
        <v>1050</v>
      </c>
      <c r="S509" s="258">
        <f ca="1">IF(D509="","",IF(OFFSET(D509,-1,0)&lt;&gt;"","",IF(OR(J509="リード付け",J509="巻足し",J509="巻返しリード付け"),M509,VLOOKUP(D509,契約台帳!$A$3:$O$4986,15,FALSE))))</f>
        <v>1050</v>
      </c>
      <c r="T509" s="258">
        <f ca="1">IF(D509="","",IF(J509="リード付け",N509,IF(J509="巻返しリード付け",N509,IF(J509="巻足し",N509*P509+OFFSET(N509,1,0)*OFFSET(P509,1,0),VLOOKUP(D509,契約台帳!$A$3:$P$4986,16,FALSE)))))</f>
        <v>8200</v>
      </c>
      <c r="U509" s="38">
        <v>2</v>
      </c>
      <c r="V509" s="259">
        <f ca="1">IF(D509="","",IF(OFFSET(D509,-2,0)=D509,"",VLOOKUP(D509,契約台帳!$A$3:$R$4986,18,FALSE)))</f>
        <v>4</v>
      </c>
      <c r="W509" s="256" t="str">
        <f ca="1">IF(D509="","",IF(T509="","",IF(OR(J509="巻足し",J509="巻返しリード付け"),"",IF(J509="巻返し",VLOOKUP(F509&amp;K509&amp;M509,製品マスタ!$M$5:$AD$4999,18,FALSE),IF(OR(J509="リード付け",J509="巻返しリード付け"),"原反コア",IF(J509="スリット",VLOOKUP(F509&amp;K509&amp;R509,製品マスタ!$N$5:$AD$4999,17,FALSE),""))))))</f>
        <v/>
      </c>
      <c r="X509" s="256" t="str">
        <f ca="1">IF(D509="","",IF(T509="","",IF(J509="巻足し","",IF(J509="巻返し",VLOOKUP(F509&amp;K509&amp;M509,製品マスタ!$M$5:$AE$4999,19,FALSE),IF(OR(J509="リード付け",J509="巻返しリード付け"),"",IF(J509="スリット",VLOOKUP(F509&amp;K509&amp;R509,製品マスタ!$N$5:$AE$4999,18,FALSE),""))))))</f>
        <v/>
      </c>
      <c r="Y509" s="256">
        <f ca="1">IF(D509="","",IF(T509="","",VLOOKUP(D509,契約台帳!$A$3:$Q$4986,17,FALSE)))</f>
        <v>2</v>
      </c>
      <c r="Z509" s="256" t="str">
        <f ca="1">IF(D509="","",IF(T509="","",VLOOKUP(D509,契約台帳!$A$3:$E$4986,5,FALSE)))</f>
        <v>リンテック㈱</v>
      </c>
      <c r="AA509" s="54"/>
      <c r="AB509" s="200">
        <f>IFERROR((VLOOKUP(F509&amp;K509&amp;M509,製品マスタ!$M$5:$AM$4999,27,FALSE)),"")</f>
        <v>0</v>
      </c>
      <c r="AC509" s="31"/>
      <c r="AD509" s="184"/>
      <c r="AE509" s="51"/>
      <c r="AF509" s="52"/>
      <c r="AG509" s="41"/>
      <c r="AH509" s="45"/>
      <c r="AI509" s="28"/>
      <c r="AJ509" s="28"/>
      <c r="AK509" s="28"/>
      <c r="AL509" s="28"/>
      <c r="AM509" s="12"/>
      <c r="AN509" s="12"/>
      <c r="AO509" s="12"/>
      <c r="AP509" s="12"/>
      <c r="AQ509" s="12"/>
      <c r="AR509" s="13"/>
      <c r="AS509" s="14"/>
    </row>
    <row r="510" spans="1:45" s="16" customFormat="1" ht="30.95" hidden="1" customHeight="1" x14ac:dyDescent="0.2">
      <c r="A510" s="35"/>
      <c r="B510" s="36"/>
      <c r="C510" s="43"/>
      <c r="D510" s="29"/>
      <c r="E510" s="29"/>
      <c r="F510" s="255" t="str">
        <f>IF(D510="","",VLOOKUP(D510,契約台帳!$A$3:$K$4986,6,FALSE)&amp;VLOOKUP(D510,契約台帳!$A$3:$K$4986,7,FALSE)&amp;VLOOKUP(D510,契約台帳!$A$3:$K$4986,8,FALSE)&amp;VLOOKUP(D510,契約台帳!$A$3:$K$4986,9,FALSE)&amp;VLOOKUP(D510,契約台帳!$A$3:$K$4986,11,FALSE))</f>
        <v/>
      </c>
      <c r="G510" s="256" t="str">
        <f>IF(D510="","",VLOOKUP(F510,製品マスタ!$G$5:$H$4999,2,FALSE))</f>
        <v/>
      </c>
      <c r="H510" s="256" t="str">
        <f>IF(D510="","",VLOOKUP(F510,製品マスタ!$G$5:$K$4999,5,FALSE))</f>
        <v/>
      </c>
      <c r="I510" s="200" t="str">
        <f>IF(D510="","",VLOOKUP(F510,製品マスタ!$G$5:$L$4999,6,FALSE))</f>
        <v/>
      </c>
      <c r="J510" s="203"/>
      <c r="K510" s="200" t="str">
        <f>IF(D510="","",VLOOKUP(D510,契約台帳!$A$3:$L$4986,12,FALSE))</f>
        <v/>
      </c>
      <c r="L510" s="200" t="str">
        <f>IF(D510="","",INDEX(製品マスタ!$Q$5:$Q$4999,MATCH('S4'!F510&amp;'S4'!K510,製品マスタ!$AO$5:$AO$4999,0)))</f>
        <v/>
      </c>
      <c r="M510" s="37"/>
      <c r="N510" s="37"/>
      <c r="O510" s="153"/>
      <c r="P510" s="45"/>
      <c r="Q510" s="54"/>
      <c r="R510" s="257" t="str">
        <f ca="1">IF(D510="","",IF(OFFSET(D510,-1,0)&lt;&gt;"","",IF(OR(J510="リード付け",J510="巻足し",J510="巻返しリード付け"),M510,VLOOKUP(D510,契約台帳!$A$3:$N$4986,14,FALSE))))</f>
        <v/>
      </c>
      <c r="S510" s="258" t="str">
        <f ca="1">IF(D510="","",IF(OFFSET(D510,-1,0)&lt;&gt;"","",IF(OR(J510="リード付け",J510="巻足し",J510="巻返しリード付け"),M510,VLOOKUP(D510,契約台帳!$A$3:$O$4986,15,FALSE))))</f>
        <v/>
      </c>
      <c r="T510" s="258" t="str">
        <f ca="1">IF(D510="","",IF(J510="リード付け",N510,IF(J510="巻返しリード付け",N510,IF(J510="巻足し",N510*P510+OFFSET(N510,1,0)*OFFSET(P510,1,0),VLOOKUP(D510,契約台帳!$A$3:$P$4986,16,FALSE)))))</f>
        <v/>
      </c>
      <c r="U510" s="38"/>
      <c r="V510" s="259" t="str">
        <f ca="1">IF(D510="","",IF(OFFSET(D510,-2,0)=D510,"",VLOOKUP(D510,契約台帳!$A$3:$R$4986,18,FALSE)))</f>
        <v/>
      </c>
      <c r="W510" s="256" t="str">
        <f>IF(D510="","",IF(T510="","",IF(OR(J510="巻足し",J510="巻返しリード付け"),"",IF(J510="巻返し",VLOOKUP(F510&amp;K510&amp;M510,製品マスタ!$M$5:$AD$4999,18,FALSE),IF(OR(J510="リード付け",J510="巻返しリード付け"),"原反コア",IF(J510="スリット",VLOOKUP(F510&amp;K510&amp;R510,製品マスタ!$N$5:$AD$4999,17,FALSE),""))))))</f>
        <v/>
      </c>
      <c r="X510" s="256" t="str">
        <f>IF(D510="","",IF(T510="","",IF(J510="巻足し","",IF(J510="巻返し",VLOOKUP(F510&amp;K510&amp;M510,製品マスタ!$M$5:$AE$4999,19,FALSE),IF(OR(J510="リード付け",J510="巻返しリード付け"),"",IF(J510="スリット",VLOOKUP(F510&amp;K510&amp;R510,製品マスタ!$N$5:$AE$4999,18,FALSE),""))))))</f>
        <v/>
      </c>
      <c r="Y510" s="256" t="str">
        <f>IF(D510="","",IF(T510="","",VLOOKUP(D510,契約台帳!$A$3:$Q$4986,17,FALSE)))</f>
        <v/>
      </c>
      <c r="Z510" s="256" t="str">
        <f>IF(D510="","",IF(T510="","",VLOOKUP(D510,契約台帳!$A$3:$E$4986,5,FALSE)))</f>
        <v/>
      </c>
      <c r="AA510" s="54"/>
      <c r="AB510" s="200" t="str">
        <f>IFERROR((VLOOKUP(F510&amp;K510&amp;M510,製品マスタ!$M$5:$AM$4999,27,FALSE)),"")</f>
        <v/>
      </c>
      <c r="AC510" s="31"/>
      <c r="AD510" s="184"/>
      <c r="AE510" s="51"/>
      <c r="AF510" s="52"/>
      <c r="AG510" s="41"/>
      <c r="AH510" s="45"/>
      <c r="AI510" s="28"/>
      <c r="AJ510" s="28"/>
      <c r="AK510" s="28"/>
      <c r="AL510" s="28"/>
      <c r="AM510" s="12"/>
      <c r="AN510" s="12"/>
      <c r="AO510" s="12"/>
      <c r="AP510" s="12"/>
      <c r="AQ510" s="12"/>
      <c r="AR510" s="13"/>
      <c r="AS510" s="14"/>
    </row>
    <row r="511" spans="1:45" s="16" customFormat="1" ht="30.95" hidden="1" customHeight="1" x14ac:dyDescent="0.2">
      <c r="A511" s="35"/>
      <c r="B511" s="36"/>
      <c r="C511" s="43"/>
      <c r="D511" s="29">
        <v>3708708</v>
      </c>
      <c r="E511" s="29">
        <v>4161894</v>
      </c>
      <c r="F511" s="255" t="str">
        <f>IF(D511="","",VLOOKUP(D511,契約台帳!$A$3:$K$4986,6,FALSE)&amp;VLOOKUP(D511,契約台帳!$A$3:$K$4986,7,FALSE)&amp;VLOOKUP(D511,契約台帳!$A$3:$K$4986,8,FALSE)&amp;VLOOKUP(D511,契約台帳!$A$3:$K$4986,9,FALSE)&amp;VLOOKUP(D511,契約台帳!$A$3:$K$4986,11,FALSE))</f>
        <v>3SNMLBMNGKBF</v>
      </c>
      <c r="G511" s="256" t="str">
        <f>IF(D511="","",VLOOKUP(F511,製品マスタ!$G$5:$H$4999,2,FALSE))</f>
        <v>S</v>
      </c>
      <c r="H511" s="256" t="str">
        <f>IF(D511="","",VLOOKUP(F511,製品マスタ!$G$5:$K$4999,5,FALSE))</f>
        <v>MNGKBF</v>
      </c>
      <c r="I511" s="200" t="str">
        <f>IF(D511="","",VLOOKUP(F511,製品マスタ!$G$5:$L$4999,6,FALSE))</f>
        <v>メタルミー　ネーマー銀消　Ｂ</v>
      </c>
      <c r="J511" s="203" t="s">
        <v>1102</v>
      </c>
      <c r="K511" s="200">
        <f>IF(D511="","",VLOOKUP(D511,契約台帳!$A$3:$L$4986,12,FALSE))</f>
        <v>75</v>
      </c>
      <c r="L511" s="200" t="str">
        <f>IF(D511="","",INDEX(製品マスタ!$Q$5:$Q$4999,MATCH('S4'!F511&amp;'S4'!K511,製品マスタ!$AO$5:$AO$4999,0)))</f>
        <v>MAT</v>
      </c>
      <c r="M511" s="37">
        <v>1050</v>
      </c>
      <c r="N511" s="37">
        <v>2000</v>
      </c>
      <c r="O511" s="153">
        <v>3</v>
      </c>
      <c r="P511" s="45">
        <v>3</v>
      </c>
      <c r="Q511" s="206">
        <v>45042</v>
      </c>
      <c r="R511" s="257">
        <f ca="1">IF(D511="","",IF(OFFSET(D511,-1,0)&lt;&gt;"","",IF(OR(J511="リード付け",J511="巻足し",J511="巻返しリード付け"),M511,VLOOKUP(D511,契約台帳!$A$3:$N$4986,14,FALSE))))</f>
        <v>1050</v>
      </c>
      <c r="S511" s="258">
        <f ca="1">IF(D511="","",IF(OFFSET(D511,-1,0)&lt;&gt;"","",IF(OR(J511="リード付け",J511="巻足し",J511="巻返しリード付け"),M511,VLOOKUP(D511,契約台帳!$A$3:$O$4986,15,FALSE))))</f>
        <v>1050</v>
      </c>
      <c r="T511" s="258">
        <f ca="1">IF(D511="","",IF(J511="リード付け",N511,IF(J511="巻返しリード付け",N511,IF(J511="巻足し",N511*P511+OFFSET(N511,1,0)*OFFSET(P511,1,0),VLOOKUP(D511,契約台帳!$A$3:$P$4986,16,FALSE)))))</f>
        <v>6000</v>
      </c>
      <c r="U511" s="38">
        <v>1</v>
      </c>
      <c r="V511" s="259">
        <f ca="1">IF(D511="","",IF(OFFSET(D511,-2,0)=D511,"",VLOOKUP(D511,契約台帳!$A$3:$R$4986,18,FALSE)))</f>
        <v>3</v>
      </c>
      <c r="W511" s="256" t="str">
        <f ca="1">IF(D511="","",IF(T511="","",IF(OR(J511="巻足し",J511="巻返しリード付け"),"",IF(J511="巻返し",VLOOKUP(F511&amp;K511&amp;M511,製品マスタ!$M$5:$AD$4999,18,FALSE),IF(OR(J511="リード付け",J511="巻返しリード付け"),"原反コア",IF(J511="スリット",VLOOKUP(F511&amp;K511&amp;R511,製品マスタ!$N$5:$AD$4999,17,FALSE),""))))))</f>
        <v/>
      </c>
      <c r="X511" s="256" t="str">
        <f ca="1">IF(D511="","",IF(T511="","",IF(J511="巻足し","",IF(J511="巻返し",VLOOKUP(F511&amp;K511&amp;M511,製品マスタ!$M$5:$AE$4999,19,FALSE),IF(OR(J511="リード付け",J511="巻返しリード付け"),"",IF(J511="スリット",VLOOKUP(F511&amp;K511&amp;R511,製品マスタ!$N$5:$AE$4999,18,FALSE),""))))))</f>
        <v/>
      </c>
      <c r="Y511" s="256">
        <f ca="1">IF(D511="","",IF(T511="","",VLOOKUP(D511,契約台帳!$A$3:$Q$4986,17,FALSE)))</f>
        <v>2</v>
      </c>
      <c r="Z511" s="256" t="str">
        <f ca="1">IF(D511="","",IF(T511="","",VLOOKUP(D511,契約台帳!$A$3:$E$4986,5,FALSE)))</f>
        <v>リンテック㈱</v>
      </c>
      <c r="AA511" s="54"/>
      <c r="AB511" s="200">
        <f>IFERROR((VLOOKUP(F511&amp;K511&amp;M511,製品マスタ!$M$5:$AM$4999,27,FALSE)),"")</f>
        <v>0</v>
      </c>
      <c r="AC511" s="31"/>
      <c r="AD511" s="184"/>
      <c r="AE511" s="51"/>
      <c r="AF511" s="52"/>
      <c r="AG511" s="41"/>
      <c r="AH511" s="45"/>
      <c r="AI511" s="28"/>
      <c r="AJ511" s="28"/>
      <c r="AK511" s="28"/>
      <c r="AL511" s="28"/>
      <c r="AM511" s="12"/>
      <c r="AN511" s="12"/>
      <c r="AO511" s="12"/>
      <c r="AP511" s="12"/>
      <c r="AQ511" s="12"/>
      <c r="AR511" s="13"/>
      <c r="AS511" s="14"/>
    </row>
    <row r="512" spans="1:45" s="16" customFormat="1" ht="30.95" hidden="1" customHeight="1" x14ac:dyDescent="0.2">
      <c r="A512" s="35"/>
      <c r="B512" s="36"/>
      <c r="C512" s="43"/>
      <c r="D512" s="29"/>
      <c r="E512" s="29"/>
      <c r="F512" s="255" t="str">
        <f>IF(D512="","",VLOOKUP(D512,契約台帳!$A$3:$K$4986,6,FALSE)&amp;VLOOKUP(D512,契約台帳!$A$3:$K$4986,7,FALSE)&amp;VLOOKUP(D512,契約台帳!$A$3:$K$4986,8,FALSE)&amp;VLOOKUP(D512,契約台帳!$A$3:$K$4986,9,FALSE)&amp;VLOOKUP(D512,契約台帳!$A$3:$K$4986,11,FALSE))</f>
        <v/>
      </c>
      <c r="G512" s="256" t="str">
        <f>IF(D512="","",VLOOKUP(F512,製品マスタ!$G$5:$H$4999,2,FALSE))</f>
        <v/>
      </c>
      <c r="H512" s="256" t="str">
        <f>IF(D512="","",VLOOKUP(F512,製品マスタ!$G$5:$K$4999,5,FALSE))</f>
        <v/>
      </c>
      <c r="I512" s="200" t="str">
        <f>IF(D512="","",VLOOKUP(F512,製品マスタ!$G$5:$L$4999,6,FALSE))</f>
        <v/>
      </c>
      <c r="J512" s="203"/>
      <c r="K512" s="200" t="str">
        <f>IF(D512="","",VLOOKUP(D512,契約台帳!$A$3:$L$4986,12,FALSE))</f>
        <v/>
      </c>
      <c r="L512" s="200" t="str">
        <f>IF(D512="","",INDEX(製品マスタ!$Q$5:$Q$4999,MATCH('S4'!F512&amp;'S4'!K512,製品マスタ!$AO$5:$AO$4999,0)))</f>
        <v/>
      </c>
      <c r="M512" s="37"/>
      <c r="N512" s="37"/>
      <c r="O512" s="153"/>
      <c r="P512" s="45"/>
      <c r="Q512" s="54"/>
      <c r="R512" s="257" t="str">
        <f ca="1">IF(D512="","",IF(OFFSET(D512,-1,0)&lt;&gt;"","",IF(OR(J512="リード付け",J512="巻足し",J512="巻返しリード付け"),M512,VLOOKUP(D512,契約台帳!$A$3:$N$4986,14,FALSE))))</f>
        <v/>
      </c>
      <c r="S512" s="258" t="str">
        <f ca="1">IF(D512="","",IF(OFFSET(D512,-1,0)&lt;&gt;"","",IF(OR(J512="リード付け",J512="巻足し",J512="巻返しリード付け"),M512,VLOOKUP(D512,契約台帳!$A$3:$O$4986,15,FALSE))))</f>
        <v/>
      </c>
      <c r="T512" s="258" t="str">
        <f ca="1">IF(D512="","",IF(J512="リード付け",N512,IF(J512="巻返しリード付け",N512,IF(J512="巻足し",N512*P512+OFFSET(N512,1,0)*OFFSET(P512,1,0),VLOOKUP(D512,契約台帳!$A$3:$P$4986,16,FALSE)))))</f>
        <v/>
      </c>
      <c r="U512" s="38"/>
      <c r="V512" s="259" t="str">
        <f ca="1">IF(D512="","",IF(OFFSET(D512,-2,0)=D512,"",VLOOKUP(D512,契約台帳!$A$3:$R$4986,18,FALSE)))</f>
        <v/>
      </c>
      <c r="W512" s="256" t="str">
        <f>IF(D512="","",IF(T512="","",IF(OR(J512="巻足し",J512="巻返しリード付け"),"",IF(J512="巻返し",VLOOKUP(F512&amp;K512&amp;M512,製品マスタ!$M$5:$AD$4999,18,FALSE),IF(OR(J512="リード付け",J512="巻返しリード付け"),"原反コア",IF(J512="スリット",VLOOKUP(F512&amp;K512&amp;R512,製品マスタ!$N$5:$AD$4999,17,FALSE),""))))))</f>
        <v/>
      </c>
      <c r="X512" s="256" t="str">
        <f>IF(D512="","",IF(T512="","",IF(J512="巻足し","",IF(J512="巻返し",VLOOKUP(F512&amp;K512&amp;M512,製品マスタ!$M$5:$AE$4999,19,FALSE),IF(OR(J512="リード付け",J512="巻返しリード付け"),"",IF(J512="スリット",VLOOKUP(F512&amp;K512&amp;R512,製品マスタ!$N$5:$AE$4999,18,FALSE),""))))))</f>
        <v/>
      </c>
      <c r="Y512" s="256" t="str">
        <f>IF(D512="","",IF(T512="","",VLOOKUP(D512,契約台帳!$A$3:$Q$4986,17,FALSE)))</f>
        <v/>
      </c>
      <c r="Z512" s="256" t="str">
        <f>IF(D512="","",IF(T512="","",VLOOKUP(D512,契約台帳!$A$3:$E$4986,5,FALSE)))</f>
        <v/>
      </c>
      <c r="AA512" s="54"/>
      <c r="AB512" s="200" t="str">
        <f>IFERROR((VLOOKUP(F512&amp;K512&amp;M512,製品マスタ!$M$5:$AM$4999,27,FALSE)),"")</f>
        <v/>
      </c>
      <c r="AC512" s="31"/>
      <c r="AD512" s="184"/>
      <c r="AE512" s="51"/>
      <c r="AF512" s="52"/>
      <c r="AG512" s="41"/>
      <c r="AH512" s="45"/>
      <c r="AI512" s="28"/>
      <c r="AJ512" s="28"/>
      <c r="AK512" s="28"/>
      <c r="AL512" s="28"/>
      <c r="AM512" s="12"/>
      <c r="AN512" s="12"/>
      <c r="AO512" s="12"/>
      <c r="AP512" s="12"/>
      <c r="AQ512" s="12"/>
      <c r="AR512" s="13"/>
      <c r="AS512" s="14"/>
    </row>
    <row r="513" spans="1:45" s="16" customFormat="1" ht="30.95" hidden="1" customHeight="1" x14ac:dyDescent="0.2">
      <c r="A513" s="35" t="s">
        <v>1069</v>
      </c>
      <c r="B513" s="36" t="s">
        <v>444</v>
      </c>
      <c r="C513" s="43"/>
      <c r="D513" s="29">
        <v>3708715</v>
      </c>
      <c r="E513" s="29">
        <v>4161903</v>
      </c>
      <c r="F513" s="255" t="str">
        <f>IF(D513="","",VLOOKUP(D513,契約台帳!$A$3:$K$4986,6,FALSE)&amp;VLOOKUP(D513,契約台帳!$A$3:$K$4986,7,FALSE)&amp;VLOOKUP(D513,契約台帳!$A$3:$K$4986,8,FALSE)&amp;VLOOKUP(D513,契約台帳!$A$3:$K$4986,9,FALSE)&amp;VLOOKUP(D513,契約台帳!$A$3:$K$4986,11,FALSE))</f>
        <v>3SNMLBMNNGKBF</v>
      </c>
      <c r="G513" s="256" t="str">
        <f>IF(D513="","",VLOOKUP(F513,製品マスタ!$G$5:$H$4999,2,FALSE))</f>
        <v>S</v>
      </c>
      <c r="H513" s="256" t="str">
        <f>IF(D513="","",VLOOKUP(F513,製品マスタ!$G$5:$K$4999,5,FALSE))</f>
        <v>MNNGKBF</v>
      </c>
      <c r="I513" s="200" t="str">
        <f>IF(D513="","",VLOOKUP(F513,製品マスタ!$G$5:$L$4999,6,FALSE))</f>
        <v>メタルミー　ニューネーマー銀消　Ｂ</v>
      </c>
      <c r="J513" s="203" t="s">
        <v>1102</v>
      </c>
      <c r="K513" s="200">
        <f>IF(D513="","",VLOOKUP(D513,契約台帳!$A$3:$L$4986,12,FALSE))</f>
        <v>50</v>
      </c>
      <c r="L513" s="200" t="str">
        <f>IF(D513="","",INDEX(製品マスタ!$Q$5:$Q$4999,MATCH('S4'!F513&amp;'S4'!K513,製品マスタ!$AO$5:$AO$4999,0)))</f>
        <v>X44</v>
      </c>
      <c r="M513" s="37">
        <v>1000</v>
      </c>
      <c r="N513" s="37">
        <v>4000</v>
      </c>
      <c r="O513" s="153">
        <v>15</v>
      </c>
      <c r="P513" s="45">
        <v>3</v>
      </c>
      <c r="Q513" s="206">
        <v>45043</v>
      </c>
      <c r="R513" s="257">
        <f ca="1">IF(D513="","",IF(OFFSET(D513,-1,0)&lt;&gt;"","",IF(OR(J513="リード付け",J513="巻足し",J513="巻返しリード付け"),M513,VLOOKUP(D513,契約台帳!$A$3:$N$4986,14,FALSE))))</f>
        <v>1000</v>
      </c>
      <c r="S513" s="258">
        <f ca="1">IF(D513="","",IF(OFFSET(D513,-1,0)&lt;&gt;"","",IF(OR(J513="リード付け",J513="巻足し",J513="巻返しリード付け"),M513,VLOOKUP(D513,契約台帳!$A$3:$O$4986,15,FALSE))))</f>
        <v>1000</v>
      </c>
      <c r="T513" s="258">
        <f ca="1">IF(D513="","",IF(J513="リード付け",N513,IF(J513="巻返しリード付け",N513,IF(J513="巻足し",N513*P513+OFFSET(N513,1,0)*OFFSET(P513,1,0),VLOOKUP(D513,契約台帳!$A$3:$P$4986,16,FALSE)))))</f>
        <v>12000</v>
      </c>
      <c r="U513" s="38">
        <v>5</v>
      </c>
      <c r="V513" s="259">
        <f ca="1">IF(D513="","",IF(OFFSET(D513,-2,0)=D513,"",VLOOKUP(D513,契約台帳!$A$3:$R$4986,18,FALSE)))</f>
        <v>15</v>
      </c>
      <c r="W513" s="256" t="str">
        <f ca="1">IF(D513="","",IF(T513="","",IF(OR(J513="巻足し",J513="巻返しリード付け"),"",IF(J513="巻返し",VLOOKUP(F513&amp;K513&amp;M513,製品マスタ!$M$5:$AD$4999,18,FALSE),IF(OR(J513="リード付け",J513="巻返しリード付け"),"原反コア",IF(J513="スリット",VLOOKUP(F513&amp;K513&amp;R513,製品マスタ!$N$5:$AD$4999,17,FALSE),""))))))</f>
        <v/>
      </c>
      <c r="X513" s="256" t="str">
        <f ca="1">IF(D513="","",IF(T513="","",IF(J513="巻足し","",IF(J513="巻返し",VLOOKUP(F513&amp;K513&amp;M513,製品マスタ!$M$5:$AE$4999,19,FALSE),IF(OR(J513="リード付け",J513="巻返しリード付け"),"",IF(J513="スリット",VLOOKUP(F513&amp;K513&amp;R513,製品マスタ!$N$5:$AE$4999,18,FALSE),""))))))</f>
        <v/>
      </c>
      <c r="Y513" s="256">
        <f ca="1">IF(D513="","",IF(T513="","",VLOOKUP(D513,契約台帳!$A$3:$Q$4986,17,FALSE)))</f>
        <v>2</v>
      </c>
      <c r="Z513" s="256" t="str">
        <f ca="1">IF(D513="","",IF(T513="","",VLOOKUP(D513,契約台帳!$A$3:$E$4986,5,FALSE)))</f>
        <v>リンテック㈱</v>
      </c>
      <c r="AA513" s="54"/>
      <c r="AB513" s="200" t="str">
        <f>IFERROR((VLOOKUP(F513&amp;K513&amp;M513,製品マスタ!$M$5:$AM$4999,27,FALSE)),"")</f>
        <v>原反ケース再利用</v>
      </c>
      <c r="AC513" s="31"/>
      <c r="AD513" s="184"/>
      <c r="AE513" s="51"/>
      <c r="AF513" s="52"/>
      <c r="AG513" s="41"/>
      <c r="AH513" s="45"/>
      <c r="AI513" s="28"/>
      <c r="AJ513" s="28"/>
      <c r="AK513" s="28"/>
      <c r="AL513" s="28"/>
      <c r="AM513" s="12"/>
      <c r="AN513" s="12"/>
      <c r="AO513" s="12"/>
      <c r="AP513" s="12"/>
      <c r="AQ513" s="12"/>
      <c r="AR513" s="13"/>
      <c r="AS513" s="14"/>
    </row>
    <row r="514" spans="1:45" s="16" customFormat="1" ht="30.95" hidden="1" customHeight="1" x14ac:dyDescent="0.2">
      <c r="A514" s="35"/>
      <c r="B514" s="36"/>
      <c r="C514" s="43"/>
      <c r="D514" s="29"/>
      <c r="E514" s="29"/>
      <c r="F514" s="255" t="str">
        <f>IF(D514="","",VLOOKUP(D514,契約台帳!$A$3:$K$4986,6,FALSE)&amp;VLOOKUP(D514,契約台帳!$A$3:$K$4986,7,FALSE)&amp;VLOOKUP(D514,契約台帳!$A$3:$K$4986,8,FALSE)&amp;VLOOKUP(D514,契約台帳!$A$3:$K$4986,9,FALSE)&amp;VLOOKUP(D514,契約台帳!$A$3:$K$4986,11,FALSE))</f>
        <v/>
      </c>
      <c r="G514" s="256" t="str">
        <f>IF(D514="","",VLOOKUP(F514,製品マスタ!$G$5:$H$4999,2,FALSE))</f>
        <v/>
      </c>
      <c r="H514" s="256" t="str">
        <f>IF(D514="","",VLOOKUP(F514,製品マスタ!$G$5:$K$4999,5,FALSE))</f>
        <v/>
      </c>
      <c r="I514" s="200" t="str">
        <f>IF(D514="","",VLOOKUP(F514,製品マスタ!$G$5:$L$4999,6,FALSE))</f>
        <v/>
      </c>
      <c r="J514" s="203"/>
      <c r="K514" s="200" t="str">
        <f>IF(D514="","",VLOOKUP(D514,契約台帳!$A$3:$L$4986,12,FALSE))</f>
        <v/>
      </c>
      <c r="L514" s="200" t="str">
        <f>IF(D514="","",INDEX(製品マスタ!$Q$5:$Q$4999,MATCH('S4'!F514&amp;'S4'!K514,製品マスタ!$AO$5:$AO$4999,0)))</f>
        <v/>
      </c>
      <c r="M514" s="37"/>
      <c r="N514" s="37"/>
      <c r="O514" s="153"/>
      <c r="P514" s="45"/>
      <c r="Q514" s="54"/>
      <c r="R514" s="257" t="str">
        <f ca="1">IF(D514="","",IF(OFFSET(D514,-1,0)&lt;&gt;"","",IF(OR(J514="リード付け",J514="巻足し",J514="巻返しリード付け"),M514,VLOOKUP(D514,契約台帳!$A$3:$N$4986,14,FALSE))))</f>
        <v/>
      </c>
      <c r="S514" s="258" t="str">
        <f ca="1">IF(D514="","",IF(OFFSET(D514,-1,0)&lt;&gt;"","",IF(OR(J514="リード付け",J514="巻足し",J514="巻返しリード付け"),M514,VLOOKUP(D514,契約台帳!$A$3:$O$4986,15,FALSE))))</f>
        <v/>
      </c>
      <c r="T514" s="258" t="str">
        <f ca="1">IF(D514="","",IF(J514="リード付け",N514,IF(J514="巻返しリード付け",N514,IF(J514="巻足し",N514*P514+OFFSET(N514,1,0)*OFFSET(P514,1,0),VLOOKUP(D514,契約台帳!$A$3:$P$4986,16,FALSE)))))</f>
        <v/>
      </c>
      <c r="U514" s="38"/>
      <c r="V514" s="259" t="str">
        <f ca="1">IF(D514="","",IF(OFFSET(D514,-2,0)=D514,"",VLOOKUP(D514,契約台帳!$A$3:$R$4986,18,FALSE)))</f>
        <v/>
      </c>
      <c r="W514" s="256" t="str">
        <f>IF(D514="","",IF(T514="","",IF(OR(J514="巻足し",J514="巻返しリード付け"),"",IF(J514="巻返し",VLOOKUP(F514&amp;K514&amp;M514,製品マスタ!$M$5:$AD$4999,18,FALSE),IF(OR(J514="リード付け",J514="巻返しリード付け"),"原反コア",IF(J514="スリット",VLOOKUP(F514&amp;K514&amp;R514,製品マスタ!$N$5:$AD$4999,17,FALSE),""))))))</f>
        <v/>
      </c>
      <c r="X514" s="256" t="str">
        <f>IF(D514="","",IF(T514="","",IF(J514="巻足し","",IF(J514="巻返し",VLOOKUP(F514&amp;K514&amp;M514,製品マスタ!$M$5:$AE$4999,19,FALSE),IF(OR(J514="リード付け",J514="巻返しリード付け"),"",IF(J514="スリット",VLOOKUP(F514&amp;K514&amp;R514,製品マスタ!$N$5:$AE$4999,18,FALSE),""))))))</f>
        <v/>
      </c>
      <c r="Y514" s="256" t="str">
        <f>IF(D514="","",IF(T514="","",VLOOKUP(D514,契約台帳!$A$3:$Q$4986,17,FALSE)))</f>
        <v/>
      </c>
      <c r="Z514" s="256" t="str">
        <f>IF(D514="","",IF(T514="","",VLOOKUP(D514,契約台帳!$A$3:$E$4986,5,FALSE)))</f>
        <v/>
      </c>
      <c r="AA514" s="54"/>
      <c r="AB514" s="200" t="str">
        <f>IFERROR((VLOOKUP(F514&amp;K514&amp;M514,製品マスタ!$M$5:$AM$4999,27,FALSE)),"")</f>
        <v/>
      </c>
      <c r="AC514" s="31"/>
      <c r="AD514" s="184"/>
      <c r="AE514" s="51"/>
      <c r="AF514" s="52"/>
      <c r="AG514" s="41"/>
      <c r="AH514" s="45"/>
      <c r="AI514" s="28"/>
      <c r="AJ514" s="28"/>
      <c r="AK514" s="28"/>
      <c r="AL514" s="28"/>
      <c r="AM514" s="12"/>
      <c r="AN514" s="12"/>
      <c r="AO514" s="12"/>
      <c r="AP514" s="12"/>
      <c r="AQ514" s="12"/>
      <c r="AR514" s="13"/>
      <c r="AS514" s="14"/>
    </row>
    <row r="515" spans="1:45" s="16" customFormat="1" ht="30.95" hidden="1" customHeight="1" x14ac:dyDescent="0.2">
      <c r="A515" s="35"/>
      <c r="B515" s="36"/>
      <c r="C515" s="43"/>
      <c r="D515" s="29">
        <v>3708726</v>
      </c>
      <c r="E515" s="29">
        <v>4161908</v>
      </c>
      <c r="F515" s="255" t="str">
        <f>IF(D515="","",VLOOKUP(D515,契約台帳!$A$3:$K$4986,6,FALSE)&amp;VLOOKUP(D515,契約台帳!$A$3:$K$4986,7,FALSE)&amp;VLOOKUP(D515,契約台帳!$A$3:$K$4986,8,FALSE)&amp;VLOOKUP(D515,契約台帳!$A$3:$K$4986,9,FALSE)&amp;VLOOKUP(D515,契約台帳!$A$3:$K$4986,11,FALSE))</f>
        <v>3SNMLBMTSF</v>
      </c>
      <c r="G515" s="256" t="str">
        <f>IF(D515="","",VLOOKUP(F515,製品マスタ!$G$5:$H$4999,2,FALSE))</f>
        <v>S</v>
      </c>
      <c r="H515" s="256" t="str">
        <f>IF(D515="","",VLOOKUP(F515,製品マスタ!$G$5:$K$4999,5,FALSE))</f>
        <v>MTSF</v>
      </c>
      <c r="I515" s="200" t="str">
        <f>IF(D515="","",VLOOKUP(F515,製品マスタ!$G$5:$L$4999,6,FALSE))</f>
        <v>メタルミー　ＴＳ</v>
      </c>
      <c r="J515" s="203" t="s">
        <v>935</v>
      </c>
      <c r="K515" s="200">
        <f>IF(D515="","",VLOOKUP(D515,契約台帳!$A$3:$L$4986,12,FALSE))</f>
        <v>50</v>
      </c>
      <c r="L515" s="200" t="str">
        <f>IF(D515="","",INDEX(製品マスタ!$Q$5:$Q$4999,MATCH('S4'!F515&amp;'S4'!K515,製品マスタ!$AO$5:$AO$4999,0)))</f>
        <v>T62M</v>
      </c>
      <c r="M515" s="37">
        <v>1255</v>
      </c>
      <c r="N515" s="37">
        <v>6100</v>
      </c>
      <c r="O515" s="153">
        <v>1</v>
      </c>
      <c r="P515" s="45">
        <v>2</v>
      </c>
      <c r="Q515" s="206">
        <v>45043</v>
      </c>
      <c r="R515" s="257">
        <f ca="1">IF(D515="","",IF(OFFSET(D515,-1,0)&lt;&gt;"","",IF(OR(J515="リード付け",J515="巻足し",J515="巻返しリード付け"),M515,VLOOKUP(D515,契約台帳!$A$3:$N$4986,14,FALSE))))</f>
        <v>1255</v>
      </c>
      <c r="S515" s="258">
        <f ca="1">IF(D515="","",IF(OFFSET(D515,-1,0)&lt;&gt;"","",IF(OR(J515="リード付け",J515="巻足し",J515="巻返しリード付け"),M515,VLOOKUP(D515,契約台帳!$A$3:$O$4986,15,FALSE))))</f>
        <v>1255</v>
      </c>
      <c r="T515" s="258">
        <f ca="1">IF(D515="","",IF(J515="リード付け",N515,IF(J515="巻返しリード付け",N515,IF(J515="巻足し",N515*P515+OFFSET(N515,1,0)*OFFSET(P515,1,0),VLOOKUP(D515,契約台帳!$A$3:$P$4986,16,FALSE)))))</f>
        <v>12200</v>
      </c>
      <c r="U515" s="38">
        <v>1</v>
      </c>
      <c r="V515" s="259">
        <f ca="1">IF(D515="","",IF(OFFSET(D515,-2,0)=D515,"",VLOOKUP(D515,契約台帳!$A$3:$R$4986,18,FALSE)))</f>
        <v>3</v>
      </c>
      <c r="W515" s="256" t="str">
        <f ca="1">IF(D515="","",IF(T515="","",IF(OR(J515="巻足し",J515="巻返しリード付け"),"",IF(J515="巻返し",VLOOKUP(F515&amp;K515&amp;M515,製品マスタ!$M$5:$AD$4999,18,FALSE),IF(OR(J515="リード付け",J515="巻返しリード付け"),"原反コア",IF(J515="スリット",VLOOKUP(F515&amp;K515&amp;R515,製品マスタ!$N$5:$AD$4999,17,FALSE),""))))))</f>
        <v/>
      </c>
      <c r="X515" s="256" t="str">
        <f ca="1">IF(D515="","",IF(T515="","",IF(J515="巻足し","",IF(J515="巻返し",VLOOKUP(F515&amp;K515&amp;M515,製品マスタ!$M$5:$AE$4999,19,FALSE),IF(OR(J515="リード付け",J515="巻返しリード付け"),"",IF(J515="スリット",VLOOKUP(F515&amp;K515&amp;R515,製品マスタ!$N$5:$AE$4999,18,FALSE),""))))))</f>
        <v/>
      </c>
      <c r="Y515" s="256">
        <f ca="1">IF(D515="","",IF(T515="","",VLOOKUP(D515,契約台帳!$A$3:$Q$4986,17,FALSE)))</f>
        <v>2</v>
      </c>
      <c r="Z515" s="256" t="str">
        <f ca="1">IF(D515="","",IF(T515="","",VLOOKUP(D515,契約台帳!$A$3:$E$4986,5,FALSE)))</f>
        <v>日東電工㈱豊橋工場</v>
      </c>
      <c r="AA515" s="54"/>
      <c r="AB515" s="200">
        <f>IFERROR((VLOOKUP(F515&amp;K515&amp;M515,製品マスタ!$M$5:$AM$4999,27,FALSE)),"")</f>
        <v>0</v>
      </c>
      <c r="AC515" s="31"/>
      <c r="AD515" s="184"/>
      <c r="AE515" s="51"/>
      <c r="AF515" s="52"/>
      <c r="AG515" s="41"/>
      <c r="AH515" s="45"/>
      <c r="AI515" s="28"/>
      <c r="AJ515" s="28"/>
      <c r="AK515" s="28"/>
      <c r="AL515" s="28"/>
      <c r="AM515" s="12"/>
      <c r="AN515" s="12"/>
      <c r="AO515" s="12"/>
      <c r="AP515" s="12"/>
      <c r="AQ515" s="12"/>
      <c r="AR515" s="13"/>
      <c r="AS515" s="14"/>
    </row>
    <row r="516" spans="1:45" s="16" customFormat="1" ht="30.95" hidden="1" customHeight="1" x14ac:dyDescent="0.2">
      <c r="A516" s="35"/>
      <c r="B516" s="36"/>
      <c r="C516" s="43"/>
      <c r="D516" s="29">
        <v>3709496</v>
      </c>
      <c r="E516" s="29"/>
      <c r="F516" s="255" t="str">
        <f>IF(D516="","",VLOOKUP(D516,契約台帳!$A$3:$K$4986,6,FALSE)&amp;VLOOKUP(D516,契約台帳!$A$3:$K$4986,7,FALSE)&amp;VLOOKUP(D516,契約台帳!$A$3:$K$4986,8,FALSE)&amp;VLOOKUP(D516,契約台帳!$A$3:$K$4986,9,FALSE)&amp;VLOOKUP(D516,契約台帳!$A$3:$K$4986,11,FALSE))</f>
        <v>3TNMLBMTSF</v>
      </c>
      <c r="G516" s="256" t="str">
        <f>IF(D516="","",VLOOKUP(F516,製品マスタ!$G$5:$H$4999,2,FALSE))</f>
        <v>T</v>
      </c>
      <c r="H516" s="256" t="str">
        <f>IF(D516="","",VLOOKUP(F516,製品マスタ!$G$5:$K$4999,5,FALSE))</f>
        <v>MTSF</v>
      </c>
      <c r="I516" s="200" t="str">
        <f>IF(D516="","",VLOOKUP(F516,製品マスタ!$G$5:$L$4999,6,FALSE))</f>
        <v>メタルミー　ＴＳ</v>
      </c>
      <c r="J516" s="203" t="s">
        <v>935</v>
      </c>
      <c r="K516" s="200">
        <f>IF(D516="","",VLOOKUP(D516,契約台帳!$A$3:$L$4986,12,FALSE))</f>
        <v>50</v>
      </c>
      <c r="L516" s="200" t="str">
        <f>IF(D516="","",INDEX(製品マスタ!$Q$5:$Q$4999,MATCH('S4'!F516&amp;'S4'!K516,製品マスタ!$AO$5:$AO$4999,0)))</f>
        <v>T62M</v>
      </c>
      <c r="M516" s="37">
        <v>1255</v>
      </c>
      <c r="N516" s="37">
        <v>6100</v>
      </c>
      <c r="O516" s="153">
        <v>1</v>
      </c>
      <c r="P516" s="45"/>
      <c r="Q516" s="206">
        <v>45043</v>
      </c>
      <c r="R516" s="257" t="str">
        <f ca="1">IF(D516="","",IF(OFFSET(D516,-1,0)&lt;&gt;"","",IF(OR(J516="リード付け",J516="巻足し",J516="巻返しリード付け"),M516,VLOOKUP(D516,契約台帳!$A$3:$N$4986,14,FALSE))))</f>
        <v/>
      </c>
      <c r="S516" s="258" t="str">
        <f ca="1">IF(D516="","",IF(OFFSET(D516,-1,0)&lt;&gt;"","",IF(OR(J516="リード付け",J516="巻足し",J516="巻返しリード付け"),M516,VLOOKUP(D516,契約台帳!$A$3:$O$4986,15,FALSE))))</f>
        <v/>
      </c>
      <c r="T516" s="258"/>
      <c r="U516" s="38">
        <v>1</v>
      </c>
      <c r="V516" s="259">
        <f ca="1">IF(D516="","",IF(OFFSET(D516,-2,0)=D516,"",VLOOKUP(D516,契約台帳!$A$3:$R$4986,18,FALSE)))</f>
        <v>2</v>
      </c>
      <c r="W516" s="256" t="str">
        <f>IF(D516="","",IF(T516="","",IF(OR(J516="巻足し",J516="巻返しリード付け"),"",IF(J516="巻返し",VLOOKUP(F516&amp;K516&amp;M516,製品マスタ!$M$5:$AD$4999,18,FALSE),IF(OR(J516="リード付け",J516="巻返しリード付け"),"原反コア",IF(J516="スリット",VLOOKUP(F516&amp;K516&amp;R516,製品マスタ!$N$5:$AD$4999,17,FALSE),""))))))</f>
        <v/>
      </c>
      <c r="X516" s="256" t="str">
        <f>IF(D516="","",IF(T516="","",IF(J516="巻足し","",IF(J516="巻返し",VLOOKUP(F516&amp;K516&amp;M516,製品マスタ!$M$5:$AE$4999,19,FALSE),IF(OR(J516="リード付け",J516="巻返しリード付け"),"",IF(J516="スリット",VLOOKUP(F516&amp;K516&amp;R516,製品マスタ!$N$5:$AE$4999,18,FALSE),""))))))</f>
        <v/>
      </c>
      <c r="Y516" s="256" t="str">
        <f>IF(D516="","",IF(T516="","",VLOOKUP(D516,契約台帳!$A$3:$Q$4986,17,FALSE)))</f>
        <v/>
      </c>
      <c r="Z516" s="256" t="str">
        <f>IF(D516="","",IF(T516="","",VLOOKUP(D516,契約台帳!$A$3:$E$4986,5,FALSE)))</f>
        <v/>
      </c>
      <c r="AA516" s="54"/>
      <c r="AB516" s="200">
        <f>IFERROR((VLOOKUP(F516&amp;K516&amp;M516,製品マスタ!$M$5:$AM$4999,27,FALSE)),"")</f>
        <v>0</v>
      </c>
      <c r="AC516" s="31"/>
      <c r="AD516" s="184"/>
      <c r="AE516" s="51"/>
      <c r="AF516" s="52"/>
      <c r="AG516" s="41"/>
      <c r="AH516" s="45"/>
      <c r="AI516" s="28"/>
      <c r="AJ516" s="28"/>
      <c r="AK516" s="28"/>
      <c r="AL516" s="28"/>
      <c r="AM516" s="12"/>
      <c r="AN516" s="12"/>
      <c r="AO516" s="12"/>
      <c r="AP516" s="12"/>
      <c r="AQ516" s="12"/>
      <c r="AR516" s="13"/>
      <c r="AS516" s="14"/>
    </row>
    <row r="517" spans="1:45" s="16" customFormat="1" ht="30.95" hidden="1" customHeight="1" x14ac:dyDescent="0.2">
      <c r="A517" s="35"/>
      <c r="B517" s="36"/>
      <c r="C517" s="43"/>
      <c r="D517" s="29"/>
      <c r="E517" s="29"/>
      <c r="F517" s="255" t="str">
        <f>IF(D517="","",VLOOKUP(D517,契約台帳!$A$3:$K$4986,6,FALSE)&amp;VLOOKUP(D517,契約台帳!$A$3:$K$4986,7,FALSE)&amp;VLOOKUP(D517,契約台帳!$A$3:$K$4986,8,FALSE)&amp;VLOOKUP(D517,契約台帳!$A$3:$K$4986,9,FALSE)&amp;VLOOKUP(D517,契約台帳!$A$3:$K$4986,11,FALSE))</f>
        <v/>
      </c>
      <c r="G517" s="256" t="str">
        <f>IF(D517="","",VLOOKUP(F517,製品マスタ!$G$5:$H$4999,2,FALSE))</f>
        <v/>
      </c>
      <c r="H517" s="256" t="str">
        <f>IF(D517="","",VLOOKUP(F517,製品マスタ!$G$5:$K$4999,5,FALSE))</f>
        <v/>
      </c>
      <c r="I517" s="200" t="str">
        <f>IF(D517="","",VLOOKUP(F517,製品マスタ!$G$5:$L$4999,6,FALSE))</f>
        <v/>
      </c>
      <c r="J517" s="203"/>
      <c r="K517" s="200" t="str">
        <f>IF(D517="","",VLOOKUP(D517,契約台帳!$A$3:$L$4986,12,FALSE))</f>
        <v/>
      </c>
      <c r="L517" s="200" t="str">
        <f>IF(D517="","",INDEX(製品マスタ!$Q$5:$Q$4999,MATCH('S4'!F517&amp;'S4'!K517,製品マスタ!$AO$5:$AO$4999,0)))</f>
        <v/>
      </c>
      <c r="M517" s="37"/>
      <c r="N517" s="37"/>
      <c r="O517" s="153"/>
      <c r="P517" s="45"/>
      <c r="Q517" s="54"/>
      <c r="R517" s="257" t="str">
        <f ca="1">IF(D517="","",IF(OFFSET(D517,-1,0)&lt;&gt;"","",IF(OR(J517="リード付け",J517="巻足し",J517="巻返しリード付け"),M517,VLOOKUP(D517,契約台帳!$A$3:$N$4986,14,FALSE))))</f>
        <v/>
      </c>
      <c r="S517" s="258" t="str">
        <f ca="1">IF(D517="","",IF(OFFSET(D517,-1,0)&lt;&gt;"","",IF(OR(J517="リード付け",J517="巻足し",J517="巻返しリード付け"),M517,VLOOKUP(D517,契約台帳!$A$3:$O$4986,15,FALSE))))</f>
        <v/>
      </c>
      <c r="T517" s="258" t="str">
        <f ca="1">IF(D517="","",IF(J517="リード付け",N517,IF(J517="巻返しリード付け",N517,IF(J517="巻足し",N517*P517+OFFSET(N517,1,0)*OFFSET(P517,1,0),VLOOKUP(D517,契約台帳!$A$3:$P$4986,16,FALSE)))))</f>
        <v/>
      </c>
      <c r="U517" s="38"/>
      <c r="V517" s="259" t="str">
        <f ca="1">IF(D517="","",IF(OFFSET(D517,-2,0)=D517,"",VLOOKUP(D517,契約台帳!$A$3:$R$4986,18,FALSE)))</f>
        <v/>
      </c>
      <c r="W517" s="256" t="str">
        <f>IF(D517="","",IF(T517="","",IF(OR(J517="巻足し",J517="巻返しリード付け"),"",IF(J517="巻返し",VLOOKUP(F517&amp;K517&amp;M517,製品マスタ!$M$5:$AD$4999,18,FALSE),IF(OR(J517="リード付け",J517="巻返しリード付け"),"原反コア",IF(J517="スリット",VLOOKUP(F517&amp;K517&amp;R517,製品マスタ!$N$5:$AD$4999,17,FALSE),""))))))</f>
        <v/>
      </c>
      <c r="X517" s="256" t="str">
        <f>IF(D517="","",IF(T517="","",IF(J517="巻足し","",IF(J517="巻返し",VLOOKUP(F517&amp;K517&amp;M517,製品マスタ!$M$5:$AE$4999,19,FALSE),IF(OR(J517="リード付け",J517="巻返しリード付け"),"",IF(J517="スリット",VLOOKUP(F517&amp;K517&amp;R517,製品マスタ!$N$5:$AE$4999,18,FALSE),""))))))</f>
        <v/>
      </c>
      <c r="Y517" s="256" t="str">
        <f>IF(D517="","",IF(T517="","",VLOOKUP(D517,契約台帳!$A$3:$Q$4986,17,FALSE)))</f>
        <v/>
      </c>
      <c r="Z517" s="256" t="str">
        <f>IF(D517="","",IF(T517="","",VLOOKUP(D517,契約台帳!$A$3:$E$4986,5,FALSE)))</f>
        <v/>
      </c>
      <c r="AA517" s="54"/>
      <c r="AB517" s="200" t="str">
        <f>IFERROR((VLOOKUP(F517&amp;K517&amp;M517,製品マスタ!$M$5:$AM$4999,27,FALSE)),"")</f>
        <v/>
      </c>
      <c r="AC517" s="31"/>
      <c r="AD517" s="184"/>
      <c r="AE517" s="51"/>
      <c r="AF517" s="52"/>
      <c r="AG517" s="41"/>
      <c r="AH517" s="45"/>
      <c r="AI517" s="28"/>
      <c r="AJ517" s="28"/>
      <c r="AK517" s="28"/>
      <c r="AL517" s="28"/>
      <c r="AM517" s="12"/>
      <c r="AN517" s="12"/>
      <c r="AO517" s="12"/>
      <c r="AP517" s="12"/>
      <c r="AQ517" s="12"/>
      <c r="AR517" s="13"/>
      <c r="AS517" s="14"/>
    </row>
    <row r="518" spans="1:45" s="16" customFormat="1" ht="30.95" hidden="1" customHeight="1" x14ac:dyDescent="0.2">
      <c r="A518" s="35" t="s">
        <v>1104</v>
      </c>
      <c r="B518" s="36" t="s">
        <v>1105</v>
      </c>
      <c r="C518" s="43"/>
      <c r="D518" s="29"/>
      <c r="E518" s="29"/>
      <c r="F518" s="255" t="str">
        <f>IF(D518="","",VLOOKUP(D518,契約台帳!$A$3:$K$4986,6,FALSE)&amp;VLOOKUP(D518,契約台帳!$A$3:$K$4986,7,FALSE)&amp;VLOOKUP(D518,契約台帳!$A$3:$K$4986,8,FALSE)&amp;VLOOKUP(D518,契約台帳!$A$3:$K$4986,9,FALSE)&amp;VLOOKUP(D518,契約台帳!$A$3:$K$4986,11,FALSE))</f>
        <v/>
      </c>
      <c r="G518" s="256" t="str">
        <f>IF(D518="","",VLOOKUP(F518,製品マスタ!$G$5:$H$4999,2,FALSE))</f>
        <v/>
      </c>
      <c r="H518" s="256" t="str">
        <f>IF(D518="","",VLOOKUP(F518,製品マスタ!$G$5:$K$4999,5,FALSE))</f>
        <v/>
      </c>
      <c r="I518" s="200" t="str">
        <f>IF(D518="","",VLOOKUP(F518,製品マスタ!$G$5:$L$4999,6,FALSE))</f>
        <v/>
      </c>
      <c r="J518" s="203" t="s">
        <v>448</v>
      </c>
      <c r="K518" s="200" t="str">
        <f>IF(D518="","",VLOOKUP(D518,契約台帳!$A$3:$L$4986,12,FALSE))</f>
        <v/>
      </c>
      <c r="L518" s="200" t="str">
        <f>IF(D518="","",INDEX(製品マスタ!$Q$5:$Q$4999,MATCH('S4'!F518&amp;'S4'!K518,製品マスタ!$AO$5:$AO$4999,0)))</f>
        <v/>
      </c>
      <c r="M518" s="37"/>
      <c r="N518" s="37"/>
      <c r="O518" s="153"/>
      <c r="P518" s="45"/>
      <c r="Q518" s="54"/>
      <c r="R518" s="257" t="str">
        <f ca="1">IF(D518="","",IF(OFFSET(D518,-1,0)&lt;&gt;"","",IF(OR(J518="リード付け",J518="巻足し",J518="巻返しリード付け"),M518,VLOOKUP(D518,契約台帳!$A$3:$N$4986,14,FALSE))))</f>
        <v/>
      </c>
      <c r="S518" s="258" t="str">
        <f ca="1">IF(D518="","",IF(OFFSET(D518,-1,0)&lt;&gt;"","",IF(OR(J518="リード付け",J518="巻足し",J518="巻返しリード付け"),M518,VLOOKUP(D518,契約台帳!$A$3:$O$4986,15,FALSE))))</f>
        <v/>
      </c>
      <c r="T518" s="258" t="str">
        <f ca="1">IF(D518="","",IF(J518="リード付け",N518,IF(J518="巻返しリード付け",N518,IF(J518="巻足し",N518*P518+OFFSET(N518,1,0)*OFFSET(P518,1,0),VLOOKUP(D518,契約台帳!$A$3:$P$4986,16,FALSE)))))</f>
        <v/>
      </c>
      <c r="U518" s="38"/>
      <c r="V518" s="259" t="str">
        <f ca="1">IF(D518="","",IF(OFFSET(D518,-2,0)=D518,"",VLOOKUP(D518,契約台帳!$A$3:$R$4986,18,FALSE)))</f>
        <v/>
      </c>
      <c r="W518" s="256" t="str">
        <f>IF(D518="","",IF(T518="","",IF(OR(J518="巻足し",J518="巻返しリード付け"),"",IF(J518="巻返し",VLOOKUP(F518&amp;K518&amp;M518,製品マスタ!$M$5:$AD$4999,18,FALSE),IF(OR(J518="リード付け",J518="巻返しリード付け"),"原反コア",IF(J518="スリット",VLOOKUP(F518&amp;K518&amp;R518,製品マスタ!$N$5:$AD$4999,17,FALSE),""))))))</f>
        <v/>
      </c>
      <c r="X518" s="256" t="str">
        <f>IF(D518="","",IF(T518="","",IF(J518="巻足し","",IF(J518="巻返し",VLOOKUP(F518&amp;K518&amp;M518,製品マスタ!$M$5:$AE$4999,19,FALSE),IF(OR(J518="リード付け",J518="巻返しリード付け"),"",IF(J518="スリット",VLOOKUP(F518&amp;K518&amp;R518,製品マスタ!$N$5:$AE$4999,18,FALSE),""))))))</f>
        <v/>
      </c>
      <c r="Y518" s="256" t="str">
        <f>IF(D518="","",IF(T518="","",VLOOKUP(D518,契約台帳!$A$3:$Q$4986,17,FALSE)))</f>
        <v/>
      </c>
      <c r="Z518" s="256" t="str">
        <f>IF(D518="","",IF(T518="","",VLOOKUP(D518,契約台帳!$A$3:$E$4986,5,FALSE)))</f>
        <v/>
      </c>
      <c r="AA518" s="54"/>
      <c r="AB518" s="200" t="str">
        <f>IFERROR((VLOOKUP(F518&amp;K518&amp;M518,製品マスタ!$M$5:$AM$4999,27,FALSE)),"")</f>
        <v/>
      </c>
      <c r="AC518" s="31"/>
      <c r="AD518" s="184"/>
      <c r="AE518" s="51"/>
      <c r="AF518" s="52"/>
      <c r="AG518" s="41"/>
      <c r="AH518" s="45"/>
      <c r="AI518" s="28"/>
      <c r="AJ518" s="28"/>
      <c r="AK518" s="28"/>
      <c r="AL518" s="28"/>
      <c r="AM518" s="12"/>
      <c r="AN518" s="12"/>
      <c r="AO518" s="12"/>
      <c r="AP518" s="12"/>
      <c r="AQ518" s="12"/>
      <c r="AR518" s="13"/>
      <c r="AS518" s="14"/>
    </row>
    <row r="519" spans="1:45" s="16" customFormat="1" ht="30.95" hidden="1" customHeight="1" x14ac:dyDescent="0.2">
      <c r="A519" s="35"/>
      <c r="B519" s="36"/>
      <c r="C519" s="43"/>
      <c r="D519" s="29"/>
      <c r="E519" s="29"/>
      <c r="F519" s="255" t="str">
        <f>IF(D519="","",VLOOKUP(D519,契約台帳!$A$3:$K$4986,6,FALSE)&amp;VLOOKUP(D519,契約台帳!$A$3:$K$4986,7,FALSE)&amp;VLOOKUP(D519,契約台帳!$A$3:$K$4986,8,FALSE)&amp;VLOOKUP(D519,契約台帳!$A$3:$K$4986,9,FALSE)&amp;VLOOKUP(D519,契約台帳!$A$3:$K$4986,11,FALSE))</f>
        <v/>
      </c>
      <c r="G519" s="256" t="str">
        <f>IF(D519="","",VLOOKUP(F519,製品マスタ!$G$5:$H$4999,2,FALSE))</f>
        <v/>
      </c>
      <c r="H519" s="256" t="str">
        <f>IF(D519="","",VLOOKUP(F519,製品マスタ!$G$5:$K$4999,5,FALSE))</f>
        <v/>
      </c>
      <c r="I519" s="200" t="str">
        <f>IF(D519="","",VLOOKUP(F519,製品マスタ!$G$5:$L$4999,6,FALSE))</f>
        <v/>
      </c>
      <c r="J519" s="203"/>
      <c r="K519" s="200" t="str">
        <f>IF(D519="","",VLOOKUP(D519,契約台帳!$A$3:$L$4986,12,FALSE))</f>
        <v/>
      </c>
      <c r="L519" s="200" t="str">
        <f>IF(D519="","",INDEX(製品マスタ!$Q$5:$Q$4999,MATCH('S4'!F519&amp;'S4'!K519,製品マスタ!$AO$5:$AO$4999,0)))</f>
        <v/>
      </c>
      <c r="M519" s="37"/>
      <c r="N519" s="37"/>
      <c r="O519" s="153"/>
      <c r="P519" s="45"/>
      <c r="Q519" s="54"/>
      <c r="R519" s="257" t="str">
        <f ca="1">IF(D519="","",IF(OFFSET(D519,-1,0)&lt;&gt;"","",IF(OR(J519="リード付け",J519="巻足し",J519="巻返しリード付け"),M519,VLOOKUP(D519,契約台帳!$A$3:$N$4986,14,FALSE))))</f>
        <v/>
      </c>
      <c r="S519" s="258" t="str">
        <f ca="1">IF(D519="","",IF(OFFSET(D519,-1,0)&lt;&gt;"","",IF(OR(J519="リード付け",J519="巻足し",J519="巻返しリード付け"),M519,VLOOKUP(D519,契約台帳!$A$3:$O$4986,15,FALSE))))</f>
        <v/>
      </c>
      <c r="T519" s="258" t="str">
        <f ca="1">IF(D519="","",IF(J519="リード付け",N519,IF(J519="巻返しリード付け",N519,IF(J519="巻足し",N519*P519+OFFSET(N519,1,0)*OFFSET(P519,1,0),VLOOKUP(D519,契約台帳!$A$3:$P$4986,16,FALSE)))))</f>
        <v/>
      </c>
      <c r="U519" s="38"/>
      <c r="V519" s="259" t="str">
        <f ca="1">IF(D519="","",IF(OFFSET(D519,-2,0)=D519,"",VLOOKUP(D519,契約台帳!$A$3:$R$4986,18,FALSE)))</f>
        <v/>
      </c>
      <c r="W519" s="256" t="str">
        <f>IF(D519="","",IF(T519="","",IF(OR(J519="巻足し",J519="巻返しリード付け"),"",IF(J519="巻返し",VLOOKUP(F519&amp;K519&amp;M519,製品マスタ!$M$5:$AD$4999,18,FALSE),IF(OR(J519="リード付け",J519="巻返しリード付け"),"原反コア",IF(J519="スリット",VLOOKUP(F519&amp;K519&amp;R519,製品マスタ!$N$5:$AD$4999,17,FALSE),""))))))</f>
        <v/>
      </c>
      <c r="X519" s="256" t="str">
        <f>IF(D519="","",IF(T519="","",IF(J519="巻足し","",IF(J519="巻返し",VLOOKUP(F519&amp;K519&amp;M519,製品マスタ!$M$5:$AE$4999,19,FALSE),IF(OR(J519="リード付け",J519="巻返しリード付け"),"",IF(J519="スリット",VLOOKUP(F519&amp;K519&amp;R519,製品マスタ!$N$5:$AE$4999,18,FALSE),""))))))</f>
        <v/>
      </c>
      <c r="Y519" s="256" t="str">
        <f>IF(D519="","",IF(T519="","",VLOOKUP(D519,契約台帳!$A$3:$Q$4986,17,FALSE)))</f>
        <v/>
      </c>
      <c r="Z519" s="256" t="str">
        <f>IF(D519="","",IF(T519="","",VLOOKUP(D519,契約台帳!$A$3:$E$4986,5,FALSE)))</f>
        <v/>
      </c>
      <c r="AA519" s="54"/>
      <c r="AB519" s="200" t="str">
        <f>IFERROR((VLOOKUP(F519&amp;K519&amp;M519,製品マスタ!$M$5:$AM$4999,27,FALSE)),"")</f>
        <v/>
      </c>
      <c r="AC519" s="31"/>
      <c r="AD519" s="184"/>
      <c r="AE519" s="51"/>
      <c r="AF519" s="52"/>
      <c r="AG519" s="41"/>
      <c r="AH519" s="45"/>
      <c r="AI519" s="28"/>
      <c r="AJ519" s="28"/>
      <c r="AK519" s="28"/>
      <c r="AL519" s="28"/>
      <c r="AM519" s="12"/>
      <c r="AN519" s="12"/>
      <c r="AO519" s="12"/>
      <c r="AP519" s="12"/>
      <c r="AQ519" s="12"/>
      <c r="AR519" s="13"/>
      <c r="AS519" s="14"/>
    </row>
    <row r="520" spans="1:45" s="16" customFormat="1" ht="30.95" hidden="1" customHeight="1" x14ac:dyDescent="0.2">
      <c r="A520" s="35" t="s">
        <v>1106</v>
      </c>
      <c r="B520" s="36" t="s">
        <v>1107</v>
      </c>
      <c r="C520" s="43"/>
      <c r="D520" s="29"/>
      <c r="E520" s="29"/>
      <c r="F520" s="255" t="str">
        <f>IF(D520="","",VLOOKUP(D520,契約台帳!$A$3:$K$4986,6,FALSE)&amp;VLOOKUP(D520,契約台帳!$A$3:$K$4986,7,FALSE)&amp;VLOOKUP(D520,契約台帳!$A$3:$K$4986,8,FALSE)&amp;VLOOKUP(D520,契約台帳!$A$3:$K$4986,9,FALSE)&amp;VLOOKUP(D520,契約台帳!$A$3:$K$4986,11,FALSE))</f>
        <v/>
      </c>
      <c r="G520" s="256" t="str">
        <f>IF(D520="","",VLOOKUP(F520,製品マスタ!$G$5:$H$4999,2,FALSE))</f>
        <v/>
      </c>
      <c r="H520" s="256" t="str">
        <f>IF(D520="","",VLOOKUP(F520,製品マスタ!$G$5:$K$4999,5,FALSE))</f>
        <v/>
      </c>
      <c r="I520" s="200" t="str">
        <f>IF(D520="","",VLOOKUP(F520,製品マスタ!$G$5:$L$4999,6,FALSE))</f>
        <v/>
      </c>
      <c r="J520" s="203" t="s">
        <v>448</v>
      </c>
      <c r="K520" s="200" t="str">
        <f>IF(D520="","",VLOOKUP(D520,契約台帳!$A$3:$L$4986,12,FALSE))</f>
        <v/>
      </c>
      <c r="L520" s="200" t="str">
        <f>IF(D520="","",INDEX(製品マスタ!$Q$5:$Q$4999,MATCH('S4'!F520&amp;'S4'!K520,製品マスタ!$AO$5:$AO$4999,0)))</f>
        <v/>
      </c>
      <c r="M520" s="37"/>
      <c r="N520" s="37"/>
      <c r="O520" s="153"/>
      <c r="P520" s="45"/>
      <c r="Q520" s="54"/>
      <c r="R520" s="257" t="str">
        <f ca="1">IF(D520="","",IF(OFFSET(D520,-1,0)&lt;&gt;"","",IF(OR(J520="リード付け",J520="巻足し",J520="巻返しリード付け"),M520,VLOOKUP(D520,契約台帳!$A$3:$N$4986,14,FALSE))))</f>
        <v/>
      </c>
      <c r="S520" s="258" t="str">
        <f ca="1">IF(D520="","",IF(OFFSET(D520,-1,0)&lt;&gt;"","",IF(OR(J520="リード付け",J520="巻足し",J520="巻返しリード付け"),M520,VLOOKUP(D520,契約台帳!$A$3:$O$4986,15,FALSE))))</f>
        <v/>
      </c>
      <c r="T520" s="258" t="str">
        <f ca="1">IF(D520="","",IF(J520="リード付け",N520,IF(J520="巻返しリード付け",N520,IF(J520="巻足し",N520*P520+OFFSET(N520,1,0)*OFFSET(P520,1,0),VLOOKUP(D520,契約台帳!$A$3:$P$4986,16,FALSE)))))</f>
        <v/>
      </c>
      <c r="U520" s="38"/>
      <c r="V520" s="259" t="str">
        <f ca="1">IF(D520="","",IF(OFFSET(D520,-2,0)=D520,"",VLOOKUP(D520,契約台帳!$A$3:$R$4986,18,FALSE)))</f>
        <v/>
      </c>
      <c r="W520" s="256" t="str">
        <f>IF(D520="","",IF(T520="","",IF(OR(J520="巻足し",J520="巻返しリード付け"),"",IF(J520="巻返し",VLOOKUP(F520&amp;K520&amp;M520,製品マスタ!$M$5:$AD$4999,18,FALSE),IF(OR(J520="リード付け",J520="巻返しリード付け"),"原反コア",IF(J520="スリット",VLOOKUP(F520&amp;K520&amp;R520,製品マスタ!$N$5:$AD$4999,17,FALSE),""))))))</f>
        <v/>
      </c>
      <c r="X520" s="256" t="str">
        <f>IF(D520="","",IF(T520="","",IF(J520="巻足し","",IF(J520="巻返し",VLOOKUP(F520&amp;K520&amp;M520,製品マスタ!$M$5:$AE$4999,19,FALSE),IF(OR(J520="リード付け",J520="巻返しリード付け"),"",IF(J520="スリット",VLOOKUP(F520&amp;K520&amp;R520,製品マスタ!$N$5:$AE$4999,18,FALSE),""))))))</f>
        <v/>
      </c>
      <c r="Y520" s="256" t="str">
        <f>IF(D520="","",IF(T520="","",VLOOKUP(D520,契約台帳!$A$3:$Q$4986,17,FALSE)))</f>
        <v/>
      </c>
      <c r="Z520" s="256" t="str">
        <f>IF(D520="","",IF(T520="","",VLOOKUP(D520,契約台帳!$A$3:$E$4986,5,FALSE)))</f>
        <v/>
      </c>
      <c r="AA520" s="54"/>
      <c r="AB520" s="200" t="str">
        <f>IFERROR((VLOOKUP(F520&amp;K520&amp;M520,製品マスタ!$M$5:$AM$4999,27,FALSE)),"")</f>
        <v/>
      </c>
      <c r="AC520" s="31"/>
      <c r="AD520" s="184"/>
      <c r="AE520" s="51"/>
      <c r="AF520" s="52"/>
      <c r="AG520" s="41"/>
      <c r="AH520" s="45"/>
      <c r="AI520" s="28"/>
      <c r="AJ520" s="28"/>
      <c r="AK520" s="28"/>
      <c r="AL520" s="28"/>
      <c r="AM520" s="12"/>
      <c r="AN520" s="12"/>
      <c r="AO520" s="12"/>
      <c r="AP520" s="12"/>
      <c r="AQ520" s="12"/>
      <c r="AR520" s="13"/>
      <c r="AS520" s="14"/>
    </row>
    <row r="521" spans="1:45" s="16" customFormat="1" ht="30.95" hidden="1" customHeight="1" x14ac:dyDescent="0.2">
      <c r="A521" s="35"/>
      <c r="B521" s="36"/>
      <c r="C521" s="43"/>
      <c r="D521" s="29"/>
      <c r="E521" s="29"/>
      <c r="F521" s="255" t="str">
        <f>IF(D521="","",VLOOKUP(D521,契約台帳!$A$3:$K$4986,6,FALSE)&amp;VLOOKUP(D521,契約台帳!$A$3:$K$4986,7,FALSE)&amp;VLOOKUP(D521,契約台帳!$A$3:$K$4986,8,FALSE)&amp;VLOOKUP(D521,契約台帳!$A$3:$K$4986,9,FALSE)&amp;VLOOKUP(D521,契約台帳!$A$3:$K$4986,11,FALSE))</f>
        <v/>
      </c>
      <c r="G521" s="256" t="str">
        <f>IF(D521="","",VLOOKUP(F521,製品マスタ!$G$5:$H$4999,2,FALSE))</f>
        <v/>
      </c>
      <c r="H521" s="256" t="str">
        <f>IF(D521="","",VLOOKUP(F521,製品マスタ!$G$5:$K$4999,5,FALSE))</f>
        <v/>
      </c>
      <c r="I521" s="200" t="str">
        <f>IF(D521="","",VLOOKUP(F521,製品マスタ!$G$5:$L$4999,6,FALSE))</f>
        <v/>
      </c>
      <c r="J521" s="203"/>
      <c r="K521" s="200" t="str">
        <f>IF(D521="","",VLOOKUP(D521,契約台帳!$A$3:$L$4986,12,FALSE))</f>
        <v/>
      </c>
      <c r="L521" s="200" t="str">
        <f>IF(D521="","",INDEX(製品マスタ!$Q$5:$Q$4999,MATCH('S4'!F521&amp;'S4'!K521,製品マスタ!$AO$5:$AO$4999,0)))</f>
        <v/>
      </c>
      <c r="M521" s="37"/>
      <c r="N521" s="37"/>
      <c r="O521" s="153"/>
      <c r="P521" s="45"/>
      <c r="Q521" s="54"/>
      <c r="R521" s="257" t="str">
        <f ca="1">IF(D521="","",IF(OFFSET(D521,-1,0)&lt;&gt;"","",IF(OR(J521="リード付け",J521="巻足し",J521="巻返しリード付け"),M521,VLOOKUP(D521,契約台帳!$A$3:$N$4986,14,FALSE))))</f>
        <v/>
      </c>
      <c r="S521" s="258" t="str">
        <f ca="1">IF(D521="","",IF(OFFSET(D521,-1,0)&lt;&gt;"","",IF(OR(J521="リード付け",J521="巻足し",J521="巻返しリード付け"),M521,VLOOKUP(D521,契約台帳!$A$3:$O$4986,15,FALSE))))</f>
        <v/>
      </c>
      <c r="T521" s="258" t="str">
        <f ca="1">IF(D521="","",IF(J521="リード付け",N521,IF(J521="巻返しリード付け",N521,IF(J521="巻足し",N521*P521+OFFSET(N521,1,0)*OFFSET(P521,1,0),VLOOKUP(D521,契約台帳!$A$3:$P$4986,16,FALSE)))))</f>
        <v/>
      </c>
      <c r="U521" s="38"/>
      <c r="V521" s="259" t="str">
        <f ca="1">IF(D521="","",IF(OFFSET(D521,-2,0)=D521,"",VLOOKUP(D521,契約台帳!$A$3:$R$4986,18,FALSE)))</f>
        <v/>
      </c>
      <c r="W521" s="256" t="str">
        <f>IF(D521="","",IF(T521="","",IF(OR(J521="巻足し",J521="巻返しリード付け"),"",IF(J521="巻返し",VLOOKUP(F521&amp;K521&amp;M521,製品マスタ!$M$5:$AD$4999,18,FALSE),IF(OR(J521="リード付け",J521="巻返しリード付け"),"原反コア",IF(J521="スリット",VLOOKUP(F521&amp;K521&amp;R521,製品マスタ!$N$5:$AD$4999,17,FALSE),""))))))</f>
        <v/>
      </c>
      <c r="X521" s="256" t="str">
        <f>IF(D521="","",IF(T521="","",IF(J521="巻足し","",IF(J521="巻返し",VLOOKUP(F521&amp;K521&amp;M521,製品マスタ!$M$5:$AE$4999,19,FALSE),IF(OR(J521="リード付け",J521="巻返しリード付け"),"",IF(J521="スリット",VLOOKUP(F521&amp;K521&amp;R521,製品マスタ!$N$5:$AE$4999,18,FALSE),""))))))</f>
        <v/>
      </c>
      <c r="Y521" s="256" t="str">
        <f>IF(D521="","",IF(T521="","",VLOOKUP(D521,契約台帳!$A$3:$Q$4986,17,FALSE)))</f>
        <v/>
      </c>
      <c r="Z521" s="256" t="str">
        <f>IF(D521="","",IF(T521="","",VLOOKUP(D521,契約台帳!$A$3:$E$4986,5,FALSE)))</f>
        <v/>
      </c>
      <c r="AA521" s="54"/>
      <c r="AB521" s="200" t="str">
        <f>IFERROR((VLOOKUP(F521&amp;K521&amp;M521,製品マスタ!$M$5:$AM$4999,27,FALSE)),"")</f>
        <v/>
      </c>
      <c r="AC521" s="31"/>
      <c r="AD521" s="184"/>
      <c r="AE521" s="51"/>
      <c r="AF521" s="52"/>
      <c r="AG521" s="41"/>
      <c r="AH521" s="45"/>
      <c r="AI521" s="28"/>
      <c r="AJ521" s="28"/>
      <c r="AK521" s="28"/>
      <c r="AL521" s="28"/>
      <c r="AM521" s="12"/>
      <c r="AN521" s="12"/>
      <c r="AO521" s="12"/>
      <c r="AP521" s="12"/>
      <c r="AQ521" s="12"/>
      <c r="AR521" s="13"/>
      <c r="AS521" s="14"/>
    </row>
    <row r="522" spans="1:45" s="16" customFormat="1" ht="30.95" hidden="1" customHeight="1" x14ac:dyDescent="0.2">
      <c r="A522" s="35" t="s">
        <v>1108</v>
      </c>
      <c r="B522" s="36" t="s">
        <v>462</v>
      </c>
      <c r="C522" s="43"/>
      <c r="D522" s="29"/>
      <c r="E522" s="29"/>
      <c r="F522" s="255"/>
      <c r="G522" s="256"/>
      <c r="H522" s="256"/>
      <c r="I522" s="200"/>
      <c r="J522" s="203" t="s">
        <v>1146</v>
      </c>
      <c r="K522" s="200"/>
      <c r="L522" s="200"/>
      <c r="M522" s="37"/>
      <c r="N522" s="37"/>
      <c r="O522" s="153"/>
      <c r="P522" s="45"/>
      <c r="Q522" s="54"/>
      <c r="R522" s="257"/>
      <c r="S522" s="258"/>
      <c r="T522" s="258"/>
      <c r="U522" s="38"/>
      <c r="V522" s="259"/>
      <c r="W522" s="256"/>
      <c r="X522" s="256"/>
      <c r="Y522" s="256"/>
      <c r="Z522" s="256"/>
      <c r="AA522" s="54"/>
      <c r="AB522" s="200" t="str">
        <f>IFERROR((VLOOKUP(F522&amp;K522&amp;M522,製品マスタ!$M$5:$AM$4999,27,FALSE)),"")</f>
        <v/>
      </c>
      <c r="AC522" s="31"/>
      <c r="AD522" s="184"/>
      <c r="AE522" s="51"/>
      <c r="AF522" s="52"/>
      <c r="AG522" s="41"/>
      <c r="AH522" s="45"/>
      <c r="AI522" s="28"/>
      <c r="AJ522" s="28"/>
      <c r="AK522" s="28"/>
      <c r="AL522" s="28"/>
      <c r="AM522" s="12"/>
      <c r="AN522" s="12"/>
      <c r="AO522" s="12"/>
      <c r="AP522" s="12"/>
      <c r="AQ522" s="12"/>
      <c r="AR522" s="13"/>
      <c r="AS522" s="14"/>
    </row>
    <row r="523" spans="1:45" s="16" customFormat="1" ht="30.95" hidden="1" customHeight="1" x14ac:dyDescent="0.2">
      <c r="A523" s="35"/>
      <c r="B523" s="36"/>
      <c r="C523" s="43"/>
      <c r="D523" s="29"/>
      <c r="E523" s="29"/>
      <c r="F523" s="255"/>
      <c r="G523" s="256"/>
      <c r="H523" s="256"/>
      <c r="I523" s="200"/>
      <c r="J523" s="203"/>
      <c r="K523" s="200"/>
      <c r="L523" s="200"/>
      <c r="M523" s="37"/>
      <c r="N523" s="37"/>
      <c r="O523" s="153"/>
      <c r="P523" s="45"/>
      <c r="Q523" s="54"/>
      <c r="R523" s="257"/>
      <c r="S523" s="258"/>
      <c r="T523" s="258"/>
      <c r="U523" s="38"/>
      <c r="V523" s="259"/>
      <c r="W523" s="256"/>
      <c r="X523" s="256"/>
      <c r="Y523" s="256"/>
      <c r="Z523" s="256"/>
      <c r="AA523" s="54"/>
      <c r="AB523" s="200" t="str">
        <f>IFERROR((VLOOKUP(F523&amp;K523&amp;M523,製品マスタ!$M$5:$AM$4999,27,FALSE)),"")</f>
        <v/>
      </c>
      <c r="AC523" s="31"/>
      <c r="AD523" s="184"/>
      <c r="AE523" s="51"/>
      <c r="AF523" s="52"/>
      <c r="AG523" s="41"/>
      <c r="AH523" s="45"/>
      <c r="AI523" s="28"/>
      <c r="AJ523" s="28"/>
      <c r="AK523" s="28"/>
      <c r="AL523" s="28"/>
      <c r="AM523" s="12"/>
      <c r="AN523" s="12"/>
      <c r="AO523" s="12"/>
      <c r="AP523" s="12"/>
      <c r="AQ523" s="12"/>
      <c r="AR523" s="13"/>
      <c r="AS523" s="14"/>
    </row>
    <row r="524" spans="1:45" s="16" customFormat="1" ht="30.95" hidden="1" customHeight="1" x14ac:dyDescent="0.2">
      <c r="A524" s="35" t="s">
        <v>1110</v>
      </c>
      <c r="B524" s="36" t="s">
        <v>1111</v>
      </c>
      <c r="C524" s="43"/>
      <c r="D524" s="29"/>
      <c r="E524" s="29"/>
      <c r="F524" s="255" t="str">
        <f>IF(D524="","",VLOOKUP(D524,契約台帳!$A$3:$K$4986,6,FALSE)&amp;VLOOKUP(D524,契約台帳!$A$3:$K$4986,7,FALSE)&amp;VLOOKUP(D524,契約台帳!$A$3:$K$4986,8,FALSE)&amp;VLOOKUP(D524,契約台帳!$A$3:$K$4986,9,FALSE)&amp;VLOOKUP(D524,契約台帳!$A$3:$K$4986,11,FALSE))</f>
        <v/>
      </c>
      <c r="G524" s="256" t="str">
        <f>IF(D524="","",VLOOKUP(F524,製品マスタ!$G$5:$H$4999,2,FALSE))</f>
        <v/>
      </c>
      <c r="H524" s="256" t="str">
        <f>IF(D524="","",VLOOKUP(F524,製品マスタ!$G$5:$K$4999,5,FALSE))</f>
        <v/>
      </c>
      <c r="I524" s="200" t="str">
        <f>IF(D524="","",VLOOKUP(F524,製品マスタ!$G$5:$L$4999,6,FALSE))</f>
        <v/>
      </c>
      <c r="J524" s="203" t="s">
        <v>1146</v>
      </c>
      <c r="K524" s="200" t="str">
        <f>IF(D524="","",VLOOKUP(D524,契約台帳!$A$3:$L$4986,12,FALSE))</f>
        <v/>
      </c>
      <c r="L524" s="200" t="str">
        <f>IF(D524="","",INDEX(製品マスタ!$Q$5:$Q$4999,MATCH('S4'!F524&amp;'S4'!K524,製品マスタ!$AO$5:$AO$4999,0)))</f>
        <v/>
      </c>
      <c r="M524" s="37"/>
      <c r="N524" s="37"/>
      <c r="O524" s="153"/>
      <c r="P524" s="45"/>
      <c r="Q524" s="54"/>
      <c r="R524" s="257" t="str">
        <f ca="1">IF(D524="","",IF(OFFSET(D524,-1,0)&lt;&gt;"","",IF(OR(J524="リード付け",J524="巻足し",J524="巻返しリード付け"),M524,VLOOKUP(D524,契約台帳!$A$3:$N$4986,14,FALSE))))</f>
        <v/>
      </c>
      <c r="S524" s="258" t="str">
        <f ca="1">IF(D524="","",IF(OFFSET(D524,-1,0)&lt;&gt;"","",IF(OR(J524="リード付け",J524="巻足し",J524="巻返しリード付け"),M524,VLOOKUP(D524,契約台帳!$A$3:$O$4986,15,FALSE))))</f>
        <v/>
      </c>
      <c r="T524" s="258" t="str">
        <f ca="1">IF(D524="","",IF(J524="リード付け",N524,IF(J524="巻返しリード付け",N524,IF(J524="巻足し",N524*P524+OFFSET(N524,1,0)*OFFSET(P524,1,0),VLOOKUP(D524,契約台帳!$A$3:$P$4986,16,FALSE)))))</f>
        <v/>
      </c>
      <c r="U524" s="38"/>
      <c r="V524" s="259" t="str">
        <f ca="1">IF(D524="","",IF(OFFSET(D524,-2,0)=D524,"",VLOOKUP(D524,契約台帳!$A$3:$R$4986,18,FALSE)))</f>
        <v/>
      </c>
      <c r="W524" s="256" t="str">
        <f>IF(D524="","",IF(T524="","",IF(OR(J524="巻足し",J524="巻返しリード付け"),"",IF(J524="巻返し",VLOOKUP(F524&amp;K524&amp;M524,製品マスタ!$M$5:$AD$4999,18,FALSE),IF(OR(J524="リード付け",J524="巻返しリード付け"),"原反コア",IF(J524="スリット",VLOOKUP(F524&amp;K524&amp;R524,製品マスタ!$N$5:$AD$4999,17,FALSE),""))))))</f>
        <v/>
      </c>
      <c r="X524" s="256" t="str">
        <f>IF(D524="","",IF(T524="","",IF(J524="巻足し","",IF(J524="巻返し",VLOOKUP(F524&amp;K524&amp;M524,製品マスタ!$M$5:$AE$4999,19,FALSE),IF(OR(J524="リード付け",J524="巻返しリード付け"),"",IF(J524="スリット",VLOOKUP(F524&amp;K524&amp;R524,製品マスタ!$N$5:$AE$4999,18,FALSE),""))))))</f>
        <v/>
      </c>
      <c r="Y524" s="256" t="str">
        <f>IF(D524="","",IF(T524="","",VLOOKUP(D524,契約台帳!$A$3:$Q$4986,17,FALSE)))</f>
        <v/>
      </c>
      <c r="Z524" s="256" t="str">
        <f>IF(D524="","",IF(T524="","",VLOOKUP(D524,契約台帳!$A$3:$E$4986,5,FALSE)))</f>
        <v/>
      </c>
      <c r="AA524" s="54"/>
      <c r="AB524" s="200" t="str">
        <f>IFERROR((VLOOKUP(F524&amp;K524&amp;M524,製品マスタ!$M$5:$AM$4999,27,FALSE)),"")</f>
        <v/>
      </c>
      <c r="AC524" s="31"/>
      <c r="AD524" s="184"/>
      <c r="AE524" s="51"/>
      <c r="AF524" s="52"/>
      <c r="AG524" s="41"/>
      <c r="AH524" s="45"/>
      <c r="AI524" s="28"/>
      <c r="AJ524" s="28"/>
      <c r="AK524" s="28"/>
      <c r="AL524" s="28"/>
      <c r="AM524" s="12"/>
      <c r="AN524" s="12"/>
      <c r="AO524" s="12"/>
      <c r="AP524" s="12"/>
      <c r="AQ524" s="12"/>
      <c r="AR524" s="13"/>
      <c r="AS524" s="14"/>
    </row>
    <row r="525" spans="1:45" s="16" customFormat="1" ht="30.95" hidden="1" customHeight="1" x14ac:dyDescent="0.2">
      <c r="A525" s="35"/>
      <c r="B525" s="36"/>
      <c r="C525" s="43"/>
      <c r="D525" s="29"/>
      <c r="E525" s="29"/>
      <c r="F525" s="255" t="str">
        <f>IF(D525="","",VLOOKUP(D525,契約台帳!$A$3:$K$4986,6,FALSE)&amp;VLOOKUP(D525,契約台帳!$A$3:$K$4986,7,FALSE)&amp;VLOOKUP(D525,契約台帳!$A$3:$K$4986,8,FALSE)&amp;VLOOKUP(D525,契約台帳!$A$3:$K$4986,9,FALSE)&amp;VLOOKUP(D525,契約台帳!$A$3:$K$4986,11,FALSE))</f>
        <v/>
      </c>
      <c r="G525" s="256" t="str">
        <f>IF(D525="","",VLOOKUP(F525,製品マスタ!$G$5:$H$4999,2,FALSE))</f>
        <v/>
      </c>
      <c r="H525" s="256" t="str">
        <f>IF(D525="","",VLOOKUP(F525,製品マスタ!$G$5:$K$4999,5,FALSE))</f>
        <v/>
      </c>
      <c r="I525" s="200" t="str">
        <f>IF(D525="","",VLOOKUP(F525,製品マスタ!$G$5:$L$4999,6,FALSE))</f>
        <v/>
      </c>
      <c r="J525" s="203"/>
      <c r="K525" s="200" t="str">
        <f>IF(D525="","",VLOOKUP(D525,契約台帳!$A$3:$L$4986,12,FALSE))</f>
        <v/>
      </c>
      <c r="L525" s="200" t="str">
        <f>IF(D525="","",INDEX(製品マスタ!$Q$5:$Q$4999,MATCH('S4'!F525&amp;'S4'!K525,製品マスタ!$AO$5:$AO$4999,0)))</f>
        <v/>
      </c>
      <c r="M525" s="37"/>
      <c r="N525" s="37"/>
      <c r="O525" s="153"/>
      <c r="P525" s="45"/>
      <c r="Q525" s="54"/>
      <c r="R525" s="257" t="str">
        <f ca="1">IF(D525="","",IF(OFFSET(D525,-1,0)&lt;&gt;"","",IF(OR(J525="リード付け",J525="巻足し",J525="巻返しリード付け"),M525,VLOOKUP(D525,契約台帳!$A$3:$N$4986,14,FALSE))))</f>
        <v/>
      </c>
      <c r="S525" s="258" t="str">
        <f ca="1">IF(D525="","",IF(OFFSET(D525,-1,0)&lt;&gt;"","",IF(OR(J525="リード付け",J525="巻足し",J525="巻返しリード付け"),M525,VLOOKUP(D525,契約台帳!$A$3:$O$4986,15,FALSE))))</f>
        <v/>
      </c>
      <c r="T525" s="258" t="str">
        <f ca="1">IF(D525="","",IF(J525="リード付け",N525,IF(J525="巻返しリード付け",N525,IF(J525="巻足し",N525*P525+OFFSET(N525,1,0)*OFFSET(P525,1,0),VLOOKUP(D525,契約台帳!$A$3:$P$4986,16,FALSE)))))</f>
        <v/>
      </c>
      <c r="U525" s="38"/>
      <c r="V525" s="259" t="str">
        <f ca="1">IF(D525="","",IF(OFFSET(D525,-2,0)=D525,"",VLOOKUP(D525,契約台帳!$A$3:$R$4986,18,FALSE)))</f>
        <v/>
      </c>
      <c r="W525" s="256" t="str">
        <f>IF(D525="","",IF(T525="","",IF(OR(J525="巻足し",J525="巻返しリード付け"),"",IF(J525="巻返し",VLOOKUP(F525&amp;K525&amp;M525,製品マスタ!$M$5:$AD$4999,18,FALSE),IF(OR(J525="リード付け",J525="巻返しリード付け"),"原反コア",IF(J525="スリット",VLOOKUP(F525&amp;K525&amp;R525,製品マスタ!$N$5:$AD$4999,17,FALSE),""))))))</f>
        <v/>
      </c>
      <c r="X525" s="256" t="str">
        <f>IF(D525="","",IF(T525="","",IF(J525="巻足し","",IF(J525="巻返し",VLOOKUP(F525&amp;K525&amp;M525,製品マスタ!$M$5:$AE$4999,19,FALSE),IF(OR(J525="リード付け",J525="巻返しリード付け"),"",IF(J525="スリット",VLOOKUP(F525&amp;K525&amp;R525,製品マスタ!$N$5:$AE$4999,18,FALSE),""))))))</f>
        <v/>
      </c>
      <c r="Y525" s="256" t="str">
        <f>IF(D525="","",IF(T525="","",VLOOKUP(D525,契約台帳!$A$3:$Q$4986,17,FALSE)))</f>
        <v/>
      </c>
      <c r="Z525" s="256" t="str">
        <f>IF(D525="","",IF(T525="","",VLOOKUP(D525,契約台帳!$A$3:$E$4986,5,FALSE)))</f>
        <v/>
      </c>
      <c r="AA525" s="54"/>
      <c r="AB525" s="200" t="str">
        <f>IFERROR((VLOOKUP(F525&amp;K525&amp;M525,製品マスタ!$M$5:$AM$4999,27,FALSE)),"")</f>
        <v/>
      </c>
      <c r="AC525" s="31"/>
      <c r="AD525" s="184"/>
      <c r="AE525" s="51"/>
      <c r="AF525" s="52"/>
      <c r="AG525" s="41"/>
      <c r="AH525" s="45"/>
      <c r="AI525" s="28"/>
      <c r="AJ525" s="28"/>
      <c r="AK525" s="28"/>
      <c r="AL525" s="28"/>
      <c r="AM525" s="12"/>
      <c r="AN525" s="12"/>
      <c r="AO525" s="12"/>
      <c r="AP525" s="12"/>
      <c r="AQ525" s="12"/>
      <c r="AR525" s="13"/>
      <c r="AS525" s="14"/>
    </row>
    <row r="526" spans="1:45" s="16" customFormat="1" ht="30.95" hidden="1" customHeight="1" x14ac:dyDescent="0.2">
      <c r="A526" s="35" t="s">
        <v>1112</v>
      </c>
      <c r="B526" s="36" t="s">
        <v>1099</v>
      </c>
      <c r="C526" s="43"/>
      <c r="D526" s="29"/>
      <c r="E526" s="29"/>
      <c r="F526" s="255" t="str">
        <f>IF(D526="","",VLOOKUP(D526,契約台帳!$A$3:$K$4986,6,FALSE)&amp;VLOOKUP(D526,契約台帳!$A$3:$K$4986,7,FALSE)&amp;VLOOKUP(D526,契約台帳!$A$3:$K$4986,8,FALSE)&amp;VLOOKUP(D526,契約台帳!$A$3:$K$4986,9,FALSE)&amp;VLOOKUP(D526,契約台帳!$A$3:$K$4986,11,FALSE))</f>
        <v/>
      </c>
      <c r="G526" s="256" t="str">
        <f>IF(D526="","",VLOOKUP(F526,製品マスタ!$G$5:$H$4999,2,FALSE))</f>
        <v/>
      </c>
      <c r="H526" s="256" t="str">
        <f>IF(D526="","",VLOOKUP(F526,製品マスタ!$G$5:$K$4999,5,FALSE))</f>
        <v/>
      </c>
      <c r="I526" s="200" t="str">
        <f>IF(D526="","",VLOOKUP(F526,製品マスタ!$G$5:$L$4999,6,FALSE))</f>
        <v/>
      </c>
      <c r="J526" s="203" t="s">
        <v>1126</v>
      </c>
      <c r="K526" s="200" t="str">
        <f>IF(D526="","",VLOOKUP(D526,契約台帳!$A$3:$L$4986,12,FALSE))</f>
        <v/>
      </c>
      <c r="L526" s="200" t="str">
        <f>IF(D526="","",INDEX(製品マスタ!$Q$5:$Q$4999,MATCH('S4'!F526&amp;'S4'!K526,製品マスタ!$AO$5:$AO$4999,0)))</f>
        <v/>
      </c>
      <c r="M526" s="37"/>
      <c r="N526" s="37"/>
      <c r="O526" s="153"/>
      <c r="P526" s="45"/>
      <c r="Q526" s="54"/>
      <c r="R526" s="257" t="str">
        <f ca="1">IF(D526="","",IF(OFFSET(D526,-1,0)&lt;&gt;"","",IF(OR(J526="リード付け",J526="巻足し",J526="巻返しリード付け"),M526,VLOOKUP(D526,契約台帳!$A$3:$N$4986,14,FALSE))))</f>
        <v/>
      </c>
      <c r="S526" s="258" t="str">
        <f ca="1">IF(D526="","",IF(OFFSET(D526,-1,0)&lt;&gt;"","",IF(OR(J526="リード付け",J526="巻足し",J526="巻返しリード付け"),M526,VLOOKUP(D526,契約台帳!$A$3:$O$4986,15,FALSE))))</f>
        <v/>
      </c>
      <c r="T526" s="258" t="str">
        <f ca="1">IF(D526="","",IF(J526="リード付け",N526,IF(J526="巻返しリード付け",N526,IF(J526="巻足し",N526*P526+OFFSET(N526,1,0)*OFFSET(P526,1,0),VLOOKUP(D526,契約台帳!$A$3:$P$4986,16,FALSE)))))</f>
        <v/>
      </c>
      <c r="U526" s="38"/>
      <c r="V526" s="259" t="str">
        <f ca="1">IF(D526="","",IF(OFFSET(D526,-2,0)=D526,"",VLOOKUP(D526,契約台帳!$A$3:$R$4986,18,FALSE)))</f>
        <v/>
      </c>
      <c r="W526" s="256" t="str">
        <f>IF(D526="","",IF(T526="","",IF(OR(J526="巻足し",J526="巻返しリード付け"),"",IF(J526="巻返し",VLOOKUP(F526&amp;K526&amp;M526,製品マスタ!$M$5:$AD$4999,18,FALSE),IF(OR(J526="リード付け",J526="巻返しリード付け"),"原反コア",IF(J526="スリット",VLOOKUP(F526&amp;K526&amp;R526,製品マスタ!$N$5:$AD$4999,17,FALSE),""))))))</f>
        <v/>
      </c>
      <c r="X526" s="256" t="str">
        <f>IF(D526="","",IF(T526="","",IF(J526="巻足し","",IF(J526="巻返し",VLOOKUP(F526&amp;K526&amp;M526,製品マスタ!$M$5:$AE$4999,19,FALSE),IF(OR(J526="リード付け",J526="巻返しリード付け"),"",IF(J526="スリット",VLOOKUP(F526&amp;K526&amp;R526,製品マスタ!$N$5:$AE$4999,18,FALSE),""))))))</f>
        <v/>
      </c>
      <c r="Y526" s="256" t="str">
        <f>IF(D526="","",IF(T526="","",VLOOKUP(D526,契約台帳!$A$3:$Q$4986,17,FALSE)))</f>
        <v/>
      </c>
      <c r="Z526" s="256" t="str">
        <f>IF(D526="","",IF(T526="","",VLOOKUP(D526,契約台帳!$A$3:$E$4986,5,FALSE)))</f>
        <v/>
      </c>
      <c r="AA526" s="54"/>
      <c r="AB526" s="200" t="str">
        <f>IFERROR((VLOOKUP(F526&amp;K526&amp;M526,製品マスタ!$M$5:$AM$4999,27,FALSE)),"")</f>
        <v/>
      </c>
      <c r="AC526" s="31"/>
      <c r="AD526" s="184"/>
      <c r="AE526" s="51"/>
      <c r="AF526" s="52"/>
      <c r="AG526" s="41"/>
      <c r="AH526" s="45"/>
      <c r="AI526" s="28"/>
      <c r="AJ526" s="28"/>
      <c r="AK526" s="28"/>
      <c r="AL526" s="28"/>
      <c r="AM526" s="12"/>
      <c r="AN526" s="12"/>
      <c r="AO526" s="12"/>
      <c r="AP526" s="12"/>
      <c r="AQ526" s="12"/>
      <c r="AR526" s="13"/>
      <c r="AS526" s="14"/>
    </row>
    <row r="527" spans="1:45" s="16" customFormat="1" ht="30.95" hidden="1" customHeight="1" x14ac:dyDescent="0.2">
      <c r="A527" s="35"/>
      <c r="B527" s="36"/>
      <c r="C527" s="43"/>
      <c r="D527" s="29"/>
      <c r="E527" s="29"/>
      <c r="F527" s="255" t="str">
        <f>IF(D527="","",VLOOKUP(D527,契約台帳!$A$3:$K$4986,6,FALSE)&amp;VLOOKUP(D527,契約台帳!$A$3:$K$4986,7,FALSE)&amp;VLOOKUP(D527,契約台帳!$A$3:$K$4986,8,FALSE)&amp;VLOOKUP(D527,契約台帳!$A$3:$K$4986,9,FALSE)&amp;VLOOKUP(D527,契約台帳!$A$3:$K$4986,11,FALSE))</f>
        <v/>
      </c>
      <c r="G527" s="256" t="str">
        <f>IF(D527="","",VLOOKUP(F527,製品マスタ!$G$5:$H$4999,2,FALSE))</f>
        <v/>
      </c>
      <c r="H527" s="256" t="str">
        <f>IF(D527="","",VLOOKUP(F527,製品マスタ!$G$5:$K$4999,5,FALSE))</f>
        <v/>
      </c>
      <c r="I527" s="200" t="str">
        <f>IF(D527="","",VLOOKUP(F527,製品マスタ!$G$5:$L$4999,6,FALSE))</f>
        <v/>
      </c>
      <c r="J527" s="203"/>
      <c r="K527" s="200" t="str">
        <f>IF(D527="","",VLOOKUP(D527,契約台帳!$A$3:$L$4986,12,FALSE))</f>
        <v/>
      </c>
      <c r="L527" s="200" t="str">
        <f>IF(D527="","",INDEX(製品マスタ!$Q$5:$Q$4999,MATCH('S4'!F527&amp;'S4'!K527,製品マスタ!$AO$5:$AO$4999,0)))</f>
        <v/>
      </c>
      <c r="M527" s="37"/>
      <c r="N527" s="37"/>
      <c r="O527" s="153"/>
      <c r="P527" s="45"/>
      <c r="Q527" s="54"/>
      <c r="R527" s="257" t="str">
        <f ca="1">IF(D527="","",IF(OFFSET(D527,-1,0)&lt;&gt;"","",IF(OR(J527="リード付け",J527="巻足し",J527="巻返しリード付け"),M527,VLOOKUP(D527,契約台帳!$A$3:$N$4986,14,FALSE))))</f>
        <v/>
      </c>
      <c r="S527" s="258" t="str">
        <f ca="1">IF(D527="","",IF(OFFSET(D527,-1,0)&lt;&gt;"","",IF(OR(J527="リード付け",J527="巻足し",J527="巻返しリード付け"),M527,VLOOKUP(D527,契約台帳!$A$3:$O$4986,15,FALSE))))</f>
        <v/>
      </c>
      <c r="T527" s="258" t="str">
        <f ca="1">IF(D527="","",IF(J527="リード付け",N527,IF(J527="巻返しリード付け",N527,IF(J527="巻足し",N527*P527+OFFSET(N527,1,0)*OFFSET(P527,1,0),VLOOKUP(D527,契約台帳!$A$3:$P$4986,16,FALSE)))))</f>
        <v/>
      </c>
      <c r="U527" s="38"/>
      <c r="V527" s="259" t="str">
        <f ca="1">IF(D527="","",IF(OFFSET(D527,-2,0)=D527,"",VLOOKUP(D527,契約台帳!$A$3:$R$4986,18,FALSE)))</f>
        <v/>
      </c>
      <c r="W527" s="256" t="str">
        <f>IF(D527="","",IF(T527="","",IF(OR(J527="巻足し",J527="巻返しリード付け"),"",IF(J527="巻返し",VLOOKUP(F527&amp;K527&amp;M527,製品マスタ!$M$5:$AD$4999,18,FALSE),IF(OR(J527="リード付け",J527="巻返しリード付け"),"原反コア",IF(J527="スリット",VLOOKUP(F527&amp;K527&amp;R527,製品マスタ!$N$5:$AD$4999,17,FALSE),""))))))</f>
        <v/>
      </c>
      <c r="X527" s="256" t="str">
        <f>IF(D527="","",IF(T527="","",IF(J527="巻足し","",IF(J527="巻返し",VLOOKUP(F527&amp;K527&amp;M527,製品マスタ!$M$5:$AE$4999,19,FALSE),IF(OR(J527="リード付け",J527="巻返しリード付け"),"",IF(J527="スリット",VLOOKUP(F527&amp;K527&amp;R527,製品マスタ!$N$5:$AE$4999,18,FALSE),""))))))</f>
        <v/>
      </c>
      <c r="Y527" s="256" t="str">
        <f>IF(D527="","",IF(T527="","",VLOOKUP(D527,契約台帳!$A$3:$Q$4986,17,FALSE)))</f>
        <v/>
      </c>
      <c r="Z527" s="256" t="str">
        <f>IF(D527="","",IF(T527="","",VLOOKUP(D527,契約台帳!$A$3:$E$4986,5,FALSE)))</f>
        <v/>
      </c>
      <c r="AA527" s="54"/>
      <c r="AB527" s="200" t="str">
        <f>IFERROR((VLOOKUP(F527&amp;K527&amp;M527,製品マスタ!$M$5:$AM$4999,27,FALSE)),"")</f>
        <v/>
      </c>
      <c r="AC527" s="31"/>
      <c r="AD527" s="184"/>
      <c r="AE527" s="51"/>
      <c r="AF527" s="52"/>
      <c r="AG527" s="41"/>
      <c r="AH527" s="45"/>
      <c r="AI527" s="28"/>
      <c r="AJ527" s="28"/>
      <c r="AK527" s="28"/>
      <c r="AL527" s="28"/>
      <c r="AM527" s="12"/>
      <c r="AN527" s="12"/>
      <c r="AO527" s="12"/>
      <c r="AP527" s="12"/>
      <c r="AQ527" s="12"/>
      <c r="AR527" s="13"/>
      <c r="AS527" s="14"/>
    </row>
    <row r="528" spans="1:45" s="16" customFormat="1" ht="30.95" hidden="1" customHeight="1" x14ac:dyDescent="0.2">
      <c r="A528" s="35" t="s">
        <v>1113</v>
      </c>
      <c r="B528" s="36" t="s">
        <v>1101</v>
      </c>
      <c r="C528" s="43"/>
      <c r="D528" s="29"/>
      <c r="E528" s="29"/>
      <c r="F528" s="255" t="str">
        <f>IF(D528="","",VLOOKUP(D528,契約台帳!$A$3:$K$4986,6,FALSE)&amp;VLOOKUP(D528,契約台帳!$A$3:$K$4986,7,FALSE)&amp;VLOOKUP(D528,契約台帳!$A$3:$K$4986,8,FALSE)&amp;VLOOKUP(D528,契約台帳!$A$3:$K$4986,9,FALSE)&amp;VLOOKUP(D528,契約台帳!$A$3:$K$4986,11,FALSE))</f>
        <v/>
      </c>
      <c r="G528" s="256" t="str">
        <f>IF(D528="","",VLOOKUP(F528,製品マスタ!$G$5:$H$4999,2,FALSE))</f>
        <v/>
      </c>
      <c r="H528" s="256" t="str">
        <f>IF(D528="","",VLOOKUP(F528,製品マスタ!$G$5:$K$4999,5,FALSE))</f>
        <v/>
      </c>
      <c r="I528" s="200" t="str">
        <f>IF(D528="","",VLOOKUP(F528,製品マスタ!$G$5:$L$4999,6,FALSE))</f>
        <v/>
      </c>
      <c r="J528" s="203" t="s">
        <v>1126</v>
      </c>
      <c r="K528" s="200" t="str">
        <f>IF(D528="","",VLOOKUP(D528,契約台帳!$A$3:$L$4986,12,FALSE))</f>
        <v/>
      </c>
      <c r="L528" s="200" t="str">
        <f>IF(D528="","",INDEX(製品マスタ!$Q$5:$Q$4999,MATCH('S4'!F528&amp;'S4'!K528,製品マスタ!$AO$5:$AO$4999,0)))</f>
        <v/>
      </c>
      <c r="M528" s="37"/>
      <c r="N528" s="37"/>
      <c r="O528" s="153"/>
      <c r="P528" s="45"/>
      <c r="Q528" s="54"/>
      <c r="R528" s="257" t="str">
        <f ca="1">IF(D528="","",IF(OFFSET(D528,-1,0)&lt;&gt;"","",IF(OR(J528="リード付け",J528="巻足し",J528="巻返しリード付け"),M528,VLOOKUP(D528,契約台帳!$A$3:$N$4986,14,FALSE))))</f>
        <v/>
      </c>
      <c r="S528" s="258" t="str">
        <f ca="1">IF(D528="","",IF(OFFSET(D528,-1,0)&lt;&gt;"","",IF(OR(J528="リード付け",J528="巻足し",J528="巻返しリード付け"),M528,VLOOKUP(D528,契約台帳!$A$3:$O$4986,15,FALSE))))</f>
        <v/>
      </c>
      <c r="T528" s="258" t="str">
        <f ca="1">IF(D528="","",IF(J528="リード付け",N528,IF(J528="巻返しリード付け",N528,IF(J528="巻足し",N528*P528+OFFSET(N528,1,0)*OFFSET(P528,1,0),VLOOKUP(D528,契約台帳!$A$3:$P$4986,16,FALSE)))))</f>
        <v/>
      </c>
      <c r="U528" s="38"/>
      <c r="V528" s="259" t="str">
        <f ca="1">IF(D528="","",IF(OFFSET(D528,-2,0)=D528,"",VLOOKUP(D528,契約台帳!$A$3:$R$4986,18,FALSE)))</f>
        <v/>
      </c>
      <c r="W528" s="256" t="str">
        <f>IF(D528="","",IF(T528="","",IF(OR(J528="巻足し",J528="巻返しリード付け"),"",IF(J528="巻返し",VLOOKUP(F528&amp;K528&amp;M528,製品マスタ!$M$5:$AD$4999,18,FALSE),IF(OR(J528="リード付け",J528="巻返しリード付け"),"原反コア",IF(J528="スリット",VLOOKUP(F528&amp;K528&amp;R528,製品マスタ!$N$5:$AD$4999,17,FALSE),""))))))</f>
        <v/>
      </c>
      <c r="X528" s="256" t="str">
        <f>IF(D528="","",IF(T528="","",IF(J528="巻足し","",IF(J528="巻返し",VLOOKUP(F528&amp;K528&amp;M528,製品マスタ!$M$5:$AE$4999,19,FALSE),IF(OR(J528="リード付け",J528="巻返しリード付け"),"",IF(J528="スリット",VLOOKUP(F528&amp;K528&amp;R528,製品マスタ!$N$5:$AE$4999,18,FALSE),""))))))</f>
        <v/>
      </c>
      <c r="Y528" s="256" t="str">
        <f>IF(D528="","",IF(T528="","",VLOOKUP(D528,契約台帳!$A$3:$Q$4986,17,FALSE)))</f>
        <v/>
      </c>
      <c r="Z528" s="256" t="str">
        <f>IF(D528="","",IF(T528="","",VLOOKUP(D528,契約台帳!$A$3:$E$4986,5,FALSE)))</f>
        <v/>
      </c>
      <c r="AA528" s="54"/>
      <c r="AB528" s="200" t="str">
        <f>IFERROR((VLOOKUP(F528&amp;K528&amp;M528,製品マスタ!$M$5:$AM$4999,27,FALSE)),"")</f>
        <v/>
      </c>
      <c r="AC528" s="31"/>
      <c r="AD528" s="184"/>
      <c r="AE528" s="51"/>
      <c r="AF528" s="52"/>
      <c r="AG528" s="41"/>
      <c r="AH528" s="45"/>
      <c r="AI528" s="28"/>
      <c r="AJ528" s="28"/>
      <c r="AK528" s="28"/>
      <c r="AL528" s="28"/>
      <c r="AM528" s="12"/>
      <c r="AN528" s="12"/>
      <c r="AO528" s="12"/>
      <c r="AP528" s="12"/>
      <c r="AQ528" s="12"/>
      <c r="AR528" s="13"/>
      <c r="AS528" s="14"/>
    </row>
    <row r="529" spans="1:45" s="16" customFormat="1" ht="30.95" hidden="1" customHeight="1" x14ac:dyDescent="0.2">
      <c r="A529" s="35"/>
      <c r="B529" s="36"/>
      <c r="C529" s="43"/>
      <c r="D529" s="29"/>
      <c r="E529" s="29"/>
      <c r="F529" s="255" t="str">
        <f>IF(D529="","",VLOOKUP(D529,契約台帳!$A$3:$K$4986,6,FALSE)&amp;VLOOKUP(D529,契約台帳!$A$3:$K$4986,7,FALSE)&amp;VLOOKUP(D529,契約台帳!$A$3:$K$4986,8,FALSE)&amp;VLOOKUP(D529,契約台帳!$A$3:$K$4986,9,FALSE)&amp;VLOOKUP(D529,契約台帳!$A$3:$K$4986,11,FALSE))</f>
        <v/>
      </c>
      <c r="G529" s="256" t="str">
        <f>IF(D529="","",VLOOKUP(F529,製品マスタ!$G$5:$H$4999,2,FALSE))</f>
        <v/>
      </c>
      <c r="H529" s="256" t="str">
        <f>IF(D529="","",VLOOKUP(F529,製品マスタ!$G$5:$K$4999,5,FALSE))</f>
        <v/>
      </c>
      <c r="I529" s="200" t="str">
        <f>IF(D529="","",VLOOKUP(F529,製品マスタ!$G$5:$L$4999,6,FALSE))</f>
        <v/>
      </c>
      <c r="J529" s="203"/>
      <c r="K529" s="200" t="str">
        <f>IF(D529="","",VLOOKUP(D529,契約台帳!$A$3:$L$4986,12,FALSE))</f>
        <v/>
      </c>
      <c r="L529" s="200" t="str">
        <f>IF(D529="","",INDEX(製品マスタ!$Q$5:$Q$4999,MATCH('S4'!F529&amp;'S4'!K529,製品マスタ!$AO$5:$AO$4999,0)))</f>
        <v/>
      </c>
      <c r="M529" s="37"/>
      <c r="N529" s="37"/>
      <c r="O529" s="153"/>
      <c r="P529" s="45"/>
      <c r="Q529" s="54"/>
      <c r="R529" s="257" t="str">
        <f ca="1">IF(D529="","",IF(OFFSET(D529,-1,0)&lt;&gt;"","",IF(OR(J529="リード付け",J529="巻足し",J529="巻返しリード付け"),M529,VLOOKUP(D529,契約台帳!$A$3:$N$4986,14,FALSE))))</f>
        <v/>
      </c>
      <c r="S529" s="258" t="str">
        <f ca="1">IF(D529="","",IF(OFFSET(D529,-1,0)&lt;&gt;"","",IF(OR(J529="リード付け",J529="巻足し",J529="巻返しリード付け"),M529,VLOOKUP(D529,契約台帳!$A$3:$O$4986,15,FALSE))))</f>
        <v/>
      </c>
      <c r="T529" s="258" t="str">
        <f ca="1">IF(D529="","",IF(J529="リード付け",N529,IF(J529="巻返しリード付け",N529,IF(J529="巻足し",N529*P529+OFFSET(N529,1,0)*OFFSET(P529,1,0),VLOOKUP(D529,契約台帳!$A$3:$P$4986,16,FALSE)))))</f>
        <v/>
      </c>
      <c r="U529" s="38"/>
      <c r="V529" s="259" t="str">
        <f ca="1">IF(D529="","",IF(OFFSET(D529,-2,0)=D529,"",VLOOKUP(D529,契約台帳!$A$3:$R$4986,18,FALSE)))</f>
        <v/>
      </c>
      <c r="W529" s="256" t="str">
        <f>IF(D529="","",IF(T529="","",IF(OR(J529="巻足し",J529="巻返しリード付け"),"",IF(J529="巻返し",VLOOKUP(F529&amp;K529&amp;M529,製品マスタ!$M$5:$AD$4999,18,FALSE),IF(OR(J529="リード付け",J529="巻返しリード付け"),"原反コア",IF(J529="スリット",VLOOKUP(F529&amp;K529&amp;R529,製品マスタ!$N$5:$AD$4999,17,FALSE),""))))))</f>
        <v/>
      </c>
      <c r="X529" s="256" t="str">
        <f>IF(D529="","",IF(T529="","",IF(J529="巻足し","",IF(J529="巻返し",VLOOKUP(F529&amp;K529&amp;M529,製品マスタ!$M$5:$AE$4999,19,FALSE),IF(OR(J529="リード付け",J529="巻返しリード付け"),"",IF(J529="スリット",VLOOKUP(F529&amp;K529&amp;R529,製品マスタ!$N$5:$AE$4999,18,FALSE),""))))))</f>
        <v/>
      </c>
      <c r="Y529" s="256" t="str">
        <f>IF(D529="","",IF(T529="","",VLOOKUP(D529,契約台帳!$A$3:$Q$4986,17,FALSE)))</f>
        <v/>
      </c>
      <c r="Z529" s="256" t="str">
        <f>IF(D529="","",IF(T529="","",VLOOKUP(D529,契約台帳!$A$3:$E$4986,5,FALSE)))</f>
        <v/>
      </c>
      <c r="AA529" s="54"/>
      <c r="AB529" s="200" t="str">
        <f>IFERROR((VLOOKUP(F529&amp;K529&amp;M529,製品マスタ!$M$5:$AM$4999,27,FALSE)),"")</f>
        <v/>
      </c>
      <c r="AC529" s="31"/>
      <c r="AD529" s="184"/>
      <c r="AE529" s="51"/>
      <c r="AF529" s="52"/>
      <c r="AG529" s="41"/>
      <c r="AH529" s="45"/>
      <c r="AI529" s="28"/>
      <c r="AJ529" s="28"/>
      <c r="AK529" s="28"/>
      <c r="AL529" s="28"/>
      <c r="AM529" s="12"/>
      <c r="AN529" s="12"/>
      <c r="AO529" s="12"/>
      <c r="AP529" s="12"/>
      <c r="AQ529" s="12"/>
      <c r="AR529" s="13"/>
      <c r="AS529" s="14"/>
    </row>
    <row r="530" spans="1:45" s="16" customFormat="1" ht="30.95" hidden="1" customHeight="1" x14ac:dyDescent="0.2">
      <c r="A530" s="35" t="s">
        <v>1114</v>
      </c>
      <c r="B530" s="36" t="s">
        <v>1103</v>
      </c>
      <c r="C530" s="43"/>
      <c r="D530" s="29"/>
      <c r="E530" s="29"/>
      <c r="F530" s="255" t="str">
        <f>IF(D530="","",VLOOKUP(D530,契約台帳!$A$3:$K$4986,6,FALSE)&amp;VLOOKUP(D530,契約台帳!$A$3:$K$4986,7,FALSE)&amp;VLOOKUP(D530,契約台帳!$A$3:$K$4986,8,FALSE)&amp;VLOOKUP(D530,契約台帳!$A$3:$K$4986,9,FALSE)&amp;VLOOKUP(D530,契約台帳!$A$3:$K$4986,11,FALSE))</f>
        <v/>
      </c>
      <c r="G530" s="256" t="str">
        <f>IF(D530="","",VLOOKUP(F530,製品マスタ!$G$5:$H$4999,2,FALSE))</f>
        <v/>
      </c>
      <c r="H530" s="256" t="str">
        <f>IF(D530="","",VLOOKUP(F530,製品マスタ!$G$5:$K$4999,5,FALSE))</f>
        <v/>
      </c>
      <c r="I530" s="200" t="str">
        <f>IF(D530="","",VLOOKUP(F530,製品マスタ!$G$5:$L$4999,6,FALSE))</f>
        <v/>
      </c>
      <c r="J530" s="203" t="s">
        <v>1126</v>
      </c>
      <c r="K530" s="200" t="str">
        <f>IF(D530="","",VLOOKUP(D530,契約台帳!$A$3:$L$4986,12,FALSE))</f>
        <v/>
      </c>
      <c r="L530" s="200" t="str">
        <f>IF(D530="","",INDEX(製品マスタ!$Q$5:$Q$4999,MATCH('S4'!F530&amp;'S4'!K530,製品マスタ!$AO$5:$AO$4999,0)))</f>
        <v/>
      </c>
      <c r="M530" s="37"/>
      <c r="N530" s="37"/>
      <c r="O530" s="153"/>
      <c r="P530" s="45"/>
      <c r="Q530" s="54"/>
      <c r="R530" s="257" t="str">
        <f ca="1">IF(D530="","",IF(OFFSET(D530,-1,0)&lt;&gt;"","",IF(OR(J530="リード付け",J530="巻足し",J530="巻返しリード付け"),M530,VLOOKUP(D530,契約台帳!$A$3:$N$4986,14,FALSE))))</f>
        <v/>
      </c>
      <c r="S530" s="258" t="str">
        <f ca="1">IF(D530="","",IF(OFFSET(D530,-1,0)&lt;&gt;"","",IF(OR(J530="リード付け",J530="巻足し",J530="巻返しリード付け"),M530,VLOOKUP(D530,契約台帳!$A$3:$O$4986,15,FALSE))))</f>
        <v/>
      </c>
      <c r="T530" s="258" t="str">
        <f ca="1">IF(D530="","",IF(J530="リード付け",N530,IF(J530="巻返しリード付け",N530,IF(J530="巻足し",N530*P530+OFFSET(N530,1,0)*OFFSET(P530,1,0),VLOOKUP(D530,契約台帳!$A$3:$P$4986,16,FALSE)))))</f>
        <v/>
      </c>
      <c r="U530" s="38"/>
      <c r="V530" s="259" t="str">
        <f ca="1">IF(D530="","",IF(OFFSET(D530,-2,0)=D530,"",VLOOKUP(D530,契約台帳!$A$3:$R$4986,18,FALSE)))</f>
        <v/>
      </c>
      <c r="W530" s="256" t="str">
        <f>IF(D530="","",IF(T530="","",IF(OR(J530="巻足し",J530="巻返しリード付け"),"",IF(J530="巻返し",VLOOKUP(F530&amp;K530&amp;M530,製品マスタ!$M$5:$AD$4999,18,FALSE),IF(OR(J530="リード付け",J530="巻返しリード付け"),"原反コア",IF(J530="スリット",VLOOKUP(F530&amp;K530&amp;R530,製品マスタ!$N$5:$AD$4999,17,FALSE),""))))))</f>
        <v/>
      </c>
      <c r="X530" s="256" t="str">
        <f>IF(D530="","",IF(T530="","",IF(J530="巻足し","",IF(J530="巻返し",VLOOKUP(F530&amp;K530&amp;M530,製品マスタ!$M$5:$AE$4999,19,FALSE),IF(OR(J530="リード付け",J530="巻返しリード付け"),"",IF(J530="スリット",VLOOKUP(F530&amp;K530&amp;R530,製品マスタ!$N$5:$AE$4999,18,FALSE),""))))))</f>
        <v/>
      </c>
      <c r="Y530" s="256" t="str">
        <f>IF(D530="","",IF(T530="","",VLOOKUP(D530,契約台帳!$A$3:$Q$4986,17,FALSE)))</f>
        <v/>
      </c>
      <c r="Z530" s="256" t="str">
        <f>IF(D530="","",IF(T530="","",VLOOKUP(D530,契約台帳!$A$3:$E$4986,5,FALSE)))</f>
        <v/>
      </c>
      <c r="AA530" s="54"/>
      <c r="AB530" s="200" t="str">
        <f>IFERROR((VLOOKUP(F530&amp;K530&amp;M530,製品マスタ!$M$5:$AM$4999,27,FALSE)),"")</f>
        <v/>
      </c>
      <c r="AC530" s="31"/>
      <c r="AD530" s="184"/>
      <c r="AE530" s="51"/>
      <c r="AF530" s="52"/>
      <c r="AG530" s="41"/>
      <c r="AH530" s="45"/>
      <c r="AI530" s="28"/>
      <c r="AJ530" s="28"/>
      <c r="AK530" s="28"/>
      <c r="AL530" s="28"/>
      <c r="AM530" s="12"/>
      <c r="AN530" s="12"/>
      <c r="AO530" s="12"/>
      <c r="AP530" s="12"/>
      <c r="AQ530" s="12"/>
      <c r="AR530" s="13"/>
      <c r="AS530" s="14"/>
    </row>
    <row r="531" spans="1:45" s="16" customFormat="1" ht="30.95" hidden="1" customHeight="1" x14ac:dyDescent="0.2">
      <c r="A531" s="35"/>
      <c r="B531" s="36"/>
      <c r="C531" s="43"/>
      <c r="D531" s="29"/>
      <c r="E531" s="29"/>
      <c r="F531" s="255" t="str">
        <f>IF(D531="","",VLOOKUP(D531,契約台帳!$A$3:$K$4986,6,FALSE)&amp;VLOOKUP(D531,契約台帳!$A$3:$K$4986,7,FALSE)&amp;VLOOKUP(D531,契約台帳!$A$3:$K$4986,8,FALSE)&amp;VLOOKUP(D531,契約台帳!$A$3:$K$4986,9,FALSE)&amp;VLOOKUP(D531,契約台帳!$A$3:$K$4986,11,FALSE))</f>
        <v/>
      </c>
      <c r="G531" s="256" t="str">
        <f>IF(D531="","",VLOOKUP(F531,製品マスタ!$G$5:$H$4999,2,FALSE))</f>
        <v/>
      </c>
      <c r="H531" s="256" t="str">
        <f>IF(D531="","",VLOOKUP(F531,製品マスタ!$G$5:$K$4999,5,FALSE))</f>
        <v/>
      </c>
      <c r="I531" s="200" t="str">
        <f>IF(D531="","",VLOOKUP(F531,製品マスタ!$G$5:$L$4999,6,FALSE))</f>
        <v/>
      </c>
      <c r="J531" s="203"/>
      <c r="K531" s="200" t="str">
        <f>IF(D531="","",VLOOKUP(D531,契約台帳!$A$3:$L$4986,12,FALSE))</f>
        <v/>
      </c>
      <c r="L531" s="200" t="str">
        <f>IF(D531="","",INDEX(製品マスタ!$Q$5:$Q$4999,MATCH('S4'!F531&amp;'S4'!K531,製品マスタ!$AO$5:$AO$4999,0)))</f>
        <v/>
      </c>
      <c r="M531" s="37"/>
      <c r="N531" s="37"/>
      <c r="O531" s="153"/>
      <c r="P531" s="45"/>
      <c r="Q531" s="54"/>
      <c r="R531" s="257" t="str">
        <f ca="1">IF(D531="","",IF(OFFSET(D531,-1,0)&lt;&gt;"","",IF(OR(J531="リード付け",J531="巻足し",J531="巻返しリード付け"),M531,VLOOKUP(D531,契約台帳!$A$3:$N$4986,14,FALSE))))</f>
        <v/>
      </c>
      <c r="S531" s="258" t="str">
        <f ca="1">IF(D531="","",IF(OFFSET(D531,-1,0)&lt;&gt;"","",IF(OR(J531="リード付け",J531="巻足し",J531="巻返しリード付け"),M531,VLOOKUP(D531,契約台帳!$A$3:$O$4986,15,FALSE))))</f>
        <v/>
      </c>
      <c r="T531" s="258" t="str">
        <f ca="1">IF(D531="","",IF(J531="リード付け",N531,IF(J531="巻返しリード付け",N531,IF(J531="巻足し",N531*P531+OFFSET(N531,1,0)*OFFSET(P531,1,0),VLOOKUP(D531,契約台帳!$A$3:$P$4986,16,FALSE)))))</f>
        <v/>
      </c>
      <c r="U531" s="38"/>
      <c r="V531" s="259" t="str">
        <f ca="1">IF(D531="","",IF(OFFSET(D531,-2,0)=D531,"",VLOOKUP(D531,契約台帳!$A$3:$R$4986,18,FALSE)))</f>
        <v/>
      </c>
      <c r="W531" s="256" t="str">
        <f>IF(D531="","",IF(T531="","",IF(OR(J531="巻足し",J531="巻返しリード付け"),"",IF(J531="巻返し",VLOOKUP(F531&amp;K531&amp;M531,製品マスタ!$M$5:$AD$4999,18,FALSE),IF(OR(J531="リード付け",J531="巻返しリード付け"),"原反コア",IF(J531="スリット",VLOOKUP(F531&amp;K531&amp;R531,製品マスタ!$N$5:$AD$4999,17,FALSE),""))))))</f>
        <v/>
      </c>
      <c r="X531" s="256" t="str">
        <f>IF(D531="","",IF(T531="","",IF(J531="巻足し","",IF(J531="巻返し",VLOOKUP(F531&amp;K531&amp;M531,製品マスタ!$M$5:$AE$4999,19,FALSE),IF(OR(J531="リード付け",J531="巻返しリード付け"),"",IF(J531="スリット",VLOOKUP(F531&amp;K531&amp;R531,製品マスタ!$N$5:$AE$4999,18,FALSE),""))))))</f>
        <v/>
      </c>
      <c r="Y531" s="256" t="str">
        <f>IF(D531="","",IF(T531="","",VLOOKUP(D531,契約台帳!$A$3:$Q$4986,17,FALSE)))</f>
        <v/>
      </c>
      <c r="Z531" s="256" t="str">
        <f>IF(D531="","",IF(T531="","",VLOOKUP(D531,契約台帳!$A$3:$E$4986,5,FALSE)))</f>
        <v/>
      </c>
      <c r="AA531" s="54"/>
      <c r="AB531" s="200" t="str">
        <f>IFERROR((VLOOKUP(F531&amp;K531&amp;M531,製品マスタ!$M$5:$AM$4999,27,FALSE)),"")</f>
        <v/>
      </c>
      <c r="AC531" s="31"/>
      <c r="AD531" s="184"/>
      <c r="AE531" s="51"/>
      <c r="AF531" s="52"/>
      <c r="AG531" s="41"/>
      <c r="AH531" s="45"/>
      <c r="AI531" s="28"/>
      <c r="AJ531" s="28"/>
      <c r="AK531" s="28"/>
      <c r="AL531" s="28"/>
      <c r="AM531" s="12"/>
      <c r="AN531" s="12"/>
      <c r="AO531" s="12"/>
      <c r="AP531" s="12"/>
      <c r="AQ531" s="12"/>
      <c r="AR531" s="13"/>
      <c r="AS531" s="14"/>
    </row>
    <row r="532" spans="1:45" s="16" customFormat="1" ht="30.95" hidden="1" customHeight="1" x14ac:dyDescent="0.2">
      <c r="A532" s="35" t="s">
        <v>1115</v>
      </c>
      <c r="B532" s="36" t="s">
        <v>1105</v>
      </c>
      <c r="C532" s="43"/>
      <c r="D532" s="29"/>
      <c r="E532" s="29"/>
      <c r="F532" s="255" t="str">
        <f>IF(D532="","",VLOOKUP(D532,契約台帳!$A$3:$K$4986,6,FALSE)&amp;VLOOKUP(D532,契約台帳!$A$3:$K$4986,7,FALSE)&amp;VLOOKUP(D532,契約台帳!$A$3:$K$4986,8,FALSE)&amp;VLOOKUP(D532,契約台帳!$A$3:$K$4986,9,FALSE)&amp;VLOOKUP(D532,契約台帳!$A$3:$K$4986,11,FALSE))</f>
        <v/>
      </c>
      <c r="G532" s="256" t="str">
        <f>IF(D532="","",VLOOKUP(F532,製品マスタ!$G$5:$H$4999,2,FALSE))</f>
        <v/>
      </c>
      <c r="H532" s="256" t="str">
        <f>IF(D532="","",VLOOKUP(F532,製品マスタ!$G$5:$K$4999,5,FALSE))</f>
        <v/>
      </c>
      <c r="I532" s="200" t="str">
        <f>IF(D532="","",VLOOKUP(F532,製品マスタ!$G$5:$L$4999,6,FALSE))</f>
        <v/>
      </c>
      <c r="J532" s="203" t="s">
        <v>1126</v>
      </c>
      <c r="K532" s="200" t="str">
        <f>IF(D532="","",VLOOKUP(D532,契約台帳!$A$3:$L$4986,12,FALSE))</f>
        <v/>
      </c>
      <c r="L532" s="200" t="str">
        <f>IF(D532="","",INDEX(製品マスタ!$Q$5:$Q$4999,MATCH('S4'!F532&amp;'S4'!K532,製品マスタ!$AO$5:$AO$4999,0)))</f>
        <v/>
      </c>
      <c r="M532" s="37"/>
      <c r="N532" s="37"/>
      <c r="O532" s="153"/>
      <c r="P532" s="45"/>
      <c r="Q532" s="54"/>
      <c r="R532" s="257" t="str">
        <f ca="1">IF(D532="","",IF(OFFSET(D532,-1,0)&lt;&gt;"","",IF(OR(J532="リード付け",J532="巻足し",J532="巻返しリード付け"),M532,VLOOKUP(D532,契約台帳!$A$3:$N$4986,14,FALSE))))</f>
        <v/>
      </c>
      <c r="S532" s="258" t="str">
        <f ca="1">IF(D532="","",IF(OFFSET(D532,-1,0)&lt;&gt;"","",IF(OR(J532="リード付け",J532="巻足し",J532="巻返しリード付け"),M532,VLOOKUP(D532,契約台帳!$A$3:$O$4986,15,FALSE))))</f>
        <v/>
      </c>
      <c r="T532" s="258" t="str">
        <f ca="1">IF(D532="","",IF(J532="リード付け",N532,IF(J532="巻返しリード付け",N532,IF(J532="巻足し",N532*P532+OFFSET(N532,1,0)*OFFSET(P532,1,0),VLOOKUP(D532,契約台帳!$A$3:$P$4986,16,FALSE)))))</f>
        <v/>
      </c>
      <c r="U532" s="38"/>
      <c r="V532" s="259" t="str">
        <f ca="1">IF(D532="","",IF(OFFSET(D532,-2,0)=D532,"",VLOOKUP(D532,契約台帳!$A$3:$R$4986,18,FALSE)))</f>
        <v/>
      </c>
      <c r="W532" s="256" t="str">
        <f>IF(D532="","",IF(T532="","",IF(OR(J532="巻足し",J532="巻返しリード付け"),"",IF(J532="巻返し",VLOOKUP(F532&amp;K532&amp;M532,製品マスタ!$M$5:$AD$4999,18,FALSE),IF(OR(J532="リード付け",J532="巻返しリード付け"),"原反コア",IF(J532="スリット",VLOOKUP(F532&amp;K532&amp;R532,製品マスタ!$N$5:$AD$4999,17,FALSE),""))))))</f>
        <v/>
      </c>
      <c r="X532" s="256" t="str">
        <f>IF(D532="","",IF(T532="","",IF(J532="巻足し","",IF(J532="巻返し",VLOOKUP(F532&amp;K532&amp;M532,製品マスタ!$M$5:$AE$4999,19,FALSE),IF(OR(J532="リード付け",J532="巻返しリード付け"),"",IF(J532="スリット",VLOOKUP(F532&amp;K532&amp;R532,製品マスタ!$N$5:$AE$4999,18,FALSE),""))))))</f>
        <v/>
      </c>
      <c r="Y532" s="256" t="str">
        <f>IF(D532="","",IF(T532="","",VLOOKUP(D532,契約台帳!$A$3:$Q$4986,17,FALSE)))</f>
        <v/>
      </c>
      <c r="Z532" s="256" t="str">
        <f>IF(D532="","",IF(T532="","",VLOOKUP(D532,契約台帳!$A$3:$E$4986,5,FALSE)))</f>
        <v/>
      </c>
      <c r="AA532" s="54"/>
      <c r="AB532" s="200" t="str">
        <f>IFERROR((VLOOKUP(F532&amp;K532&amp;M532,製品マスタ!$M$5:$AM$4999,27,FALSE)),"")</f>
        <v/>
      </c>
      <c r="AC532" s="31"/>
      <c r="AD532" s="184"/>
      <c r="AE532" s="51"/>
      <c r="AF532" s="52"/>
      <c r="AG532" s="41"/>
      <c r="AH532" s="45"/>
      <c r="AI532" s="28"/>
      <c r="AJ532" s="28"/>
      <c r="AK532" s="28"/>
      <c r="AL532" s="28"/>
      <c r="AM532" s="12"/>
      <c r="AN532" s="12"/>
      <c r="AO532" s="12"/>
      <c r="AP532" s="12"/>
      <c r="AQ532" s="12"/>
      <c r="AR532" s="13"/>
      <c r="AS532" s="14"/>
    </row>
    <row r="533" spans="1:45" s="16" customFormat="1" ht="30.95" hidden="1" customHeight="1" x14ac:dyDescent="0.2">
      <c r="A533" s="35"/>
      <c r="B533" s="36"/>
      <c r="C533" s="43"/>
      <c r="D533" s="29"/>
      <c r="E533" s="29"/>
      <c r="F533" s="255" t="str">
        <f>IF(D533="","",VLOOKUP(D533,契約台帳!$A$3:$K$4986,6,FALSE)&amp;VLOOKUP(D533,契約台帳!$A$3:$K$4986,7,FALSE)&amp;VLOOKUP(D533,契約台帳!$A$3:$K$4986,8,FALSE)&amp;VLOOKUP(D533,契約台帳!$A$3:$K$4986,9,FALSE)&amp;VLOOKUP(D533,契約台帳!$A$3:$K$4986,11,FALSE))</f>
        <v/>
      </c>
      <c r="G533" s="256" t="str">
        <f>IF(D533="","",VLOOKUP(F533,製品マスタ!$G$5:$H$4999,2,FALSE))</f>
        <v/>
      </c>
      <c r="H533" s="256" t="str">
        <f>IF(D533="","",VLOOKUP(F533,製品マスタ!$G$5:$K$4999,5,FALSE))</f>
        <v/>
      </c>
      <c r="I533" s="200" t="str">
        <f>IF(D533="","",VLOOKUP(F533,製品マスタ!$G$5:$L$4999,6,FALSE))</f>
        <v/>
      </c>
      <c r="J533" s="203"/>
      <c r="K533" s="200" t="str">
        <f>IF(D533="","",VLOOKUP(D533,契約台帳!$A$3:$L$4986,12,FALSE))</f>
        <v/>
      </c>
      <c r="L533" s="200" t="str">
        <f>IF(D533="","",INDEX(製品マスタ!$Q$5:$Q$4999,MATCH('S4'!F533&amp;'S4'!K533,製品マスタ!$AO$5:$AO$4999,0)))</f>
        <v/>
      </c>
      <c r="M533" s="37"/>
      <c r="N533" s="37"/>
      <c r="O533" s="153"/>
      <c r="P533" s="45"/>
      <c r="Q533" s="54"/>
      <c r="R533" s="257" t="str">
        <f ca="1">IF(D533="","",IF(OFFSET(D533,-1,0)&lt;&gt;"","",IF(OR(J533="リード付け",J533="巻足し",J533="巻返しリード付け"),M533,VLOOKUP(D533,契約台帳!$A$3:$N$4986,14,FALSE))))</f>
        <v/>
      </c>
      <c r="S533" s="258" t="str">
        <f ca="1">IF(D533="","",IF(OFFSET(D533,-1,0)&lt;&gt;"","",IF(OR(J533="リード付け",J533="巻足し",J533="巻返しリード付け"),M533,VLOOKUP(D533,契約台帳!$A$3:$O$4986,15,FALSE))))</f>
        <v/>
      </c>
      <c r="T533" s="258" t="str">
        <f ca="1">IF(D533="","",IF(J533="リード付け",N533,IF(J533="巻返しリード付け",N533,IF(J533="巻足し",N533*P533+OFFSET(N533,1,0)*OFFSET(P533,1,0),VLOOKUP(D533,契約台帳!$A$3:$P$4986,16,FALSE)))))</f>
        <v/>
      </c>
      <c r="U533" s="38"/>
      <c r="V533" s="259" t="str">
        <f ca="1">IF(D533="","",IF(OFFSET(D533,-2,0)=D533,"",VLOOKUP(D533,契約台帳!$A$3:$R$4986,18,FALSE)))</f>
        <v/>
      </c>
      <c r="W533" s="256" t="str">
        <f>IF(D533="","",IF(T533="","",IF(OR(J533="巻足し",J533="巻返しリード付け"),"",IF(J533="巻返し",VLOOKUP(F533&amp;K533&amp;M533,製品マスタ!$M$5:$AD$4999,18,FALSE),IF(OR(J533="リード付け",J533="巻返しリード付け"),"原反コア",IF(J533="スリット",VLOOKUP(F533&amp;K533&amp;R533,製品マスタ!$N$5:$AD$4999,17,FALSE),""))))))</f>
        <v/>
      </c>
      <c r="X533" s="256" t="str">
        <f>IF(D533="","",IF(T533="","",IF(J533="巻足し","",IF(J533="巻返し",VLOOKUP(F533&amp;K533&amp;M533,製品マスタ!$M$5:$AE$4999,19,FALSE),IF(OR(J533="リード付け",J533="巻返しリード付け"),"",IF(J533="スリット",VLOOKUP(F533&amp;K533&amp;R533,製品マスタ!$N$5:$AE$4999,18,FALSE),""))))))</f>
        <v/>
      </c>
      <c r="Y533" s="256" t="str">
        <f>IF(D533="","",IF(T533="","",VLOOKUP(D533,契約台帳!$A$3:$Q$4986,17,FALSE)))</f>
        <v/>
      </c>
      <c r="Z533" s="256" t="str">
        <f>IF(D533="","",IF(T533="","",VLOOKUP(D533,契約台帳!$A$3:$E$4986,5,FALSE)))</f>
        <v/>
      </c>
      <c r="AA533" s="54"/>
      <c r="AB533" s="200" t="str">
        <f>IFERROR((VLOOKUP(F533&amp;K533&amp;M533,製品マスタ!$M$5:$AM$4999,27,FALSE)),"")</f>
        <v/>
      </c>
      <c r="AC533" s="31"/>
      <c r="AD533" s="184"/>
      <c r="AE533" s="51"/>
      <c r="AF533" s="52"/>
      <c r="AG533" s="41"/>
      <c r="AH533" s="45"/>
      <c r="AI533" s="28"/>
      <c r="AJ533" s="28"/>
      <c r="AK533" s="28"/>
      <c r="AL533" s="28"/>
      <c r="AM533" s="12"/>
      <c r="AN533" s="12"/>
      <c r="AO533" s="12"/>
      <c r="AP533" s="12"/>
      <c r="AQ533" s="12"/>
      <c r="AR533" s="13"/>
      <c r="AS533" s="14"/>
    </row>
    <row r="534" spans="1:45" s="16" customFormat="1" ht="30.95" hidden="1" customHeight="1" x14ac:dyDescent="0.2">
      <c r="A534" s="35" t="s">
        <v>1116</v>
      </c>
      <c r="B534" s="36" t="s">
        <v>1107</v>
      </c>
      <c r="C534" s="43"/>
      <c r="D534" s="29"/>
      <c r="E534" s="29"/>
      <c r="F534" s="255" t="str">
        <f>IF(D534="","",VLOOKUP(D534,契約台帳!$A$3:$K$4986,6,FALSE)&amp;VLOOKUP(D534,契約台帳!$A$3:$K$4986,7,FALSE)&amp;VLOOKUP(D534,契約台帳!$A$3:$K$4986,8,FALSE)&amp;VLOOKUP(D534,契約台帳!$A$3:$K$4986,9,FALSE)&amp;VLOOKUP(D534,契約台帳!$A$3:$K$4986,11,FALSE))</f>
        <v/>
      </c>
      <c r="G534" s="256" t="str">
        <f>IF(D534="","",VLOOKUP(F534,製品マスタ!$G$5:$H$4999,2,FALSE))</f>
        <v/>
      </c>
      <c r="H534" s="256" t="str">
        <f>IF(D534="","",VLOOKUP(F534,製品マスタ!$G$5:$K$4999,5,FALSE))</f>
        <v/>
      </c>
      <c r="I534" s="200" t="str">
        <f>IF(D534="","",VLOOKUP(F534,製品マスタ!$G$5:$L$4999,6,FALSE))</f>
        <v/>
      </c>
      <c r="J534" s="203" t="s">
        <v>1126</v>
      </c>
      <c r="K534" s="200" t="str">
        <f>IF(D534="","",VLOOKUP(D534,契約台帳!$A$3:$L$4986,12,FALSE))</f>
        <v/>
      </c>
      <c r="L534" s="200" t="str">
        <f>IF(D534="","",INDEX(製品マスタ!$Q$5:$Q$4999,MATCH('S4'!F534&amp;'S4'!K534,製品マスタ!$AO$5:$AO$4999,0)))</f>
        <v/>
      </c>
      <c r="M534" s="37"/>
      <c r="N534" s="37"/>
      <c r="O534" s="153"/>
      <c r="P534" s="45"/>
      <c r="Q534" s="54"/>
      <c r="R534" s="257" t="str">
        <f ca="1">IF(D534="","",IF(OFFSET(D534,-1,0)&lt;&gt;"","",IF(OR(J534="リード付け",J534="巻足し",J534="巻返しリード付け"),M534,VLOOKUP(D534,契約台帳!$A$3:$N$4986,14,FALSE))))</f>
        <v/>
      </c>
      <c r="S534" s="258" t="str">
        <f ca="1">IF(D534="","",IF(OFFSET(D534,-1,0)&lt;&gt;"","",IF(OR(J534="リード付け",J534="巻足し",J534="巻返しリード付け"),M534,VLOOKUP(D534,契約台帳!$A$3:$O$4986,15,FALSE))))</f>
        <v/>
      </c>
      <c r="T534" s="258" t="str">
        <f ca="1">IF(D534="","",IF(J534="リード付け",N534,IF(J534="巻返しリード付け",N534,IF(J534="巻足し",N534*P534+OFFSET(N534,1,0)*OFFSET(P534,1,0),VLOOKUP(D534,契約台帳!$A$3:$P$4986,16,FALSE)))))</f>
        <v/>
      </c>
      <c r="U534" s="38"/>
      <c r="V534" s="259" t="str">
        <f ca="1">IF(D534="","",IF(OFFSET(D534,-2,0)=D534,"",VLOOKUP(D534,契約台帳!$A$3:$R$4986,18,FALSE)))</f>
        <v/>
      </c>
      <c r="W534" s="256" t="str">
        <f>IF(D534="","",IF(T534="","",IF(OR(J534="巻足し",J534="巻返しリード付け"),"",IF(J534="巻返し",VLOOKUP(F534&amp;K534&amp;M534,製品マスタ!$M$5:$AD$4999,18,FALSE),IF(OR(J534="リード付け",J534="巻返しリード付け"),"原反コア",IF(J534="スリット",VLOOKUP(F534&amp;K534&amp;R534,製品マスタ!$N$5:$AD$4999,17,FALSE),""))))))</f>
        <v/>
      </c>
      <c r="X534" s="256" t="str">
        <f>IF(D534="","",IF(T534="","",IF(J534="巻足し","",IF(J534="巻返し",VLOOKUP(F534&amp;K534&amp;M534,製品マスタ!$M$5:$AE$4999,19,FALSE),IF(OR(J534="リード付け",J534="巻返しリード付け"),"",IF(J534="スリット",VLOOKUP(F534&amp;K534&amp;R534,製品マスタ!$N$5:$AE$4999,18,FALSE),""))))))</f>
        <v/>
      </c>
      <c r="Y534" s="256" t="str">
        <f>IF(D534="","",IF(T534="","",VLOOKUP(D534,契約台帳!$A$3:$Q$4986,17,FALSE)))</f>
        <v/>
      </c>
      <c r="Z534" s="256" t="str">
        <f>IF(D534="","",IF(T534="","",VLOOKUP(D534,契約台帳!$A$3:$E$4986,5,FALSE)))</f>
        <v/>
      </c>
      <c r="AA534" s="54"/>
      <c r="AB534" s="200" t="str">
        <f>IFERROR((VLOOKUP(F534&amp;K534&amp;M534,製品マスタ!$M$5:$AM$4999,27,FALSE)),"")</f>
        <v/>
      </c>
      <c r="AC534" s="31"/>
      <c r="AD534" s="184"/>
      <c r="AE534" s="51"/>
      <c r="AF534" s="52"/>
      <c r="AG534" s="41"/>
      <c r="AH534" s="45"/>
      <c r="AI534" s="28"/>
      <c r="AJ534" s="28"/>
      <c r="AK534" s="28"/>
      <c r="AL534" s="28"/>
      <c r="AM534" s="12"/>
      <c r="AN534" s="12"/>
      <c r="AO534" s="12"/>
      <c r="AP534" s="12"/>
      <c r="AQ534" s="12"/>
      <c r="AR534" s="13"/>
      <c r="AS534" s="14"/>
    </row>
    <row r="535" spans="1:45" s="16" customFormat="1" ht="30.95" hidden="1" customHeight="1" x14ac:dyDescent="0.2">
      <c r="A535" s="35"/>
      <c r="B535" s="36"/>
      <c r="C535" s="43"/>
      <c r="D535" s="29"/>
      <c r="E535" s="29"/>
      <c r="F535" s="255" t="str">
        <f>IF(D535="","",VLOOKUP(D535,契約台帳!$A$3:$K$4986,6,FALSE)&amp;VLOOKUP(D535,契約台帳!$A$3:$K$4986,7,FALSE)&amp;VLOOKUP(D535,契約台帳!$A$3:$K$4986,8,FALSE)&amp;VLOOKUP(D535,契約台帳!$A$3:$K$4986,9,FALSE)&amp;VLOOKUP(D535,契約台帳!$A$3:$K$4986,11,FALSE))</f>
        <v/>
      </c>
      <c r="G535" s="256" t="str">
        <f>IF(D535="","",VLOOKUP(F535,製品マスタ!$G$5:$H$4999,2,FALSE))</f>
        <v/>
      </c>
      <c r="H535" s="256" t="str">
        <f>IF(D535="","",VLOOKUP(F535,製品マスタ!$G$5:$K$4999,5,FALSE))</f>
        <v/>
      </c>
      <c r="I535" s="200" t="str">
        <f>IF(D535="","",VLOOKUP(F535,製品マスタ!$G$5:$L$4999,6,FALSE))</f>
        <v/>
      </c>
      <c r="J535" s="203"/>
      <c r="K535" s="200" t="str">
        <f>IF(D535="","",VLOOKUP(D535,契約台帳!$A$3:$L$4986,12,FALSE))</f>
        <v/>
      </c>
      <c r="L535" s="200" t="str">
        <f>IF(D535="","",INDEX(製品マスタ!$Q$5:$Q$4999,MATCH('S4'!F535&amp;'S4'!K535,製品マスタ!$AO$5:$AO$4999,0)))</f>
        <v/>
      </c>
      <c r="M535" s="37"/>
      <c r="N535" s="37"/>
      <c r="O535" s="153"/>
      <c r="P535" s="45"/>
      <c r="Q535" s="54"/>
      <c r="R535" s="257" t="str">
        <f ca="1">IF(D535="","",IF(OFFSET(D535,-1,0)&lt;&gt;"","",IF(OR(J535="リード付け",J535="巻足し",J535="巻返しリード付け"),M535,VLOOKUP(D535,契約台帳!$A$3:$N$4986,14,FALSE))))</f>
        <v/>
      </c>
      <c r="S535" s="258" t="str">
        <f ca="1">IF(D535="","",IF(OFFSET(D535,-1,0)&lt;&gt;"","",IF(OR(J535="リード付け",J535="巻足し",J535="巻返しリード付け"),M535,VLOOKUP(D535,契約台帳!$A$3:$O$4986,15,FALSE))))</f>
        <v/>
      </c>
      <c r="T535" s="258" t="str">
        <f ca="1">IF(D535="","",IF(J535="リード付け",N535,IF(J535="巻返しリード付け",N535,IF(J535="巻足し",N535*P535+OFFSET(N535,1,0)*OFFSET(P535,1,0),VLOOKUP(D535,契約台帳!$A$3:$P$4986,16,FALSE)))))</f>
        <v/>
      </c>
      <c r="U535" s="38"/>
      <c r="V535" s="259" t="str">
        <f ca="1">IF(D535="","",IF(OFFSET(D535,-2,0)=D535,"",VLOOKUP(D535,契約台帳!$A$3:$R$4986,18,FALSE)))</f>
        <v/>
      </c>
      <c r="W535" s="256" t="str">
        <f>IF(D535="","",IF(T535="","",IF(OR(J535="巻足し",J535="巻返しリード付け"),"",IF(J535="巻返し",VLOOKUP(F535&amp;K535&amp;M535,製品マスタ!$M$5:$AD$4999,18,FALSE),IF(OR(J535="リード付け",J535="巻返しリード付け"),"原反コア",IF(J535="スリット",VLOOKUP(F535&amp;K535&amp;R535,製品マスタ!$N$5:$AD$4999,17,FALSE),""))))))</f>
        <v/>
      </c>
      <c r="X535" s="256" t="str">
        <f>IF(D535="","",IF(T535="","",IF(J535="巻足し","",IF(J535="巻返し",VLOOKUP(F535&amp;K535&amp;M535,製品マスタ!$M$5:$AE$4999,19,FALSE),IF(OR(J535="リード付け",J535="巻返しリード付け"),"",IF(J535="スリット",VLOOKUP(F535&amp;K535&amp;R535,製品マスタ!$N$5:$AE$4999,18,FALSE),""))))))</f>
        <v/>
      </c>
      <c r="Y535" s="256" t="str">
        <f>IF(D535="","",IF(T535="","",VLOOKUP(D535,契約台帳!$A$3:$Q$4986,17,FALSE)))</f>
        <v/>
      </c>
      <c r="Z535" s="256" t="str">
        <f>IF(D535="","",IF(T535="","",VLOOKUP(D535,契約台帳!$A$3:$E$4986,5,FALSE)))</f>
        <v/>
      </c>
      <c r="AA535" s="54"/>
      <c r="AB535" s="200" t="str">
        <f>IFERROR((VLOOKUP(F535&amp;K535&amp;M535,製品マスタ!$M$5:$AM$4999,27,FALSE)),"")</f>
        <v/>
      </c>
      <c r="AC535" s="31"/>
      <c r="AD535" s="184"/>
      <c r="AE535" s="51"/>
      <c r="AF535" s="52"/>
      <c r="AG535" s="41"/>
      <c r="AH535" s="45"/>
      <c r="AI535" s="28"/>
      <c r="AJ535" s="28"/>
      <c r="AK535" s="28"/>
      <c r="AL535" s="28"/>
      <c r="AM535" s="12"/>
      <c r="AN535" s="12"/>
      <c r="AO535" s="12"/>
      <c r="AP535" s="12"/>
      <c r="AQ535" s="12"/>
      <c r="AR535" s="13"/>
      <c r="AS535" s="14"/>
    </row>
    <row r="536" spans="1:45" s="16" customFormat="1" ht="30.95" hidden="1" customHeight="1" x14ac:dyDescent="0.2">
      <c r="A536" s="35" t="s">
        <v>1117</v>
      </c>
      <c r="B536" s="36" t="s">
        <v>462</v>
      </c>
      <c r="C536" s="43"/>
      <c r="D536" s="29"/>
      <c r="E536" s="29"/>
      <c r="F536" s="255"/>
      <c r="G536" s="256"/>
      <c r="H536" s="256"/>
      <c r="I536" s="200"/>
      <c r="J536" s="203"/>
      <c r="K536" s="200"/>
      <c r="L536" s="200"/>
      <c r="M536" s="37"/>
      <c r="N536" s="37"/>
      <c r="O536" s="153"/>
      <c r="P536" s="45"/>
      <c r="Q536" s="54"/>
      <c r="R536" s="257"/>
      <c r="S536" s="258"/>
      <c r="T536" s="258"/>
      <c r="U536" s="38"/>
      <c r="V536" s="259"/>
      <c r="W536" s="256"/>
      <c r="X536" s="256"/>
      <c r="Y536" s="256"/>
      <c r="Z536" s="256"/>
      <c r="AA536" s="54"/>
      <c r="AB536" s="200"/>
      <c r="AC536" s="31"/>
      <c r="AD536" s="184"/>
      <c r="AE536" s="51"/>
      <c r="AF536" s="52"/>
      <c r="AG536" s="41"/>
      <c r="AH536" s="45"/>
      <c r="AI536" s="28"/>
      <c r="AJ536" s="28"/>
      <c r="AK536" s="28"/>
      <c r="AL536" s="28"/>
      <c r="AM536" s="12"/>
      <c r="AN536" s="12"/>
      <c r="AO536" s="12"/>
      <c r="AP536" s="12"/>
      <c r="AQ536" s="12"/>
      <c r="AR536" s="13"/>
      <c r="AS536" s="14"/>
    </row>
    <row r="537" spans="1:45" s="16" customFormat="1" ht="30.95" hidden="1" customHeight="1" x14ac:dyDescent="0.2">
      <c r="A537" s="35"/>
      <c r="B537" s="36"/>
      <c r="C537" s="43"/>
      <c r="D537" s="29"/>
      <c r="E537" s="29"/>
      <c r="F537" s="255"/>
      <c r="G537" s="256"/>
      <c r="H537" s="256"/>
      <c r="I537" s="200"/>
      <c r="J537" s="203"/>
      <c r="K537" s="200"/>
      <c r="L537" s="200"/>
      <c r="M537" s="37"/>
      <c r="N537" s="37"/>
      <c r="O537" s="153"/>
      <c r="P537" s="45"/>
      <c r="Q537" s="54"/>
      <c r="R537" s="257"/>
      <c r="S537" s="258"/>
      <c r="T537" s="258"/>
      <c r="U537" s="38"/>
      <c r="V537" s="259"/>
      <c r="W537" s="256"/>
      <c r="X537" s="256"/>
      <c r="Y537" s="256"/>
      <c r="Z537" s="256"/>
      <c r="AA537" s="54"/>
      <c r="AB537" s="200"/>
      <c r="AC537" s="31"/>
      <c r="AD537" s="184"/>
      <c r="AE537" s="51"/>
      <c r="AF537" s="52"/>
      <c r="AG537" s="41"/>
      <c r="AH537" s="45"/>
      <c r="AI537" s="28"/>
      <c r="AJ537" s="28"/>
      <c r="AK537" s="28"/>
      <c r="AL537" s="28"/>
      <c r="AM537" s="12"/>
      <c r="AN537" s="12"/>
      <c r="AO537" s="12"/>
      <c r="AP537" s="12"/>
      <c r="AQ537" s="12"/>
      <c r="AR537" s="13"/>
      <c r="AS537" s="14"/>
    </row>
    <row r="538" spans="1:45" s="16" customFormat="1" ht="30.95" hidden="1" customHeight="1" x14ac:dyDescent="0.2">
      <c r="A538" s="35" t="s">
        <v>1118</v>
      </c>
      <c r="B538" s="36" t="s">
        <v>688</v>
      </c>
      <c r="C538" s="43"/>
      <c r="D538" s="29">
        <v>3708704</v>
      </c>
      <c r="E538" s="29">
        <v>4140941</v>
      </c>
      <c r="F538" s="255" t="str">
        <f>IF(D538="","",VLOOKUP(D538,契約台帳!$A$3:$K$4986,6,FALSE)&amp;VLOOKUP(D538,契約台帳!$A$3:$K$4986,7,FALSE)&amp;VLOOKUP(D538,契約台帳!$A$3:$K$4986,8,FALSE)&amp;VLOOKUP(D538,契約台帳!$A$3:$K$4986,9,FALSE)&amp;VLOOKUP(D538,契約台帳!$A$3:$K$4986,11,FALSE))</f>
        <v>3SNCLBLEYK</v>
      </c>
      <c r="G538" s="256" t="str">
        <f>IF(D538="","",VLOOKUP(F538,製品マスタ!$G$5:$H$4999,2,FALSE))</f>
        <v>S</v>
      </c>
      <c r="H538" s="256" t="str">
        <f>IF(D538="","",VLOOKUP(F538,製品マスタ!$G$5:$K$4999,5,FALSE))</f>
        <v>LEYK</v>
      </c>
      <c r="I538" s="200" t="str">
        <f>IF(D538="","",VLOOKUP(F538,製品マスタ!$G$5:$L$4999,6,FALSE))</f>
        <v>ルミラー　ＥＹＫ</v>
      </c>
      <c r="J538" s="203" t="s">
        <v>1123</v>
      </c>
      <c r="K538" s="200">
        <f>IF(D538="","",VLOOKUP(D538,契約台帳!$A$3:$L$4986,12,FALSE))</f>
        <v>50</v>
      </c>
      <c r="L538" s="200" t="str">
        <f>IF(D538="","",INDEX(製品マスタ!$Q$5:$Q$4999,MATCH('S4'!F538&amp;'S4'!K538,製品マスタ!$AO$5:$AO$4999,0)))</f>
        <v>T62M</v>
      </c>
      <c r="M538" s="37">
        <v>1125</v>
      </c>
      <c r="N538" s="37">
        <v>6100</v>
      </c>
      <c r="O538" s="153">
        <v>8</v>
      </c>
      <c r="P538" s="45">
        <v>8</v>
      </c>
      <c r="Q538" s="54"/>
      <c r="R538" s="257">
        <f ca="1">IF(D538="","",IF(OFFSET(D538,-1,0)&lt;&gt;"","",IF(OR(J538="リード付け",J538="巻足し",J538="巻返しリード付け"),M538,VLOOKUP(D538,契約台帳!$A$3:$N$4986,14,FALSE))))</f>
        <v>1120</v>
      </c>
      <c r="S538" s="258">
        <f ca="1">IF(D538="","",IF(OFFSET(D538,-1,0)&lt;&gt;"","",IF(OR(J538="リード付け",J538="巻足し",J538="巻返しリード付け"),M538,VLOOKUP(D538,契約台帳!$A$3:$O$4986,15,FALSE))))</f>
        <v>1120</v>
      </c>
      <c r="T538" s="258">
        <f ca="1">IF(D538="","",IF(J538="リード付け",N538,IF(J538="巻返しリード付け",N538,IF(J538="巻足し",N538*P538+OFFSET(N538,1,0)*OFFSET(P538,1,0),VLOOKUP(D538,契約台帳!$A$3:$P$4986,16,FALSE)))))</f>
        <v>6000</v>
      </c>
      <c r="U538" s="38">
        <v>8</v>
      </c>
      <c r="V538" s="259">
        <f ca="1">IF(D538="","",IF(OFFSET(D538,-2,0)=D538,"",VLOOKUP(D538,契約台帳!$A$3:$R$4986,18,FALSE)))</f>
        <v>8</v>
      </c>
      <c r="W538" s="256" t="str">
        <f ca="1">IF(D538="","",IF(T538="","",IF(OR(J538="巻足し",J538="巻返しリード付け"),"",IF(J538="巻返し",VLOOKUP(F538&amp;K538&amp;M538,製品マスタ!$M$5:$AD$4999,18,FALSE),IF(OR(J538="リード付け",J538="巻返しリード付け"),"原反コア",IF(J538="スリット",VLOOKUP(F538&amp;K538&amp;R538,製品マスタ!$N$5:$AD$4999,17,FALSE),""))))))</f>
        <v>6ｲﾝﾁMｺｱ</v>
      </c>
      <c r="X538" s="256">
        <f ca="1">IF(D538="","",IF(T538="","",IF(J538="巻足し","",IF(J538="巻返し",VLOOKUP(F538&amp;K538&amp;M538,製品マスタ!$M$5:$AE$4999,19,FALSE),IF(OR(J538="リード付け",J538="巻返しリード付け"),"",IF(J538="スリット",VLOOKUP(F538&amp;K538&amp;R538,製品マスタ!$N$5:$AE$4999,18,FALSE),""))))))</f>
        <v>1140</v>
      </c>
      <c r="Y538" s="256">
        <f ca="1">IF(D538="","",IF(T538="","",VLOOKUP(D538,契約台帳!$A$3:$Q$4986,17,FALSE)))</f>
        <v>2</v>
      </c>
      <c r="Z538" s="256" t="str">
        <f ca="1">IF(D538="","",IF(T538="","",VLOOKUP(D538,契約台帳!$A$3:$E$4986,5,FALSE)))</f>
        <v>新タック化成㈱</v>
      </c>
      <c r="AA538" s="54">
        <v>45058</v>
      </c>
      <c r="AB538" s="200" t="str">
        <f>IFERROR((VLOOKUP(F538&amp;K538&amp;M538,製品マスタ!$M$5:$AM$4999,27,FALSE)),"")</f>
        <v>原反ケース再利用</v>
      </c>
      <c r="AC538" s="31"/>
      <c r="AD538" s="184"/>
      <c r="AE538" s="51"/>
      <c r="AF538" s="52"/>
      <c r="AG538" s="41"/>
      <c r="AH538" s="45"/>
      <c r="AI538" s="28"/>
      <c r="AJ538" s="28"/>
      <c r="AK538" s="28"/>
      <c r="AL538" s="28"/>
      <c r="AM538" s="12"/>
      <c r="AN538" s="12"/>
      <c r="AO538" s="12"/>
      <c r="AP538" s="12"/>
      <c r="AQ538" s="12"/>
      <c r="AR538" s="13"/>
      <c r="AS538" s="14"/>
    </row>
    <row r="539" spans="1:45" s="16" customFormat="1" ht="30.95" hidden="1" customHeight="1" x14ac:dyDescent="0.2">
      <c r="A539" s="35"/>
      <c r="B539" s="36"/>
      <c r="C539" s="43"/>
      <c r="D539" s="29"/>
      <c r="E539" s="29"/>
      <c r="F539" s="255" t="str">
        <f>IF(D539="","",VLOOKUP(D539,契約台帳!$A$3:$K$4986,6,FALSE)&amp;VLOOKUP(D539,契約台帳!$A$3:$K$4986,7,FALSE)&amp;VLOOKUP(D539,契約台帳!$A$3:$K$4986,8,FALSE)&amp;VLOOKUP(D539,契約台帳!$A$3:$K$4986,9,FALSE)&amp;VLOOKUP(D539,契約台帳!$A$3:$K$4986,11,FALSE))</f>
        <v/>
      </c>
      <c r="G539" s="256" t="str">
        <f>IF(D539="","",VLOOKUP(F539,製品マスタ!$G$5:$H$4999,2,FALSE))</f>
        <v/>
      </c>
      <c r="H539" s="256" t="str">
        <f>IF(D539="","",VLOOKUP(F539,製品マスタ!$G$5:$K$4999,5,FALSE))</f>
        <v/>
      </c>
      <c r="I539" s="200" t="str">
        <f>IF(D539="","",VLOOKUP(F539,製品マスタ!$G$5:$L$4999,6,FALSE))</f>
        <v/>
      </c>
      <c r="J539" s="203"/>
      <c r="K539" s="200" t="str">
        <f>IF(D539="","",VLOOKUP(D539,契約台帳!$A$3:$L$4986,12,FALSE))</f>
        <v/>
      </c>
      <c r="L539" s="200" t="str">
        <f>IF(D539="","",INDEX(製品マスタ!$Q$5:$Q$4999,MATCH('S4'!F539&amp;'S4'!K539,製品マスタ!$AO$5:$AO$4999,0)))</f>
        <v/>
      </c>
      <c r="M539" s="37"/>
      <c r="N539" s="37"/>
      <c r="O539" s="153"/>
      <c r="P539" s="45"/>
      <c r="Q539" s="54"/>
      <c r="R539" s="257" t="str">
        <f ca="1">IF(D539="","",IF(OFFSET(D539,-1,0)&lt;&gt;"","",IF(OR(J539="リード付け",J539="巻足し",J539="巻返しリード付け"),M539,VLOOKUP(D539,契約台帳!$A$3:$N$4986,14,FALSE))))</f>
        <v/>
      </c>
      <c r="S539" s="258" t="str">
        <f ca="1">IF(D539="","",IF(OFFSET(D539,-1,0)&lt;&gt;"","",IF(OR(J539="リード付け",J539="巻足し",J539="巻返しリード付け"),M539,VLOOKUP(D539,契約台帳!$A$3:$O$4986,15,FALSE))))</f>
        <v/>
      </c>
      <c r="T539" s="258" t="str">
        <f ca="1">IF(D539="","",IF(J539="リード付け",N539,IF(J539="巻返しリード付け",N539,IF(J539="巻足し",N539*P539+OFFSET(N539,1,0)*OFFSET(P539,1,0),VLOOKUP(D539,契約台帳!$A$3:$P$4986,16,FALSE)))))</f>
        <v/>
      </c>
      <c r="U539" s="38"/>
      <c r="V539" s="259" t="str">
        <f ca="1">IF(D539="","",IF(OFFSET(D539,-2,0)=D539,"",VLOOKUP(D539,契約台帳!$A$3:$R$4986,18,FALSE)))</f>
        <v/>
      </c>
      <c r="W539" s="256" t="str">
        <f>IF(D539="","",IF(T539="","",IF(OR(J539="巻足し",J539="巻返しリード付け"),"",IF(J539="巻返し",VLOOKUP(F539&amp;K539&amp;M539,製品マスタ!$M$5:$AD$4999,18,FALSE),IF(OR(J539="リード付け",J539="巻返しリード付け"),"原反コア",IF(J539="スリット",VLOOKUP(F539&amp;K539&amp;R539,製品マスタ!$N$5:$AD$4999,17,FALSE),""))))))</f>
        <v/>
      </c>
      <c r="X539" s="256" t="str">
        <f>IF(D539="","",IF(T539="","",IF(J539="巻足し","",IF(J539="巻返し",VLOOKUP(F539&amp;K539&amp;M539,製品マスタ!$M$5:$AE$4999,19,FALSE),IF(OR(J539="リード付け",J539="巻返しリード付け"),"",IF(J539="スリット",VLOOKUP(F539&amp;K539&amp;R539,製品マスタ!$N$5:$AE$4999,18,FALSE),""))))))</f>
        <v/>
      </c>
      <c r="Y539" s="256" t="str">
        <f>IF(D539="","",IF(T539="","",VLOOKUP(D539,契約台帳!$A$3:$Q$4986,17,FALSE)))</f>
        <v/>
      </c>
      <c r="Z539" s="256" t="str">
        <f>IF(D539="","",IF(T539="","",VLOOKUP(D539,契約台帳!$A$3:$E$4986,5,FALSE)))</f>
        <v/>
      </c>
      <c r="AA539" s="54"/>
      <c r="AB539" s="200" t="str">
        <f>IFERROR((VLOOKUP(F539&amp;K539&amp;M539,製品マスタ!$M$5:$AM$4999,27,FALSE)),"")</f>
        <v/>
      </c>
      <c r="AC539" s="31"/>
      <c r="AD539" s="184"/>
      <c r="AE539" s="51"/>
      <c r="AF539" s="52"/>
      <c r="AG539" s="41"/>
      <c r="AH539" s="45"/>
      <c r="AI539" s="28"/>
      <c r="AJ539" s="28"/>
      <c r="AK539" s="28"/>
      <c r="AL539" s="28"/>
      <c r="AM539" s="12"/>
      <c r="AN539" s="12"/>
      <c r="AO539" s="12"/>
      <c r="AP539" s="12"/>
      <c r="AQ539" s="12"/>
      <c r="AR539" s="13"/>
      <c r="AS539" s="14"/>
    </row>
    <row r="540" spans="1:45" s="16" customFormat="1" ht="30.95" hidden="1" customHeight="1" x14ac:dyDescent="0.2">
      <c r="A540" s="35"/>
      <c r="B540" s="36"/>
      <c r="C540" s="43"/>
      <c r="D540" s="29">
        <v>3708703</v>
      </c>
      <c r="E540" s="29">
        <v>4140942</v>
      </c>
      <c r="F540" s="255" t="str">
        <f>IF(D540="","",VLOOKUP(D540,契約台帳!$A$3:$K$4986,6,FALSE)&amp;VLOOKUP(D540,契約台帳!$A$3:$K$4986,7,FALSE)&amp;VLOOKUP(D540,契約台帳!$A$3:$K$4986,8,FALSE)&amp;VLOOKUP(D540,契約台帳!$A$3:$K$4986,9,FALSE)&amp;VLOOKUP(D540,契約台帳!$A$3:$K$4986,11,FALSE))</f>
        <v>3SNCLBLEYK</v>
      </c>
      <c r="G540" s="256" t="str">
        <f>IF(D540="","",VLOOKUP(F540,製品マスタ!$G$5:$H$4999,2,FALSE))</f>
        <v>S</v>
      </c>
      <c r="H540" s="256" t="str">
        <f>IF(D540="","",VLOOKUP(F540,製品マスタ!$G$5:$K$4999,5,FALSE))</f>
        <v>LEYK</v>
      </c>
      <c r="I540" s="200" t="str">
        <f>IF(D540="","",VLOOKUP(F540,製品マスタ!$G$5:$L$4999,6,FALSE))</f>
        <v>ルミラー　ＥＹＫ</v>
      </c>
      <c r="J540" s="203" t="s">
        <v>1123</v>
      </c>
      <c r="K540" s="200">
        <f>IF(D540="","",VLOOKUP(D540,契約台帳!$A$3:$L$4986,12,FALSE))</f>
        <v>25</v>
      </c>
      <c r="L540" s="200" t="str">
        <f>IF(D540="","",INDEX(製品マスタ!$Q$5:$Q$4999,MATCH('S4'!F540&amp;'S4'!K540,製品マスタ!$AO$5:$AO$4999,0)))</f>
        <v>T62M</v>
      </c>
      <c r="M540" s="37">
        <v>1120</v>
      </c>
      <c r="N540" s="37">
        <v>12100</v>
      </c>
      <c r="O540" s="153">
        <v>2</v>
      </c>
      <c r="P540" s="45">
        <v>2</v>
      </c>
      <c r="Q540" s="54"/>
      <c r="R540" s="257">
        <f ca="1">IF(D540="","",IF(OFFSET(D540,-1,0)&lt;&gt;"","",IF(OR(J540="リード付け",J540="巻足し",J540="巻返しリード付け"),M540,VLOOKUP(D540,契約台帳!$A$3:$N$4986,14,FALSE))))</f>
        <v>1120</v>
      </c>
      <c r="S540" s="258">
        <f ca="1">IF(D540="","",IF(OFFSET(D540,-1,0)&lt;&gt;"","",IF(OR(J540="リード付け",J540="巻足し",J540="巻返しリード付け"),M540,VLOOKUP(D540,契約台帳!$A$3:$O$4986,15,FALSE))))</f>
        <v>1120</v>
      </c>
      <c r="T540" s="258">
        <f ca="1">IF(D540="","",IF(J540="リード付け",N540,IF(J540="巻返しリード付け",N540,IF(J540="巻足し",N540*P540+OFFSET(N540,1,0)*OFFSET(P540,1,0),VLOOKUP(D540,契約台帳!$A$3:$P$4986,16,FALSE)))))</f>
        <v>6000</v>
      </c>
      <c r="U540" s="38">
        <v>4</v>
      </c>
      <c r="V540" s="259">
        <f ca="1">IF(D540="","",IF(OFFSET(D540,-2,0)=D540,"",VLOOKUP(D540,契約台帳!$A$3:$R$4986,18,FALSE)))</f>
        <v>4</v>
      </c>
      <c r="W540" s="256" t="str">
        <f ca="1">IF(D540="","",IF(T540="","",IF(OR(J540="巻足し",J540="巻返しリード付け"),"",IF(J540="巻返し",VLOOKUP(F540&amp;K540&amp;M540,製品マスタ!$M$5:$AD$4999,18,FALSE),IF(OR(J540="リード付け",J540="巻返しリード付け"),"原反コア",IF(J540="スリット",VLOOKUP(F540&amp;K540&amp;R540,製品マスタ!$N$5:$AD$4999,17,FALSE),""))))))</f>
        <v>6ｲﾝﾁMｺｱ</v>
      </c>
      <c r="X540" s="256">
        <f ca="1">IF(D540="","",IF(T540="","",IF(J540="巻足し","",IF(J540="巻返し",VLOOKUP(F540&amp;K540&amp;M540,製品マスタ!$M$5:$AE$4999,19,FALSE),IF(OR(J540="リード付け",J540="巻返しリード付け"),"",IF(J540="スリット",VLOOKUP(F540&amp;K540&amp;R540,製品マスタ!$N$5:$AE$4999,18,FALSE),""))))))</f>
        <v>1140</v>
      </c>
      <c r="Y540" s="256">
        <f ca="1">IF(D540="","",IF(T540="","",VLOOKUP(D540,契約台帳!$A$3:$Q$4986,17,FALSE)))</f>
        <v>2</v>
      </c>
      <c r="Z540" s="256" t="str">
        <f ca="1">IF(D540="","",IF(T540="","",VLOOKUP(D540,契約台帳!$A$3:$E$4986,5,FALSE)))</f>
        <v>新タック化成㈱</v>
      </c>
      <c r="AA540" s="54">
        <v>45058</v>
      </c>
      <c r="AB540" s="200">
        <f>IFERROR((VLOOKUP(F540&amp;K540&amp;M540,製品マスタ!$M$5:$AM$4999,27,FALSE)),"")</f>
        <v>0</v>
      </c>
      <c r="AC540" s="31"/>
      <c r="AD540" s="184"/>
      <c r="AE540" s="51"/>
      <c r="AF540" s="52"/>
      <c r="AG540" s="41"/>
      <c r="AH540" s="45"/>
      <c r="AI540" s="28"/>
      <c r="AJ540" s="28"/>
      <c r="AK540" s="28"/>
      <c r="AL540" s="28"/>
      <c r="AM540" s="12"/>
      <c r="AN540" s="12"/>
      <c r="AO540" s="12"/>
      <c r="AP540" s="12"/>
      <c r="AQ540" s="12"/>
      <c r="AR540" s="13"/>
      <c r="AS540" s="14"/>
    </row>
    <row r="541" spans="1:45" s="16" customFormat="1" ht="30.95" hidden="1" customHeight="1" x14ac:dyDescent="0.2">
      <c r="A541" s="35"/>
      <c r="B541" s="36"/>
      <c r="C541" s="43"/>
      <c r="D541" s="29"/>
      <c r="E541" s="29"/>
      <c r="F541" s="255" t="str">
        <f>IF(D541="","",VLOOKUP(D541,契約台帳!$A$3:$K$4986,6,FALSE)&amp;VLOOKUP(D541,契約台帳!$A$3:$K$4986,7,FALSE)&amp;VLOOKUP(D541,契約台帳!$A$3:$K$4986,8,FALSE)&amp;VLOOKUP(D541,契約台帳!$A$3:$K$4986,9,FALSE)&amp;VLOOKUP(D541,契約台帳!$A$3:$K$4986,11,FALSE))</f>
        <v/>
      </c>
      <c r="G541" s="256" t="str">
        <f>IF(D541="","",VLOOKUP(F541,製品マスタ!$G$5:$H$4999,2,FALSE))</f>
        <v/>
      </c>
      <c r="H541" s="256" t="str">
        <f>IF(D541="","",VLOOKUP(F541,製品マスタ!$G$5:$K$4999,5,FALSE))</f>
        <v/>
      </c>
      <c r="I541" s="200" t="str">
        <f>IF(D541="","",VLOOKUP(F541,製品マスタ!$G$5:$L$4999,6,FALSE))</f>
        <v/>
      </c>
      <c r="J541" s="203"/>
      <c r="K541" s="200" t="str">
        <f>IF(D541="","",VLOOKUP(D541,契約台帳!$A$3:$L$4986,12,FALSE))</f>
        <v/>
      </c>
      <c r="L541" s="200" t="str">
        <f>IF(D541="","",INDEX(製品マスタ!$Q$5:$Q$4999,MATCH('S4'!F541&amp;'S4'!K541,製品マスタ!$AO$5:$AO$4999,0)))</f>
        <v/>
      </c>
      <c r="M541" s="37"/>
      <c r="N541" s="37"/>
      <c r="O541" s="153"/>
      <c r="P541" s="45"/>
      <c r="Q541" s="54"/>
      <c r="R541" s="257" t="str">
        <f ca="1">IF(D541="","",IF(OFFSET(D541,-1,0)&lt;&gt;"","",IF(OR(J541="リード付け",J541="巻足し",J541="巻返しリード付け"),M541,VLOOKUP(D541,契約台帳!$A$3:$N$4986,14,FALSE))))</f>
        <v/>
      </c>
      <c r="S541" s="258" t="str">
        <f ca="1">IF(D541="","",IF(OFFSET(D541,-1,0)&lt;&gt;"","",IF(OR(J541="リード付け",J541="巻足し",J541="巻返しリード付け"),M541,VLOOKUP(D541,契約台帳!$A$3:$O$4986,15,FALSE))))</f>
        <v/>
      </c>
      <c r="T541" s="258" t="str">
        <f ca="1">IF(D541="","",IF(J541="リード付け",N541,IF(J541="巻返しリード付け",N541,IF(J541="巻足し",N541*P541+OFFSET(N541,1,0)*OFFSET(P541,1,0),VLOOKUP(D541,契約台帳!$A$3:$P$4986,16,FALSE)))))</f>
        <v/>
      </c>
      <c r="U541" s="38"/>
      <c r="V541" s="259" t="str">
        <f ca="1">IF(D541="","",IF(OFFSET(D541,-2,0)=D541,"",VLOOKUP(D541,契約台帳!$A$3:$R$4986,18,FALSE)))</f>
        <v/>
      </c>
      <c r="W541" s="256" t="str">
        <f>IF(D541="","",IF(T541="","",IF(OR(J541="巻足し",J541="巻返しリード付け"),"",IF(J541="巻返し",VLOOKUP(F541&amp;K541&amp;M541,製品マスタ!$M$5:$AD$4999,18,FALSE),IF(OR(J541="リード付け",J541="巻返しリード付け"),"原反コア",IF(J541="スリット",VLOOKUP(F541&amp;K541&amp;R541,製品マスタ!$N$5:$AD$4999,17,FALSE),""))))))</f>
        <v/>
      </c>
      <c r="X541" s="256" t="str">
        <f>IF(D541="","",IF(T541="","",IF(J541="巻足し","",IF(J541="巻返し",VLOOKUP(F541&amp;K541&amp;M541,製品マスタ!$M$5:$AE$4999,19,FALSE),IF(OR(J541="リード付け",J541="巻返しリード付け"),"",IF(J541="スリット",VLOOKUP(F541&amp;K541&amp;R541,製品マスタ!$N$5:$AE$4999,18,FALSE),""))))))</f>
        <v/>
      </c>
      <c r="Y541" s="256" t="str">
        <f>IF(D541="","",IF(T541="","",VLOOKUP(D541,契約台帳!$A$3:$Q$4986,17,FALSE)))</f>
        <v/>
      </c>
      <c r="Z541" s="256" t="str">
        <f>IF(D541="","",IF(T541="","",VLOOKUP(D541,契約台帳!$A$3:$E$4986,5,FALSE)))</f>
        <v/>
      </c>
      <c r="AA541" s="54"/>
      <c r="AB541" s="200" t="str">
        <f>IFERROR((VLOOKUP(F541&amp;K541&amp;M541,製品マスタ!$M$5:$AM$4999,27,FALSE)),"")</f>
        <v/>
      </c>
      <c r="AC541" s="31"/>
      <c r="AD541" s="184"/>
      <c r="AE541" s="51"/>
      <c r="AF541" s="52"/>
      <c r="AG541" s="41"/>
      <c r="AH541" s="45"/>
      <c r="AI541" s="28"/>
      <c r="AJ541" s="28"/>
      <c r="AK541" s="28"/>
      <c r="AL541" s="28"/>
      <c r="AM541" s="12"/>
      <c r="AN541" s="12"/>
      <c r="AO541" s="12"/>
      <c r="AP541" s="12"/>
      <c r="AQ541" s="12"/>
      <c r="AR541" s="13"/>
      <c r="AS541" s="14"/>
    </row>
    <row r="542" spans="1:45" s="16" customFormat="1" ht="30.95" hidden="1" customHeight="1" x14ac:dyDescent="0.2">
      <c r="A542" s="35" t="s">
        <v>1119</v>
      </c>
      <c r="B542" s="36" t="s">
        <v>442</v>
      </c>
      <c r="C542" s="43"/>
      <c r="D542" s="29">
        <v>3711137</v>
      </c>
      <c r="E542" s="29">
        <v>4161913</v>
      </c>
      <c r="F542" s="255" t="str">
        <f>IF(D542="","",VLOOKUP(D542,契約台帳!$A$3:$K$4986,6,FALSE)&amp;VLOOKUP(D542,契約台帳!$A$3:$K$4986,7,FALSE)&amp;VLOOKUP(D542,契約台帳!$A$3:$K$4986,8,FALSE)&amp;VLOOKUP(D542,契約台帳!$A$3:$K$4986,9,FALSE)&amp;VLOOKUP(D542,契約台帳!$A$3:$K$4986,11,FALSE))</f>
        <v>3SNMLBMTSF</v>
      </c>
      <c r="G542" s="256" t="str">
        <f>IF(D542="","",VLOOKUP(F542,製品マスタ!$G$5:$H$4999,2,FALSE))</f>
        <v>S</v>
      </c>
      <c r="H542" s="256" t="str">
        <f>IF(D542="","",VLOOKUP(F542,製品マスタ!$G$5:$K$4999,5,FALSE))</f>
        <v>MTSF</v>
      </c>
      <c r="I542" s="200" t="str">
        <f>IF(D542="","",VLOOKUP(F542,製品マスタ!$G$5:$L$4999,6,FALSE))</f>
        <v>メタルミー　ＴＳ</v>
      </c>
      <c r="J542" s="203" t="s">
        <v>464</v>
      </c>
      <c r="K542" s="200">
        <f>IF(D542="","",VLOOKUP(D542,契約台帳!$A$3:$L$4986,12,FALSE))</f>
        <v>75</v>
      </c>
      <c r="L542" s="200" t="str">
        <f>IF(D542="","",INDEX(製品マスタ!$Q$5:$Q$4999,MATCH('S4'!F542&amp;'S4'!K542,製品マスタ!$AO$5:$AO$4999,0)))</f>
        <v>T60</v>
      </c>
      <c r="M542" s="37">
        <v>1100</v>
      </c>
      <c r="N542" s="37">
        <v>2000</v>
      </c>
      <c r="O542" s="153">
        <v>1</v>
      </c>
      <c r="P542" s="45">
        <v>1</v>
      </c>
      <c r="Q542" s="206">
        <v>45056</v>
      </c>
      <c r="R542" s="257">
        <f ca="1">IF(D542="","",IF(OFFSET(D542,-1,0)&lt;&gt;"","",IF(OR(J542="リード付け",J542="巻足し",J542="巻返しリード付け"),M542,VLOOKUP(D542,契約台帳!$A$3:$N$4986,14,FALSE))))</f>
        <v>1100</v>
      </c>
      <c r="S542" s="258">
        <f ca="1">IF(D542="","",IF(OFFSET(D542,-1,0)&lt;&gt;"","",IF(OR(J542="リード付け",J542="巻足し",J542="巻返しリード付け"),M542,VLOOKUP(D542,契約台帳!$A$3:$O$4986,15,FALSE))))</f>
        <v>1100</v>
      </c>
      <c r="T542" s="258">
        <f ca="1">IF(D542="","",IF(J542="リード付け",N542,IF(J542="巻返しリード付け",N542,IF(J542="巻足し",N542*P542+OFFSET(N542,1,0)*OFFSET(P542,1,0),VLOOKUP(D542,契約台帳!$A$3:$P$4986,16,FALSE)))))</f>
        <v>2000</v>
      </c>
      <c r="U542" s="38">
        <v>1</v>
      </c>
      <c r="V542" s="259">
        <f ca="1">IF(D542="","",IF(OFFSET(D542,-2,0)=D542,"",VLOOKUP(D542,契約台帳!$A$3:$R$4986,18,FALSE)))</f>
        <v>2</v>
      </c>
      <c r="W542" s="256" t="str">
        <f ca="1">IF(D542="","",IF(T542="","",IF(OR(J542="巻足し",J542="巻返しリード付け"),"",IF(J542="巻返し",VLOOKUP(F542&amp;K542&amp;M542,製品マスタ!$M$5:$AD$4999,18,FALSE),IF(OR(J542="リード付け",J542="巻返しリード付け"),"原反コア",IF(J542="スリット",VLOOKUP(F542&amp;K542&amp;R542,製品マスタ!$N$5:$AD$4999,17,FALSE),""))))))</f>
        <v>原反コア</v>
      </c>
      <c r="X542" s="256" t="str">
        <f ca="1">IF(D542="","",IF(T542="","",IF(J542="巻足し","",IF(J542="巻返し",VLOOKUP(F542&amp;K542&amp;M542,製品マスタ!$M$5:$AE$4999,19,FALSE),IF(OR(J542="リード付け",J542="巻返しリード付け"),"",IF(J542="スリット",VLOOKUP(F542&amp;K542&amp;R542,製品マスタ!$N$5:$AE$4999,18,FALSE),""))))))</f>
        <v/>
      </c>
      <c r="Y542" s="256">
        <f ca="1">IF(D542="","",IF(T542="","",VLOOKUP(D542,契約台帳!$A$3:$Q$4986,17,FALSE)))</f>
        <v>2</v>
      </c>
      <c r="Z542" s="256" t="str">
        <f ca="1">IF(D542="","",IF(T542="","",VLOOKUP(D542,契約台帳!$A$3:$E$4986,5,FALSE)))</f>
        <v>パナック㈱亀山工場</v>
      </c>
      <c r="AA542" s="54"/>
      <c r="AB542" s="200">
        <f>IFERROR((VLOOKUP(F542&amp;K542&amp;M542,製品マスタ!$M$5:$AM$4999,27,FALSE)),"")</f>
        <v>0</v>
      </c>
      <c r="AC542" s="31"/>
      <c r="AD542" s="184"/>
      <c r="AE542" s="51"/>
      <c r="AF542" s="52"/>
      <c r="AG542" s="41"/>
      <c r="AH542" s="45"/>
      <c r="AI542" s="28"/>
      <c r="AJ542" s="28"/>
      <c r="AK542" s="28"/>
      <c r="AL542" s="28"/>
      <c r="AM542" s="12"/>
      <c r="AN542" s="12"/>
      <c r="AO542" s="12"/>
      <c r="AP542" s="12"/>
      <c r="AQ542" s="12"/>
      <c r="AR542" s="13"/>
      <c r="AS542" s="14"/>
    </row>
    <row r="543" spans="1:45" s="16" customFormat="1" ht="30.95" hidden="1" customHeight="1" x14ac:dyDescent="0.2">
      <c r="A543" s="35"/>
      <c r="B543" s="36"/>
      <c r="C543" s="43"/>
      <c r="D543" s="29"/>
      <c r="E543" s="29"/>
      <c r="F543" s="255" t="str">
        <f>IF(D543="","",VLOOKUP(D543,契約台帳!$A$3:$K$4986,6,FALSE)&amp;VLOOKUP(D543,契約台帳!$A$3:$K$4986,7,FALSE)&amp;VLOOKUP(D543,契約台帳!$A$3:$K$4986,8,FALSE)&amp;VLOOKUP(D543,契約台帳!$A$3:$K$4986,9,FALSE)&amp;VLOOKUP(D543,契約台帳!$A$3:$K$4986,11,FALSE))</f>
        <v/>
      </c>
      <c r="G543" s="256" t="str">
        <f>IF(D543="","",VLOOKUP(F543,製品マスタ!$G$5:$H$4999,2,FALSE))</f>
        <v/>
      </c>
      <c r="H543" s="256" t="str">
        <f>IF(D543="","",VLOOKUP(F543,製品マスタ!$G$5:$K$4999,5,FALSE))</f>
        <v/>
      </c>
      <c r="I543" s="200" t="str">
        <f>IF(D543="","",VLOOKUP(F543,製品マスタ!$G$5:$L$4999,6,FALSE))</f>
        <v/>
      </c>
      <c r="J543" s="203"/>
      <c r="K543" s="200" t="str">
        <f>IF(D543="","",VLOOKUP(D543,契約台帳!$A$3:$L$4986,12,FALSE))</f>
        <v/>
      </c>
      <c r="L543" s="200" t="str">
        <f>IF(D543="","",INDEX(製品マスタ!$Q$5:$Q$4999,MATCH('S4'!F543&amp;'S4'!K543,製品マスタ!$AO$5:$AO$4999,0)))</f>
        <v/>
      </c>
      <c r="M543" s="37"/>
      <c r="N543" s="37"/>
      <c r="O543" s="153"/>
      <c r="P543" s="45"/>
      <c r="Q543" s="54"/>
      <c r="R543" s="257" t="str">
        <f ca="1">IF(D543="","",IF(OFFSET(D543,-1,0)&lt;&gt;"","",IF(OR(J543="リード付け",J543="巻足し",J543="巻返しリード付け"),M543,VLOOKUP(D543,契約台帳!$A$3:$N$4986,14,FALSE))))</f>
        <v/>
      </c>
      <c r="S543" s="258" t="str">
        <f ca="1">IF(D543="","",IF(OFFSET(D543,-1,0)&lt;&gt;"","",IF(OR(J543="リード付け",J543="巻足し",J543="巻返しリード付け"),M543,VLOOKUP(D543,契約台帳!$A$3:$O$4986,15,FALSE))))</f>
        <v/>
      </c>
      <c r="T543" s="258" t="str">
        <f ca="1">IF(D543="","",IF(J543="リード付け",N543,IF(J543="巻返しリード付け",N543,IF(J543="巻足し",N543*P543+OFFSET(N543,1,0)*OFFSET(P543,1,0),VLOOKUP(D543,契約台帳!$A$3:$P$4986,16,FALSE)))))</f>
        <v/>
      </c>
      <c r="U543" s="38"/>
      <c r="V543" s="259" t="str">
        <f ca="1">IF(D543="","",IF(OFFSET(D543,-2,0)=D543,"",VLOOKUP(D543,契約台帳!$A$3:$R$4986,18,FALSE)))</f>
        <v/>
      </c>
      <c r="W543" s="256" t="str">
        <f>IF(D543="","",IF(T543="","",IF(OR(J543="巻足し",J543="巻返しリード付け"),"",IF(J543="巻返し",VLOOKUP(F543&amp;K543&amp;M543,製品マスタ!$M$5:$AD$4999,18,FALSE),IF(OR(J543="リード付け",J543="巻返しリード付け"),"原反コア",IF(J543="スリット",VLOOKUP(F543&amp;K543&amp;R543,製品マスタ!$N$5:$AD$4999,17,FALSE),""))))))</f>
        <v/>
      </c>
      <c r="X543" s="256" t="str">
        <f>IF(D543="","",IF(T543="","",IF(J543="巻足し","",IF(J543="巻返し",VLOOKUP(F543&amp;K543&amp;M543,製品マスタ!$M$5:$AE$4999,19,FALSE),IF(OR(J543="リード付け",J543="巻返しリード付け"),"",IF(J543="スリット",VLOOKUP(F543&amp;K543&amp;R543,製品マスタ!$N$5:$AE$4999,18,FALSE),""))))))</f>
        <v/>
      </c>
      <c r="Y543" s="256" t="str">
        <f>IF(D543="","",IF(T543="","",VLOOKUP(D543,契約台帳!$A$3:$Q$4986,17,FALSE)))</f>
        <v/>
      </c>
      <c r="Z543" s="256" t="str">
        <f>IF(D543="","",IF(T543="","",VLOOKUP(D543,契約台帳!$A$3:$E$4986,5,FALSE)))</f>
        <v/>
      </c>
      <c r="AA543" s="54"/>
      <c r="AB543" s="200" t="str">
        <f>IFERROR((VLOOKUP(F543&amp;K543&amp;M543,製品マスタ!$M$5:$AM$4999,27,FALSE)),"")</f>
        <v/>
      </c>
      <c r="AC543" s="31"/>
      <c r="AD543" s="184"/>
      <c r="AE543" s="51"/>
      <c r="AF543" s="52"/>
      <c r="AG543" s="41"/>
      <c r="AH543" s="45"/>
      <c r="AI543" s="28"/>
      <c r="AJ543" s="28"/>
      <c r="AK543" s="28"/>
      <c r="AL543" s="28"/>
      <c r="AM543" s="12"/>
      <c r="AN543" s="12"/>
      <c r="AO543" s="12"/>
      <c r="AP543" s="12"/>
      <c r="AQ543" s="12"/>
      <c r="AR543" s="13"/>
      <c r="AS543" s="14"/>
    </row>
    <row r="544" spans="1:45" s="16" customFormat="1" ht="30.95" hidden="1" customHeight="1" x14ac:dyDescent="0.2">
      <c r="A544" s="35"/>
      <c r="B544" s="36"/>
      <c r="C544" s="43"/>
      <c r="D544" s="29">
        <v>3708716</v>
      </c>
      <c r="E544" s="29">
        <v>4161885</v>
      </c>
      <c r="F544" s="255" t="str">
        <f>IF(D544="","",VLOOKUP(D544,契約台帳!$A$3:$K$4986,6,FALSE)&amp;VLOOKUP(D544,契約台帳!$A$3:$K$4986,7,FALSE)&amp;VLOOKUP(D544,契約台帳!$A$3:$K$4986,8,FALSE)&amp;VLOOKUP(D544,契約台帳!$A$3:$K$4986,9,FALSE)&amp;VLOOKUP(D544,契約台帳!$A$3:$K$4986,11,FALSE))</f>
        <v>33SSNMCLBTEKKFV</v>
      </c>
      <c r="G544" s="256" t="str">
        <f>IF(D544="","",VLOOKUP(F544,製品マスタ!$G$5:$H$4999,2,FALSE))</f>
        <v>S</v>
      </c>
      <c r="H544" s="256" t="str">
        <f>IF(D544="","",VLOOKUP(F544,製品マスタ!$G$5:$K$4999,5,FALSE))</f>
        <v>TEKKFV</v>
      </c>
      <c r="I544" s="200" t="str">
        <f>IF(D544="","",VLOOKUP(F544,製品マスタ!$G$5:$L$4999,6,FALSE))</f>
        <v>メタルミー　ＴＥＳ消開封　Ｖ</v>
      </c>
      <c r="J544" s="203" t="s">
        <v>1102</v>
      </c>
      <c r="K544" s="200">
        <f>IF(D544="","",VLOOKUP(D544,契約台帳!$A$3:$L$4986,12,FALSE))</f>
        <v>50</v>
      </c>
      <c r="L544" s="200" t="str">
        <f>IF(D544="","",INDEX(製品マスタ!$Q$5:$Q$4999,MATCH('S4'!F544&amp;'S4'!K544,製品マスタ!$AO$5:$AO$4999,0)))</f>
        <v>X44SEPA</v>
      </c>
      <c r="M544" s="37">
        <v>1005</v>
      </c>
      <c r="N544" s="37">
        <v>4000</v>
      </c>
      <c r="O544" s="153">
        <v>3</v>
      </c>
      <c r="P544" s="45">
        <v>3</v>
      </c>
      <c r="Q544" s="206">
        <v>45056</v>
      </c>
      <c r="R544" s="257">
        <f ca="1">IF(D544="","",IF(OFFSET(D544,-1,0)&lt;&gt;"","",IF(OR(J544="リード付け",J544="巻足し",J544="巻返しリード付け"),M544,VLOOKUP(D544,契約台帳!$A$3:$N$4986,14,FALSE))))</f>
        <v>1005</v>
      </c>
      <c r="S544" s="258">
        <f ca="1">IF(D544="","",IF(OFFSET(D544,-1,0)&lt;&gt;"","",IF(OR(J544="リード付け",J544="巻足し",J544="巻返しリード付け"),M544,VLOOKUP(D544,契約台帳!$A$3:$O$4986,15,FALSE))))</f>
        <v>1005</v>
      </c>
      <c r="T544" s="258">
        <f ca="1">IF(D544="","",IF(J544="リード付け",N544,IF(J544="巻返しリード付け",N544,IF(J544="巻足し",N544*P544+OFFSET(N544,1,0)*OFFSET(P544,1,0),VLOOKUP(D544,契約台帳!$A$3:$P$4986,16,FALSE)))))</f>
        <v>12000</v>
      </c>
      <c r="U544" s="38">
        <v>1</v>
      </c>
      <c r="V544" s="259">
        <f ca="1">IF(D544="","",IF(OFFSET(D544,-2,0)=D544,"",VLOOKUP(D544,契約台帳!$A$3:$R$4986,18,FALSE)))</f>
        <v>3</v>
      </c>
      <c r="W544" s="256" t="str">
        <f ca="1">IF(D544="","",IF(T544="","",IF(OR(J544="巻足し",J544="巻返しリード付け"),"",IF(J544="巻返し",VLOOKUP(F544&amp;K544&amp;M544,製品マスタ!$M$5:$AD$4999,18,FALSE),IF(OR(J544="リード付け",J544="巻返しリード付け"),"原反コア",IF(J544="スリット",VLOOKUP(F544&amp;K544&amp;R544,製品マスタ!$N$5:$AD$4999,17,FALSE),""))))))</f>
        <v/>
      </c>
      <c r="X544" s="256" t="str">
        <f ca="1">IF(D544="","",IF(T544="","",IF(J544="巻足し","",IF(J544="巻返し",VLOOKUP(F544&amp;K544&amp;M544,製品マスタ!$M$5:$AE$4999,19,FALSE),IF(OR(J544="リード付け",J544="巻返しリード付け"),"",IF(J544="スリット",VLOOKUP(F544&amp;K544&amp;R544,製品マスタ!$N$5:$AE$4999,18,FALSE),""))))))</f>
        <v/>
      </c>
      <c r="Y544" s="256">
        <f ca="1">IF(D544="","",IF(T544="","",VLOOKUP(D544,契約台帳!$A$3:$Q$4986,17,FALSE)))</f>
        <v>2</v>
      </c>
      <c r="Z544" s="256" t="str">
        <f ca="1">IF(D544="","",IF(T544="","",VLOOKUP(D544,契約台帳!$A$3:$E$4986,5,FALSE)))</f>
        <v>リンテック㈱</v>
      </c>
      <c r="AA544" s="54"/>
      <c r="AB544" s="200">
        <f>IFERROR((VLOOKUP(F544&amp;K544&amp;M544,製品マスタ!$M$5:$AM$4999,27,FALSE)),"")</f>
        <v>0</v>
      </c>
      <c r="AC544" s="31"/>
      <c r="AD544" s="184"/>
      <c r="AE544" s="51"/>
      <c r="AF544" s="52"/>
      <c r="AG544" s="41"/>
      <c r="AH544" s="45"/>
      <c r="AI544" s="28"/>
      <c r="AJ544" s="28"/>
      <c r="AK544" s="28"/>
      <c r="AL544" s="28"/>
      <c r="AM544" s="12"/>
      <c r="AN544" s="12"/>
      <c r="AO544" s="12"/>
      <c r="AP544" s="12"/>
      <c r="AQ544" s="12"/>
      <c r="AR544" s="13"/>
      <c r="AS544" s="14"/>
    </row>
    <row r="545" spans="1:45" s="16" customFormat="1" ht="30.95" hidden="1" customHeight="1" x14ac:dyDescent="0.2">
      <c r="A545" s="35"/>
      <c r="B545" s="36"/>
      <c r="C545" s="43"/>
      <c r="D545" s="29"/>
      <c r="E545" s="29"/>
      <c r="F545" s="255" t="str">
        <f>IF(D545="","",VLOOKUP(D545,契約台帳!$A$3:$K$4986,6,FALSE)&amp;VLOOKUP(D545,契約台帳!$A$3:$K$4986,7,FALSE)&amp;VLOOKUP(D545,契約台帳!$A$3:$K$4986,8,FALSE)&amp;VLOOKUP(D545,契約台帳!$A$3:$K$4986,9,FALSE)&amp;VLOOKUP(D545,契約台帳!$A$3:$K$4986,11,FALSE))</f>
        <v/>
      </c>
      <c r="G545" s="256" t="str">
        <f>IF(D545="","",VLOOKUP(F545,製品マスタ!$G$5:$H$4999,2,FALSE))</f>
        <v/>
      </c>
      <c r="H545" s="256" t="str">
        <f>IF(D545="","",VLOOKUP(F545,製品マスタ!$G$5:$K$4999,5,FALSE))</f>
        <v/>
      </c>
      <c r="I545" s="200" t="str">
        <f>IF(D545="","",VLOOKUP(F545,製品マスタ!$G$5:$L$4999,6,FALSE))</f>
        <v/>
      </c>
      <c r="J545" s="203"/>
      <c r="K545" s="200" t="str">
        <f>IF(D545="","",VLOOKUP(D545,契約台帳!$A$3:$L$4986,12,FALSE))</f>
        <v/>
      </c>
      <c r="L545" s="200" t="str">
        <f>IF(D545="","",INDEX(製品マスタ!$Q$5:$Q$4999,MATCH('S4'!F545&amp;'S4'!K545,製品マスタ!$AO$5:$AO$4999,0)))</f>
        <v/>
      </c>
      <c r="M545" s="37"/>
      <c r="N545" s="37"/>
      <c r="O545" s="153"/>
      <c r="P545" s="45"/>
      <c r="Q545" s="54"/>
      <c r="R545" s="257" t="str">
        <f ca="1">IF(D545="","",IF(OFFSET(D545,-1,0)&lt;&gt;"","",IF(OR(J545="リード付け",J545="巻足し",J545="巻返しリード付け"),M545,VLOOKUP(D545,契約台帳!$A$3:$N$4986,14,FALSE))))</f>
        <v/>
      </c>
      <c r="S545" s="258" t="str">
        <f ca="1">IF(D545="","",IF(OFFSET(D545,-1,0)&lt;&gt;"","",IF(OR(J545="リード付け",J545="巻足し",J545="巻返しリード付け"),M545,VLOOKUP(D545,契約台帳!$A$3:$O$4986,15,FALSE))))</f>
        <v/>
      </c>
      <c r="T545" s="258" t="str">
        <f ca="1">IF(D545="","",IF(J545="リード付け",N545,IF(J545="巻返しリード付け",N545,IF(J545="巻足し",N545*P545+OFFSET(N545,1,0)*OFFSET(P545,1,0),VLOOKUP(D545,契約台帳!$A$3:$P$4986,16,FALSE)))))</f>
        <v/>
      </c>
      <c r="U545" s="38"/>
      <c r="V545" s="259" t="str">
        <f ca="1">IF(D545="","",IF(OFFSET(D545,-2,0)=D545,"",VLOOKUP(D545,契約台帳!$A$3:$R$4986,18,FALSE)))</f>
        <v/>
      </c>
      <c r="W545" s="256" t="str">
        <f>IF(D545="","",IF(T545="","",IF(OR(J545="巻足し",J545="巻返しリード付け"),"",IF(J545="巻返し",VLOOKUP(F545&amp;K545&amp;M545,製品マスタ!$M$5:$AD$4999,18,FALSE),IF(OR(J545="リード付け",J545="巻返しリード付け"),"原反コア",IF(J545="スリット",VLOOKUP(F545&amp;K545&amp;R545,製品マスタ!$N$5:$AD$4999,17,FALSE),""))))))</f>
        <v/>
      </c>
      <c r="X545" s="256" t="str">
        <f>IF(D545="","",IF(T545="","",IF(J545="巻足し","",IF(J545="巻返し",VLOOKUP(F545&amp;K545&amp;M545,製品マスタ!$M$5:$AE$4999,19,FALSE),IF(OR(J545="リード付け",J545="巻返しリード付け"),"",IF(J545="スリット",VLOOKUP(F545&amp;K545&amp;R545,製品マスタ!$N$5:$AE$4999,18,FALSE),""))))))</f>
        <v/>
      </c>
      <c r="Y545" s="256" t="str">
        <f>IF(D545="","",IF(T545="","",VLOOKUP(D545,契約台帳!$A$3:$Q$4986,17,FALSE)))</f>
        <v/>
      </c>
      <c r="Z545" s="256" t="str">
        <f>IF(D545="","",IF(T545="","",VLOOKUP(D545,契約台帳!$A$3:$E$4986,5,FALSE)))</f>
        <v/>
      </c>
      <c r="AA545" s="54"/>
      <c r="AB545" s="200" t="str">
        <f>IFERROR((VLOOKUP(F545&amp;K545&amp;M545,製品マスタ!$M$5:$AM$4999,27,FALSE)),"")</f>
        <v/>
      </c>
      <c r="AC545" s="31"/>
      <c r="AD545" s="184"/>
      <c r="AE545" s="51"/>
      <c r="AF545" s="52"/>
      <c r="AG545" s="41"/>
      <c r="AH545" s="45"/>
      <c r="AI545" s="28"/>
      <c r="AJ545" s="28"/>
      <c r="AK545" s="28"/>
      <c r="AL545" s="28"/>
      <c r="AM545" s="12"/>
      <c r="AN545" s="12"/>
      <c r="AO545" s="12"/>
      <c r="AP545" s="12"/>
      <c r="AQ545" s="12"/>
      <c r="AR545" s="13"/>
      <c r="AS545" s="14"/>
    </row>
    <row r="546" spans="1:45" s="16" customFormat="1" ht="30.95" hidden="1" customHeight="1" x14ac:dyDescent="0.2">
      <c r="A546" s="35"/>
      <c r="B546" s="36"/>
      <c r="C546" s="43"/>
      <c r="D546" s="29">
        <v>3708717</v>
      </c>
      <c r="E546" s="29">
        <v>4161886</v>
      </c>
      <c r="F546" s="255" t="str">
        <f>IF(D546="","",VLOOKUP(D546,契約台帳!$A$3:$K$4986,6,FALSE)&amp;VLOOKUP(D546,契約台帳!$A$3:$K$4986,7,FALSE)&amp;VLOOKUP(D546,契約台帳!$A$3:$K$4986,8,FALSE)&amp;VLOOKUP(D546,契約台帳!$A$3:$K$4986,9,FALSE)&amp;VLOOKUP(D546,契約台帳!$A$3:$K$4986,11,FALSE))</f>
        <v>33SSNMCLBTETKFV</v>
      </c>
      <c r="G546" s="256" t="str">
        <f>IF(D546="","",VLOOKUP(F546,製品マスタ!$G$5:$H$4999,2,FALSE))</f>
        <v>S</v>
      </c>
      <c r="H546" s="256" t="str">
        <f>IF(D546="","",VLOOKUP(F546,製品マスタ!$G$5:$K$4999,5,FALSE))</f>
        <v>TETKFV</v>
      </c>
      <c r="I546" s="200" t="str">
        <f>IF(D546="","",VLOOKUP(F546,製品マスタ!$G$5:$L$4999,6,FALSE))</f>
        <v>メタルミー　ＴＥＳ艶開封　Ｖ</v>
      </c>
      <c r="J546" s="203" t="s">
        <v>1102</v>
      </c>
      <c r="K546" s="200">
        <f>IF(D546="","",VLOOKUP(D546,契約台帳!$A$3:$L$4986,12,FALSE))</f>
        <v>50</v>
      </c>
      <c r="L546" s="200" t="str">
        <f>IF(D546="","",INDEX(製品マスタ!$Q$5:$Q$4999,MATCH('S4'!F546&amp;'S4'!K546,製品マスタ!$AO$5:$AO$4999,0)))</f>
        <v>S28SEPA</v>
      </c>
      <c r="M546" s="37">
        <v>1005</v>
      </c>
      <c r="N546" s="37">
        <v>4100</v>
      </c>
      <c r="O546" s="153">
        <v>6</v>
      </c>
      <c r="P546" s="45">
        <v>3</v>
      </c>
      <c r="Q546" s="206">
        <v>45056</v>
      </c>
      <c r="R546" s="257">
        <f ca="1">IF(D546="","",IF(OFFSET(D546,-1,0)&lt;&gt;"","",IF(OR(J546="リード付け",J546="巻足し",J546="巻返しリード付け"),M546,VLOOKUP(D546,契約台帳!$A$3:$N$4986,14,FALSE))))</f>
        <v>1005</v>
      </c>
      <c r="S546" s="258">
        <f ca="1">IF(D546="","",IF(OFFSET(D546,-1,0)&lt;&gt;"","",IF(OR(J546="リード付け",J546="巻足し",J546="巻返しリード付け"),M546,VLOOKUP(D546,契約台帳!$A$3:$O$4986,15,FALSE))))</f>
        <v>1005</v>
      </c>
      <c r="T546" s="258">
        <f ca="1">IF(D546="","",IF(J546="リード付け",N546,IF(J546="巻返しリード付け",N546,IF(J546="巻足し",N546*P546+OFFSET(N546,1,0)*OFFSET(P546,1,0),VLOOKUP(D546,契約台帳!$A$3:$P$4986,16,FALSE)))))</f>
        <v>12300</v>
      </c>
      <c r="U546" s="38">
        <v>2</v>
      </c>
      <c r="V546" s="259">
        <f ca="1">IF(D546="","",IF(OFFSET(D546,-2,0)=D546,"",VLOOKUP(D546,契約台帳!$A$3:$R$4986,18,FALSE)))</f>
        <v>6</v>
      </c>
      <c r="W546" s="256" t="str">
        <f ca="1">IF(D546="","",IF(T546="","",IF(OR(J546="巻足し",J546="巻返しリード付け"),"",IF(J546="巻返し",VLOOKUP(F546&amp;K546&amp;M546,製品マスタ!$M$5:$AD$4999,18,FALSE),IF(OR(J546="リード付け",J546="巻返しリード付け"),"原反コア",IF(J546="スリット",VLOOKUP(F546&amp;K546&amp;R546,製品マスタ!$N$5:$AD$4999,17,FALSE),""))))))</f>
        <v/>
      </c>
      <c r="X546" s="256" t="str">
        <f ca="1">IF(D546="","",IF(T546="","",IF(J546="巻足し","",IF(J546="巻返し",VLOOKUP(F546&amp;K546&amp;M546,製品マスタ!$M$5:$AE$4999,19,FALSE),IF(OR(J546="リード付け",J546="巻返しリード付け"),"",IF(J546="スリット",VLOOKUP(F546&amp;K546&amp;R546,製品マスタ!$N$5:$AE$4999,18,FALSE),""))))))</f>
        <v/>
      </c>
      <c r="Y546" s="256">
        <f ca="1">IF(D546="","",IF(T546="","",VLOOKUP(D546,契約台帳!$A$3:$Q$4986,17,FALSE)))</f>
        <v>2</v>
      </c>
      <c r="Z546" s="256" t="str">
        <f ca="1">IF(D546="","",IF(T546="","",VLOOKUP(D546,契約台帳!$A$3:$E$4986,5,FALSE)))</f>
        <v>リンテック㈱</v>
      </c>
      <c r="AA546" s="54"/>
      <c r="AB546" s="200">
        <f>IFERROR((VLOOKUP(F546&amp;K546&amp;M546,製品マスタ!$M$5:$AM$4999,27,FALSE)),"")</f>
        <v>0</v>
      </c>
      <c r="AC546" s="31"/>
      <c r="AD546" s="184"/>
      <c r="AE546" s="51"/>
      <c r="AF546" s="52"/>
      <c r="AG546" s="41"/>
      <c r="AH546" s="45"/>
      <c r="AI546" s="28"/>
      <c r="AJ546" s="28"/>
      <c r="AK546" s="28"/>
      <c r="AL546" s="28"/>
      <c r="AM546" s="12"/>
      <c r="AN546" s="12"/>
      <c r="AO546" s="12"/>
      <c r="AP546" s="12"/>
      <c r="AQ546" s="12"/>
      <c r="AR546" s="13"/>
      <c r="AS546" s="14"/>
    </row>
    <row r="547" spans="1:45" s="16" customFormat="1" ht="30.95" hidden="1" customHeight="1" x14ac:dyDescent="0.2">
      <c r="A547" s="35"/>
      <c r="B547" s="36"/>
      <c r="C547" s="43"/>
      <c r="D547" s="29"/>
      <c r="E547" s="29"/>
      <c r="F547" s="255" t="str">
        <f>IF(D547="","",VLOOKUP(D547,契約台帳!$A$3:$K$4986,6,FALSE)&amp;VLOOKUP(D547,契約台帳!$A$3:$K$4986,7,FALSE)&amp;VLOOKUP(D547,契約台帳!$A$3:$K$4986,8,FALSE)&amp;VLOOKUP(D547,契約台帳!$A$3:$K$4986,9,FALSE)&amp;VLOOKUP(D547,契約台帳!$A$3:$K$4986,11,FALSE))</f>
        <v/>
      </c>
      <c r="G547" s="256" t="str">
        <f>IF(D547="","",VLOOKUP(F547,製品マスタ!$G$5:$H$4999,2,FALSE))</f>
        <v/>
      </c>
      <c r="H547" s="256" t="str">
        <f>IF(D547="","",VLOOKUP(F547,製品マスタ!$G$5:$K$4999,5,FALSE))</f>
        <v/>
      </c>
      <c r="I547" s="200" t="str">
        <f>IF(D547="","",VLOOKUP(F547,製品マスタ!$G$5:$L$4999,6,FALSE))</f>
        <v/>
      </c>
      <c r="J547" s="203"/>
      <c r="K547" s="200" t="str">
        <f>IF(D547="","",VLOOKUP(D547,契約台帳!$A$3:$L$4986,12,FALSE))</f>
        <v/>
      </c>
      <c r="L547" s="200" t="str">
        <f>IF(D547="","",INDEX(製品マスタ!$Q$5:$Q$4999,MATCH('S4'!F547&amp;'S4'!K547,製品マスタ!$AO$5:$AO$4999,0)))</f>
        <v/>
      </c>
      <c r="M547" s="37"/>
      <c r="N547" s="37"/>
      <c r="O547" s="153"/>
      <c r="P547" s="45"/>
      <c r="Q547" s="54"/>
      <c r="R547" s="257" t="str">
        <f ca="1">IF(D547="","",IF(OFFSET(D547,-1,0)&lt;&gt;"","",IF(OR(J547="リード付け",J547="巻足し",J547="巻返しリード付け"),M547,VLOOKUP(D547,契約台帳!$A$3:$N$4986,14,FALSE))))</f>
        <v/>
      </c>
      <c r="S547" s="258" t="str">
        <f ca="1">IF(D547="","",IF(OFFSET(D547,-1,0)&lt;&gt;"","",IF(OR(J547="リード付け",J547="巻足し",J547="巻返しリード付け"),M547,VLOOKUP(D547,契約台帳!$A$3:$O$4986,15,FALSE))))</f>
        <v/>
      </c>
      <c r="T547" s="258" t="str">
        <f ca="1">IF(D547="","",IF(J547="リード付け",N547,IF(J547="巻返しリード付け",N547,IF(J547="巻足し",N547*P547+OFFSET(N547,1,0)*OFFSET(P547,1,0),VLOOKUP(D547,契約台帳!$A$3:$P$4986,16,FALSE)))))</f>
        <v/>
      </c>
      <c r="U547" s="38"/>
      <c r="V547" s="259" t="str">
        <f ca="1">IF(D547="","",IF(OFFSET(D547,-2,0)=D547,"",VLOOKUP(D547,契約台帳!$A$3:$R$4986,18,FALSE)))</f>
        <v/>
      </c>
      <c r="W547" s="256" t="str">
        <f>IF(D547="","",IF(T547="","",IF(OR(J547="巻足し",J547="巻返しリード付け"),"",IF(J547="巻返し",VLOOKUP(F547&amp;K547&amp;M547,製品マスタ!$M$5:$AD$4999,18,FALSE),IF(OR(J547="リード付け",J547="巻返しリード付け"),"原反コア",IF(J547="スリット",VLOOKUP(F547&amp;K547&amp;R547,製品マスタ!$N$5:$AD$4999,17,FALSE),""))))))</f>
        <v/>
      </c>
      <c r="X547" s="256" t="str">
        <f>IF(D547="","",IF(T547="","",IF(J547="巻足し","",IF(J547="巻返し",VLOOKUP(F547&amp;K547&amp;M547,製品マスタ!$M$5:$AE$4999,19,FALSE),IF(OR(J547="リード付け",J547="巻返しリード付け"),"",IF(J547="スリット",VLOOKUP(F547&amp;K547&amp;R547,製品マスタ!$N$5:$AE$4999,18,FALSE),""))))))</f>
        <v/>
      </c>
      <c r="Y547" s="256" t="str">
        <f>IF(D547="","",IF(T547="","",VLOOKUP(D547,契約台帳!$A$3:$Q$4986,17,FALSE)))</f>
        <v/>
      </c>
      <c r="Z547" s="256" t="str">
        <f>IF(D547="","",IF(T547="","",VLOOKUP(D547,契約台帳!$A$3:$E$4986,5,FALSE)))</f>
        <v/>
      </c>
      <c r="AA547" s="54"/>
      <c r="AB547" s="200" t="str">
        <f>IFERROR((VLOOKUP(F547&amp;K547&amp;M547,製品マスタ!$M$5:$AM$4999,27,FALSE)),"")</f>
        <v/>
      </c>
      <c r="AC547" s="31"/>
      <c r="AD547" s="184"/>
      <c r="AE547" s="51"/>
      <c r="AF547" s="52"/>
      <c r="AG547" s="41"/>
      <c r="AH547" s="45"/>
      <c r="AI547" s="28"/>
      <c r="AJ547" s="28"/>
      <c r="AK547" s="28"/>
      <c r="AL547" s="28"/>
      <c r="AM547" s="12"/>
      <c r="AN547" s="12"/>
      <c r="AO547" s="12"/>
      <c r="AP547" s="12"/>
      <c r="AQ547" s="12"/>
      <c r="AR547" s="13"/>
      <c r="AS547" s="14"/>
    </row>
    <row r="548" spans="1:45" s="16" customFormat="1" ht="30.95" hidden="1" customHeight="1" x14ac:dyDescent="0.2">
      <c r="A548" s="35" t="s">
        <v>1120</v>
      </c>
      <c r="B548" s="36" t="s">
        <v>1101</v>
      </c>
      <c r="C548" s="43"/>
      <c r="D548" s="29">
        <v>3708694</v>
      </c>
      <c r="E548" s="29">
        <v>4161888</v>
      </c>
      <c r="F548" s="255" t="str">
        <f>IF(D548="","",VLOOKUP(D548,契約台帳!$A$3:$K$4986,6,FALSE)&amp;VLOOKUP(D548,契約台帳!$A$3:$K$4986,7,FALSE)&amp;VLOOKUP(D548,契約台帳!$A$3:$K$4986,8,FALSE)&amp;VLOOKUP(D548,契約台帳!$A$3:$K$4986,9,FALSE)&amp;VLOOKUP(D548,契約台帳!$A$3:$K$4986,11,FALSE))</f>
        <v>3HSNMLBMSF</v>
      </c>
      <c r="G548" s="256" t="str">
        <f>IF(D548="","",VLOOKUP(F548,製品マスタ!$G$5:$H$4999,2,FALSE))</f>
        <v>S</v>
      </c>
      <c r="H548" s="256" t="str">
        <f>IF(D548="","",VLOOKUP(F548,製品マスタ!$G$5:$K$4999,5,FALSE))</f>
        <v>MSF</v>
      </c>
      <c r="I548" s="200" t="str">
        <f>IF(D548="","",VLOOKUP(F548,製品マスタ!$G$5:$L$4999,6,FALSE))</f>
        <v>メタルミー　Ｓ</v>
      </c>
      <c r="J548" s="203" t="s">
        <v>1102</v>
      </c>
      <c r="K548" s="200">
        <f>IF(D548="","",VLOOKUP(D548,契約台帳!$A$3:$L$4986,12,FALSE))</f>
        <v>38</v>
      </c>
      <c r="L548" s="200" t="str">
        <f>IF(D548="","",INDEX(製品マスタ!$Q$5:$Q$4999,MATCH('S4'!F548&amp;'S4'!K548,製品マスタ!$AO$5:$AO$4999,0)))</f>
        <v>S10</v>
      </c>
      <c r="M548" s="37">
        <v>1000</v>
      </c>
      <c r="N548" s="37">
        <v>6000</v>
      </c>
      <c r="O548" s="153">
        <v>10</v>
      </c>
      <c r="P548" s="45">
        <v>2</v>
      </c>
      <c r="Q548" s="206">
        <v>45057</v>
      </c>
      <c r="R548" s="257">
        <f ca="1">IF(D548="","",IF(OFFSET(D548,-1,0)&lt;&gt;"","",IF(OR(J548="リード付け",J548="巻足し",J548="巻返しリード付け"),M548,VLOOKUP(D548,契約台帳!$A$3:$N$4986,14,FALSE))))</f>
        <v>1000</v>
      </c>
      <c r="S548" s="258">
        <f ca="1">IF(D548="","",IF(OFFSET(D548,-1,0)&lt;&gt;"","",IF(OR(J548="リード付け",J548="巻足し",J548="巻返しリード付け"),M548,VLOOKUP(D548,契約台帳!$A$3:$O$4986,15,FALSE))))</f>
        <v>1000</v>
      </c>
      <c r="T548" s="258">
        <f ca="1">IF(D548="","",IF(J548="リード付け",N548,IF(J548="巻返しリード付け",N548,IF(J548="巻足し",N548*P548+OFFSET(N548,1,0)*OFFSET(P548,1,0),VLOOKUP(D548,契約台帳!$A$3:$P$4986,16,FALSE)))))</f>
        <v>12000</v>
      </c>
      <c r="U548" s="38">
        <v>5</v>
      </c>
      <c r="V548" s="259">
        <f ca="1">IF(D548="","",IF(OFFSET(D548,-2,0)=D548,"",VLOOKUP(D548,契約台帳!$A$3:$R$4986,18,FALSE)))</f>
        <v>20</v>
      </c>
      <c r="W548" s="256" t="str">
        <f ca="1">IF(D548="","",IF(T548="","",IF(OR(J548="巻足し",J548="巻返しリード付け"),"",IF(J548="巻返し",VLOOKUP(F548&amp;K548&amp;M548,製品マスタ!$M$5:$AD$4999,18,FALSE),IF(OR(J548="リード付け",J548="巻返しリード付け"),"原反コア",IF(J548="スリット",VLOOKUP(F548&amp;K548&amp;R548,製品マスタ!$N$5:$AD$4999,17,FALSE),""))))))</f>
        <v/>
      </c>
      <c r="X548" s="256" t="str">
        <f ca="1">IF(D548="","",IF(T548="","",IF(J548="巻足し","",IF(J548="巻返し",VLOOKUP(F548&amp;K548&amp;M548,製品マスタ!$M$5:$AE$4999,19,FALSE),IF(OR(J548="リード付け",J548="巻返しリード付け"),"",IF(J548="スリット",VLOOKUP(F548&amp;K548&amp;R548,製品マスタ!$N$5:$AE$4999,18,FALSE),""))))))</f>
        <v/>
      </c>
      <c r="Y548" s="256">
        <f ca="1">IF(D548="","",IF(T548="","",VLOOKUP(D548,契約台帳!$A$3:$Q$4986,17,FALSE)))</f>
        <v>2</v>
      </c>
      <c r="Z548" s="256" t="str">
        <f ca="1">IF(D548="","",IF(T548="","",VLOOKUP(D548,契約台帳!$A$3:$E$4986,5,FALSE)))</f>
        <v>特種東海製紙㈱</v>
      </c>
      <c r="AA548" s="54"/>
      <c r="AB548" s="200">
        <f>IFERROR((VLOOKUP(F548&amp;K548&amp;M548,製品マスタ!$M$5:$AM$4999,27,FALSE)),"")</f>
        <v>0</v>
      </c>
      <c r="AC548" s="31"/>
      <c r="AD548" s="184"/>
      <c r="AE548" s="51"/>
      <c r="AF548" s="52"/>
      <c r="AG548" s="41"/>
      <c r="AH548" s="45"/>
      <c r="AI548" s="28"/>
      <c r="AJ548" s="28"/>
      <c r="AK548" s="28"/>
      <c r="AL548" s="28"/>
      <c r="AM548" s="12"/>
      <c r="AN548" s="12"/>
      <c r="AO548" s="12"/>
      <c r="AP548" s="12"/>
      <c r="AQ548" s="12"/>
      <c r="AR548" s="13"/>
      <c r="AS548" s="14"/>
    </row>
    <row r="549" spans="1:45" s="16" customFormat="1" ht="30.95" hidden="1" customHeight="1" x14ac:dyDescent="0.2">
      <c r="A549" s="35"/>
      <c r="B549" s="36"/>
      <c r="C549" s="43"/>
      <c r="D549" s="29"/>
      <c r="E549" s="29"/>
      <c r="F549" s="255" t="str">
        <f>IF(D549="","",VLOOKUP(D549,契約台帳!$A$3:$K$4986,6,FALSE)&amp;VLOOKUP(D549,契約台帳!$A$3:$K$4986,7,FALSE)&amp;VLOOKUP(D549,契約台帳!$A$3:$K$4986,8,FALSE)&amp;VLOOKUP(D549,契約台帳!$A$3:$K$4986,9,FALSE)&amp;VLOOKUP(D549,契約台帳!$A$3:$K$4986,11,FALSE))</f>
        <v/>
      </c>
      <c r="G549" s="256" t="str">
        <f>IF(D549="","",VLOOKUP(F549,製品マスタ!$G$5:$H$4999,2,FALSE))</f>
        <v/>
      </c>
      <c r="H549" s="256" t="str">
        <f>IF(D549="","",VLOOKUP(F549,製品マスタ!$G$5:$K$4999,5,FALSE))</f>
        <v/>
      </c>
      <c r="I549" s="200" t="str">
        <f>IF(D549="","",VLOOKUP(F549,製品マスタ!$G$5:$L$4999,6,FALSE))</f>
        <v/>
      </c>
      <c r="J549" s="203"/>
      <c r="K549" s="200" t="str">
        <f>IF(D549="","",VLOOKUP(D549,契約台帳!$A$3:$L$4986,12,FALSE))</f>
        <v/>
      </c>
      <c r="L549" s="200" t="str">
        <f>IF(D549="","",INDEX(製品マスタ!$Q$5:$Q$4999,MATCH('S4'!F549&amp;'S4'!K549,製品マスタ!$AO$5:$AO$4999,0)))</f>
        <v/>
      </c>
      <c r="M549" s="37"/>
      <c r="N549" s="37"/>
      <c r="O549" s="153"/>
      <c r="P549" s="45"/>
      <c r="Q549" s="54"/>
      <c r="R549" s="257" t="str">
        <f ca="1">IF(D549="","",IF(OFFSET(D549,-1,0)&lt;&gt;"","",IF(OR(J549="リード付け",J549="巻足し",J549="巻返しリード付け"),M549,VLOOKUP(D549,契約台帳!$A$3:$N$4986,14,FALSE))))</f>
        <v/>
      </c>
      <c r="S549" s="258" t="str">
        <f ca="1">IF(D549="","",IF(OFFSET(D549,-1,0)&lt;&gt;"","",IF(OR(J549="リード付け",J549="巻足し",J549="巻返しリード付け"),M549,VLOOKUP(D549,契約台帳!$A$3:$O$4986,15,FALSE))))</f>
        <v/>
      </c>
      <c r="T549" s="258" t="str">
        <f ca="1">IF(D549="","",IF(J549="リード付け",N549,IF(J549="巻返しリード付け",N549,IF(J549="巻足し",N549*P549+OFFSET(N549,1,0)*OFFSET(P549,1,0),VLOOKUP(D549,契約台帳!$A$3:$P$4986,16,FALSE)))))</f>
        <v/>
      </c>
      <c r="U549" s="38"/>
      <c r="V549" s="259" t="str">
        <f ca="1">IF(D549="","",IF(OFFSET(D549,-2,0)=D549,"",VLOOKUP(D549,契約台帳!$A$3:$R$4986,18,FALSE)))</f>
        <v/>
      </c>
      <c r="W549" s="256" t="str">
        <f>IF(D549="","",IF(T549="","",IF(OR(J549="巻足し",J549="巻返しリード付け"),"",IF(J549="巻返し",VLOOKUP(F549&amp;K549&amp;M549,製品マスタ!$M$5:$AD$4999,18,FALSE),IF(OR(J549="リード付け",J549="巻返しリード付け"),"原反コア",IF(J549="スリット",VLOOKUP(F549&amp;K549&amp;R549,製品マスタ!$N$5:$AD$4999,17,FALSE),""))))))</f>
        <v/>
      </c>
      <c r="X549" s="256" t="str">
        <f>IF(D549="","",IF(T549="","",IF(J549="巻足し","",IF(J549="巻返し",VLOOKUP(F549&amp;K549&amp;M549,製品マスタ!$M$5:$AE$4999,19,FALSE),IF(OR(J549="リード付け",J549="巻返しリード付け"),"",IF(J549="スリット",VLOOKUP(F549&amp;K549&amp;R549,製品マスタ!$N$5:$AE$4999,18,FALSE),""))))))</f>
        <v/>
      </c>
      <c r="Y549" s="256" t="str">
        <f>IF(D549="","",IF(T549="","",VLOOKUP(D549,契約台帳!$A$3:$Q$4986,17,FALSE)))</f>
        <v/>
      </c>
      <c r="Z549" s="256" t="str">
        <f>IF(D549="","",IF(T549="","",VLOOKUP(D549,契約台帳!$A$3:$E$4986,5,FALSE)))</f>
        <v/>
      </c>
      <c r="AA549" s="54"/>
      <c r="AB549" s="200" t="str">
        <f>IFERROR((VLOOKUP(F549&amp;K549&amp;M549,製品マスタ!$M$5:$AM$4999,27,FALSE)),"")</f>
        <v/>
      </c>
      <c r="AC549" s="31"/>
      <c r="AD549" s="184"/>
      <c r="AE549" s="51"/>
      <c r="AF549" s="52"/>
      <c r="AG549" s="41"/>
      <c r="AH549" s="45"/>
      <c r="AI549" s="28"/>
      <c r="AJ549" s="28"/>
      <c r="AK549" s="28"/>
      <c r="AL549" s="28"/>
      <c r="AM549" s="12"/>
      <c r="AN549" s="12"/>
      <c r="AO549" s="12"/>
      <c r="AP549" s="12"/>
      <c r="AQ549" s="12"/>
      <c r="AR549" s="13"/>
      <c r="AS549" s="14"/>
    </row>
    <row r="550" spans="1:45" s="16" customFormat="1" ht="30.95" hidden="1" customHeight="1" x14ac:dyDescent="0.2">
      <c r="A550" s="35" t="s">
        <v>1121</v>
      </c>
      <c r="B550" s="36" t="s">
        <v>1103</v>
      </c>
      <c r="C550" s="43"/>
      <c r="D550" s="29">
        <v>3708706</v>
      </c>
      <c r="E550" s="29">
        <v>4161896</v>
      </c>
      <c r="F550" s="255" t="str">
        <f>IF(D550="","",VLOOKUP(D550,契約台帳!$A$3:$K$4986,6,FALSE)&amp;VLOOKUP(D550,契約台帳!$A$3:$K$4986,7,FALSE)&amp;VLOOKUP(D550,契約台帳!$A$3:$K$4986,8,FALSE)&amp;VLOOKUP(D550,契約台帳!$A$3:$K$4986,9,FALSE)&amp;VLOOKUP(D550,契約台帳!$A$3:$K$4986,11,FALSE))</f>
        <v>3SNMLBMNGKKBF</v>
      </c>
      <c r="G550" s="256" t="str">
        <f>IF(D550="","",VLOOKUP(F550,製品マスタ!$G$5:$H$4999,2,FALSE))</f>
        <v>S</v>
      </c>
      <c r="H550" s="256" t="str">
        <f>IF(D550="","",VLOOKUP(F550,製品マスタ!$G$5:$K$4999,5,FALSE))</f>
        <v>MNGKKBF</v>
      </c>
      <c r="I550" s="200" t="str">
        <f>IF(D550="","",VLOOKUP(F550,製品マスタ!$G$5:$L$4999,6,FALSE))</f>
        <v>メタルミー　ネーマー銀消改　Ｂ</v>
      </c>
      <c r="J550" s="203" t="s">
        <v>1102</v>
      </c>
      <c r="K550" s="200">
        <f>IF(D550="","",VLOOKUP(D550,契約台帳!$A$3:$L$4986,12,FALSE))</f>
        <v>50</v>
      </c>
      <c r="L550" s="200" t="str">
        <f>IF(D550="","",INDEX(製品マスタ!$Q$5:$Q$4999,MATCH('S4'!F550&amp;'S4'!K550,製品マスタ!$AO$5:$AO$4999,0)))</f>
        <v>S99-MAT</v>
      </c>
      <c r="M550" s="37">
        <v>1120</v>
      </c>
      <c r="N550" s="37">
        <v>4000</v>
      </c>
      <c r="O550" s="153">
        <v>12</v>
      </c>
      <c r="P550" s="45">
        <v>3</v>
      </c>
      <c r="Q550" s="206">
        <v>45057</v>
      </c>
      <c r="R550" s="257">
        <f ca="1">IF(D550="","",IF(OFFSET(D550,-1,0)&lt;&gt;"","",IF(OR(J550="リード付け",J550="巻足し",J550="巻返しリード付け"),M550,VLOOKUP(D550,契約台帳!$A$3:$N$4986,14,FALSE))))</f>
        <v>1120</v>
      </c>
      <c r="S550" s="258">
        <f ca="1">IF(D550="","",IF(OFFSET(D550,-1,0)&lt;&gt;"","",IF(OR(J550="リード付け",J550="巻足し",J550="巻返しリード付け"),M550,VLOOKUP(D550,契約台帳!$A$3:$O$4986,15,FALSE))))</f>
        <v>1120</v>
      </c>
      <c r="T550" s="258">
        <f ca="1">IF(D550="","",IF(J550="リード付け",N550,IF(J550="巻返しリード付け",N550,IF(J550="巻足し",N550*P550+OFFSET(N550,1,0)*OFFSET(P550,1,0),VLOOKUP(D550,契約台帳!$A$3:$P$4986,16,FALSE)))))</f>
        <v>12000</v>
      </c>
      <c r="U550" s="38">
        <v>4</v>
      </c>
      <c r="V550" s="259">
        <f ca="1">IF(D550="","",IF(OFFSET(D550,-2,0)=D550,"",VLOOKUP(D550,契約台帳!$A$3:$R$4986,18,FALSE)))</f>
        <v>16</v>
      </c>
      <c r="W550" s="256" t="str">
        <f ca="1">IF(D550="","",IF(T550="","",IF(OR(J550="巻足し",J550="巻返しリード付け"),"",IF(J550="巻返し",VLOOKUP(F550&amp;K550&amp;M550,製品マスタ!$M$5:$AD$4999,18,FALSE),IF(OR(J550="リード付け",J550="巻返しリード付け"),"原反コア",IF(J550="スリット",VLOOKUP(F550&amp;K550&amp;R550,製品マスタ!$N$5:$AD$4999,17,FALSE),""))))))</f>
        <v/>
      </c>
      <c r="X550" s="256" t="str">
        <f ca="1">IF(D550="","",IF(T550="","",IF(J550="巻足し","",IF(J550="巻返し",VLOOKUP(F550&amp;K550&amp;M550,製品マスタ!$M$5:$AE$4999,19,FALSE),IF(OR(J550="リード付け",J550="巻返しリード付け"),"",IF(J550="スリット",VLOOKUP(F550&amp;K550&amp;R550,製品マスタ!$N$5:$AE$4999,18,FALSE),""))))))</f>
        <v/>
      </c>
      <c r="Y550" s="256">
        <f ca="1">IF(D550="","",IF(T550="","",VLOOKUP(D550,契約台帳!$A$3:$Q$4986,17,FALSE)))</f>
        <v>2</v>
      </c>
      <c r="Z550" s="256" t="str">
        <f ca="1">IF(D550="","",IF(T550="","",VLOOKUP(D550,契約台帳!$A$3:$E$4986,5,FALSE)))</f>
        <v>リンテック㈱</v>
      </c>
      <c r="AA550" s="54"/>
      <c r="AB550" s="200">
        <f>IFERROR((VLOOKUP(F550&amp;K550&amp;M550,製品マスタ!$M$5:$AM$4999,27,FALSE)),"")</f>
        <v>0</v>
      </c>
      <c r="AC550" s="31"/>
      <c r="AD550" s="184"/>
      <c r="AE550" s="51"/>
      <c r="AF550" s="52"/>
      <c r="AG550" s="41"/>
      <c r="AH550" s="45"/>
      <c r="AI550" s="28"/>
      <c r="AJ550" s="28"/>
      <c r="AK550" s="28"/>
      <c r="AL550" s="28"/>
      <c r="AM550" s="12"/>
      <c r="AN550" s="12"/>
      <c r="AO550" s="12"/>
      <c r="AP550" s="12"/>
      <c r="AQ550" s="12"/>
      <c r="AR550" s="13"/>
      <c r="AS550" s="14"/>
    </row>
    <row r="551" spans="1:45" s="16" customFormat="1" ht="30.95" hidden="1" customHeight="1" x14ac:dyDescent="0.2">
      <c r="A551" s="35"/>
      <c r="B551" s="36"/>
      <c r="C551" s="43"/>
      <c r="D551" s="29"/>
      <c r="E551" s="29"/>
      <c r="F551" s="255" t="str">
        <f>IF(D551="","",VLOOKUP(D551,契約台帳!$A$3:$K$4986,6,FALSE)&amp;VLOOKUP(D551,契約台帳!$A$3:$K$4986,7,FALSE)&amp;VLOOKUP(D551,契約台帳!$A$3:$K$4986,8,FALSE)&amp;VLOOKUP(D551,契約台帳!$A$3:$K$4986,9,FALSE)&amp;VLOOKUP(D551,契約台帳!$A$3:$K$4986,11,FALSE))</f>
        <v/>
      </c>
      <c r="G551" s="256" t="str">
        <f>IF(D551="","",VLOOKUP(F551,製品マスタ!$G$5:$H$4999,2,FALSE))</f>
        <v/>
      </c>
      <c r="H551" s="256" t="str">
        <f>IF(D551="","",VLOOKUP(F551,製品マスタ!$G$5:$K$4999,5,FALSE))</f>
        <v/>
      </c>
      <c r="I551" s="200" t="str">
        <f>IF(D551="","",VLOOKUP(F551,製品マスタ!$G$5:$L$4999,6,FALSE))</f>
        <v/>
      </c>
      <c r="J551" s="203"/>
      <c r="K551" s="200" t="str">
        <f>IF(D551="","",VLOOKUP(D551,契約台帳!$A$3:$L$4986,12,FALSE))</f>
        <v/>
      </c>
      <c r="L551" s="200" t="str">
        <f>IF(D551="","",INDEX(製品マスタ!$Q$5:$Q$4999,MATCH('S4'!F551&amp;'S4'!K551,製品マスタ!$AO$5:$AO$4999,0)))</f>
        <v/>
      </c>
      <c r="M551" s="37"/>
      <c r="N551" s="37"/>
      <c r="O551" s="153"/>
      <c r="P551" s="45"/>
      <c r="Q551" s="54"/>
      <c r="R551" s="257" t="str">
        <f ca="1">IF(D551="","",IF(OFFSET(D551,-1,0)&lt;&gt;"","",IF(OR(J551="リード付け",J551="巻足し",J551="巻返しリード付け"),M551,VLOOKUP(D551,契約台帳!$A$3:$N$4986,14,FALSE))))</f>
        <v/>
      </c>
      <c r="S551" s="258" t="str">
        <f ca="1">IF(D551="","",IF(OFFSET(D551,-1,0)&lt;&gt;"","",IF(OR(J551="リード付け",J551="巻足し",J551="巻返しリード付け"),M551,VLOOKUP(D551,契約台帳!$A$3:$O$4986,15,FALSE))))</f>
        <v/>
      </c>
      <c r="T551" s="258" t="str">
        <f ca="1">IF(D551="","",IF(J551="リード付け",N551,IF(J551="巻返しリード付け",N551,IF(J551="巻足し",N551*P551+OFFSET(N551,1,0)*OFFSET(P551,1,0),VLOOKUP(D551,契約台帳!$A$3:$P$4986,16,FALSE)))))</f>
        <v/>
      </c>
      <c r="U551" s="38"/>
      <c r="V551" s="259" t="str">
        <f ca="1">IF(D551="","",IF(OFFSET(D551,-2,0)=D551,"",VLOOKUP(D551,契約台帳!$A$3:$R$4986,18,FALSE)))</f>
        <v/>
      </c>
      <c r="W551" s="256" t="str">
        <f>IF(D551="","",IF(T551="","",IF(OR(J551="巻足し",J551="巻返しリード付け"),"",IF(J551="巻返し",VLOOKUP(F551&amp;K551&amp;M551,製品マスタ!$M$5:$AD$4999,18,FALSE),IF(OR(J551="リード付け",J551="巻返しリード付け"),"原反コア",IF(J551="スリット",VLOOKUP(F551&amp;K551&amp;R551,製品マスタ!$N$5:$AD$4999,17,FALSE),""))))))</f>
        <v/>
      </c>
      <c r="X551" s="256" t="str">
        <f>IF(D551="","",IF(T551="","",IF(J551="巻足し","",IF(J551="巻返し",VLOOKUP(F551&amp;K551&amp;M551,製品マスタ!$M$5:$AE$4999,19,FALSE),IF(OR(J551="リード付け",J551="巻返しリード付け"),"",IF(J551="スリット",VLOOKUP(F551&amp;K551&amp;R551,製品マスタ!$N$5:$AE$4999,18,FALSE),""))))))</f>
        <v/>
      </c>
      <c r="Y551" s="256" t="str">
        <f>IF(D551="","",IF(T551="","",VLOOKUP(D551,契約台帳!$A$3:$Q$4986,17,FALSE)))</f>
        <v/>
      </c>
      <c r="Z551" s="256" t="str">
        <f>IF(D551="","",IF(T551="","",VLOOKUP(D551,契約台帳!$A$3:$E$4986,5,FALSE)))</f>
        <v/>
      </c>
      <c r="AA551" s="54"/>
      <c r="AB551" s="200" t="str">
        <f>IFERROR((VLOOKUP(F551&amp;K551&amp;M551,製品マスタ!$M$5:$AM$4999,27,FALSE)),"")</f>
        <v/>
      </c>
      <c r="AC551" s="31"/>
      <c r="AD551" s="184"/>
      <c r="AE551" s="51"/>
      <c r="AF551" s="52"/>
      <c r="AG551" s="41"/>
      <c r="AH551" s="45"/>
      <c r="AI551" s="28"/>
      <c r="AJ551" s="28"/>
      <c r="AK551" s="28"/>
      <c r="AL551" s="28"/>
      <c r="AM551" s="12"/>
      <c r="AN551" s="12"/>
      <c r="AO551" s="12"/>
      <c r="AP551" s="12"/>
      <c r="AQ551" s="12"/>
      <c r="AR551" s="13"/>
      <c r="AS551" s="14"/>
    </row>
    <row r="552" spans="1:45" s="16" customFormat="1" ht="30.95" hidden="1" customHeight="1" x14ac:dyDescent="0.2">
      <c r="A552" s="35"/>
      <c r="B552" s="36"/>
      <c r="C552" s="43"/>
      <c r="D552" s="29">
        <v>3708706</v>
      </c>
      <c r="E552" s="29">
        <v>4161896</v>
      </c>
      <c r="F552" s="255" t="str">
        <f>IF(D552="","",VLOOKUP(D552,契約台帳!$A$3:$K$4986,6,FALSE)&amp;VLOOKUP(D552,契約台帳!$A$3:$K$4986,7,FALSE)&amp;VLOOKUP(D552,契約台帳!$A$3:$K$4986,8,FALSE)&amp;VLOOKUP(D552,契約台帳!$A$3:$K$4986,9,FALSE)&amp;VLOOKUP(D552,契約台帳!$A$3:$K$4986,11,FALSE))</f>
        <v>3SNMLBMNGKKBF</v>
      </c>
      <c r="G552" s="256" t="str">
        <f>IF(D552="","",VLOOKUP(F552,製品マスタ!$G$5:$H$4999,2,FALSE))</f>
        <v>S</v>
      </c>
      <c r="H552" s="256" t="str">
        <f>IF(D552="","",VLOOKUP(F552,製品マスタ!$G$5:$K$4999,5,FALSE))</f>
        <v>MNGKKBF</v>
      </c>
      <c r="I552" s="200" t="str">
        <f>IF(D552="","",VLOOKUP(F552,製品マスタ!$G$5:$L$4999,6,FALSE))</f>
        <v>メタルミー　ネーマー銀消改　Ｂ</v>
      </c>
      <c r="J552" s="203" t="s">
        <v>1102</v>
      </c>
      <c r="K552" s="200">
        <f>IF(D552="","",VLOOKUP(D552,契約台帳!$A$3:$L$4986,12,FALSE))</f>
        <v>50</v>
      </c>
      <c r="L552" s="200" t="str">
        <f>IF(D552="","",INDEX(製品マスタ!$Q$5:$Q$4999,MATCH('S4'!F552&amp;'S4'!K552,製品マスタ!$AO$5:$AO$4999,0)))</f>
        <v>S99-MAT</v>
      </c>
      <c r="M552" s="37">
        <v>1120</v>
      </c>
      <c r="N552" s="37">
        <v>4000</v>
      </c>
      <c r="O552" s="153">
        <v>4</v>
      </c>
      <c r="P552" s="45">
        <v>2</v>
      </c>
      <c r="Q552" s="206">
        <v>45057</v>
      </c>
      <c r="R552" s="257">
        <f ca="1">IF(D552="","",IF(OFFSET(D552,-1,0)&lt;&gt;"","",IF(OR(J552="リード付け",J552="巻足し",J552="巻返しリード付け"),M552,VLOOKUP(D552,契約台帳!$A$3:$N$4986,14,FALSE))))</f>
        <v>1120</v>
      </c>
      <c r="S552" s="258">
        <f ca="1">IF(D552="","",IF(OFFSET(D552,-1,0)&lt;&gt;"","",IF(OR(J552="リード付け",J552="巻足し",J552="巻返しリード付け"),M552,VLOOKUP(D552,契約台帳!$A$3:$O$4986,15,FALSE))))</f>
        <v>1120</v>
      </c>
      <c r="T552" s="258">
        <f ca="1">IF(D552="","",IF(J552="リード付け",N552,IF(J552="巻返しリード付け",N552,IF(J552="巻足し",N552*P552+OFFSET(N552,1,0)*OFFSET(P552,1,0),VLOOKUP(D552,契約台帳!$A$3:$P$4986,16,FALSE)))))</f>
        <v>8000</v>
      </c>
      <c r="U552" s="38">
        <v>2</v>
      </c>
      <c r="V552" s="259" t="str">
        <f ca="1">IF(D552="","",IF(OFFSET(D552,-2,0)=D552,"",VLOOKUP(D552,契約台帳!$A$3:$R$4986,18,FALSE)))</f>
        <v/>
      </c>
      <c r="W552" s="256" t="str">
        <f ca="1">IF(D552="","",IF(T552="","",IF(OR(J552="巻足し",J552="巻返しリード付け"),"",IF(J552="巻返し",VLOOKUP(F552&amp;K552&amp;M552,製品マスタ!$M$5:$AD$4999,18,FALSE),IF(OR(J552="リード付け",J552="巻返しリード付け"),"原反コア",IF(J552="スリット",VLOOKUP(F552&amp;K552&amp;R552,製品マスタ!$N$5:$AD$4999,17,FALSE),""))))))</f>
        <v/>
      </c>
      <c r="X552" s="256" t="str">
        <f ca="1">IF(D552="","",IF(T552="","",IF(J552="巻足し","",IF(J552="巻返し",VLOOKUP(F552&amp;K552&amp;M552,製品マスタ!$M$5:$AE$4999,19,FALSE),IF(OR(J552="リード付け",J552="巻返しリード付け"),"",IF(J552="スリット",VLOOKUP(F552&amp;K552&amp;R552,製品マスタ!$N$5:$AE$4999,18,FALSE),""))))))</f>
        <v/>
      </c>
      <c r="Y552" s="256">
        <f ca="1">IF(D552="","",IF(T552="","",VLOOKUP(D552,契約台帳!$A$3:$Q$4986,17,FALSE)))</f>
        <v>2</v>
      </c>
      <c r="Z552" s="256" t="str">
        <f ca="1">IF(D552="","",IF(T552="","",VLOOKUP(D552,契約台帳!$A$3:$E$4986,5,FALSE)))</f>
        <v>リンテック㈱</v>
      </c>
      <c r="AA552" s="54"/>
      <c r="AB552" s="200">
        <f>IFERROR((VLOOKUP(F552&amp;K552&amp;M552,製品マスタ!$M$5:$AM$4999,27,FALSE)),"")</f>
        <v>0</v>
      </c>
      <c r="AC552" s="31"/>
      <c r="AD552" s="184"/>
      <c r="AE552" s="51"/>
      <c r="AF552" s="52"/>
      <c r="AG552" s="41"/>
      <c r="AH552" s="45"/>
      <c r="AI552" s="28"/>
      <c r="AJ552" s="28"/>
      <c r="AK552" s="28"/>
      <c r="AL552" s="28"/>
      <c r="AM552" s="12"/>
      <c r="AN552" s="12"/>
      <c r="AO552" s="12"/>
      <c r="AP552" s="12"/>
      <c r="AQ552" s="12"/>
      <c r="AR552" s="13"/>
      <c r="AS552" s="14"/>
    </row>
    <row r="553" spans="1:45" s="16" customFormat="1" ht="30.95" hidden="1" customHeight="1" x14ac:dyDescent="0.2">
      <c r="A553" s="35"/>
      <c r="B553" s="36"/>
      <c r="C553" s="43"/>
      <c r="D553" s="29"/>
      <c r="E553" s="29"/>
      <c r="F553" s="255" t="str">
        <f>IF(D553="","",VLOOKUP(D553,契約台帳!$A$3:$K$4986,6,FALSE)&amp;VLOOKUP(D553,契約台帳!$A$3:$K$4986,7,FALSE)&amp;VLOOKUP(D553,契約台帳!$A$3:$K$4986,8,FALSE)&amp;VLOOKUP(D553,契約台帳!$A$3:$K$4986,9,FALSE)&amp;VLOOKUP(D553,契約台帳!$A$3:$K$4986,11,FALSE))</f>
        <v/>
      </c>
      <c r="G553" s="256" t="str">
        <f>IF(D553="","",VLOOKUP(F553,製品マスタ!$G$5:$H$4999,2,FALSE))</f>
        <v/>
      </c>
      <c r="H553" s="256" t="str">
        <f>IF(D553="","",VLOOKUP(F553,製品マスタ!$G$5:$K$4999,5,FALSE))</f>
        <v/>
      </c>
      <c r="I553" s="200" t="str">
        <f>IF(D553="","",VLOOKUP(F553,製品マスタ!$G$5:$L$4999,6,FALSE))</f>
        <v/>
      </c>
      <c r="J553" s="203"/>
      <c r="K553" s="200" t="str">
        <f>IF(D553="","",VLOOKUP(D553,契約台帳!$A$3:$L$4986,12,FALSE))</f>
        <v/>
      </c>
      <c r="L553" s="200" t="str">
        <f>IF(D553="","",INDEX(製品マスタ!$Q$5:$Q$4999,MATCH('S4'!F553&amp;'S4'!K553,製品マスタ!$AO$5:$AO$4999,0)))</f>
        <v/>
      </c>
      <c r="M553" s="37"/>
      <c r="N553" s="37"/>
      <c r="O553" s="153"/>
      <c r="P553" s="45"/>
      <c r="Q553" s="54"/>
      <c r="R553" s="257" t="str">
        <f ca="1">IF(D553="","",IF(OFFSET(D553,-1,0)&lt;&gt;"","",IF(OR(J553="リード付け",J553="巻足し",J553="巻返しリード付け"),M553,VLOOKUP(D553,契約台帳!$A$3:$N$4986,14,FALSE))))</f>
        <v/>
      </c>
      <c r="S553" s="258" t="str">
        <f ca="1">IF(D553="","",IF(OFFSET(D553,-1,0)&lt;&gt;"","",IF(OR(J553="リード付け",J553="巻足し",J553="巻返しリード付け"),M553,VLOOKUP(D553,契約台帳!$A$3:$O$4986,15,FALSE))))</f>
        <v/>
      </c>
      <c r="T553" s="258" t="str">
        <f ca="1">IF(D553="","",IF(J553="リード付け",N553,IF(J553="巻返しリード付け",N553,IF(J553="巻足し",N553*P553+OFFSET(N553,1,0)*OFFSET(P553,1,0),VLOOKUP(D553,契約台帳!$A$3:$P$4986,16,FALSE)))))</f>
        <v/>
      </c>
      <c r="U553" s="38"/>
      <c r="V553" s="259" t="str">
        <f ca="1">IF(D553="","",IF(OFFSET(D553,-2,0)=D553,"",VLOOKUP(D553,契約台帳!$A$3:$R$4986,18,FALSE)))</f>
        <v/>
      </c>
      <c r="W553" s="256" t="str">
        <f>IF(D553="","",IF(T553="","",IF(OR(J553="巻足し",J553="巻返しリード付け"),"",IF(J553="巻返し",VLOOKUP(F553&amp;K553&amp;M553,製品マスタ!$M$5:$AD$4999,18,FALSE),IF(OR(J553="リード付け",J553="巻返しリード付け"),"原反コア",IF(J553="スリット",VLOOKUP(F553&amp;K553&amp;R553,製品マスタ!$N$5:$AD$4999,17,FALSE),""))))))</f>
        <v/>
      </c>
      <c r="X553" s="256" t="str">
        <f>IF(D553="","",IF(T553="","",IF(J553="巻足し","",IF(J553="巻返し",VLOOKUP(F553&amp;K553&amp;M553,製品マスタ!$M$5:$AE$4999,19,FALSE),IF(OR(J553="リード付け",J553="巻返しリード付け"),"",IF(J553="スリット",VLOOKUP(F553&amp;K553&amp;R553,製品マスタ!$N$5:$AE$4999,18,FALSE),""))))))</f>
        <v/>
      </c>
      <c r="Y553" s="256" t="str">
        <f>IF(D553="","",IF(T553="","",VLOOKUP(D553,契約台帳!$A$3:$Q$4986,17,FALSE)))</f>
        <v/>
      </c>
      <c r="Z553" s="256" t="str">
        <f>IF(D553="","",IF(T553="","",VLOOKUP(D553,契約台帳!$A$3:$E$4986,5,FALSE)))</f>
        <v/>
      </c>
      <c r="AA553" s="54"/>
      <c r="AB553" s="200" t="str">
        <f>IFERROR((VLOOKUP(F553&amp;K553&amp;M553,製品マスタ!$M$5:$AM$4999,27,FALSE)),"")</f>
        <v/>
      </c>
      <c r="AC553" s="31"/>
      <c r="AD553" s="184"/>
      <c r="AE553" s="51"/>
      <c r="AF553" s="52"/>
      <c r="AG553" s="41"/>
      <c r="AH553" s="45"/>
      <c r="AI553" s="28"/>
      <c r="AJ553" s="28"/>
      <c r="AK553" s="28"/>
      <c r="AL553" s="28"/>
      <c r="AM553" s="12"/>
      <c r="AN553" s="12"/>
      <c r="AO553" s="12"/>
      <c r="AP553" s="12"/>
      <c r="AQ553" s="12"/>
      <c r="AR553" s="13"/>
      <c r="AS553" s="14"/>
    </row>
    <row r="554" spans="1:45" s="16" customFormat="1" ht="30.95" hidden="1" customHeight="1" x14ac:dyDescent="0.2">
      <c r="A554" s="35" t="s">
        <v>1124</v>
      </c>
      <c r="B554" s="36" t="s">
        <v>1105</v>
      </c>
      <c r="C554" s="43"/>
      <c r="D554" s="29"/>
      <c r="E554" s="29"/>
      <c r="F554" s="255" t="str">
        <f>IF(D554="","",VLOOKUP(D554,契約台帳!$A$3:$K$4986,6,FALSE)&amp;VLOOKUP(D554,契約台帳!$A$3:$K$4986,7,FALSE)&amp;VLOOKUP(D554,契約台帳!$A$3:$K$4986,8,FALSE)&amp;VLOOKUP(D554,契約台帳!$A$3:$K$4986,9,FALSE)&amp;VLOOKUP(D554,契約台帳!$A$3:$K$4986,11,FALSE))</f>
        <v/>
      </c>
      <c r="G554" s="256" t="str">
        <f>IF(D554="","",VLOOKUP(F554,製品マスタ!$G$5:$H$4999,2,FALSE))</f>
        <v/>
      </c>
      <c r="H554" s="256" t="str">
        <f>IF(D554="","",VLOOKUP(F554,製品マスタ!$G$5:$K$4999,5,FALSE))</f>
        <v/>
      </c>
      <c r="I554" s="200" t="str">
        <f>IF(D554="","",VLOOKUP(F554,製品マスタ!$G$5:$L$4999,6,FALSE))</f>
        <v/>
      </c>
      <c r="J554" s="203"/>
      <c r="K554" s="200" t="str">
        <f>IF(D554="","",VLOOKUP(D554,契約台帳!$A$3:$L$4986,12,FALSE))</f>
        <v/>
      </c>
      <c r="L554" s="200" t="str">
        <f>IF(D554="","",INDEX(製品マスタ!$Q$5:$Q$4999,MATCH('S4'!F554&amp;'S4'!K554,製品マスタ!$AO$5:$AO$4999,0)))</f>
        <v/>
      </c>
      <c r="M554" s="37"/>
      <c r="N554" s="37"/>
      <c r="O554" s="153"/>
      <c r="P554" s="45"/>
      <c r="Q554" s="54"/>
      <c r="R554" s="257" t="str">
        <f ca="1">IF(D554="","",IF(OFFSET(D554,-1,0)&lt;&gt;"","",IF(OR(J554="リード付け",J554="巻足し",J554="巻返しリード付け"),M554,VLOOKUP(D554,契約台帳!$A$3:$N$4986,14,FALSE))))</f>
        <v/>
      </c>
      <c r="S554" s="258" t="str">
        <f ca="1">IF(D554="","",IF(OFFSET(D554,-1,0)&lt;&gt;"","",IF(OR(J554="リード付け",J554="巻足し",J554="巻返しリード付け"),M554,VLOOKUP(D554,契約台帳!$A$3:$O$4986,15,FALSE))))</f>
        <v/>
      </c>
      <c r="T554" s="258" t="str">
        <f ca="1">IF(D554="","",IF(J554="リード付け",N554,IF(J554="巻返しリード付け",N554,IF(J554="巻足し",N554*P554+OFFSET(N554,1,0)*OFFSET(P554,1,0),VLOOKUP(D554,契約台帳!$A$3:$P$4986,16,FALSE)))))</f>
        <v/>
      </c>
      <c r="U554" s="38"/>
      <c r="V554" s="259" t="str">
        <f ca="1">IF(D554="","",IF(OFFSET(D554,-2,0)=D554,"",VLOOKUP(D554,契約台帳!$A$3:$R$4986,18,FALSE)))</f>
        <v/>
      </c>
      <c r="W554" s="256" t="str">
        <f>IF(D554="","",IF(T554="","",IF(OR(J554="巻足し",J554="巻返しリード付け"),"",IF(J554="巻返し",VLOOKUP(F554&amp;K554&amp;M554,製品マスタ!$M$5:$AD$4999,18,FALSE),IF(OR(J554="リード付け",J554="巻返しリード付け"),"原反コア",IF(J554="スリット",VLOOKUP(F554&amp;K554&amp;R554,製品マスタ!$N$5:$AD$4999,17,FALSE),""))))))</f>
        <v/>
      </c>
      <c r="X554" s="256" t="str">
        <f>IF(D554="","",IF(T554="","",IF(J554="巻足し","",IF(J554="巻返し",VLOOKUP(F554&amp;K554&amp;M554,製品マスタ!$M$5:$AE$4999,19,FALSE),IF(OR(J554="リード付け",J554="巻返しリード付け"),"",IF(J554="スリット",VLOOKUP(F554&amp;K554&amp;R554,製品マスタ!$N$5:$AE$4999,18,FALSE),""))))))</f>
        <v/>
      </c>
      <c r="Y554" s="256" t="str">
        <f>IF(D554="","",IF(T554="","",VLOOKUP(D554,契約台帳!$A$3:$Q$4986,17,FALSE)))</f>
        <v/>
      </c>
      <c r="Z554" s="256" t="str">
        <f>IF(D554="","",IF(T554="","",VLOOKUP(D554,契約台帳!$A$3:$E$4986,5,FALSE)))</f>
        <v/>
      </c>
      <c r="AA554" s="54"/>
      <c r="AB554" s="200" t="str">
        <f>IFERROR((VLOOKUP(F554&amp;K554&amp;M554,製品マスタ!$M$5:$AM$4999,27,FALSE)),"")</f>
        <v/>
      </c>
      <c r="AC554" s="31"/>
      <c r="AD554" s="184"/>
      <c r="AE554" s="51"/>
      <c r="AF554" s="52"/>
      <c r="AG554" s="41"/>
      <c r="AH554" s="45"/>
      <c r="AI554" s="28"/>
      <c r="AJ554" s="28"/>
      <c r="AK554" s="28"/>
      <c r="AL554" s="28"/>
      <c r="AM554" s="12"/>
      <c r="AN554" s="12"/>
      <c r="AO554" s="12"/>
      <c r="AP554" s="12"/>
      <c r="AQ554" s="12"/>
      <c r="AR554" s="13"/>
      <c r="AS554" s="14"/>
    </row>
    <row r="555" spans="1:45" s="16" customFormat="1" ht="30.95" hidden="1" customHeight="1" x14ac:dyDescent="0.2">
      <c r="A555" s="35"/>
      <c r="B555" s="36"/>
      <c r="C555" s="43"/>
      <c r="D555" s="29"/>
      <c r="E555" s="29"/>
      <c r="F555" s="255" t="str">
        <f>IF(D555="","",VLOOKUP(D555,契約台帳!$A$3:$K$4986,6,FALSE)&amp;VLOOKUP(D555,契約台帳!$A$3:$K$4986,7,FALSE)&amp;VLOOKUP(D555,契約台帳!$A$3:$K$4986,8,FALSE)&amp;VLOOKUP(D555,契約台帳!$A$3:$K$4986,9,FALSE)&amp;VLOOKUP(D555,契約台帳!$A$3:$K$4986,11,FALSE))</f>
        <v/>
      </c>
      <c r="G555" s="256" t="str">
        <f>IF(D555="","",VLOOKUP(F555,製品マスタ!$G$5:$H$4999,2,FALSE))</f>
        <v/>
      </c>
      <c r="H555" s="256" t="str">
        <f>IF(D555="","",VLOOKUP(F555,製品マスタ!$G$5:$K$4999,5,FALSE))</f>
        <v/>
      </c>
      <c r="I555" s="200" t="str">
        <f>IF(D555="","",VLOOKUP(F555,製品マスタ!$G$5:$L$4999,6,FALSE))</f>
        <v/>
      </c>
      <c r="J555" s="203"/>
      <c r="K555" s="200" t="str">
        <f>IF(D555="","",VLOOKUP(D555,契約台帳!$A$3:$L$4986,12,FALSE))</f>
        <v/>
      </c>
      <c r="L555" s="200" t="str">
        <f>IF(D555="","",INDEX(製品マスタ!$Q$5:$Q$4999,MATCH('S4'!F555&amp;'S4'!K555,製品マスタ!$AO$5:$AO$4999,0)))</f>
        <v/>
      </c>
      <c r="M555" s="37"/>
      <c r="N555" s="37"/>
      <c r="O555" s="153"/>
      <c r="P555" s="45"/>
      <c r="Q555" s="54"/>
      <c r="R555" s="257" t="str">
        <f ca="1">IF(D555="","",IF(OFFSET(D555,-1,0)&lt;&gt;"","",IF(OR(J555="リード付け",J555="巻足し",J555="巻返しリード付け"),M555,VLOOKUP(D555,契約台帳!$A$3:$N$4986,14,FALSE))))</f>
        <v/>
      </c>
      <c r="S555" s="258" t="str">
        <f ca="1">IF(D555="","",IF(OFFSET(D555,-1,0)&lt;&gt;"","",IF(OR(J555="リード付け",J555="巻足し",J555="巻返しリード付け"),M555,VLOOKUP(D555,契約台帳!$A$3:$O$4986,15,FALSE))))</f>
        <v/>
      </c>
      <c r="T555" s="258" t="str">
        <f ca="1">IF(D555="","",IF(J555="リード付け",N555,IF(J555="巻返しリード付け",N555,IF(J555="巻足し",N555*P555+OFFSET(N555,1,0)*OFFSET(P555,1,0),VLOOKUP(D555,契約台帳!$A$3:$P$4986,16,FALSE)))))</f>
        <v/>
      </c>
      <c r="U555" s="38"/>
      <c r="V555" s="259" t="str">
        <f ca="1">IF(D555="","",IF(OFFSET(D555,-2,0)=D555,"",VLOOKUP(D555,契約台帳!$A$3:$R$4986,18,FALSE)))</f>
        <v/>
      </c>
      <c r="W555" s="256" t="str">
        <f>IF(D555="","",IF(T555="","",IF(OR(J555="巻足し",J555="巻返しリード付け"),"",IF(J555="巻返し",VLOOKUP(F555&amp;K555&amp;M555,製品マスタ!$M$5:$AD$4999,18,FALSE),IF(OR(J555="リード付け",J555="巻返しリード付け"),"原反コア",IF(J555="スリット",VLOOKUP(F555&amp;K555&amp;R555,製品マスタ!$N$5:$AD$4999,17,FALSE),""))))))</f>
        <v/>
      </c>
      <c r="X555" s="256" t="str">
        <f>IF(D555="","",IF(T555="","",IF(J555="巻足し","",IF(J555="巻返し",VLOOKUP(F555&amp;K555&amp;M555,製品マスタ!$M$5:$AE$4999,19,FALSE),IF(OR(J555="リード付け",J555="巻返しリード付け"),"",IF(J555="スリット",VLOOKUP(F555&amp;K555&amp;R555,製品マスタ!$N$5:$AE$4999,18,FALSE),""))))))</f>
        <v/>
      </c>
      <c r="Y555" s="256" t="str">
        <f>IF(D555="","",IF(T555="","",VLOOKUP(D555,契約台帳!$A$3:$Q$4986,17,FALSE)))</f>
        <v/>
      </c>
      <c r="Z555" s="256" t="str">
        <f>IF(D555="","",IF(T555="","",VLOOKUP(D555,契約台帳!$A$3:$E$4986,5,FALSE)))</f>
        <v/>
      </c>
      <c r="AA555" s="54"/>
      <c r="AB555" s="200" t="str">
        <f>IFERROR((VLOOKUP(F555&amp;K555&amp;M555,製品マスタ!$M$5:$AM$4999,27,FALSE)),"")</f>
        <v/>
      </c>
      <c r="AC555" s="31"/>
      <c r="AD555" s="184"/>
      <c r="AE555" s="51"/>
      <c r="AF555" s="52"/>
      <c r="AG555" s="41"/>
      <c r="AH555" s="45"/>
      <c r="AI555" s="28"/>
      <c r="AJ555" s="28"/>
      <c r="AK555" s="28"/>
      <c r="AL555" s="28"/>
      <c r="AM555" s="12"/>
      <c r="AN555" s="12"/>
      <c r="AO555" s="12"/>
      <c r="AP555" s="12"/>
      <c r="AQ555" s="12"/>
      <c r="AR555" s="13"/>
      <c r="AS555" s="14"/>
    </row>
    <row r="556" spans="1:45" s="16" customFormat="1" ht="30.95" hidden="1" customHeight="1" x14ac:dyDescent="0.2">
      <c r="A556" s="35" t="s">
        <v>1125</v>
      </c>
      <c r="B556" s="36" t="s">
        <v>1107</v>
      </c>
      <c r="C556" s="43"/>
      <c r="D556" s="29"/>
      <c r="E556" s="29"/>
      <c r="F556" s="255" t="str">
        <f>IF(D556="","",VLOOKUP(D556,契約台帳!$A$3:$K$4986,6,FALSE)&amp;VLOOKUP(D556,契約台帳!$A$3:$K$4986,7,FALSE)&amp;VLOOKUP(D556,契約台帳!$A$3:$K$4986,8,FALSE)&amp;VLOOKUP(D556,契約台帳!$A$3:$K$4986,9,FALSE)&amp;VLOOKUP(D556,契約台帳!$A$3:$K$4986,11,FALSE))</f>
        <v/>
      </c>
      <c r="G556" s="256" t="str">
        <f>IF(D556="","",VLOOKUP(F556,製品マスタ!$G$5:$H$4999,2,FALSE))</f>
        <v/>
      </c>
      <c r="H556" s="256" t="str">
        <f>IF(D556="","",VLOOKUP(F556,製品マスタ!$G$5:$K$4999,5,FALSE))</f>
        <v/>
      </c>
      <c r="I556" s="200" t="str">
        <f>IF(D556="","",VLOOKUP(F556,製品マスタ!$G$5:$L$4999,6,FALSE))</f>
        <v/>
      </c>
      <c r="J556" s="203" t="s">
        <v>1126</v>
      </c>
      <c r="K556" s="200" t="str">
        <f>IF(D556="","",VLOOKUP(D556,契約台帳!$A$3:$L$4986,12,FALSE))</f>
        <v/>
      </c>
      <c r="L556" s="200" t="str">
        <f>IF(D556="","",INDEX(製品マスタ!$Q$5:$Q$4999,MATCH('S4'!F556&amp;'S4'!K556,製品マスタ!$AO$5:$AO$4999,0)))</f>
        <v/>
      </c>
      <c r="M556" s="37"/>
      <c r="N556" s="37"/>
      <c r="O556" s="153"/>
      <c r="P556" s="45"/>
      <c r="Q556" s="54"/>
      <c r="R556" s="257" t="str">
        <f ca="1">IF(D556="","",IF(OFFSET(D556,-1,0)&lt;&gt;"","",IF(OR(J556="リード付け",J556="巻足し",J556="巻返しリード付け"),M556,VLOOKUP(D556,契約台帳!$A$3:$N$4986,14,FALSE))))</f>
        <v/>
      </c>
      <c r="S556" s="258" t="str">
        <f ca="1">IF(D556="","",IF(OFFSET(D556,-1,0)&lt;&gt;"","",IF(OR(J556="リード付け",J556="巻足し",J556="巻返しリード付け"),M556,VLOOKUP(D556,契約台帳!$A$3:$O$4986,15,FALSE))))</f>
        <v/>
      </c>
      <c r="T556" s="258" t="str">
        <f ca="1">IF(D556="","",IF(J556="リード付け",N556,IF(J556="巻返しリード付け",N556,IF(J556="巻足し",N556*P556+OFFSET(N556,1,0)*OFFSET(P556,1,0),VLOOKUP(D556,契約台帳!$A$3:$P$4986,16,FALSE)))))</f>
        <v/>
      </c>
      <c r="U556" s="38"/>
      <c r="V556" s="259" t="str">
        <f ca="1">IF(D556="","",IF(OFFSET(D556,-2,0)=D556,"",VLOOKUP(D556,契約台帳!$A$3:$R$4986,18,FALSE)))</f>
        <v/>
      </c>
      <c r="W556" s="256" t="str">
        <f>IF(D556="","",IF(T556="","",IF(OR(J556="巻足し",J556="巻返しリード付け"),"",IF(J556="巻返し",VLOOKUP(F556&amp;K556&amp;M556,製品マスタ!$M$5:$AD$4999,18,FALSE),IF(OR(J556="リード付け",J556="巻返しリード付け"),"原反コア",IF(J556="スリット",VLOOKUP(F556&amp;K556&amp;R556,製品マスタ!$N$5:$AD$4999,17,FALSE),""))))))</f>
        <v/>
      </c>
      <c r="X556" s="256" t="str">
        <f>IF(D556="","",IF(T556="","",IF(J556="巻足し","",IF(J556="巻返し",VLOOKUP(F556&amp;K556&amp;M556,製品マスタ!$M$5:$AE$4999,19,FALSE),IF(OR(J556="リード付け",J556="巻返しリード付け"),"",IF(J556="スリット",VLOOKUP(F556&amp;K556&amp;R556,製品マスタ!$N$5:$AE$4999,18,FALSE),""))))))</f>
        <v/>
      </c>
      <c r="Y556" s="256" t="str">
        <f>IF(D556="","",IF(T556="","",VLOOKUP(D556,契約台帳!$A$3:$Q$4986,17,FALSE)))</f>
        <v/>
      </c>
      <c r="Z556" s="256" t="str">
        <f>IF(D556="","",IF(T556="","",VLOOKUP(D556,契約台帳!$A$3:$E$4986,5,FALSE)))</f>
        <v/>
      </c>
      <c r="AA556" s="54"/>
      <c r="AB556" s="200" t="str">
        <f>IFERROR((VLOOKUP(F556&amp;K556&amp;M556,製品マスタ!$M$5:$AM$4999,27,FALSE)),"")</f>
        <v/>
      </c>
      <c r="AC556" s="31"/>
      <c r="AD556" s="184"/>
      <c r="AE556" s="51"/>
      <c r="AF556" s="52"/>
      <c r="AG556" s="41"/>
      <c r="AH556" s="45"/>
      <c r="AI556" s="28"/>
      <c r="AJ556" s="28"/>
      <c r="AK556" s="28"/>
      <c r="AL556" s="28"/>
      <c r="AM556" s="12"/>
      <c r="AN556" s="12"/>
      <c r="AO556" s="12"/>
      <c r="AP556" s="12"/>
      <c r="AQ556" s="12"/>
      <c r="AR556" s="13"/>
      <c r="AS556" s="14"/>
    </row>
    <row r="557" spans="1:45" s="16" customFormat="1" ht="30.95" hidden="1" customHeight="1" x14ac:dyDescent="0.2">
      <c r="A557" s="35"/>
      <c r="B557" s="36"/>
      <c r="C557" s="43"/>
      <c r="D557" s="29"/>
      <c r="E557" s="29"/>
      <c r="F557" s="255" t="str">
        <f>IF(D557="","",VLOOKUP(D557,契約台帳!$A$3:$K$4986,6,FALSE)&amp;VLOOKUP(D557,契約台帳!$A$3:$K$4986,7,FALSE)&amp;VLOOKUP(D557,契約台帳!$A$3:$K$4986,8,FALSE)&amp;VLOOKUP(D557,契約台帳!$A$3:$K$4986,9,FALSE)&amp;VLOOKUP(D557,契約台帳!$A$3:$K$4986,11,FALSE))</f>
        <v/>
      </c>
      <c r="G557" s="256" t="str">
        <f>IF(D557="","",VLOOKUP(F557,製品マスタ!$G$5:$H$4999,2,FALSE))</f>
        <v/>
      </c>
      <c r="H557" s="256" t="str">
        <f>IF(D557="","",VLOOKUP(F557,製品マスタ!$G$5:$K$4999,5,FALSE))</f>
        <v/>
      </c>
      <c r="I557" s="200" t="str">
        <f>IF(D557="","",VLOOKUP(F557,製品マスタ!$G$5:$L$4999,6,FALSE))</f>
        <v/>
      </c>
      <c r="J557" s="203"/>
      <c r="K557" s="200" t="str">
        <f>IF(D557="","",VLOOKUP(D557,契約台帳!$A$3:$L$4986,12,FALSE))</f>
        <v/>
      </c>
      <c r="L557" s="200" t="str">
        <f>IF(D557="","",INDEX(製品マスタ!$Q$5:$Q$4999,MATCH('S4'!F557&amp;'S4'!K557,製品マスタ!$AO$5:$AO$4999,0)))</f>
        <v/>
      </c>
      <c r="M557" s="37"/>
      <c r="N557" s="37"/>
      <c r="O557" s="153"/>
      <c r="P557" s="45"/>
      <c r="Q557" s="54"/>
      <c r="R557" s="257" t="str">
        <f ca="1">IF(D557="","",IF(OFFSET(D557,-1,0)&lt;&gt;"","",IF(OR(J557="リード付け",J557="巻足し",J557="巻返しリード付け"),M557,VLOOKUP(D557,契約台帳!$A$3:$N$4986,14,FALSE))))</f>
        <v/>
      </c>
      <c r="S557" s="258" t="str">
        <f ca="1">IF(D557="","",IF(OFFSET(D557,-1,0)&lt;&gt;"","",IF(OR(J557="リード付け",J557="巻足し",J557="巻返しリード付け"),M557,VLOOKUP(D557,契約台帳!$A$3:$O$4986,15,FALSE))))</f>
        <v/>
      </c>
      <c r="T557" s="258" t="str">
        <f ca="1">IF(D557="","",IF(J557="リード付け",N557,IF(J557="巻返しリード付け",N557,IF(J557="巻足し",N557*P557+OFFSET(N557,1,0)*OFFSET(P557,1,0),VLOOKUP(D557,契約台帳!$A$3:$P$4986,16,FALSE)))))</f>
        <v/>
      </c>
      <c r="U557" s="38"/>
      <c r="V557" s="259" t="str">
        <f ca="1">IF(D557="","",IF(OFFSET(D557,-2,0)=D557,"",VLOOKUP(D557,契約台帳!$A$3:$R$4986,18,FALSE)))</f>
        <v/>
      </c>
      <c r="W557" s="256" t="str">
        <f>IF(D557="","",IF(T557="","",IF(OR(J557="巻足し",J557="巻返しリード付け"),"",IF(J557="巻返し",VLOOKUP(F557&amp;K557&amp;M557,製品マスタ!$M$5:$AD$4999,18,FALSE),IF(OR(J557="リード付け",J557="巻返しリード付け"),"原反コア",IF(J557="スリット",VLOOKUP(F557&amp;K557&amp;R557,製品マスタ!$N$5:$AD$4999,17,FALSE),""))))))</f>
        <v/>
      </c>
      <c r="X557" s="256" t="str">
        <f>IF(D557="","",IF(T557="","",IF(J557="巻足し","",IF(J557="巻返し",VLOOKUP(F557&amp;K557&amp;M557,製品マスタ!$M$5:$AE$4999,19,FALSE),IF(OR(J557="リード付け",J557="巻返しリード付け"),"",IF(J557="スリット",VLOOKUP(F557&amp;K557&amp;R557,製品マスタ!$N$5:$AE$4999,18,FALSE),""))))))</f>
        <v/>
      </c>
      <c r="Y557" s="256" t="str">
        <f>IF(D557="","",IF(T557="","",VLOOKUP(D557,契約台帳!$A$3:$Q$4986,17,FALSE)))</f>
        <v/>
      </c>
      <c r="Z557" s="256" t="str">
        <f>IF(D557="","",IF(T557="","",VLOOKUP(D557,契約台帳!$A$3:$E$4986,5,FALSE)))</f>
        <v/>
      </c>
      <c r="AA557" s="54"/>
      <c r="AB557" s="200" t="str">
        <f>IFERROR((VLOOKUP(F557&amp;K557&amp;M557,製品マスタ!$M$5:$AM$4999,27,FALSE)),"")</f>
        <v/>
      </c>
      <c r="AC557" s="31"/>
      <c r="AD557" s="184"/>
      <c r="AE557" s="51"/>
      <c r="AF557" s="52"/>
      <c r="AG557" s="41"/>
      <c r="AH557" s="45"/>
      <c r="AI557" s="28"/>
      <c r="AJ557" s="28"/>
      <c r="AK557" s="28"/>
      <c r="AL557" s="28"/>
      <c r="AM557" s="12"/>
      <c r="AN557" s="12"/>
      <c r="AO557" s="12"/>
      <c r="AP557" s="12"/>
      <c r="AQ557" s="12"/>
      <c r="AR557" s="13"/>
      <c r="AS557" s="14"/>
    </row>
    <row r="558" spans="1:45" s="16" customFormat="1" ht="30.95" hidden="1" customHeight="1" x14ac:dyDescent="0.2">
      <c r="A558" s="35" t="s">
        <v>1127</v>
      </c>
      <c r="B558" s="36" t="s">
        <v>1109</v>
      </c>
      <c r="C558" s="43"/>
      <c r="D558" s="29"/>
      <c r="E558" s="29"/>
      <c r="F558" s="255" t="str">
        <f>IF(D558="","",VLOOKUP(D558,契約台帳!$A$3:$K$4986,6,FALSE)&amp;VLOOKUP(D558,契約台帳!$A$3:$K$4986,7,FALSE)&amp;VLOOKUP(D558,契約台帳!$A$3:$K$4986,8,FALSE)&amp;VLOOKUP(D558,契約台帳!$A$3:$K$4986,9,FALSE)&amp;VLOOKUP(D558,契約台帳!$A$3:$K$4986,11,FALSE))</f>
        <v/>
      </c>
      <c r="G558" s="256" t="str">
        <f>IF(D558="","",VLOOKUP(F558,製品マスタ!$G$5:$H$4999,2,FALSE))</f>
        <v/>
      </c>
      <c r="H558" s="256" t="str">
        <f>IF(D558="","",VLOOKUP(F558,製品マスタ!$G$5:$K$4999,5,FALSE))</f>
        <v/>
      </c>
      <c r="I558" s="200" t="str">
        <f>IF(D558="","",VLOOKUP(F558,製品マスタ!$G$5:$L$4999,6,FALSE))</f>
        <v/>
      </c>
      <c r="J558" s="203"/>
      <c r="K558" s="200" t="str">
        <f>IF(D558="","",VLOOKUP(D558,契約台帳!$A$3:$L$4986,12,FALSE))</f>
        <v/>
      </c>
      <c r="L558" s="200" t="str">
        <f>IF(D558="","",INDEX(製品マスタ!$Q$5:$Q$4999,MATCH('S4'!F558&amp;'S4'!K558,製品マスタ!$AO$5:$AO$4999,0)))</f>
        <v/>
      </c>
      <c r="M558" s="37"/>
      <c r="N558" s="37"/>
      <c r="O558" s="153"/>
      <c r="P558" s="45"/>
      <c r="Q558" s="54"/>
      <c r="R558" s="257" t="str">
        <f ca="1">IF(D558="","",IF(OFFSET(D558,-1,0)&lt;&gt;"","",IF(OR(J558="リード付け",J558="巻足し",J558="巻返しリード付け"),M558,VLOOKUP(D558,契約台帳!$A$3:$N$4986,14,FALSE))))</f>
        <v/>
      </c>
      <c r="S558" s="258" t="str">
        <f ca="1">IF(D558="","",IF(OFFSET(D558,-1,0)&lt;&gt;"","",IF(OR(J558="リード付け",J558="巻足し",J558="巻返しリード付け"),M558,VLOOKUP(D558,契約台帳!$A$3:$O$4986,15,FALSE))))</f>
        <v/>
      </c>
      <c r="T558" s="258" t="str">
        <f ca="1">IF(D558="","",IF(J558="リード付け",N558,IF(J558="巻返しリード付け",N558,IF(J558="巻足し",N558*P558+OFFSET(N558,1,0)*OFFSET(P558,1,0),VLOOKUP(D558,契約台帳!$A$3:$P$4986,16,FALSE)))))</f>
        <v/>
      </c>
      <c r="U558" s="38"/>
      <c r="V558" s="259" t="str">
        <f ca="1">IF(D558="","",IF(OFFSET(D558,-2,0)=D558,"",VLOOKUP(D558,契約台帳!$A$3:$R$4986,18,FALSE)))</f>
        <v/>
      </c>
      <c r="W558" s="256" t="str">
        <f>IF(D558="","",IF(T558="","",IF(OR(J558="巻足し",J558="巻返しリード付け"),"",IF(J558="巻返し",VLOOKUP(F558&amp;K558&amp;M558,製品マスタ!$M$5:$AD$4999,18,FALSE),IF(OR(J558="リード付け",J558="巻返しリード付け"),"原反コア",IF(J558="スリット",VLOOKUP(F558&amp;K558&amp;R558,製品マスタ!$N$5:$AD$4999,17,FALSE),""))))))</f>
        <v/>
      </c>
      <c r="X558" s="256" t="str">
        <f>IF(D558="","",IF(T558="","",IF(J558="巻足し","",IF(J558="巻返し",VLOOKUP(F558&amp;K558&amp;M558,製品マスタ!$M$5:$AE$4999,19,FALSE),IF(OR(J558="リード付け",J558="巻返しリード付け"),"",IF(J558="スリット",VLOOKUP(F558&amp;K558&amp;R558,製品マスタ!$N$5:$AE$4999,18,FALSE),""))))))</f>
        <v/>
      </c>
      <c r="Y558" s="256" t="str">
        <f>IF(D558="","",IF(T558="","",VLOOKUP(D558,契約台帳!$A$3:$Q$4986,17,FALSE)))</f>
        <v/>
      </c>
      <c r="Z558" s="256" t="str">
        <f>IF(D558="","",IF(T558="","",VLOOKUP(D558,契約台帳!$A$3:$E$4986,5,FALSE)))</f>
        <v/>
      </c>
      <c r="AA558" s="54"/>
      <c r="AB558" s="200" t="str">
        <f>IFERROR((VLOOKUP(F558&amp;K558&amp;M558,製品マスタ!$M$5:$AM$4999,27,FALSE)),"")</f>
        <v/>
      </c>
      <c r="AC558" s="31"/>
      <c r="AD558" s="184"/>
      <c r="AE558" s="51"/>
      <c r="AF558" s="52"/>
      <c r="AG558" s="41"/>
      <c r="AH558" s="45"/>
      <c r="AI558" s="28"/>
      <c r="AJ558" s="28"/>
      <c r="AK558" s="28"/>
      <c r="AL558" s="28"/>
      <c r="AM558" s="12"/>
      <c r="AN558" s="12"/>
      <c r="AO558" s="12"/>
      <c r="AP558" s="12"/>
      <c r="AQ558" s="12"/>
      <c r="AR558" s="13"/>
      <c r="AS558" s="14"/>
    </row>
    <row r="559" spans="1:45" s="16" customFormat="1" ht="30.95" hidden="1" customHeight="1" x14ac:dyDescent="0.2">
      <c r="A559" s="35"/>
      <c r="B559" s="36"/>
      <c r="C559" s="43"/>
      <c r="D559" s="29"/>
      <c r="E559" s="29"/>
      <c r="F559" s="255" t="str">
        <f>IF(D559="","",VLOOKUP(D559,契約台帳!$A$3:$K$4986,6,FALSE)&amp;VLOOKUP(D559,契約台帳!$A$3:$K$4986,7,FALSE)&amp;VLOOKUP(D559,契約台帳!$A$3:$K$4986,8,FALSE)&amp;VLOOKUP(D559,契約台帳!$A$3:$K$4986,9,FALSE)&amp;VLOOKUP(D559,契約台帳!$A$3:$K$4986,11,FALSE))</f>
        <v/>
      </c>
      <c r="G559" s="256" t="str">
        <f>IF(D559="","",VLOOKUP(F559,製品マスタ!$G$5:$H$4999,2,FALSE))</f>
        <v/>
      </c>
      <c r="H559" s="256" t="str">
        <f>IF(D559="","",VLOOKUP(F559,製品マスタ!$G$5:$K$4999,5,FALSE))</f>
        <v/>
      </c>
      <c r="I559" s="200" t="str">
        <f>IF(D559="","",VLOOKUP(F559,製品マスタ!$G$5:$L$4999,6,FALSE))</f>
        <v/>
      </c>
      <c r="J559" s="203"/>
      <c r="K559" s="200" t="str">
        <f>IF(D559="","",VLOOKUP(D559,契約台帳!$A$3:$L$4986,12,FALSE))</f>
        <v/>
      </c>
      <c r="L559" s="200" t="str">
        <f>IF(D559="","",INDEX(製品マスタ!$Q$5:$Q$4999,MATCH('S4'!F559&amp;'S4'!K559,製品マスタ!$AO$5:$AO$4999,0)))</f>
        <v/>
      </c>
      <c r="M559" s="37"/>
      <c r="N559" s="37"/>
      <c r="O559" s="153"/>
      <c r="P559" s="45"/>
      <c r="Q559" s="54"/>
      <c r="R559" s="257" t="str">
        <f ca="1">IF(D559="","",IF(OFFSET(D559,-1,0)&lt;&gt;"","",IF(OR(J559="リード付け",J559="巻足し",J559="巻返しリード付け"),M559,VLOOKUP(D559,契約台帳!$A$3:$N$4986,14,FALSE))))</f>
        <v/>
      </c>
      <c r="S559" s="258" t="str">
        <f ca="1">IF(D559="","",IF(OFFSET(D559,-1,0)&lt;&gt;"","",IF(OR(J559="リード付け",J559="巻足し",J559="巻返しリード付け"),M559,VLOOKUP(D559,契約台帳!$A$3:$O$4986,15,FALSE))))</f>
        <v/>
      </c>
      <c r="T559" s="258" t="str">
        <f ca="1">IF(D559="","",IF(J559="リード付け",N559,IF(J559="巻返しリード付け",N559,IF(J559="巻足し",N559*P559+OFFSET(N559,1,0)*OFFSET(P559,1,0),VLOOKUP(D559,契約台帳!$A$3:$P$4986,16,FALSE)))))</f>
        <v/>
      </c>
      <c r="U559" s="38"/>
      <c r="V559" s="259" t="str">
        <f ca="1">IF(D559="","",IF(OFFSET(D559,-2,0)=D559,"",VLOOKUP(D559,契約台帳!$A$3:$R$4986,18,FALSE)))</f>
        <v/>
      </c>
      <c r="W559" s="256" t="str">
        <f>IF(D559="","",IF(T559="","",IF(OR(J559="巻足し",J559="巻返しリード付け"),"",IF(J559="巻返し",VLOOKUP(F559&amp;K559&amp;M559,製品マスタ!$M$5:$AD$4999,18,FALSE),IF(OR(J559="リード付け",J559="巻返しリード付け"),"原反コア",IF(J559="スリット",VLOOKUP(F559&amp;K559&amp;R559,製品マスタ!$N$5:$AD$4999,17,FALSE),""))))))</f>
        <v/>
      </c>
      <c r="X559" s="256" t="str">
        <f>IF(D559="","",IF(T559="","",IF(J559="巻足し","",IF(J559="巻返し",VLOOKUP(F559&amp;K559&amp;M559,製品マスタ!$M$5:$AE$4999,19,FALSE),IF(OR(J559="リード付け",J559="巻返しリード付け"),"",IF(J559="スリット",VLOOKUP(F559&amp;K559&amp;R559,製品マスタ!$N$5:$AE$4999,18,FALSE),""))))))</f>
        <v/>
      </c>
      <c r="Y559" s="256" t="str">
        <f>IF(D559="","",IF(T559="","",VLOOKUP(D559,契約台帳!$A$3:$Q$4986,17,FALSE)))</f>
        <v/>
      </c>
      <c r="Z559" s="256" t="str">
        <f>IF(D559="","",IF(T559="","",VLOOKUP(D559,契約台帳!$A$3:$E$4986,5,FALSE)))</f>
        <v/>
      </c>
      <c r="AA559" s="54"/>
      <c r="AB559" s="200" t="str">
        <f>IFERROR((VLOOKUP(F559&amp;K559&amp;M559,製品マスタ!$M$5:$AM$4999,27,FALSE)),"")</f>
        <v/>
      </c>
      <c r="AC559" s="31"/>
      <c r="AD559" s="184"/>
      <c r="AE559" s="51"/>
      <c r="AF559" s="52"/>
      <c r="AG559" s="41"/>
      <c r="AH559" s="45"/>
      <c r="AI559" s="28"/>
      <c r="AJ559" s="28"/>
      <c r="AK559" s="28"/>
      <c r="AL559" s="28"/>
      <c r="AM559" s="12"/>
      <c r="AN559" s="12"/>
      <c r="AO559" s="12"/>
      <c r="AP559" s="12"/>
      <c r="AQ559" s="12"/>
      <c r="AR559" s="13"/>
      <c r="AS559" s="14"/>
    </row>
    <row r="560" spans="1:45" s="16" customFormat="1" ht="30.95" hidden="1" customHeight="1" x14ac:dyDescent="0.2">
      <c r="A560" s="35" t="s">
        <v>1128</v>
      </c>
      <c r="B560" s="36" t="s">
        <v>688</v>
      </c>
      <c r="C560" s="43"/>
      <c r="D560" s="29">
        <v>3704004</v>
      </c>
      <c r="E560" s="29">
        <v>4140924</v>
      </c>
      <c r="F560" s="255" t="str">
        <f>IF(D560="","",VLOOKUP(D560,契約台帳!$A$3:$K$4986,6,FALSE)&amp;VLOOKUP(D560,契約台帳!$A$3:$K$4986,7,FALSE)&amp;VLOOKUP(D560,契約台帳!$A$3:$K$4986,8,FALSE)&amp;VLOOKUP(D560,契約台帳!$A$3:$K$4986,9,FALSE)&amp;VLOOKUP(D560,契約台帳!$A$3:$K$4986,11,FALSE))</f>
        <v>3SNMCLBMSNEYK</v>
      </c>
      <c r="G560" s="256" t="str">
        <f>IF(D560="","",VLOOKUP(F560,製品マスタ!$G$5:$H$4999,2,FALSE))</f>
        <v>S</v>
      </c>
      <c r="H560" s="256" t="str">
        <f>IF(D560="","",VLOOKUP(F560,製品マスタ!$G$5:$K$4999,5,FALSE))</f>
        <v>MSNEYK</v>
      </c>
      <c r="I560" s="200" t="str">
        <f>IF(D560="","",VLOOKUP(F560,製品マスタ!$G$5:$L$4999,6,FALSE))</f>
        <v>ＭＳＮ　ＥＹＫ</v>
      </c>
      <c r="J560" s="203" t="s">
        <v>1145</v>
      </c>
      <c r="K560" s="200">
        <f>IF(D560="","",VLOOKUP(D560,契約台帳!$A$3:$L$4986,12,FALSE))</f>
        <v>50</v>
      </c>
      <c r="L560" s="200" t="str">
        <f>IF(D560="","",INDEX(製品マスタ!$Q$5:$Q$4999,MATCH('S4'!F560&amp;'S4'!K560,製品マスタ!$AO$5:$AO$4999,0)))</f>
        <v>N-MAT</v>
      </c>
      <c r="M560" s="37">
        <v>1200</v>
      </c>
      <c r="N560" s="37">
        <v>12000</v>
      </c>
      <c r="O560" s="153">
        <v>4</v>
      </c>
      <c r="P560" s="45">
        <v>4</v>
      </c>
      <c r="Q560" s="54"/>
      <c r="R560" s="257">
        <f ca="1">IF(D560="","",IF(OFFSET(D560,-1,0)&lt;&gt;"","",IF(OR(J560="リード付け",J560="巻足し",J560="巻返しリード付け"),M560,VLOOKUP(D560,契約台帳!$A$3:$N$4986,14,FALSE))))</f>
        <v>1200</v>
      </c>
      <c r="S560" s="258">
        <f ca="1">IF(D560="","",IF(OFFSET(D560,-1,0)&lt;&gt;"","",IF(OR(J560="リード付け",J560="巻足し",J560="巻返しリード付け"),M560,VLOOKUP(D560,契約台帳!$A$3:$O$4986,15,FALSE))))</f>
        <v>1190</v>
      </c>
      <c r="T560" s="258">
        <f ca="1">IF(D560="","",IF(J560="リード付け",N560,IF(J560="巻返しリード付け",N560,IF(J560="巻足し",N560*P560+OFFSET(N560,1,0)*OFFSET(P560,1,0),VLOOKUP(D560,契約台帳!$A$3:$P$4986,16,FALSE)))))</f>
        <v>6000</v>
      </c>
      <c r="U560" s="38">
        <v>8</v>
      </c>
      <c r="V560" s="259">
        <f ca="1">IF(D560="","",IF(OFFSET(D560,-2,0)=D560,"",VLOOKUP(D560,契約台帳!$A$3:$R$4986,18,FALSE)))</f>
        <v>8</v>
      </c>
      <c r="W560" s="256" t="str">
        <f ca="1">IF(D560="","",IF(T560="","",IF(OR(J560="巻足し",J560="巻返しリード付け"),"",IF(J560="巻返し",VLOOKUP(F560&amp;K560&amp;M560,製品マスタ!$M$5:$AD$4999,18,FALSE),IF(OR(J560="リード付け",J560="巻返しリード付け"),"原反コア",IF(J560="スリット",VLOOKUP(F560&amp;K560&amp;R560,製品マスタ!$N$5:$AD$4999,17,FALSE),""))))))</f>
        <v>6ｲﾝﾁMｺｱ</v>
      </c>
      <c r="X560" s="256">
        <f ca="1">IF(D560="","",IF(T560="","",IF(J560="巻足し","",IF(J560="巻返し",VLOOKUP(F560&amp;K560&amp;M560,製品マスタ!$M$5:$AE$4999,19,FALSE),IF(OR(J560="リード付け",J560="巻返しリード付け"),"",IF(J560="スリット",VLOOKUP(F560&amp;K560&amp;R560,製品マスタ!$N$5:$AE$4999,18,FALSE),""))))))</f>
        <v>1220</v>
      </c>
      <c r="Y560" s="256">
        <f ca="1">IF(D560="","",IF(T560="","",VLOOKUP(D560,契約台帳!$A$3:$Q$4986,17,FALSE)))</f>
        <v>2</v>
      </c>
      <c r="Z560" s="256" t="str">
        <f ca="1">IF(D560="","",IF(T560="","",VLOOKUP(D560,契約台帳!$A$3:$E$4986,5,FALSE)))</f>
        <v>大阪シーリング印刷㈱</v>
      </c>
      <c r="AA560" s="54"/>
      <c r="AB560" s="200" t="str">
        <f>IFERROR((VLOOKUP(F560&amp;K560&amp;M560,製品マスタ!$M$5:$AM$4999,27,FALSE)),"")</f>
        <v>原反ケース再利用</v>
      </c>
      <c r="AC560" s="31"/>
      <c r="AD560" s="184"/>
      <c r="AE560" s="51"/>
      <c r="AF560" s="52"/>
      <c r="AG560" s="41"/>
      <c r="AH560" s="45"/>
      <c r="AI560" s="28"/>
      <c r="AJ560" s="28"/>
      <c r="AK560" s="28"/>
      <c r="AL560" s="28"/>
      <c r="AM560" s="12"/>
      <c r="AN560" s="12"/>
      <c r="AO560" s="12"/>
      <c r="AP560" s="12"/>
      <c r="AQ560" s="12"/>
      <c r="AR560" s="13"/>
      <c r="AS560" s="14"/>
    </row>
    <row r="561" spans="1:45" s="16" customFormat="1" ht="30.95" hidden="1" customHeight="1" x14ac:dyDescent="0.2">
      <c r="A561" s="35"/>
      <c r="B561" s="36"/>
      <c r="C561" s="43"/>
      <c r="D561" s="29"/>
      <c r="E561" s="29"/>
      <c r="F561" s="255" t="str">
        <f>IF(D561="","",VLOOKUP(D561,契約台帳!$A$3:$K$4986,6,FALSE)&amp;VLOOKUP(D561,契約台帳!$A$3:$K$4986,7,FALSE)&amp;VLOOKUP(D561,契約台帳!$A$3:$K$4986,8,FALSE)&amp;VLOOKUP(D561,契約台帳!$A$3:$K$4986,9,FALSE)&amp;VLOOKUP(D561,契約台帳!$A$3:$K$4986,11,FALSE))</f>
        <v/>
      </c>
      <c r="G561" s="256" t="str">
        <f>IF(D561="","",VLOOKUP(F561,製品マスタ!$G$5:$H$4999,2,FALSE))</f>
        <v/>
      </c>
      <c r="H561" s="256" t="str">
        <f>IF(D561="","",VLOOKUP(F561,製品マスタ!$G$5:$K$4999,5,FALSE))</f>
        <v/>
      </c>
      <c r="I561" s="200" t="str">
        <f>IF(D561="","",VLOOKUP(F561,製品マスタ!$G$5:$L$4999,6,FALSE))</f>
        <v/>
      </c>
      <c r="J561" s="203"/>
      <c r="K561" s="200" t="str">
        <f>IF(D561="","",VLOOKUP(D561,契約台帳!$A$3:$L$4986,12,FALSE))</f>
        <v/>
      </c>
      <c r="L561" s="200" t="str">
        <f>IF(D561="","",INDEX(製品マスタ!$Q$5:$Q$4999,MATCH('S4'!F561&amp;'S4'!K561,製品マスタ!$AO$5:$AO$4999,0)))</f>
        <v/>
      </c>
      <c r="M561" s="37"/>
      <c r="N561" s="37"/>
      <c r="O561" s="153"/>
      <c r="P561" s="45"/>
      <c r="Q561" s="54"/>
      <c r="R561" s="257" t="str">
        <f ca="1">IF(D561="","",IF(OFFSET(D561,-1,0)&lt;&gt;"","",IF(OR(J561="リード付け",J561="巻足し",J561="巻返しリード付け"),M561,VLOOKUP(D561,契約台帳!$A$3:$N$4986,14,FALSE))))</f>
        <v/>
      </c>
      <c r="S561" s="258" t="str">
        <f ca="1">IF(D561="","",IF(OFFSET(D561,-1,0)&lt;&gt;"","",IF(OR(J561="リード付け",J561="巻足し",J561="巻返しリード付け"),M561,VLOOKUP(D561,契約台帳!$A$3:$O$4986,15,FALSE))))</f>
        <v/>
      </c>
      <c r="T561" s="258" t="str">
        <f ca="1">IF(D561="","",IF(J561="リード付け",N561,IF(J561="巻返しリード付け",N561,IF(J561="巻足し",N561*P561+OFFSET(N561,1,0)*OFFSET(P561,1,0),VLOOKUP(D561,契約台帳!$A$3:$P$4986,16,FALSE)))))</f>
        <v/>
      </c>
      <c r="U561" s="38"/>
      <c r="V561" s="259" t="str">
        <f ca="1">IF(D561="","",IF(OFFSET(D561,-2,0)=D561,"",VLOOKUP(D561,契約台帳!$A$3:$R$4986,18,FALSE)))</f>
        <v/>
      </c>
      <c r="W561" s="256" t="str">
        <f>IF(D561="","",IF(T561="","",IF(OR(J561="巻足し",J561="巻返しリード付け"),"",IF(J561="巻返し",VLOOKUP(F561&amp;K561&amp;M561,製品マスタ!$M$5:$AD$4999,18,FALSE),IF(OR(J561="リード付け",J561="巻返しリード付け"),"原反コア",IF(J561="スリット",VLOOKUP(F561&amp;K561&amp;R561,製品マスタ!$N$5:$AD$4999,17,FALSE),""))))))</f>
        <v/>
      </c>
      <c r="X561" s="256" t="str">
        <f>IF(D561="","",IF(T561="","",IF(J561="巻足し","",IF(J561="巻返し",VLOOKUP(F561&amp;K561&amp;M561,製品マスタ!$M$5:$AE$4999,19,FALSE),IF(OR(J561="リード付け",J561="巻返しリード付け"),"",IF(J561="スリット",VLOOKUP(F561&amp;K561&amp;R561,製品マスタ!$N$5:$AE$4999,18,FALSE),""))))))</f>
        <v/>
      </c>
      <c r="Y561" s="256" t="str">
        <f>IF(D561="","",IF(T561="","",VLOOKUP(D561,契約台帳!$A$3:$Q$4986,17,FALSE)))</f>
        <v/>
      </c>
      <c r="Z561" s="256" t="str">
        <f>IF(D561="","",IF(T561="","",VLOOKUP(D561,契約台帳!$A$3:$E$4986,5,FALSE)))</f>
        <v/>
      </c>
      <c r="AA561" s="54"/>
      <c r="AB561" s="200" t="str">
        <f>IFERROR((VLOOKUP(F561&amp;K561&amp;M561,製品マスタ!$M$5:$AM$4999,27,FALSE)),"")</f>
        <v/>
      </c>
      <c r="AC561" s="31"/>
      <c r="AD561" s="184"/>
      <c r="AE561" s="51"/>
      <c r="AF561" s="52"/>
      <c r="AG561" s="41"/>
      <c r="AH561" s="45"/>
      <c r="AI561" s="28"/>
      <c r="AJ561" s="28"/>
      <c r="AK561" s="28"/>
      <c r="AL561" s="28"/>
      <c r="AM561" s="12"/>
      <c r="AN561" s="12"/>
      <c r="AO561" s="12"/>
      <c r="AP561" s="12"/>
      <c r="AQ561" s="12"/>
      <c r="AR561" s="13"/>
      <c r="AS561" s="14"/>
    </row>
    <row r="562" spans="1:45" s="16" customFormat="1" ht="30.95" hidden="1" customHeight="1" x14ac:dyDescent="0.2">
      <c r="A562" s="35"/>
      <c r="B562" s="36"/>
      <c r="C562" s="43"/>
      <c r="D562" s="29">
        <v>3708717</v>
      </c>
      <c r="E562" s="29">
        <v>4140934</v>
      </c>
      <c r="F562" s="255" t="str">
        <f>IF(D562="","",VLOOKUP(D562,契約台帳!$A$3:$K$4986,6,FALSE)&amp;VLOOKUP(D562,契約台帳!$A$3:$K$4986,7,FALSE)&amp;VLOOKUP(D562,契約台帳!$A$3:$K$4986,8,FALSE)&amp;VLOOKUP(D562,契約台帳!$A$3:$K$4986,9,FALSE)&amp;VLOOKUP(D562,契約台帳!$A$3:$K$4986,11,FALSE))</f>
        <v>33SSNMCLBTETKFV</v>
      </c>
      <c r="G562" s="256" t="str">
        <f>IF(D562="","",VLOOKUP(F562,製品マスタ!$G$5:$H$4999,2,FALSE))</f>
        <v>S</v>
      </c>
      <c r="H562" s="256" t="str">
        <f>IF(D562="","",VLOOKUP(F562,製品マスタ!$G$5:$K$4999,5,FALSE))</f>
        <v>TETKFV</v>
      </c>
      <c r="I562" s="200" t="str">
        <f>IF(D562="","",VLOOKUP(F562,製品マスタ!$G$5:$L$4999,6,FALSE))</f>
        <v>メタルミー　ＴＥＳ艶開封　Ｖ</v>
      </c>
      <c r="J562" s="203" t="s">
        <v>1123</v>
      </c>
      <c r="K562" s="200">
        <f>IF(D562="","",VLOOKUP(D562,契約台帳!$A$3:$L$4986,12,FALSE))</f>
        <v>50</v>
      </c>
      <c r="L562" s="200" t="str">
        <f>IF(D562="","",INDEX(製品マスタ!$Q$5:$Q$4999,MATCH('S4'!F562&amp;'S4'!K562,製品マスタ!$AO$5:$AO$4999,0)))</f>
        <v>S28SEPA</v>
      </c>
      <c r="M562" s="37">
        <v>1005</v>
      </c>
      <c r="N562" s="37">
        <v>12300</v>
      </c>
      <c r="O562" s="153">
        <v>2</v>
      </c>
      <c r="P562" s="45">
        <v>2</v>
      </c>
      <c r="Q562" s="54"/>
      <c r="R562" s="257">
        <f ca="1">IF(D562="","",IF(OFFSET(D562,-1,0)&lt;&gt;"","",IF(OR(J562="リード付け",J562="巻足し",J562="巻返しリード付け"),M562,VLOOKUP(D562,契約台帳!$A$3:$N$4986,14,FALSE))))</f>
        <v>1005</v>
      </c>
      <c r="S562" s="258">
        <f ca="1">IF(D562="","",IF(OFFSET(D562,-1,0)&lt;&gt;"","",IF(OR(J562="リード付け",J562="巻足し",J562="巻返しリード付け"),M562,VLOOKUP(D562,契約台帳!$A$3:$O$4986,15,FALSE))))</f>
        <v>1000</v>
      </c>
      <c r="T562" s="258">
        <f ca="1">IF(D562="","",IF(J562="リード付け",N562,IF(J562="巻返しリード付け",N562,IF(J562="巻足し",N562*P562+OFFSET(N562,1,0)*OFFSET(P562,1,0),VLOOKUP(D562,契約台帳!$A$3:$P$4986,16,FALSE)))))</f>
        <v>4000</v>
      </c>
      <c r="U562" s="38">
        <v>6</v>
      </c>
      <c r="V562" s="259">
        <f ca="1">IF(D562="","",IF(OFFSET(D562,-2,0)=D562,"",VLOOKUP(D562,契約台帳!$A$3:$R$4986,18,FALSE)))</f>
        <v>6</v>
      </c>
      <c r="W562" s="256" t="str">
        <f ca="1">IF(D562="","",IF(T562="","",IF(OR(J562="巻足し",J562="巻返しリード付け"),"",IF(J562="巻返し",VLOOKUP(F562&amp;K562&amp;M562,製品マスタ!$M$5:$AD$4999,18,FALSE),IF(OR(J562="リード付け",J562="巻返しリード付け"),"原反コア",IF(J562="スリット",VLOOKUP(F562&amp;K562&amp;R562,製品マスタ!$N$5:$AD$4999,17,FALSE),""))))))</f>
        <v>6ｲﾝﾁSｺｱ</v>
      </c>
      <c r="X562" s="256">
        <f ca="1">IF(D562="","",IF(T562="","",IF(J562="巻足し","",IF(J562="巻返し",VLOOKUP(F562&amp;K562&amp;M562,製品マスタ!$M$5:$AE$4999,19,FALSE),IF(OR(J562="リード付け",J562="巻返しリード付け"),"",IF(J562="スリット",VLOOKUP(F562&amp;K562&amp;R562,製品マスタ!$N$5:$AE$4999,18,FALSE),""))))))</f>
        <v>1015</v>
      </c>
      <c r="Y562" s="256">
        <f ca="1">IF(D562="","",IF(T562="","",VLOOKUP(D562,契約台帳!$A$3:$Q$4986,17,FALSE)))</f>
        <v>2</v>
      </c>
      <c r="Z562" s="256" t="str">
        <f ca="1">IF(D562="","",IF(T562="","",VLOOKUP(D562,契約台帳!$A$3:$E$4986,5,FALSE)))</f>
        <v>リンテック㈱</v>
      </c>
      <c r="AA562" s="54"/>
      <c r="AB562" s="200">
        <f>IFERROR((VLOOKUP(F562&amp;K562&amp;M562,製品マスタ!$M$5:$AM$4999,27,FALSE)),"")</f>
        <v>0</v>
      </c>
      <c r="AC562" s="31"/>
      <c r="AD562" s="184"/>
      <c r="AE562" s="51"/>
      <c r="AF562" s="52"/>
      <c r="AG562" s="41"/>
      <c r="AH562" s="45"/>
      <c r="AI562" s="28"/>
      <c r="AJ562" s="28"/>
      <c r="AK562" s="28"/>
      <c r="AL562" s="28"/>
      <c r="AM562" s="12"/>
      <c r="AN562" s="12"/>
      <c r="AO562" s="12"/>
      <c r="AP562" s="12"/>
      <c r="AQ562" s="12"/>
      <c r="AR562" s="13"/>
      <c r="AS562" s="14"/>
    </row>
    <row r="563" spans="1:45" s="16" customFormat="1" ht="30.95" hidden="1" customHeight="1" x14ac:dyDescent="0.2">
      <c r="A563" s="35"/>
      <c r="B563" s="36"/>
      <c r="C563" s="43"/>
      <c r="D563" s="29"/>
      <c r="E563" s="29"/>
      <c r="F563" s="255" t="str">
        <f>IF(D563="","",VLOOKUP(D563,契約台帳!$A$3:$K$4986,6,FALSE)&amp;VLOOKUP(D563,契約台帳!$A$3:$K$4986,7,FALSE)&amp;VLOOKUP(D563,契約台帳!$A$3:$K$4986,8,FALSE)&amp;VLOOKUP(D563,契約台帳!$A$3:$K$4986,9,FALSE)&amp;VLOOKUP(D563,契約台帳!$A$3:$K$4986,11,FALSE))</f>
        <v/>
      </c>
      <c r="G563" s="256" t="str">
        <f>IF(D563="","",VLOOKUP(F563,製品マスタ!$G$5:$H$4999,2,FALSE))</f>
        <v/>
      </c>
      <c r="H563" s="256" t="str">
        <f>IF(D563="","",VLOOKUP(F563,製品マスタ!$G$5:$K$4999,5,FALSE))</f>
        <v/>
      </c>
      <c r="I563" s="200" t="str">
        <f>IF(D563="","",VLOOKUP(F563,製品マスタ!$G$5:$L$4999,6,FALSE))</f>
        <v/>
      </c>
      <c r="J563" s="203"/>
      <c r="K563" s="200" t="str">
        <f>IF(D563="","",VLOOKUP(D563,契約台帳!$A$3:$L$4986,12,FALSE))</f>
        <v/>
      </c>
      <c r="L563" s="200" t="str">
        <f>IF(D563="","",INDEX(製品マスタ!$Q$5:$Q$4999,MATCH('S4'!F563&amp;'S4'!K563,製品マスタ!$AO$5:$AO$4999,0)))</f>
        <v/>
      </c>
      <c r="M563" s="37"/>
      <c r="N563" s="37"/>
      <c r="O563" s="153"/>
      <c r="P563" s="45"/>
      <c r="Q563" s="54"/>
      <c r="R563" s="257" t="str">
        <f ca="1">IF(D563="","",IF(OFFSET(D563,-1,0)&lt;&gt;"","",IF(OR(J563="リード付け",J563="巻足し",J563="巻返しリード付け"),M563,VLOOKUP(D563,契約台帳!$A$3:$N$4986,14,FALSE))))</f>
        <v/>
      </c>
      <c r="S563" s="258" t="str">
        <f ca="1">IF(D563="","",IF(OFFSET(D563,-1,0)&lt;&gt;"","",IF(OR(J563="リード付け",J563="巻足し",J563="巻返しリード付け"),M563,VLOOKUP(D563,契約台帳!$A$3:$O$4986,15,FALSE))))</f>
        <v/>
      </c>
      <c r="T563" s="258" t="str">
        <f ca="1">IF(D563="","",IF(J563="リード付け",N563,IF(J563="巻返しリード付け",N563,IF(J563="巻足し",N563*P563+OFFSET(N563,1,0)*OFFSET(P563,1,0),VLOOKUP(D563,契約台帳!$A$3:$P$4986,16,FALSE)))))</f>
        <v/>
      </c>
      <c r="U563" s="38"/>
      <c r="V563" s="259" t="str">
        <f ca="1">IF(D563="","",IF(OFFSET(D563,-2,0)=D563,"",VLOOKUP(D563,契約台帳!$A$3:$R$4986,18,FALSE)))</f>
        <v/>
      </c>
      <c r="W563" s="256" t="str">
        <f>IF(D563="","",IF(T563="","",IF(OR(J563="巻足し",J563="巻返しリード付け"),"",IF(J563="巻返し",VLOOKUP(F563&amp;K563&amp;M563,製品マスタ!$M$5:$AD$4999,18,FALSE),IF(OR(J563="リード付け",J563="巻返しリード付け"),"原反コア",IF(J563="スリット",VLOOKUP(F563&amp;K563&amp;R563,製品マスタ!$N$5:$AD$4999,17,FALSE),""))))))</f>
        <v/>
      </c>
      <c r="X563" s="256" t="str">
        <f>IF(D563="","",IF(T563="","",IF(J563="巻足し","",IF(J563="巻返し",VLOOKUP(F563&amp;K563&amp;M563,製品マスタ!$M$5:$AE$4999,19,FALSE),IF(OR(J563="リード付け",J563="巻返しリード付け"),"",IF(J563="スリット",VLOOKUP(F563&amp;K563&amp;R563,製品マスタ!$N$5:$AE$4999,18,FALSE),""))))))</f>
        <v/>
      </c>
      <c r="Y563" s="256" t="str">
        <f>IF(D563="","",IF(T563="","",VLOOKUP(D563,契約台帳!$A$3:$Q$4986,17,FALSE)))</f>
        <v/>
      </c>
      <c r="Z563" s="256" t="str">
        <f>IF(D563="","",IF(T563="","",VLOOKUP(D563,契約台帳!$A$3:$E$4986,5,FALSE)))</f>
        <v/>
      </c>
      <c r="AA563" s="54"/>
      <c r="AB563" s="200" t="str">
        <f>IFERROR((VLOOKUP(F563&amp;K563&amp;M563,製品マスタ!$M$5:$AM$4999,27,FALSE)),"")</f>
        <v/>
      </c>
      <c r="AC563" s="31"/>
      <c r="AD563" s="184"/>
      <c r="AE563" s="51"/>
      <c r="AF563" s="52"/>
      <c r="AG563" s="41"/>
      <c r="AH563" s="45"/>
      <c r="AI563" s="28"/>
      <c r="AJ563" s="28"/>
      <c r="AK563" s="28"/>
      <c r="AL563" s="28"/>
      <c r="AM563" s="12"/>
      <c r="AN563" s="12"/>
      <c r="AO563" s="12"/>
      <c r="AP563" s="12"/>
      <c r="AQ563" s="12"/>
      <c r="AR563" s="13"/>
      <c r="AS563" s="14"/>
    </row>
    <row r="564" spans="1:45" s="16" customFormat="1" ht="30.95" hidden="1" customHeight="1" x14ac:dyDescent="0.2">
      <c r="A564" s="35"/>
      <c r="B564" s="36"/>
      <c r="C564" s="43"/>
      <c r="D564" s="29">
        <v>3708716</v>
      </c>
      <c r="E564" s="29">
        <v>4140933</v>
      </c>
      <c r="F564" s="255" t="str">
        <f>IF(D564="","",VLOOKUP(D564,契約台帳!$A$3:$K$4986,6,FALSE)&amp;VLOOKUP(D564,契約台帳!$A$3:$K$4986,7,FALSE)&amp;VLOOKUP(D564,契約台帳!$A$3:$K$4986,8,FALSE)&amp;VLOOKUP(D564,契約台帳!$A$3:$K$4986,9,FALSE)&amp;VLOOKUP(D564,契約台帳!$A$3:$K$4986,11,FALSE))</f>
        <v>33SSNMCLBTEKKFV</v>
      </c>
      <c r="G564" s="256" t="str">
        <f>IF(D564="","",VLOOKUP(F564,製品マスタ!$G$5:$H$4999,2,FALSE))</f>
        <v>S</v>
      </c>
      <c r="H564" s="256" t="str">
        <f>IF(D564="","",VLOOKUP(F564,製品マスタ!$G$5:$K$4999,5,FALSE))</f>
        <v>TEKKFV</v>
      </c>
      <c r="I564" s="200" t="str">
        <f>IF(D564="","",VLOOKUP(F564,製品マスタ!$G$5:$L$4999,6,FALSE))</f>
        <v>メタルミー　ＴＥＳ消開封　Ｖ</v>
      </c>
      <c r="J564" s="203" t="s">
        <v>1123</v>
      </c>
      <c r="K564" s="200">
        <f>IF(D564="","",VLOOKUP(D564,契約台帳!$A$3:$L$4986,12,FALSE))</f>
        <v>50</v>
      </c>
      <c r="L564" s="200" t="str">
        <f>IF(D564="","",INDEX(製品マスタ!$Q$5:$Q$4999,MATCH('S4'!F564&amp;'S4'!K564,製品マスタ!$AO$5:$AO$4999,0)))</f>
        <v>X44SEPA</v>
      </c>
      <c r="M564" s="37">
        <v>1005</v>
      </c>
      <c r="N564" s="37">
        <v>12000</v>
      </c>
      <c r="O564" s="153">
        <v>1</v>
      </c>
      <c r="P564" s="45">
        <v>1</v>
      </c>
      <c r="Q564" s="54"/>
      <c r="R564" s="257">
        <f ca="1">IF(D564="","",IF(OFFSET(D564,-1,0)&lt;&gt;"","",IF(OR(J564="リード付け",J564="巻足し",J564="巻返しリード付け"),M564,VLOOKUP(D564,契約台帳!$A$3:$N$4986,14,FALSE))))</f>
        <v>1005</v>
      </c>
      <c r="S564" s="258">
        <f ca="1">IF(D564="","",IF(OFFSET(D564,-1,0)&lt;&gt;"","",IF(OR(J564="リード付け",J564="巻足し",J564="巻返しリード付け"),M564,VLOOKUP(D564,契約台帳!$A$3:$O$4986,15,FALSE))))</f>
        <v>1000</v>
      </c>
      <c r="T564" s="258">
        <f ca="1">IF(D564="","",IF(J564="リード付け",N564,IF(J564="巻返しリード付け",N564,IF(J564="巻足し",N564*P564+OFFSET(N564,1,0)*OFFSET(P564,1,0),VLOOKUP(D564,契約台帳!$A$3:$P$4986,16,FALSE)))))</f>
        <v>4000</v>
      </c>
      <c r="U564" s="38">
        <v>3</v>
      </c>
      <c r="V564" s="259">
        <f ca="1">IF(D564="","",IF(OFFSET(D564,-2,0)=D564,"",VLOOKUP(D564,契約台帳!$A$3:$R$4986,18,FALSE)))</f>
        <v>3</v>
      </c>
      <c r="W564" s="256" t="str">
        <f ca="1">IF(D564="","",IF(T564="","",IF(OR(J564="巻足し",J564="巻返しリード付け"),"",IF(J564="巻返し",VLOOKUP(F564&amp;K564&amp;M564,製品マスタ!$M$5:$AD$4999,18,FALSE),IF(OR(J564="リード付け",J564="巻返しリード付け"),"原反コア",IF(J564="スリット",VLOOKUP(F564&amp;K564&amp;R564,製品マスタ!$N$5:$AD$4999,17,FALSE),""))))))</f>
        <v>6ｲﾝﾁSｺｱ</v>
      </c>
      <c r="X564" s="256">
        <f ca="1">IF(D564="","",IF(T564="","",IF(J564="巻足し","",IF(J564="巻返し",VLOOKUP(F564&amp;K564&amp;M564,製品マスタ!$M$5:$AE$4999,19,FALSE),IF(OR(J564="リード付け",J564="巻返しリード付け"),"",IF(J564="スリット",VLOOKUP(F564&amp;K564&amp;R564,製品マスタ!$N$5:$AE$4999,18,FALSE),""))))))</f>
        <v>1015</v>
      </c>
      <c r="Y564" s="256">
        <f ca="1">IF(D564="","",IF(T564="","",VLOOKUP(D564,契約台帳!$A$3:$Q$4986,17,FALSE)))</f>
        <v>2</v>
      </c>
      <c r="Z564" s="256" t="str">
        <f ca="1">IF(D564="","",IF(T564="","",VLOOKUP(D564,契約台帳!$A$3:$E$4986,5,FALSE)))</f>
        <v>リンテック㈱</v>
      </c>
      <c r="AA564" s="54"/>
      <c r="AB564" s="200">
        <f>IFERROR((VLOOKUP(F564&amp;K564&amp;M564,製品マスタ!$M$5:$AM$4999,27,FALSE)),"")</f>
        <v>0</v>
      </c>
      <c r="AC564" s="31"/>
      <c r="AD564" s="184"/>
      <c r="AE564" s="51"/>
      <c r="AF564" s="52"/>
      <c r="AG564" s="41"/>
      <c r="AH564" s="45"/>
      <c r="AI564" s="28"/>
      <c r="AJ564" s="28"/>
      <c r="AK564" s="28"/>
      <c r="AL564" s="28"/>
      <c r="AM564" s="12"/>
      <c r="AN564" s="12"/>
      <c r="AO564" s="12"/>
      <c r="AP564" s="12"/>
      <c r="AQ564" s="12"/>
      <c r="AR564" s="13"/>
      <c r="AS564" s="14"/>
    </row>
    <row r="565" spans="1:45" s="16" customFormat="1" ht="30.95" hidden="1" customHeight="1" x14ac:dyDescent="0.2">
      <c r="A565" s="35"/>
      <c r="B565" s="36"/>
      <c r="C565" s="43"/>
      <c r="D565" s="29"/>
      <c r="E565" s="29"/>
      <c r="F565" s="255" t="str">
        <f>IF(D565="","",VLOOKUP(D565,契約台帳!$A$3:$K$4986,6,FALSE)&amp;VLOOKUP(D565,契約台帳!$A$3:$K$4986,7,FALSE)&amp;VLOOKUP(D565,契約台帳!$A$3:$K$4986,8,FALSE)&amp;VLOOKUP(D565,契約台帳!$A$3:$K$4986,9,FALSE)&amp;VLOOKUP(D565,契約台帳!$A$3:$K$4986,11,FALSE))</f>
        <v/>
      </c>
      <c r="G565" s="256" t="str">
        <f>IF(D565="","",VLOOKUP(F565,製品マスタ!$G$5:$H$4999,2,FALSE))</f>
        <v/>
      </c>
      <c r="H565" s="256" t="str">
        <f>IF(D565="","",VLOOKUP(F565,製品マスタ!$G$5:$K$4999,5,FALSE))</f>
        <v/>
      </c>
      <c r="I565" s="200" t="str">
        <f>IF(D565="","",VLOOKUP(F565,製品マスタ!$G$5:$L$4999,6,FALSE))</f>
        <v/>
      </c>
      <c r="J565" s="203"/>
      <c r="K565" s="200" t="str">
        <f>IF(D565="","",VLOOKUP(D565,契約台帳!$A$3:$L$4986,12,FALSE))</f>
        <v/>
      </c>
      <c r="L565" s="200" t="str">
        <f>IF(D565="","",INDEX(製品マスタ!$Q$5:$Q$4999,MATCH('S4'!F565&amp;'S4'!K565,製品マスタ!$AO$5:$AO$4999,0)))</f>
        <v/>
      </c>
      <c r="M565" s="37"/>
      <c r="N565" s="37"/>
      <c r="O565" s="153"/>
      <c r="P565" s="45"/>
      <c r="Q565" s="54"/>
      <c r="R565" s="257" t="str">
        <f ca="1">IF(D565="","",IF(OFFSET(D565,-1,0)&lt;&gt;"","",IF(OR(J565="リード付け",J565="巻足し",J565="巻返しリード付け"),M565,VLOOKUP(D565,契約台帳!$A$3:$N$4986,14,FALSE))))</f>
        <v/>
      </c>
      <c r="S565" s="258" t="str">
        <f ca="1">IF(D565="","",IF(OFFSET(D565,-1,0)&lt;&gt;"","",IF(OR(J565="リード付け",J565="巻足し",J565="巻返しリード付け"),M565,VLOOKUP(D565,契約台帳!$A$3:$O$4986,15,FALSE))))</f>
        <v/>
      </c>
      <c r="T565" s="258" t="str">
        <f ca="1">IF(D565="","",IF(J565="リード付け",N565,IF(J565="巻返しリード付け",N565,IF(J565="巻足し",N565*P565+OFFSET(N565,1,0)*OFFSET(P565,1,0),VLOOKUP(D565,契約台帳!$A$3:$P$4986,16,FALSE)))))</f>
        <v/>
      </c>
      <c r="U565" s="38"/>
      <c r="V565" s="259" t="str">
        <f ca="1">IF(D565="","",IF(OFFSET(D565,-2,0)=D565,"",VLOOKUP(D565,契約台帳!$A$3:$R$4986,18,FALSE)))</f>
        <v/>
      </c>
      <c r="W565" s="256" t="str">
        <f>IF(D565="","",IF(T565="","",IF(OR(J565="巻足し",J565="巻返しリード付け"),"",IF(J565="巻返し",VLOOKUP(F565&amp;K565&amp;M565,製品マスタ!$M$5:$AD$4999,18,FALSE),IF(OR(J565="リード付け",J565="巻返しリード付け"),"原反コア",IF(J565="スリット",VLOOKUP(F565&amp;K565&amp;R565,製品マスタ!$N$5:$AD$4999,17,FALSE),""))))))</f>
        <v/>
      </c>
      <c r="X565" s="256" t="str">
        <f>IF(D565="","",IF(T565="","",IF(J565="巻足し","",IF(J565="巻返し",VLOOKUP(F565&amp;K565&amp;M565,製品マスタ!$M$5:$AE$4999,19,FALSE),IF(OR(J565="リード付け",J565="巻返しリード付け"),"",IF(J565="スリット",VLOOKUP(F565&amp;K565&amp;R565,製品マスタ!$N$5:$AE$4999,18,FALSE),""))))))</f>
        <v/>
      </c>
      <c r="Y565" s="256" t="str">
        <f>IF(D565="","",IF(T565="","",VLOOKUP(D565,契約台帳!$A$3:$Q$4986,17,FALSE)))</f>
        <v/>
      </c>
      <c r="Z565" s="256" t="str">
        <f>IF(D565="","",IF(T565="","",VLOOKUP(D565,契約台帳!$A$3:$E$4986,5,FALSE)))</f>
        <v/>
      </c>
      <c r="AA565" s="54"/>
      <c r="AB565" s="200" t="str">
        <f>IFERROR((VLOOKUP(F565&amp;K565&amp;M565,製品マスタ!$M$5:$AM$4999,27,FALSE)),"")</f>
        <v/>
      </c>
      <c r="AC565" s="31"/>
      <c r="AD565" s="184"/>
      <c r="AE565" s="51"/>
      <c r="AF565" s="52"/>
      <c r="AG565" s="41"/>
      <c r="AH565" s="45"/>
      <c r="AI565" s="28"/>
      <c r="AJ565" s="28"/>
      <c r="AK565" s="28"/>
      <c r="AL565" s="28"/>
      <c r="AM565" s="12"/>
      <c r="AN565" s="12"/>
      <c r="AO565" s="12"/>
      <c r="AP565" s="12"/>
      <c r="AQ565" s="12"/>
      <c r="AR565" s="13"/>
      <c r="AS565" s="14"/>
    </row>
    <row r="566" spans="1:45" s="16" customFormat="1" ht="30.95" hidden="1" customHeight="1" x14ac:dyDescent="0.2">
      <c r="A566" s="35" t="s">
        <v>1129</v>
      </c>
      <c r="B566" s="36" t="s">
        <v>442</v>
      </c>
      <c r="C566" s="43"/>
      <c r="D566" s="29">
        <v>3711151</v>
      </c>
      <c r="E566" s="29">
        <v>4161915</v>
      </c>
      <c r="F566" s="255" t="str">
        <f>IF(D566="","",VLOOKUP(D566,契約台帳!$A$3:$K$4986,6,FALSE)&amp;VLOOKUP(D566,契約台帳!$A$3:$K$4986,7,FALSE)&amp;VLOOKUP(D566,契約台帳!$A$3:$K$4986,8,FALSE)&amp;VLOOKUP(D566,契約台帳!$A$3:$K$4986,9,FALSE)&amp;VLOOKUP(D566,契約台帳!$A$3:$K$4986,11,FALSE))</f>
        <v>3UNMCLBHLGKJV</v>
      </c>
      <c r="G566" s="256" t="str">
        <f>IF(D566="","",VLOOKUP(F566,製品マスタ!$G$5:$H$4999,2,FALSE))</f>
        <v>U</v>
      </c>
      <c r="H566" s="256" t="str">
        <f>IF(D566="","",VLOOKUP(F566,製品マスタ!$G$5:$K$4999,5,FALSE))</f>
        <v>HLGKJV</v>
      </c>
      <c r="I566" s="200" t="str">
        <f>IF(D566="","",VLOOKUP(F566,製品マスタ!$G$5:$L$4999,6,FALSE))</f>
        <v>メタルミー　ヘヤライン　銀消Ｖ</v>
      </c>
      <c r="J566" s="203" t="s">
        <v>935</v>
      </c>
      <c r="K566" s="200">
        <f>IF(D566="","",VLOOKUP(D566,契約台帳!$A$3:$L$4986,12,FALSE))</f>
        <v>50</v>
      </c>
      <c r="L566" s="200" t="str">
        <f>IF(D566="","",INDEX(製品マスタ!$Q$5:$Q$4999,MATCH('S4'!F566&amp;'S4'!K566,製品マスタ!$AO$5:$AO$4999,0)))</f>
        <v>HL-MAT</v>
      </c>
      <c r="M566" s="37">
        <v>1005</v>
      </c>
      <c r="N566" s="37">
        <v>4000</v>
      </c>
      <c r="O566" s="153">
        <v>2</v>
      </c>
      <c r="P566" s="45">
        <v>2</v>
      </c>
      <c r="Q566" s="206">
        <v>45042</v>
      </c>
      <c r="R566" s="257">
        <f ca="1">IF(D566="","",IF(OFFSET(D566,-1,0)&lt;&gt;"","",IF(OR(J566="リード付け",J566="巻足し",J566="巻返しリード付け"),M566,VLOOKUP(D566,契約台帳!$A$3:$N$4986,14,FALSE))))</f>
        <v>1005</v>
      </c>
      <c r="S566" s="258">
        <f ca="1">IF(D566="","",IF(OFFSET(D566,-1,0)&lt;&gt;"","",IF(OR(J566="リード付け",J566="巻足し",J566="巻返しリード付け"),M566,VLOOKUP(D566,契約台帳!$A$3:$O$4986,15,FALSE))))</f>
        <v>1005</v>
      </c>
      <c r="T566" s="258">
        <f ca="1">IF(D566="","",IF(J566="リード付け",N566,IF(J566="巻返しリード付け",N566,IF(J566="巻足し",N566*P566+OFFSET(N566,1,0)*OFFSET(P566,1,0),VLOOKUP(D566,契約台帳!$A$3:$P$4986,16,FALSE)))))</f>
        <v>8000</v>
      </c>
      <c r="U566" s="38">
        <v>1</v>
      </c>
      <c r="V566" s="259">
        <f ca="1">IF(D566="","",IF(OFFSET(D566,-2,0)=D566,"",VLOOKUP(D566,契約台帳!$A$3:$R$4986,18,FALSE)))</f>
        <v>4</v>
      </c>
      <c r="W566" s="256" t="str">
        <f ca="1">IF(D566="","",IF(T566="","",IF(OR(J566="巻足し",J566="巻返しリード付け"),"",IF(J566="巻返し",VLOOKUP(F566&amp;K566&amp;M566,製品マスタ!$M$5:$AD$4999,18,FALSE),IF(OR(J566="リード付け",J566="巻返しリード付け"),"原反コア",IF(J566="スリット",VLOOKUP(F566&amp;K566&amp;R566,製品マスタ!$N$5:$AD$4999,17,FALSE),""))))))</f>
        <v/>
      </c>
      <c r="X566" s="256" t="str">
        <f ca="1">IF(D566="","",IF(T566="","",IF(J566="巻足し","",IF(J566="巻返し",VLOOKUP(F566&amp;K566&amp;M566,製品マスタ!$M$5:$AE$4999,19,FALSE),IF(OR(J566="リード付け",J566="巻返しリード付け"),"",IF(J566="スリット",VLOOKUP(F566&amp;K566&amp;R566,製品マスタ!$N$5:$AE$4999,18,FALSE),""))))))</f>
        <v/>
      </c>
      <c r="Y566" s="256">
        <f ca="1">IF(D566="","",IF(T566="","",VLOOKUP(D566,契約台帳!$A$3:$Q$4986,17,FALSE)))</f>
        <v>2</v>
      </c>
      <c r="Z566" s="256" t="str">
        <f ca="1">IF(D566="","",IF(T566="","",VLOOKUP(D566,契約台帳!$A$3:$E$4986,5,FALSE)))</f>
        <v>リンテック㈱</v>
      </c>
      <c r="AA566" s="54"/>
      <c r="AB566" s="200" t="s">
        <v>774</v>
      </c>
      <c r="AC566" s="31"/>
      <c r="AD566" s="184"/>
      <c r="AE566" s="51"/>
      <c r="AF566" s="52"/>
      <c r="AG566" s="41"/>
      <c r="AH566" s="45"/>
      <c r="AI566" s="28"/>
      <c r="AJ566" s="28"/>
      <c r="AK566" s="28"/>
      <c r="AL566" s="28"/>
      <c r="AM566" s="12"/>
      <c r="AN566" s="12"/>
      <c r="AO566" s="12"/>
      <c r="AP566" s="12"/>
      <c r="AQ566" s="12"/>
      <c r="AR566" s="13"/>
      <c r="AS566" s="14"/>
    </row>
    <row r="567" spans="1:45" s="16" customFormat="1" ht="30.95" hidden="1" customHeight="1" x14ac:dyDescent="0.2">
      <c r="A567" s="35"/>
      <c r="B567" s="36"/>
      <c r="C567" s="43"/>
      <c r="D567" s="29"/>
      <c r="E567" s="29"/>
      <c r="F567" s="255" t="str">
        <f>IF(D567="","",VLOOKUP(D567,契約台帳!$A$3:$K$4986,6,FALSE)&amp;VLOOKUP(D567,契約台帳!$A$3:$K$4986,7,FALSE)&amp;VLOOKUP(D567,契約台帳!$A$3:$K$4986,8,FALSE)&amp;VLOOKUP(D567,契約台帳!$A$3:$K$4986,9,FALSE)&amp;VLOOKUP(D567,契約台帳!$A$3:$K$4986,11,FALSE))</f>
        <v/>
      </c>
      <c r="G567" s="256" t="str">
        <f>IF(D567="","",VLOOKUP(F567,製品マスタ!$G$5:$H$4999,2,FALSE))</f>
        <v/>
      </c>
      <c r="H567" s="256" t="str">
        <f>IF(D567="","",VLOOKUP(F567,製品マスタ!$G$5:$K$4999,5,FALSE))</f>
        <v/>
      </c>
      <c r="I567" s="200" t="str">
        <f>IF(D567="","",VLOOKUP(F567,製品マスタ!$G$5:$L$4999,6,FALSE))</f>
        <v/>
      </c>
      <c r="J567" s="283"/>
      <c r="K567" s="200" t="str">
        <f>IF(D567="","",VLOOKUP(D567,契約台帳!$A$3:$L$4986,12,FALSE))</f>
        <v/>
      </c>
      <c r="L567" s="200" t="str">
        <f>IF(D567="","",INDEX(製品マスタ!$Q$5:$Q$4999,MATCH('S4'!F567&amp;'S4'!K567,製品マスタ!$AO$5:$AO$4999,0)))</f>
        <v/>
      </c>
      <c r="M567" s="37"/>
      <c r="N567" s="37"/>
      <c r="O567" s="153"/>
      <c r="P567" s="45"/>
      <c r="Q567" s="54"/>
      <c r="R567" s="257" t="str">
        <f ca="1">IF(D567="","",IF(OFFSET(D567,-1,0)&lt;&gt;"","",IF(OR(J567="リード付け",J567="巻足し",J567="巻返しリード付け"),M567,VLOOKUP(D567,契約台帳!$A$3:$N$4986,14,FALSE))))</f>
        <v/>
      </c>
      <c r="S567" s="258" t="str">
        <f ca="1">IF(D567="","",IF(OFFSET(D567,-1,0)&lt;&gt;"","",IF(OR(J567="リード付け",J567="巻足し",J567="巻返しリード付け"),M567,VLOOKUP(D567,契約台帳!$A$3:$O$4986,15,FALSE))))</f>
        <v/>
      </c>
      <c r="T567" s="258" t="str">
        <f ca="1">IF(D567="","",IF(J567="リード付け",N567,IF(J567="巻返しリード付け",N567,IF(J567="巻足し",N567*P567+OFFSET(N567,1,0)*OFFSET(P567,1,0),VLOOKUP(D567,契約台帳!$A$3:$P$4986,16,FALSE)))))</f>
        <v/>
      </c>
      <c r="U567" s="38"/>
      <c r="V567" s="259" t="str">
        <f ca="1">IF(D567="","",IF(OFFSET(D567,-2,0)=D567,"",VLOOKUP(D567,契約台帳!$A$3:$R$4986,18,FALSE)))</f>
        <v/>
      </c>
      <c r="W567" s="256" t="str">
        <f>IF(D567="","",IF(T567="","",IF(OR(J567="巻足し",J567="巻返しリード付け"),"",IF(J567="巻返し",VLOOKUP(F567&amp;K567&amp;M567,製品マスタ!$M$5:$AD$4999,18,FALSE),IF(OR(J567="リード付け",J567="巻返しリード付け"),"原反コア",IF(J567="スリット",VLOOKUP(F567&amp;K567&amp;R567,製品マスタ!$N$5:$AD$4999,17,FALSE),""))))))</f>
        <v/>
      </c>
      <c r="X567" s="256" t="str">
        <f>IF(D567="","",IF(T567="","",IF(J567="巻足し","",IF(J567="巻返し",VLOOKUP(F567&amp;K567&amp;M567,製品マスタ!$M$5:$AE$4999,19,FALSE),IF(OR(J567="リード付け",J567="巻返しリード付け"),"",IF(J567="スリット",VLOOKUP(F567&amp;K567&amp;R567,製品マスタ!$N$5:$AE$4999,18,FALSE),""))))))</f>
        <v/>
      </c>
      <c r="Y567" s="256" t="str">
        <f>IF(D567="","",IF(T567="","",VLOOKUP(D567,契約台帳!$A$3:$Q$4986,17,FALSE)))</f>
        <v/>
      </c>
      <c r="Z567" s="256" t="str">
        <f>IF(D567="","",IF(T567="","",VLOOKUP(D567,契約台帳!$A$3:$E$4986,5,FALSE)))</f>
        <v/>
      </c>
      <c r="AA567" s="54"/>
      <c r="AB567" s="200" t="str">
        <f>IFERROR((VLOOKUP(F567&amp;K567&amp;M567,製品マスタ!$M$5:$AM$4999,27,FALSE)),"")</f>
        <v/>
      </c>
      <c r="AC567" s="31"/>
      <c r="AD567" s="184"/>
      <c r="AE567" s="51"/>
      <c r="AF567" s="52"/>
      <c r="AG567" s="41"/>
      <c r="AH567" s="45"/>
      <c r="AI567" s="28"/>
      <c r="AJ567" s="28"/>
      <c r="AK567" s="28"/>
      <c r="AL567" s="28"/>
      <c r="AM567" s="12"/>
      <c r="AN567" s="12"/>
      <c r="AO567" s="12"/>
      <c r="AP567" s="12"/>
      <c r="AQ567" s="12"/>
      <c r="AR567" s="13"/>
      <c r="AS567" s="14"/>
    </row>
    <row r="568" spans="1:45" s="16" customFormat="1" ht="30.95" hidden="1" customHeight="1" x14ac:dyDescent="0.2">
      <c r="A568" s="35"/>
      <c r="B568" s="36"/>
      <c r="C568" s="43"/>
      <c r="D568" s="29">
        <v>3711152</v>
      </c>
      <c r="E568" s="29">
        <v>4161917</v>
      </c>
      <c r="F568" s="255" t="str">
        <f>IF(D568="","",VLOOKUP(D568,契約台帳!$A$3:$K$4986,6,FALSE)&amp;VLOOKUP(D568,契約台帳!$A$3:$K$4986,7,FALSE)&amp;VLOOKUP(D568,契約台帳!$A$3:$K$4986,8,FALSE)&amp;VLOOKUP(D568,契約台帳!$A$3:$K$4986,9,FALSE)&amp;VLOOKUP(D568,契約台帳!$A$3:$K$4986,11,FALSE))</f>
        <v>3UNMCLBHLGTV</v>
      </c>
      <c r="G568" s="256" t="str">
        <f>IF(D568="","",VLOOKUP(F568,製品マスタ!$G$5:$H$4999,2,FALSE))</f>
        <v>U</v>
      </c>
      <c r="H568" s="256" t="str">
        <f>IF(D568="","",VLOOKUP(F568,製品マスタ!$G$5:$K$4999,5,FALSE))</f>
        <v>HLGTV</v>
      </c>
      <c r="I568" s="200" t="str">
        <f>IF(D568="","",VLOOKUP(F568,製品マスタ!$G$5:$L$4999,6,FALSE))</f>
        <v>メタルミー　ヘヤライン　銀艶Ｖ</v>
      </c>
      <c r="J568" s="203" t="s">
        <v>935</v>
      </c>
      <c r="K568" s="200">
        <f>IF(D568="","",VLOOKUP(D568,契約台帳!$A$3:$L$4986,12,FALSE))</f>
        <v>50</v>
      </c>
      <c r="L568" s="200" t="str">
        <f>IF(D568="","",INDEX(製品マスタ!$Q$5:$Q$4999,MATCH('S4'!F568&amp;'S4'!K568,製品マスタ!$AO$5:$AO$4999,0)))</f>
        <v>BRIGHT</v>
      </c>
      <c r="M568" s="37">
        <v>1005</v>
      </c>
      <c r="N568" s="37">
        <v>4100</v>
      </c>
      <c r="O568" s="153">
        <v>3</v>
      </c>
      <c r="P568" s="45">
        <v>3</v>
      </c>
      <c r="Q568" s="206">
        <v>45042</v>
      </c>
      <c r="R568" s="257">
        <f ca="1">IF(D568="","",IF(OFFSET(D568,-1,0)&lt;&gt;"","",IF(OR(J568="リード付け",J568="巻足し",J568="巻返しリード付け"),M568,VLOOKUP(D568,契約台帳!$A$3:$N$4986,14,FALSE))))</f>
        <v>1005</v>
      </c>
      <c r="S568" s="258">
        <f ca="1">IF(D568="","",IF(OFFSET(D568,-1,0)&lt;&gt;"","",IF(OR(J568="リード付け",J568="巻足し",J568="巻返しリード付け"),M568,VLOOKUP(D568,契約台帳!$A$3:$O$4986,15,FALSE))))</f>
        <v>1005</v>
      </c>
      <c r="T568" s="258">
        <f ca="1">IF(D568="","",IF(J568="リード付け",N568,IF(J568="巻返しリード付け",N568,IF(J568="巻足し",N568*P568+OFFSET(N568,1,0)*OFFSET(P568,1,0),VLOOKUP(D568,契約台帳!$A$3:$P$4986,16,FALSE)))))</f>
        <v>12300</v>
      </c>
      <c r="U568" s="38">
        <v>1</v>
      </c>
      <c r="V568" s="259">
        <f ca="1">IF(D568="","",IF(OFFSET(D568,-2,0)=D568,"",VLOOKUP(D568,契約台帳!$A$3:$R$4986,18,FALSE)))</f>
        <v>5</v>
      </c>
      <c r="W568" s="256" t="str">
        <f ca="1">IF(D568="","",IF(T568="","",IF(OR(J568="巻足し",J568="巻返しリード付け"),"",IF(J568="巻返し",VLOOKUP(F568&amp;K568&amp;M568,製品マスタ!$M$5:$AD$4999,18,FALSE),IF(OR(J568="リード付け",J568="巻返しリード付け"),"原反コア",IF(J568="スリット",VLOOKUP(F568&amp;K568&amp;R568,製品マスタ!$N$5:$AD$4999,17,FALSE),""))))))</f>
        <v/>
      </c>
      <c r="X568" s="256" t="str">
        <f ca="1">IF(D568="","",IF(T568="","",IF(J568="巻足し","",IF(J568="巻返し",VLOOKUP(F568&amp;K568&amp;M568,製品マスタ!$M$5:$AE$4999,19,FALSE),IF(OR(J568="リード付け",J568="巻返しリード付け"),"",IF(J568="スリット",VLOOKUP(F568&amp;K568&amp;R568,製品マスタ!$N$5:$AE$4999,18,FALSE),""))))))</f>
        <v/>
      </c>
      <c r="Y568" s="256">
        <f ca="1">IF(D568="","",IF(T568="","",VLOOKUP(D568,契約台帳!$A$3:$Q$4986,17,FALSE)))</f>
        <v>2</v>
      </c>
      <c r="Z568" s="256" t="str">
        <f ca="1">IF(D568="","",IF(T568="","",VLOOKUP(D568,契約台帳!$A$3:$E$4986,5,FALSE)))</f>
        <v>リンテック㈱</v>
      </c>
      <c r="AA568" s="54"/>
      <c r="AB568" s="200" t="s">
        <v>774</v>
      </c>
      <c r="AC568" s="31"/>
      <c r="AD568" s="184"/>
      <c r="AE568" s="51"/>
      <c r="AF568" s="52"/>
      <c r="AG568" s="41"/>
      <c r="AH568" s="45"/>
      <c r="AI568" s="28"/>
      <c r="AJ568" s="28"/>
      <c r="AK568" s="28"/>
      <c r="AL568" s="28"/>
      <c r="AM568" s="12"/>
      <c r="AN568" s="12"/>
      <c r="AO568" s="12"/>
      <c r="AP568" s="12"/>
      <c r="AQ568" s="12"/>
      <c r="AR568" s="13"/>
      <c r="AS568" s="14"/>
    </row>
    <row r="569" spans="1:45" s="16" customFormat="1" ht="30.95" hidden="1" customHeight="1" x14ac:dyDescent="0.2">
      <c r="A569" s="35"/>
      <c r="B569" s="36"/>
      <c r="C569" s="43"/>
      <c r="D569" s="29"/>
      <c r="E569" s="29"/>
      <c r="F569" s="255" t="str">
        <f>IF(D569="","",VLOOKUP(D569,契約台帳!$A$3:$K$4986,6,FALSE)&amp;VLOOKUP(D569,契約台帳!$A$3:$K$4986,7,FALSE)&amp;VLOOKUP(D569,契約台帳!$A$3:$K$4986,8,FALSE)&amp;VLOOKUP(D569,契約台帳!$A$3:$K$4986,9,FALSE)&amp;VLOOKUP(D569,契約台帳!$A$3:$K$4986,11,FALSE))</f>
        <v/>
      </c>
      <c r="G569" s="256" t="str">
        <f>IF(D569="","",VLOOKUP(F569,製品マスタ!$G$5:$H$4999,2,FALSE))</f>
        <v/>
      </c>
      <c r="H569" s="256" t="str">
        <f>IF(D569="","",VLOOKUP(F569,製品マスタ!$G$5:$K$4999,5,FALSE))</f>
        <v/>
      </c>
      <c r="I569" s="200" t="str">
        <f>IF(D569="","",VLOOKUP(F569,製品マスタ!$G$5:$L$4999,6,FALSE))</f>
        <v/>
      </c>
      <c r="J569" s="203"/>
      <c r="K569" s="200" t="str">
        <f>IF(D569="","",VLOOKUP(D569,契約台帳!$A$3:$L$4986,12,FALSE))</f>
        <v/>
      </c>
      <c r="L569" s="200" t="str">
        <f>IF(D569="","",INDEX(製品マスタ!$Q$5:$Q$4999,MATCH('S4'!F569&amp;'S4'!K569,製品マスタ!$AO$5:$AO$4999,0)))</f>
        <v/>
      </c>
      <c r="M569" s="37"/>
      <c r="N569" s="37"/>
      <c r="O569" s="153"/>
      <c r="P569" s="45"/>
      <c r="Q569" s="54"/>
      <c r="R569" s="257" t="str">
        <f ca="1">IF(D569="","",IF(OFFSET(D569,-1,0)&lt;&gt;"","",IF(OR(J569="リード付け",J569="巻足し",J569="巻返しリード付け"),M569,VLOOKUP(D569,契約台帳!$A$3:$N$4986,14,FALSE))))</f>
        <v/>
      </c>
      <c r="S569" s="258" t="str">
        <f ca="1">IF(D569="","",IF(OFFSET(D569,-1,0)&lt;&gt;"","",IF(OR(J569="リード付け",J569="巻足し",J569="巻返しリード付け"),M569,VLOOKUP(D569,契約台帳!$A$3:$O$4986,15,FALSE))))</f>
        <v/>
      </c>
      <c r="T569" s="258" t="str">
        <f ca="1">IF(D569="","",IF(J569="リード付け",N569,IF(J569="巻返しリード付け",N569,IF(J569="巻足し",N569*P569+OFFSET(N569,1,0)*OFFSET(P569,1,0),VLOOKUP(D569,契約台帳!$A$3:$P$4986,16,FALSE)))))</f>
        <v/>
      </c>
      <c r="U569" s="38"/>
      <c r="V569" s="259" t="str">
        <f ca="1">IF(D569="","",IF(OFFSET(D569,-2,0)=D569,"",VLOOKUP(D569,契約台帳!$A$3:$R$4986,18,FALSE)))</f>
        <v/>
      </c>
      <c r="W569" s="256" t="str">
        <f>IF(D569="","",IF(T569="","",IF(OR(J569="巻足し",J569="巻返しリード付け"),"",IF(J569="巻返し",VLOOKUP(F569&amp;K569&amp;M569,製品マスタ!$M$5:$AD$4999,18,FALSE),IF(OR(J569="リード付け",J569="巻返しリード付け"),"原反コア",IF(J569="スリット",VLOOKUP(F569&amp;K569&amp;R569,製品マスタ!$N$5:$AD$4999,17,FALSE),""))))))</f>
        <v/>
      </c>
      <c r="X569" s="256" t="str">
        <f>IF(D569="","",IF(T569="","",IF(J569="巻足し","",IF(J569="巻返し",VLOOKUP(F569&amp;K569&amp;M569,製品マスタ!$M$5:$AE$4999,19,FALSE),IF(OR(J569="リード付け",J569="巻返しリード付け"),"",IF(J569="スリット",VLOOKUP(F569&amp;K569&amp;R569,製品マスタ!$N$5:$AE$4999,18,FALSE),""))))))</f>
        <v/>
      </c>
      <c r="Y569" s="256" t="str">
        <f>IF(D569="","",IF(T569="","",VLOOKUP(D569,契約台帳!$A$3:$Q$4986,17,FALSE)))</f>
        <v/>
      </c>
      <c r="Z569" s="256" t="str">
        <f>IF(D569="","",IF(T569="","",VLOOKUP(D569,契約台帳!$A$3:$E$4986,5,FALSE)))</f>
        <v/>
      </c>
      <c r="AA569" s="54"/>
      <c r="AB569" s="200" t="str">
        <f>IFERROR((VLOOKUP(F569&amp;K569&amp;M569,製品マスタ!$M$5:$AM$4999,27,FALSE)),"")</f>
        <v/>
      </c>
      <c r="AC569" s="31"/>
      <c r="AD569" s="184"/>
      <c r="AE569" s="51"/>
      <c r="AF569" s="52"/>
      <c r="AG569" s="41"/>
      <c r="AH569" s="45"/>
      <c r="AI569" s="28"/>
      <c r="AJ569" s="28"/>
      <c r="AK569" s="28"/>
      <c r="AL569" s="28"/>
      <c r="AM569" s="12"/>
      <c r="AN569" s="12"/>
      <c r="AO569" s="12"/>
      <c r="AP569" s="12"/>
      <c r="AQ569" s="12"/>
      <c r="AR569" s="13"/>
      <c r="AS569" s="14"/>
    </row>
    <row r="570" spans="1:45" s="16" customFormat="1" ht="30.95" hidden="1" customHeight="1" x14ac:dyDescent="0.2">
      <c r="A570" s="35"/>
      <c r="B570" s="36"/>
      <c r="C570" s="43"/>
      <c r="D570" s="29">
        <v>3711152</v>
      </c>
      <c r="E570" s="29">
        <v>4161917</v>
      </c>
      <c r="F570" s="255" t="str">
        <f>IF(D570="","",VLOOKUP(D570,契約台帳!$A$3:$K$4986,6,FALSE)&amp;VLOOKUP(D570,契約台帳!$A$3:$K$4986,7,FALSE)&amp;VLOOKUP(D570,契約台帳!$A$3:$K$4986,8,FALSE)&amp;VLOOKUP(D570,契約台帳!$A$3:$K$4986,9,FALSE)&amp;VLOOKUP(D570,契約台帳!$A$3:$K$4986,11,FALSE))</f>
        <v>3UNMCLBHLGTV</v>
      </c>
      <c r="G570" s="256" t="str">
        <f>IF(D570="","",VLOOKUP(F570,製品マスタ!$G$5:$H$4999,2,FALSE))</f>
        <v>U</v>
      </c>
      <c r="H570" s="256" t="str">
        <f>IF(D570="","",VLOOKUP(F570,製品マスタ!$G$5:$K$4999,5,FALSE))</f>
        <v>HLGTV</v>
      </c>
      <c r="I570" s="200" t="str">
        <f>IF(D570="","",VLOOKUP(F570,製品マスタ!$G$5:$L$4999,6,FALSE))</f>
        <v>メタルミー　ヘヤライン　銀艶Ｖ</v>
      </c>
      <c r="J570" s="203" t="s">
        <v>935</v>
      </c>
      <c r="K570" s="200">
        <f>IF(D570="","",VLOOKUP(D570,契約台帳!$A$3:$L$4986,12,FALSE))</f>
        <v>50</v>
      </c>
      <c r="L570" s="200" t="str">
        <f>IF(D570="","",INDEX(製品マスタ!$Q$5:$Q$4999,MATCH('S4'!F570&amp;'S4'!K570,製品マスタ!$AO$5:$AO$4999,0)))</f>
        <v>BRIGHT</v>
      </c>
      <c r="M570" s="37">
        <v>1005</v>
      </c>
      <c r="N570" s="37">
        <v>4100</v>
      </c>
      <c r="O570" s="153">
        <v>2</v>
      </c>
      <c r="P570" s="45">
        <v>2</v>
      </c>
      <c r="Q570" s="206">
        <v>45042</v>
      </c>
      <c r="R570" s="257">
        <f ca="1">IF(D570="","",IF(OFFSET(D570,-1,0)&lt;&gt;"","",IF(OR(J570="リード付け",J570="巻足し",J570="巻返しリード付け"),M570,VLOOKUP(D570,契約台帳!$A$3:$N$4986,14,FALSE))))</f>
        <v>1005</v>
      </c>
      <c r="S570" s="258">
        <f ca="1">IF(D570="","",IF(OFFSET(D570,-1,0)&lt;&gt;"","",IF(OR(J570="リード付け",J570="巻足し",J570="巻返しリード付け"),M570,VLOOKUP(D570,契約台帳!$A$3:$O$4986,15,FALSE))))</f>
        <v>1005</v>
      </c>
      <c r="T570" s="258">
        <f ca="1">IF(D570="","",IF(J570="リード付け",N570,IF(J570="巻返しリード付け",N570,IF(J570="巻足し",N570*P570+OFFSET(N570,1,0)*OFFSET(P570,1,0),VLOOKUP(D570,契約台帳!$A$3:$P$4986,16,FALSE)))))</f>
        <v>8200</v>
      </c>
      <c r="U570" s="38">
        <v>1</v>
      </c>
      <c r="V570" s="259" t="str">
        <f ca="1">IF(D570="","",IF(OFFSET(D570,-2,0)=D570,"",VLOOKUP(D570,契約台帳!$A$3:$R$4986,18,FALSE)))</f>
        <v/>
      </c>
      <c r="W570" s="256" t="str">
        <f ca="1">IF(D570="","",IF(T570="","",IF(OR(J570="巻足し",J570="巻返しリード付け"),"",IF(J570="巻返し",VLOOKUP(F570&amp;K570&amp;M570,製品マスタ!$M$5:$AD$4999,18,FALSE),IF(OR(J570="リード付け",J570="巻返しリード付け"),"原反コア",IF(J570="スリット",VLOOKUP(F570&amp;K570&amp;R570,製品マスタ!$N$5:$AD$4999,17,FALSE),""))))))</f>
        <v/>
      </c>
      <c r="X570" s="256" t="str">
        <f ca="1">IF(D570="","",IF(T570="","",IF(J570="巻足し","",IF(J570="巻返し",VLOOKUP(F570&amp;K570&amp;M570,製品マスタ!$M$5:$AE$4999,19,FALSE),IF(OR(J570="リード付け",J570="巻返しリード付け"),"",IF(J570="スリット",VLOOKUP(F570&amp;K570&amp;R570,製品マスタ!$N$5:$AE$4999,18,FALSE),""))))))</f>
        <v/>
      </c>
      <c r="Y570" s="256">
        <f ca="1">IF(D570="","",IF(T570="","",VLOOKUP(D570,契約台帳!$A$3:$Q$4986,17,FALSE)))</f>
        <v>2</v>
      </c>
      <c r="Z570" s="256" t="str">
        <f ca="1">IF(D570="","",IF(T570="","",VLOOKUP(D570,契約台帳!$A$3:$E$4986,5,FALSE)))</f>
        <v>リンテック㈱</v>
      </c>
      <c r="AA570" s="54"/>
      <c r="AB570" s="200" t="s">
        <v>774</v>
      </c>
      <c r="AC570" s="31"/>
      <c r="AD570" s="184"/>
      <c r="AE570" s="51"/>
      <c r="AF570" s="52"/>
      <c r="AG570" s="41"/>
      <c r="AH570" s="45"/>
      <c r="AI570" s="28"/>
      <c r="AJ570" s="28"/>
      <c r="AK570" s="28"/>
      <c r="AL570" s="28"/>
      <c r="AM570" s="12"/>
      <c r="AN570" s="12"/>
      <c r="AO570" s="12"/>
      <c r="AP570" s="12"/>
      <c r="AQ570" s="12"/>
      <c r="AR570" s="13"/>
      <c r="AS570" s="14"/>
    </row>
    <row r="571" spans="1:45" s="16" customFormat="1" ht="30.95" hidden="1" customHeight="1" x14ac:dyDescent="0.2">
      <c r="A571" s="35"/>
      <c r="B571" s="36"/>
      <c r="C571" s="43"/>
      <c r="D571" s="29"/>
      <c r="E571" s="29"/>
      <c r="F571" s="255" t="str">
        <f>IF(D571="","",VLOOKUP(D571,契約台帳!$A$3:$K$4986,6,FALSE)&amp;VLOOKUP(D571,契約台帳!$A$3:$K$4986,7,FALSE)&amp;VLOOKUP(D571,契約台帳!$A$3:$K$4986,8,FALSE)&amp;VLOOKUP(D571,契約台帳!$A$3:$K$4986,9,FALSE)&amp;VLOOKUP(D571,契約台帳!$A$3:$K$4986,11,FALSE))</f>
        <v/>
      </c>
      <c r="G571" s="256" t="str">
        <f>IF(D571="","",VLOOKUP(F571,製品マスタ!$G$5:$H$4999,2,FALSE))</f>
        <v/>
      </c>
      <c r="H571" s="256" t="str">
        <f>IF(D571="","",VLOOKUP(F571,製品マスタ!$G$5:$K$4999,5,FALSE))</f>
        <v/>
      </c>
      <c r="I571" s="200" t="str">
        <f>IF(D571="","",VLOOKUP(F571,製品マスタ!$G$5:$L$4999,6,FALSE))</f>
        <v/>
      </c>
      <c r="J571" s="203"/>
      <c r="K571" s="200" t="str">
        <f>IF(D571="","",VLOOKUP(D571,契約台帳!$A$3:$L$4986,12,FALSE))</f>
        <v/>
      </c>
      <c r="L571" s="200" t="str">
        <f>IF(D571="","",INDEX(製品マスタ!$Q$5:$Q$4999,MATCH('S4'!F571&amp;'S4'!K571,製品マスタ!$AO$5:$AO$4999,0)))</f>
        <v/>
      </c>
      <c r="M571" s="37"/>
      <c r="N571" s="37"/>
      <c r="O571" s="153"/>
      <c r="P571" s="45"/>
      <c r="Q571" s="54"/>
      <c r="R571" s="257" t="str">
        <f ca="1">IF(D571="","",IF(OFFSET(D571,-1,0)&lt;&gt;"","",IF(OR(J571="リード付け",J571="巻足し",J571="巻返しリード付け"),M571,VLOOKUP(D571,契約台帳!$A$3:$N$4986,14,FALSE))))</f>
        <v/>
      </c>
      <c r="S571" s="258" t="str">
        <f ca="1">IF(D571="","",IF(OFFSET(D571,-1,0)&lt;&gt;"","",IF(OR(J571="リード付け",J571="巻足し",J571="巻返しリード付け"),M571,VLOOKUP(D571,契約台帳!$A$3:$O$4986,15,FALSE))))</f>
        <v/>
      </c>
      <c r="T571" s="258" t="str">
        <f ca="1">IF(D571="","",IF(J571="リード付け",N571,IF(J571="巻返しリード付け",N571,IF(J571="巻足し",N571*P571+OFFSET(N571,1,0)*OFFSET(P571,1,0),VLOOKUP(D571,契約台帳!$A$3:$P$4986,16,FALSE)))))</f>
        <v/>
      </c>
      <c r="U571" s="38"/>
      <c r="V571" s="259" t="str">
        <f ca="1">IF(D571="","",IF(OFFSET(D571,-2,0)=D571,"",VLOOKUP(D571,契約台帳!$A$3:$R$4986,18,FALSE)))</f>
        <v/>
      </c>
      <c r="W571" s="256" t="str">
        <f>IF(D571="","",IF(T571="","",IF(OR(J571="巻足し",J571="巻返しリード付け"),"",IF(J571="巻返し",VLOOKUP(F571&amp;K571&amp;M571,製品マスタ!$M$5:$AD$4999,18,FALSE),IF(OR(J571="リード付け",J571="巻返しリード付け"),"原反コア",IF(J571="スリット",VLOOKUP(F571&amp;K571&amp;R571,製品マスタ!$N$5:$AD$4999,17,FALSE),""))))))</f>
        <v/>
      </c>
      <c r="X571" s="256" t="str">
        <f>IF(D571="","",IF(T571="","",IF(J571="巻足し","",IF(J571="巻返し",VLOOKUP(F571&amp;K571&amp;M571,製品マスタ!$M$5:$AE$4999,19,FALSE),IF(OR(J571="リード付け",J571="巻返しリード付け"),"",IF(J571="スリット",VLOOKUP(F571&amp;K571&amp;R571,製品マスタ!$N$5:$AE$4999,18,FALSE),""))))))</f>
        <v/>
      </c>
      <c r="Y571" s="256" t="str">
        <f>IF(D571="","",IF(T571="","",VLOOKUP(D571,契約台帳!$A$3:$Q$4986,17,FALSE)))</f>
        <v/>
      </c>
      <c r="Z571" s="256" t="str">
        <f>IF(D571="","",IF(T571="","",VLOOKUP(D571,契約台帳!$A$3:$E$4986,5,FALSE)))</f>
        <v/>
      </c>
      <c r="AA571" s="54"/>
      <c r="AB571" s="200" t="str">
        <f>IFERROR((VLOOKUP(F571&amp;K571&amp;M571,製品マスタ!$M$5:$AM$4999,27,FALSE)),"")</f>
        <v/>
      </c>
      <c r="AC571" s="31"/>
      <c r="AD571" s="184"/>
      <c r="AE571" s="51"/>
      <c r="AF571" s="52"/>
      <c r="AG571" s="41"/>
      <c r="AH571" s="45"/>
      <c r="AI571" s="28"/>
      <c r="AJ571" s="28"/>
      <c r="AK571" s="28"/>
      <c r="AL571" s="28"/>
      <c r="AM571" s="12"/>
      <c r="AN571" s="12"/>
      <c r="AO571" s="12"/>
      <c r="AP571" s="12"/>
      <c r="AQ571" s="12"/>
      <c r="AR571" s="13"/>
      <c r="AS571" s="14"/>
    </row>
    <row r="572" spans="1:45" s="16" customFormat="1" ht="30.95" hidden="1" customHeight="1" x14ac:dyDescent="0.2">
      <c r="A572" s="35"/>
      <c r="B572" s="36"/>
      <c r="C572" s="43"/>
      <c r="D572" s="29">
        <v>3711153</v>
      </c>
      <c r="E572" s="29">
        <v>4161916</v>
      </c>
      <c r="F572" s="255" t="str">
        <f>IF(D572="","",VLOOKUP(D572,契約台帳!$A$3:$K$4986,6,FALSE)&amp;VLOOKUP(D572,契約台帳!$A$3:$K$4986,7,FALSE)&amp;VLOOKUP(D572,契約台帳!$A$3:$K$4986,8,FALSE)&amp;VLOOKUP(D572,契約台帳!$A$3:$K$4986,9,FALSE)&amp;VLOOKUP(D572,契約台帳!$A$3:$K$4986,11,FALSE))</f>
        <v>3UNMCLBHLGTV</v>
      </c>
      <c r="G572" s="256" t="str">
        <f>IF(D572="","",VLOOKUP(F572,製品マスタ!$G$5:$H$4999,2,FALSE))</f>
        <v>U</v>
      </c>
      <c r="H572" s="256" t="str">
        <f>IF(D572="","",VLOOKUP(F572,製品マスタ!$G$5:$K$4999,5,FALSE))</f>
        <v>HLGTV</v>
      </c>
      <c r="I572" s="200" t="str">
        <f>IF(D572="","",VLOOKUP(F572,製品マスタ!$G$5:$L$4999,6,FALSE))</f>
        <v>メタルミー　ヘヤライン　銀艶Ｖ</v>
      </c>
      <c r="J572" s="203" t="s">
        <v>464</v>
      </c>
      <c r="K572" s="200">
        <f>IF(D572="","",VLOOKUP(D572,契約台帳!$A$3:$L$4986,12,FALSE))</f>
        <v>25</v>
      </c>
      <c r="L572" s="200" t="str">
        <f>IF(D572="","",INDEX(製品マスタ!$Q$5:$Q$4999,MATCH('S4'!F572&amp;'S4'!K572,製品マスタ!$AO$5:$AO$4999,0)))</f>
        <v>BRIGHT</v>
      </c>
      <c r="M572" s="37">
        <v>1005</v>
      </c>
      <c r="N572" s="37">
        <v>8000</v>
      </c>
      <c r="O572" s="153">
        <v>1</v>
      </c>
      <c r="P572" s="45">
        <v>1</v>
      </c>
      <c r="Q572" s="206">
        <v>45042</v>
      </c>
      <c r="R572" s="257">
        <f ca="1">IF(D572="","",IF(OFFSET(D572,-1,0)&lt;&gt;"","",IF(OR(J572="リード付け",J572="巻足し",J572="巻返しリード付け"),M572,VLOOKUP(D572,契約台帳!$A$3:$N$4986,14,FALSE))))</f>
        <v>1005</v>
      </c>
      <c r="S572" s="258">
        <f ca="1">IF(D572="","",IF(OFFSET(D572,-1,0)&lt;&gt;"","",IF(OR(J572="リード付け",J572="巻足し",J572="巻返しリード付け"),M572,VLOOKUP(D572,契約台帳!$A$3:$O$4986,15,FALSE))))</f>
        <v>1005</v>
      </c>
      <c r="T572" s="258">
        <f ca="1">IF(D572="","",IF(J572="リード付け",N572,IF(J572="巻返しリード付け",N572,IF(J572="巻足し",N572*P572+OFFSET(N572,1,0)*OFFSET(P572,1,0),VLOOKUP(D572,契約台帳!$A$3:$P$4986,16,FALSE)))))</f>
        <v>8000</v>
      </c>
      <c r="U572" s="38">
        <v>1</v>
      </c>
      <c r="V572" s="259">
        <f ca="1">IF(D572="","",IF(OFFSET(D572,-2,0)=D572,"",VLOOKUP(D572,契約台帳!$A$3:$R$4986,18,FALSE)))</f>
        <v>4</v>
      </c>
      <c r="W572" s="256" t="str">
        <f ca="1">IF(D572="","",IF(T572="","",IF(OR(J572="巻足し",J572="巻返しリード付け"),"",IF(J572="巻返し",VLOOKUP(F572&amp;K572&amp;M572,製品マスタ!$M$5:$AD$4999,18,FALSE),IF(OR(J572="リード付け",J572="巻返しリード付け"),"原反コア",IF(J572="スリット",VLOOKUP(F572&amp;K572&amp;R572,製品マスタ!$N$5:$AD$4999,17,FALSE),""))))))</f>
        <v>原反コア</v>
      </c>
      <c r="X572" s="256" t="str">
        <f ca="1">IF(D572="","",IF(T572="","",IF(J572="巻足し","",IF(J572="巻返し",VLOOKUP(F572&amp;K572&amp;M572,製品マスタ!$M$5:$AE$4999,19,FALSE),IF(OR(J572="リード付け",J572="巻返しリード付け"),"",IF(J572="スリット",VLOOKUP(F572&amp;K572&amp;R572,製品マスタ!$N$5:$AE$4999,18,FALSE),""))))))</f>
        <v/>
      </c>
      <c r="Y572" s="256">
        <f ca="1">IF(D572="","",IF(T572="","",VLOOKUP(D572,契約台帳!$A$3:$Q$4986,17,FALSE)))</f>
        <v>2</v>
      </c>
      <c r="Z572" s="256" t="str">
        <f ca="1">IF(D572="","",IF(T572="","",VLOOKUP(D572,契約台帳!$A$3:$E$4986,5,FALSE)))</f>
        <v>リンテック㈱</v>
      </c>
      <c r="AA572" s="54"/>
      <c r="AB572" s="200" t="s">
        <v>774</v>
      </c>
      <c r="AC572" s="31"/>
      <c r="AD572" s="184"/>
      <c r="AE572" s="51"/>
      <c r="AF572" s="52"/>
      <c r="AG572" s="41"/>
      <c r="AH572" s="45"/>
      <c r="AI572" s="28"/>
      <c r="AJ572" s="28"/>
      <c r="AK572" s="28"/>
      <c r="AL572" s="28"/>
      <c r="AM572" s="12"/>
      <c r="AN572" s="12"/>
      <c r="AO572" s="12"/>
      <c r="AP572" s="12"/>
      <c r="AQ572" s="12"/>
      <c r="AR572" s="13"/>
      <c r="AS572" s="14"/>
    </row>
    <row r="573" spans="1:45" s="16" customFormat="1" ht="30.95" hidden="1" customHeight="1" x14ac:dyDescent="0.2">
      <c r="A573" s="35"/>
      <c r="B573" s="36"/>
      <c r="C573" s="43"/>
      <c r="D573" s="29"/>
      <c r="E573" s="29"/>
      <c r="F573" s="255" t="str">
        <f>IF(D573="","",VLOOKUP(D573,契約台帳!$A$3:$K$4986,6,FALSE)&amp;VLOOKUP(D573,契約台帳!$A$3:$K$4986,7,FALSE)&amp;VLOOKUP(D573,契約台帳!$A$3:$K$4986,8,FALSE)&amp;VLOOKUP(D573,契約台帳!$A$3:$K$4986,9,FALSE)&amp;VLOOKUP(D573,契約台帳!$A$3:$K$4986,11,FALSE))</f>
        <v/>
      </c>
      <c r="G573" s="256" t="str">
        <f>IF(D573="","",VLOOKUP(F573,製品マスタ!$G$5:$H$4999,2,FALSE))</f>
        <v/>
      </c>
      <c r="H573" s="256" t="str">
        <f>IF(D573="","",VLOOKUP(F573,製品マスタ!$G$5:$K$4999,5,FALSE))</f>
        <v/>
      </c>
      <c r="I573" s="200" t="str">
        <f>IF(D573="","",VLOOKUP(F573,製品マスタ!$G$5:$L$4999,6,FALSE))</f>
        <v/>
      </c>
      <c r="J573" s="203"/>
      <c r="K573" s="200" t="str">
        <f>IF(D573="","",VLOOKUP(D573,契約台帳!$A$3:$L$4986,12,FALSE))</f>
        <v/>
      </c>
      <c r="L573" s="200" t="str">
        <f>IF(D573="","",INDEX(製品マスタ!$Q$5:$Q$4999,MATCH('S4'!F573&amp;'S4'!K573,製品マスタ!$AO$5:$AO$4999,0)))</f>
        <v/>
      </c>
      <c r="M573" s="37"/>
      <c r="N573" s="37"/>
      <c r="O573" s="153"/>
      <c r="P573" s="45"/>
      <c r="Q573" s="54"/>
      <c r="R573" s="257" t="str">
        <f ca="1">IF(D573="","",IF(OFFSET(D573,-1,0)&lt;&gt;"","",IF(OR(J573="リード付け",J573="巻足し",J573="巻返しリード付け"),M573,VLOOKUP(D573,契約台帳!$A$3:$N$4986,14,FALSE))))</f>
        <v/>
      </c>
      <c r="S573" s="258" t="str">
        <f ca="1">IF(D573="","",IF(OFFSET(D573,-1,0)&lt;&gt;"","",IF(OR(J573="リード付け",J573="巻足し",J573="巻返しリード付け"),M573,VLOOKUP(D573,契約台帳!$A$3:$O$4986,15,FALSE))))</f>
        <v/>
      </c>
      <c r="T573" s="258" t="str">
        <f ca="1">IF(D573="","",IF(J573="リード付け",N573,IF(J573="巻返しリード付け",N573,IF(J573="巻足し",N573*P573+OFFSET(N573,1,0)*OFFSET(P573,1,0),VLOOKUP(D573,契約台帳!$A$3:$P$4986,16,FALSE)))))</f>
        <v/>
      </c>
      <c r="U573" s="38"/>
      <c r="V573" s="259" t="str">
        <f ca="1">IF(D573="","",IF(OFFSET(D573,-2,0)=D573,"",VLOOKUP(D573,契約台帳!$A$3:$R$4986,18,FALSE)))</f>
        <v/>
      </c>
      <c r="W573" s="256" t="str">
        <f>IF(D573="","",IF(T573="","",IF(OR(J573="巻足し",J573="巻返しリード付け"),"",IF(J573="巻返し",VLOOKUP(F573&amp;K573&amp;M573,製品マスタ!$M$5:$AD$4999,18,FALSE),IF(OR(J573="リード付け",J573="巻返しリード付け"),"原反コア",IF(J573="スリット",VLOOKUP(F573&amp;K573&amp;R573,製品マスタ!$N$5:$AD$4999,17,FALSE),""))))))</f>
        <v/>
      </c>
      <c r="X573" s="256" t="str">
        <f>IF(D573="","",IF(T573="","",IF(J573="巻足し","",IF(J573="巻返し",VLOOKUP(F573&amp;K573&amp;M573,製品マスタ!$M$5:$AE$4999,19,FALSE),IF(OR(J573="リード付け",J573="巻返しリード付け"),"",IF(J573="スリット",VLOOKUP(F573&amp;K573&amp;R573,製品マスタ!$N$5:$AE$4999,18,FALSE),""))))))</f>
        <v/>
      </c>
      <c r="Y573" s="256" t="str">
        <f>IF(D573="","",IF(T573="","",VLOOKUP(D573,契約台帳!$A$3:$Q$4986,17,FALSE)))</f>
        <v/>
      </c>
      <c r="Z573" s="256" t="str">
        <f>IF(D573="","",IF(T573="","",VLOOKUP(D573,契約台帳!$A$3:$E$4986,5,FALSE)))</f>
        <v/>
      </c>
      <c r="AA573" s="54"/>
      <c r="AB573" s="200" t="str">
        <f>IFERROR((VLOOKUP(F573&amp;K573&amp;M573,製品マスタ!$M$5:$AM$4999,27,FALSE)),"")</f>
        <v/>
      </c>
      <c r="AC573" s="31"/>
      <c r="AD573" s="184"/>
      <c r="AE573" s="51"/>
      <c r="AF573" s="52"/>
      <c r="AG573" s="41"/>
      <c r="AH573" s="45"/>
      <c r="AI573" s="28"/>
      <c r="AJ573" s="28"/>
      <c r="AK573" s="28"/>
      <c r="AL573" s="28"/>
      <c r="AM573" s="12"/>
      <c r="AN573" s="12"/>
      <c r="AO573" s="12"/>
      <c r="AP573" s="12"/>
      <c r="AQ573" s="12"/>
      <c r="AR573" s="13"/>
      <c r="AS573" s="14"/>
    </row>
    <row r="574" spans="1:45" s="16" customFormat="1" ht="30.95" hidden="1" customHeight="1" x14ac:dyDescent="0.2">
      <c r="A574" s="35" t="s">
        <v>1130</v>
      </c>
      <c r="B574" s="36" t="s">
        <v>1101</v>
      </c>
      <c r="C574" s="43"/>
      <c r="D574" s="29"/>
      <c r="E574" s="29"/>
      <c r="F574" s="255" t="str">
        <f>IF(D574="","",VLOOKUP(D574,契約台帳!$A$3:$K$4986,6,FALSE)&amp;VLOOKUP(D574,契約台帳!$A$3:$K$4986,7,FALSE)&amp;VLOOKUP(D574,契約台帳!$A$3:$K$4986,8,FALSE)&amp;VLOOKUP(D574,契約台帳!$A$3:$K$4986,9,FALSE)&amp;VLOOKUP(D574,契約台帳!$A$3:$K$4986,11,FALSE))</f>
        <v/>
      </c>
      <c r="G574" s="256" t="str">
        <f>IF(D574="","",VLOOKUP(F574,製品マスタ!$G$5:$H$4999,2,FALSE))</f>
        <v/>
      </c>
      <c r="H574" s="256" t="str">
        <f>IF(D574="","",VLOOKUP(F574,製品マスタ!$G$5:$K$4999,5,FALSE))</f>
        <v/>
      </c>
      <c r="I574" s="200" t="str">
        <f>IF(D574="","",VLOOKUP(F574,製品マスタ!$G$5:$L$4999,6,FALSE))</f>
        <v/>
      </c>
      <c r="J574" s="203" t="s">
        <v>1134</v>
      </c>
      <c r="K574" s="200" t="str">
        <f>IF(D574="","",VLOOKUP(D574,契約台帳!$A$3:$L$4986,12,FALSE))</f>
        <v/>
      </c>
      <c r="L574" s="200" t="str">
        <f>IF(D574="","",INDEX(製品マスタ!$Q$5:$Q$4999,MATCH('S4'!F574&amp;'S4'!K574,製品マスタ!$AO$5:$AO$4999,0)))</f>
        <v/>
      </c>
      <c r="M574" s="37"/>
      <c r="N574" s="37"/>
      <c r="O574" s="153"/>
      <c r="P574" s="45"/>
      <c r="Q574" s="54"/>
      <c r="R574" s="257" t="str">
        <f ca="1">IF(D574="","",IF(OFFSET(D574,-1,0)&lt;&gt;"","",IF(OR(J574="リード付け",J574="巻足し",J574="巻返しリード付け"),M574,VLOOKUP(D574,契約台帳!$A$3:$N$4986,14,FALSE))))</f>
        <v/>
      </c>
      <c r="S574" s="258" t="str">
        <f ca="1">IF(D574="","",IF(OFFSET(D574,-1,0)&lt;&gt;"","",IF(OR(J574="リード付け",J574="巻足し",J574="巻返しリード付け"),M574,VLOOKUP(D574,契約台帳!$A$3:$O$4986,15,FALSE))))</f>
        <v/>
      </c>
      <c r="T574" s="258" t="str">
        <f ca="1">IF(D574="","",IF(J574="リード付け",N574,IF(J574="巻返しリード付け",N574,IF(J574="巻足し",N574*P574+OFFSET(N574,1,0)*OFFSET(P574,1,0),VLOOKUP(D574,契約台帳!$A$3:$P$4986,16,FALSE)))))</f>
        <v/>
      </c>
      <c r="U574" s="38"/>
      <c r="V574" s="259" t="str">
        <f ca="1">IF(D574="","",IF(OFFSET(D574,-2,0)=D574,"",VLOOKUP(D574,契約台帳!$A$3:$R$4986,18,FALSE)))</f>
        <v/>
      </c>
      <c r="W574" s="256" t="str">
        <f>IF(D574="","",IF(T574="","",IF(OR(J574="巻足し",J574="巻返しリード付け"),"",IF(J574="巻返し",VLOOKUP(F574&amp;K574&amp;M574,製品マスタ!$M$5:$AD$4999,18,FALSE),IF(OR(J574="リード付け",J574="巻返しリード付け"),"原反コア",IF(J574="スリット",VLOOKUP(F574&amp;K574&amp;R574,製品マスタ!$N$5:$AD$4999,17,FALSE),""))))))</f>
        <v/>
      </c>
      <c r="X574" s="256" t="str">
        <f>IF(D574="","",IF(T574="","",IF(J574="巻足し","",IF(J574="巻返し",VLOOKUP(F574&amp;K574&amp;M574,製品マスタ!$M$5:$AE$4999,19,FALSE),IF(OR(J574="リード付け",J574="巻返しリード付け"),"",IF(J574="スリット",VLOOKUP(F574&amp;K574&amp;R574,製品マスタ!$N$5:$AE$4999,18,FALSE),""))))))</f>
        <v/>
      </c>
      <c r="Y574" s="256" t="str">
        <f>IF(D574="","",IF(T574="","",VLOOKUP(D574,契約台帳!$A$3:$Q$4986,17,FALSE)))</f>
        <v/>
      </c>
      <c r="Z574" s="256" t="str">
        <f>IF(D574="","",IF(T574="","",VLOOKUP(D574,契約台帳!$A$3:$E$4986,5,FALSE)))</f>
        <v/>
      </c>
      <c r="AA574" s="54"/>
      <c r="AB574" s="200" t="str">
        <f>IFERROR((VLOOKUP(F574&amp;K574&amp;M574,製品マスタ!$M$5:$AM$4999,27,FALSE)),"")</f>
        <v/>
      </c>
      <c r="AC574" s="31"/>
      <c r="AD574" s="184"/>
      <c r="AE574" s="51"/>
      <c r="AF574" s="52"/>
      <c r="AG574" s="41"/>
      <c r="AH574" s="45"/>
      <c r="AI574" s="28"/>
      <c r="AJ574" s="28"/>
      <c r="AK574" s="28"/>
      <c r="AL574" s="28"/>
      <c r="AM574" s="12"/>
      <c r="AN574" s="12"/>
      <c r="AO574" s="12"/>
      <c r="AP574" s="12"/>
      <c r="AQ574" s="12"/>
      <c r="AR574" s="13"/>
      <c r="AS574" s="14"/>
    </row>
    <row r="575" spans="1:45" s="16" customFormat="1" ht="30.95" hidden="1" customHeight="1" x14ac:dyDescent="0.2">
      <c r="A575" s="35"/>
      <c r="B575" s="36"/>
      <c r="C575" s="43"/>
      <c r="D575" s="29"/>
      <c r="E575" s="29"/>
      <c r="F575" s="255" t="str">
        <f>IF(D575="","",VLOOKUP(D575,契約台帳!$A$3:$K$4986,6,FALSE)&amp;VLOOKUP(D575,契約台帳!$A$3:$K$4986,7,FALSE)&amp;VLOOKUP(D575,契約台帳!$A$3:$K$4986,8,FALSE)&amp;VLOOKUP(D575,契約台帳!$A$3:$K$4986,9,FALSE)&amp;VLOOKUP(D575,契約台帳!$A$3:$K$4986,11,FALSE))</f>
        <v/>
      </c>
      <c r="G575" s="256" t="str">
        <f>IF(D575="","",VLOOKUP(F575,製品マスタ!$G$5:$H$4999,2,FALSE))</f>
        <v/>
      </c>
      <c r="H575" s="256" t="str">
        <f>IF(D575="","",VLOOKUP(F575,製品マスタ!$G$5:$K$4999,5,FALSE))</f>
        <v/>
      </c>
      <c r="I575" s="200" t="str">
        <f>IF(D575="","",VLOOKUP(F575,製品マスタ!$G$5:$L$4999,6,FALSE))</f>
        <v/>
      </c>
      <c r="J575" s="203"/>
      <c r="K575" s="200" t="str">
        <f>IF(D575="","",VLOOKUP(D575,契約台帳!$A$3:$L$4986,12,FALSE))</f>
        <v/>
      </c>
      <c r="L575" s="200" t="str">
        <f>IF(D575="","",INDEX(製品マスタ!$Q$5:$Q$4999,MATCH('S4'!F575&amp;'S4'!K575,製品マスタ!$AO$5:$AO$4999,0)))</f>
        <v/>
      </c>
      <c r="M575" s="37"/>
      <c r="N575" s="37"/>
      <c r="O575" s="153"/>
      <c r="P575" s="45"/>
      <c r="Q575" s="54"/>
      <c r="R575" s="257" t="str">
        <f ca="1">IF(D575="","",IF(OFFSET(D575,-1,0)&lt;&gt;"","",IF(OR(J575="リード付け",J575="巻足し",J575="巻返しリード付け"),M575,VLOOKUP(D575,契約台帳!$A$3:$N$4986,14,FALSE))))</f>
        <v/>
      </c>
      <c r="S575" s="258" t="str">
        <f ca="1">IF(D575="","",IF(OFFSET(D575,-1,0)&lt;&gt;"","",IF(OR(J575="リード付け",J575="巻足し",J575="巻返しリード付け"),M575,VLOOKUP(D575,契約台帳!$A$3:$O$4986,15,FALSE))))</f>
        <v/>
      </c>
      <c r="T575" s="258" t="str">
        <f ca="1">IF(D575="","",IF(J575="リード付け",N575,IF(J575="巻返しリード付け",N575,IF(J575="巻足し",N575*P575+OFFSET(N575,1,0)*OFFSET(P575,1,0),VLOOKUP(D575,契約台帳!$A$3:$P$4986,16,FALSE)))))</f>
        <v/>
      </c>
      <c r="U575" s="38"/>
      <c r="V575" s="259" t="str">
        <f ca="1">IF(D575="","",IF(OFFSET(D575,-2,0)=D575,"",VLOOKUP(D575,契約台帳!$A$3:$R$4986,18,FALSE)))</f>
        <v/>
      </c>
      <c r="W575" s="256" t="str">
        <f>IF(D575="","",IF(T575="","",IF(OR(J575="巻足し",J575="巻返しリード付け"),"",IF(J575="巻返し",VLOOKUP(F575&amp;K575&amp;M575,製品マスタ!$M$5:$AD$4999,18,FALSE),IF(OR(J575="リード付け",J575="巻返しリード付け"),"原反コア",IF(J575="スリット",VLOOKUP(F575&amp;K575&amp;R575,製品マスタ!$N$5:$AD$4999,17,FALSE),""))))))</f>
        <v/>
      </c>
      <c r="X575" s="256" t="str">
        <f>IF(D575="","",IF(T575="","",IF(J575="巻足し","",IF(J575="巻返し",VLOOKUP(F575&amp;K575&amp;M575,製品マスタ!$M$5:$AE$4999,19,FALSE),IF(OR(J575="リード付け",J575="巻返しリード付け"),"",IF(J575="スリット",VLOOKUP(F575&amp;K575&amp;R575,製品マスタ!$N$5:$AE$4999,18,FALSE),""))))))</f>
        <v/>
      </c>
      <c r="Y575" s="256" t="str">
        <f>IF(D575="","",IF(T575="","",VLOOKUP(D575,契約台帳!$A$3:$Q$4986,17,FALSE)))</f>
        <v/>
      </c>
      <c r="Z575" s="256" t="str">
        <f>IF(D575="","",IF(T575="","",VLOOKUP(D575,契約台帳!$A$3:$E$4986,5,FALSE)))</f>
        <v/>
      </c>
      <c r="AA575" s="54"/>
      <c r="AB575" s="200" t="str">
        <f>IFERROR((VLOOKUP(F575&amp;K575&amp;M575,製品マスタ!$M$5:$AM$4999,27,FALSE)),"")</f>
        <v/>
      </c>
      <c r="AC575" s="31"/>
      <c r="AD575" s="184"/>
      <c r="AE575" s="51"/>
      <c r="AF575" s="52"/>
      <c r="AG575" s="41"/>
      <c r="AH575" s="45"/>
      <c r="AI575" s="28"/>
      <c r="AJ575" s="28"/>
      <c r="AK575" s="28"/>
      <c r="AL575" s="28"/>
      <c r="AM575" s="12"/>
      <c r="AN575" s="12"/>
      <c r="AO575" s="12"/>
      <c r="AP575" s="12"/>
      <c r="AQ575" s="12"/>
      <c r="AR575" s="13"/>
      <c r="AS575" s="14"/>
    </row>
    <row r="576" spans="1:45" s="16" customFormat="1" ht="30.95" hidden="1" customHeight="1" x14ac:dyDescent="0.2">
      <c r="A576" s="35" t="s">
        <v>1131</v>
      </c>
      <c r="B576" s="36" t="s">
        <v>1103</v>
      </c>
      <c r="C576" s="43"/>
      <c r="D576" s="29"/>
      <c r="E576" s="29"/>
      <c r="F576" s="255"/>
      <c r="G576" s="256"/>
      <c r="H576" s="256"/>
      <c r="I576" s="200"/>
      <c r="J576" s="203" t="s">
        <v>1134</v>
      </c>
      <c r="K576" s="200"/>
      <c r="L576" s="200"/>
      <c r="M576" s="37"/>
      <c r="N576" s="37"/>
      <c r="O576" s="153"/>
      <c r="P576" s="45"/>
      <c r="Q576" s="54"/>
      <c r="R576" s="257"/>
      <c r="S576" s="258"/>
      <c r="T576" s="258"/>
      <c r="U576" s="38"/>
      <c r="V576" s="259"/>
      <c r="W576" s="256"/>
      <c r="X576" s="256"/>
      <c r="Y576" s="256"/>
      <c r="Z576" s="256"/>
      <c r="AA576" s="54"/>
      <c r="AB576" s="200"/>
      <c r="AC576" s="31"/>
      <c r="AD576" s="184"/>
      <c r="AE576" s="51"/>
      <c r="AF576" s="52"/>
      <c r="AG576" s="41"/>
      <c r="AH576" s="45"/>
      <c r="AI576" s="28"/>
      <c r="AJ576" s="28"/>
      <c r="AK576" s="28"/>
      <c r="AL576" s="28"/>
      <c r="AM576" s="12"/>
      <c r="AN576" s="12"/>
      <c r="AO576" s="12"/>
      <c r="AP576" s="12"/>
      <c r="AQ576" s="12"/>
      <c r="AR576" s="13"/>
      <c r="AS576" s="14"/>
    </row>
    <row r="577" spans="1:45" s="16" customFormat="1" ht="30.95" hidden="1" customHeight="1" x14ac:dyDescent="0.2">
      <c r="A577" s="35"/>
      <c r="B577" s="36"/>
      <c r="C577" s="43"/>
      <c r="D577" s="29"/>
      <c r="E577" s="29"/>
      <c r="F577" s="255" t="str">
        <f>IF(D577="","",VLOOKUP(D577,契約台帳!$A$3:$K$4986,6,FALSE)&amp;VLOOKUP(D577,契約台帳!$A$3:$K$4986,7,FALSE)&amp;VLOOKUP(D577,契約台帳!$A$3:$K$4986,8,FALSE)&amp;VLOOKUP(D577,契約台帳!$A$3:$K$4986,9,FALSE)&amp;VLOOKUP(D577,契約台帳!$A$3:$K$4986,11,FALSE))</f>
        <v/>
      </c>
      <c r="G577" s="256" t="str">
        <f>IF(D577="","",VLOOKUP(F577,製品マスタ!$G$5:$H$4999,2,FALSE))</f>
        <v/>
      </c>
      <c r="H577" s="256" t="str">
        <f>IF(D577="","",VLOOKUP(F577,製品マスタ!$G$5:$K$4999,5,FALSE))</f>
        <v/>
      </c>
      <c r="I577" s="200" t="str">
        <f>IF(D577="","",VLOOKUP(F577,製品マスタ!$G$5:$L$4999,6,FALSE))</f>
        <v/>
      </c>
      <c r="J577" s="203"/>
      <c r="K577" s="200" t="str">
        <f>IF(D577="","",VLOOKUP(D577,契約台帳!$A$3:$L$4986,12,FALSE))</f>
        <v/>
      </c>
      <c r="L577" s="200" t="str">
        <f>IF(D577="","",INDEX(製品マスタ!$Q$5:$Q$4999,MATCH('S4'!F577&amp;'S4'!K577,製品マスタ!$AO$5:$AO$4999,0)))</f>
        <v/>
      </c>
      <c r="M577" s="37"/>
      <c r="N577" s="37"/>
      <c r="O577" s="153"/>
      <c r="P577" s="45"/>
      <c r="Q577" s="54"/>
      <c r="R577" s="257" t="str">
        <f ca="1">IF(D577="","",IF(OFFSET(D577,-1,0)&lt;&gt;"","",IF(OR(J577="リード付け",J577="巻足し",J577="巻返しリード付け"),M577,VLOOKUP(D577,契約台帳!$A$3:$N$4986,14,FALSE))))</f>
        <v/>
      </c>
      <c r="S577" s="258" t="str">
        <f ca="1">IF(D577="","",IF(OFFSET(D577,-1,0)&lt;&gt;"","",IF(OR(J577="リード付け",J577="巻足し",J577="巻返しリード付け"),M577,VLOOKUP(D577,契約台帳!$A$3:$O$4986,15,FALSE))))</f>
        <v/>
      </c>
      <c r="T577" s="258" t="str">
        <f ca="1">IF(D577="","",IF(J577="リード付け",N577,IF(J577="巻返しリード付け",N577,IF(J577="巻足し",N577*P577+OFFSET(N577,1,0)*OFFSET(P577,1,0),VLOOKUP(D577,契約台帳!$A$3:$P$4986,16,FALSE)))))</f>
        <v/>
      </c>
      <c r="U577" s="38"/>
      <c r="V577" s="259" t="str">
        <f ca="1">IF(D577="","",IF(OFFSET(D577,-2,0)=D577,"",VLOOKUP(D577,契約台帳!$A$3:$R$4986,18,FALSE)))</f>
        <v/>
      </c>
      <c r="W577" s="256" t="str">
        <f>IF(D577="","",IF(T577="","",IF(OR(J577="巻足し",J577="巻返しリード付け"),"",IF(J577="巻返し",VLOOKUP(F577&amp;K577&amp;M577,製品マスタ!$M$5:$AD$4999,18,FALSE),IF(OR(J577="リード付け",J577="巻返しリード付け"),"原反コア",IF(J577="スリット",VLOOKUP(F577&amp;K577&amp;R577,製品マスタ!$N$5:$AD$4999,17,FALSE),""))))))</f>
        <v/>
      </c>
      <c r="X577" s="256" t="str">
        <f>IF(D577="","",IF(T577="","",IF(J577="巻足し","",IF(J577="巻返し",VLOOKUP(F577&amp;K577&amp;M577,製品マスタ!$M$5:$AE$4999,19,FALSE),IF(OR(J577="リード付け",J577="巻返しリード付け"),"",IF(J577="スリット",VLOOKUP(F577&amp;K577&amp;R577,製品マスタ!$N$5:$AE$4999,18,FALSE),""))))))</f>
        <v/>
      </c>
      <c r="Y577" s="256" t="str">
        <f>IF(D577="","",IF(T577="","",VLOOKUP(D577,契約台帳!$A$3:$Q$4986,17,FALSE)))</f>
        <v/>
      </c>
      <c r="Z577" s="256" t="str">
        <f>IF(D577="","",IF(T577="","",VLOOKUP(D577,契約台帳!$A$3:$E$4986,5,FALSE)))</f>
        <v/>
      </c>
      <c r="AA577" s="54"/>
      <c r="AB577" s="200" t="str">
        <f>IFERROR((VLOOKUP(F577&amp;K577&amp;M577,製品マスタ!$M$5:$AM$4999,27,FALSE)),"")</f>
        <v/>
      </c>
      <c r="AC577" s="31"/>
      <c r="AD577" s="184"/>
      <c r="AE577" s="51"/>
      <c r="AF577" s="52"/>
      <c r="AG577" s="41"/>
      <c r="AH577" s="45"/>
      <c r="AI577" s="28"/>
      <c r="AJ577" s="28"/>
      <c r="AK577" s="28"/>
      <c r="AL577" s="28"/>
      <c r="AM577" s="12"/>
      <c r="AN577" s="12"/>
      <c r="AO577" s="12"/>
      <c r="AP577" s="12"/>
      <c r="AQ577" s="12"/>
      <c r="AR577" s="13"/>
      <c r="AS577" s="14"/>
    </row>
    <row r="578" spans="1:45" s="16" customFormat="1" ht="30.95" hidden="1" customHeight="1" x14ac:dyDescent="0.2">
      <c r="A578" s="35" t="s">
        <v>1132</v>
      </c>
      <c r="B578" s="36" t="s">
        <v>1105</v>
      </c>
      <c r="C578" s="43"/>
      <c r="D578" s="29"/>
      <c r="E578" s="29"/>
      <c r="F578" s="255" t="str">
        <f>IF(D578="","",VLOOKUP(D578,契約台帳!$A$3:$K$4986,6,FALSE)&amp;VLOOKUP(D578,契約台帳!$A$3:$K$4986,7,FALSE)&amp;VLOOKUP(D578,契約台帳!$A$3:$K$4986,8,FALSE)&amp;VLOOKUP(D578,契約台帳!$A$3:$K$4986,9,FALSE)&amp;VLOOKUP(D578,契約台帳!$A$3:$K$4986,11,FALSE))</f>
        <v/>
      </c>
      <c r="G578" s="256" t="str">
        <f>IF(D578="","",VLOOKUP(F578,製品マスタ!$G$5:$H$4999,2,FALSE))</f>
        <v/>
      </c>
      <c r="H578" s="256" t="str">
        <f>IF(D578="","",VLOOKUP(F578,製品マスタ!$G$5:$K$4999,5,FALSE))</f>
        <v/>
      </c>
      <c r="I578" s="200" t="str">
        <f>IF(D578="","",VLOOKUP(F578,製品マスタ!$G$5:$L$4999,6,FALSE))</f>
        <v/>
      </c>
      <c r="J578" s="203" t="s">
        <v>1126</v>
      </c>
      <c r="K578" s="200" t="str">
        <f>IF(D578="","",VLOOKUP(D578,契約台帳!$A$3:$L$4986,12,FALSE))</f>
        <v/>
      </c>
      <c r="L578" s="200" t="str">
        <f>IF(D578="","",INDEX(製品マスタ!$Q$5:$Q$4999,MATCH('S4'!F578&amp;'S4'!K578,製品マスタ!$AO$5:$AO$4999,0)))</f>
        <v/>
      </c>
      <c r="M578" s="37"/>
      <c r="N578" s="37"/>
      <c r="O578" s="153"/>
      <c r="P578" s="45"/>
      <c r="Q578" s="54"/>
      <c r="R578" s="257" t="str">
        <f ca="1">IF(D578="","",IF(OFFSET(D578,-1,0)&lt;&gt;"","",IF(OR(J578="リード付け",J578="巻足し",J578="巻返しリード付け"),M578,VLOOKUP(D578,契約台帳!$A$3:$N$4986,14,FALSE))))</f>
        <v/>
      </c>
      <c r="S578" s="258" t="str">
        <f ca="1">IF(D578="","",IF(OFFSET(D578,-1,0)&lt;&gt;"","",IF(OR(J578="リード付け",J578="巻足し",J578="巻返しリード付け"),M578,VLOOKUP(D578,契約台帳!$A$3:$O$4986,15,FALSE))))</f>
        <v/>
      </c>
      <c r="T578" s="258" t="str">
        <f ca="1">IF(D578="","",IF(J578="リード付け",N578,IF(J578="巻返しリード付け",N578,IF(J578="巻足し",N578*P578+OFFSET(N578,1,0)*OFFSET(P578,1,0),VLOOKUP(D578,契約台帳!$A$3:$P$4986,16,FALSE)))))</f>
        <v/>
      </c>
      <c r="U578" s="38"/>
      <c r="V578" s="259" t="str">
        <f ca="1">IF(D578="","",IF(OFFSET(D578,-2,0)=D578,"",VLOOKUP(D578,契約台帳!$A$3:$R$4986,18,FALSE)))</f>
        <v/>
      </c>
      <c r="W578" s="256" t="str">
        <f>IF(D578="","",IF(T578="","",IF(OR(J578="巻足し",J578="巻返しリード付け"),"",IF(J578="巻返し",VLOOKUP(F578&amp;K578&amp;M578,製品マスタ!$M$5:$AD$4999,18,FALSE),IF(OR(J578="リード付け",J578="巻返しリード付け"),"原反コア",IF(J578="スリット",VLOOKUP(F578&amp;K578&amp;R578,製品マスタ!$N$5:$AD$4999,17,FALSE),""))))))</f>
        <v/>
      </c>
      <c r="X578" s="256" t="str">
        <f>IF(D578="","",IF(T578="","",IF(J578="巻足し","",IF(J578="巻返し",VLOOKUP(F578&amp;K578&amp;M578,製品マスタ!$M$5:$AE$4999,19,FALSE),IF(OR(J578="リード付け",J578="巻返しリード付け"),"",IF(J578="スリット",VLOOKUP(F578&amp;K578&amp;R578,製品マスタ!$N$5:$AE$4999,18,FALSE),""))))))</f>
        <v/>
      </c>
      <c r="Y578" s="256" t="str">
        <f>IF(D578="","",IF(T578="","",VLOOKUP(D578,契約台帳!$A$3:$Q$4986,17,FALSE)))</f>
        <v/>
      </c>
      <c r="Z578" s="256" t="str">
        <f>IF(D578="","",IF(T578="","",VLOOKUP(D578,契約台帳!$A$3:$E$4986,5,FALSE)))</f>
        <v/>
      </c>
      <c r="AA578" s="54"/>
      <c r="AB578" s="200" t="str">
        <f>IFERROR((VLOOKUP(F578&amp;K578&amp;M578,製品マスタ!$M$5:$AM$4999,27,FALSE)),"")</f>
        <v/>
      </c>
      <c r="AC578" s="31"/>
      <c r="AD578" s="184"/>
      <c r="AE578" s="51"/>
      <c r="AF578" s="52"/>
      <c r="AG578" s="41"/>
      <c r="AH578" s="45"/>
      <c r="AI578" s="28"/>
      <c r="AJ578" s="28"/>
      <c r="AK578" s="28"/>
      <c r="AL578" s="28"/>
      <c r="AM578" s="12"/>
      <c r="AN578" s="12"/>
      <c r="AO578" s="12"/>
      <c r="AP578" s="12"/>
      <c r="AQ578" s="12"/>
      <c r="AR578" s="13"/>
      <c r="AS578" s="14"/>
    </row>
    <row r="579" spans="1:45" s="16" customFormat="1" ht="30.95" hidden="1" customHeight="1" x14ac:dyDescent="0.2">
      <c r="A579" s="35"/>
      <c r="B579" s="36"/>
      <c r="C579" s="43"/>
      <c r="D579" s="29"/>
      <c r="E579" s="29"/>
      <c r="F579" s="255" t="str">
        <f>IF(D579="","",VLOOKUP(D579,契約台帳!$A$3:$K$4986,6,FALSE)&amp;VLOOKUP(D579,契約台帳!$A$3:$K$4986,7,FALSE)&amp;VLOOKUP(D579,契約台帳!$A$3:$K$4986,8,FALSE)&amp;VLOOKUP(D579,契約台帳!$A$3:$K$4986,9,FALSE)&amp;VLOOKUP(D579,契約台帳!$A$3:$K$4986,11,FALSE))</f>
        <v/>
      </c>
      <c r="G579" s="256" t="str">
        <f>IF(D579="","",VLOOKUP(F579,製品マスタ!$G$5:$H$4999,2,FALSE))</f>
        <v/>
      </c>
      <c r="H579" s="256" t="str">
        <f>IF(D579="","",VLOOKUP(F579,製品マスタ!$G$5:$K$4999,5,FALSE))</f>
        <v/>
      </c>
      <c r="I579" s="200" t="str">
        <f>IF(D579="","",VLOOKUP(F579,製品マスタ!$G$5:$L$4999,6,FALSE))</f>
        <v/>
      </c>
      <c r="J579" s="203"/>
      <c r="K579" s="200" t="str">
        <f>IF(D579="","",VLOOKUP(D579,契約台帳!$A$3:$L$4986,12,FALSE))</f>
        <v/>
      </c>
      <c r="L579" s="200" t="str">
        <f>IF(D579="","",INDEX(製品マスタ!$Q$5:$Q$4999,MATCH('S4'!F579&amp;'S4'!K579,製品マスタ!$AO$5:$AO$4999,0)))</f>
        <v/>
      </c>
      <c r="M579" s="37"/>
      <c r="N579" s="37"/>
      <c r="O579" s="153"/>
      <c r="P579" s="45"/>
      <c r="Q579" s="54"/>
      <c r="R579" s="257" t="str">
        <f ca="1">IF(D579="","",IF(OFFSET(D579,-1,0)&lt;&gt;"","",IF(OR(J579="リード付け",J579="巻足し",J579="巻返しリード付け"),M579,VLOOKUP(D579,契約台帳!$A$3:$N$4986,14,FALSE))))</f>
        <v/>
      </c>
      <c r="S579" s="258" t="str">
        <f ca="1">IF(D579="","",IF(OFFSET(D579,-1,0)&lt;&gt;"","",IF(OR(J579="リード付け",J579="巻足し",J579="巻返しリード付け"),M579,VLOOKUP(D579,契約台帳!$A$3:$O$4986,15,FALSE))))</f>
        <v/>
      </c>
      <c r="T579" s="258" t="str">
        <f ca="1">IF(D579="","",IF(J579="リード付け",N579,IF(J579="巻返しリード付け",N579,IF(J579="巻足し",N579*P579+OFFSET(N579,1,0)*OFFSET(P579,1,0),VLOOKUP(D579,契約台帳!$A$3:$P$4986,16,FALSE)))))</f>
        <v/>
      </c>
      <c r="U579" s="38"/>
      <c r="V579" s="259" t="str">
        <f ca="1">IF(D579="","",IF(OFFSET(D579,-2,0)=D579,"",VLOOKUP(D579,契約台帳!$A$3:$R$4986,18,FALSE)))</f>
        <v/>
      </c>
      <c r="W579" s="256" t="str">
        <f>IF(D579="","",IF(T579="","",IF(OR(J579="巻足し",J579="巻返しリード付け"),"",IF(J579="巻返し",VLOOKUP(F579&amp;K579&amp;M579,製品マスタ!$M$5:$AD$4999,18,FALSE),IF(OR(J579="リード付け",J579="巻返しリード付け"),"原反コア",IF(J579="スリット",VLOOKUP(F579&amp;K579&amp;R579,製品マスタ!$N$5:$AD$4999,17,FALSE),""))))))</f>
        <v/>
      </c>
      <c r="X579" s="256" t="str">
        <f>IF(D579="","",IF(T579="","",IF(J579="巻足し","",IF(J579="巻返し",VLOOKUP(F579&amp;K579&amp;M579,製品マスタ!$M$5:$AE$4999,19,FALSE),IF(OR(J579="リード付け",J579="巻返しリード付け"),"",IF(J579="スリット",VLOOKUP(F579&amp;K579&amp;R579,製品マスタ!$N$5:$AE$4999,18,FALSE),""))))))</f>
        <v/>
      </c>
      <c r="Y579" s="256" t="str">
        <f>IF(D579="","",IF(T579="","",VLOOKUP(D579,契約台帳!$A$3:$Q$4986,17,FALSE)))</f>
        <v/>
      </c>
      <c r="Z579" s="256" t="str">
        <f>IF(D579="","",IF(T579="","",VLOOKUP(D579,契約台帳!$A$3:$E$4986,5,FALSE)))</f>
        <v/>
      </c>
      <c r="AA579" s="54"/>
      <c r="AB579" s="200" t="str">
        <f>IFERROR((VLOOKUP(F579&amp;K579&amp;M579,製品マスタ!$M$5:$AM$4999,27,FALSE)),"")</f>
        <v/>
      </c>
      <c r="AC579" s="31"/>
      <c r="AD579" s="184"/>
      <c r="AE579" s="51"/>
      <c r="AF579" s="52"/>
      <c r="AG579" s="41"/>
      <c r="AH579" s="45"/>
      <c r="AI579" s="28"/>
      <c r="AJ579" s="28"/>
      <c r="AK579" s="28"/>
      <c r="AL579" s="28"/>
      <c r="AM579" s="12"/>
      <c r="AN579" s="12"/>
      <c r="AO579" s="12"/>
      <c r="AP579" s="12"/>
      <c r="AQ579" s="12"/>
      <c r="AR579" s="13"/>
      <c r="AS579" s="14"/>
    </row>
    <row r="580" spans="1:45" s="16" customFormat="1" ht="30.95" hidden="1" customHeight="1" x14ac:dyDescent="0.2">
      <c r="A580" s="35" t="s">
        <v>1133</v>
      </c>
      <c r="B580" s="36" t="s">
        <v>1107</v>
      </c>
      <c r="C580" s="43"/>
      <c r="D580" s="29"/>
      <c r="E580" s="29"/>
      <c r="F580" s="255" t="str">
        <f>IF(D580="","",VLOOKUP(D580,契約台帳!$A$3:$K$4986,6,FALSE)&amp;VLOOKUP(D580,契約台帳!$A$3:$K$4986,7,FALSE)&amp;VLOOKUP(D580,契約台帳!$A$3:$K$4986,8,FALSE)&amp;VLOOKUP(D580,契約台帳!$A$3:$K$4986,9,FALSE)&amp;VLOOKUP(D580,契約台帳!$A$3:$K$4986,11,FALSE))</f>
        <v/>
      </c>
      <c r="G580" s="256" t="str">
        <f>IF(D580="","",VLOOKUP(F580,製品マスタ!$G$5:$H$4999,2,FALSE))</f>
        <v/>
      </c>
      <c r="H580" s="256" t="str">
        <f>IF(D580="","",VLOOKUP(F580,製品マスタ!$G$5:$K$4999,5,FALSE))</f>
        <v/>
      </c>
      <c r="I580" s="200" t="str">
        <f>IF(D580="","",VLOOKUP(F580,製品マスタ!$G$5:$L$4999,6,FALSE))</f>
        <v/>
      </c>
      <c r="J580" s="203" t="s">
        <v>1126</v>
      </c>
      <c r="K580" s="200" t="str">
        <f>IF(D580="","",VLOOKUP(D580,契約台帳!$A$3:$L$4986,12,FALSE))</f>
        <v/>
      </c>
      <c r="L580" s="200" t="str">
        <f>IF(D580="","",INDEX(製品マスタ!$Q$5:$Q$4999,MATCH('S4'!F580&amp;'S4'!K580,製品マスタ!$AO$5:$AO$4999,0)))</f>
        <v/>
      </c>
      <c r="M580" s="37"/>
      <c r="N580" s="37"/>
      <c r="O580" s="153"/>
      <c r="P580" s="45"/>
      <c r="Q580" s="54"/>
      <c r="R580" s="257" t="str">
        <f ca="1">IF(D580="","",IF(OFFSET(D580,-1,0)&lt;&gt;"","",IF(OR(J580="リード付け",J580="巻足し",J580="巻返しリード付け"),M580,VLOOKUP(D580,契約台帳!$A$3:$N$4986,14,FALSE))))</f>
        <v/>
      </c>
      <c r="S580" s="258" t="str">
        <f ca="1">IF(D580="","",IF(OFFSET(D580,-1,0)&lt;&gt;"","",IF(OR(J580="リード付け",J580="巻足し",J580="巻返しリード付け"),M580,VLOOKUP(D580,契約台帳!$A$3:$O$4986,15,FALSE))))</f>
        <v/>
      </c>
      <c r="T580" s="258" t="str">
        <f ca="1">IF(D580="","",IF(J580="リード付け",N580,IF(J580="巻返しリード付け",N580,IF(J580="巻足し",N580*P580+OFFSET(N580,1,0)*OFFSET(P580,1,0),VLOOKUP(D580,契約台帳!$A$3:$P$4986,16,FALSE)))))</f>
        <v/>
      </c>
      <c r="U580" s="38"/>
      <c r="V580" s="259" t="str">
        <f ca="1">IF(D580="","",IF(OFFSET(D580,-2,0)=D580,"",VLOOKUP(D580,契約台帳!$A$3:$R$4986,18,FALSE)))</f>
        <v/>
      </c>
      <c r="W580" s="256" t="str">
        <f>IF(D580="","",IF(T580="","",IF(OR(J580="巻足し",J580="巻返しリード付け"),"",IF(J580="巻返し",VLOOKUP(F580&amp;K580&amp;M580,製品マスタ!$M$5:$AD$4999,18,FALSE),IF(OR(J580="リード付け",J580="巻返しリード付け"),"原反コア",IF(J580="スリット",VLOOKUP(F580&amp;K580&amp;R580,製品マスタ!$N$5:$AD$4999,17,FALSE),""))))))</f>
        <v/>
      </c>
      <c r="X580" s="256" t="str">
        <f>IF(D580="","",IF(T580="","",IF(J580="巻足し","",IF(J580="巻返し",VLOOKUP(F580&amp;K580&amp;M580,製品マスタ!$M$5:$AE$4999,19,FALSE),IF(OR(J580="リード付け",J580="巻返しリード付け"),"",IF(J580="スリット",VLOOKUP(F580&amp;K580&amp;R580,製品マスタ!$N$5:$AE$4999,18,FALSE),""))))))</f>
        <v/>
      </c>
      <c r="Y580" s="256" t="str">
        <f>IF(D580="","",IF(T580="","",VLOOKUP(D580,契約台帳!$A$3:$Q$4986,17,FALSE)))</f>
        <v/>
      </c>
      <c r="Z580" s="256" t="str">
        <f>IF(D580="","",IF(T580="","",VLOOKUP(D580,契約台帳!$A$3:$E$4986,5,FALSE)))</f>
        <v/>
      </c>
      <c r="AA580" s="54"/>
      <c r="AB580" s="200" t="str">
        <f>IFERROR((VLOOKUP(F580&amp;K580&amp;M580,製品マスタ!$M$5:$AM$4999,27,FALSE)),"")</f>
        <v/>
      </c>
      <c r="AC580" s="31"/>
      <c r="AD580" s="184"/>
      <c r="AE580" s="51"/>
      <c r="AF580" s="52"/>
      <c r="AG580" s="41"/>
      <c r="AH580" s="45"/>
      <c r="AI580" s="28"/>
      <c r="AJ580" s="28"/>
      <c r="AK580" s="28"/>
      <c r="AL580" s="28"/>
      <c r="AM580" s="12"/>
      <c r="AN580" s="12"/>
      <c r="AO580" s="12"/>
      <c r="AP580" s="12"/>
      <c r="AQ580" s="12"/>
      <c r="AR580" s="13"/>
      <c r="AS580" s="14"/>
    </row>
    <row r="581" spans="1:45" s="16" customFormat="1" ht="30.95" hidden="1" customHeight="1" x14ac:dyDescent="0.2">
      <c r="A581" s="35"/>
      <c r="B581" s="36"/>
      <c r="C581" s="43"/>
      <c r="D581" s="29"/>
      <c r="E581" s="29"/>
      <c r="F581" s="255" t="str">
        <f>IF(D581="","",VLOOKUP(D581,契約台帳!$A$3:$K$4986,6,FALSE)&amp;VLOOKUP(D581,契約台帳!$A$3:$K$4986,7,FALSE)&amp;VLOOKUP(D581,契約台帳!$A$3:$K$4986,8,FALSE)&amp;VLOOKUP(D581,契約台帳!$A$3:$K$4986,9,FALSE)&amp;VLOOKUP(D581,契約台帳!$A$3:$K$4986,11,FALSE))</f>
        <v/>
      </c>
      <c r="G581" s="256" t="str">
        <f>IF(D581="","",VLOOKUP(F581,製品マスタ!$G$5:$H$4999,2,FALSE))</f>
        <v/>
      </c>
      <c r="H581" s="256" t="str">
        <f>IF(D581="","",VLOOKUP(F581,製品マスタ!$G$5:$K$4999,5,FALSE))</f>
        <v/>
      </c>
      <c r="I581" s="200" t="str">
        <f>IF(D581="","",VLOOKUP(F581,製品マスタ!$G$5:$L$4999,6,FALSE))</f>
        <v/>
      </c>
      <c r="J581" s="203"/>
      <c r="K581" s="200" t="str">
        <f>IF(D581="","",VLOOKUP(D581,契約台帳!$A$3:$L$4986,12,FALSE))</f>
        <v/>
      </c>
      <c r="L581" s="200" t="str">
        <f>IF(D581="","",INDEX(製品マスタ!$Q$5:$Q$4999,MATCH('S4'!F581&amp;'S4'!K581,製品マスタ!$AO$5:$AO$4999,0)))</f>
        <v/>
      </c>
      <c r="M581" s="37"/>
      <c r="N581" s="37"/>
      <c r="O581" s="153"/>
      <c r="P581" s="45"/>
      <c r="Q581" s="54"/>
      <c r="R581" s="257" t="str">
        <f ca="1">IF(D581="","",IF(OFFSET(D581,-1,0)&lt;&gt;"","",IF(OR(J581="リード付け",J581="巻足し",J581="巻返しリード付け"),M581,VLOOKUP(D581,契約台帳!$A$3:$N$4986,14,FALSE))))</f>
        <v/>
      </c>
      <c r="S581" s="258" t="str">
        <f ca="1">IF(D581="","",IF(OFFSET(D581,-1,0)&lt;&gt;"","",IF(OR(J581="リード付け",J581="巻足し",J581="巻返しリード付け"),M581,VLOOKUP(D581,契約台帳!$A$3:$O$4986,15,FALSE))))</f>
        <v/>
      </c>
      <c r="T581" s="258" t="str">
        <f ca="1">IF(D581="","",IF(J581="リード付け",N581,IF(J581="巻返しリード付け",N581,IF(J581="巻足し",N581*P581+OFFSET(N581,1,0)*OFFSET(P581,1,0),VLOOKUP(D581,契約台帳!$A$3:$P$4986,16,FALSE)))))</f>
        <v/>
      </c>
      <c r="U581" s="38"/>
      <c r="V581" s="259" t="str">
        <f ca="1">IF(D581="","",IF(OFFSET(D581,-2,0)=D581,"",VLOOKUP(D581,契約台帳!$A$3:$R$4986,18,FALSE)))</f>
        <v/>
      </c>
      <c r="W581" s="256" t="str">
        <f>IF(D581="","",IF(T581="","",IF(OR(J581="巻足し",J581="巻返しリード付け"),"",IF(J581="巻返し",VLOOKUP(F581&amp;K581&amp;M581,製品マスタ!$M$5:$AD$4999,18,FALSE),IF(OR(J581="リード付け",J581="巻返しリード付け"),"原反コア",IF(J581="スリット",VLOOKUP(F581&amp;K581&amp;R581,製品マスタ!$N$5:$AD$4999,17,FALSE),""))))))</f>
        <v/>
      </c>
      <c r="X581" s="256" t="str">
        <f>IF(D581="","",IF(T581="","",IF(J581="巻足し","",IF(J581="巻返し",VLOOKUP(F581&amp;K581&amp;M581,製品マスタ!$M$5:$AE$4999,19,FALSE),IF(OR(J581="リード付け",J581="巻返しリード付け"),"",IF(J581="スリット",VLOOKUP(F581&amp;K581&amp;R581,製品マスタ!$N$5:$AE$4999,18,FALSE),""))))))</f>
        <v/>
      </c>
      <c r="Y581" s="256" t="str">
        <f>IF(D581="","",IF(T581="","",VLOOKUP(D581,契約台帳!$A$3:$Q$4986,17,FALSE)))</f>
        <v/>
      </c>
      <c r="Z581" s="256" t="str">
        <f>IF(D581="","",IF(T581="","",VLOOKUP(D581,契約台帳!$A$3:$E$4986,5,FALSE)))</f>
        <v/>
      </c>
      <c r="AA581" s="54"/>
      <c r="AB581" s="200" t="str">
        <f>IFERROR((VLOOKUP(F581&amp;K581&amp;M581,製品マスタ!$M$5:$AM$4999,27,FALSE)),"")</f>
        <v/>
      </c>
      <c r="AC581" s="31"/>
      <c r="AD581" s="184"/>
      <c r="AE581" s="51"/>
      <c r="AF581" s="52"/>
      <c r="AG581" s="41"/>
      <c r="AH581" s="45"/>
      <c r="AI581" s="28"/>
      <c r="AJ581" s="28"/>
      <c r="AK581" s="28"/>
      <c r="AL581" s="28"/>
      <c r="AM581" s="12"/>
      <c r="AN581" s="12"/>
      <c r="AO581" s="12"/>
      <c r="AP581" s="12"/>
      <c r="AQ581" s="12"/>
      <c r="AR581" s="13"/>
      <c r="AS581" s="14"/>
    </row>
    <row r="582" spans="1:45" s="16" customFormat="1" ht="30.95" hidden="1" customHeight="1" x14ac:dyDescent="0.2">
      <c r="A582" s="35" t="s">
        <v>1135</v>
      </c>
      <c r="B582" s="36" t="s">
        <v>1109</v>
      </c>
      <c r="C582" s="43"/>
      <c r="D582" s="29">
        <v>3708711</v>
      </c>
      <c r="E582" s="29">
        <v>4161899</v>
      </c>
      <c r="F582" s="255" t="str">
        <f>IF(D582="","",VLOOKUP(D582,契約台帳!$A$3:$K$4986,6,FALSE)&amp;VLOOKUP(D582,契約台帳!$A$3:$K$4986,7,FALSE)&amp;VLOOKUP(D582,契約台帳!$A$3:$K$4986,8,FALSE)&amp;VLOOKUP(D582,契約台帳!$A$3:$K$4986,9,FALSE)&amp;VLOOKUP(D582,契約台帳!$A$3:$K$4986,11,FALSE))</f>
        <v>3SNMLBMNGTBF</v>
      </c>
      <c r="G582" s="256" t="str">
        <f>IF(D582="","",VLOOKUP(F582,製品マスタ!$G$5:$H$4999,2,FALSE))</f>
        <v>S</v>
      </c>
      <c r="H582" s="256" t="str">
        <f>IF(D582="","",VLOOKUP(F582,製品マスタ!$G$5:$K$4999,5,FALSE))</f>
        <v>MNGTBF</v>
      </c>
      <c r="I582" s="200" t="str">
        <f>IF(D582="","",VLOOKUP(F582,製品マスタ!$G$5:$L$4999,6,FALSE))</f>
        <v>メタルミー　ネーマー　銀艶　Ｂ</v>
      </c>
      <c r="J582" s="203" t="s">
        <v>1102</v>
      </c>
      <c r="K582" s="200">
        <f>IF(D582="","",VLOOKUP(D582,契約台帳!$A$3:$L$4986,12,FALSE))</f>
        <v>50</v>
      </c>
      <c r="L582" s="200" t="str">
        <f>IF(D582="","",INDEX(製品マスタ!$Q$5:$Q$4999,MATCH('S4'!F582&amp;'S4'!K582,製品マスタ!$AO$5:$AO$4999,0)))</f>
        <v>T62</v>
      </c>
      <c r="M582" s="37">
        <v>1120</v>
      </c>
      <c r="N582" s="37">
        <v>5000</v>
      </c>
      <c r="O582" s="153">
        <v>14</v>
      </c>
      <c r="P582" s="45">
        <v>2</v>
      </c>
      <c r="Q582" s="206">
        <v>45065</v>
      </c>
      <c r="R582" s="257">
        <f ca="1">IF(D582="","",IF(OFFSET(D582,-1,0)&lt;&gt;"","",IF(OR(J582="リード付け",J582="巻足し",J582="巻返しリード付け"),M582,VLOOKUP(D582,契約台帳!$A$3:$N$4986,14,FALSE))))</f>
        <v>1120</v>
      </c>
      <c r="S582" s="258">
        <f ca="1">IF(D582="","",IF(OFFSET(D582,-1,0)&lt;&gt;"","",IF(OR(J582="リード付け",J582="巻足し",J582="巻返しリード付け"),M582,VLOOKUP(D582,契約台帳!$A$3:$O$4986,15,FALSE))))</f>
        <v>1120</v>
      </c>
      <c r="T582" s="258">
        <f ca="1">IF(D582="","",IF(J582="リード付け",N582,IF(J582="巻返しリード付け",N582,IF(J582="巻足し",N582*P582+OFFSET(N582,1,0)*OFFSET(P582,1,0),VLOOKUP(D582,契約台帳!$A$3:$P$4986,16,FALSE)))))</f>
        <v>10000</v>
      </c>
      <c r="U582" s="38">
        <v>7</v>
      </c>
      <c r="V582" s="259">
        <f ca="1">IF(D582="","",IF(OFFSET(D582,-2,0)=D582,"",VLOOKUP(D582,契約台帳!$A$3:$R$4986,18,FALSE)))</f>
        <v>15</v>
      </c>
      <c r="W582" s="256" t="str">
        <f ca="1">IF(D582="","",IF(T582="","",IF(OR(J582="巻足し",J582="巻返しリード付け"),"",IF(J582="巻返し",VLOOKUP(F582&amp;K582&amp;M582,製品マスタ!$M$5:$AD$4999,18,FALSE),IF(OR(J582="リード付け",J582="巻返しリード付け"),"原反コア",IF(J582="スリット",VLOOKUP(F582&amp;K582&amp;R582,製品マスタ!$N$5:$AD$4999,17,FALSE),""))))))</f>
        <v/>
      </c>
      <c r="X582" s="256" t="str">
        <f ca="1">IF(D582="","",IF(T582="","",IF(J582="巻足し","",IF(J582="巻返し",VLOOKUP(F582&amp;K582&amp;M582,製品マスタ!$M$5:$AE$4999,19,FALSE),IF(OR(J582="リード付け",J582="巻返しリード付け"),"",IF(J582="スリット",VLOOKUP(F582&amp;K582&amp;R582,製品マスタ!$N$5:$AE$4999,18,FALSE),""))))))</f>
        <v/>
      </c>
      <c r="Y582" s="256">
        <f ca="1">IF(D582="","",IF(T582="","",VLOOKUP(D582,契約台帳!$A$3:$Q$4986,17,FALSE)))</f>
        <v>2</v>
      </c>
      <c r="Z582" s="256" t="str">
        <f ca="1">IF(D582="","",IF(T582="","",VLOOKUP(D582,契約台帳!$A$3:$E$4986,5,FALSE)))</f>
        <v>リンテック㈱</v>
      </c>
      <c r="AA582" s="54"/>
      <c r="AB582" s="200" t="str">
        <f>IFERROR((VLOOKUP(F582&amp;K582&amp;M582,製品マスタ!$M$5:$AM$4999,27,FALSE)),"")</f>
        <v>原反ケース再利用</v>
      </c>
      <c r="AC582" s="31"/>
      <c r="AD582" s="184"/>
      <c r="AE582" s="51"/>
      <c r="AF582" s="52"/>
      <c r="AG582" s="41"/>
      <c r="AH582" s="45"/>
      <c r="AI582" s="28"/>
      <c r="AJ582" s="28"/>
      <c r="AK582" s="28"/>
      <c r="AL582" s="28"/>
      <c r="AM582" s="12"/>
      <c r="AN582" s="12"/>
      <c r="AO582" s="12"/>
      <c r="AP582" s="12"/>
      <c r="AQ582" s="12"/>
      <c r="AR582" s="13"/>
      <c r="AS582" s="14"/>
    </row>
    <row r="583" spans="1:45" s="16" customFormat="1" ht="30.95" hidden="1" customHeight="1" x14ac:dyDescent="0.2">
      <c r="A583" s="35"/>
      <c r="B583" s="36"/>
      <c r="C583" s="43"/>
      <c r="D583" s="29"/>
      <c r="E583" s="29"/>
      <c r="F583" s="255" t="str">
        <f>IF(D583="","",VLOOKUP(D583,契約台帳!$A$3:$K$4986,6,FALSE)&amp;VLOOKUP(D583,契約台帳!$A$3:$K$4986,7,FALSE)&amp;VLOOKUP(D583,契約台帳!$A$3:$K$4986,8,FALSE)&amp;VLOOKUP(D583,契約台帳!$A$3:$K$4986,9,FALSE)&amp;VLOOKUP(D583,契約台帳!$A$3:$K$4986,11,FALSE))</f>
        <v/>
      </c>
      <c r="G583" s="256" t="str">
        <f>IF(D583="","",VLOOKUP(F583,製品マスタ!$G$5:$H$4999,2,FALSE))</f>
        <v/>
      </c>
      <c r="H583" s="256" t="str">
        <f>IF(D583="","",VLOOKUP(F583,製品マスタ!$G$5:$K$4999,5,FALSE))</f>
        <v/>
      </c>
      <c r="I583" s="200" t="str">
        <f>IF(D583="","",VLOOKUP(F583,製品マスタ!$G$5:$L$4999,6,FALSE))</f>
        <v/>
      </c>
      <c r="J583" s="203"/>
      <c r="K583" s="200" t="str">
        <f>IF(D583="","",VLOOKUP(D583,契約台帳!$A$3:$L$4986,12,FALSE))</f>
        <v/>
      </c>
      <c r="L583" s="200" t="str">
        <f>IF(D583="","",INDEX(製品マスタ!$Q$5:$Q$4999,MATCH('S4'!F583&amp;'S4'!K583,製品マスタ!$AO$5:$AO$4999,0)))</f>
        <v/>
      </c>
      <c r="M583" s="37"/>
      <c r="N583" s="37"/>
      <c r="O583" s="153"/>
      <c r="P583" s="45"/>
      <c r="Q583" s="54"/>
      <c r="R583" s="257" t="str">
        <f ca="1">IF(D583="","",IF(OFFSET(D583,-1,0)&lt;&gt;"","",IF(OR(J583="リード付け",J583="巻足し",J583="巻返しリード付け"),M583,VLOOKUP(D583,契約台帳!$A$3:$N$4986,14,FALSE))))</f>
        <v/>
      </c>
      <c r="S583" s="258" t="str">
        <f ca="1">IF(D583="","",IF(OFFSET(D583,-1,0)&lt;&gt;"","",IF(OR(J583="リード付け",J583="巻足し",J583="巻返しリード付け"),M583,VLOOKUP(D583,契約台帳!$A$3:$O$4986,15,FALSE))))</f>
        <v/>
      </c>
      <c r="T583" s="258" t="str">
        <f ca="1">IF(D583="","",IF(J583="リード付け",N583,IF(J583="巻返しリード付け",N583,IF(J583="巻足し",N583*P583+OFFSET(N583,1,0)*OFFSET(P583,1,0),VLOOKUP(D583,契約台帳!$A$3:$P$4986,16,FALSE)))))</f>
        <v/>
      </c>
      <c r="U583" s="38"/>
      <c r="V583" s="259" t="str">
        <f ca="1">IF(D583="","",IF(OFFSET(D583,-2,0)=D583,"",VLOOKUP(D583,契約台帳!$A$3:$R$4986,18,FALSE)))</f>
        <v/>
      </c>
      <c r="W583" s="256" t="str">
        <f>IF(D583="","",IF(T583="","",IF(OR(J583="巻足し",J583="巻返しリード付け"),"",IF(J583="巻返し",VLOOKUP(F583&amp;K583&amp;M583,製品マスタ!$M$5:$AD$4999,18,FALSE),IF(OR(J583="リード付け",J583="巻返しリード付け"),"原反コア",IF(J583="スリット",VLOOKUP(F583&amp;K583&amp;R583,製品マスタ!$N$5:$AD$4999,17,FALSE),""))))))</f>
        <v/>
      </c>
      <c r="X583" s="256" t="str">
        <f>IF(D583="","",IF(T583="","",IF(J583="巻足し","",IF(J583="巻返し",VLOOKUP(F583&amp;K583&amp;M583,製品マスタ!$M$5:$AE$4999,19,FALSE),IF(OR(J583="リード付け",J583="巻返しリード付け"),"",IF(J583="スリット",VLOOKUP(F583&amp;K583&amp;R583,製品マスタ!$N$5:$AE$4999,18,FALSE),""))))))</f>
        <v/>
      </c>
      <c r="Y583" s="256" t="str">
        <f>IF(D583="","",IF(T583="","",VLOOKUP(D583,契約台帳!$A$3:$Q$4986,17,FALSE)))</f>
        <v/>
      </c>
      <c r="Z583" s="256" t="str">
        <f>IF(D583="","",IF(T583="","",VLOOKUP(D583,契約台帳!$A$3:$E$4986,5,FALSE)))</f>
        <v/>
      </c>
      <c r="AA583" s="54"/>
      <c r="AB583" s="200" t="str">
        <f>IFERROR((VLOOKUP(F583&amp;K583&amp;M583,製品マスタ!$M$5:$AM$4999,27,FALSE)),"")</f>
        <v/>
      </c>
      <c r="AC583" s="31"/>
      <c r="AD583" s="184"/>
      <c r="AE583" s="51"/>
      <c r="AF583" s="52"/>
      <c r="AG583" s="41"/>
      <c r="AH583" s="45"/>
      <c r="AI583" s="28"/>
      <c r="AJ583" s="28"/>
      <c r="AK583" s="28"/>
      <c r="AL583" s="28"/>
      <c r="AM583" s="12"/>
      <c r="AN583" s="12"/>
      <c r="AO583" s="12"/>
      <c r="AP583" s="12"/>
      <c r="AQ583" s="12"/>
      <c r="AR583" s="13"/>
      <c r="AS583" s="14"/>
    </row>
    <row r="584" spans="1:45" s="16" customFormat="1" ht="30.95" hidden="1" customHeight="1" x14ac:dyDescent="0.2">
      <c r="A584" s="35"/>
      <c r="B584" s="36"/>
      <c r="C584" s="43"/>
      <c r="D584" s="29">
        <v>3708711</v>
      </c>
      <c r="E584" s="29">
        <v>4161899</v>
      </c>
      <c r="F584" s="255" t="str">
        <f>IF(D584="","",VLOOKUP(D584,契約台帳!$A$3:$K$4986,6,FALSE)&amp;VLOOKUP(D584,契約台帳!$A$3:$K$4986,7,FALSE)&amp;VLOOKUP(D584,契約台帳!$A$3:$K$4986,8,FALSE)&amp;VLOOKUP(D584,契約台帳!$A$3:$K$4986,9,FALSE)&amp;VLOOKUP(D584,契約台帳!$A$3:$K$4986,11,FALSE))</f>
        <v>3SNMLBMNGTBF</v>
      </c>
      <c r="G584" s="256" t="str">
        <f>IF(D584="","",VLOOKUP(F584,製品マスタ!$G$5:$H$4999,2,FALSE))</f>
        <v>S</v>
      </c>
      <c r="H584" s="256" t="str">
        <f>IF(D584="","",VLOOKUP(F584,製品マスタ!$G$5:$K$4999,5,FALSE))</f>
        <v>MNGTBF</v>
      </c>
      <c r="I584" s="200" t="str">
        <f>IF(D584="","",VLOOKUP(F584,製品マスタ!$G$5:$L$4999,6,FALSE))</f>
        <v>メタルミー　ネーマー　銀艶　Ｂ</v>
      </c>
      <c r="J584" s="203" t="s">
        <v>1102</v>
      </c>
      <c r="K584" s="200">
        <f>IF(D584="","",VLOOKUP(D584,契約台帳!$A$3:$L$4986,12,FALSE))</f>
        <v>50</v>
      </c>
      <c r="L584" s="200" t="str">
        <f>IF(D584="","",INDEX(製品マスタ!$Q$5:$Q$4999,MATCH('S4'!F584&amp;'S4'!K584,製品マスタ!$AO$5:$AO$4999,0)))</f>
        <v>T62</v>
      </c>
      <c r="M584" s="37">
        <v>1120</v>
      </c>
      <c r="N584" s="37">
        <v>5000</v>
      </c>
      <c r="O584" s="153">
        <v>1</v>
      </c>
      <c r="P584" s="45">
        <v>2</v>
      </c>
      <c r="Q584" s="206">
        <v>45065</v>
      </c>
      <c r="R584" s="257">
        <f ca="1">IF(D584="","",IF(OFFSET(D584,-1,0)&lt;&gt;"","",IF(OR(J584="リード付け",J584="巻足し",J584="巻返しリード付け"),M584,VLOOKUP(D584,契約台帳!$A$3:$N$4986,14,FALSE))))</f>
        <v>1120</v>
      </c>
      <c r="S584" s="258">
        <f ca="1">IF(D584="","",IF(OFFSET(D584,-1,0)&lt;&gt;"","",IF(OR(J584="リード付け",J584="巻足し",J584="巻返しリード付け"),M584,VLOOKUP(D584,契約台帳!$A$3:$O$4986,15,FALSE))))</f>
        <v>1120</v>
      </c>
      <c r="T584" s="258">
        <f ca="1">IF(D584="","",IF(J584="リード付け",N584,IF(J584="巻返しリード付け",N584,IF(J584="巻足し",N584*P584+OFFSET(N584,1,0)*OFFSET(P584,1,0),VLOOKUP(D584,契約台帳!$A$3:$P$4986,16,FALSE)))))</f>
        <v>10000</v>
      </c>
      <c r="U584" s="38">
        <v>1</v>
      </c>
      <c r="V584" s="259" t="str">
        <f ca="1">IF(D584="","",IF(OFFSET(D584,-2,0)=D584,"",VLOOKUP(D584,契約台帳!$A$3:$R$4986,18,FALSE)))</f>
        <v/>
      </c>
      <c r="W584" s="256" t="str">
        <f ca="1">IF(D584="","",IF(T584="","",IF(OR(J584="巻足し",J584="巻返しリード付け"),"",IF(J584="巻返し",VLOOKUP(F584&amp;K584&amp;M584,製品マスタ!$M$5:$AD$4999,18,FALSE),IF(OR(J584="リード付け",J584="巻返しリード付け"),"原反コア",IF(J584="スリット",VLOOKUP(F584&amp;K584&amp;R584,製品マスタ!$N$5:$AD$4999,17,FALSE),""))))))</f>
        <v/>
      </c>
      <c r="X584" s="256" t="str">
        <f ca="1">IF(D584="","",IF(T584="","",IF(J584="巻足し","",IF(J584="巻返し",VLOOKUP(F584&amp;K584&amp;M584,製品マスタ!$M$5:$AE$4999,19,FALSE),IF(OR(J584="リード付け",J584="巻返しリード付け"),"",IF(J584="スリット",VLOOKUP(F584&amp;K584&amp;R584,製品マスタ!$N$5:$AE$4999,18,FALSE),""))))))</f>
        <v/>
      </c>
      <c r="Y584" s="256">
        <f ca="1">IF(D584="","",IF(T584="","",VLOOKUP(D584,契約台帳!$A$3:$Q$4986,17,FALSE)))</f>
        <v>2</v>
      </c>
      <c r="Z584" s="256" t="str">
        <f ca="1">IF(D584="","",IF(T584="","",VLOOKUP(D584,契約台帳!$A$3:$E$4986,5,FALSE)))</f>
        <v>リンテック㈱</v>
      </c>
      <c r="AA584" s="54"/>
      <c r="AB584" s="200" t="str">
        <f>IFERROR((VLOOKUP(F584&amp;K584&amp;M584,製品マスタ!$M$5:$AM$4999,27,FALSE)),"")</f>
        <v>原反ケース再利用</v>
      </c>
      <c r="AC584" s="31"/>
      <c r="AD584" s="184"/>
      <c r="AE584" s="51"/>
      <c r="AF584" s="52"/>
      <c r="AG584" s="41"/>
      <c r="AH584" s="45"/>
      <c r="AI584" s="28"/>
      <c r="AJ584" s="28"/>
      <c r="AK584" s="28"/>
      <c r="AL584" s="28"/>
      <c r="AM584" s="12"/>
      <c r="AN584" s="12"/>
      <c r="AO584" s="12"/>
      <c r="AP584" s="12"/>
      <c r="AQ584" s="12"/>
      <c r="AR584" s="13"/>
      <c r="AS584" s="14"/>
    </row>
    <row r="585" spans="1:45" s="16" customFormat="1" ht="30.95" hidden="1" customHeight="1" x14ac:dyDescent="0.2">
      <c r="A585" s="35"/>
      <c r="B585" s="36"/>
      <c r="C585" s="43"/>
      <c r="D585" s="29">
        <v>3708713</v>
      </c>
      <c r="E585" s="29"/>
      <c r="F585" s="255" t="str">
        <f>IF(D585="","",VLOOKUP(D585,契約台帳!$A$3:$K$4986,6,FALSE)&amp;VLOOKUP(D585,契約台帳!$A$3:$K$4986,7,FALSE)&amp;VLOOKUP(D585,契約台帳!$A$3:$K$4986,8,FALSE)&amp;VLOOKUP(D585,契約台帳!$A$3:$K$4986,9,FALSE)&amp;VLOOKUP(D585,契約台帳!$A$3:$K$4986,11,FALSE))</f>
        <v>3SNMLBMNGTBF</v>
      </c>
      <c r="G585" s="256" t="str">
        <f>IF(D585="","",VLOOKUP(F585,製品マスタ!$G$5:$H$4999,2,FALSE))</f>
        <v>S</v>
      </c>
      <c r="H585" s="256" t="str">
        <f>IF(D585="","",VLOOKUP(F585,製品マスタ!$G$5:$K$4999,5,FALSE))</f>
        <v>MNGTBF</v>
      </c>
      <c r="I585" s="200" t="str">
        <f>IF(D585="","",VLOOKUP(F585,製品マスタ!$G$5:$L$4999,6,FALSE))</f>
        <v>メタルミー　ネーマー　銀艶　Ｂ</v>
      </c>
      <c r="J585" s="203"/>
      <c r="K585" s="200">
        <f>IF(D585="","",VLOOKUP(D585,契約台帳!$A$3:$L$4986,12,FALSE))</f>
        <v>50</v>
      </c>
      <c r="L585" s="200" t="str">
        <f>IF(D585="","",INDEX(製品マスタ!$Q$5:$Q$4999,MATCH('S4'!F585&amp;'S4'!K585,製品マスタ!$AO$5:$AO$4999,0)))</f>
        <v>T62</v>
      </c>
      <c r="M585" s="37">
        <v>1120</v>
      </c>
      <c r="N585" s="37">
        <v>5000</v>
      </c>
      <c r="O585" s="153">
        <v>1</v>
      </c>
      <c r="P585" s="45"/>
      <c r="Q585" s="54"/>
      <c r="R585" s="257" t="str">
        <f ca="1">IF(D585="","",IF(OFFSET(D585,-1,0)&lt;&gt;"","",IF(OR(J585="リード付け",J585="巻足し",J585="巻返しリード付け"),M585,VLOOKUP(D585,契約台帳!$A$3:$N$4986,14,FALSE))))</f>
        <v/>
      </c>
      <c r="S585" s="258" t="str">
        <f ca="1">IF(D585="","",IF(OFFSET(D585,-1,0)&lt;&gt;"","",IF(OR(J585="リード付け",J585="巻足し",J585="巻返しリード付け"),M585,VLOOKUP(D585,契約台帳!$A$3:$O$4986,15,FALSE))))</f>
        <v/>
      </c>
      <c r="T585" s="258"/>
      <c r="U585" s="38"/>
      <c r="V585" s="259">
        <v>1</v>
      </c>
      <c r="W585" s="256" t="str">
        <f>IF(D585="","",IF(T585="","",IF(OR(J585="巻足し",J585="巻返しリード付け"),"",IF(J585="巻返し",VLOOKUP(F585&amp;K585&amp;M585,製品マスタ!$M$5:$AD$4999,18,FALSE),IF(OR(J585="リード付け",J585="巻返しリード付け"),"原反コア",IF(J585="スリット",VLOOKUP(F585&amp;K585&amp;R585,製品マスタ!$N$5:$AD$4999,17,FALSE),""))))))</f>
        <v/>
      </c>
      <c r="X585" s="256" t="str">
        <f>IF(D585="","",IF(T585="","",IF(J585="巻足し","",IF(J585="巻返し",VLOOKUP(F585&amp;K585&amp;M585,製品マスタ!$M$5:$AE$4999,19,FALSE),IF(OR(J585="リード付け",J585="巻返しリード付け"),"",IF(J585="スリット",VLOOKUP(F585&amp;K585&amp;R585,製品マスタ!$N$5:$AE$4999,18,FALSE),""))))))</f>
        <v/>
      </c>
      <c r="Y585" s="256" t="str">
        <f>IF(D585="","",IF(T585="","",VLOOKUP(D585,契約台帳!$A$3:$Q$4986,17,FALSE)))</f>
        <v/>
      </c>
      <c r="Z585" s="256" t="str">
        <f>IF(D585="","",IF(T585="","",VLOOKUP(D585,契約台帳!$A$3:$E$4986,5,FALSE)))</f>
        <v/>
      </c>
      <c r="AA585" s="54"/>
      <c r="AB585" s="200" t="str">
        <f>IFERROR((VLOOKUP(F585&amp;K585&amp;M585,製品マスタ!$M$5:$AM$4999,27,FALSE)),"")</f>
        <v>原反ケース再利用</v>
      </c>
      <c r="AC585" s="31"/>
      <c r="AD585" s="184"/>
      <c r="AE585" s="51"/>
      <c r="AF585" s="52"/>
      <c r="AG585" s="41"/>
      <c r="AH585" s="45"/>
      <c r="AI585" s="28"/>
      <c r="AJ585" s="28"/>
      <c r="AK585" s="28"/>
      <c r="AL585" s="28"/>
      <c r="AM585" s="12"/>
      <c r="AN585" s="12"/>
      <c r="AO585" s="12"/>
      <c r="AP585" s="12"/>
      <c r="AQ585" s="12"/>
      <c r="AR585" s="13"/>
      <c r="AS585" s="14"/>
    </row>
    <row r="586" spans="1:45" s="16" customFormat="1" ht="30.95" hidden="1" customHeight="1" x14ac:dyDescent="0.2">
      <c r="A586" s="35"/>
      <c r="B586" s="36"/>
      <c r="C586" s="43"/>
      <c r="D586" s="29"/>
      <c r="E586" s="29"/>
      <c r="F586" s="255" t="str">
        <f>IF(D586="","",VLOOKUP(D586,契約台帳!$A$3:$K$4986,6,FALSE)&amp;VLOOKUP(D586,契約台帳!$A$3:$K$4986,7,FALSE)&amp;VLOOKUP(D586,契約台帳!$A$3:$K$4986,8,FALSE)&amp;VLOOKUP(D586,契約台帳!$A$3:$K$4986,9,FALSE)&amp;VLOOKUP(D586,契約台帳!$A$3:$K$4986,11,FALSE))</f>
        <v/>
      </c>
      <c r="G586" s="256" t="str">
        <f>IF(D586="","",VLOOKUP(F586,製品マスタ!$G$5:$H$4999,2,FALSE))</f>
        <v/>
      </c>
      <c r="H586" s="256" t="str">
        <f>IF(D586="","",VLOOKUP(F586,製品マスタ!$G$5:$K$4999,5,FALSE))</f>
        <v/>
      </c>
      <c r="I586" s="200" t="str">
        <f>IF(D586="","",VLOOKUP(F586,製品マスタ!$G$5:$L$4999,6,FALSE))</f>
        <v/>
      </c>
      <c r="J586" s="203"/>
      <c r="K586" s="200" t="str">
        <f>IF(D586="","",VLOOKUP(D586,契約台帳!$A$3:$L$4986,12,FALSE))</f>
        <v/>
      </c>
      <c r="L586" s="200" t="str">
        <f>IF(D586="","",INDEX(製品マスタ!$Q$5:$Q$4999,MATCH('S4'!F586&amp;'S4'!K586,製品マスタ!$AO$5:$AO$4999,0)))</f>
        <v/>
      </c>
      <c r="M586" s="37"/>
      <c r="N586" s="37"/>
      <c r="O586" s="153"/>
      <c r="P586" s="45"/>
      <c r="Q586" s="54"/>
      <c r="R586" s="257" t="str">
        <f ca="1">IF(D586="","",IF(OFFSET(D586,-1,0)&lt;&gt;"","",IF(OR(J586="リード付け",J586="巻足し",J586="巻返しリード付け"),M586,VLOOKUP(D586,契約台帳!$A$3:$N$4986,14,FALSE))))</f>
        <v/>
      </c>
      <c r="S586" s="258" t="str">
        <f ca="1">IF(D586="","",IF(OFFSET(D586,-1,0)&lt;&gt;"","",IF(OR(J586="リード付け",J586="巻足し",J586="巻返しリード付け"),M586,VLOOKUP(D586,契約台帳!$A$3:$O$4986,15,FALSE))))</f>
        <v/>
      </c>
      <c r="T586" s="258" t="str">
        <f ca="1">IF(D586="","",IF(J586="リード付け",N586,IF(J586="巻返しリード付け",N586,IF(J586="巻足し",N586*P586+OFFSET(N586,1,0)*OFFSET(P586,1,0),VLOOKUP(D586,契約台帳!$A$3:$P$4986,16,FALSE)))))</f>
        <v/>
      </c>
      <c r="U586" s="38"/>
      <c r="V586" s="259" t="str">
        <f ca="1">IF(D586="","",IF(OFFSET(D586,-2,0)=D586,"",VLOOKUP(D586,契約台帳!$A$3:$R$4986,18,FALSE)))</f>
        <v/>
      </c>
      <c r="W586" s="256" t="str">
        <f>IF(D586="","",IF(T586="","",IF(OR(J586="巻足し",J586="巻返しリード付け"),"",IF(J586="巻返し",VLOOKUP(F586&amp;K586&amp;M586,製品マスタ!$M$5:$AD$4999,18,FALSE),IF(OR(J586="リード付け",J586="巻返しリード付け"),"原反コア",IF(J586="スリット",VLOOKUP(F586&amp;K586&amp;R586,製品マスタ!$N$5:$AD$4999,17,FALSE),""))))))</f>
        <v/>
      </c>
      <c r="X586" s="256" t="str">
        <f>IF(D586="","",IF(T586="","",IF(J586="巻足し","",IF(J586="巻返し",VLOOKUP(F586&amp;K586&amp;M586,製品マスタ!$M$5:$AE$4999,19,FALSE),IF(OR(J586="リード付け",J586="巻返しリード付け"),"",IF(J586="スリット",VLOOKUP(F586&amp;K586&amp;R586,製品マスタ!$N$5:$AE$4999,18,FALSE),""))))))</f>
        <v/>
      </c>
      <c r="Y586" s="256" t="str">
        <f>IF(D586="","",IF(T586="","",VLOOKUP(D586,契約台帳!$A$3:$Q$4986,17,FALSE)))</f>
        <v/>
      </c>
      <c r="Z586" s="256" t="str">
        <f>IF(D586="","",IF(T586="","",VLOOKUP(D586,契約台帳!$A$3:$E$4986,5,FALSE)))</f>
        <v/>
      </c>
      <c r="AA586" s="54"/>
      <c r="AB586" s="200" t="str">
        <f>IFERROR((VLOOKUP(F586&amp;K586&amp;M586,製品マスタ!$M$5:$AM$4999,27,FALSE)),"")</f>
        <v/>
      </c>
      <c r="AC586" s="31"/>
      <c r="AD586" s="184"/>
      <c r="AE586" s="51"/>
      <c r="AF586" s="52"/>
      <c r="AG586" s="41"/>
      <c r="AH586" s="45"/>
      <c r="AI586" s="28"/>
      <c r="AJ586" s="28"/>
      <c r="AK586" s="28"/>
      <c r="AL586" s="28"/>
      <c r="AM586" s="12"/>
      <c r="AN586" s="12"/>
      <c r="AO586" s="12"/>
      <c r="AP586" s="12"/>
      <c r="AQ586" s="12"/>
      <c r="AR586" s="13"/>
      <c r="AS586" s="14"/>
    </row>
    <row r="587" spans="1:45" s="16" customFormat="1" ht="30.95" hidden="1" customHeight="1" x14ac:dyDescent="0.2">
      <c r="A587" s="35" t="s">
        <v>1137</v>
      </c>
      <c r="B587" s="36" t="s">
        <v>1111</v>
      </c>
      <c r="C587" s="43"/>
      <c r="D587" s="29">
        <v>3708712</v>
      </c>
      <c r="E587" s="29">
        <v>4161900</v>
      </c>
      <c r="F587" s="255" t="str">
        <f>IF(D587="","",VLOOKUP(D587,契約台帳!$A$3:$K$4986,6,FALSE)&amp;VLOOKUP(D587,契約台帳!$A$3:$K$4986,7,FALSE)&amp;VLOOKUP(D587,契約台帳!$A$3:$K$4986,8,FALSE)&amp;VLOOKUP(D587,契約台帳!$A$3:$K$4986,9,FALSE)&amp;VLOOKUP(D587,契約台帳!$A$3:$K$4986,11,FALSE))</f>
        <v>3SNMLBMNGTBF</v>
      </c>
      <c r="G587" s="256" t="str">
        <f>IF(D587="","",VLOOKUP(F587,製品マスタ!$G$5:$H$4999,2,FALSE))</f>
        <v>S</v>
      </c>
      <c r="H587" s="256" t="str">
        <f>IF(D587="","",VLOOKUP(F587,製品マスタ!$G$5:$K$4999,5,FALSE))</f>
        <v>MNGTBF</v>
      </c>
      <c r="I587" s="200" t="str">
        <f>IF(D587="","",VLOOKUP(F587,製品マスタ!$G$5:$L$4999,6,FALSE))</f>
        <v>メタルミー　ネーマー　銀艶　Ｂ</v>
      </c>
      <c r="J587" s="203" t="s">
        <v>1102</v>
      </c>
      <c r="K587" s="200">
        <f>IF(D587="","",VLOOKUP(D587,契約台帳!$A$3:$L$4986,12,FALSE))</f>
        <v>50</v>
      </c>
      <c r="L587" s="200" t="str">
        <f>IF(D587="","",INDEX(製品マスタ!$Q$5:$Q$4999,MATCH('S4'!F587&amp;'S4'!K587,製品マスタ!$AO$5:$AO$4999,0)))</f>
        <v>T62</v>
      </c>
      <c r="M587" s="37">
        <v>1120</v>
      </c>
      <c r="N587" s="37">
        <v>5000</v>
      </c>
      <c r="O587" s="153">
        <v>14</v>
      </c>
      <c r="P587" s="45">
        <v>2</v>
      </c>
      <c r="Q587" s="206">
        <v>45065</v>
      </c>
      <c r="R587" s="257">
        <f ca="1">IF(D587="","",IF(OFFSET(D587,-1,0)&lt;&gt;"","",IF(OR(J587="リード付け",J587="巻足し",J587="巻返しリード付け"),M587,VLOOKUP(D587,契約台帳!$A$3:$N$4986,14,FALSE))))</f>
        <v>1120</v>
      </c>
      <c r="S587" s="258">
        <f ca="1">IF(D587="","",IF(OFFSET(D587,-1,0)&lt;&gt;"","",IF(OR(J587="リード付け",J587="巻足し",J587="巻返しリード付け"),M587,VLOOKUP(D587,契約台帳!$A$3:$O$4986,15,FALSE))))</f>
        <v>1120</v>
      </c>
      <c r="T587" s="258">
        <f ca="1">IF(D587="","",IF(J587="リード付け",N587,IF(J587="巻返しリード付け",N587,IF(J587="巻足し",N587*P587+OFFSET(N587,1,0)*OFFSET(P587,1,0),VLOOKUP(D587,契約台帳!$A$3:$P$4986,16,FALSE)))))</f>
        <v>10000</v>
      </c>
      <c r="U587" s="38">
        <v>7</v>
      </c>
      <c r="V587" s="259">
        <f ca="1">IF(D587="","",IF(OFFSET(D587,-2,0)=D587,"",VLOOKUP(D587,契約台帳!$A$3:$R$4986,18,FALSE)))</f>
        <v>14</v>
      </c>
      <c r="W587" s="256" t="str">
        <f ca="1">IF(D587="","",IF(T587="","",IF(OR(J587="巻足し",J587="巻返しリード付け"),"",IF(J587="巻返し",VLOOKUP(F587&amp;K587&amp;M587,製品マスタ!$M$5:$AD$4999,18,FALSE),IF(OR(J587="リード付け",J587="巻返しリード付け"),"原反コア",IF(J587="スリット",VLOOKUP(F587&amp;K587&amp;R587,製品マスタ!$N$5:$AD$4999,17,FALSE),""))))))</f>
        <v/>
      </c>
      <c r="X587" s="256" t="str">
        <f ca="1">IF(D587="","",IF(T587="","",IF(J587="巻足し","",IF(J587="巻返し",VLOOKUP(F587&amp;K587&amp;M587,製品マスタ!$M$5:$AE$4999,19,FALSE),IF(OR(J587="リード付け",J587="巻返しリード付け"),"",IF(J587="スリット",VLOOKUP(F587&amp;K587&amp;R587,製品マスタ!$N$5:$AE$4999,18,FALSE),""))))))</f>
        <v/>
      </c>
      <c r="Y587" s="256">
        <f ca="1">IF(D587="","",IF(T587="","",VLOOKUP(D587,契約台帳!$A$3:$Q$4986,17,FALSE)))</f>
        <v>2</v>
      </c>
      <c r="Z587" s="256" t="str">
        <f ca="1">IF(D587="","",IF(T587="","",VLOOKUP(D587,契約台帳!$A$3:$E$4986,5,FALSE)))</f>
        <v>リンテック㈱</v>
      </c>
      <c r="AA587" s="54"/>
      <c r="AB587" s="200" t="str">
        <f>IFERROR((VLOOKUP(F587&amp;K587&amp;M587,製品マスタ!$M$5:$AM$4999,27,FALSE)),"")</f>
        <v>原反ケース再利用</v>
      </c>
      <c r="AC587" s="31"/>
      <c r="AD587" s="184"/>
      <c r="AE587" s="51"/>
      <c r="AF587" s="52"/>
      <c r="AG587" s="41"/>
      <c r="AH587" s="45"/>
      <c r="AI587" s="28"/>
      <c r="AJ587" s="28"/>
      <c r="AK587" s="28"/>
      <c r="AL587" s="28"/>
      <c r="AM587" s="12"/>
      <c r="AN587" s="12"/>
      <c r="AO587" s="12"/>
      <c r="AP587" s="12"/>
      <c r="AQ587" s="12"/>
      <c r="AR587" s="13"/>
      <c r="AS587" s="14"/>
    </row>
    <row r="588" spans="1:45" s="16" customFormat="1" ht="30.95" hidden="1" customHeight="1" x14ac:dyDescent="0.2">
      <c r="A588" s="35"/>
      <c r="B588" s="36"/>
      <c r="C588" s="43"/>
      <c r="D588" s="29"/>
      <c r="E588" s="29"/>
      <c r="F588" s="255" t="str">
        <f>IF(D588="","",VLOOKUP(D588,契約台帳!$A$3:$K$4986,6,FALSE)&amp;VLOOKUP(D588,契約台帳!$A$3:$K$4986,7,FALSE)&amp;VLOOKUP(D588,契約台帳!$A$3:$K$4986,8,FALSE)&amp;VLOOKUP(D588,契約台帳!$A$3:$K$4986,9,FALSE)&amp;VLOOKUP(D588,契約台帳!$A$3:$K$4986,11,FALSE))</f>
        <v/>
      </c>
      <c r="G588" s="256" t="str">
        <f>IF(D588="","",VLOOKUP(F588,製品マスタ!$G$5:$H$4999,2,FALSE))</f>
        <v/>
      </c>
      <c r="H588" s="256" t="str">
        <f>IF(D588="","",VLOOKUP(F588,製品マスタ!$G$5:$K$4999,5,FALSE))</f>
        <v/>
      </c>
      <c r="I588" s="200" t="str">
        <f>IF(D588="","",VLOOKUP(F588,製品マスタ!$G$5:$L$4999,6,FALSE))</f>
        <v/>
      </c>
      <c r="J588" s="203"/>
      <c r="K588" s="200" t="str">
        <f>IF(D588="","",VLOOKUP(D588,契約台帳!$A$3:$L$4986,12,FALSE))</f>
        <v/>
      </c>
      <c r="L588" s="200" t="str">
        <f>IF(D588="","",INDEX(製品マスタ!$Q$5:$Q$4999,MATCH('S4'!F588&amp;'S4'!K588,製品マスタ!$AO$5:$AO$4999,0)))</f>
        <v/>
      </c>
      <c r="M588" s="37"/>
      <c r="N588" s="37"/>
      <c r="O588" s="153"/>
      <c r="P588" s="45"/>
      <c r="Q588" s="54"/>
      <c r="R588" s="257" t="str">
        <f ca="1">IF(D588="","",IF(OFFSET(D588,-1,0)&lt;&gt;"","",IF(OR(J588="リード付け",J588="巻足し",J588="巻返しリード付け"),M588,VLOOKUP(D588,契約台帳!$A$3:$N$4986,14,FALSE))))</f>
        <v/>
      </c>
      <c r="S588" s="258" t="str">
        <f ca="1">IF(D588="","",IF(OFFSET(D588,-1,0)&lt;&gt;"","",IF(OR(J588="リード付け",J588="巻足し",J588="巻返しリード付け"),M588,VLOOKUP(D588,契約台帳!$A$3:$O$4986,15,FALSE))))</f>
        <v/>
      </c>
      <c r="T588" s="258" t="str">
        <f ca="1">IF(D588="","",IF(J588="リード付け",N588,IF(J588="巻返しリード付け",N588,IF(J588="巻足し",N588*P588+OFFSET(N588,1,0)*OFFSET(P588,1,0),VLOOKUP(D588,契約台帳!$A$3:$P$4986,16,FALSE)))))</f>
        <v/>
      </c>
      <c r="U588" s="38"/>
      <c r="V588" s="259" t="str">
        <f ca="1">IF(D588="","",IF(OFFSET(D588,-2,0)=D588,"",VLOOKUP(D588,契約台帳!$A$3:$R$4986,18,FALSE)))</f>
        <v/>
      </c>
      <c r="W588" s="256" t="str">
        <f>IF(D588="","",IF(T588="","",IF(OR(J588="巻足し",J588="巻返しリード付け"),"",IF(J588="巻返し",VLOOKUP(F588&amp;K588&amp;M588,製品マスタ!$M$5:$AD$4999,18,FALSE),IF(OR(J588="リード付け",J588="巻返しリード付け"),"原反コア",IF(J588="スリット",VLOOKUP(F588&amp;K588&amp;R588,製品マスタ!$N$5:$AD$4999,17,FALSE),""))))))</f>
        <v/>
      </c>
      <c r="X588" s="256" t="str">
        <f>IF(D588="","",IF(T588="","",IF(J588="巻足し","",IF(J588="巻返し",VLOOKUP(F588&amp;K588&amp;M588,製品マスタ!$M$5:$AE$4999,19,FALSE),IF(OR(J588="リード付け",J588="巻返しリード付け"),"",IF(J588="スリット",VLOOKUP(F588&amp;K588&amp;R588,製品マスタ!$N$5:$AE$4999,18,FALSE),""))))))</f>
        <v/>
      </c>
      <c r="Y588" s="256" t="str">
        <f>IF(D588="","",IF(T588="","",VLOOKUP(D588,契約台帳!$A$3:$Q$4986,17,FALSE)))</f>
        <v/>
      </c>
      <c r="Z588" s="256" t="str">
        <f>IF(D588="","",IF(T588="","",VLOOKUP(D588,契約台帳!$A$3:$E$4986,5,FALSE)))</f>
        <v/>
      </c>
      <c r="AA588" s="54"/>
      <c r="AB588" s="200" t="str">
        <f>IFERROR((VLOOKUP(F588&amp;K588&amp;M588,製品マスタ!$M$5:$AM$4999,27,FALSE)),"")</f>
        <v/>
      </c>
      <c r="AC588" s="31"/>
      <c r="AD588" s="184"/>
      <c r="AE588" s="51"/>
      <c r="AF588" s="52"/>
      <c r="AG588" s="41"/>
      <c r="AH588" s="45"/>
      <c r="AI588" s="28"/>
      <c r="AJ588" s="28"/>
      <c r="AK588" s="28"/>
      <c r="AL588" s="28"/>
      <c r="AM588" s="12"/>
      <c r="AN588" s="12"/>
      <c r="AO588" s="12"/>
      <c r="AP588" s="12"/>
      <c r="AQ588" s="12"/>
      <c r="AR588" s="13"/>
      <c r="AS588" s="14"/>
    </row>
    <row r="589" spans="1:45" s="16" customFormat="1" ht="30.95" hidden="1" customHeight="1" x14ac:dyDescent="0.2">
      <c r="A589" s="35" t="s">
        <v>1138</v>
      </c>
      <c r="B589" s="36" t="s">
        <v>1099</v>
      </c>
      <c r="C589" s="43"/>
      <c r="D589" s="29">
        <v>3708695</v>
      </c>
      <c r="E589" s="29">
        <v>4161877</v>
      </c>
      <c r="F589" s="255" t="str">
        <f>IF(D589="","",VLOOKUP(D589,契約台帳!$A$3:$K$4986,6,FALSE)&amp;VLOOKUP(D589,契約台帳!$A$3:$K$4986,7,FALSE)&amp;VLOOKUP(D589,契約台帳!$A$3:$K$4986,8,FALSE)&amp;VLOOKUP(D589,契約台帳!$A$3:$K$4986,9,FALSE)&amp;VLOOKUP(D589,契約台帳!$A$3:$K$4986,11,FALSE))</f>
        <v>3HSNMCLBEYK</v>
      </c>
      <c r="G589" s="256" t="str">
        <f>IF(D589="","",VLOOKUP(F589,製品マスタ!$G$5:$H$4999,2,FALSE))</f>
        <v>S</v>
      </c>
      <c r="H589" s="256" t="str">
        <f>IF(D589="","",VLOOKUP(F589,製品マスタ!$G$5:$K$4999,5,FALSE))</f>
        <v>EYK</v>
      </c>
      <c r="I589" s="200" t="str">
        <f>IF(D589="","",VLOOKUP(F589,製品マスタ!$G$5:$L$4999,6,FALSE))</f>
        <v>メタルミー　ＥＹＫ</v>
      </c>
      <c r="J589" s="203" t="s">
        <v>1102</v>
      </c>
      <c r="K589" s="200">
        <f>IF(D589="","",VLOOKUP(D589,契約台帳!$A$3:$L$4986,12,FALSE))</f>
        <v>50</v>
      </c>
      <c r="L589" s="200" t="str">
        <f>IF(D589="","",INDEX(製品マスタ!$Q$5:$Q$4999,MATCH('S4'!F589&amp;'S4'!K589,製品マスタ!$AO$5:$AO$4999,0)))</f>
        <v>T62M</v>
      </c>
      <c r="M589" s="37">
        <v>1195</v>
      </c>
      <c r="N589" s="37">
        <v>6100</v>
      </c>
      <c r="O589" s="153">
        <v>20</v>
      </c>
      <c r="P589" s="45">
        <v>2</v>
      </c>
      <c r="Q589" s="206">
        <v>45068</v>
      </c>
      <c r="R589" s="257">
        <f ca="1">IF(D589="","",IF(OFFSET(D589,-1,0)&lt;&gt;"","",IF(OR(J589="リード付け",J589="巻足し",J589="巻返しリード付け"),M589,VLOOKUP(D589,契約台帳!$A$3:$N$4986,14,FALSE))))</f>
        <v>1195</v>
      </c>
      <c r="S589" s="258">
        <f ca="1">IF(D589="","",IF(OFFSET(D589,-1,0)&lt;&gt;"","",IF(OR(J589="リード付け",J589="巻足し",J589="巻返しリード付け"),M589,VLOOKUP(D589,契約台帳!$A$3:$O$4986,15,FALSE))))</f>
        <v>1195</v>
      </c>
      <c r="T589" s="258">
        <f ca="1">IF(D589="","",IF(J589="リード付け",N589,IF(J589="巻返しリード付け",N589,IF(J589="巻足し",N589*P589+OFFSET(N589,1,0)*OFFSET(P589,1,0),VLOOKUP(D589,契約台帳!$A$3:$P$4986,16,FALSE)))))</f>
        <v>12200</v>
      </c>
      <c r="U589" s="38">
        <v>10</v>
      </c>
      <c r="V589" s="259">
        <f ca="1">IF(D589="","",IF(OFFSET(D589,-2,0)=D589,"",VLOOKUP(D589,契約台帳!$A$3:$R$4986,18,FALSE)))</f>
        <v>30</v>
      </c>
      <c r="W589" s="256" t="str">
        <f ca="1">IF(D589="","",IF(T589="","",IF(OR(J589="巻足し",J589="巻返しリード付け"),"",IF(J589="巻返し",VLOOKUP(F589&amp;K589&amp;M589,製品マスタ!$M$5:$AD$4999,18,FALSE),IF(OR(J589="リード付け",J589="巻返しリード付け"),"原反コア",IF(J589="スリット",VLOOKUP(F589&amp;K589&amp;R589,製品マスタ!$N$5:$AD$4999,17,FALSE),""))))))</f>
        <v/>
      </c>
      <c r="X589" s="256" t="str">
        <f ca="1">IF(D589="","",IF(T589="","",IF(J589="巻足し","",IF(J589="巻返し",VLOOKUP(F589&amp;K589&amp;M589,製品マスタ!$M$5:$AE$4999,19,FALSE),IF(OR(J589="リード付け",J589="巻返しリード付け"),"",IF(J589="スリット",VLOOKUP(F589&amp;K589&amp;R589,製品マスタ!$N$5:$AE$4999,18,FALSE),""))))))</f>
        <v/>
      </c>
      <c r="Y589" s="256">
        <f ca="1">IF(D589="","",IF(T589="","",VLOOKUP(D589,契約台帳!$A$3:$Q$4986,17,FALSE)))</f>
        <v>2</v>
      </c>
      <c r="Z589" s="256" t="str">
        <f ca="1">IF(D589="","",IF(T589="","",VLOOKUP(D589,契約台帳!$A$3:$E$4986,5,FALSE)))</f>
        <v>大阪シーリング印刷㈱</v>
      </c>
      <c r="AA589" s="54"/>
      <c r="AB589" s="200" t="str">
        <f>IFERROR((VLOOKUP(F589&amp;K589&amp;M589,製品マスタ!$M$5:$AM$4999,27,FALSE)),"")</f>
        <v>原反ケース再利用</v>
      </c>
      <c r="AC589" s="31"/>
      <c r="AD589" s="184"/>
      <c r="AE589" s="51"/>
      <c r="AF589" s="52"/>
      <c r="AG589" s="41"/>
      <c r="AH589" s="45"/>
      <c r="AI589" s="28"/>
      <c r="AJ589" s="28"/>
      <c r="AK589" s="28"/>
      <c r="AL589" s="28"/>
      <c r="AM589" s="12"/>
      <c r="AN589" s="12"/>
      <c r="AO589" s="12"/>
      <c r="AP589" s="12"/>
      <c r="AQ589" s="12"/>
      <c r="AR589" s="13"/>
      <c r="AS589" s="14"/>
    </row>
    <row r="590" spans="1:45" s="16" customFormat="1" ht="30.95" hidden="1" customHeight="1" x14ac:dyDescent="0.2">
      <c r="A590" s="35"/>
      <c r="B590" s="36"/>
      <c r="C590" s="43"/>
      <c r="D590" s="29"/>
      <c r="E590" s="29"/>
      <c r="F590" s="255" t="str">
        <f>IF(D590="","",VLOOKUP(D590,契約台帳!$A$3:$K$4986,6,FALSE)&amp;VLOOKUP(D590,契約台帳!$A$3:$K$4986,7,FALSE)&amp;VLOOKUP(D590,契約台帳!$A$3:$K$4986,8,FALSE)&amp;VLOOKUP(D590,契約台帳!$A$3:$K$4986,9,FALSE)&amp;VLOOKUP(D590,契約台帳!$A$3:$K$4986,11,FALSE))</f>
        <v/>
      </c>
      <c r="G590" s="256" t="str">
        <f>IF(D590="","",VLOOKUP(F590,製品マスタ!$G$5:$H$4999,2,FALSE))</f>
        <v/>
      </c>
      <c r="H590" s="256" t="str">
        <f>IF(D590="","",VLOOKUP(F590,製品マスタ!$G$5:$K$4999,5,FALSE))</f>
        <v/>
      </c>
      <c r="I590" s="200" t="str">
        <f>IF(D590="","",VLOOKUP(F590,製品マスタ!$G$5:$L$4999,6,FALSE))</f>
        <v/>
      </c>
      <c r="J590" s="203"/>
      <c r="K590" s="200" t="str">
        <f>IF(D590="","",VLOOKUP(D590,契約台帳!$A$3:$L$4986,12,FALSE))</f>
        <v/>
      </c>
      <c r="L590" s="200" t="str">
        <f>IF(D590="","",INDEX(製品マスタ!$Q$5:$Q$4999,MATCH('S4'!F590&amp;'S4'!K590,製品マスタ!$AO$5:$AO$4999,0)))</f>
        <v/>
      </c>
      <c r="M590" s="37"/>
      <c r="N590" s="37"/>
      <c r="O590" s="153"/>
      <c r="P590" s="45"/>
      <c r="Q590" s="54"/>
      <c r="R590" s="257" t="str">
        <f ca="1">IF(D590="","",IF(OFFSET(D590,-1,0)&lt;&gt;"","",IF(OR(J590="リード付け",J590="巻足し",J590="巻返しリード付け"),M590,VLOOKUP(D590,契約台帳!$A$3:$N$4986,14,FALSE))))</f>
        <v/>
      </c>
      <c r="S590" s="258" t="str">
        <f ca="1">IF(D590="","",IF(OFFSET(D590,-1,0)&lt;&gt;"","",IF(OR(J590="リード付け",J590="巻足し",J590="巻返しリード付け"),M590,VLOOKUP(D590,契約台帳!$A$3:$O$4986,15,FALSE))))</f>
        <v/>
      </c>
      <c r="T590" s="258" t="str">
        <f ca="1">IF(D590="","",IF(J590="リード付け",N590,IF(J590="巻返しリード付け",N590,IF(J590="巻足し",N590*P590+OFFSET(N590,1,0)*OFFSET(P590,1,0),VLOOKUP(D590,契約台帳!$A$3:$P$4986,16,FALSE)))))</f>
        <v/>
      </c>
      <c r="U590" s="38"/>
      <c r="V590" s="259" t="str">
        <f ca="1">IF(D590="","",IF(OFFSET(D590,-2,0)=D590,"",VLOOKUP(D590,契約台帳!$A$3:$R$4986,18,FALSE)))</f>
        <v/>
      </c>
      <c r="W590" s="256" t="str">
        <f>IF(D590="","",IF(T590="","",IF(OR(J590="巻足し",J590="巻返しリード付け"),"",IF(J590="巻返し",VLOOKUP(F590&amp;K590&amp;M590,製品マスタ!$M$5:$AD$4999,18,FALSE),IF(OR(J590="リード付け",J590="巻返しリード付け"),"原反コア",IF(J590="スリット",VLOOKUP(F590&amp;K590&amp;R590,製品マスタ!$N$5:$AD$4999,17,FALSE),""))))))</f>
        <v/>
      </c>
      <c r="X590" s="256" t="str">
        <f>IF(D590="","",IF(T590="","",IF(J590="巻足し","",IF(J590="巻返し",VLOOKUP(F590&amp;K590&amp;M590,製品マスタ!$M$5:$AE$4999,19,FALSE),IF(OR(J590="リード付け",J590="巻返しリード付け"),"",IF(J590="スリット",VLOOKUP(F590&amp;K590&amp;R590,製品マスタ!$N$5:$AE$4999,18,FALSE),""))))))</f>
        <v/>
      </c>
      <c r="Y590" s="256" t="str">
        <f>IF(D590="","",IF(T590="","",VLOOKUP(D590,契約台帳!$A$3:$Q$4986,17,FALSE)))</f>
        <v/>
      </c>
      <c r="Z590" s="256" t="str">
        <f>IF(D590="","",IF(T590="","",VLOOKUP(D590,契約台帳!$A$3:$E$4986,5,FALSE)))</f>
        <v/>
      </c>
      <c r="AA590" s="54"/>
      <c r="AB590" s="200" t="str">
        <f>IFERROR((VLOOKUP(F590&amp;K590&amp;M590,製品マスタ!$M$5:$AM$4999,27,FALSE)),"")</f>
        <v/>
      </c>
      <c r="AC590" s="31"/>
      <c r="AD590" s="184"/>
      <c r="AE590" s="51"/>
      <c r="AF590" s="52"/>
      <c r="AG590" s="41"/>
      <c r="AH590" s="45"/>
      <c r="AI590" s="28"/>
      <c r="AJ590" s="28"/>
      <c r="AK590" s="28"/>
      <c r="AL590" s="28"/>
      <c r="AM590" s="12"/>
      <c r="AN590" s="12"/>
      <c r="AO590" s="12"/>
      <c r="AP590" s="12"/>
      <c r="AQ590" s="12"/>
      <c r="AR590" s="13"/>
      <c r="AS590" s="14"/>
    </row>
    <row r="591" spans="1:45" s="16" customFormat="1" ht="30.95" hidden="1" customHeight="1" x14ac:dyDescent="0.2">
      <c r="A591" s="35" t="s">
        <v>1139</v>
      </c>
      <c r="B591" s="36" t="s">
        <v>1101</v>
      </c>
      <c r="C591" s="43"/>
      <c r="D591" s="29">
        <v>3708695</v>
      </c>
      <c r="E591" s="29">
        <v>4161877</v>
      </c>
      <c r="F591" s="255" t="str">
        <f>IF(D591="","",VLOOKUP(D591,契約台帳!$A$3:$K$4986,6,FALSE)&amp;VLOOKUP(D591,契約台帳!$A$3:$K$4986,7,FALSE)&amp;VLOOKUP(D591,契約台帳!$A$3:$K$4986,8,FALSE)&amp;VLOOKUP(D591,契約台帳!$A$3:$K$4986,9,FALSE)&amp;VLOOKUP(D591,契約台帳!$A$3:$K$4986,11,FALSE))</f>
        <v>3HSNMCLBEYK</v>
      </c>
      <c r="G591" s="256" t="str">
        <f>IF(D591="","",VLOOKUP(F591,製品マスタ!$G$5:$H$4999,2,FALSE))</f>
        <v>S</v>
      </c>
      <c r="H591" s="256" t="str">
        <f>IF(D591="","",VLOOKUP(F591,製品マスタ!$G$5:$K$4999,5,FALSE))</f>
        <v>EYK</v>
      </c>
      <c r="I591" s="200" t="str">
        <f>IF(D591="","",VLOOKUP(F591,製品マスタ!$G$5:$L$4999,6,FALSE))</f>
        <v>メタルミー　ＥＹＫ</v>
      </c>
      <c r="J591" s="203" t="s">
        <v>1102</v>
      </c>
      <c r="K591" s="200">
        <f>IF(D591="","",VLOOKUP(D591,契約台帳!$A$3:$L$4986,12,FALSE))</f>
        <v>50</v>
      </c>
      <c r="L591" s="200" t="str">
        <f>IF(D591="","",INDEX(製品マスタ!$Q$5:$Q$4999,MATCH('S4'!F591&amp;'S4'!K591,製品マスタ!$AO$5:$AO$4999,0)))</f>
        <v>T62M</v>
      </c>
      <c r="M591" s="37">
        <v>1195</v>
      </c>
      <c r="N591" s="37">
        <v>6100</v>
      </c>
      <c r="O591" s="153">
        <v>10</v>
      </c>
      <c r="P591" s="45">
        <v>2</v>
      </c>
      <c r="Q591" s="206">
        <v>45068</v>
      </c>
      <c r="R591" s="257">
        <f ca="1">IF(D591="","",IF(OFFSET(D591,-1,0)&lt;&gt;"","",IF(OR(J591="リード付け",J591="巻足し",J591="巻返しリード付け"),M591,VLOOKUP(D591,契約台帳!$A$3:$N$4986,14,FALSE))))</f>
        <v>1195</v>
      </c>
      <c r="S591" s="258">
        <f ca="1">IF(D591="","",IF(OFFSET(D591,-1,0)&lt;&gt;"","",IF(OR(J591="リード付け",J591="巻足し",J591="巻返しリード付け"),M591,VLOOKUP(D591,契約台帳!$A$3:$O$4986,15,FALSE))))</f>
        <v>1195</v>
      </c>
      <c r="T591" s="258">
        <f ca="1">IF(D591="","",IF(J591="リード付け",N591,IF(J591="巻返しリード付け",N591,IF(J591="巻足し",N591*P591+OFFSET(N591,1,0)*OFFSET(P591,1,0),VLOOKUP(D591,契約台帳!$A$3:$P$4986,16,FALSE)))))</f>
        <v>12200</v>
      </c>
      <c r="U591" s="38">
        <v>5</v>
      </c>
      <c r="V591" s="259" t="str">
        <f ca="1">IF(D591="","",IF(OFFSET(D591,-2,0)=D591,"",VLOOKUP(D591,契約台帳!$A$3:$R$4986,18,FALSE)))</f>
        <v/>
      </c>
      <c r="W591" s="256" t="str">
        <f ca="1">IF(D591="","",IF(T591="","",IF(OR(J591="巻足し",J591="巻返しリード付け"),"",IF(J591="巻返し",VLOOKUP(F591&amp;K591&amp;M591,製品マスタ!$M$5:$AD$4999,18,FALSE),IF(OR(J591="リード付け",J591="巻返しリード付け"),"原反コア",IF(J591="スリット",VLOOKUP(F591&amp;K591&amp;R591,製品マスタ!$N$5:$AD$4999,17,FALSE),""))))))</f>
        <v/>
      </c>
      <c r="X591" s="256" t="str">
        <f ca="1">IF(D591="","",IF(T591="","",IF(J591="巻足し","",IF(J591="巻返し",VLOOKUP(F591&amp;K591&amp;M591,製品マスタ!$M$5:$AE$4999,19,FALSE),IF(OR(J591="リード付け",J591="巻返しリード付け"),"",IF(J591="スリット",VLOOKUP(F591&amp;K591&amp;R591,製品マスタ!$N$5:$AE$4999,18,FALSE),""))))))</f>
        <v/>
      </c>
      <c r="Y591" s="256">
        <f ca="1">IF(D591="","",IF(T591="","",VLOOKUP(D591,契約台帳!$A$3:$Q$4986,17,FALSE)))</f>
        <v>2</v>
      </c>
      <c r="Z591" s="256" t="str">
        <f ca="1">IF(D591="","",IF(T591="","",VLOOKUP(D591,契約台帳!$A$3:$E$4986,5,FALSE)))</f>
        <v>大阪シーリング印刷㈱</v>
      </c>
      <c r="AA591" s="54"/>
      <c r="AB591" s="200" t="str">
        <f>IFERROR((VLOOKUP(F591&amp;K591&amp;M591,製品マスタ!$M$5:$AM$4999,27,FALSE)),"")</f>
        <v>原反ケース再利用</v>
      </c>
      <c r="AC591" s="31"/>
      <c r="AD591" s="184"/>
      <c r="AE591" s="51"/>
      <c r="AF591" s="52"/>
      <c r="AG591" s="41"/>
      <c r="AH591" s="45"/>
      <c r="AI591" s="28"/>
      <c r="AJ591" s="28"/>
      <c r="AK591" s="28"/>
      <c r="AL591" s="28"/>
      <c r="AM591" s="12"/>
      <c r="AN591" s="12"/>
      <c r="AO591" s="12"/>
      <c r="AP591" s="12"/>
      <c r="AQ591" s="12"/>
      <c r="AR591" s="13"/>
      <c r="AS591" s="14"/>
    </row>
    <row r="592" spans="1:45" s="16" customFormat="1" ht="30.95" hidden="1" customHeight="1" x14ac:dyDescent="0.2">
      <c r="A592" s="35"/>
      <c r="B592" s="36"/>
      <c r="C592" s="43"/>
      <c r="D592" s="29"/>
      <c r="E592" s="29"/>
      <c r="F592" s="255" t="str">
        <f>IF(D592="","",VLOOKUP(D592,契約台帳!$A$3:$K$4986,6,FALSE)&amp;VLOOKUP(D592,契約台帳!$A$3:$K$4986,7,FALSE)&amp;VLOOKUP(D592,契約台帳!$A$3:$K$4986,8,FALSE)&amp;VLOOKUP(D592,契約台帳!$A$3:$K$4986,9,FALSE)&amp;VLOOKUP(D592,契約台帳!$A$3:$K$4986,11,FALSE))</f>
        <v/>
      </c>
      <c r="G592" s="256" t="str">
        <f>IF(D592="","",VLOOKUP(F592,製品マスタ!$G$5:$H$4999,2,FALSE))</f>
        <v/>
      </c>
      <c r="H592" s="256" t="str">
        <f>IF(D592="","",VLOOKUP(F592,製品マスタ!$G$5:$K$4999,5,FALSE))</f>
        <v/>
      </c>
      <c r="I592" s="200" t="str">
        <f>IF(D592="","",VLOOKUP(F592,製品マスタ!$G$5:$L$4999,6,FALSE))</f>
        <v/>
      </c>
      <c r="J592" s="203"/>
      <c r="K592" s="200" t="str">
        <f>IF(D592="","",VLOOKUP(D592,契約台帳!$A$3:$L$4986,12,FALSE))</f>
        <v/>
      </c>
      <c r="L592" s="200" t="str">
        <f>IF(D592="","",INDEX(製品マスタ!$Q$5:$Q$4999,MATCH('S4'!F592&amp;'S4'!K592,製品マスタ!$AO$5:$AO$4999,0)))</f>
        <v/>
      </c>
      <c r="M592" s="37"/>
      <c r="N592" s="37"/>
      <c r="O592" s="153"/>
      <c r="P592" s="45"/>
      <c r="Q592" s="54"/>
      <c r="R592" s="257" t="str">
        <f ca="1">IF(D592="","",IF(OFFSET(D592,-1,0)&lt;&gt;"","",IF(OR(J592="リード付け",J592="巻足し",J592="巻返しリード付け"),M592,VLOOKUP(D592,契約台帳!$A$3:$N$4986,14,FALSE))))</f>
        <v/>
      </c>
      <c r="S592" s="258" t="str">
        <f ca="1">IF(D592="","",IF(OFFSET(D592,-1,0)&lt;&gt;"","",IF(OR(J592="リード付け",J592="巻足し",J592="巻返しリード付け"),M592,VLOOKUP(D592,契約台帳!$A$3:$O$4986,15,FALSE))))</f>
        <v/>
      </c>
      <c r="T592" s="258" t="str">
        <f ca="1">IF(D592="","",IF(J592="リード付け",N592,IF(J592="巻返しリード付け",N592,IF(J592="巻足し",N592*P592+OFFSET(N592,1,0)*OFFSET(P592,1,0),VLOOKUP(D592,契約台帳!$A$3:$P$4986,16,FALSE)))))</f>
        <v/>
      </c>
      <c r="U592" s="38"/>
      <c r="V592" s="259" t="str">
        <f ca="1">IF(D592="","",IF(OFFSET(D592,-2,0)=D592,"",VLOOKUP(D592,契約台帳!$A$3:$R$4986,18,FALSE)))</f>
        <v/>
      </c>
      <c r="W592" s="256" t="str">
        <f>IF(D592="","",IF(T592="","",IF(OR(J592="巻足し",J592="巻返しリード付け"),"",IF(J592="巻返し",VLOOKUP(F592&amp;K592&amp;M592,製品マスタ!$M$5:$AD$4999,18,FALSE),IF(OR(J592="リード付け",J592="巻返しリード付け"),"原反コア",IF(J592="スリット",VLOOKUP(F592&amp;K592&amp;R592,製品マスタ!$N$5:$AD$4999,17,FALSE),""))))))</f>
        <v/>
      </c>
      <c r="X592" s="256" t="str">
        <f>IF(D592="","",IF(T592="","",IF(J592="巻足し","",IF(J592="巻返し",VLOOKUP(F592&amp;K592&amp;M592,製品マスタ!$M$5:$AE$4999,19,FALSE),IF(OR(J592="リード付け",J592="巻返しリード付け"),"",IF(J592="スリット",VLOOKUP(F592&amp;K592&amp;R592,製品マスタ!$N$5:$AE$4999,18,FALSE),""))))))</f>
        <v/>
      </c>
      <c r="Y592" s="256" t="str">
        <f>IF(D592="","",IF(T592="","",VLOOKUP(D592,契約台帳!$A$3:$Q$4986,17,FALSE)))</f>
        <v/>
      </c>
      <c r="Z592" s="256" t="str">
        <f>IF(D592="","",IF(T592="","",VLOOKUP(D592,契約台帳!$A$3:$E$4986,5,FALSE)))</f>
        <v/>
      </c>
      <c r="AA592" s="54"/>
      <c r="AB592" s="200" t="str">
        <f>IFERROR((VLOOKUP(F592&amp;K592&amp;M592,製品マスタ!$M$5:$AM$4999,27,FALSE)),"")</f>
        <v/>
      </c>
      <c r="AC592" s="31"/>
      <c r="AD592" s="184"/>
      <c r="AE592" s="51"/>
      <c r="AF592" s="52"/>
      <c r="AG592" s="41"/>
      <c r="AH592" s="45"/>
      <c r="AI592" s="28"/>
      <c r="AJ592" s="28"/>
      <c r="AK592" s="28"/>
      <c r="AL592" s="28"/>
      <c r="AM592" s="12"/>
      <c r="AN592" s="12"/>
      <c r="AO592" s="12"/>
      <c r="AP592" s="12"/>
      <c r="AQ592" s="12"/>
      <c r="AR592" s="13"/>
      <c r="AS592" s="14"/>
    </row>
    <row r="593" spans="1:45" s="16" customFormat="1" ht="30.95" hidden="1" customHeight="1" x14ac:dyDescent="0.2">
      <c r="A593" s="35" t="s">
        <v>1140</v>
      </c>
      <c r="B593" s="36" t="s">
        <v>1103</v>
      </c>
      <c r="C593" s="43"/>
      <c r="D593" s="29"/>
      <c r="E593" s="29"/>
      <c r="F593" s="255" t="str">
        <f>IF(D593="","",VLOOKUP(D593,契約台帳!$A$3:$K$4986,6,FALSE)&amp;VLOOKUP(D593,契約台帳!$A$3:$K$4986,7,FALSE)&amp;VLOOKUP(D593,契約台帳!$A$3:$K$4986,8,FALSE)&amp;VLOOKUP(D593,契約台帳!$A$3:$K$4986,9,FALSE)&amp;VLOOKUP(D593,契約台帳!$A$3:$K$4986,11,FALSE))</f>
        <v/>
      </c>
      <c r="G593" s="256" t="str">
        <f>IF(D593="","",VLOOKUP(F593,製品マスタ!$G$5:$H$4999,2,FALSE))</f>
        <v/>
      </c>
      <c r="H593" s="256" t="str">
        <f>IF(D593="","",VLOOKUP(F593,製品マスタ!$G$5:$K$4999,5,FALSE))</f>
        <v/>
      </c>
      <c r="I593" s="200" t="str">
        <f>IF(D593="","",VLOOKUP(F593,製品マスタ!$G$5:$L$4999,6,FALSE))</f>
        <v/>
      </c>
      <c r="J593" s="203" t="s">
        <v>489</v>
      </c>
      <c r="K593" s="200" t="str">
        <f>IF(D593="","",VLOOKUP(D593,契約台帳!$A$3:$L$4986,12,FALSE))</f>
        <v/>
      </c>
      <c r="L593" s="200" t="str">
        <f>IF(D593="","",INDEX(製品マスタ!$Q$5:$Q$4999,MATCH('S4'!F593&amp;'S4'!K593,製品マスタ!$AO$5:$AO$4999,0)))</f>
        <v/>
      </c>
      <c r="M593" s="37"/>
      <c r="N593" s="37"/>
      <c r="O593" s="153"/>
      <c r="P593" s="45"/>
      <c r="Q593" s="54"/>
      <c r="R593" s="257" t="str">
        <f ca="1">IF(D593="","",IF(OFFSET(D593,-1,0)&lt;&gt;"","",IF(OR(J593="リード付け",J593="巻足し",J593="巻返しリード付け"),M593,VLOOKUP(D593,契約台帳!$A$3:$N$4986,14,FALSE))))</f>
        <v/>
      </c>
      <c r="S593" s="258" t="str">
        <f ca="1">IF(D593="","",IF(OFFSET(D593,-1,0)&lt;&gt;"","",IF(OR(J593="リード付け",J593="巻足し",J593="巻返しリード付け"),M593,VLOOKUP(D593,契約台帳!$A$3:$O$4986,15,FALSE))))</f>
        <v/>
      </c>
      <c r="T593" s="258" t="str">
        <f ca="1">IF(D593="","",IF(J593="リード付け",N593,IF(J593="巻返しリード付け",N593,IF(J593="巻足し",N593*P593+OFFSET(N593,1,0)*OFFSET(P593,1,0),VLOOKUP(D593,契約台帳!$A$3:$P$4986,16,FALSE)))))</f>
        <v/>
      </c>
      <c r="U593" s="38"/>
      <c r="V593" s="259" t="str">
        <f ca="1">IF(D593="","",IF(OFFSET(D593,-2,0)=D593,"",VLOOKUP(D593,契約台帳!$A$3:$R$4986,18,FALSE)))</f>
        <v/>
      </c>
      <c r="W593" s="256" t="str">
        <f>IF(D593="","",IF(T593="","",IF(OR(J593="巻足し",J593="巻返しリード付け"),"",IF(J593="巻返し",VLOOKUP(F593&amp;K593&amp;M593,製品マスタ!$M$5:$AD$4999,18,FALSE),IF(OR(J593="リード付け",J593="巻返しリード付け"),"原反コア",IF(J593="スリット",VLOOKUP(F593&amp;K593&amp;R593,製品マスタ!$N$5:$AD$4999,17,FALSE),""))))))</f>
        <v/>
      </c>
      <c r="X593" s="256" t="str">
        <f>IF(D593="","",IF(T593="","",IF(J593="巻足し","",IF(J593="巻返し",VLOOKUP(F593&amp;K593&amp;M593,製品マスタ!$M$5:$AE$4999,19,FALSE),IF(OR(J593="リード付け",J593="巻返しリード付け"),"",IF(J593="スリット",VLOOKUP(F593&amp;K593&amp;R593,製品マスタ!$N$5:$AE$4999,18,FALSE),""))))))</f>
        <v/>
      </c>
      <c r="Y593" s="256" t="str">
        <f>IF(D593="","",IF(T593="","",VLOOKUP(D593,契約台帳!$A$3:$Q$4986,17,FALSE)))</f>
        <v/>
      </c>
      <c r="Z593" s="256" t="str">
        <f>IF(D593="","",IF(T593="","",VLOOKUP(D593,契約台帳!$A$3:$E$4986,5,FALSE)))</f>
        <v/>
      </c>
      <c r="AA593" s="54"/>
      <c r="AB593" s="200" t="str">
        <f>IFERROR((VLOOKUP(F593&amp;K593&amp;M593,製品マスタ!$M$5:$AM$4999,27,FALSE)),"")</f>
        <v/>
      </c>
      <c r="AC593" s="31"/>
      <c r="AD593" s="184"/>
      <c r="AE593" s="51"/>
      <c r="AF593" s="52"/>
      <c r="AG593" s="41"/>
      <c r="AH593" s="45"/>
      <c r="AI593" s="28"/>
      <c r="AJ593" s="28"/>
      <c r="AK593" s="28"/>
      <c r="AL593" s="28"/>
      <c r="AM593" s="12"/>
      <c r="AN593" s="12"/>
      <c r="AO593" s="12"/>
      <c r="AP593" s="12"/>
      <c r="AQ593" s="12"/>
      <c r="AR593" s="13"/>
      <c r="AS593" s="14"/>
    </row>
    <row r="594" spans="1:45" s="16" customFormat="1" ht="30.95" hidden="1" customHeight="1" x14ac:dyDescent="0.2">
      <c r="A594" s="35"/>
      <c r="B594" s="36"/>
      <c r="C594" s="43"/>
      <c r="D594" s="29"/>
      <c r="E594" s="29"/>
      <c r="F594" s="255" t="str">
        <f>IF(D594="","",VLOOKUP(D594,契約台帳!$A$3:$K$4986,6,FALSE)&amp;VLOOKUP(D594,契約台帳!$A$3:$K$4986,7,FALSE)&amp;VLOOKUP(D594,契約台帳!$A$3:$K$4986,8,FALSE)&amp;VLOOKUP(D594,契約台帳!$A$3:$K$4986,9,FALSE)&amp;VLOOKUP(D594,契約台帳!$A$3:$K$4986,11,FALSE))</f>
        <v/>
      </c>
      <c r="G594" s="256" t="str">
        <f>IF(D594="","",VLOOKUP(F594,製品マスタ!$G$5:$H$4999,2,FALSE))</f>
        <v/>
      </c>
      <c r="H594" s="256" t="str">
        <f>IF(D594="","",VLOOKUP(F594,製品マスタ!$G$5:$K$4999,5,FALSE))</f>
        <v/>
      </c>
      <c r="I594" s="200" t="str">
        <f>IF(D594="","",VLOOKUP(F594,製品マスタ!$G$5:$L$4999,6,FALSE))</f>
        <v/>
      </c>
      <c r="J594" s="203"/>
      <c r="K594" s="200" t="str">
        <f>IF(D594="","",VLOOKUP(D594,契約台帳!$A$3:$L$4986,12,FALSE))</f>
        <v/>
      </c>
      <c r="L594" s="200" t="str">
        <f>IF(D594="","",INDEX(製品マスタ!$Q$5:$Q$4999,MATCH('S4'!F594&amp;'S4'!K594,製品マスタ!$AO$5:$AO$4999,0)))</f>
        <v/>
      </c>
      <c r="M594" s="37"/>
      <c r="N594" s="37"/>
      <c r="O594" s="153"/>
      <c r="P594" s="45"/>
      <c r="Q594" s="54"/>
      <c r="R594" s="257" t="str">
        <f ca="1">IF(D594="","",IF(OFFSET(D594,-1,0)&lt;&gt;"","",IF(OR(J594="リード付け",J594="巻足し",J594="巻返しリード付け"),M594,VLOOKUP(D594,契約台帳!$A$3:$N$4986,14,FALSE))))</f>
        <v/>
      </c>
      <c r="S594" s="258" t="str">
        <f ca="1">IF(D594="","",IF(OFFSET(D594,-1,0)&lt;&gt;"","",IF(OR(J594="リード付け",J594="巻足し",J594="巻返しリード付け"),M594,VLOOKUP(D594,契約台帳!$A$3:$O$4986,15,FALSE))))</f>
        <v/>
      </c>
      <c r="T594" s="258" t="str">
        <f ca="1">IF(D594="","",IF(J594="リード付け",N594,IF(J594="巻返しリード付け",N594,IF(J594="巻足し",N594*P594+OFFSET(N594,1,0)*OFFSET(P594,1,0),VLOOKUP(D594,契約台帳!$A$3:$P$4986,16,FALSE)))))</f>
        <v/>
      </c>
      <c r="U594" s="38"/>
      <c r="V594" s="259" t="str">
        <f ca="1">IF(D594="","",IF(OFFSET(D594,-2,0)=D594,"",VLOOKUP(D594,契約台帳!$A$3:$R$4986,18,FALSE)))</f>
        <v/>
      </c>
      <c r="W594" s="256" t="str">
        <f>IF(D594="","",IF(T594="","",IF(OR(J594="巻足し",J594="巻返しリード付け"),"",IF(J594="巻返し",VLOOKUP(F594&amp;K594&amp;M594,製品マスタ!$M$5:$AD$4999,18,FALSE),IF(OR(J594="リード付け",J594="巻返しリード付け"),"原反コア",IF(J594="スリット",VLOOKUP(F594&amp;K594&amp;R594,製品マスタ!$N$5:$AD$4999,17,FALSE),""))))))</f>
        <v/>
      </c>
      <c r="X594" s="256" t="str">
        <f>IF(D594="","",IF(T594="","",IF(J594="巻足し","",IF(J594="巻返し",VLOOKUP(F594&amp;K594&amp;M594,製品マスタ!$M$5:$AE$4999,19,FALSE),IF(OR(J594="リード付け",J594="巻返しリード付け"),"",IF(J594="スリット",VLOOKUP(F594&amp;K594&amp;R594,製品マスタ!$N$5:$AE$4999,18,FALSE),""))))))</f>
        <v/>
      </c>
      <c r="Y594" s="256" t="str">
        <f>IF(D594="","",IF(T594="","",VLOOKUP(D594,契約台帳!$A$3:$Q$4986,17,FALSE)))</f>
        <v/>
      </c>
      <c r="Z594" s="256" t="str">
        <f>IF(D594="","",IF(T594="","",VLOOKUP(D594,契約台帳!$A$3:$E$4986,5,FALSE)))</f>
        <v/>
      </c>
      <c r="AA594" s="54"/>
      <c r="AB594" s="200" t="str">
        <f>IFERROR((VLOOKUP(F594&amp;K594&amp;M594,製品マスタ!$M$5:$AM$4999,27,FALSE)),"")</f>
        <v/>
      </c>
      <c r="AC594" s="31"/>
      <c r="AD594" s="184"/>
      <c r="AE594" s="51"/>
      <c r="AF594" s="52"/>
      <c r="AG594" s="41"/>
      <c r="AH594" s="45"/>
      <c r="AI594" s="28"/>
      <c r="AJ594" s="28"/>
      <c r="AK594" s="28"/>
      <c r="AL594" s="28"/>
      <c r="AM594" s="12"/>
      <c r="AN594" s="12"/>
      <c r="AO594" s="12"/>
      <c r="AP594" s="12"/>
      <c r="AQ594" s="12"/>
      <c r="AR594" s="13"/>
      <c r="AS594" s="14"/>
    </row>
    <row r="595" spans="1:45" s="16" customFormat="1" ht="30.95" hidden="1" customHeight="1" x14ac:dyDescent="0.2">
      <c r="A595" s="35" t="s">
        <v>1141</v>
      </c>
      <c r="B595" s="36" t="s">
        <v>1105</v>
      </c>
      <c r="C595" s="43"/>
      <c r="D595" s="29"/>
      <c r="E595" s="29"/>
      <c r="F595" s="255" t="str">
        <f>IF(D595="","",VLOOKUP(D595,契約台帳!$A$3:$K$4986,6,FALSE)&amp;VLOOKUP(D595,契約台帳!$A$3:$K$4986,7,FALSE)&amp;VLOOKUP(D595,契約台帳!$A$3:$K$4986,8,FALSE)&amp;VLOOKUP(D595,契約台帳!$A$3:$K$4986,9,FALSE)&amp;VLOOKUP(D595,契約台帳!$A$3:$K$4986,11,FALSE))</f>
        <v/>
      </c>
      <c r="G595" s="256" t="str">
        <f>IF(D595="","",VLOOKUP(F595,製品マスタ!$G$5:$H$4999,2,FALSE))</f>
        <v/>
      </c>
      <c r="H595" s="256" t="str">
        <f>IF(D595="","",VLOOKUP(F595,製品マスタ!$G$5:$K$4999,5,FALSE))</f>
        <v/>
      </c>
      <c r="I595" s="200" t="str">
        <f>IF(D595="","",VLOOKUP(F595,製品マスタ!$G$5:$L$4999,6,FALSE))</f>
        <v/>
      </c>
      <c r="J595" s="203" t="s">
        <v>489</v>
      </c>
      <c r="K595" s="200" t="str">
        <f>IF(D595="","",VLOOKUP(D595,契約台帳!$A$3:$L$4986,12,FALSE))</f>
        <v/>
      </c>
      <c r="L595" s="200" t="str">
        <f>IF(D595="","",INDEX(製品マスタ!$Q$5:$Q$4999,MATCH('S4'!F595&amp;'S4'!K595,製品マスタ!$AO$5:$AO$4999,0)))</f>
        <v/>
      </c>
      <c r="M595" s="37"/>
      <c r="N595" s="37"/>
      <c r="O595" s="153"/>
      <c r="P595" s="45"/>
      <c r="Q595" s="54"/>
      <c r="R595" s="257" t="str">
        <f ca="1">IF(D595="","",IF(OFFSET(D595,-1,0)&lt;&gt;"","",IF(OR(J595="リード付け",J595="巻足し",J595="巻返しリード付け"),M595,VLOOKUP(D595,契約台帳!$A$3:$N$4986,14,FALSE))))</f>
        <v/>
      </c>
      <c r="S595" s="258" t="str">
        <f ca="1">IF(D595="","",IF(OFFSET(D595,-1,0)&lt;&gt;"","",IF(OR(J595="リード付け",J595="巻足し",J595="巻返しリード付け"),M595,VLOOKUP(D595,契約台帳!$A$3:$O$4986,15,FALSE))))</f>
        <v/>
      </c>
      <c r="T595" s="258" t="str">
        <f ca="1">IF(D595="","",IF(J595="リード付け",N595,IF(J595="巻返しリード付け",N595,IF(J595="巻足し",N595*P595+OFFSET(N595,1,0)*OFFSET(P595,1,0),VLOOKUP(D595,契約台帳!$A$3:$P$4986,16,FALSE)))))</f>
        <v/>
      </c>
      <c r="U595" s="38"/>
      <c r="V595" s="259" t="str">
        <f ca="1">IF(D595="","",IF(OFFSET(D595,-2,0)=D595,"",VLOOKUP(D595,契約台帳!$A$3:$R$4986,18,FALSE)))</f>
        <v/>
      </c>
      <c r="W595" s="256" t="str">
        <f>IF(D595="","",IF(T595="","",IF(OR(J595="巻足し",J595="巻返しリード付け"),"",IF(J595="巻返し",VLOOKUP(F595&amp;K595&amp;M595,製品マスタ!$M$5:$AD$4999,18,FALSE),IF(OR(J595="リード付け",J595="巻返しリード付け"),"原反コア",IF(J595="スリット",VLOOKUP(F595&amp;K595&amp;R595,製品マスタ!$N$5:$AD$4999,17,FALSE),""))))))</f>
        <v/>
      </c>
      <c r="X595" s="256" t="str">
        <f>IF(D595="","",IF(T595="","",IF(J595="巻足し","",IF(J595="巻返し",VLOOKUP(F595&amp;K595&amp;M595,製品マスタ!$M$5:$AE$4999,19,FALSE),IF(OR(J595="リード付け",J595="巻返しリード付け"),"",IF(J595="スリット",VLOOKUP(F595&amp;K595&amp;R595,製品マスタ!$N$5:$AE$4999,18,FALSE),""))))))</f>
        <v/>
      </c>
      <c r="Y595" s="256" t="str">
        <f>IF(D595="","",IF(T595="","",VLOOKUP(D595,契約台帳!$A$3:$Q$4986,17,FALSE)))</f>
        <v/>
      </c>
      <c r="Z595" s="256" t="str">
        <f>IF(D595="","",IF(T595="","",VLOOKUP(D595,契約台帳!$A$3:$E$4986,5,FALSE)))</f>
        <v/>
      </c>
      <c r="AA595" s="54"/>
      <c r="AB595" s="200" t="str">
        <f>IFERROR((VLOOKUP(F595&amp;K595&amp;M595,製品マスタ!$M$5:$AM$4999,27,FALSE)),"")</f>
        <v/>
      </c>
      <c r="AC595" s="31"/>
      <c r="AD595" s="184"/>
      <c r="AE595" s="51"/>
      <c r="AF595" s="52"/>
      <c r="AG595" s="41"/>
      <c r="AH595" s="45"/>
      <c r="AI595" s="28"/>
      <c r="AJ595" s="28"/>
      <c r="AK595" s="28"/>
      <c r="AL595" s="28"/>
      <c r="AM595" s="12"/>
      <c r="AN595" s="12"/>
      <c r="AO595" s="12"/>
      <c r="AP595" s="12"/>
      <c r="AQ595" s="12"/>
      <c r="AR595" s="13"/>
      <c r="AS595" s="14"/>
    </row>
    <row r="596" spans="1:45" s="16" customFormat="1" ht="30.95" hidden="1" customHeight="1" x14ac:dyDescent="0.2">
      <c r="A596" s="35"/>
      <c r="B596" s="36"/>
      <c r="C596" s="43"/>
      <c r="D596" s="29"/>
      <c r="E596" s="29"/>
      <c r="F596" s="255" t="str">
        <f>IF(D596="","",VLOOKUP(D596,契約台帳!$A$3:$K$4986,6,FALSE)&amp;VLOOKUP(D596,契約台帳!$A$3:$K$4986,7,FALSE)&amp;VLOOKUP(D596,契約台帳!$A$3:$K$4986,8,FALSE)&amp;VLOOKUP(D596,契約台帳!$A$3:$K$4986,9,FALSE)&amp;VLOOKUP(D596,契約台帳!$A$3:$K$4986,11,FALSE))</f>
        <v/>
      </c>
      <c r="G596" s="256" t="str">
        <f>IF(D596="","",VLOOKUP(F596,製品マスタ!$G$5:$H$4999,2,FALSE))</f>
        <v/>
      </c>
      <c r="H596" s="256" t="str">
        <f>IF(D596="","",VLOOKUP(F596,製品マスタ!$G$5:$K$4999,5,FALSE))</f>
        <v/>
      </c>
      <c r="I596" s="200" t="str">
        <f>IF(D596="","",VLOOKUP(F596,製品マスタ!$G$5:$L$4999,6,FALSE))</f>
        <v/>
      </c>
      <c r="J596" s="203"/>
      <c r="K596" s="200" t="str">
        <f>IF(D596="","",VLOOKUP(D596,契約台帳!$A$3:$L$4986,12,FALSE))</f>
        <v/>
      </c>
      <c r="L596" s="200" t="str">
        <f>IF(D596="","",INDEX(製品マスタ!$Q$5:$Q$4999,MATCH('S4'!F596&amp;'S4'!K596,製品マスタ!$AO$5:$AO$4999,0)))</f>
        <v/>
      </c>
      <c r="M596" s="37"/>
      <c r="N596" s="37"/>
      <c r="O596" s="153"/>
      <c r="P596" s="45"/>
      <c r="Q596" s="54"/>
      <c r="R596" s="257" t="str">
        <f ca="1">IF(D596="","",IF(OFFSET(D596,-1,0)&lt;&gt;"","",IF(OR(J596="リード付け",J596="巻足し",J596="巻返しリード付け"),M596,VLOOKUP(D596,契約台帳!$A$3:$N$4986,14,FALSE))))</f>
        <v/>
      </c>
      <c r="S596" s="258" t="str">
        <f ca="1">IF(D596="","",IF(OFFSET(D596,-1,0)&lt;&gt;"","",IF(OR(J596="リード付け",J596="巻足し",J596="巻返しリード付け"),M596,VLOOKUP(D596,契約台帳!$A$3:$O$4986,15,FALSE))))</f>
        <v/>
      </c>
      <c r="T596" s="258" t="str">
        <f ca="1">IF(D596="","",IF(J596="リード付け",N596,IF(J596="巻返しリード付け",N596,IF(J596="巻足し",N596*P596+OFFSET(N596,1,0)*OFFSET(P596,1,0),VLOOKUP(D596,契約台帳!$A$3:$P$4986,16,FALSE)))))</f>
        <v/>
      </c>
      <c r="U596" s="38"/>
      <c r="V596" s="259" t="str">
        <f ca="1">IF(D596="","",IF(OFFSET(D596,-2,0)=D596,"",VLOOKUP(D596,契約台帳!$A$3:$R$4986,18,FALSE)))</f>
        <v/>
      </c>
      <c r="W596" s="256" t="str">
        <f>IF(D596="","",IF(T596="","",IF(OR(J596="巻足し",J596="巻返しリード付け"),"",IF(J596="巻返し",VLOOKUP(F596&amp;K596&amp;M596,製品マスタ!$M$5:$AD$4999,18,FALSE),IF(OR(J596="リード付け",J596="巻返しリード付け"),"原反コア",IF(J596="スリット",VLOOKUP(F596&amp;K596&amp;R596,製品マスタ!$N$5:$AD$4999,17,FALSE),""))))))</f>
        <v/>
      </c>
      <c r="X596" s="256" t="str">
        <f>IF(D596="","",IF(T596="","",IF(J596="巻足し","",IF(J596="巻返し",VLOOKUP(F596&amp;K596&amp;M596,製品マスタ!$M$5:$AE$4999,19,FALSE),IF(OR(J596="リード付け",J596="巻返しリード付け"),"",IF(J596="スリット",VLOOKUP(F596&amp;K596&amp;R596,製品マスタ!$N$5:$AE$4999,18,FALSE),""))))))</f>
        <v/>
      </c>
      <c r="Y596" s="256" t="str">
        <f>IF(D596="","",IF(T596="","",VLOOKUP(D596,契約台帳!$A$3:$Q$4986,17,FALSE)))</f>
        <v/>
      </c>
      <c r="Z596" s="256" t="str">
        <f>IF(D596="","",IF(T596="","",VLOOKUP(D596,契約台帳!$A$3:$E$4986,5,FALSE)))</f>
        <v/>
      </c>
      <c r="AA596" s="54"/>
      <c r="AB596" s="200" t="str">
        <f>IFERROR((VLOOKUP(F596&amp;K596&amp;M596,製品マスタ!$M$5:$AM$4999,27,FALSE)),"")</f>
        <v/>
      </c>
      <c r="AC596" s="31"/>
      <c r="AD596" s="184"/>
      <c r="AE596" s="51"/>
      <c r="AF596" s="52"/>
      <c r="AG596" s="41"/>
      <c r="AH596" s="45"/>
      <c r="AI596" s="28"/>
      <c r="AJ596" s="28"/>
      <c r="AK596" s="28"/>
      <c r="AL596" s="28"/>
      <c r="AM596" s="12"/>
      <c r="AN596" s="12"/>
      <c r="AO596" s="12"/>
      <c r="AP596" s="12"/>
      <c r="AQ596" s="12"/>
      <c r="AR596" s="13"/>
      <c r="AS596" s="14"/>
    </row>
    <row r="597" spans="1:45" s="16" customFormat="1" ht="30.95" hidden="1" customHeight="1" x14ac:dyDescent="0.2">
      <c r="A597" s="35" t="s">
        <v>1142</v>
      </c>
      <c r="B597" s="36" t="s">
        <v>1107</v>
      </c>
      <c r="C597" s="43"/>
      <c r="D597" s="29"/>
      <c r="E597" s="29"/>
      <c r="F597" s="255" t="str">
        <f>IF(D597="","",VLOOKUP(D597,契約台帳!$A$3:$K$4986,6,FALSE)&amp;VLOOKUP(D597,契約台帳!$A$3:$K$4986,7,FALSE)&amp;VLOOKUP(D597,契約台帳!$A$3:$K$4986,8,FALSE)&amp;VLOOKUP(D597,契約台帳!$A$3:$K$4986,9,FALSE)&amp;VLOOKUP(D597,契約台帳!$A$3:$K$4986,11,FALSE))</f>
        <v/>
      </c>
      <c r="G597" s="256" t="str">
        <f>IF(D597="","",VLOOKUP(F597,製品マスタ!$G$5:$H$4999,2,FALSE))</f>
        <v/>
      </c>
      <c r="H597" s="256" t="str">
        <f>IF(D597="","",VLOOKUP(F597,製品マスタ!$G$5:$K$4999,5,FALSE))</f>
        <v/>
      </c>
      <c r="I597" s="200" t="str">
        <f>IF(D597="","",VLOOKUP(F597,製品マスタ!$G$5:$L$4999,6,FALSE))</f>
        <v/>
      </c>
      <c r="J597" s="203" t="s">
        <v>1126</v>
      </c>
      <c r="K597" s="200" t="str">
        <f>IF(D597="","",VLOOKUP(D597,契約台帳!$A$3:$L$4986,12,FALSE))</f>
        <v/>
      </c>
      <c r="L597" s="200" t="str">
        <f>IF(D597="","",INDEX(製品マスタ!$Q$5:$Q$4999,MATCH('S4'!F597&amp;'S4'!K597,製品マスタ!$AO$5:$AO$4999,0)))</f>
        <v/>
      </c>
      <c r="M597" s="37"/>
      <c r="N597" s="37"/>
      <c r="O597" s="153"/>
      <c r="P597" s="45"/>
      <c r="Q597" s="54"/>
      <c r="R597" s="257" t="str">
        <f ca="1">IF(D597="","",IF(OFFSET(D597,-1,0)&lt;&gt;"","",IF(OR(J597="リード付け",J597="巻足し",J597="巻返しリード付け"),M597,VLOOKUP(D597,契約台帳!$A$3:$N$4986,14,FALSE))))</f>
        <v/>
      </c>
      <c r="S597" s="258" t="str">
        <f ca="1">IF(D597="","",IF(OFFSET(D597,-1,0)&lt;&gt;"","",IF(OR(J597="リード付け",J597="巻足し",J597="巻返しリード付け"),M597,VLOOKUP(D597,契約台帳!$A$3:$O$4986,15,FALSE))))</f>
        <v/>
      </c>
      <c r="T597" s="258" t="str">
        <f ca="1">IF(D597="","",IF(J597="リード付け",N597,IF(J597="巻返しリード付け",N597,IF(J597="巻足し",N597*P597+OFFSET(N597,1,0)*OFFSET(P597,1,0),VLOOKUP(D597,契約台帳!$A$3:$P$4986,16,FALSE)))))</f>
        <v/>
      </c>
      <c r="U597" s="38"/>
      <c r="V597" s="259" t="str">
        <f ca="1">IF(D597="","",IF(OFFSET(D597,-2,0)=D597,"",VLOOKUP(D597,契約台帳!$A$3:$R$4986,18,FALSE)))</f>
        <v/>
      </c>
      <c r="W597" s="256" t="str">
        <f>IF(D597="","",IF(T597="","",IF(OR(J597="巻足し",J597="巻返しリード付け"),"",IF(J597="巻返し",VLOOKUP(F597&amp;K597&amp;M597,製品マスタ!$M$5:$AD$4999,18,FALSE),IF(OR(J597="リード付け",J597="巻返しリード付け"),"原反コア",IF(J597="スリット",VLOOKUP(F597&amp;K597&amp;R597,製品マスタ!$N$5:$AD$4999,17,FALSE),""))))))</f>
        <v/>
      </c>
      <c r="X597" s="256" t="str">
        <f>IF(D597="","",IF(T597="","",IF(J597="巻足し","",IF(J597="巻返し",VLOOKUP(F597&amp;K597&amp;M597,製品マスタ!$M$5:$AE$4999,19,FALSE),IF(OR(J597="リード付け",J597="巻返しリード付け"),"",IF(J597="スリット",VLOOKUP(F597&amp;K597&amp;R597,製品マスタ!$N$5:$AE$4999,18,FALSE),""))))))</f>
        <v/>
      </c>
      <c r="Y597" s="256" t="str">
        <f>IF(D597="","",IF(T597="","",VLOOKUP(D597,契約台帳!$A$3:$Q$4986,17,FALSE)))</f>
        <v/>
      </c>
      <c r="Z597" s="256" t="str">
        <f>IF(D597="","",IF(T597="","",VLOOKUP(D597,契約台帳!$A$3:$E$4986,5,FALSE)))</f>
        <v/>
      </c>
      <c r="AA597" s="54"/>
      <c r="AB597" s="200" t="str">
        <f>IFERROR((VLOOKUP(F597&amp;K597&amp;M597,製品マスタ!$M$5:$AM$4999,27,FALSE)),"")</f>
        <v/>
      </c>
      <c r="AC597" s="31"/>
      <c r="AD597" s="184"/>
      <c r="AE597" s="51"/>
      <c r="AF597" s="52"/>
      <c r="AG597" s="41"/>
      <c r="AH597" s="45"/>
      <c r="AI597" s="28"/>
      <c r="AJ597" s="28"/>
      <c r="AK597" s="28"/>
      <c r="AL597" s="28"/>
      <c r="AM597" s="12"/>
      <c r="AN597" s="12"/>
      <c r="AO597" s="12"/>
      <c r="AP597" s="12"/>
      <c r="AQ597" s="12"/>
      <c r="AR597" s="13"/>
      <c r="AS597" s="14"/>
    </row>
    <row r="598" spans="1:45" s="16" customFormat="1" ht="30.95" hidden="1" customHeight="1" x14ac:dyDescent="0.2">
      <c r="A598" s="35"/>
      <c r="B598" s="36"/>
      <c r="C598" s="43"/>
      <c r="D598" s="29"/>
      <c r="E598" s="29"/>
      <c r="F598" s="255" t="str">
        <f>IF(D598="","",VLOOKUP(D598,契約台帳!$A$3:$K$4986,6,FALSE)&amp;VLOOKUP(D598,契約台帳!$A$3:$K$4986,7,FALSE)&amp;VLOOKUP(D598,契約台帳!$A$3:$K$4986,8,FALSE)&amp;VLOOKUP(D598,契約台帳!$A$3:$K$4986,9,FALSE)&amp;VLOOKUP(D598,契約台帳!$A$3:$K$4986,11,FALSE))</f>
        <v/>
      </c>
      <c r="G598" s="256" t="str">
        <f>IF(D598="","",VLOOKUP(F598,製品マスタ!$G$5:$H$4999,2,FALSE))</f>
        <v/>
      </c>
      <c r="H598" s="256" t="str">
        <f>IF(D598="","",VLOOKUP(F598,製品マスタ!$G$5:$K$4999,5,FALSE))</f>
        <v/>
      </c>
      <c r="I598" s="200" t="str">
        <f>IF(D598="","",VLOOKUP(F598,製品マスタ!$G$5:$L$4999,6,FALSE))</f>
        <v/>
      </c>
      <c r="J598" s="203"/>
      <c r="K598" s="200" t="str">
        <f>IF(D598="","",VLOOKUP(D598,契約台帳!$A$3:$L$4986,12,FALSE))</f>
        <v/>
      </c>
      <c r="L598" s="200" t="str">
        <f>IF(D598="","",INDEX(製品マスタ!$Q$5:$Q$4999,MATCH('S4'!F598&amp;'S4'!K598,製品マスタ!$AO$5:$AO$4999,0)))</f>
        <v/>
      </c>
      <c r="M598" s="37"/>
      <c r="N598" s="37"/>
      <c r="O598" s="153"/>
      <c r="P598" s="45"/>
      <c r="Q598" s="54"/>
      <c r="R598" s="257" t="str">
        <f ca="1">IF(D598="","",IF(OFFSET(D598,-1,0)&lt;&gt;"","",IF(OR(J598="リード付け",J598="巻足し",J598="巻返しリード付け"),M598,VLOOKUP(D598,契約台帳!$A$3:$N$4986,14,FALSE))))</f>
        <v/>
      </c>
      <c r="S598" s="258" t="str">
        <f ca="1">IF(D598="","",IF(OFFSET(D598,-1,0)&lt;&gt;"","",IF(OR(J598="リード付け",J598="巻足し",J598="巻返しリード付け"),M598,VLOOKUP(D598,契約台帳!$A$3:$O$4986,15,FALSE))))</f>
        <v/>
      </c>
      <c r="T598" s="258" t="str">
        <f ca="1">IF(D598="","",IF(J598="リード付け",N598,IF(J598="巻返しリード付け",N598,IF(J598="巻足し",N598*P598+OFFSET(N598,1,0)*OFFSET(P598,1,0),VLOOKUP(D598,契約台帳!$A$3:$P$4986,16,FALSE)))))</f>
        <v/>
      </c>
      <c r="U598" s="38"/>
      <c r="V598" s="259" t="str">
        <f ca="1">IF(D598="","",IF(OFFSET(D598,-2,0)=D598,"",VLOOKUP(D598,契約台帳!$A$3:$R$4986,18,FALSE)))</f>
        <v/>
      </c>
      <c r="W598" s="256" t="str">
        <f>IF(D598="","",IF(T598="","",IF(OR(J598="巻足し",J598="巻返しリード付け"),"",IF(J598="巻返し",VLOOKUP(F598&amp;K598&amp;M598,製品マスタ!$M$5:$AD$4999,18,FALSE),IF(OR(J598="リード付け",J598="巻返しリード付け"),"原反コア",IF(J598="スリット",VLOOKUP(F598&amp;K598&amp;R598,製品マスタ!$N$5:$AD$4999,17,FALSE),""))))))</f>
        <v/>
      </c>
      <c r="X598" s="256" t="str">
        <f>IF(D598="","",IF(T598="","",IF(J598="巻足し","",IF(J598="巻返し",VLOOKUP(F598&amp;K598&amp;M598,製品マスタ!$M$5:$AE$4999,19,FALSE),IF(OR(J598="リード付け",J598="巻返しリード付け"),"",IF(J598="スリット",VLOOKUP(F598&amp;K598&amp;R598,製品マスタ!$N$5:$AE$4999,18,FALSE),""))))))</f>
        <v/>
      </c>
      <c r="Y598" s="256" t="str">
        <f>IF(D598="","",IF(T598="","",VLOOKUP(D598,契約台帳!$A$3:$Q$4986,17,FALSE)))</f>
        <v/>
      </c>
      <c r="Z598" s="256" t="str">
        <f>IF(D598="","",IF(T598="","",VLOOKUP(D598,契約台帳!$A$3:$E$4986,5,FALSE)))</f>
        <v/>
      </c>
      <c r="AA598" s="54"/>
      <c r="AB598" s="200" t="str">
        <f>IFERROR((VLOOKUP(F598&amp;K598&amp;M598,製品マスタ!$M$5:$AM$4999,27,FALSE)),"")</f>
        <v/>
      </c>
      <c r="AC598" s="31"/>
      <c r="AD598" s="184"/>
      <c r="AE598" s="51"/>
      <c r="AF598" s="52"/>
      <c r="AG598" s="41"/>
      <c r="AH598" s="45"/>
      <c r="AI598" s="28"/>
      <c r="AJ598" s="28"/>
      <c r="AK598" s="28"/>
      <c r="AL598" s="28"/>
      <c r="AM598" s="12"/>
      <c r="AN598" s="12"/>
      <c r="AO598" s="12"/>
      <c r="AP598" s="12"/>
      <c r="AQ598" s="12"/>
      <c r="AR598" s="13"/>
      <c r="AS598" s="14"/>
    </row>
    <row r="599" spans="1:45" s="16" customFormat="1" ht="30.95" hidden="1" customHeight="1" x14ac:dyDescent="0.2">
      <c r="A599" s="35" t="s">
        <v>1160</v>
      </c>
      <c r="B599" s="36" t="s">
        <v>1161</v>
      </c>
      <c r="C599" s="43"/>
      <c r="D599" s="29">
        <v>3712097</v>
      </c>
      <c r="E599" s="29">
        <v>4161937</v>
      </c>
      <c r="F599" s="255" t="str">
        <f>IF(D599="","",VLOOKUP(D599,契約台帳!$A$3:$K$4986,6,FALSE)&amp;VLOOKUP(D599,契約台帳!$A$3:$K$4986,7,FALSE)&amp;VLOOKUP(D599,契約台帳!$A$3:$K$4986,8,FALSE)&amp;VLOOKUP(D599,契約台帳!$A$3:$K$4986,9,FALSE)&amp;VLOOKUP(D599,契約台帳!$A$3:$K$4986,11,FALSE))</f>
        <v>3SNMCLBWCB</v>
      </c>
      <c r="G599" s="256" t="str">
        <f>IF(D599="","",VLOOKUP(F599,製品マスタ!$G$5:$H$4999,2,FALSE))</f>
        <v>S</v>
      </c>
      <c r="H599" s="256" t="str">
        <f>IF(D599="","",VLOOKUP(F599,製品マスタ!$G$5:$K$4999,5,FALSE))</f>
        <v>WCB</v>
      </c>
      <c r="I599" s="200" t="str">
        <f>IF(D599="","",VLOOKUP(F599,製品マスタ!$G$5:$L$4999,6,FALSE))</f>
        <v>メタルミー　ホワイトコート　（Ｂ）</v>
      </c>
      <c r="J599" s="203" t="s">
        <v>1164</v>
      </c>
      <c r="K599" s="200">
        <f>IF(D599="","",VLOOKUP(D599,契約台帳!$A$3:$L$4986,12,FALSE))</f>
        <v>50</v>
      </c>
      <c r="L599" s="200" t="str">
        <f>IF(D599="","",INDEX(製品マスタ!$Q$5:$Q$4999,MATCH('S4'!F599&amp;'S4'!K599,製品マスタ!$AO$5:$AO$4999,0)))</f>
        <v>T62M</v>
      </c>
      <c r="M599" s="37">
        <v>1150</v>
      </c>
      <c r="N599" s="37">
        <v>5000</v>
      </c>
      <c r="O599" s="153">
        <v>4</v>
      </c>
      <c r="P599" s="45">
        <v>2</v>
      </c>
      <c r="Q599" s="206">
        <v>45075</v>
      </c>
      <c r="R599" s="257">
        <f ca="1">IF(D599="","",IF(OFFSET(D599,-1,0)&lt;&gt;"","",IF(OR(J599="リード付け",J599="巻足し",J599="巻返しリード付け"),M599,VLOOKUP(D599,契約台帳!$A$3:$N$4986,14,FALSE))))</f>
        <v>1150</v>
      </c>
      <c r="S599" s="258">
        <f ca="1">IF(D599="","",IF(OFFSET(D599,-1,0)&lt;&gt;"","",IF(OR(J599="リード付け",J599="巻足し",J599="巻返しリード付け"),M599,VLOOKUP(D599,契約台帳!$A$3:$O$4986,15,FALSE))))</f>
        <v>1150</v>
      </c>
      <c r="T599" s="258">
        <f ca="1">IF(D599="","",IF(J599="リード付け",N599,IF(J599="巻返しリード付け",N599,IF(J599="巻足し",N599*P599+OFFSET(N599,1,0)*OFFSET(P599,1,0),VLOOKUP(D599,契約台帳!$A$3:$P$4986,16,FALSE)))))</f>
        <v>10000</v>
      </c>
      <c r="U599" s="38">
        <v>2</v>
      </c>
      <c r="V599" s="259">
        <f ca="1">IF(D599="","",IF(OFFSET(D599,-2,0)=D599,"",VLOOKUP(D599,契約台帳!$A$3:$R$4986,18,FALSE)))</f>
        <v>4</v>
      </c>
      <c r="W599" s="256" t="str">
        <f ca="1">IF(D599="","",IF(T599="","",IF(OR(J599="巻足し",J599="巻返しリード付け"),"",IF(J599="巻返し",VLOOKUP(F599&amp;K599&amp;M599,製品マスタ!$M$5:$AD$4999,18,FALSE),IF(OR(J599="リード付け",J599="巻返しリード付け"),"原反コア",IF(J599="スリット",VLOOKUP(F599&amp;K599&amp;R599,製品マスタ!$N$5:$AD$4999,17,FALSE),""))))))</f>
        <v/>
      </c>
      <c r="X599" s="256" t="str">
        <f ca="1">IF(D599="","",IF(T599="","",IF(J599="巻足し","",IF(J599="巻返し",VLOOKUP(F599&amp;K599&amp;M599,製品マスタ!$M$5:$AE$4999,19,FALSE),IF(OR(J599="リード付け",J599="巻返しリード付け"),"",IF(J599="スリット",VLOOKUP(F599&amp;K599&amp;R599,製品マスタ!$N$5:$AE$4999,18,FALSE),""))))))</f>
        <v/>
      </c>
      <c r="Y599" s="256">
        <f ca="1">IF(D599="","",IF(T599="","",VLOOKUP(D599,契約台帳!$A$3:$Q$4986,17,FALSE)))</f>
        <v>2</v>
      </c>
      <c r="Z599" s="256" t="str">
        <f ca="1">IF(D599="","",IF(T599="","",VLOOKUP(D599,契約台帳!$A$3:$E$4986,5,FALSE)))</f>
        <v>新タック化成㈱</v>
      </c>
      <c r="AA599" s="54"/>
      <c r="AB599" s="200" t="str">
        <f>IFERROR((VLOOKUP(F599&amp;K599&amp;M599,製品マスタ!$M$5:$AM$4999,27,FALSE)),"")</f>
        <v>エージング後スリット</v>
      </c>
      <c r="AC599" s="31"/>
      <c r="AD599" s="184"/>
      <c r="AE599" s="51"/>
      <c r="AF599" s="52"/>
      <c r="AG599" s="41"/>
      <c r="AH599" s="45"/>
      <c r="AI599" s="28"/>
      <c r="AJ599" s="28"/>
      <c r="AK599" s="28"/>
      <c r="AL599" s="28"/>
      <c r="AM599" s="12"/>
      <c r="AN599" s="12"/>
      <c r="AO599" s="12"/>
      <c r="AP599" s="12"/>
      <c r="AQ599" s="12"/>
      <c r="AR599" s="13"/>
      <c r="AS599" s="14"/>
    </row>
    <row r="600" spans="1:45" s="16" customFormat="1" ht="30.95" hidden="1" customHeight="1" x14ac:dyDescent="0.2">
      <c r="A600" s="35"/>
      <c r="B600" s="36"/>
      <c r="C600" s="43"/>
      <c r="D600" s="29"/>
      <c r="E600" s="29"/>
      <c r="F600" s="255" t="str">
        <f>IF(D600="","",VLOOKUP(D600,契約台帳!$A$3:$K$4986,6,FALSE)&amp;VLOOKUP(D600,契約台帳!$A$3:$K$4986,7,FALSE)&amp;VLOOKUP(D600,契約台帳!$A$3:$K$4986,8,FALSE)&amp;VLOOKUP(D600,契約台帳!$A$3:$K$4986,9,FALSE)&amp;VLOOKUP(D600,契約台帳!$A$3:$K$4986,11,FALSE))</f>
        <v/>
      </c>
      <c r="G600" s="256" t="str">
        <f>IF(D600="","",VLOOKUP(F600,製品マスタ!$G$5:$H$4999,2,FALSE))</f>
        <v/>
      </c>
      <c r="H600" s="256" t="str">
        <f>IF(D600="","",VLOOKUP(F600,製品マスタ!$G$5:$K$4999,5,FALSE))</f>
        <v/>
      </c>
      <c r="I600" s="200" t="str">
        <f>IF(D600="","",VLOOKUP(F600,製品マスタ!$G$5:$L$4999,6,FALSE))</f>
        <v/>
      </c>
      <c r="J600" s="203"/>
      <c r="K600" s="200" t="str">
        <f>IF(D600="","",VLOOKUP(D600,契約台帳!$A$3:$L$4986,12,FALSE))</f>
        <v/>
      </c>
      <c r="L600" s="200" t="str">
        <f>IF(D600="","",INDEX(製品マスタ!$Q$5:$Q$4999,MATCH('S4'!F600&amp;'S4'!K600,製品マスタ!$AO$5:$AO$4999,0)))</f>
        <v/>
      </c>
      <c r="M600" s="37"/>
      <c r="N600" s="37"/>
      <c r="O600" s="153"/>
      <c r="P600" s="45"/>
      <c r="Q600" s="54"/>
      <c r="R600" s="257" t="str">
        <f ca="1">IF(D600="","",IF(OFFSET(D600,-1,0)&lt;&gt;"","",IF(OR(J600="リード付け",J600="巻足し",J600="巻返しリード付け"),M600,VLOOKUP(D600,契約台帳!$A$3:$N$4986,14,FALSE))))</f>
        <v/>
      </c>
      <c r="S600" s="258" t="str">
        <f ca="1">IF(D600="","",IF(OFFSET(D600,-1,0)&lt;&gt;"","",IF(OR(J600="リード付け",J600="巻足し",J600="巻返しリード付け"),M600,VLOOKUP(D600,契約台帳!$A$3:$O$4986,15,FALSE))))</f>
        <v/>
      </c>
      <c r="T600" s="258" t="str">
        <f ca="1">IF(D600="","",IF(J600="リード付け",N600,IF(J600="巻返しリード付け",N600,IF(J600="巻足し",N600*P600+OFFSET(N600,1,0)*OFFSET(P600,1,0),VLOOKUP(D600,契約台帳!$A$3:$P$4986,16,FALSE)))))</f>
        <v/>
      </c>
      <c r="U600" s="38"/>
      <c r="V600" s="259" t="str">
        <f ca="1">IF(D600="","",IF(OFFSET(D600,-2,0)=D600,"",VLOOKUP(D600,契約台帳!$A$3:$R$4986,18,FALSE)))</f>
        <v/>
      </c>
      <c r="W600" s="256" t="str">
        <f>IF(D600="","",IF(T600="","",IF(OR(J600="巻足し",J600="巻返しリード付け"),"",IF(J600="巻返し",VLOOKUP(F600&amp;K600&amp;M600,製品マスタ!$M$5:$AD$4999,18,FALSE),IF(OR(J600="リード付け",J600="巻返しリード付け"),"原反コア",IF(J600="スリット",VLOOKUP(F600&amp;K600&amp;R600,製品マスタ!$N$5:$AD$4999,17,FALSE),""))))))</f>
        <v/>
      </c>
      <c r="X600" s="256" t="str">
        <f>IF(D600="","",IF(T600="","",IF(J600="巻足し","",IF(J600="巻返し",VLOOKUP(F600&amp;K600&amp;M600,製品マスタ!$M$5:$AE$4999,19,FALSE),IF(OR(J600="リード付け",J600="巻返しリード付け"),"",IF(J600="スリット",VLOOKUP(F600&amp;K600&amp;R600,製品マスタ!$N$5:$AE$4999,18,FALSE),""))))))</f>
        <v/>
      </c>
      <c r="Y600" s="256" t="str">
        <f>IF(D600="","",IF(T600="","",VLOOKUP(D600,契約台帳!$A$3:$Q$4986,17,FALSE)))</f>
        <v/>
      </c>
      <c r="Z600" s="256" t="str">
        <f>IF(D600="","",IF(T600="","",VLOOKUP(D600,契約台帳!$A$3:$E$4986,5,FALSE)))</f>
        <v/>
      </c>
      <c r="AA600" s="54"/>
      <c r="AB600" s="200" t="str">
        <f>IFERROR((VLOOKUP(F600&amp;K600&amp;M600,製品マスタ!$M$5:$AM$4999,27,FALSE)),"")</f>
        <v/>
      </c>
      <c r="AC600" s="31"/>
      <c r="AD600" s="184"/>
      <c r="AE600" s="51"/>
      <c r="AF600" s="52"/>
      <c r="AG600" s="41"/>
      <c r="AH600" s="45"/>
      <c r="AI600" s="28"/>
      <c r="AJ600" s="28"/>
      <c r="AK600" s="28"/>
      <c r="AL600" s="28"/>
      <c r="AM600" s="12"/>
      <c r="AN600" s="12"/>
      <c r="AO600" s="12"/>
      <c r="AP600" s="12"/>
      <c r="AQ600" s="12"/>
      <c r="AR600" s="13"/>
      <c r="AS600" s="14"/>
    </row>
    <row r="601" spans="1:45" s="16" customFormat="1" ht="30.95" hidden="1" customHeight="1" x14ac:dyDescent="0.2">
      <c r="A601" s="35"/>
      <c r="B601" s="36"/>
      <c r="C601" s="43"/>
      <c r="D601" s="29">
        <v>3712095</v>
      </c>
      <c r="E601" s="29">
        <v>4161923</v>
      </c>
      <c r="F601" s="255" t="str">
        <f>IF(D601="","",VLOOKUP(D601,契約台帳!$A$3:$K$4986,6,FALSE)&amp;VLOOKUP(D601,契約台帳!$A$3:$K$4986,7,FALSE)&amp;VLOOKUP(D601,契約台帳!$A$3:$K$4986,8,FALSE)&amp;VLOOKUP(D601,契約台帳!$A$3:$K$4986,9,FALSE)&amp;VLOOKUP(D601,契約台帳!$A$3:$K$4986,11,FALSE))</f>
        <v>3SNMCLBEYK</v>
      </c>
      <c r="G601" s="256" t="str">
        <f>IF(D601="","",VLOOKUP(F601,製品マスタ!$G$5:$H$4999,2,FALSE))</f>
        <v>S</v>
      </c>
      <c r="H601" s="256" t="str">
        <f>IF(D601="","",VLOOKUP(F601,製品マスタ!$G$5:$K$4999,5,FALSE))</f>
        <v>EYK</v>
      </c>
      <c r="I601" s="200" t="str">
        <f>IF(D601="","",VLOOKUP(F601,製品マスタ!$G$5:$L$4999,6,FALSE))</f>
        <v>メタルミー　ＥＹＫ</v>
      </c>
      <c r="J601" s="203" t="s">
        <v>1164</v>
      </c>
      <c r="K601" s="200">
        <f>IF(D601="","",VLOOKUP(D601,契約台帳!$A$3:$L$4986,12,FALSE))</f>
        <v>50</v>
      </c>
      <c r="L601" s="200" t="str">
        <f>IF(D601="","",INDEX(製品マスタ!$Q$5:$Q$4999,MATCH('S4'!F601&amp;'S4'!K601,製品マスタ!$AO$5:$AO$4999,0)))</f>
        <v>T62M</v>
      </c>
      <c r="M601" s="37">
        <v>1125</v>
      </c>
      <c r="N601" s="37">
        <v>6100</v>
      </c>
      <c r="O601" s="153">
        <v>4</v>
      </c>
      <c r="P601" s="45">
        <v>2</v>
      </c>
      <c r="Q601" s="206">
        <v>45075</v>
      </c>
      <c r="R601" s="257">
        <f ca="1">IF(D601="","",IF(OFFSET(D601,-1,0)&lt;&gt;"","",IF(OR(J601="リード付け",J601="巻足し",J601="巻返しリード付け"),M601,VLOOKUP(D601,契約台帳!$A$3:$N$4986,14,FALSE))))</f>
        <v>1125</v>
      </c>
      <c r="S601" s="258">
        <f ca="1">IF(D601="","",IF(OFFSET(D601,-1,0)&lt;&gt;"","",IF(OR(J601="リード付け",J601="巻足し",J601="巻返しリード付け"),M601,VLOOKUP(D601,契約台帳!$A$3:$O$4986,15,FALSE))))</f>
        <v>1125</v>
      </c>
      <c r="T601" s="258">
        <f ca="1">IF(D601="","",IF(J601="リード付け",N601,IF(J601="巻返しリード付け",N601,IF(J601="巻足し",N601*P601+OFFSET(N601,1,0)*OFFSET(P601,1,0),VLOOKUP(D601,契約台帳!$A$3:$P$4986,16,FALSE)))))</f>
        <v>12200</v>
      </c>
      <c r="U601" s="38">
        <v>2</v>
      </c>
      <c r="V601" s="259">
        <f ca="1">IF(D601="","",IF(OFFSET(D601,-2,0)=D601,"",VLOOKUP(D601,契約台帳!$A$3:$R$4986,18,FALSE)))</f>
        <v>4</v>
      </c>
      <c r="W601" s="256" t="str">
        <f ca="1">IF(D601="","",IF(T601="","",IF(OR(J601="巻足し",J601="巻返しリード付け"),"",IF(J601="巻返し",VLOOKUP(F601&amp;K601&amp;M601,製品マスタ!$M$5:$AD$4999,18,FALSE),IF(OR(J601="リード付け",J601="巻返しリード付け"),"原反コア",IF(J601="スリット",VLOOKUP(F601&amp;K601&amp;R601,製品マスタ!$N$5:$AD$4999,17,FALSE),""))))))</f>
        <v/>
      </c>
      <c r="X601" s="256" t="str">
        <f ca="1">IF(D601="","",IF(T601="","",IF(J601="巻足し","",IF(J601="巻返し",VLOOKUP(F601&amp;K601&amp;M601,製品マスタ!$M$5:$AE$4999,19,FALSE),IF(OR(J601="リード付け",J601="巻返しリード付け"),"",IF(J601="スリット",VLOOKUP(F601&amp;K601&amp;R601,製品マスタ!$N$5:$AE$4999,18,FALSE),""))))))</f>
        <v/>
      </c>
      <c r="Y601" s="256">
        <f ca="1">IF(D601="","",IF(T601="","",VLOOKUP(D601,契約台帳!$A$3:$Q$4986,17,FALSE)))</f>
        <v>2</v>
      </c>
      <c r="Z601" s="256" t="str">
        <f ca="1">IF(D601="","",IF(T601="","",VLOOKUP(D601,契約台帳!$A$3:$E$4986,5,FALSE)))</f>
        <v>新タック化成㈱</v>
      </c>
      <c r="AA601" s="54"/>
      <c r="AB601" s="200" t="str">
        <f>IFERROR((VLOOKUP(F601&amp;K601&amp;M601,製品マスタ!$M$5:$AM$4999,27,FALSE)),"")</f>
        <v>原反ケース再利用</v>
      </c>
      <c r="AC601" s="31"/>
      <c r="AD601" s="184"/>
      <c r="AE601" s="51"/>
      <c r="AF601" s="52"/>
      <c r="AG601" s="41"/>
      <c r="AH601" s="45"/>
      <c r="AI601" s="28"/>
      <c r="AJ601" s="28"/>
      <c r="AK601" s="28"/>
      <c r="AL601" s="28"/>
      <c r="AM601" s="12"/>
      <c r="AN601" s="12"/>
      <c r="AO601" s="12"/>
      <c r="AP601" s="12"/>
      <c r="AQ601" s="12"/>
      <c r="AR601" s="13"/>
      <c r="AS601" s="14"/>
    </row>
    <row r="602" spans="1:45" s="16" customFormat="1" ht="30.95" hidden="1" customHeight="1" x14ac:dyDescent="0.2">
      <c r="A602" s="35"/>
      <c r="B602" s="36"/>
      <c r="C602" s="43"/>
      <c r="D602" s="29"/>
      <c r="E602" s="29"/>
      <c r="F602" s="255" t="str">
        <f>IF(D602="","",VLOOKUP(D602,契約台帳!$A$3:$K$4986,6,FALSE)&amp;VLOOKUP(D602,契約台帳!$A$3:$K$4986,7,FALSE)&amp;VLOOKUP(D602,契約台帳!$A$3:$K$4986,8,FALSE)&amp;VLOOKUP(D602,契約台帳!$A$3:$K$4986,9,FALSE)&amp;VLOOKUP(D602,契約台帳!$A$3:$K$4986,11,FALSE))</f>
        <v/>
      </c>
      <c r="G602" s="256" t="str">
        <f>IF(D602="","",VLOOKUP(F602,製品マスタ!$G$5:$H$4999,2,FALSE))</f>
        <v/>
      </c>
      <c r="H602" s="256" t="str">
        <f>IF(D602="","",VLOOKUP(F602,製品マスタ!$G$5:$K$4999,5,FALSE))</f>
        <v/>
      </c>
      <c r="I602" s="200" t="str">
        <f>IF(D602="","",VLOOKUP(F602,製品マスタ!$G$5:$L$4999,6,FALSE))</f>
        <v/>
      </c>
      <c r="J602" s="203"/>
      <c r="K602" s="200" t="str">
        <f>IF(D602="","",VLOOKUP(D602,契約台帳!$A$3:$L$4986,12,FALSE))</f>
        <v/>
      </c>
      <c r="L602" s="200" t="str">
        <f>IF(D602="","",INDEX(製品マスタ!$Q$5:$Q$4999,MATCH('S4'!F602&amp;'S4'!K602,製品マスタ!$AO$5:$AO$4999,0)))</f>
        <v/>
      </c>
      <c r="M602" s="37"/>
      <c r="N602" s="37"/>
      <c r="O602" s="153"/>
      <c r="P602" s="45"/>
      <c r="Q602" s="54"/>
      <c r="R602" s="257" t="str">
        <f ca="1">IF(D602="","",IF(OFFSET(D602,-1,0)&lt;&gt;"","",IF(OR(J602="リード付け",J602="巻足し",J602="巻返しリード付け"),M602,VLOOKUP(D602,契約台帳!$A$3:$N$4986,14,FALSE))))</f>
        <v/>
      </c>
      <c r="S602" s="258" t="str">
        <f ca="1">IF(D602="","",IF(OFFSET(D602,-1,0)&lt;&gt;"","",IF(OR(J602="リード付け",J602="巻足し",J602="巻返しリード付け"),M602,VLOOKUP(D602,契約台帳!$A$3:$O$4986,15,FALSE))))</f>
        <v/>
      </c>
      <c r="T602" s="258" t="str">
        <f ca="1">IF(D602="","",IF(J602="リード付け",N602,IF(J602="巻返しリード付け",N602,IF(J602="巻足し",N602*P602+OFFSET(N602,1,0)*OFFSET(P602,1,0),VLOOKUP(D602,契約台帳!$A$3:$P$4986,16,FALSE)))))</f>
        <v/>
      </c>
      <c r="U602" s="38"/>
      <c r="V602" s="259" t="str">
        <f ca="1">IF(D602="","",IF(OFFSET(D602,-2,0)=D602,"",VLOOKUP(D602,契約台帳!$A$3:$R$4986,18,FALSE)))</f>
        <v/>
      </c>
      <c r="W602" s="256" t="str">
        <f>IF(D602="","",IF(T602="","",IF(OR(J602="巻足し",J602="巻返しリード付け"),"",IF(J602="巻返し",VLOOKUP(F602&amp;K602&amp;M602,製品マスタ!$M$5:$AD$4999,18,FALSE),IF(OR(J602="リード付け",J602="巻返しリード付け"),"原反コア",IF(J602="スリット",VLOOKUP(F602&amp;K602&amp;R602,製品マスタ!$N$5:$AD$4999,17,FALSE),""))))))</f>
        <v/>
      </c>
      <c r="X602" s="256" t="str">
        <f>IF(D602="","",IF(T602="","",IF(J602="巻足し","",IF(J602="巻返し",VLOOKUP(F602&amp;K602&amp;M602,製品マスタ!$M$5:$AE$4999,19,FALSE),IF(OR(J602="リード付け",J602="巻返しリード付け"),"",IF(J602="スリット",VLOOKUP(F602&amp;K602&amp;R602,製品マスタ!$N$5:$AE$4999,18,FALSE),""))))))</f>
        <v/>
      </c>
      <c r="Y602" s="256" t="str">
        <f>IF(D602="","",IF(T602="","",VLOOKUP(D602,契約台帳!$A$3:$Q$4986,17,FALSE)))</f>
        <v/>
      </c>
      <c r="Z602" s="256" t="str">
        <f>IF(D602="","",IF(T602="","",VLOOKUP(D602,契約台帳!$A$3:$E$4986,5,FALSE)))</f>
        <v/>
      </c>
      <c r="AA602" s="54"/>
      <c r="AB602" s="200" t="str">
        <f>IFERROR((VLOOKUP(F602&amp;K602&amp;M602,製品マスタ!$M$5:$AM$4999,27,FALSE)),"")</f>
        <v/>
      </c>
      <c r="AC602" s="31"/>
      <c r="AD602" s="184"/>
      <c r="AE602" s="51"/>
      <c r="AF602" s="52"/>
      <c r="AG602" s="41"/>
      <c r="AH602" s="45"/>
      <c r="AI602" s="28"/>
      <c r="AJ602" s="28"/>
      <c r="AK602" s="28"/>
      <c r="AL602" s="28"/>
      <c r="AM602" s="12"/>
      <c r="AN602" s="12"/>
      <c r="AO602" s="12"/>
      <c r="AP602" s="12"/>
      <c r="AQ602" s="12"/>
      <c r="AR602" s="13"/>
      <c r="AS602" s="14"/>
    </row>
    <row r="603" spans="1:45" s="16" customFormat="1" ht="30.95" hidden="1" customHeight="1" x14ac:dyDescent="0.2">
      <c r="A603" s="35"/>
      <c r="B603" s="36"/>
      <c r="C603" s="43"/>
      <c r="D603" s="29">
        <v>3712100</v>
      </c>
      <c r="E603" s="29">
        <v>4161927</v>
      </c>
      <c r="F603" s="255" t="str">
        <f>IF(D603="","",VLOOKUP(D603,契約台帳!$A$3:$K$4986,6,FALSE)&amp;VLOOKUP(D603,契約台帳!$A$3:$K$4986,7,FALSE)&amp;VLOOKUP(D603,契約台帳!$A$3:$K$4986,8,FALSE)&amp;VLOOKUP(D603,契約台帳!$A$3:$K$4986,9,FALSE)&amp;VLOOKUP(D603,契約台帳!$A$3:$K$4986,11,FALSE))</f>
        <v>3SNMLBMNGKKBF</v>
      </c>
      <c r="G603" s="256" t="str">
        <f>IF(D603="","",VLOOKUP(F603,製品マスタ!$G$5:$H$4999,2,FALSE))</f>
        <v>S</v>
      </c>
      <c r="H603" s="256" t="str">
        <f>IF(D603="","",VLOOKUP(F603,製品マスタ!$G$5:$K$4999,5,FALSE))</f>
        <v>MNGKKBF</v>
      </c>
      <c r="I603" s="200" t="str">
        <f>IF(D603="","",VLOOKUP(F603,製品マスタ!$G$5:$L$4999,6,FALSE))</f>
        <v>メタルミー　ネーマー銀消改　Ｂ</v>
      </c>
      <c r="J603" s="203" t="s">
        <v>1164</v>
      </c>
      <c r="K603" s="200">
        <f>IF(D603="","",VLOOKUP(D603,契約台帳!$A$3:$L$4986,12,FALSE))</f>
        <v>25</v>
      </c>
      <c r="L603" s="200" t="str">
        <f>IF(D603="","",INDEX(製品マスタ!$Q$5:$Q$4999,MATCH('S4'!F603&amp;'S4'!K603,製品マスタ!$AO$5:$AO$4999,0)))</f>
        <v>FMATS99</v>
      </c>
      <c r="M603" s="37">
        <v>1120</v>
      </c>
      <c r="N603" s="37">
        <v>4000</v>
      </c>
      <c r="O603" s="153">
        <v>3</v>
      </c>
      <c r="P603" s="45">
        <v>3</v>
      </c>
      <c r="Q603" s="206">
        <v>45072</v>
      </c>
      <c r="R603" s="257">
        <f ca="1">IF(D603="","",IF(OFFSET(D603,-1,0)&lt;&gt;"","",IF(OR(J603="リード付け",J603="巻足し",J603="巻返しリード付け"),M603,VLOOKUP(D603,契約台帳!$A$3:$N$4986,14,FALSE))))</f>
        <v>1120</v>
      </c>
      <c r="S603" s="258">
        <f ca="1">IF(D603="","",IF(OFFSET(D603,-1,0)&lt;&gt;"","",IF(OR(J603="リード付け",J603="巻足し",J603="巻返しリード付け"),M603,VLOOKUP(D603,契約台帳!$A$3:$O$4986,15,FALSE))))</f>
        <v>1120</v>
      </c>
      <c r="T603" s="258">
        <f ca="1">IF(D603="","",IF(J603="リード付け",N603,IF(J603="巻返しリード付け",N603,IF(J603="巻足し",N603*P603+OFFSET(N603,1,0)*OFFSET(P603,1,0),VLOOKUP(D603,契約台帳!$A$3:$P$4986,16,FALSE)))))</f>
        <v>12000</v>
      </c>
      <c r="U603" s="38">
        <v>1</v>
      </c>
      <c r="V603" s="259">
        <f ca="1">IF(D603="","",IF(OFFSET(D603,-2,0)=D603,"",VLOOKUP(D603,契約台帳!$A$3:$R$4986,18,FALSE)))</f>
        <v>3</v>
      </c>
      <c r="W603" s="256" t="str">
        <f ca="1">IF(D603="","",IF(T603="","",IF(OR(J603="巻足し",J603="巻返しリード付け"),"",IF(J603="巻返し",VLOOKUP(F603&amp;K603&amp;M603,製品マスタ!$M$5:$AD$4999,18,FALSE),IF(OR(J603="リード付け",J603="巻返しリード付け"),"原反コア",IF(J603="スリット",VLOOKUP(F603&amp;K603&amp;R603,製品マスタ!$N$5:$AD$4999,17,FALSE),""))))))</f>
        <v/>
      </c>
      <c r="X603" s="256" t="str">
        <f ca="1">IF(D603="","",IF(T603="","",IF(J603="巻足し","",IF(J603="巻返し",VLOOKUP(F603&amp;K603&amp;M603,製品マスタ!$M$5:$AE$4999,19,FALSE),IF(OR(J603="リード付け",J603="巻返しリード付け"),"",IF(J603="スリット",VLOOKUP(F603&amp;K603&amp;R603,製品マスタ!$N$5:$AE$4999,18,FALSE),""))))))</f>
        <v/>
      </c>
      <c r="Y603" s="256">
        <f ca="1">IF(D603="","",IF(T603="","",VLOOKUP(D603,契約台帳!$A$3:$Q$4986,17,FALSE)))</f>
        <v>2</v>
      </c>
      <c r="Z603" s="256" t="str">
        <f ca="1">IF(D603="","",IF(T603="","",VLOOKUP(D603,契約台帳!$A$3:$E$4986,5,FALSE)))</f>
        <v>リンテック㈱</v>
      </c>
      <c r="AA603" s="54"/>
      <c r="AB603" s="200">
        <f>IFERROR((VLOOKUP(F603&amp;K603&amp;M603,製品マスタ!$M$5:$AM$4999,27,FALSE)),"")</f>
        <v>0</v>
      </c>
      <c r="AC603" s="31"/>
      <c r="AD603" s="184"/>
      <c r="AE603" s="51"/>
      <c r="AF603" s="52"/>
      <c r="AG603" s="41"/>
      <c r="AH603" s="45"/>
      <c r="AI603" s="28"/>
      <c r="AJ603" s="28"/>
      <c r="AK603" s="28"/>
      <c r="AL603" s="28"/>
      <c r="AM603" s="12"/>
      <c r="AN603" s="12"/>
      <c r="AO603" s="12"/>
      <c r="AP603" s="12"/>
      <c r="AQ603" s="12"/>
      <c r="AR603" s="13"/>
      <c r="AS603" s="14"/>
    </row>
    <row r="604" spans="1:45" s="16" customFormat="1" ht="30.95" hidden="1" customHeight="1" x14ac:dyDescent="0.2">
      <c r="A604" s="35"/>
      <c r="B604" s="36"/>
      <c r="C604" s="43"/>
      <c r="D604" s="29"/>
      <c r="E604" s="29"/>
      <c r="F604" s="255" t="str">
        <f>IF(D604="","",VLOOKUP(D604,契約台帳!$A$3:$K$4986,6,FALSE)&amp;VLOOKUP(D604,契約台帳!$A$3:$K$4986,7,FALSE)&amp;VLOOKUP(D604,契約台帳!$A$3:$K$4986,8,FALSE)&amp;VLOOKUP(D604,契約台帳!$A$3:$K$4986,9,FALSE)&amp;VLOOKUP(D604,契約台帳!$A$3:$K$4986,11,FALSE))</f>
        <v/>
      </c>
      <c r="G604" s="256" t="str">
        <f>IF(D604="","",VLOOKUP(F604,製品マスタ!$G$5:$H$4999,2,FALSE))</f>
        <v/>
      </c>
      <c r="H604" s="256" t="str">
        <f>IF(D604="","",VLOOKUP(F604,製品マスタ!$G$5:$K$4999,5,FALSE))</f>
        <v/>
      </c>
      <c r="I604" s="200" t="str">
        <f>IF(D604="","",VLOOKUP(F604,製品マスタ!$G$5:$L$4999,6,FALSE))</f>
        <v/>
      </c>
      <c r="J604" s="203"/>
      <c r="K604" s="200" t="str">
        <f>IF(D604="","",VLOOKUP(D604,契約台帳!$A$3:$L$4986,12,FALSE))</f>
        <v/>
      </c>
      <c r="L604" s="200" t="str">
        <f>IF(D604="","",INDEX(製品マスタ!$Q$5:$Q$4999,MATCH('S4'!F604&amp;'S4'!K604,製品マスタ!$AO$5:$AO$4999,0)))</f>
        <v/>
      </c>
      <c r="M604" s="37"/>
      <c r="N604" s="37"/>
      <c r="O604" s="153"/>
      <c r="P604" s="45"/>
      <c r="Q604" s="54"/>
      <c r="R604" s="257" t="str">
        <f ca="1">IF(D604="","",IF(OFFSET(D604,-1,0)&lt;&gt;"","",IF(OR(J604="リード付け",J604="巻足し",J604="巻返しリード付け"),M604,VLOOKUP(D604,契約台帳!$A$3:$N$4986,14,FALSE))))</f>
        <v/>
      </c>
      <c r="S604" s="258" t="str">
        <f ca="1">IF(D604="","",IF(OFFSET(D604,-1,0)&lt;&gt;"","",IF(OR(J604="リード付け",J604="巻足し",J604="巻返しリード付け"),M604,VLOOKUP(D604,契約台帳!$A$3:$O$4986,15,FALSE))))</f>
        <v/>
      </c>
      <c r="T604" s="258" t="str">
        <f ca="1">IF(D604="","",IF(J604="リード付け",N604,IF(J604="巻返しリード付け",N604,IF(J604="巻足し",N604*P604+OFFSET(N604,1,0)*OFFSET(P604,1,0),VLOOKUP(D604,契約台帳!$A$3:$P$4986,16,FALSE)))))</f>
        <v/>
      </c>
      <c r="U604" s="38"/>
      <c r="V604" s="259" t="str">
        <f ca="1">IF(D604="","",IF(OFFSET(D604,-2,0)=D604,"",VLOOKUP(D604,契約台帳!$A$3:$R$4986,18,FALSE)))</f>
        <v/>
      </c>
      <c r="W604" s="256" t="str">
        <f>IF(D604="","",IF(T604="","",IF(OR(J604="巻足し",J604="巻返しリード付け"),"",IF(J604="巻返し",VLOOKUP(F604&amp;K604&amp;M604,製品マスタ!$M$5:$AD$4999,18,FALSE),IF(OR(J604="リード付け",J604="巻返しリード付け"),"原反コア",IF(J604="スリット",VLOOKUP(F604&amp;K604&amp;R604,製品マスタ!$N$5:$AD$4999,17,FALSE),""))))))</f>
        <v/>
      </c>
      <c r="X604" s="256" t="str">
        <f>IF(D604="","",IF(T604="","",IF(J604="巻足し","",IF(J604="巻返し",VLOOKUP(F604&amp;K604&amp;M604,製品マスタ!$M$5:$AE$4999,19,FALSE),IF(OR(J604="リード付け",J604="巻返しリード付け"),"",IF(J604="スリット",VLOOKUP(F604&amp;K604&amp;R604,製品マスタ!$N$5:$AE$4999,18,FALSE),""))))))</f>
        <v/>
      </c>
      <c r="Y604" s="256" t="str">
        <f>IF(D604="","",IF(T604="","",VLOOKUP(D604,契約台帳!$A$3:$Q$4986,17,FALSE)))</f>
        <v/>
      </c>
      <c r="Z604" s="256" t="str">
        <f>IF(D604="","",IF(T604="","",VLOOKUP(D604,契約台帳!$A$3:$E$4986,5,FALSE)))</f>
        <v/>
      </c>
      <c r="AA604" s="54"/>
      <c r="AB604" s="200" t="str">
        <f>IFERROR((VLOOKUP(F604&amp;K604&amp;M604,製品マスタ!$M$5:$AM$4999,27,FALSE)),"")</f>
        <v/>
      </c>
      <c r="AC604" s="31"/>
      <c r="AD604" s="184"/>
      <c r="AE604" s="51"/>
      <c r="AF604" s="52"/>
      <c r="AG604" s="41"/>
      <c r="AH604" s="45"/>
      <c r="AI604" s="28"/>
      <c r="AJ604" s="28"/>
      <c r="AK604" s="28"/>
      <c r="AL604" s="28"/>
      <c r="AM604" s="12"/>
      <c r="AN604" s="12"/>
      <c r="AO604" s="12"/>
      <c r="AP604" s="12"/>
      <c r="AQ604" s="12"/>
      <c r="AR604" s="13"/>
      <c r="AS604" s="14"/>
    </row>
    <row r="605" spans="1:45" s="16" customFormat="1" ht="30.95" hidden="1" customHeight="1" x14ac:dyDescent="0.2">
      <c r="A605" s="35" t="s">
        <v>1165</v>
      </c>
      <c r="B605" s="36" t="s">
        <v>1166</v>
      </c>
      <c r="C605" s="43"/>
      <c r="D605" s="29">
        <v>3712105</v>
      </c>
      <c r="E605" s="29">
        <v>4161930</v>
      </c>
      <c r="F605" s="255" t="str">
        <f>IF(D605="","",VLOOKUP(D605,契約台帳!$A$3:$K$4986,6,FALSE)&amp;VLOOKUP(D605,契約台帳!$A$3:$K$4986,7,FALSE)&amp;VLOOKUP(D605,契約台帳!$A$3:$K$4986,8,FALSE)&amp;VLOOKUP(D605,契約台帳!$A$3:$K$4986,9,FALSE)&amp;VLOOKUP(D605,契約台帳!$A$3:$K$4986,11,FALSE))</f>
        <v>3SNMLBMNGTBF</v>
      </c>
      <c r="G605" s="256" t="str">
        <f>IF(D605="","",VLOOKUP(F605,製品マスタ!$G$5:$H$4999,2,FALSE))</f>
        <v>S</v>
      </c>
      <c r="H605" s="256" t="str">
        <f>IF(D605="","",VLOOKUP(F605,製品マスタ!$G$5:$K$4999,5,FALSE))</f>
        <v>MNGTBF</v>
      </c>
      <c r="I605" s="200" t="str">
        <f>IF(D605="","",VLOOKUP(F605,製品マスタ!$G$5:$L$4999,6,FALSE))</f>
        <v>メタルミー　ネーマー　銀艶　Ｂ</v>
      </c>
      <c r="J605" s="203" t="s">
        <v>1164</v>
      </c>
      <c r="K605" s="200">
        <f>IF(D605="","",VLOOKUP(D605,契約台帳!$A$3:$L$4986,12,FALSE))</f>
        <v>50</v>
      </c>
      <c r="L605" s="200" t="str">
        <f>IF(D605="","",INDEX(製品マスタ!$Q$5:$Q$4999,MATCH('S4'!F605&amp;'S4'!K605,製品マスタ!$AO$5:$AO$4999,0)))</f>
        <v>T62</v>
      </c>
      <c r="M605" s="37">
        <v>1120</v>
      </c>
      <c r="N605" s="37">
        <v>5000</v>
      </c>
      <c r="O605" s="153">
        <v>14</v>
      </c>
      <c r="P605" s="45">
        <v>2</v>
      </c>
      <c r="Q605" s="206">
        <v>45075</v>
      </c>
      <c r="R605" s="257">
        <f ca="1">IF(D605="","",IF(OFFSET(D605,-1,0)&lt;&gt;"","",IF(OR(J605="リード付け",J605="巻足し",J605="巻返しリード付け"),M605,VLOOKUP(D605,契約台帳!$A$3:$N$4986,14,FALSE))))</f>
        <v>1120</v>
      </c>
      <c r="S605" s="258">
        <f ca="1">IF(D605="","",IF(OFFSET(D605,-1,0)&lt;&gt;"","",IF(OR(J605="リード付け",J605="巻足し",J605="巻返しリード付け"),M605,VLOOKUP(D605,契約台帳!$A$3:$O$4986,15,FALSE))))</f>
        <v>1120</v>
      </c>
      <c r="T605" s="258">
        <f ca="1">IF(D605="","",IF(J605="リード付け",N605,IF(J605="巻返しリード付け",N605,IF(J605="巻足し",N605*P605+OFFSET(N605,1,0)*OFFSET(P605,1,0),VLOOKUP(D605,契約台帳!$A$3:$P$4986,16,FALSE)))))</f>
        <v>10000</v>
      </c>
      <c r="U605" s="38">
        <v>7</v>
      </c>
      <c r="V605" s="259">
        <f ca="1">IF(D605="","",IF(OFFSET(D605,-2,0)=D605,"",VLOOKUP(D605,契約台帳!$A$3:$R$4986,18,FALSE)))</f>
        <v>15</v>
      </c>
      <c r="W605" s="256" t="str">
        <f ca="1">IF(D605="","",IF(T605="","",IF(OR(J605="巻足し",J605="巻返しリード付け"),"",IF(J605="巻返し",VLOOKUP(F605&amp;K605&amp;M605,製品マスタ!$M$5:$AD$4999,18,FALSE),IF(OR(J605="リード付け",J605="巻返しリード付け"),"原反コア",IF(J605="スリット",VLOOKUP(F605&amp;K605&amp;R605,製品マスタ!$N$5:$AD$4999,17,FALSE),""))))))</f>
        <v/>
      </c>
      <c r="X605" s="256" t="str">
        <f ca="1">IF(D605="","",IF(T605="","",IF(J605="巻足し","",IF(J605="巻返し",VLOOKUP(F605&amp;K605&amp;M605,製品マスタ!$M$5:$AE$4999,19,FALSE),IF(OR(J605="リード付け",J605="巻返しリード付け"),"",IF(J605="スリット",VLOOKUP(F605&amp;K605&amp;R605,製品マスタ!$N$5:$AE$4999,18,FALSE),""))))))</f>
        <v/>
      </c>
      <c r="Y605" s="256">
        <f ca="1">IF(D605="","",IF(T605="","",VLOOKUP(D605,契約台帳!$A$3:$Q$4986,17,FALSE)))</f>
        <v>2</v>
      </c>
      <c r="Z605" s="256" t="str">
        <f ca="1">IF(D605="","",IF(T605="","",VLOOKUP(D605,契約台帳!$A$3:$E$4986,5,FALSE)))</f>
        <v>リンテック㈱</v>
      </c>
      <c r="AA605" s="54"/>
      <c r="AB605" s="200" t="str">
        <f>IFERROR((VLOOKUP(F605&amp;K605&amp;M605,製品マスタ!$M$5:$AM$4999,27,FALSE)),"")</f>
        <v>原反ケース再利用</v>
      </c>
      <c r="AC605" s="31"/>
      <c r="AD605" s="184"/>
      <c r="AE605" s="51"/>
      <c r="AF605" s="52"/>
      <c r="AG605" s="41"/>
      <c r="AH605" s="45"/>
      <c r="AI605" s="28"/>
      <c r="AJ605" s="28"/>
      <c r="AK605" s="28"/>
      <c r="AL605" s="28"/>
      <c r="AM605" s="12"/>
      <c r="AN605" s="12"/>
      <c r="AO605" s="12"/>
      <c r="AP605" s="12"/>
      <c r="AQ605" s="12"/>
      <c r="AR605" s="13"/>
      <c r="AS605" s="14"/>
    </row>
    <row r="606" spans="1:45" s="16" customFormat="1" ht="30.95" hidden="1" customHeight="1" x14ac:dyDescent="0.2">
      <c r="A606" s="35"/>
      <c r="B606" s="36"/>
      <c r="C606" s="43"/>
      <c r="D606" s="29"/>
      <c r="E606" s="29"/>
      <c r="F606" s="255" t="str">
        <f>IF(D606="","",VLOOKUP(D606,契約台帳!$A$3:$K$4986,6,FALSE)&amp;VLOOKUP(D606,契約台帳!$A$3:$K$4986,7,FALSE)&amp;VLOOKUP(D606,契約台帳!$A$3:$K$4986,8,FALSE)&amp;VLOOKUP(D606,契約台帳!$A$3:$K$4986,9,FALSE)&amp;VLOOKUP(D606,契約台帳!$A$3:$K$4986,11,FALSE))</f>
        <v/>
      </c>
      <c r="G606" s="256" t="str">
        <f>IF(D606="","",VLOOKUP(F606,製品マスタ!$G$5:$H$4999,2,FALSE))</f>
        <v/>
      </c>
      <c r="H606" s="256" t="str">
        <f>IF(D606="","",VLOOKUP(F606,製品マスタ!$G$5:$K$4999,5,FALSE))</f>
        <v/>
      </c>
      <c r="I606" s="200" t="str">
        <f>IF(D606="","",VLOOKUP(F606,製品マスタ!$G$5:$L$4999,6,FALSE))</f>
        <v/>
      </c>
      <c r="J606" s="203"/>
      <c r="K606" s="200" t="str">
        <f>IF(D606="","",VLOOKUP(D606,契約台帳!$A$3:$L$4986,12,FALSE))</f>
        <v/>
      </c>
      <c r="L606" s="200" t="str">
        <f>IF(D606="","",INDEX(製品マスタ!$Q$5:$Q$4999,MATCH('S4'!F606&amp;'S4'!K606,製品マスタ!$AO$5:$AO$4999,0)))</f>
        <v/>
      </c>
      <c r="M606" s="37"/>
      <c r="N606" s="37"/>
      <c r="O606" s="153"/>
      <c r="P606" s="45"/>
      <c r="Q606" s="54"/>
      <c r="R606" s="257" t="str">
        <f ca="1">IF(D606="","",IF(OFFSET(D606,-1,0)&lt;&gt;"","",IF(OR(J606="リード付け",J606="巻足し",J606="巻返しリード付け"),M606,VLOOKUP(D606,契約台帳!$A$3:$N$4986,14,FALSE))))</f>
        <v/>
      </c>
      <c r="S606" s="258" t="str">
        <f ca="1">IF(D606="","",IF(OFFSET(D606,-1,0)&lt;&gt;"","",IF(OR(J606="リード付け",J606="巻足し",J606="巻返しリード付け"),M606,VLOOKUP(D606,契約台帳!$A$3:$O$4986,15,FALSE))))</f>
        <v/>
      </c>
      <c r="T606" s="258" t="str">
        <f ca="1">IF(D606="","",IF(J606="リード付け",N606,IF(J606="巻返しリード付け",N606,IF(J606="巻足し",N606*P606+OFFSET(N606,1,0)*OFFSET(P606,1,0),VLOOKUP(D606,契約台帳!$A$3:$P$4986,16,FALSE)))))</f>
        <v/>
      </c>
      <c r="U606" s="38"/>
      <c r="V606" s="259" t="str">
        <f ca="1">IF(D606="","",IF(OFFSET(D606,-2,0)=D606,"",VLOOKUP(D606,契約台帳!$A$3:$R$4986,18,FALSE)))</f>
        <v/>
      </c>
      <c r="W606" s="256" t="str">
        <f>IF(D606="","",IF(T606="","",IF(OR(J606="巻足し",J606="巻返しリード付け"),"",IF(J606="巻返し",VLOOKUP(F606&amp;K606&amp;M606,製品マスタ!$M$5:$AD$4999,18,FALSE),IF(OR(J606="リード付け",J606="巻返しリード付け"),"原反コア",IF(J606="スリット",VLOOKUP(F606&amp;K606&amp;R606,製品マスタ!$N$5:$AD$4999,17,FALSE),""))))))</f>
        <v/>
      </c>
      <c r="X606" s="256" t="str">
        <f>IF(D606="","",IF(T606="","",IF(J606="巻足し","",IF(J606="巻返し",VLOOKUP(F606&amp;K606&amp;M606,製品マスタ!$M$5:$AE$4999,19,FALSE),IF(OR(J606="リード付け",J606="巻返しリード付け"),"",IF(J606="スリット",VLOOKUP(F606&amp;K606&amp;R606,製品マスタ!$N$5:$AE$4999,18,FALSE),""))))))</f>
        <v/>
      </c>
      <c r="Y606" s="256" t="str">
        <f>IF(D606="","",IF(T606="","",VLOOKUP(D606,契約台帳!$A$3:$Q$4986,17,FALSE)))</f>
        <v/>
      </c>
      <c r="Z606" s="256" t="str">
        <f>IF(D606="","",IF(T606="","",VLOOKUP(D606,契約台帳!$A$3:$E$4986,5,FALSE)))</f>
        <v/>
      </c>
      <c r="AA606" s="54"/>
      <c r="AB606" s="200" t="str">
        <f>IFERROR((VLOOKUP(F606&amp;K606&amp;M606,製品マスタ!$M$5:$AM$4999,27,FALSE)),"")</f>
        <v/>
      </c>
      <c r="AC606" s="31"/>
      <c r="AD606" s="184"/>
      <c r="AE606" s="51"/>
      <c r="AF606" s="52"/>
      <c r="AG606" s="41"/>
      <c r="AH606" s="45"/>
      <c r="AI606" s="28"/>
      <c r="AJ606" s="28"/>
      <c r="AK606" s="28"/>
      <c r="AL606" s="28"/>
      <c r="AM606" s="12"/>
      <c r="AN606" s="12"/>
      <c r="AO606" s="12"/>
      <c r="AP606" s="12"/>
      <c r="AQ606" s="12"/>
      <c r="AR606" s="13"/>
      <c r="AS606" s="14"/>
    </row>
    <row r="607" spans="1:45" s="16" customFormat="1" ht="30.95" hidden="1" customHeight="1" x14ac:dyDescent="0.2">
      <c r="A607" s="35" t="s">
        <v>1167</v>
      </c>
      <c r="B607" s="36" t="s">
        <v>442</v>
      </c>
      <c r="C607" s="43"/>
      <c r="D607" s="29">
        <v>3712105</v>
      </c>
      <c r="E607" s="29">
        <v>4161930</v>
      </c>
      <c r="F607" s="255" t="str">
        <f>IF(D607="","",VLOOKUP(D607,契約台帳!$A$3:$K$4986,6,FALSE)&amp;VLOOKUP(D607,契約台帳!$A$3:$K$4986,7,FALSE)&amp;VLOOKUP(D607,契約台帳!$A$3:$K$4986,8,FALSE)&amp;VLOOKUP(D607,契約台帳!$A$3:$K$4986,9,FALSE)&amp;VLOOKUP(D607,契約台帳!$A$3:$K$4986,11,FALSE))</f>
        <v>3SNMLBMNGTBF</v>
      </c>
      <c r="G607" s="256" t="str">
        <f>IF(D607="","",VLOOKUP(F607,製品マスタ!$G$5:$H$4999,2,FALSE))</f>
        <v>S</v>
      </c>
      <c r="H607" s="256" t="str">
        <f>IF(D607="","",VLOOKUP(F607,製品マスタ!$G$5:$K$4999,5,FALSE))</f>
        <v>MNGTBF</v>
      </c>
      <c r="I607" s="200" t="str">
        <f>IF(D607="","",VLOOKUP(F607,製品マスタ!$G$5:$L$4999,6,FALSE))</f>
        <v>メタルミー　ネーマー　銀艶　Ｂ</v>
      </c>
      <c r="J607" s="203" t="s">
        <v>1164</v>
      </c>
      <c r="K607" s="200">
        <f>IF(D607="","",VLOOKUP(D607,契約台帳!$A$3:$L$4986,12,FALSE))</f>
        <v>50</v>
      </c>
      <c r="L607" s="200" t="str">
        <f>IF(D607="","",INDEX(製品マスタ!$Q$5:$Q$4999,MATCH('S4'!F607&amp;'S4'!K607,製品マスタ!$AO$5:$AO$4999,0)))</f>
        <v>T62</v>
      </c>
      <c r="M607" s="37">
        <v>1120</v>
      </c>
      <c r="N607" s="37">
        <v>5000</v>
      </c>
      <c r="O607" s="153">
        <v>1</v>
      </c>
      <c r="P607" s="45">
        <v>2</v>
      </c>
      <c r="Q607" s="206">
        <v>45075</v>
      </c>
      <c r="R607" s="257">
        <f ca="1">IF(D607="","",IF(OFFSET(D607,-1,0)&lt;&gt;"","",IF(OR(J607="リード付け",J607="巻足し",J607="巻返しリード付け"),M607,VLOOKUP(D607,契約台帳!$A$3:$N$4986,14,FALSE))))</f>
        <v>1120</v>
      </c>
      <c r="S607" s="258">
        <f ca="1">IF(D607="","",IF(OFFSET(D607,-1,0)&lt;&gt;"","",IF(OR(J607="リード付け",J607="巻足し",J607="巻返しリード付け"),M607,VLOOKUP(D607,契約台帳!$A$3:$O$4986,15,FALSE))))</f>
        <v>1120</v>
      </c>
      <c r="T607" s="258">
        <f ca="1">IF(D607="","",IF(J607="リード付け",N607,IF(J607="巻返しリード付け",N607,IF(J607="巻足し",N607*P607+OFFSET(N607,1,0)*OFFSET(P607,1,0),VLOOKUP(D607,契約台帳!$A$3:$P$4986,16,FALSE)))))</f>
        <v>10000</v>
      </c>
      <c r="U607" s="38">
        <v>1</v>
      </c>
      <c r="V607" s="259" t="str">
        <f ca="1">IF(D607="","",IF(OFFSET(D607,-2,0)=D607,"",VLOOKUP(D607,契約台帳!$A$3:$R$4986,18,FALSE)))</f>
        <v/>
      </c>
      <c r="W607" s="256" t="str">
        <f ca="1">IF(D607="","",IF(T607="","",IF(OR(J607="巻足し",J607="巻返しリード付け"),"",IF(J607="巻返し",VLOOKUP(F607&amp;K607&amp;M607,製品マスタ!$M$5:$AD$4999,18,FALSE),IF(OR(J607="リード付け",J607="巻返しリード付け"),"原反コア",IF(J607="スリット",VLOOKUP(F607&amp;K607&amp;R607,製品マスタ!$N$5:$AD$4999,17,FALSE),""))))))</f>
        <v/>
      </c>
      <c r="X607" s="256" t="str">
        <f ca="1">IF(D607="","",IF(T607="","",IF(J607="巻足し","",IF(J607="巻返し",VLOOKUP(F607&amp;K607&amp;M607,製品マスタ!$M$5:$AE$4999,19,FALSE),IF(OR(J607="リード付け",J607="巻返しリード付け"),"",IF(J607="スリット",VLOOKUP(F607&amp;K607&amp;R607,製品マスタ!$N$5:$AE$4999,18,FALSE),""))))))</f>
        <v/>
      </c>
      <c r="Y607" s="256">
        <f ca="1">IF(D607="","",IF(T607="","",VLOOKUP(D607,契約台帳!$A$3:$Q$4986,17,FALSE)))</f>
        <v>2</v>
      </c>
      <c r="Z607" s="256" t="str">
        <f ca="1">IF(D607="","",IF(T607="","",VLOOKUP(D607,契約台帳!$A$3:$E$4986,5,FALSE)))</f>
        <v>リンテック㈱</v>
      </c>
      <c r="AA607" s="54"/>
      <c r="AB607" s="200" t="str">
        <f>IFERROR((VLOOKUP(F607&amp;K607&amp;M607,製品マスタ!$M$5:$AM$4999,27,FALSE)),"")</f>
        <v>原反ケース再利用</v>
      </c>
      <c r="AC607" s="31"/>
      <c r="AD607" s="184"/>
      <c r="AE607" s="51"/>
      <c r="AF607" s="52"/>
      <c r="AG607" s="41"/>
      <c r="AH607" s="45"/>
      <c r="AI607" s="28"/>
      <c r="AJ607" s="28"/>
      <c r="AK607" s="28"/>
      <c r="AL607" s="28"/>
      <c r="AM607" s="12"/>
      <c r="AN607" s="12"/>
      <c r="AO607" s="12"/>
      <c r="AP607" s="12"/>
      <c r="AQ607" s="12"/>
      <c r="AR607" s="13"/>
      <c r="AS607" s="14"/>
    </row>
    <row r="608" spans="1:45" s="16" customFormat="1" ht="30.95" hidden="1" customHeight="1" x14ac:dyDescent="0.2">
      <c r="A608" s="35"/>
      <c r="B608" s="36"/>
      <c r="C608" s="43"/>
      <c r="D608" s="29">
        <v>3712106</v>
      </c>
      <c r="E608" s="29"/>
      <c r="F608" s="255" t="str">
        <f>IF(D608="","",VLOOKUP(D608,契約台帳!$A$3:$K$4986,6,FALSE)&amp;VLOOKUP(D608,契約台帳!$A$3:$K$4986,7,FALSE)&amp;VLOOKUP(D608,契約台帳!$A$3:$K$4986,8,FALSE)&amp;VLOOKUP(D608,契約台帳!$A$3:$K$4986,9,FALSE)&amp;VLOOKUP(D608,契約台帳!$A$3:$K$4986,11,FALSE))</f>
        <v>3SNMLBMNGTBF</v>
      </c>
      <c r="G608" s="256" t="str">
        <f>IF(D608="","",VLOOKUP(F608,製品マスタ!$G$5:$H$4999,2,FALSE))</f>
        <v>S</v>
      </c>
      <c r="H608" s="256" t="str">
        <f>IF(D608="","",VLOOKUP(F608,製品マスタ!$G$5:$K$4999,5,FALSE))</f>
        <v>MNGTBF</v>
      </c>
      <c r="I608" s="200" t="str">
        <f>IF(D608="","",VLOOKUP(F608,製品マスタ!$G$5:$L$4999,6,FALSE))</f>
        <v>メタルミー　ネーマー　銀艶　Ｂ</v>
      </c>
      <c r="J608" s="203" t="s">
        <v>1164</v>
      </c>
      <c r="K608" s="200">
        <f>IF(D608="","",VLOOKUP(D608,契約台帳!$A$3:$L$4986,12,FALSE))</f>
        <v>50</v>
      </c>
      <c r="L608" s="200" t="str">
        <f>IF(D608="","",INDEX(製品マスタ!$Q$5:$Q$4999,MATCH('S4'!F608&amp;'S4'!K608,製品マスタ!$AO$5:$AO$4999,0)))</f>
        <v>T62</v>
      </c>
      <c r="M608" s="37">
        <v>1120</v>
      </c>
      <c r="N608" s="37">
        <v>5000</v>
      </c>
      <c r="O608" s="153">
        <v>1</v>
      </c>
      <c r="P608" s="45"/>
      <c r="Q608" s="54"/>
      <c r="R608" s="257" t="str">
        <f ca="1">IF(D608="","",IF(OFFSET(D608,-1,0)&lt;&gt;"","",IF(OR(J608="リード付け",J608="巻足し",J608="巻返しリード付け"),M608,VLOOKUP(D608,契約台帳!$A$3:$N$4986,14,FALSE))))</f>
        <v/>
      </c>
      <c r="S608" s="258" t="str">
        <f ca="1">IF(D608="","",IF(OFFSET(D608,-1,0)&lt;&gt;"","",IF(OR(J608="リード付け",J608="巻足し",J608="巻返しリード付け"),M608,VLOOKUP(D608,契約台帳!$A$3:$O$4986,15,FALSE))))</f>
        <v/>
      </c>
      <c r="T608" s="258">
        <f ca="1">IF(D608="","",IF(J608="リード付け",N608,IF(J608="巻返しリード付け",N608,IF(J608="巻足し",N608*P608+OFFSET(N608,1,0)*OFFSET(P608,1,0),VLOOKUP(D608,契約台帳!$A$3:$P$4986,16,FALSE)))))</f>
        <v>0</v>
      </c>
      <c r="U608" s="38"/>
      <c r="V608" s="259">
        <f ca="1">IF(D608="","",IF(OFFSET(D608,-2,0)=D608,"",VLOOKUP(D608,契約台帳!$A$3:$R$4986,18,FALSE)))</f>
        <v>15</v>
      </c>
      <c r="W608" s="256" t="str">
        <f ca="1">IF(D608="","",IF(T608="","",IF(OR(J608="巻足し",J608="巻返しリード付け"),"",IF(J608="巻返し",VLOOKUP(F608&amp;K608&amp;M608,製品マスタ!$M$5:$AD$4999,18,FALSE),IF(OR(J608="リード付け",J608="巻返しリード付け"),"原反コア",IF(J608="スリット",VLOOKUP(F608&amp;K608&amp;R608,製品マスタ!$N$5:$AD$4999,17,FALSE),""))))))</f>
        <v/>
      </c>
      <c r="X608" s="256" t="str">
        <f ca="1">IF(D608="","",IF(T608="","",IF(J608="巻足し","",IF(J608="巻返し",VLOOKUP(F608&amp;K608&amp;M608,製品マスタ!$M$5:$AE$4999,19,FALSE),IF(OR(J608="リード付け",J608="巻返しリード付け"),"",IF(J608="スリット",VLOOKUP(F608&amp;K608&amp;R608,製品マスタ!$N$5:$AE$4999,18,FALSE),""))))))</f>
        <v/>
      </c>
      <c r="Y608" s="256">
        <f ca="1">IF(D608="","",IF(T608="","",VLOOKUP(D608,契約台帳!$A$3:$Q$4986,17,FALSE)))</f>
        <v>2</v>
      </c>
      <c r="Z608" s="256" t="str">
        <f ca="1">IF(D608="","",IF(T608="","",VLOOKUP(D608,契約台帳!$A$3:$E$4986,5,FALSE)))</f>
        <v>リンテック㈱</v>
      </c>
      <c r="AA608" s="54"/>
      <c r="AB608" s="200" t="str">
        <f>IFERROR((VLOOKUP(F608&amp;K608&amp;M608,製品マスタ!$M$5:$AM$4999,27,FALSE)),"")</f>
        <v>原反ケース再利用</v>
      </c>
      <c r="AC608" s="31"/>
      <c r="AD608" s="184"/>
      <c r="AE608" s="51"/>
      <c r="AF608" s="52"/>
      <c r="AG608" s="41"/>
      <c r="AH608" s="45"/>
      <c r="AI608" s="28"/>
      <c r="AJ608" s="28"/>
      <c r="AK608" s="28"/>
      <c r="AL608" s="28"/>
      <c r="AM608" s="12"/>
      <c r="AN608" s="12"/>
      <c r="AO608" s="12"/>
      <c r="AP608" s="12"/>
      <c r="AQ608" s="12"/>
      <c r="AR608" s="13"/>
      <c r="AS608" s="14"/>
    </row>
    <row r="609" spans="1:45" s="16" customFormat="1" ht="30.95" hidden="1" customHeight="1" x14ac:dyDescent="0.2">
      <c r="A609" s="35"/>
      <c r="B609" s="36"/>
      <c r="C609" s="43"/>
      <c r="D609" s="29"/>
      <c r="E609" s="29"/>
      <c r="F609" s="255"/>
      <c r="G609" s="256"/>
      <c r="H609" s="256"/>
      <c r="I609" s="200"/>
      <c r="J609" s="203"/>
      <c r="K609" s="200"/>
      <c r="L609" s="200"/>
      <c r="M609" s="37"/>
      <c r="N609" s="37"/>
      <c r="O609" s="153"/>
      <c r="P609" s="45"/>
      <c r="Q609" s="54"/>
      <c r="R609" s="257"/>
      <c r="S609" s="258"/>
      <c r="T609" s="258"/>
      <c r="U609" s="38"/>
      <c r="V609" s="259"/>
      <c r="W609" s="256"/>
      <c r="X609" s="256"/>
      <c r="Y609" s="256"/>
      <c r="Z609" s="256"/>
      <c r="AA609" s="54"/>
      <c r="AB609" s="200"/>
      <c r="AC609" s="31"/>
      <c r="AD609" s="184"/>
      <c r="AE609" s="51"/>
      <c r="AF609" s="52"/>
      <c r="AG609" s="41"/>
      <c r="AH609" s="45"/>
      <c r="AI609" s="28"/>
      <c r="AJ609" s="28"/>
      <c r="AK609" s="28"/>
      <c r="AL609" s="28"/>
      <c r="AM609" s="12"/>
      <c r="AN609" s="12"/>
      <c r="AO609" s="12"/>
      <c r="AP609" s="12"/>
      <c r="AQ609" s="12"/>
      <c r="AR609" s="13"/>
      <c r="AS609" s="14"/>
    </row>
    <row r="610" spans="1:45" s="16" customFormat="1" ht="30.95" hidden="1" customHeight="1" x14ac:dyDescent="0.2">
      <c r="A610" s="35"/>
      <c r="B610" s="36"/>
      <c r="C610" s="43"/>
      <c r="D610" s="29">
        <v>3712106</v>
      </c>
      <c r="E610" s="29">
        <v>4161931</v>
      </c>
      <c r="F610" s="255" t="str">
        <f>IF(D610="","",VLOOKUP(D610,契約台帳!$A$3:$K$4986,6,FALSE)&amp;VLOOKUP(D610,契約台帳!$A$3:$K$4986,7,FALSE)&amp;VLOOKUP(D610,契約台帳!$A$3:$K$4986,8,FALSE)&amp;VLOOKUP(D610,契約台帳!$A$3:$K$4986,9,FALSE)&amp;VLOOKUP(D610,契約台帳!$A$3:$K$4986,11,FALSE))</f>
        <v>3SNMLBMNGTBF</v>
      </c>
      <c r="G610" s="256" t="str">
        <f>IF(D610="","",VLOOKUP(F610,製品マスタ!$G$5:$H$4999,2,FALSE))</f>
        <v>S</v>
      </c>
      <c r="H610" s="256" t="str">
        <f>IF(D610="","",VLOOKUP(F610,製品マスタ!$G$5:$K$4999,5,FALSE))</f>
        <v>MNGTBF</v>
      </c>
      <c r="I610" s="200" t="str">
        <f>IF(D610="","",VLOOKUP(F610,製品マスタ!$G$5:$L$4999,6,FALSE))</f>
        <v>メタルミー　ネーマー　銀艶　Ｂ</v>
      </c>
      <c r="J610" s="203" t="s">
        <v>1164</v>
      </c>
      <c r="K610" s="200">
        <f>IF(D610="","",VLOOKUP(D610,契約台帳!$A$3:$L$4986,12,FALSE))</f>
        <v>50</v>
      </c>
      <c r="L610" s="200" t="str">
        <f>IF(D610="","",INDEX(製品マスタ!$Q$5:$Q$4999,MATCH('S4'!F610&amp;'S4'!K610,製品マスタ!$AO$5:$AO$4999,0)))</f>
        <v>T62</v>
      </c>
      <c r="M610" s="37">
        <v>1120</v>
      </c>
      <c r="N610" s="37">
        <v>5000</v>
      </c>
      <c r="O610" s="153">
        <v>14</v>
      </c>
      <c r="P610" s="45">
        <v>2</v>
      </c>
      <c r="Q610" s="206">
        <v>45075</v>
      </c>
      <c r="R610" s="257">
        <f ca="1">IF(D610="","",IF(OFFSET(D610,-1,0)&lt;&gt;"","",IF(OR(J610="リード付け",J610="巻足し",J610="巻返しリード付け"),M610,VLOOKUP(D610,契約台帳!$A$3:$N$4986,14,FALSE))))</f>
        <v>1120</v>
      </c>
      <c r="S610" s="258">
        <f ca="1">IF(D610="","",IF(OFFSET(D610,-1,0)&lt;&gt;"","",IF(OR(J610="リード付け",J610="巻足し",J610="巻返しリード付け"),M610,VLOOKUP(D610,契約台帳!$A$3:$O$4986,15,FALSE))))</f>
        <v>1120</v>
      </c>
      <c r="T610" s="258">
        <f ca="1">IF(D610="","",IF(J610="リード付け",N610,IF(J610="巻返しリード付け",N610,IF(J610="巻足し",N610*P610+OFFSET(N610,1,0)*OFFSET(P610,1,0),VLOOKUP(D610,契約台帳!$A$3:$P$4986,16,FALSE)))))</f>
        <v>10000</v>
      </c>
      <c r="U610" s="38">
        <v>7</v>
      </c>
      <c r="V610" s="259" t="str">
        <f ca="1">IF(D610="","",IF(OFFSET(D610,-2,0)=D610,"",VLOOKUP(D610,契約台帳!$A$3:$R$4986,18,FALSE)))</f>
        <v/>
      </c>
      <c r="W610" s="256" t="str">
        <f ca="1">IF(D610="","",IF(T610="","",IF(OR(J610="巻足し",J610="巻返しリード付け"),"",IF(J610="巻返し",VLOOKUP(F610&amp;K610&amp;M610,製品マスタ!$M$5:$AD$4999,18,FALSE),IF(OR(J610="リード付け",J610="巻返しリード付け"),"原反コア",IF(J610="スリット",VLOOKUP(F610&amp;K610&amp;R610,製品マスタ!$N$5:$AD$4999,17,FALSE),""))))))</f>
        <v/>
      </c>
      <c r="X610" s="256" t="str">
        <f ca="1">IF(D610="","",IF(T610="","",IF(J610="巻足し","",IF(J610="巻返し",VLOOKUP(F610&amp;K610&amp;M610,製品マスタ!$M$5:$AE$4999,19,FALSE),IF(OR(J610="リード付け",J610="巻返しリード付け"),"",IF(J610="スリット",VLOOKUP(F610&amp;K610&amp;R610,製品マスタ!$N$5:$AE$4999,18,FALSE),""))))))</f>
        <v/>
      </c>
      <c r="Y610" s="256">
        <f ca="1">IF(D610="","",IF(T610="","",VLOOKUP(D610,契約台帳!$A$3:$Q$4986,17,FALSE)))</f>
        <v>2</v>
      </c>
      <c r="Z610" s="256" t="str">
        <f ca="1">IF(D610="","",IF(T610="","",VLOOKUP(D610,契約台帳!$A$3:$E$4986,5,FALSE)))</f>
        <v>リンテック㈱</v>
      </c>
      <c r="AA610" s="54"/>
      <c r="AB610" s="200" t="str">
        <f>IFERROR((VLOOKUP(F610&amp;K610&amp;M610,製品マスタ!$M$5:$AM$4999,27,FALSE)),"")</f>
        <v>原反ケース再利用</v>
      </c>
      <c r="AC610" s="31"/>
      <c r="AD610" s="184"/>
      <c r="AE610" s="51"/>
      <c r="AF610" s="52"/>
      <c r="AG610" s="41"/>
      <c r="AH610" s="45"/>
      <c r="AI610" s="28"/>
      <c r="AJ610" s="28"/>
      <c r="AK610" s="28"/>
      <c r="AL610" s="28"/>
      <c r="AM610" s="12"/>
      <c r="AN610" s="12"/>
      <c r="AO610" s="12"/>
      <c r="AP610" s="12"/>
      <c r="AQ610" s="12"/>
      <c r="AR610" s="13"/>
      <c r="AS610" s="14"/>
    </row>
    <row r="611" spans="1:45" s="16" customFormat="1" ht="30.95" hidden="1" customHeight="1" x14ac:dyDescent="0.2">
      <c r="A611" s="35"/>
      <c r="B611" s="36"/>
      <c r="C611" s="43"/>
      <c r="D611" s="29"/>
      <c r="E611" s="29"/>
      <c r="F611" s="255"/>
      <c r="G611" s="256"/>
      <c r="H611" s="256"/>
      <c r="I611" s="200"/>
      <c r="J611" s="203"/>
      <c r="K611" s="200"/>
      <c r="L611" s="200"/>
      <c r="M611" s="37"/>
      <c r="N611" s="37"/>
      <c r="O611" s="153"/>
      <c r="P611" s="45"/>
      <c r="Q611" s="54"/>
      <c r="R611" s="257"/>
      <c r="S611" s="258"/>
      <c r="T611" s="258"/>
      <c r="U611" s="38"/>
      <c r="V611" s="259"/>
      <c r="W611" s="256"/>
      <c r="X611" s="256"/>
      <c r="Y611" s="256"/>
      <c r="Z611" s="256"/>
      <c r="AA611" s="54"/>
      <c r="AB611" s="200"/>
      <c r="AC611" s="31"/>
      <c r="AD611" s="184"/>
      <c r="AE611" s="51"/>
      <c r="AF611" s="52"/>
      <c r="AG611" s="41"/>
      <c r="AH611" s="45"/>
      <c r="AI611" s="28"/>
      <c r="AJ611" s="28"/>
      <c r="AK611" s="28"/>
      <c r="AL611" s="28"/>
      <c r="AM611" s="12"/>
      <c r="AN611" s="12"/>
      <c r="AO611" s="12"/>
      <c r="AP611" s="12"/>
      <c r="AQ611" s="12"/>
      <c r="AR611" s="13"/>
      <c r="AS611" s="14"/>
    </row>
    <row r="612" spans="1:45" s="16" customFormat="1" ht="30.95" hidden="1" customHeight="1" x14ac:dyDescent="0.2">
      <c r="A612" s="35" t="s">
        <v>1169</v>
      </c>
      <c r="B612" s="36" t="s">
        <v>443</v>
      </c>
      <c r="C612" s="43"/>
      <c r="D612" s="29">
        <v>3712104</v>
      </c>
      <c r="E612" s="29">
        <v>4161925</v>
      </c>
      <c r="F612" s="255" t="str">
        <f>IF(D612="","",VLOOKUP(D612,契約台帳!$A$3:$K$4986,6,FALSE)&amp;VLOOKUP(D612,契約台帳!$A$3:$K$4986,7,FALSE)&amp;VLOOKUP(D612,契約台帳!$A$3:$K$4986,8,FALSE)&amp;VLOOKUP(D612,契約台帳!$A$3:$K$4986,9,FALSE)&amp;VLOOKUP(D612,契約台帳!$A$3:$K$4986,11,FALSE))</f>
        <v>3SNMLBMNGKBF</v>
      </c>
      <c r="G612" s="256" t="str">
        <f>IF(D612="","",VLOOKUP(F612,製品マスタ!$G$5:$H$4999,2,FALSE))</f>
        <v>S</v>
      </c>
      <c r="H612" s="256" t="str">
        <f>IF(D612="","",VLOOKUP(F612,製品マスタ!$G$5:$K$4999,5,FALSE))</f>
        <v>MNGKBF</v>
      </c>
      <c r="I612" s="200" t="str">
        <f>IF(D612="","",VLOOKUP(F612,製品マスタ!$G$5:$L$4999,6,FALSE))</f>
        <v>メタルミー　ネーマー銀消　Ｂ</v>
      </c>
      <c r="J612" s="203" t="s">
        <v>1164</v>
      </c>
      <c r="K612" s="200">
        <f>IF(D612="","",VLOOKUP(D612,契約台帳!$A$3:$L$4986,12,FALSE))</f>
        <v>75</v>
      </c>
      <c r="L612" s="200" t="str">
        <f>IF(D612="","",INDEX(製品マスタ!$Q$5:$Q$4999,MATCH('S4'!F612&amp;'S4'!K612,製品マスタ!$AO$5:$AO$4999,0)))</f>
        <v>MAT</v>
      </c>
      <c r="M612" s="37">
        <v>1050</v>
      </c>
      <c r="N612" s="37">
        <v>2000</v>
      </c>
      <c r="O612" s="153">
        <v>2</v>
      </c>
      <c r="P612" s="45">
        <v>2</v>
      </c>
      <c r="Q612" s="206">
        <v>45075</v>
      </c>
      <c r="R612" s="257">
        <f ca="1">IF(D612="","",IF(OFFSET(D612,-1,0)&lt;&gt;"","",IF(OR(J612="リード付け",J612="巻足し",J612="巻返しリード付け"),M612,VLOOKUP(D612,契約台帳!$A$3:$N$4986,14,FALSE))))</f>
        <v>1050</v>
      </c>
      <c r="S612" s="258">
        <f ca="1">IF(D612="","",IF(OFFSET(D612,-1,0)&lt;&gt;"","",IF(OR(J612="リード付け",J612="巻足し",J612="巻返しリード付け"),M612,VLOOKUP(D612,契約台帳!$A$3:$O$4986,15,FALSE))))</f>
        <v>1050</v>
      </c>
      <c r="T612" s="258">
        <f ca="1">IF(D612="","",IF(J612="リード付け",N612,IF(J612="巻返しリード付け",N612,IF(J612="巻足し",N612*P612+OFFSET(N612,1,0)*OFFSET(P612,1,0),VLOOKUP(D612,契約台帳!$A$3:$P$4986,16,FALSE)))))</f>
        <v>4000</v>
      </c>
      <c r="U612" s="38">
        <v>1</v>
      </c>
      <c r="V612" s="259">
        <f ca="1">IF(D612="","",IF(OFFSET(D612,-2,0)=D612,"",VLOOKUP(D612,契約台帳!$A$3:$R$4986,18,FALSE)))</f>
        <v>2</v>
      </c>
      <c r="W612" s="256" t="str">
        <f ca="1">IF(D612="","",IF(T612="","",IF(OR(J612="巻足し",J612="巻返しリード付け"),"",IF(J612="巻返し",VLOOKUP(F612&amp;K612&amp;M612,製品マスタ!$M$5:$AD$4999,18,FALSE),IF(OR(J612="リード付け",J612="巻返しリード付け"),"原反コア",IF(J612="スリット",VLOOKUP(F612&amp;K612&amp;R612,製品マスタ!$N$5:$AD$4999,17,FALSE),""))))))</f>
        <v/>
      </c>
      <c r="X612" s="256" t="str">
        <f ca="1">IF(D612="","",IF(T612="","",IF(J612="巻足し","",IF(J612="巻返し",VLOOKUP(F612&amp;K612&amp;M612,製品マスタ!$M$5:$AE$4999,19,FALSE),IF(OR(J612="リード付け",J612="巻返しリード付け"),"",IF(J612="スリット",VLOOKUP(F612&amp;K612&amp;R612,製品マスタ!$N$5:$AE$4999,18,FALSE),""))))))</f>
        <v/>
      </c>
      <c r="Y612" s="256">
        <f ca="1">IF(D612="","",IF(T612="","",VLOOKUP(D612,契約台帳!$A$3:$Q$4986,17,FALSE)))</f>
        <v>2</v>
      </c>
      <c r="Z612" s="256" t="str">
        <f ca="1">IF(D612="","",IF(T612="","",VLOOKUP(D612,契約台帳!$A$3:$E$4986,5,FALSE)))</f>
        <v>リンテック㈱</v>
      </c>
      <c r="AA612" s="54"/>
      <c r="AB612" s="200">
        <f>IFERROR((VLOOKUP(F612&amp;K612&amp;M612,製品マスタ!$M$5:$AM$4999,27,FALSE)),"")</f>
        <v>0</v>
      </c>
      <c r="AC612" s="31"/>
      <c r="AD612" s="184"/>
      <c r="AE612" s="51"/>
      <c r="AF612" s="52">
        <f>+M612*N612*O612/1000</f>
        <v>4200</v>
      </c>
      <c r="AG612" s="41"/>
      <c r="AH612" s="45"/>
      <c r="AI612" s="28"/>
      <c r="AJ612" s="28"/>
      <c r="AK612" s="28"/>
      <c r="AL612" s="28"/>
      <c r="AM612" s="12"/>
      <c r="AN612" s="12"/>
      <c r="AO612" s="12"/>
      <c r="AP612" s="12"/>
      <c r="AQ612" s="12"/>
      <c r="AR612" s="13"/>
      <c r="AS612" s="14"/>
    </row>
    <row r="613" spans="1:45" s="16" customFormat="1" ht="30.95" hidden="1" customHeight="1" x14ac:dyDescent="0.2">
      <c r="A613" s="35"/>
      <c r="B613" s="36"/>
      <c r="C613" s="43"/>
      <c r="D613" s="29"/>
      <c r="E613" s="29"/>
      <c r="F613" s="255"/>
      <c r="G613" s="256"/>
      <c r="H613" s="256"/>
      <c r="I613" s="200"/>
      <c r="J613" s="203"/>
      <c r="K613" s="200"/>
      <c r="L613" s="200"/>
      <c r="M613" s="37"/>
      <c r="N613" s="37"/>
      <c r="O613" s="153"/>
      <c r="P613" s="45"/>
      <c r="Q613" s="54"/>
      <c r="R613" s="257"/>
      <c r="S613" s="258"/>
      <c r="T613" s="258"/>
      <c r="U613" s="38"/>
      <c r="V613" s="259"/>
      <c r="W613" s="256"/>
      <c r="X613" s="256"/>
      <c r="Y613" s="256"/>
      <c r="Z613" s="256"/>
      <c r="AA613" s="54"/>
      <c r="AB613" s="200"/>
      <c r="AC613" s="31"/>
      <c r="AD613" s="184"/>
      <c r="AE613" s="51"/>
      <c r="AF613" s="52"/>
      <c r="AG613" s="41"/>
      <c r="AH613" s="45"/>
      <c r="AI613" s="28"/>
      <c r="AJ613" s="28"/>
      <c r="AK613" s="28"/>
      <c r="AL613" s="28"/>
      <c r="AM613" s="12"/>
      <c r="AN613" s="12"/>
      <c r="AO613" s="12"/>
      <c r="AP613" s="12"/>
      <c r="AQ613" s="12"/>
      <c r="AR613" s="13"/>
      <c r="AS613" s="14"/>
    </row>
    <row r="614" spans="1:45" s="16" customFormat="1" ht="30.95" hidden="1" customHeight="1" x14ac:dyDescent="0.2">
      <c r="A614" s="35"/>
      <c r="B614" s="36"/>
      <c r="C614" s="43"/>
      <c r="D614" s="29">
        <v>3708722</v>
      </c>
      <c r="E614" s="29">
        <v>4161938</v>
      </c>
      <c r="F614" s="255" t="str">
        <f>IF(D614="","",VLOOKUP(D614,契約台帳!$A$3:$K$4986,6,FALSE)&amp;VLOOKUP(D614,契約台帳!$A$3:$K$4986,7,FALSE)&amp;VLOOKUP(D614,契約台帳!$A$3:$K$4986,8,FALSE)&amp;VLOOKUP(D614,契約台帳!$A$3:$K$4986,9,FALSE)&amp;VLOOKUP(D614,契約台帳!$A$3:$K$4986,11,FALSE))</f>
        <v>3SNMCLBHLGTV</v>
      </c>
      <c r="G614" s="256" t="str">
        <f>IF(D614="","",VLOOKUP(F614,製品マスタ!$G$5:$H$4999,2,FALSE))</f>
        <v>S</v>
      </c>
      <c r="H614" s="256" t="str">
        <f>IF(D614="","",VLOOKUP(F614,製品マスタ!$G$5:$K$4999,5,FALSE))</f>
        <v>HLGTV</v>
      </c>
      <c r="I614" s="200" t="str">
        <f>IF(D614="","",VLOOKUP(F614,製品マスタ!$G$5:$L$4999,6,FALSE))</f>
        <v>メタルミー　ヘヤライン　銀艶Ｖ</v>
      </c>
      <c r="J614" s="203" t="s">
        <v>935</v>
      </c>
      <c r="K614" s="200">
        <f>IF(D614="","",VLOOKUP(D614,契約台帳!$A$3:$L$4986,12,FALSE))</f>
        <v>50</v>
      </c>
      <c r="L614" s="200" t="str">
        <f>IF(D614="","",INDEX(製品マスタ!$Q$5:$Q$4999,MATCH('S4'!F614&amp;'S4'!K614,製品マスタ!$AO$5:$AO$4999,0)))</f>
        <v>BRIGHT</v>
      </c>
      <c r="M614" s="37">
        <v>1005</v>
      </c>
      <c r="N614" s="37">
        <v>4100</v>
      </c>
      <c r="O614" s="153">
        <v>1</v>
      </c>
      <c r="P614" s="45">
        <v>2</v>
      </c>
      <c r="Q614" s="206">
        <v>45042</v>
      </c>
      <c r="R614" s="257">
        <f ca="1">IF(D614="","",IF(OFFSET(D614,-1,0)&lt;&gt;"","",IF(OR(J614="リード付け",J614="巻足し",J614="巻返しリード付け"),M614,VLOOKUP(D614,契約台帳!$A$3:$N$4986,14,FALSE))))</f>
        <v>1005</v>
      </c>
      <c r="S614" s="258">
        <f ca="1">IF(D614="","",IF(OFFSET(D614,-1,0)&lt;&gt;"","",IF(OR(J614="リード付け",J614="巻足し",J614="巻返しリード付け"),M614,VLOOKUP(D614,契約台帳!$A$3:$O$4986,15,FALSE))))</f>
        <v>1005</v>
      </c>
      <c r="T614" s="258">
        <f ca="1">IF(D614="","",IF(J614="リード付け",N614,IF(J614="巻返しリード付け",N614,IF(J614="巻足し",N614*P614+OFFSET(N614,1,0)*OFFSET(P614,1,0),VLOOKUP(D614,契約台帳!$A$3:$P$4986,16,FALSE)))))</f>
        <v>8200</v>
      </c>
      <c r="U614" s="38">
        <v>1</v>
      </c>
      <c r="V614" s="259">
        <f ca="1">IF(D614="","",IF(OFFSET(D614,-2,0)=D614,"",VLOOKUP(D614,契約台帳!$A$3:$R$4986,18,FALSE)))</f>
        <v>2</v>
      </c>
      <c r="W614" s="256" t="str">
        <f ca="1">IF(D614="","",IF(T614="","",IF(OR(J614="巻足し",J614="巻返しリード付け"),"",IF(J614="巻返し",VLOOKUP(F614&amp;K614&amp;M614,製品マスタ!$M$5:$AD$4999,18,FALSE),IF(OR(J614="リード付け",J614="巻返しリード付け"),"原反コア",IF(J614="スリット",VLOOKUP(F614&amp;K614&amp;R614,製品マスタ!$N$5:$AD$4999,17,FALSE),""))))))</f>
        <v/>
      </c>
      <c r="X614" s="256" t="str">
        <f ca="1">IF(D614="","",IF(T614="","",IF(J614="巻足し","",IF(J614="巻返し",VLOOKUP(F614&amp;K614&amp;M614,製品マスタ!$M$5:$AE$4999,19,FALSE),IF(OR(J614="リード付け",J614="巻返しリード付け"),"",IF(J614="スリット",VLOOKUP(F614&amp;K614&amp;R614,製品マスタ!$N$5:$AE$4999,18,FALSE),""))))))</f>
        <v/>
      </c>
      <c r="Y614" s="256">
        <f ca="1">IF(D614="","",IF(T614="","",VLOOKUP(D614,契約台帳!$A$3:$Q$4986,17,FALSE)))</f>
        <v>2</v>
      </c>
      <c r="Z614" s="256" t="str">
        <f ca="1">IF(D614="","",IF(T614="","",VLOOKUP(D614,契約台帳!$A$3:$E$4986,5,FALSE)))</f>
        <v>リンテック㈱</v>
      </c>
      <c r="AA614" s="54"/>
      <c r="AB614" s="200">
        <f>IFERROR((VLOOKUP(F614&amp;K614&amp;M614,製品マスタ!$M$5:$AM$4999,27,FALSE)),"")</f>
        <v>0</v>
      </c>
      <c r="AC614" s="31"/>
      <c r="AD614" s="184"/>
      <c r="AE614" s="51"/>
      <c r="AF614" s="52">
        <f>+M614*N614*O614/1000</f>
        <v>4120.5</v>
      </c>
      <c r="AG614" s="41"/>
      <c r="AH614" s="45"/>
      <c r="AI614" s="28"/>
      <c r="AJ614" s="28"/>
      <c r="AK614" s="28"/>
      <c r="AL614" s="28"/>
      <c r="AM614" s="12"/>
      <c r="AN614" s="12"/>
      <c r="AO614" s="12"/>
      <c r="AP614" s="12"/>
      <c r="AQ614" s="12"/>
      <c r="AR614" s="13"/>
      <c r="AS614" s="14"/>
    </row>
    <row r="615" spans="1:45" s="16" customFormat="1" ht="30.95" hidden="1" customHeight="1" x14ac:dyDescent="0.2">
      <c r="A615" s="35"/>
      <c r="B615" s="36"/>
      <c r="C615" s="43"/>
      <c r="D615" s="29">
        <v>3712113</v>
      </c>
      <c r="E615" s="29"/>
      <c r="F615" s="255" t="str">
        <f>IF(D615="","",VLOOKUP(D615,契約台帳!$A$3:$K$4986,6,FALSE)&amp;VLOOKUP(D615,契約台帳!$A$3:$K$4986,7,FALSE)&amp;VLOOKUP(D615,契約台帳!$A$3:$K$4986,8,FALSE)&amp;VLOOKUP(D615,契約台帳!$A$3:$K$4986,9,FALSE)&amp;VLOOKUP(D615,契約台帳!$A$3:$K$4986,11,FALSE))</f>
        <v>3SNMCLBHLGTV</v>
      </c>
      <c r="G615" s="256" t="str">
        <f>IF(D615="","",VLOOKUP(F615,製品マスタ!$G$5:$H$4999,2,FALSE))</f>
        <v>S</v>
      </c>
      <c r="H615" s="256" t="str">
        <f>IF(D615="","",VLOOKUP(F615,製品マスタ!$G$5:$K$4999,5,FALSE))</f>
        <v>HLGTV</v>
      </c>
      <c r="I615" s="200" t="str">
        <f>IF(D615="","",VLOOKUP(F615,製品マスタ!$G$5:$L$4999,6,FALSE))</f>
        <v>メタルミー　ヘヤライン　銀艶Ｖ</v>
      </c>
      <c r="J615" s="203" t="s">
        <v>935</v>
      </c>
      <c r="K615" s="200">
        <f>IF(D615="","",VLOOKUP(D615,契約台帳!$A$3:$L$4986,12,FALSE))</f>
        <v>50</v>
      </c>
      <c r="L615" s="200" t="str">
        <f>IF(D615="","",INDEX(製品マスタ!$Q$5:$Q$4999,MATCH('S4'!F615&amp;'S4'!K615,製品マスタ!$AO$5:$AO$4999,0)))</f>
        <v>BRIGHT</v>
      </c>
      <c r="M615" s="37">
        <v>1005</v>
      </c>
      <c r="N615" s="37">
        <v>4100</v>
      </c>
      <c r="O615" s="153">
        <v>1</v>
      </c>
      <c r="P615" s="45"/>
      <c r="Q615" s="206">
        <v>45075</v>
      </c>
      <c r="R615" s="257" t="str">
        <f ca="1">IF(D615="","",IF(OFFSET(D615,-1,0)&lt;&gt;"","",IF(OR(J615="リード付け",J615="巻足し",J615="巻返しリード付け"),M615,VLOOKUP(D615,契約台帳!$A$3:$N$4986,14,FALSE))))</f>
        <v/>
      </c>
      <c r="S615" s="258" t="str">
        <f ca="1">IF(D615="","",IF(OFFSET(D615,-1,0)&lt;&gt;"","",IF(OR(J615="リード付け",J615="巻足し",J615="巻返しリード付け"),M615,VLOOKUP(D615,契約台帳!$A$3:$O$4986,15,FALSE))))</f>
        <v/>
      </c>
      <c r="T615" s="258">
        <f ca="1">IF(D615="","",IF(J615="リード付け",N615,IF(J615="巻返しリード付け",N615,IF(J615="巻足し",N615*P615+OFFSET(N615,1,0)*OFFSET(P615,1,0),VLOOKUP(D615,契約台帳!$A$3:$P$4986,16,FALSE)))))</f>
        <v>0</v>
      </c>
      <c r="U615" s="38"/>
      <c r="V615" s="259">
        <f ca="1">IF(D615="","",IF(OFFSET(D615,-2,0)=D615,"",VLOOKUP(D615,契約台帳!$A$3:$R$4986,18,FALSE)))</f>
        <v>3</v>
      </c>
      <c r="W615" s="256" t="str">
        <f ca="1">IF(D615="","",IF(T615="","",IF(OR(J615="巻足し",J615="巻返しリード付け"),"",IF(J615="巻返し",VLOOKUP(F615&amp;K615&amp;M615,製品マスタ!$M$5:$AD$4999,18,FALSE),IF(OR(J615="リード付け",J615="巻返しリード付け"),"原反コア",IF(J615="スリット",VLOOKUP(F615&amp;K615&amp;R615,製品マスタ!$N$5:$AD$4999,17,FALSE),""))))))</f>
        <v/>
      </c>
      <c r="X615" s="256" t="str">
        <f ca="1">IF(D615="","",IF(T615="","",IF(J615="巻足し","",IF(J615="巻返し",VLOOKUP(F615&amp;K615&amp;M615,製品マスタ!$M$5:$AE$4999,19,FALSE),IF(OR(J615="リード付け",J615="巻返しリード付け"),"",IF(J615="スリット",VLOOKUP(F615&amp;K615&amp;R615,製品マスタ!$N$5:$AE$4999,18,FALSE),""))))))</f>
        <v/>
      </c>
      <c r="Y615" s="256">
        <f ca="1">IF(D615="","",IF(T615="","",VLOOKUP(D615,契約台帳!$A$3:$Q$4986,17,FALSE)))</f>
        <v>2</v>
      </c>
      <c r="Z615" s="256" t="str">
        <f ca="1">IF(D615="","",IF(T615="","",VLOOKUP(D615,契約台帳!$A$3:$E$4986,5,FALSE)))</f>
        <v>リンテック㈱</v>
      </c>
      <c r="AA615" s="54"/>
      <c r="AB615" s="200">
        <f>IFERROR((VLOOKUP(F615&amp;K615&amp;M615,製品マスタ!$M$5:$AM$4999,27,FALSE)),"")</f>
        <v>0</v>
      </c>
      <c r="AC615" s="31"/>
      <c r="AD615" s="184"/>
      <c r="AE615" s="51"/>
      <c r="AF615" s="52">
        <f>+M615*N615*O615/1000</f>
        <v>4120.5</v>
      </c>
      <c r="AG615" s="41"/>
      <c r="AH615" s="45"/>
      <c r="AI615" s="28"/>
      <c r="AJ615" s="28"/>
      <c r="AK615" s="28"/>
      <c r="AL615" s="28"/>
      <c r="AM615" s="12"/>
      <c r="AN615" s="12"/>
      <c r="AO615" s="12"/>
      <c r="AP615" s="12"/>
      <c r="AQ615" s="12"/>
      <c r="AR615" s="13"/>
      <c r="AS615" s="14"/>
    </row>
    <row r="616" spans="1:45" s="16" customFormat="1" ht="30.95" hidden="1" customHeight="1" x14ac:dyDescent="0.2">
      <c r="A616" s="35"/>
      <c r="B616" s="36"/>
      <c r="C616" s="43"/>
      <c r="D616" s="29"/>
      <c r="E616" s="29"/>
      <c r="F616" s="255"/>
      <c r="G616" s="256"/>
      <c r="H616" s="256"/>
      <c r="I616" s="200"/>
      <c r="J616" s="203"/>
      <c r="K616" s="200"/>
      <c r="L616" s="200"/>
      <c r="M616" s="37"/>
      <c r="N616" s="37"/>
      <c r="O616" s="153"/>
      <c r="P616" s="45"/>
      <c r="Q616" s="54"/>
      <c r="R616" s="257"/>
      <c r="S616" s="258"/>
      <c r="T616" s="258"/>
      <c r="U616" s="38"/>
      <c r="V616" s="259"/>
      <c r="W616" s="256"/>
      <c r="X616" s="256"/>
      <c r="Y616" s="256"/>
      <c r="Z616" s="256"/>
      <c r="AA616" s="54"/>
      <c r="AB616" s="200"/>
      <c r="AC616" s="31"/>
      <c r="AD616" s="184"/>
      <c r="AE616" s="51"/>
      <c r="AF616" s="52"/>
      <c r="AG616" s="41"/>
      <c r="AH616" s="45"/>
      <c r="AI616" s="28"/>
      <c r="AJ616" s="28"/>
      <c r="AK616" s="28"/>
      <c r="AL616" s="28"/>
      <c r="AM616" s="12"/>
      <c r="AN616" s="12"/>
      <c r="AO616" s="12"/>
      <c r="AP616" s="12"/>
      <c r="AQ616" s="12"/>
      <c r="AR616" s="13"/>
      <c r="AS616" s="14"/>
    </row>
    <row r="617" spans="1:45" s="16" customFormat="1" ht="30.95" hidden="1" customHeight="1" x14ac:dyDescent="0.2">
      <c r="A617" s="35"/>
      <c r="B617" s="36"/>
      <c r="C617" s="43"/>
      <c r="D617" s="29">
        <v>3712113</v>
      </c>
      <c r="E617" s="29">
        <v>4161939</v>
      </c>
      <c r="F617" s="255" t="str">
        <f>IF(D617="","",VLOOKUP(D617,契約台帳!$A$3:$K$4986,6,FALSE)&amp;VLOOKUP(D617,契約台帳!$A$3:$K$4986,7,FALSE)&amp;VLOOKUP(D617,契約台帳!$A$3:$K$4986,8,FALSE)&amp;VLOOKUP(D617,契約台帳!$A$3:$K$4986,9,FALSE)&amp;VLOOKUP(D617,契約台帳!$A$3:$K$4986,11,FALSE))</f>
        <v>3SNMCLBHLGTV</v>
      </c>
      <c r="G617" s="256" t="str">
        <f>IF(D617="","",VLOOKUP(F617,製品マスタ!$G$5:$H$4999,2,FALSE))</f>
        <v>S</v>
      </c>
      <c r="H617" s="256" t="str">
        <f>IF(D617="","",VLOOKUP(F617,製品マスタ!$G$5:$K$4999,5,FALSE))</f>
        <v>HLGTV</v>
      </c>
      <c r="I617" s="200" t="str">
        <f>IF(D617="","",VLOOKUP(F617,製品マスタ!$G$5:$L$4999,6,FALSE))</f>
        <v>メタルミー　ヘヤライン　銀艶Ｖ</v>
      </c>
      <c r="J617" s="203" t="s">
        <v>935</v>
      </c>
      <c r="K617" s="200">
        <f>IF(D617="","",VLOOKUP(D617,契約台帳!$A$3:$L$4986,12,FALSE))</f>
        <v>50</v>
      </c>
      <c r="L617" s="200" t="str">
        <f>IF(D617="","",INDEX(製品マスタ!$Q$5:$Q$4999,MATCH('S4'!F617&amp;'S4'!K617,製品マスタ!$AO$5:$AO$4999,0)))</f>
        <v>BRIGHT</v>
      </c>
      <c r="M617" s="37">
        <v>1005</v>
      </c>
      <c r="N617" s="37">
        <v>4100</v>
      </c>
      <c r="O617" s="153">
        <v>2</v>
      </c>
      <c r="P617" s="45">
        <v>2</v>
      </c>
      <c r="Q617" s="206">
        <v>45075</v>
      </c>
      <c r="R617" s="257">
        <f ca="1">IF(D617="","",IF(OFFSET(D617,-1,0)&lt;&gt;"","",IF(OR(J617="リード付け",J617="巻足し",J617="巻返しリード付け"),M617,VLOOKUP(D617,契約台帳!$A$3:$N$4986,14,FALSE))))</f>
        <v>1005</v>
      </c>
      <c r="S617" s="258">
        <f ca="1">IF(D617="","",IF(OFFSET(D617,-1,0)&lt;&gt;"","",IF(OR(J617="リード付け",J617="巻足し",J617="巻返しリード付け"),M617,VLOOKUP(D617,契約台帳!$A$3:$O$4986,15,FALSE))))</f>
        <v>1005</v>
      </c>
      <c r="T617" s="258">
        <f ca="1">IF(D617="","",IF(J617="リード付け",N617,IF(J617="巻返しリード付け",N617,IF(J617="巻足し",N617*P617+OFFSET(N617,1,0)*OFFSET(P617,1,0),VLOOKUP(D617,契約台帳!$A$3:$P$4986,16,FALSE)))))</f>
        <v>8200</v>
      </c>
      <c r="U617" s="38">
        <v>1</v>
      </c>
      <c r="V617" s="259" t="str">
        <f ca="1">IF(D617="","",IF(OFFSET(D617,-2,0)=D617,"",VLOOKUP(D617,契約台帳!$A$3:$R$4986,18,FALSE)))</f>
        <v/>
      </c>
      <c r="W617" s="256" t="str">
        <f ca="1">IF(D617="","",IF(T617="","",IF(OR(J617="巻足し",J617="巻返しリード付け"),"",IF(J617="巻返し",VLOOKUP(F617&amp;K617&amp;M617,製品マスタ!$M$5:$AD$4999,18,FALSE),IF(OR(J617="リード付け",J617="巻返しリード付け"),"原反コア",IF(J617="スリット",VLOOKUP(F617&amp;K617&amp;R617,製品マスタ!$N$5:$AD$4999,17,FALSE),""))))))</f>
        <v/>
      </c>
      <c r="X617" s="256" t="str">
        <f ca="1">IF(D617="","",IF(T617="","",IF(J617="巻足し","",IF(J617="巻返し",VLOOKUP(F617&amp;K617&amp;M617,製品マスタ!$M$5:$AE$4999,19,FALSE),IF(OR(J617="リード付け",J617="巻返しリード付け"),"",IF(J617="スリット",VLOOKUP(F617&amp;K617&amp;R617,製品マスタ!$N$5:$AE$4999,18,FALSE),""))))))</f>
        <v/>
      </c>
      <c r="Y617" s="256">
        <f ca="1">IF(D617="","",IF(T617="","",VLOOKUP(D617,契約台帳!$A$3:$Q$4986,17,FALSE)))</f>
        <v>2</v>
      </c>
      <c r="Z617" s="256" t="str">
        <f ca="1">IF(D617="","",IF(T617="","",VLOOKUP(D617,契約台帳!$A$3:$E$4986,5,FALSE)))</f>
        <v>リンテック㈱</v>
      </c>
      <c r="AA617" s="54"/>
      <c r="AB617" s="200">
        <f>IFERROR((VLOOKUP(F617&amp;K617&amp;M617,製品マスタ!$M$5:$AM$4999,27,FALSE)),"")</f>
        <v>0</v>
      </c>
      <c r="AC617" s="31"/>
      <c r="AD617" s="184"/>
      <c r="AE617" s="51"/>
      <c r="AF617" s="52">
        <f>+M617*N617*O617/1000</f>
        <v>8241</v>
      </c>
      <c r="AG617" s="41"/>
      <c r="AH617" s="45"/>
      <c r="AI617" s="28"/>
      <c r="AJ617" s="28"/>
      <c r="AK617" s="28"/>
      <c r="AL617" s="28"/>
      <c r="AM617" s="12"/>
      <c r="AN617" s="12"/>
      <c r="AO617" s="12"/>
      <c r="AP617" s="12"/>
      <c r="AQ617" s="12"/>
      <c r="AR617" s="13"/>
      <c r="AS617" s="14"/>
    </row>
    <row r="618" spans="1:45" s="16" customFormat="1" ht="30.95" hidden="1" customHeight="1" x14ac:dyDescent="0.2">
      <c r="A618" s="35"/>
      <c r="B618" s="36"/>
      <c r="C618" s="43"/>
      <c r="D618" s="29"/>
      <c r="E618" s="29"/>
      <c r="F618" s="255"/>
      <c r="G618" s="256"/>
      <c r="H618" s="256"/>
      <c r="I618" s="200"/>
      <c r="J618" s="203"/>
      <c r="K618" s="200"/>
      <c r="L618" s="200"/>
      <c r="M618" s="37"/>
      <c r="N618" s="37"/>
      <c r="O618" s="153"/>
      <c r="P618" s="45"/>
      <c r="Q618" s="54"/>
      <c r="R618" s="257"/>
      <c r="S618" s="258"/>
      <c r="T618" s="258"/>
      <c r="U618" s="38"/>
      <c r="V618" s="259"/>
      <c r="W618" s="256"/>
      <c r="X618" s="256"/>
      <c r="Y618" s="256"/>
      <c r="Z618" s="256"/>
      <c r="AA618" s="54"/>
      <c r="AB618" s="200"/>
      <c r="AC618" s="31"/>
      <c r="AD618" s="184"/>
      <c r="AE618" s="51"/>
      <c r="AF618" s="52"/>
      <c r="AG618" s="41"/>
      <c r="AH618" s="45"/>
      <c r="AI618" s="28"/>
      <c r="AJ618" s="28"/>
      <c r="AK618" s="28"/>
      <c r="AL618" s="28"/>
      <c r="AM618" s="12"/>
      <c r="AN618" s="12"/>
      <c r="AO618" s="12"/>
      <c r="AP618" s="12"/>
      <c r="AQ618" s="12"/>
      <c r="AR618" s="13"/>
      <c r="AS618" s="14"/>
    </row>
    <row r="619" spans="1:45" s="16" customFormat="1" ht="30.95" hidden="1" customHeight="1" x14ac:dyDescent="0.2">
      <c r="A619" s="35"/>
      <c r="B619" s="36"/>
      <c r="C619" s="43"/>
      <c r="D619" s="29">
        <v>3712111</v>
      </c>
      <c r="E619" s="29">
        <v>4161921</v>
      </c>
      <c r="F619" s="255" t="str">
        <f>IF(D619="","",VLOOKUP(D619,契約台帳!$A$3:$K$4986,6,FALSE)&amp;VLOOKUP(D619,契約台帳!$A$3:$K$4986,7,FALSE)&amp;VLOOKUP(D619,契約台帳!$A$3:$K$4986,8,FALSE)&amp;VLOOKUP(D619,契約台帳!$A$3:$K$4986,9,FALSE)&amp;VLOOKUP(D619,契約台帳!$A$3:$K$4986,11,FALSE))</f>
        <v>33SSNMCLBTETKFV</v>
      </c>
      <c r="G619" s="256" t="str">
        <f>IF(D619="","",VLOOKUP(F619,製品マスタ!$G$5:$H$4999,2,FALSE))</f>
        <v>S</v>
      </c>
      <c r="H619" s="256" t="str">
        <f>IF(D619="","",VLOOKUP(F619,製品マスタ!$G$5:$K$4999,5,FALSE))</f>
        <v>TETKFV</v>
      </c>
      <c r="I619" s="200" t="str">
        <f>IF(D619="","",VLOOKUP(F619,製品マスタ!$G$5:$L$4999,6,FALSE))</f>
        <v>メタルミー　ＴＥＳ艶開封　Ｖ</v>
      </c>
      <c r="J619" s="203" t="s">
        <v>935</v>
      </c>
      <c r="K619" s="200">
        <f>IF(D619="","",VLOOKUP(D619,契約台帳!$A$3:$L$4986,12,FALSE))</f>
        <v>50</v>
      </c>
      <c r="L619" s="200" t="str">
        <f>IF(D619="","",INDEX(製品マスタ!$Q$5:$Q$4999,MATCH('S4'!F619&amp;'S4'!K619,製品マスタ!$AO$5:$AO$4999,0)))</f>
        <v>S28SEPA</v>
      </c>
      <c r="M619" s="37">
        <v>1005</v>
      </c>
      <c r="N619" s="37">
        <v>4100</v>
      </c>
      <c r="O619" s="153">
        <v>6</v>
      </c>
      <c r="P619" s="45">
        <v>3</v>
      </c>
      <c r="Q619" s="206">
        <v>45078</v>
      </c>
      <c r="R619" s="257">
        <f ca="1">IF(D619="","",IF(OFFSET(D619,-1,0)&lt;&gt;"","",IF(OR(J619="リード付け",J619="巻足し",J619="巻返しリード付け"),M619,VLOOKUP(D619,契約台帳!$A$3:$N$4986,14,FALSE))))</f>
        <v>1005</v>
      </c>
      <c r="S619" s="258">
        <f ca="1">IF(D619="","",IF(OFFSET(D619,-1,0)&lt;&gt;"","",IF(OR(J619="リード付け",J619="巻足し",J619="巻返しリード付け"),M619,VLOOKUP(D619,契約台帳!$A$3:$O$4986,15,FALSE))))</f>
        <v>1005</v>
      </c>
      <c r="T619" s="258">
        <f ca="1">IF(D619="","",IF(J619="リード付け",N619,IF(J619="巻返しリード付け",N619,IF(J619="巻足し",N619*P619+OFFSET(N619,1,0)*OFFSET(P619,1,0),VLOOKUP(D619,契約台帳!$A$3:$P$4986,16,FALSE)))))</f>
        <v>12300</v>
      </c>
      <c r="U619" s="38">
        <v>2</v>
      </c>
      <c r="V619" s="259">
        <f ca="1">IF(D619="","",IF(OFFSET(D619,-2,0)=D619,"",VLOOKUP(D619,契約台帳!$A$3:$R$4986,18,FALSE)))</f>
        <v>6</v>
      </c>
      <c r="W619" s="256" t="str">
        <f ca="1">IF(D619="","",IF(T619="","",IF(OR(J619="巻足し",J619="巻返しリード付け"),"",IF(J619="巻返し",VLOOKUP(F619&amp;K619&amp;M619,製品マスタ!$M$5:$AD$4999,18,FALSE),IF(OR(J619="リード付け",J619="巻返しリード付け"),"原反コア",IF(J619="スリット",VLOOKUP(F619&amp;K619&amp;R619,製品マスタ!$N$5:$AD$4999,17,FALSE),""))))))</f>
        <v/>
      </c>
      <c r="X619" s="256" t="str">
        <f ca="1">IF(D619="","",IF(T619="","",IF(J619="巻足し","",IF(J619="巻返し",VLOOKUP(F619&amp;K619&amp;M619,製品マスタ!$M$5:$AE$4999,19,FALSE),IF(OR(J619="リード付け",J619="巻返しリード付け"),"",IF(J619="スリット",VLOOKUP(F619&amp;K619&amp;R619,製品マスタ!$N$5:$AE$4999,18,FALSE),""))))))</f>
        <v/>
      </c>
      <c r="Y619" s="256">
        <f ca="1">IF(D619="","",IF(T619="","",VLOOKUP(D619,契約台帳!$A$3:$Q$4986,17,FALSE)))</f>
        <v>2</v>
      </c>
      <c r="Z619" s="256" t="str">
        <f ca="1">IF(D619="","",IF(T619="","",VLOOKUP(D619,契約台帳!$A$3:$E$4986,5,FALSE)))</f>
        <v>リンテック㈱</v>
      </c>
      <c r="AA619" s="54"/>
      <c r="AB619" s="200">
        <f>IFERROR((VLOOKUP(F619&amp;K619&amp;M619,製品マスタ!$M$5:$AM$4999,27,FALSE)),"")</f>
        <v>0</v>
      </c>
      <c r="AC619" s="31"/>
      <c r="AD619" s="184"/>
      <c r="AE619" s="51"/>
      <c r="AF619" s="52">
        <f>+M619*N619*O619/1000</f>
        <v>24723</v>
      </c>
      <c r="AG619" s="41"/>
      <c r="AH619" s="45"/>
      <c r="AI619" s="28"/>
      <c r="AJ619" s="28"/>
      <c r="AK619" s="28"/>
      <c r="AL619" s="28"/>
      <c r="AM619" s="12"/>
      <c r="AN619" s="12"/>
      <c r="AO619" s="12"/>
      <c r="AP619" s="12"/>
      <c r="AQ619" s="12"/>
      <c r="AR619" s="13"/>
      <c r="AS619" s="14"/>
    </row>
    <row r="620" spans="1:45" s="16" customFormat="1" ht="30.95" hidden="1" customHeight="1" x14ac:dyDescent="0.2">
      <c r="A620" s="35"/>
      <c r="B620" s="36"/>
      <c r="C620" s="43"/>
      <c r="D620" s="29"/>
      <c r="E620" s="29"/>
      <c r="F620" s="255"/>
      <c r="G620" s="256"/>
      <c r="H620" s="256"/>
      <c r="I620" s="200"/>
      <c r="J620" s="203"/>
      <c r="K620" s="200"/>
      <c r="L620" s="200"/>
      <c r="M620" s="37"/>
      <c r="N620" s="37"/>
      <c r="O620" s="153"/>
      <c r="P620" s="45"/>
      <c r="Q620" s="54"/>
      <c r="R620" s="257"/>
      <c r="S620" s="258"/>
      <c r="T620" s="258"/>
      <c r="U620" s="38"/>
      <c r="V620" s="259"/>
      <c r="W620" s="256"/>
      <c r="X620" s="256"/>
      <c r="Y620" s="256"/>
      <c r="Z620" s="256"/>
      <c r="AA620" s="54"/>
      <c r="AB620" s="200"/>
      <c r="AC620" s="31"/>
      <c r="AD620" s="184"/>
      <c r="AE620" s="51"/>
      <c r="AF620" s="52"/>
      <c r="AG620" s="41"/>
      <c r="AH620" s="45"/>
      <c r="AI620" s="28"/>
      <c r="AJ620" s="28"/>
      <c r="AK620" s="28"/>
      <c r="AL620" s="28"/>
      <c r="AM620" s="12"/>
      <c r="AN620" s="12"/>
      <c r="AO620" s="12"/>
      <c r="AP620" s="12"/>
      <c r="AQ620" s="12"/>
      <c r="AR620" s="13"/>
      <c r="AS620" s="14"/>
    </row>
    <row r="621" spans="1:45" s="16" customFormat="1" ht="30.95" hidden="1" customHeight="1" x14ac:dyDescent="0.2">
      <c r="A621" s="35"/>
      <c r="B621" s="36"/>
      <c r="C621" s="43"/>
      <c r="D621" s="29">
        <v>3712109</v>
      </c>
      <c r="E621" s="29">
        <v>4161919</v>
      </c>
      <c r="F621" s="255" t="str">
        <f>IF(D621="","",VLOOKUP(D621,契約台帳!$A$3:$K$4986,6,FALSE)&amp;VLOOKUP(D621,契約台帳!$A$3:$K$4986,7,FALSE)&amp;VLOOKUP(D621,契約台帳!$A$3:$K$4986,8,FALSE)&amp;VLOOKUP(D621,契約台帳!$A$3:$K$4986,9,FALSE)&amp;VLOOKUP(D621,契約台帳!$A$3:$K$4986,11,FALSE))</f>
        <v>33SSNMCLBTEKKFV</v>
      </c>
      <c r="G621" s="256" t="str">
        <f>IF(D621="","",VLOOKUP(F621,製品マスタ!$G$5:$H$4999,2,FALSE))</f>
        <v>S</v>
      </c>
      <c r="H621" s="256" t="str">
        <f>IF(D621="","",VLOOKUP(F621,製品マスタ!$G$5:$K$4999,5,FALSE))</f>
        <v>TEKKFV</v>
      </c>
      <c r="I621" s="200" t="str">
        <f>IF(D621="","",VLOOKUP(F621,製品マスタ!$G$5:$L$4999,6,FALSE))</f>
        <v>メタルミー　ＴＥＳ消開封　Ｖ</v>
      </c>
      <c r="J621" s="203" t="s">
        <v>935</v>
      </c>
      <c r="K621" s="200">
        <f>IF(D621="","",VLOOKUP(D621,契約台帳!$A$3:$L$4986,12,FALSE))</f>
        <v>50</v>
      </c>
      <c r="L621" s="200" t="str">
        <f>IF(D621="","",INDEX(製品マスタ!$Q$5:$Q$4999,MATCH('S4'!F621&amp;'S4'!K621,製品マスタ!$AO$5:$AO$4999,0)))</f>
        <v>X44SEPA</v>
      </c>
      <c r="M621" s="37">
        <v>1005</v>
      </c>
      <c r="N621" s="37">
        <v>4000</v>
      </c>
      <c r="O621" s="153">
        <v>3</v>
      </c>
      <c r="P621" s="45">
        <v>3</v>
      </c>
      <c r="Q621" s="206">
        <v>45078</v>
      </c>
      <c r="R621" s="257">
        <f ca="1">IF(D621="","",IF(OFFSET(D621,-1,0)&lt;&gt;"","",IF(OR(J621="リード付け",J621="巻足し",J621="巻返しリード付け"),M621,VLOOKUP(D621,契約台帳!$A$3:$N$4986,14,FALSE))))</f>
        <v>1005</v>
      </c>
      <c r="S621" s="258">
        <f ca="1">IF(D621="","",IF(OFFSET(D621,-1,0)&lt;&gt;"","",IF(OR(J621="リード付け",J621="巻足し",J621="巻返しリード付け"),M621,VLOOKUP(D621,契約台帳!$A$3:$O$4986,15,FALSE))))</f>
        <v>1005</v>
      </c>
      <c r="T621" s="258">
        <f ca="1">IF(D621="","",IF(J621="リード付け",N621,IF(J621="巻返しリード付け",N621,IF(J621="巻足し",N621*P621+OFFSET(N621,1,0)*OFFSET(P621,1,0),VLOOKUP(D621,契約台帳!$A$3:$P$4986,16,FALSE)))))</f>
        <v>12000</v>
      </c>
      <c r="U621" s="38">
        <v>1</v>
      </c>
      <c r="V621" s="259">
        <f ca="1">IF(D621="","",IF(OFFSET(D621,-2,0)=D621,"",VLOOKUP(D621,契約台帳!$A$3:$R$4986,18,FALSE)))</f>
        <v>3</v>
      </c>
      <c r="W621" s="256" t="str">
        <f ca="1">IF(D621="","",IF(T621="","",IF(OR(J621="巻足し",J621="巻返しリード付け"),"",IF(J621="巻返し",VLOOKUP(F621&amp;K621&amp;M621,製品マスタ!$M$5:$AD$4999,18,FALSE),IF(OR(J621="リード付け",J621="巻返しリード付け"),"原反コア",IF(J621="スリット",VLOOKUP(F621&amp;K621&amp;R621,製品マスタ!$N$5:$AD$4999,17,FALSE),""))))))</f>
        <v/>
      </c>
      <c r="X621" s="256" t="str">
        <f ca="1">IF(D621="","",IF(T621="","",IF(J621="巻足し","",IF(J621="巻返し",VLOOKUP(F621&amp;K621&amp;M621,製品マスタ!$M$5:$AE$4999,19,FALSE),IF(OR(J621="リード付け",J621="巻返しリード付け"),"",IF(J621="スリット",VLOOKUP(F621&amp;K621&amp;R621,製品マスタ!$N$5:$AE$4999,18,FALSE),""))))))</f>
        <v/>
      </c>
      <c r="Y621" s="256">
        <f ca="1">IF(D621="","",IF(T621="","",VLOOKUP(D621,契約台帳!$A$3:$Q$4986,17,FALSE)))</f>
        <v>2</v>
      </c>
      <c r="Z621" s="256" t="str">
        <f ca="1">IF(D621="","",IF(T621="","",VLOOKUP(D621,契約台帳!$A$3:$E$4986,5,FALSE)))</f>
        <v>リンテック㈱</v>
      </c>
      <c r="AA621" s="54"/>
      <c r="AB621" s="200">
        <f>IFERROR((VLOOKUP(F621&amp;K621&amp;M621,製品マスタ!$M$5:$AM$4999,27,FALSE)),"")</f>
        <v>0</v>
      </c>
      <c r="AC621" s="31"/>
      <c r="AD621" s="184"/>
      <c r="AE621" s="51"/>
      <c r="AF621" s="52">
        <f>+M621*N621*O621/1000</f>
        <v>12060</v>
      </c>
      <c r="AG621" s="41"/>
      <c r="AH621" s="45"/>
      <c r="AI621" s="28"/>
      <c r="AJ621" s="28"/>
      <c r="AK621" s="28"/>
      <c r="AL621" s="28"/>
      <c r="AM621" s="12"/>
      <c r="AN621" s="12"/>
      <c r="AO621" s="12"/>
      <c r="AP621" s="12"/>
      <c r="AQ621" s="12"/>
      <c r="AR621" s="13"/>
      <c r="AS621" s="14"/>
    </row>
    <row r="622" spans="1:45" s="16" customFormat="1" ht="30.95" hidden="1" customHeight="1" x14ac:dyDescent="0.2">
      <c r="A622" s="35"/>
      <c r="B622" s="36"/>
      <c r="C622" s="43"/>
      <c r="D622" s="29"/>
      <c r="E622" s="29"/>
      <c r="F622" s="255"/>
      <c r="G622" s="256"/>
      <c r="H622" s="256"/>
      <c r="I622" s="200"/>
      <c r="J622" s="203"/>
      <c r="K622" s="200"/>
      <c r="L622" s="200"/>
      <c r="M622" s="37"/>
      <c r="N622" s="37"/>
      <c r="O622" s="153"/>
      <c r="P622" s="45"/>
      <c r="Q622" s="54"/>
      <c r="R622" s="257"/>
      <c r="S622" s="258"/>
      <c r="T622" s="258"/>
      <c r="U622" s="38"/>
      <c r="V622" s="259"/>
      <c r="W622" s="256"/>
      <c r="X622" s="256"/>
      <c r="Y622" s="256"/>
      <c r="Z622" s="256"/>
      <c r="AA622" s="54"/>
      <c r="AB622" s="200"/>
      <c r="AC622" s="31"/>
      <c r="AD622" s="184"/>
      <c r="AE622" s="51"/>
      <c r="AF622" s="52"/>
      <c r="AG622" s="41"/>
      <c r="AH622" s="45"/>
      <c r="AI622" s="28"/>
      <c r="AJ622" s="28"/>
      <c r="AK622" s="28"/>
      <c r="AL622" s="28"/>
      <c r="AM622" s="12"/>
      <c r="AN622" s="12"/>
      <c r="AO622" s="12"/>
      <c r="AP622" s="12"/>
      <c r="AQ622" s="12"/>
      <c r="AR622" s="13"/>
      <c r="AS622" s="14"/>
    </row>
    <row r="623" spans="1:45" s="16" customFormat="1" ht="30.95" hidden="1" customHeight="1" x14ac:dyDescent="0.2">
      <c r="A623" s="35" t="s">
        <v>1170</v>
      </c>
      <c r="B623" s="36" t="s">
        <v>444</v>
      </c>
      <c r="C623" s="43"/>
      <c r="D623" s="29">
        <v>3712110</v>
      </c>
      <c r="E623" s="29">
        <v>4161920</v>
      </c>
      <c r="F623" s="255" t="str">
        <f>IF(D623="","",VLOOKUP(D623,契約台帳!$A$3:$K$4986,6,FALSE)&amp;VLOOKUP(D623,契約台帳!$A$3:$K$4986,7,FALSE)&amp;VLOOKUP(D623,契約台帳!$A$3:$K$4986,8,FALSE)&amp;VLOOKUP(D623,契約台帳!$A$3:$K$4986,9,FALSE)&amp;VLOOKUP(D623,契約台帳!$A$3:$K$4986,11,FALSE))</f>
        <v>33SSNMCLBTEKV0V</v>
      </c>
      <c r="G623" s="256" t="str">
        <f>IF(D623="","",VLOOKUP(F623,製品マスタ!$G$5:$H$4999,2,FALSE))</f>
        <v>S</v>
      </c>
      <c r="H623" s="256" t="str">
        <f>IF(D623="","",VLOOKUP(F623,製品マスタ!$G$5:$K$4999,5,FALSE))</f>
        <v>TEKV0V</v>
      </c>
      <c r="I623" s="200" t="str">
        <f>IF(D623="","",VLOOKUP(F623,製品マスタ!$G$5:$L$4999,6,FALSE))</f>
        <v>メタルミー　ＴＥ－Ｓ消　ＶＯＩＤ　Ｖ</v>
      </c>
      <c r="J623" s="203" t="s">
        <v>935</v>
      </c>
      <c r="K623" s="200">
        <f>IF(D623="","",VLOOKUP(D623,契約台帳!$A$3:$L$4986,12,FALSE))</f>
        <v>50</v>
      </c>
      <c r="L623" s="200" t="str">
        <f>IF(D623="","",INDEX(製品マスタ!$Q$5:$Q$4999,MATCH('S4'!F623&amp;'S4'!K623,製品マスタ!$AO$5:$AO$4999,0)))</f>
        <v>X44SEPA</v>
      </c>
      <c r="M623" s="37">
        <v>1005</v>
      </c>
      <c r="N623" s="37">
        <v>4000</v>
      </c>
      <c r="O623" s="153">
        <v>3</v>
      </c>
      <c r="P623" s="45">
        <v>3</v>
      </c>
      <c r="Q623" s="206">
        <v>45078</v>
      </c>
      <c r="R623" s="257">
        <f ca="1">IF(D623="","",IF(OFFSET(D623,-1,0)&lt;&gt;"","",IF(OR(J623="リード付け",J623="巻足し",J623="巻返しリード付け"),M623,VLOOKUP(D623,契約台帳!$A$3:$N$4986,14,FALSE))))</f>
        <v>1005</v>
      </c>
      <c r="S623" s="258">
        <f ca="1">IF(D623="","",IF(OFFSET(D623,-1,0)&lt;&gt;"","",IF(OR(J623="リード付け",J623="巻足し",J623="巻返しリード付け"),M623,VLOOKUP(D623,契約台帳!$A$3:$O$4986,15,FALSE))))</f>
        <v>1005</v>
      </c>
      <c r="T623" s="258">
        <f ca="1">IF(D623="","",IF(J623="リード付け",N623,IF(J623="巻返しリード付け",N623,IF(J623="巻足し",N623*P623+OFFSET(N623,1,0)*OFFSET(P623,1,0),VLOOKUP(D623,契約台帳!$A$3:$P$4986,16,FALSE)))))</f>
        <v>12000</v>
      </c>
      <c r="U623" s="38">
        <v>1</v>
      </c>
      <c r="V623" s="259">
        <f ca="1">IF(D623="","",IF(OFFSET(D623,-2,0)=D623,"",VLOOKUP(D623,契約台帳!$A$3:$R$4986,18,FALSE)))</f>
        <v>3</v>
      </c>
      <c r="W623" s="256" t="str">
        <f ca="1">IF(D623="","",IF(T623="","",IF(OR(J623="巻足し",J623="巻返しリード付け"),"",IF(J623="巻返し",VLOOKUP(F623&amp;K623&amp;M623,製品マスタ!$M$5:$AD$4999,18,FALSE),IF(OR(J623="リード付け",J623="巻返しリード付け"),"原反コア",IF(J623="スリット",VLOOKUP(F623&amp;K623&amp;R623,製品マスタ!$N$5:$AD$4999,17,FALSE),""))))))</f>
        <v/>
      </c>
      <c r="X623" s="256" t="str">
        <f ca="1">IF(D623="","",IF(T623="","",IF(J623="巻足し","",IF(J623="巻返し",VLOOKUP(F623&amp;K623&amp;M623,製品マスタ!$M$5:$AE$4999,19,FALSE),IF(OR(J623="リード付け",J623="巻返しリード付け"),"",IF(J623="スリット",VLOOKUP(F623&amp;K623&amp;R623,製品マスタ!$N$5:$AE$4999,18,FALSE),""))))))</f>
        <v/>
      </c>
      <c r="Y623" s="256">
        <f ca="1">IF(D623="","",IF(T623="","",VLOOKUP(D623,契約台帳!$A$3:$Q$4986,17,FALSE)))</f>
        <v>2</v>
      </c>
      <c r="Z623" s="256" t="str">
        <f ca="1">IF(D623="","",IF(T623="","",VLOOKUP(D623,契約台帳!$A$3:$E$4986,5,FALSE)))</f>
        <v>リンテック㈱</v>
      </c>
      <c r="AA623" s="54"/>
      <c r="AB623" s="200">
        <f>IFERROR((VLOOKUP(F623&amp;K623&amp;M623,製品マスタ!$M$5:$AM$4999,27,FALSE)),"")</f>
        <v>0</v>
      </c>
      <c r="AC623" s="31"/>
      <c r="AD623" s="184"/>
      <c r="AE623" s="51"/>
      <c r="AF623" s="52">
        <f>+M623*N623*O623/1000</f>
        <v>12060</v>
      </c>
      <c r="AG623" s="41"/>
      <c r="AH623" s="45"/>
      <c r="AI623" s="28"/>
      <c r="AJ623" s="28"/>
      <c r="AK623" s="28"/>
      <c r="AL623" s="28"/>
      <c r="AM623" s="12"/>
      <c r="AN623" s="12"/>
      <c r="AO623" s="12"/>
      <c r="AP623" s="12"/>
      <c r="AQ623" s="12"/>
      <c r="AR623" s="13"/>
      <c r="AS623" s="14"/>
    </row>
    <row r="624" spans="1:45" s="16" customFormat="1" ht="30.95" hidden="1" customHeight="1" x14ac:dyDescent="0.2">
      <c r="A624" s="35"/>
      <c r="B624" s="36"/>
      <c r="C624" s="43"/>
      <c r="D624" s="29"/>
      <c r="E624" s="29"/>
      <c r="F624" s="255"/>
      <c r="G624" s="256"/>
      <c r="H624" s="256"/>
      <c r="I624" s="200"/>
      <c r="J624" s="203"/>
      <c r="K624" s="200"/>
      <c r="L624" s="200"/>
      <c r="M624" s="37"/>
      <c r="N624" s="37"/>
      <c r="O624" s="153"/>
      <c r="P624" s="45"/>
      <c r="Q624" s="54"/>
      <c r="R624" s="257"/>
      <c r="S624" s="258"/>
      <c r="T624" s="258"/>
      <c r="U624" s="38"/>
      <c r="V624" s="259"/>
      <c r="W624" s="256"/>
      <c r="X624" s="256"/>
      <c r="Y624" s="256"/>
      <c r="Z624" s="256"/>
      <c r="AA624" s="54"/>
      <c r="AB624" s="200"/>
      <c r="AC624" s="31"/>
      <c r="AD624" s="184"/>
      <c r="AE624" s="51"/>
      <c r="AF624" s="52"/>
      <c r="AG624" s="41"/>
      <c r="AH624" s="45"/>
      <c r="AI624" s="28"/>
      <c r="AJ624" s="28"/>
      <c r="AK624" s="28"/>
      <c r="AL624" s="28"/>
      <c r="AM624" s="12"/>
      <c r="AN624" s="12"/>
      <c r="AO624" s="12"/>
      <c r="AP624" s="12"/>
      <c r="AQ624" s="12"/>
      <c r="AR624" s="13"/>
      <c r="AS624" s="14"/>
    </row>
    <row r="625" spans="1:45" s="16" customFormat="1" ht="30.95" hidden="1" customHeight="1" x14ac:dyDescent="0.2">
      <c r="A625" s="35"/>
      <c r="B625" s="36"/>
      <c r="C625" s="43"/>
      <c r="D625" s="29">
        <v>3712099</v>
      </c>
      <c r="E625" s="29">
        <v>4161926</v>
      </c>
      <c r="F625" s="255" t="str">
        <f>IF(D625="","",VLOOKUP(D625,契約台帳!$A$3:$K$4986,6,FALSE)&amp;VLOOKUP(D625,契約台帳!$A$3:$K$4986,7,FALSE)&amp;VLOOKUP(D625,契約台帳!$A$3:$K$4986,8,FALSE)&amp;VLOOKUP(D625,契約台帳!$A$3:$K$4986,9,FALSE)&amp;VLOOKUP(D625,契約台帳!$A$3:$K$4986,11,FALSE))</f>
        <v>3SNMLBMNGKKBF</v>
      </c>
      <c r="G625" s="256" t="str">
        <f>IF(D625="","",VLOOKUP(F625,製品マスタ!$G$5:$H$4999,2,FALSE))</f>
        <v>S</v>
      </c>
      <c r="H625" s="256" t="str">
        <f>IF(D625="","",VLOOKUP(F625,製品マスタ!$G$5:$K$4999,5,FALSE))</f>
        <v>MNGKKBF</v>
      </c>
      <c r="I625" s="200" t="str">
        <f>IF(D625="","",VLOOKUP(F625,製品マスタ!$G$5:$L$4999,6,FALSE))</f>
        <v>メタルミー　ネーマー銀消改　Ｂ</v>
      </c>
      <c r="J625" s="203" t="s">
        <v>935</v>
      </c>
      <c r="K625" s="200">
        <f>IF(D625="","",VLOOKUP(D625,契約台帳!$A$3:$L$4986,12,FALSE))</f>
        <v>25</v>
      </c>
      <c r="L625" s="200" t="str">
        <f>IF(D625="","",INDEX(製品マスタ!$Q$5:$Q$4999,MATCH('S4'!F625&amp;'S4'!K625,製品マスタ!$AO$5:$AO$4999,0)))</f>
        <v>FMATS99</v>
      </c>
      <c r="M625" s="37">
        <v>1000</v>
      </c>
      <c r="N625" s="37">
        <v>4000</v>
      </c>
      <c r="O625" s="153">
        <v>3</v>
      </c>
      <c r="P625" s="45">
        <v>3</v>
      </c>
      <c r="Q625" s="206">
        <v>45069</v>
      </c>
      <c r="R625" s="257">
        <f ca="1">IF(D625="","",IF(OFFSET(D625,-1,0)&lt;&gt;"","",IF(OR(J625="リード付け",J625="巻足し",J625="巻返しリード付け"),M625,VLOOKUP(D625,契約台帳!$A$3:$N$4986,14,FALSE))))</f>
        <v>1000</v>
      </c>
      <c r="S625" s="258">
        <f ca="1">IF(D625="","",IF(OFFSET(D625,-1,0)&lt;&gt;"","",IF(OR(J625="リード付け",J625="巻足し",J625="巻返しリード付け"),M625,VLOOKUP(D625,契約台帳!$A$3:$O$4986,15,FALSE))))</f>
        <v>1000</v>
      </c>
      <c r="T625" s="258">
        <f ca="1">IF(D625="","",IF(J625="リード付け",N625,IF(J625="巻返しリード付け",N625,IF(J625="巻足し",N625*P625+OFFSET(N625,1,0)*OFFSET(P625,1,0),VLOOKUP(D625,契約台帳!$A$3:$P$4986,16,FALSE)))))</f>
        <v>12000</v>
      </c>
      <c r="U625" s="38">
        <v>1</v>
      </c>
      <c r="V625" s="259">
        <f ca="1">IF(D625="","",IF(OFFSET(D625,-2,0)=D625,"",VLOOKUP(D625,契約台帳!$A$3:$R$4986,18,FALSE)))</f>
        <v>3</v>
      </c>
      <c r="W625" s="256" t="str">
        <f ca="1">IF(D625="","",IF(T625="","",IF(OR(J625="巻足し",J625="巻返しリード付け"),"",IF(J625="巻返し",VLOOKUP(F625&amp;K625&amp;M625,製品マスタ!$M$5:$AD$4999,18,FALSE),IF(OR(J625="リード付け",J625="巻返しリード付け"),"原反コア",IF(J625="スリット",VLOOKUP(F625&amp;K625&amp;R625,製品マスタ!$N$5:$AD$4999,17,FALSE),""))))))</f>
        <v/>
      </c>
      <c r="X625" s="256" t="str">
        <f ca="1">IF(D625="","",IF(T625="","",IF(J625="巻足し","",IF(J625="巻返し",VLOOKUP(F625&amp;K625&amp;M625,製品マスタ!$M$5:$AE$4999,19,FALSE),IF(OR(J625="リード付け",J625="巻返しリード付け"),"",IF(J625="スリット",VLOOKUP(F625&amp;K625&amp;R625,製品マスタ!$N$5:$AE$4999,18,FALSE),""))))))</f>
        <v/>
      </c>
      <c r="Y625" s="256">
        <f ca="1">IF(D625="","",IF(T625="","",VLOOKUP(D625,契約台帳!$A$3:$Q$4986,17,FALSE)))</f>
        <v>2</v>
      </c>
      <c r="Z625" s="256" t="str">
        <f ca="1">IF(D625="","",IF(T625="","",VLOOKUP(D625,契約台帳!$A$3:$E$4986,5,FALSE)))</f>
        <v>リンテック㈱</v>
      </c>
      <c r="AA625" s="54"/>
      <c r="AB625" s="200">
        <f>IFERROR((VLOOKUP(F625&amp;K625&amp;M625,製品マスタ!$M$5:$AM$4999,27,FALSE)),"")</f>
        <v>0</v>
      </c>
      <c r="AC625" s="31"/>
      <c r="AD625" s="184"/>
      <c r="AE625" s="51"/>
      <c r="AF625" s="52">
        <f>+M625*N625*O625/1000</f>
        <v>12000</v>
      </c>
      <c r="AG625" s="41"/>
      <c r="AH625" s="45"/>
      <c r="AI625" s="28"/>
      <c r="AJ625" s="28"/>
      <c r="AK625" s="28"/>
      <c r="AL625" s="28"/>
      <c r="AM625" s="12"/>
      <c r="AN625" s="12"/>
      <c r="AO625" s="12"/>
      <c r="AP625" s="12"/>
      <c r="AQ625" s="12"/>
      <c r="AR625" s="13"/>
      <c r="AS625" s="14"/>
    </row>
    <row r="626" spans="1:45" s="16" customFormat="1" ht="30.95" hidden="1" customHeight="1" x14ac:dyDescent="0.2">
      <c r="A626" s="35"/>
      <c r="B626" s="36"/>
      <c r="C626" s="43"/>
      <c r="D626" s="29"/>
      <c r="E626" s="29"/>
      <c r="F626" s="255"/>
      <c r="G626" s="256"/>
      <c r="H626" s="256"/>
      <c r="I626" s="200"/>
      <c r="J626" s="203"/>
      <c r="K626" s="200"/>
      <c r="L626" s="200"/>
      <c r="M626" s="37"/>
      <c r="N626" s="37"/>
      <c r="O626" s="153"/>
      <c r="P626" s="45"/>
      <c r="Q626" s="54"/>
      <c r="R626" s="257"/>
      <c r="S626" s="258"/>
      <c r="T626" s="258"/>
      <c r="U626" s="38"/>
      <c r="V626" s="259"/>
      <c r="W626" s="256"/>
      <c r="X626" s="256"/>
      <c r="Y626" s="256"/>
      <c r="Z626" s="256"/>
      <c r="AA626" s="54"/>
      <c r="AB626" s="200"/>
      <c r="AC626" s="31"/>
      <c r="AD626" s="184"/>
      <c r="AE626" s="51"/>
      <c r="AF626" s="52"/>
      <c r="AG626" s="41"/>
      <c r="AH626" s="45"/>
      <c r="AI626" s="28"/>
      <c r="AJ626" s="28"/>
      <c r="AK626" s="28"/>
      <c r="AL626" s="28"/>
      <c r="AM626" s="12"/>
      <c r="AN626" s="12"/>
      <c r="AO626" s="12"/>
      <c r="AP626" s="12"/>
      <c r="AQ626" s="12"/>
      <c r="AR626" s="13"/>
      <c r="AS626" s="14"/>
    </row>
    <row r="627" spans="1:45" s="16" customFormat="1" ht="30.95" hidden="1" customHeight="1" x14ac:dyDescent="0.2">
      <c r="A627" s="35"/>
      <c r="B627" s="36"/>
      <c r="C627" s="43"/>
      <c r="D627" s="29">
        <v>3712108</v>
      </c>
      <c r="E627" s="29">
        <v>4161933</v>
      </c>
      <c r="F627" s="255" t="str">
        <f>IF(D627="","",VLOOKUP(D627,契約台帳!$A$3:$K$4986,6,FALSE)&amp;VLOOKUP(D627,契約台帳!$A$3:$K$4986,7,FALSE)&amp;VLOOKUP(D627,契約台帳!$A$3:$K$4986,8,FALSE)&amp;VLOOKUP(D627,契約台帳!$A$3:$K$4986,9,FALSE)&amp;VLOOKUP(D627,契約台帳!$A$3:$K$4986,11,FALSE))</f>
        <v>3SNMLBMNNGKBF</v>
      </c>
      <c r="G627" s="256" t="str">
        <f>IF(D627="","",VLOOKUP(F627,製品マスタ!$G$5:$H$4999,2,FALSE))</f>
        <v>S</v>
      </c>
      <c r="H627" s="256" t="str">
        <f>IF(D627="","",VLOOKUP(F627,製品マスタ!$G$5:$K$4999,5,FALSE))</f>
        <v>MNNGKBF</v>
      </c>
      <c r="I627" s="200" t="str">
        <f>IF(D627="","",VLOOKUP(F627,製品マスタ!$G$5:$L$4999,6,FALSE))</f>
        <v>メタルミー　ニューネーマー銀消　Ｂ</v>
      </c>
      <c r="J627" s="203" t="s">
        <v>935</v>
      </c>
      <c r="K627" s="200">
        <f>IF(D627="","",VLOOKUP(D627,契約台帳!$A$3:$L$4986,12,FALSE))</f>
        <v>50</v>
      </c>
      <c r="L627" s="200" t="str">
        <f>IF(D627="","",INDEX(製品マスタ!$Q$5:$Q$4999,MATCH('S4'!F627&amp;'S4'!K627,製品マスタ!$AO$5:$AO$4999,0)))</f>
        <v>X44</v>
      </c>
      <c r="M627" s="37">
        <v>1000</v>
      </c>
      <c r="N627" s="37">
        <v>4000</v>
      </c>
      <c r="O627" s="153">
        <v>15</v>
      </c>
      <c r="P627" s="45">
        <v>3</v>
      </c>
      <c r="Q627" s="206">
        <v>45078</v>
      </c>
      <c r="R627" s="257">
        <f ca="1">IF(D627="","",IF(OFFSET(D627,-1,0)&lt;&gt;"","",IF(OR(J627="リード付け",J627="巻足し",J627="巻返しリード付け"),M627,VLOOKUP(D627,契約台帳!$A$3:$N$4986,14,FALSE))))</f>
        <v>1000</v>
      </c>
      <c r="S627" s="258">
        <f ca="1">IF(D627="","",IF(OFFSET(D627,-1,0)&lt;&gt;"","",IF(OR(J627="リード付け",J627="巻足し",J627="巻返しリード付け"),M627,VLOOKUP(D627,契約台帳!$A$3:$O$4986,15,FALSE))))</f>
        <v>1000</v>
      </c>
      <c r="T627" s="258">
        <f ca="1">IF(D627="","",IF(J627="リード付け",N627,IF(J627="巻返しリード付け",N627,IF(J627="巻足し",N627*P627+OFFSET(N627,1,0)*OFFSET(P627,1,0),VLOOKUP(D627,契約台帳!$A$3:$P$4986,16,FALSE)))))</f>
        <v>12000</v>
      </c>
      <c r="U627" s="38">
        <v>5</v>
      </c>
      <c r="V627" s="259">
        <f ca="1">IF(D627="","",IF(OFFSET(D627,-2,0)=D627,"",VLOOKUP(D627,契約台帳!$A$3:$R$4986,18,FALSE)))</f>
        <v>15</v>
      </c>
      <c r="W627" s="256" t="str">
        <f ca="1">IF(D627="","",IF(T627="","",IF(OR(J627="巻足し",J627="巻返しリード付け"),"",IF(J627="巻返し",VLOOKUP(F627&amp;K627&amp;M627,製品マスタ!$M$5:$AD$4999,18,FALSE),IF(OR(J627="リード付け",J627="巻返しリード付け"),"原反コア",IF(J627="スリット",VLOOKUP(F627&amp;K627&amp;R627,製品マスタ!$N$5:$AD$4999,17,FALSE),""))))))</f>
        <v/>
      </c>
      <c r="X627" s="256" t="str">
        <f ca="1">IF(D627="","",IF(T627="","",IF(J627="巻足し","",IF(J627="巻返し",VLOOKUP(F627&amp;K627&amp;M627,製品マスタ!$M$5:$AE$4999,19,FALSE),IF(OR(J627="リード付け",J627="巻返しリード付け"),"",IF(J627="スリット",VLOOKUP(F627&amp;K627&amp;R627,製品マスタ!$N$5:$AE$4999,18,FALSE),""))))))</f>
        <v/>
      </c>
      <c r="Y627" s="256">
        <f ca="1">IF(D627="","",IF(T627="","",VLOOKUP(D627,契約台帳!$A$3:$Q$4986,17,FALSE)))</f>
        <v>2</v>
      </c>
      <c r="Z627" s="256" t="str">
        <f ca="1">IF(D627="","",IF(T627="","",VLOOKUP(D627,契約台帳!$A$3:$E$4986,5,FALSE)))</f>
        <v>リンテック㈱</v>
      </c>
      <c r="AA627" s="54"/>
      <c r="AB627" s="200" t="str">
        <f>IFERROR((VLOOKUP(F627&amp;K627&amp;M627,製品マスタ!$M$5:$AM$4999,27,FALSE)),"")</f>
        <v>原反ケース再利用</v>
      </c>
      <c r="AC627" s="31"/>
      <c r="AD627" s="184"/>
      <c r="AE627" s="51"/>
      <c r="AF627" s="52">
        <f>+M627*N627*O627/1000</f>
        <v>60000</v>
      </c>
      <c r="AG627" s="41"/>
      <c r="AH627" s="45"/>
      <c r="AI627" s="28"/>
      <c r="AJ627" s="28"/>
      <c r="AK627" s="28"/>
      <c r="AL627" s="28"/>
      <c r="AM627" s="12"/>
      <c r="AN627" s="12"/>
      <c r="AO627" s="12"/>
      <c r="AP627" s="12"/>
      <c r="AQ627" s="12"/>
      <c r="AR627" s="13"/>
      <c r="AS627" s="14"/>
    </row>
    <row r="628" spans="1:45" s="16" customFormat="1" ht="30.95" hidden="1" customHeight="1" x14ac:dyDescent="0.2">
      <c r="A628" s="35"/>
      <c r="B628" s="36"/>
      <c r="C628" s="43"/>
      <c r="D628" s="29"/>
      <c r="E628" s="29"/>
      <c r="F628" s="255"/>
      <c r="G628" s="256"/>
      <c r="H628" s="256"/>
      <c r="I628" s="200"/>
      <c r="J628" s="203"/>
      <c r="K628" s="200"/>
      <c r="L628" s="200"/>
      <c r="M628" s="37"/>
      <c r="N628" s="37"/>
      <c r="O628" s="153"/>
      <c r="P628" s="45"/>
      <c r="Q628" s="54"/>
      <c r="R628" s="257"/>
      <c r="S628" s="258"/>
      <c r="T628" s="258"/>
      <c r="U628" s="38"/>
      <c r="V628" s="259"/>
      <c r="W628" s="256"/>
      <c r="X628" s="256"/>
      <c r="Y628" s="256"/>
      <c r="Z628" s="256"/>
      <c r="AA628" s="54"/>
      <c r="AB628" s="200"/>
      <c r="AC628" s="31"/>
      <c r="AD628" s="184"/>
      <c r="AE628" s="51"/>
      <c r="AF628" s="52"/>
      <c r="AG628" s="41"/>
      <c r="AH628" s="45"/>
      <c r="AI628" s="28"/>
      <c r="AJ628" s="28"/>
      <c r="AK628" s="28"/>
      <c r="AL628" s="28"/>
      <c r="AM628" s="12"/>
      <c r="AN628" s="12"/>
      <c r="AO628" s="12"/>
      <c r="AP628" s="12"/>
      <c r="AQ628" s="12"/>
      <c r="AR628" s="13"/>
      <c r="AS628" s="14"/>
    </row>
    <row r="629" spans="1:45" s="16" customFormat="1" ht="30.95" hidden="1" customHeight="1" x14ac:dyDescent="0.2">
      <c r="A629" s="35"/>
      <c r="B629" s="36"/>
      <c r="C629" s="43"/>
      <c r="D629" s="29">
        <v>3714660</v>
      </c>
      <c r="E629" s="29">
        <v>4161940</v>
      </c>
      <c r="F629" s="255" t="str">
        <f>IF(D629="","",VLOOKUP(D629,契約台帳!$A$3:$K$4986,6,FALSE)&amp;VLOOKUP(D629,契約台帳!$A$3:$K$4986,7,FALSE)&amp;VLOOKUP(D629,契約台帳!$A$3:$K$4986,8,FALSE)&amp;VLOOKUP(D629,契約台帳!$A$3:$K$4986,9,FALSE)&amp;VLOOKUP(D629,契約台帳!$A$3:$K$4986,11,FALSE))</f>
        <v>3UNMCLBHLGTV</v>
      </c>
      <c r="G629" s="256" t="str">
        <f>IF(D629="","",VLOOKUP(F629,製品マスタ!$G$5:$H$4999,2,FALSE))</f>
        <v>U</v>
      </c>
      <c r="H629" s="256" t="str">
        <f>IF(D629="","",VLOOKUP(F629,製品マスタ!$G$5:$K$4999,5,FALSE))</f>
        <v>HLGTV</v>
      </c>
      <c r="I629" s="200" t="str">
        <f>IF(D629="","",VLOOKUP(F629,製品マスタ!$G$5:$L$4999,6,FALSE))</f>
        <v>メタルミー　ヘヤライン　銀艶Ｖ</v>
      </c>
      <c r="J629" s="203" t="s">
        <v>464</v>
      </c>
      <c r="K629" s="200">
        <f>IF(D629="","",VLOOKUP(D629,契約台帳!$A$3:$L$4986,12,FALSE))</f>
        <v>25</v>
      </c>
      <c r="L629" s="200" t="str">
        <f>IF(D629="","",INDEX(製品マスタ!$Q$5:$Q$4999,MATCH('S4'!F629&amp;'S4'!K629,製品マスタ!$AO$5:$AO$4999,0)))</f>
        <v>BRIGHT</v>
      </c>
      <c r="M629" s="37">
        <v>1005</v>
      </c>
      <c r="N629" s="37">
        <v>8000</v>
      </c>
      <c r="O629" s="153">
        <v>1</v>
      </c>
      <c r="P629" s="45">
        <v>1</v>
      </c>
      <c r="Q629" s="206">
        <v>45079</v>
      </c>
      <c r="R629" s="257">
        <f ca="1">IF(D629="","",IF(OFFSET(D629,-1,0)&lt;&gt;"","",IF(OR(J629="リード付け",J629="巻足し",J629="巻返しリード付け"),M629,VLOOKUP(D629,契約台帳!$A$3:$N$4986,14,FALSE))))</f>
        <v>1005</v>
      </c>
      <c r="S629" s="258">
        <f ca="1">IF(D629="","",IF(OFFSET(D629,-1,0)&lt;&gt;"","",IF(OR(J629="リード付け",J629="巻足し",J629="巻返しリード付け"),M629,VLOOKUP(D629,契約台帳!$A$3:$O$4986,15,FALSE))))</f>
        <v>1005</v>
      </c>
      <c r="T629" s="258">
        <f ca="1">IF(D629="","",IF(J629="リード付け",N629,IF(J629="巻返しリード付け",N629,IF(J629="巻足し",N629*P629+OFFSET(N629,1,0)*OFFSET(P629,1,0),VLOOKUP(D629,契約台帳!$A$3:$P$4986,16,FALSE)))))</f>
        <v>8000</v>
      </c>
      <c r="U629" s="38">
        <v>1</v>
      </c>
      <c r="V629" s="259">
        <f ca="1">IF(D629="","",IF(OFFSET(D629,-2,0)=D629,"",VLOOKUP(D629,契約台帳!$A$3:$R$4986,18,FALSE)))</f>
        <v>1</v>
      </c>
      <c r="W629" s="256" t="str">
        <f ca="1">IF(D629="","",IF(T629="","",IF(OR(J629="巻足し",J629="巻返しリード付け"),"",IF(J629="巻返し",VLOOKUP(F629&amp;K629&amp;M629,製品マスタ!$M$5:$AD$4999,18,FALSE),IF(OR(J629="リード付け",J629="巻返しリード付け"),"原反コア",IF(J629="スリット",VLOOKUP(F629&amp;K629&amp;R629,製品マスタ!$N$5:$AD$4999,17,FALSE),""))))))</f>
        <v>原反コア</v>
      </c>
      <c r="X629" s="256" t="str">
        <f ca="1">IF(D629="","",IF(T629="","",IF(J629="巻足し","",IF(J629="巻返し",VLOOKUP(F629&amp;K629&amp;M629,製品マスタ!$M$5:$AE$4999,19,FALSE),IF(OR(J629="リード付け",J629="巻返しリード付け"),"",IF(J629="スリット",VLOOKUP(F629&amp;K629&amp;R629,製品マスタ!$N$5:$AE$4999,18,FALSE),""))))))</f>
        <v/>
      </c>
      <c r="Y629" s="256">
        <f ca="1">IF(D629="","",IF(T629="","",VLOOKUP(D629,契約台帳!$A$3:$Q$4986,17,FALSE)))</f>
        <v>2</v>
      </c>
      <c r="Z629" s="256" t="str">
        <f ca="1">IF(D629="","",IF(T629="","",VLOOKUP(D629,契約台帳!$A$3:$E$4986,5,FALSE)))</f>
        <v>リンテック㈱</v>
      </c>
      <c r="AA629" s="54"/>
      <c r="AB629" s="200" t="s">
        <v>774</v>
      </c>
      <c r="AC629" s="31"/>
      <c r="AD629" s="184"/>
      <c r="AE629" s="51"/>
      <c r="AF629" s="52">
        <f>+M629*N629*O629/1000</f>
        <v>8040</v>
      </c>
      <c r="AG629" s="41"/>
      <c r="AH629" s="45"/>
      <c r="AI629" s="28"/>
      <c r="AJ629" s="28"/>
      <c r="AK629" s="28"/>
      <c r="AL629" s="28"/>
      <c r="AM629" s="12"/>
      <c r="AN629" s="12"/>
      <c r="AO629" s="12"/>
      <c r="AP629" s="12"/>
      <c r="AQ629" s="12"/>
      <c r="AR629" s="13"/>
      <c r="AS629" s="14"/>
    </row>
    <row r="630" spans="1:45" s="16" customFormat="1" ht="30.95" hidden="1" customHeight="1" x14ac:dyDescent="0.2">
      <c r="A630" s="35"/>
      <c r="B630" s="36"/>
      <c r="C630" s="43"/>
      <c r="D630" s="29"/>
      <c r="E630" s="29"/>
      <c r="F630" s="255"/>
      <c r="G630" s="256"/>
      <c r="H630" s="256"/>
      <c r="I630" s="200"/>
      <c r="J630" s="203"/>
      <c r="K630" s="200"/>
      <c r="L630" s="200"/>
      <c r="M630" s="37"/>
      <c r="N630" s="37"/>
      <c r="O630" s="153"/>
      <c r="P630" s="45"/>
      <c r="Q630" s="54"/>
      <c r="R630" s="257"/>
      <c r="S630" s="258"/>
      <c r="T630" s="258"/>
      <c r="U630" s="38"/>
      <c r="V630" s="259"/>
      <c r="W630" s="256"/>
      <c r="X630" s="256"/>
      <c r="Y630" s="256"/>
      <c r="Z630" s="256"/>
      <c r="AA630" s="54"/>
      <c r="AB630" s="200"/>
      <c r="AC630" s="31"/>
      <c r="AD630" s="184"/>
      <c r="AE630" s="51"/>
      <c r="AF630" s="52"/>
      <c r="AG630" s="41"/>
      <c r="AH630" s="45"/>
      <c r="AI630" s="28"/>
      <c r="AJ630" s="28"/>
      <c r="AK630" s="28"/>
      <c r="AL630" s="28"/>
      <c r="AM630" s="12"/>
      <c r="AN630" s="12"/>
      <c r="AO630" s="12"/>
      <c r="AP630" s="12"/>
      <c r="AQ630" s="12"/>
      <c r="AR630" s="13"/>
      <c r="AS630" s="14"/>
    </row>
    <row r="631" spans="1:45" s="16" customFormat="1" ht="30.95" hidden="1" customHeight="1" x14ac:dyDescent="0.2">
      <c r="A631" s="35" t="s">
        <v>1172</v>
      </c>
      <c r="B631" s="36" t="s">
        <v>1175</v>
      </c>
      <c r="C631" s="43"/>
      <c r="D631" s="29"/>
      <c r="E631" s="29"/>
      <c r="F631" s="255"/>
      <c r="G631" s="256"/>
      <c r="H631" s="256"/>
      <c r="I631" s="200"/>
      <c r="J631" s="203" t="s">
        <v>1221</v>
      </c>
      <c r="K631" s="200"/>
      <c r="L631" s="200"/>
      <c r="M631" s="37"/>
      <c r="N631" s="37"/>
      <c r="O631" s="153"/>
      <c r="P631" s="45"/>
      <c r="Q631" s="54"/>
      <c r="R631" s="257"/>
      <c r="S631" s="258"/>
      <c r="T631" s="258"/>
      <c r="U631" s="38"/>
      <c r="V631" s="259"/>
      <c r="W631" s="256"/>
      <c r="X631" s="256"/>
      <c r="Y631" s="256"/>
      <c r="Z631" s="256"/>
      <c r="AA631" s="54"/>
      <c r="AB631" s="200"/>
      <c r="AC631" s="31"/>
      <c r="AD631" s="184"/>
      <c r="AE631" s="51"/>
      <c r="AF631" s="52"/>
      <c r="AG631" s="41"/>
      <c r="AH631" s="45"/>
      <c r="AI631" s="28"/>
      <c r="AJ631" s="28"/>
      <c r="AK631" s="28"/>
      <c r="AL631" s="28"/>
      <c r="AM631" s="12"/>
      <c r="AN631" s="12"/>
      <c r="AO631" s="12"/>
      <c r="AP631" s="12"/>
      <c r="AQ631" s="12"/>
      <c r="AR631" s="13"/>
      <c r="AS631" s="14"/>
    </row>
    <row r="632" spans="1:45" s="16" customFormat="1" ht="30.95" hidden="1" customHeight="1" x14ac:dyDescent="0.2">
      <c r="A632" s="35"/>
      <c r="B632" s="36"/>
      <c r="C632" s="43"/>
      <c r="D632" s="29"/>
      <c r="E632" s="29"/>
      <c r="F632" s="255"/>
      <c r="G632" s="256"/>
      <c r="H632" s="256"/>
      <c r="I632" s="200"/>
      <c r="J632" s="203"/>
      <c r="K632" s="200"/>
      <c r="L632" s="200"/>
      <c r="M632" s="37"/>
      <c r="N632" s="37"/>
      <c r="O632" s="153"/>
      <c r="P632" s="45"/>
      <c r="Q632" s="54"/>
      <c r="R632" s="257"/>
      <c r="S632" s="258"/>
      <c r="T632" s="258"/>
      <c r="U632" s="38"/>
      <c r="V632" s="259"/>
      <c r="W632" s="256"/>
      <c r="X632" s="256"/>
      <c r="Y632" s="256"/>
      <c r="Z632" s="256"/>
      <c r="AA632" s="54"/>
      <c r="AB632" s="200"/>
      <c r="AC632" s="31"/>
      <c r="AD632" s="184"/>
      <c r="AE632" s="51"/>
      <c r="AF632" s="52"/>
      <c r="AG632" s="41"/>
      <c r="AH632" s="45"/>
      <c r="AI632" s="28"/>
      <c r="AJ632" s="28"/>
      <c r="AK632" s="28"/>
      <c r="AL632" s="28"/>
      <c r="AM632" s="12"/>
      <c r="AN632" s="12"/>
      <c r="AO632" s="12"/>
      <c r="AP632" s="12"/>
      <c r="AQ632" s="12"/>
      <c r="AR632" s="13"/>
      <c r="AS632" s="14"/>
    </row>
    <row r="633" spans="1:45" s="16" customFormat="1" ht="30.95" hidden="1" customHeight="1" x14ac:dyDescent="0.2">
      <c r="A633" s="35" t="s">
        <v>1174</v>
      </c>
      <c r="B633" s="36" t="s">
        <v>1177</v>
      </c>
      <c r="C633" s="43"/>
      <c r="D633" s="29"/>
      <c r="E633" s="29"/>
      <c r="F633" s="255"/>
      <c r="G633" s="256"/>
      <c r="H633" s="256"/>
      <c r="I633" s="200"/>
      <c r="J633" s="203" t="s">
        <v>1221</v>
      </c>
      <c r="K633" s="200"/>
      <c r="L633" s="200"/>
      <c r="M633" s="37"/>
      <c r="N633" s="37"/>
      <c r="O633" s="153"/>
      <c r="P633" s="45"/>
      <c r="Q633" s="54"/>
      <c r="R633" s="257"/>
      <c r="S633" s="258"/>
      <c r="T633" s="258"/>
      <c r="U633" s="38"/>
      <c r="V633" s="259"/>
      <c r="W633" s="256"/>
      <c r="X633" s="256"/>
      <c r="Y633" s="256"/>
      <c r="Z633" s="256"/>
      <c r="AA633" s="54"/>
      <c r="AB633" s="200"/>
      <c r="AC633" s="31"/>
      <c r="AD633" s="184"/>
      <c r="AE633" s="51"/>
      <c r="AF633" s="52"/>
      <c r="AG633" s="41"/>
      <c r="AH633" s="45"/>
      <c r="AI633" s="28"/>
      <c r="AJ633" s="28"/>
      <c r="AK633" s="28"/>
      <c r="AL633" s="28"/>
      <c r="AM633" s="12"/>
      <c r="AN633" s="12"/>
      <c r="AO633" s="12"/>
      <c r="AP633" s="12"/>
      <c r="AQ633" s="12"/>
      <c r="AR633" s="13"/>
      <c r="AS633" s="14"/>
    </row>
    <row r="634" spans="1:45" s="16" customFormat="1" ht="30.95" hidden="1" customHeight="1" x14ac:dyDescent="0.2">
      <c r="A634" s="35"/>
      <c r="B634" s="36"/>
      <c r="C634" s="43"/>
      <c r="D634" s="29"/>
      <c r="E634" s="29"/>
      <c r="F634" s="255"/>
      <c r="G634" s="256"/>
      <c r="H634" s="256"/>
      <c r="I634" s="200"/>
      <c r="J634" s="203"/>
      <c r="K634" s="200"/>
      <c r="L634" s="200"/>
      <c r="M634" s="37"/>
      <c r="N634" s="37"/>
      <c r="O634" s="153"/>
      <c r="P634" s="45"/>
      <c r="Q634" s="54"/>
      <c r="R634" s="257"/>
      <c r="S634" s="258"/>
      <c r="T634" s="258"/>
      <c r="U634" s="38"/>
      <c r="V634" s="259"/>
      <c r="W634" s="256"/>
      <c r="X634" s="256"/>
      <c r="Y634" s="256"/>
      <c r="Z634" s="256"/>
      <c r="AA634" s="54"/>
      <c r="AB634" s="200"/>
      <c r="AC634" s="31"/>
      <c r="AD634" s="184"/>
      <c r="AE634" s="51"/>
      <c r="AF634" s="52"/>
      <c r="AG634" s="41"/>
      <c r="AH634" s="45"/>
      <c r="AI634" s="28"/>
      <c r="AJ634" s="28"/>
      <c r="AK634" s="28"/>
      <c r="AL634" s="28"/>
      <c r="AM634" s="12"/>
      <c r="AN634" s="12"/>
      <c r="AO634" s="12"/>
      <c r="AP634" s="12"/>
      <c r="AQ634" s="12"/>
      <c r="AR634" s="13"/>
      <c r="AS634" s="14"/>
    </row>
    <row r="635" spans="1:45" s="16" customFormat="1" ht="30.95" hidden="1" customHeight="1" x14ac:dyDescent="0.2">
      <c r="A635" s="35" t="s">
        <v>1176</v>
      </c>
      <c r="B635" s="36" t="s">
        <v>1161</v>
      </c>
      <c r="C635" s="43"/>
      <c r="D635" s="29"/>
      <c r="E635" s="29"/>
      <c r="F635" s="255"/>
      <c r="G635" s="256"/>
      <c r="H635" s="256"/>
      <c r="I635" s="200"/>
      <c r="J635" s="203"/>
      <c r="K635" s="200"/>
      <c r="L635" s="200"/>
      <c r="M635" s="37"/>
      <c r="N635" s="37"/>
      <c r="O635" s="153"/>
      <c r="P635" s="45"/>
      <c r="Q635" s="54"/>
      <c r="R635" s="257"/>
      <c r="S635" s="258"/>
      <c r="T635" s="258"/>
      <c r="U635" s="38"/>
      <c r="V635" s="259"/>
      <c r="W635" s="256"/>
      <c r="X635" s="256"/>
      <c r="Y635" s="256"/>
      <c r="Z635" s="256"/>
      <c r="AA635" s="54"/>
      <c r="AB635" s="200" t="str">
        <f>IFERROR((VLOOKUP(F635&amp;K635&amp;M635,製品マスタ!$M$5:$AM$4999,27,FALSE)),"")</f>
        <v/>
      </c>
      <c r="AC635" s="31"/>
      <c r="AD635" s="184"/>
      <c r="AE635" s="51"/>
      <c r="AF635" s="52"/>
      <c r="AG635" s="41"/>
      <c r="AH635" s="45"/>
      <c r="AI635" s="28"/>
      <c r="AJ635" s="28"/>
      <c r="AK635" s="28"/>
      <c r="AL635" s="28"/>
      <c r="AM635" s="12"/>
      <c r="AN635" s="12"/>
      <c r="AO635" s="12"/>
      <c r="AP635" s="12"/>
      <c r="AQ635" s="12"/>
      <c r="AR635" s="13"/>
      <c r="AS635" s="14"/>
    </row>
    <row r="636" spans="1:45" s="16" customFormat="1" ht="30.95" hidden="1" customHeight="1" x14ac:dyDescent="0.2">
      <c r="A636" s="35"/>
      <c r="B636" s="36"/>
      <c r="C636" s="43"/>
      <c r="D636" s="29"/>
      <c r="E636" s="29"/>
      <c r="F636" s="255"/>
      <c r="G636" s="256"/>
      <c r="H636" s="256"/>
      <c r="I636" s="200"/>
      <c r="J636" s="203"/>
      <c r="K636" s="200"/>
      <c r="L636" s="200"/>
      <c r="M636" s="37"/>
      <c r="N636" s="37"/>
      <c r="O636" s="153"/>
      <c r="P636" s="45"/>
      <c r="Q636" s="54"/>
      <c r="R636" s="257"/>
      <c r="S636" s="258"/>
      <c r="T636" s="258"/>
      <c r="U636" s="38"/>
      <c r="V636" s="259"/>
      <c r="W636" s="256"/>
      <c r="X636" s="256"/>
      <c r="Y636" s="256"/>
      <c r="Z636" s="256"/>
      <c r="AA636" s="54"/>
      <c r="AB636" s="200"/>
      <c r="AC636" s="31"/>
      <c r="AD636" s="184"/>
      <c r="AE636" s="51"/>
      <c r="AF636" s="52"/>
      <c r="AG636" s="41"/>
      <c r="AH636" s="45"/>
      <c r="AI636" s="28"/>
      <c r="AJ636" s="28"/>
      <c r="AK636" s="28"/>
      <c r="AL636" s="28"/>
      <c r="AM636" s="12"/>
      <c r="AN636" s="12"/>
      <c r="AO636" s="12"/>
      <c r="AP636" s="12"/>
      <c r="AQ636" s="12"/>
      <c r="AR636" s="13"/>
      <c r="AS636" s="14"/>
    </row>
    <row r="637" spans="1:45" s="16" customFormat="1" ht="30.95" hidden="1" customHeight="1" x14ac:dyDescent="0.2">
      <c r="A637" s="35" t="s">
        <v>1178</v>
      </c>
      <c r="B637" s="36" t="s">
        <v>1166</v>
      </c>
      <c r="C637" s="43"/>
      <c r="D637" s="29">
        <v>3712101</v>
      </c>
      <c r="E637" s="29">
        <v>4161928</v>
      </c>
      <c r="F637" s="255" t="str">
        <f>IF(D637="","",VLOOKUP(D637,契約台帳!$A$3:$K$4986,6,FALSE)&amp;VLOOKUP(D637,契約台帳!$A$3:$K$4986,7,FALSE)&amp;VLOOKUP(D637,契約台帳!$A$3:$K$4986,8,FALSE)&amp;VLOOKUP(D637,契約台帳!$A$3:$K$4986,9,FALSE)&amp;VLOOKUP(D637,契約台帳!$A$3:$K$4986,11,FALSE))</f>
        <v>3SNMLBMNGKKBF</v>
      </c>
      <c r="G637" s="256" t="str">
        <f>IF(D637="","",VLOOKUP(F637,製品マスタ!$G$5:$H$4999,2,FALSE))</f>
        <v>S</v>
      </c>
      <c r="H637" s="256" t="str">
        <f>IF(D637="","",VLOOKUP(F637,製品マスタ!$G$5:$K$4999,5,FALSE))</f>
        <v>MNGKKBF</v>
      </c>
      <c r="I637" s="200" t="str">
        <f>IF(D637="","",VLOOKUP(F637,製品マスタ!$G$5:$L$4999,6,FALSE))</f>
        <v>メタルミー　ネーマー銀消改　Ｂ</v>
      </c>
      <c r="J637" s="203" t="s">
        <v>935</v>
      </c>
      <c r="K637" s="200">
        <f>IF(D637="","",VLOOKUP(D637,契約台帳!$A$3:$L$4986,12,FALSE))</f>
        <v>50</v>
      </c>
      <c r="L637" s="200" t="str">
        <f>IF(D637="","",INDEX(製品マスタ!$Q$5:$Q$4999,MATCH('S4'!F637&amp;'S4'!K637,製品マスタ!$AO$5:$AO$4999,0)))</f>
        <v>S99-MAT</v>
      </c>
      <c r="M637" s="37">
        <v>1120</v>
      </c>
      <c r="N637" s="37">
        <v>4000</v>
      </c>
      <c r="O637" s="153">
        <v>18</v>
      </c>
      <c r="P637" s="45">
        <v>3</v>
      </c>
      <c r="Q637" s="206">
        <v>45083</v>
      </c>
      <c r="R637" s="257">
        <f ca="1">IF(D637="","",IF(OFFSET(D637,-1,0)&lt;&gt;"","",IF(OR(J637="リード付け",J637="巻足し",J637="巻返しリード付け"),M637,VLOOKUP(D637,契約台帳!$A$3:$N$4986,14,FALSE))))</f>
        <v>1120</v>
      </c>
      <c r="S637" s="258">
        <f ca="1">IF(D637="","",IF(OFFSET(D637,-1,0)&lt;&gt;"","",IF(OR(J637="リード付け",J637="巻足し",J637="巻返しリード付け"),M637,VLOOKUP(D637,契約台帳!$A$3:$O$4986,15,FALSE))))</f>
        <v>1120</v>
      </c>
      <c r="T637" s="258">
        <f ca="1">IF(D637="","",IF(J637="リード付け",N637,IF(J637="巻返しリード付け",N637,IF(J637="巻足し",N637*P637+OFFSET(N637,1,0)*OFFSET(P637,1,0),VLOOKUP(D637,契約台帳!$A$3:$P$4986,16,FALSE)))))</f>
        <v>12000</v>
      </c>
      <c r="U637" s="38">
        <v>6</v>
      </c>
      <c r="V637" s="259">
        <f ca="1">IF(D637="","",IF(OFFSET(D637,-2,0)=D637,"",VLOOKUP(D637,契約台帳!$A$3:$R$4986,18,FALSE)))</f>
        <v>18</v>
      </c>
      <c r="W637" s="256" t="str">
        <f ca="1">IF(D637="","",IF(T637="","",IF(OR(J637="巻足し",J637="巻返しリード付け"),"",IF(J637="巻返し",VLOOKUP(F637&amp;K637&amp;M637,製品マスタ!$M$5:$AD$4999,18,FALSE),IF(OR(J637="リード付け",J637="巻返しリード付け"),"原反コア",IF(J637="スリット",VLOOKUP(F637&amp;K637&amp;R637,製品マスタ!$N$5:$AD$4999,17,FALSE),""))))))</f>
        <v/>
      </c>
      <c r="X637" s="256" t="str">
        <f ca="1">IF(D637="","",IF(T637="","",IF(J637="巻足し","",IF(J637="巻返し",VLOOKUP(F637&amp;K637&amp;M637,製品マスタ!$M$5:$AE$4999,19,FALSE),IF(OR(J637="リード付け",J637="巻返しリード付け"),"",IF(J637="スリット",VLOOKUP(F637&amp;K637&amp;R637,製品マスタ!$N$5:$AE$4999,18,FALSE),""))))))</f>
        <v/>
      </c>
      <c r="Y637" s="256">
        <f ca="1">IF(D637="","",IF(T637="","",VLOOKUP(D637,契約台帳!$A$3:$Q$4986,17,FALSE)))</f>
        <v>2</v>
      </c>
      <c r="Z637" s="256" t="str">
        <f ca="1">IF(D637="","",IF(T637="","",VLOOKUP(D637,契約台帳!$A$3:$E$4986,5,FALSE)))</f>
        <v>リンテック㈱</v>
      </c>
      <c r="AA637" s="54"/>
      <c r="AB637" s="200">
        <f>IFERROR((VLOOKUP(F637&amp;K637&amp;M637,製品マスタ!$M$5:$AM$4999,27,FALSE)),"")</f>
        <v>0</v>
      </c>
      <c r="AC637" s="31"/>
      <c r="AD637" s="184"/>
      <c r="AE637" s="51"/>
      <c r="AF637" s="52">
        <f>+M637*N637*O637/1000</f>
        <v>80640</v>
      </c>
      <c r="AG637" s="41"/>
      <c r="AH637" s="45"/>
      <c r="AI637" s="28"/>
      <c r="AJ637" s="28"/>
      <c r="AK637" s="28"/>
      <c r="AL637" s="28"/>
      <c r="AM637" s="12"/>
      <c r="AN637" s="12"/>
      <c r="AO637" s="12"/>
      <c r="AP637" s="12"/>
      <c r="AQ637" s="12"/>
      <c r="AR637" s="13"/>
      <c r="AS637" s="14"/>
    </row>
    <row r="638" spans="1:45" s="16" customFormat="1" ht="30.95" hidden="1" customHeight="1" x14ac:dyDescent="0.2">
      <c r="A638" s="35"/>
      <c r="B638" s="36"/>
      <c r="C638" s="43"/>
      <c r="D638" s="29"/>
      <c r="E638" s="29"/>
      <c r="F638" s="255"/>
      <c r="G638" s="256"/>
      <c r="H638" s="256"/>
      <c r="I638" s="200"/>
      <c r="J638" s="203"/>
      <c r="K638" s="200"/>
      <c r="L638" s="200"/>
      <c r="M638" s="37"/>
      <c r="N638" s="37"/>
      <c r="O638" s="153"/>
      <c r="P638" s="45"/>
      <c r="Q638" s="54"/>
      <c r="R638" s="257"/>
      <c r="S638" s="258"/>
      <c r="T638" s="258"/>
      <c r="U638" s="38"/>
      <c r="V638" s="259"/>
      <c r="W638" s="256"/>
      <c r="X638" s="256"/>
      <c r="Y638" s="256"/>
      <c r="Z638" s="256"/>
      <c r="AA638" s="54"/>
      <c r="AB638" s="200"/>
      <c r="AC638" s="31"/>
      <c r="AD638" s="184"/>
      <c r="AE638" s="51"/>
      <c r="AF638" s="52"/>
      <c r="AG638" s="41"/>
      <c r="AH638" s="45"/>
      <c r="AI638" s="28"/>
      <c r="AJ638" s="28"/>
      <c r="AK638" s="28"/>
      <c r="AL638" s="28"/>
      <c r="AM638" s="12"/>
      <c r="AN638" s="12"/>
      <c r="AO638" s="12"/>
      <c r="AP638" s="12"/>
      <c r="AQ638" s="12"/>
      <c r="AR638" s="13"/>
      <c r="AS638" s="14"/>
    </row>
    <row r="639" spans="1:45" s="16" customFormat="1" ht="30.95" hidden="1" customHeight="1" x14ac:dyDescent="0.2">
      <c r="A639" s="35" t="s">
        <v>1179</v>
      </c>
      <c r="B639" s="36" t="s">
        <v>1168</v>
      </c>
      <c r="C639" s="43"/>
      <c r="D639" s="29">
        <v>3712103</v>
      </c>
      <c r="E639" s="29">
        <v>4161924</v>
      </c>
      <c r="F639" s="255" t="str">
        <f>IF(D639="","",VLOOKUP(D639,契約台帳!$A$3:$K$4986,6,FALSE)&amp;VLOOKUP(D639,契約台帳!$A$3:$K$4986,7,FALSE)&amp;VLOOKUP(D639,契約台帳!$A$3:$K$4986,8,FALSE)&amp;VLOOKUP(D639,契約台帳!$A$3:$K$4986,9,FALSE)&amp;VLOOKUP(D639,契約台帳!$A$3:$K$4986,11,FALSE))</f>
        <v>3SNMLBMNGKBF</v>
      </c>
      <c r="G639" s="256" t="str">
        <f>IF(D639="","",VLOOKUP(F639,製品マスタ!$G$5:$H$4999,2,FALSE))</f>
        <v>S</v>
      </c>
      <c r="H639" s="256" t="str">
        <f>IF(D639="","",VLOOKUP(F639,製品マスタ!$G$5:$K$4999,5,FALSE))</f>
        <v>MNGKBF</v>
      </c>
      <c r="I639" s="200" t="str">
        <f>IF(D639="","",VLOOKUP(F639,製品マスタ!$G$5:$L$4999,6,FALSE))</f>
        <v>メタルミー　ネーマー銀消　Ｂ</v>
      </c>
      <c r="J639" s="203" t="s">
        <v>935</v>
      </c>
      <c r="K639" s="200">
        <f>IF(D639="","",VLOOKUP(D639,契約台帳!$A$3:$L$4986,12,FALSE))</f>
        <v>50</v>
      </c>
      <c r="L639" s="200" t="str">
        <f>IF(D639="","",INDEX(製品マスタ!$Q$5:$Q$4999,MATCH('S4'!F639&amp;'S4'!K639,製品マスタ!$AO$5:$AO$4999,0)))</f>
        <v>MAT</v>
      </c>
      <c r="M639" s="37">
        <v>1050</v>
      </c>
      <c r="N639" s="37">
        <v>4100</v>
      </c>
      <c r="O639" s="153">
        <v>4</v>
      </c>
      <c r="P639" s="45">
        <v>2</v>
      </c>
      <c r="Q639" s="206">
        <v>45084</v>
      </c>
      <c r="R639" s="257">
        <f ca="1">IF(D639="","",IF(OFFSET(D639,-1,0)&lt;&gt;"","",IF(OR(J639="リード付け",J639="巻足し",J639="巻返しリード付け"),M639,VLOOKUP(D639,契約台帳!$A$3:$N$4986,14,FALSE))))</f>
        <v>1050</v>
      </c>
      <c r="S639" s="258">
        <f ca="1">IF(D639="","",IF(OFFSET(D639,-1,0)&lt;&gt;"","",IF(OR(J639="リード付け",J639="巻足し",J639="巻返しリード付け"),M639,VLOOKUP(D639,契約台帳!$A$3:$O$4986,15,FALSE))))</f>
        <v>1050</v>
      </c>
      <c r="T639" s="258">
        <f ca="1">IF(D639="","",IF(J639="リード付け",N639,IF(J639="巻返しリード付け",N639,IF(J639="巻足し",N639*P639+OFFSET(N639,1,0)*OFFSET(P639,1,0),VLOOKUP(D639,契約台帳!$A$3:$P$4986,16,FALSE)))))</f>
        <v>8200</v>
      </c>
      <c r="U639" s="38">
        <v>2</v>
      </c>
      <c r="V639" s="259">
        <f ca="1">IF(D639="","",IF(OFFSET(D639,-2,0)=D639,"",VLOOKUP(D639,契約台帳!$A$3:$R$4986,18,FALSE)))</f>
        <v>4</v>
      </c>
      <c r="W639" s="256" t="str">
        <f ca="1">IF(D639="","",IF(T639="","",IF(OR(J639="巻足し",J639="巻返しリード付け"),"",IF(J639="巻返し",VLOOKUP(F639&amp;K639&amp;M639,製品マスタ!$M$5:$AD$4999,18,FALSE),IF(OR(J639="リード付け",J639="巻返しリード付け"),"原反コア",IF(J639="スリット",VLOOKUP(F639&amp;K639&amp;R639,製品マスタ!$N$5:$AD$4999,17,FALSE),""))))))</f>
        <v/>
      </c>
      <c r="X639" s="256" t="str">
        <f ca="1">IF(D639="","",IF(T639="","",IF(J639="巻足し","",IF(J639="巻返し",VLOOKUP(F639&amp;K639&amp;M639,製品マスタ!$M$5:$AE$4999,19,FALSE),IF(OR(J639="リード付け",J639="巻返しリード付け"),"",IF(J639="スリット",VLOOKUP(F639&amp;K639&amp;R639,製品マスタ!$N$5:$AE$4999,18,FALSE),""))))))</f>
        <v/>
      </c>
      <c r="Y639" s="256">
        <f ca="1">IF(D639="","",IF(T639="","",VLOOKUP(D639,契約台帳!$A$3:$Q$4986,17,FALSE)))</f>
        <v>2</v>
      </c>
      <c r="Z639" s="256" t="str">
        <f ca="1">IF(D639="","",IF(T639="","",VLOOKUP(D639,契約台帳!$A$3:$E$4986,5,FALSE)))</f>
        <v>リンテック㈱</v>
      </c>
      <c r="AA639" s="54"/>
      <c r="AB639" s="200"/>
      <c r="AC639" s="31"/>
      <c r="AD639" s="184"/>
      <c r="AE639" s="51"/>
      <c r="AF639" s="52">
        <f>+M639*N639*O639/1000</f>
        <v>17220</v>
      </c>
      <c r="AG639" s="41"/>
      <c r="AH639" s="45"/>
      <c r="AI639" s="28"/>
      <c r="AJ639" s="28"/>
      <c r="AK639" s="28"/>
      <c r="AL639" s="28"/>
      <c r="AM639" s="12"/>
      <c r="AN639" s="12"/>
      <c r="AO639" s="12"/>
      <c r="AP639" s="12"/>
      <c r="AQ639" s="12"/>
      <c r="AR639" s="13"/>
      <c r="AS639" s="14"/>
    </row>
    <row r="640" spans="1:45" s="16" customFormat="1" ht="30.95" hidden="1" customHeight="1" x14ac:dyDescent="0.2">
      <c r="A640" s="35"/>
      <c r="B640" s="36"/>
      <c r="C640" s="43"/>
      <c r="D640" s="29"/>
      <c r="E640" s="29"/>
      <c r="F640" s="255"/>
      <c r="G640" s="256"/>
      <c r="H640" s="256"/>
      <c r="I640" s="200"/>
      <c r="J640" s="203"/>
      <c r="K640" s="200"/>
      <c r="L640" s="200"/>
      <c r="M640" s="37"/>
      <c r="N640" s="37"/>
      <c r="O640" s="153"/>
      <c r="P640" s="45"/>
      <c r="Q640" s="54"/>
      <c r="R640" s="257"/>
      <c r="S640" s="258"/>
      <c r="T640" s="258"/>
      <c r="U640" s="38"/>
      <c r="V640" s="259"/>
      <c r="W640" s="256"/>
      <c r="X640" s="256"/>
      <c r="Y640" s="256"/>
      <c r="Z640" s="256"/>
      <c r="AA640" s="54"/>
      <c r="AB640" s="200"/>
      <c r="AC640" s="31"/>
      <c r="AD640" s="184"/>
      <c r="AE640" s="51"/>
      <c r="AF640" s="52"/>
      <c r="AG640" s="41"/>
      <c r="AH640" s="45"/>
      <c r="AI640" s="28"/>
      <c r="AJ640" s="28"/>
      <c r="AK640" s="28"/>
      <c r="AL640" s="28"/>
      <c r="AM640" s="12"/>
      <c r="AN640" s="12"/>
      <c r="AO640" s="12"/>
      <c r="AP640" s="12"/>
      <c r="AQ640" s="12"/>
      <c r="AR640" s="13"/>
      <c r="AS640" s="14"/>
    </row>
    <row r="641" spans="1:45" s="16" customFormat="1" ht="30.95" hidden="1" customHeight="1" x14ac:dyDescent="0.2">
      <c r="A641" s="35" t="s">
        <v>1180</v>
      </c>
      <c r="B641" s="36" t="s">
        <v>1171</v>
      </c>
      <c r="C641" s="43"/>
      <c r="D641" s="29"/>
      <c r="E641" s="29"/>
      <c r="F641" s="255"/>
      <c r="G641" s="256"/>
      <c r="H641" s="256"/>
      <c r="I641" s="200"/>
      <c r="J641" s="203"/>
      <c r="K641" s="200"/>
      <c r="L641" s="200"/>
      <c r="M641" s="37"/>
      <c r="N641" s="37"/>
      <c r="O641" s="153"/>
      <c r="P641" s="45"/>
      <c r="Q641" s="54"/>
      <c r="R641" s="257"/>
      <c r="S641" s="258"/>
      <c r="T641" s="258"/>
      <c r="U641" s="38"/>
      <c r="V641" s="259"/>
      <c r="W641" s="256"/>
      <c r="X641" s="256"/>
      <c r="Y641" s="256"/>
      <c r="Z641" s="256"/>
      <c r="AA641" s="54"/>
      <c r="AB641" s="200" t="str">
        <f>IFERROR((VLOOKUP(F641&amp;K641&amp;M641,製品マスタ!$M$5:$AM$4999,27,FALSE)),"")</f>
        <v/>
      </c>
      <c r="AC641" s="31"/>
      <c r="AD641" s="184"/>
      <c r="AE641" s="51"/>
      <c r="AF641" s="52"/>
      <c r="AG641" s="41"/>
      <c r="AH641" s="45"/>
      <c r="AI641" s="28"/>
      <c r="AJ641" s="28"/>
      <c r="AK641" s="28"/>
      <c r="AL641" s="28"/>
      <c r="AM641" s="12"/>
      <c r="AN641" s="12"/>
      <c r="AO641" s="12"/>
      <c r="AP641" s="12"/>
      <c r="AQ641" s="12"/>
      <c r="AR641" s="13"/>
      <c r="AS641" s="14"/>
    </row>
    <row r="642" spans="1:45" s="16" customFormat="1" ht="30.95" hidden="1" customHeight="1" x14ac:dyDescent="0.2">
      <c r="A642" s="35"/>
      <c r="B642" s="36"/>
      <c r="C642" s="43"/>
      <c r="D642" s="29"/>
      <c r="E642" s="29"/>
      <c r="F642" s="255"/>
      <c r="G642" s="256"/>
      <c r="H642" s="256"/>
      <c r="I642" s="200"/>
      <c r="J642" s="203"/>
      <c r="K642" s="200"/>
      <c r="L642" s="200"/>
      <c r="M642" s="37"/>
      <c r="N642" s="37"/>
      <c r="O642" s="153"/>
      <c r="P642" s="45"/>
      <c r="Q642" s="54"/>
      <c r="R642" s="257"/>
      <c r="S642" s="258"/>
      <c r="T642" s="258"/>
      <c r="U642" s="38"/>
      <c r="V642" s="259"/>
      <c r="W642" s="256"/>
      <c r="X642" s="256"/>
      <c r="Y642" s="256"/>
      <c r="Z642" s="256"/>
      <c r="AA642" s="54"/>
      <c r="AB642" s="200"/>
      <c r="AC642" s="31"/>
      <c r="AD642" s="184"/>
      <c r="AE642" s="51"/>
      <c r="AF642" s="52"/>
      <c r="AG642" s="41"/>
      <c r="AH642" s="45"/>
      <c r="AI642" s="28"/>
      <c r="AJ642" s="28"/>
      <c r="AK642" s="28"/>
      <c r="AL642" s="28"/>
      <c r="AM642" s="12"/>
      <c r="AN642" s="12"/>
      <c r="AO642" s="12"/>
      <c r="AP642" s="12"/>
      <c r="AQ642" s="12"/>
      <c r="AR642" s="13"/>
      <c r="AS642" s="14"/>
    </row>
    <row r="643" spans="1:45" s="16" customFormat="1" ht="30.95" hidden="1" customHeight="1" x14ac:dyDescent="0.2">
      <c r="A643" s="35" t="s">
        <v>1181</v>
      </c>
      <c r="B643" s="36" t="s">
        <v>1173</v>
      </c>
      <c r="C643" s="43"/>
      <c r="D643" s="29">
        <v>3712102</v>
      </c>
      <c r="E643" s="29">
        <v>4161929</v>
      </c>
      <c r="F643" s="255" t="str">
        <f>IF(D643="","",VLOOKUP(D643,契約台帳!$A$3:$K$4986,6,FALSE)&amp;VLOOKUP(D643,契約台帳!$A$3:$K$4986,7,FALSE)&amp;VLOOKUP(D643,契約台帳!$A$3:$K$4986,8,FALSE)&amp;VLOOKUP(D643,契約台帳!$A$3:$K$4986,9,FALSE)&amp;VLOOKUP(D643,契約台帳!$A$3:$K$4986,11,FALSE))</f>
        <v>3SNMLBMNGKKBF</v>
      </c>
      <c r="G643" s="256" t="str">
        <f>IF(D643="","",VLOOKUP(F643,製品マスタ!$G$5:$H$4999,2,FALSE))</f>
        <v>S</v>
      </c>
      <c r="H643" s="256" t="str">
        <f>IF(D643="","",VLOOKUP(F643,製品マスタ!$G$5:$K$4999,5,FALSE))</f>
        <v>MNGKKBF</v>
      </c>
      <c r="I643" s="200" t="str">
        <f>IF(D643="","",VLOOKUP(F643,製品マスタ!$G$5:$L$4999,6,FALSE))</f>
        <v>メタルミー　ネーマー銀消改　Ｂ</v>
      </c>
      <c r="J643" s="203" t="s">
        <v>935</v>
      </c>
      <c r="K643" s="200">
        <f>IF(D643="","",VLOOKUP(D643,契約台帳!$A$3:$L$4986,12,FALSE))</f>
        <v>50</v>
      </c>
      <c r="L643" s="200" t="str">
        <f>IF(D643="","",INDEX(製品マスタ!$Q$5:$Q$4999,MATCH('S4'!F643&amp;'S4'!K643,製品マスタ!$AO$5:$AO$4999,0)))</f>
        <v>S99-MAT</v>
      </c>
      <c r="M643" s="37">
        <v>1120</v>
      </c>
      <c r="N643" s="37">
        <v>4000</v>
      </c>
      <c r="O643" s="153">
        <v>9</v>
      </c>
      <c r="P643" s="45">
        <v>3</v>
      </c>
      <c r="Q643" s="206">
        <v>45086</v>
      </c>
      <c r="R643" s="257">
        <f ca="1">IF(D643="","",IF(OFFSET(D643,-1,0)&lt;&gt;"","",IF(OR(J643="リード付け",J643="巻足し",J643="巻返しリード付け"),M643,VLOOKUP(D643,契約台帳!$A$3:$N$4986,14,FALSE))))</f>
        <v>1120</v>
      </c>
      <c r="S643" s="258">
        <f ca="1">IF(D643="","",IF(OFFSET(D643,-1,0)&lt;&gt;"","",IF(OR(J643="リード付け",J643="巻足し",J643="巻返しリード付け"),M643,VLOOKUP(D643,契約台帳!$A$3:$O$4986,15,FALSE))))</f>
        <v>1120</v>
      </c>
      <c r="T643" s="258">
        <f ca="1">IF(D643="","",IF(J643="リード付け",N643,IF(J643="巻返しリード付け",N643,IF(J643="巻足し",N643*P643+OFFSET(N643,1,0)*OFFSET(P643,1,0),VLOOKUP(D643,契約台帳!$A$3:$P$4986,16,FALSE)))))</f>
        <v>12000</v>
      </c>
      <c r="U643" s="38">
        <v>3</v>
      </c>
      <c r="V643" s="259">
        <f ca="1">IF(D643="","",IF(OFFSET(D643,-2,0)=D643,"",VLOOKUP(D643,契約台帳!$A$3:$R$4986,18,FALSE)))</f>
        <v>9</v>
      </c>
      <c r="W643" s="256" t="str">
        <f ca="1">IF(D643="","",IF(T643="","",IF(OR(J643="巻足し",J643="巻返しリード付け"),"",IF(J643="巻返し",VLOOKUP(F643&amp;K643&amp;M643,製品マスタ!$M$5:$AD$4999,18,FALSE),IF(OR(J643="リード付け",J643="巻返しリード付け"),"原反コア",IF(J643="スリット",VLOOKUP(F643&amp;K643&amp;R643,製品マスタ!$N$5:$AD$4999,17,FALSE),""))))))</f>
        <v/>
      </c>
      <c r="X643" s="256" t="str">
        <f ca="1">IF(D643="","",IF(T643="","",IF(J643="巻足し","",IF(J643="巻返し",VLOOKUP(F643&amp;K643&amp;M643,製品マスタ!$M$5:$AE$4999,19,FALSE),IF(OR(J643="リード付け",J643="巻返しリード付け"),"",IF(J643="スリット",VLOOKUP(F643&amp;K643&amp;R643,製品マスタ!$N$5:$AE$4999,18,FALSE),""))))))</f>
        <v/>
      </c>
      <c r="Y643" s="256">
        <f ca="1">IF(D643="","",IF(T643="","",VLOOKUP(D643,契約台帳!$A$3:$Q$4986,17,FALSE)))</f>
        <v>2</v>
      </c>
      <c r="Z643" s="256" t="str">
        <f ca="1">IF(D643="","",IF(T643="","",VLOOKUP(D643,契約台帳!$A$3:$E$4986,5,FALSE)))</f>
        <v>リンテック㈱</v>
      </c>
      <c r="AA643" s="54"/>
      <c r="AB643" s="200"/>
      <c r="AC643" s="31"/>
      <c r="AD643" s="184"/>
      <c r="AE643" s="51"/>
      <c r="AF643" s="52">
        <f>+M643*N643*O643/1000</f>
        <v>40320</v>
      </c>
      <c r="AG643" s="41"/>
      <c r="AH643" s="45"/>
      <c r="AI643" s="28"/>
      <c r="AJ643" s="28"/>
      <c r="AK643" s="28"/>
      <c r="AL643" s="28"/>
      <c r="AM643" s="12"/>
      <c r="AN643" s="12"/>
      <c r="AO643" s="12"/>
      <c r="AP643" s="12"/>
      <c r="AQ643" s="12"/>
      <c r="AR643" s="13"/>
      <c r="AS643" s="14"/>
    </row>
    <row r="644" spans="1:45" s="16" customFormat="1" ht="30.95" hidden="1" customHeight="1" x14ac:dyDescent="0.2">
      <c r="A644" s="35"/>
      <c r="B644" s="36"/>
      <c r="C644" s="43"/>
      <c r="D644" s="29"/>
      <c r="E644" s="29"/>
      <c r="F644" s="255"/>
      <c r="G644" s="256"/>
      <c r="H644" s="256"/>
      <c r="I644" s="200"/>
      <c r="J644" s="203"/>
      <c r="K644" s="200"/>
      <c r="L644" s="200"/>
      <c r="M644" s="37"/>
      <c r="N644" s="37"/>
      <c r="O644" s="153"/>
      <c r="P644" s="45"/>
      <c r="Q644" s="54"/>
      <c r="R644" s="257"/>
      <c r="S644" s="258"/>
      <c r="T644" s="258"/>
      <c r="U644" s="38"/>
      <c r="V644" s="259"/>
      <c r="W644" s="256"/>
      <c r="X644" s="256"/>
      <c r="Y644" s="256"/>
      <c r="Z644" s="256"/>
      <c r="AA644" s="54"/>
      <c r="AB644" s="200"/>
      <c r="AC644" s="31"/>
      <c r="AD644" s="184"/>
      <c r="AE644" s="51"/>
      <c r="AF644" s="52"/>
      <c r="AG644" s="41"/>
      <c r="AH644" s="45"/>
      <c r="AI644" s="28"/>
      <c r="AJ644" s="28"/>
      <c r="AK644" s="28"/>
      <c r="AL644" s="28"/>
      <c r="AM644" s="12"/>
      <c r="AN644" s="12"/>
      <c r="AO644" s="12"/>
      <c r="AP644" s="12"/>
      <c r="AQ644" s="12"/>
      <c r="AR644" s="13"/>
      <c r="AS644" s="14"/>
    </row>
    <row r="645" spans="1:45" s="16" customFormat="1" ht="30.95" hidden="1" customHeight="1" x14ac:dyDescent="0.2">
      <c r="A645" s="35" t="s">
        <v>1182</v>
      </c>
      <c r="B645" s="36" t="s">
        <v>1175</v>
      </c>
      <c r="C645" s="43"/>
      <c r="D645" s="29"/>
      <c r="E645" s="29"/>
      <c r="F645" s="255"/>
      <c r="G645" s="256"/>
      <c r="H645" s="256"/>
      <c r="I645" s="200"/>
      <c r="J645" s="203" t="s">
        <v>1221</v>
      </c>
      <c r="K645" s="200"/>
      <c r="L645" s="200"/>
      <c r="M645" s="37"/>
      <c r="N645" s="37"/>
      <c r="O645" s="153"/>
      <c r="P645" s="45"/>
      <c r="Q645" s="54"/>
      <c r="R645" s="257"/>
      <c r="S645" s="258"/>
      <c r="T645" s="258"/>
      <c r="U645" s="38"/>
      <c r="V645" s="259"/>
      <c r="W645" s="256"/>
      <c r="X645" s="256"/>
      <c r="Y645" s="256"/>
      <c r="Z645" s="256"/>
      <c r="AA645" s="54"/>
      <c r="AB645" s="200"/>
      <c r="AC645" s="31"/>
      <c r="AD645" s="184"/>
      <c r="AE645" s="51"/>
      <c r="AF645" s="52"/>
      <c r="AG645" s="41"/>
      <c r="AH645" s="45"/>
      <c r="AI645" s="28"/>
      <c r="AJ645" s="28"/>
      <c r="AK645" s="28"/>
      <c r="AL645" s="28"/>
      <c r="AM645" s="12"/>
      <c r="AN645" s="12"/>
      <c r="AO645" s="12"/>
      <c r="AP645" s="12"/>
      <c r="AQ645" s="12"/>
      <c r="AR645" s="13"/>
      <c r="AS645" s="14"/>
    </row>
    <row r="646" spans="1:45" s="16" customFormat="1" ht="30.95" hidden="1" customHeight="1" x14ac:dyDescent="0.2">
      <c r="A646" s="35"/>
      <c r="B646" s="36"/>
      <c r="C646" s="43"/>
      <c r="D646" s="29"/>
      <c r="E646" s="29"/>
      <c r="F646" s="255"/>
      <c r="G646" s="256"/>
      <c r="H646" s="256"/>
      <c r="I646" s="200"/>
      <c r="J646" s="203"/>
      <c r="K646" s="200"/>
      <c r="L646" s="200"/>
      <c r="M646" s="37"/>
      <c r="N646" s="37"/>
      <c r="O646" s="153"/>
      <c r="P646" s="45"/>
      <c r="Q646" s="54"/>
      <c r="R646" s="257"/>
      <c r="S646" s="258"/>
      <c r="T646" s="258"/>
      <c r="U646" s="38"/>
      <c r="V646" s="259"/>
      <c r="W646" s="256"/>
      <c r="X646" s="256"/>
      <c r="Y646" s="256"/>
      <c r="Z646" s="256"/>
      <c r="AA646" s="54"/>
      <c r="AB646" s="200"/>
      <c r="AC646" s="31"/>
      <c r="AD646" s="184"/>
      <c r="AE646" s="51"/>
      <c r="AF646" s="52"/>
      <c r="AG646" s="41"/>
      <c r="AH646" s="45"/>
      <c r="AI646" s="28"/>
      <c r="AJ646" s="28"/>
      <c r="AK646" s="28"/>
      <c r="AL646" s="28"/>
      <c r="AM646" s="12"/>
      <c r="AN646" s="12"/>
      <c r="AO646" s="12"/>
      <c r="AP646" s="12"/>
      <c r="AQ646" s="12"/>
      <c r="AR646" s="13"/>
      <c r="AS646" s="14"/>
    </row>
    <row r="647" spans="1:45" s="16" customFormat="1" ht="30.95" hidden="1" customHeight="1" x14ac:dyDescent="0.2">
      <c r="A647" s="35" t="s">
        <v>1183</v>
      </c>
      <c r="B647" s="36" t="s">
        <v>1177</v>
      </c>
      <c r="C647" s="43"/>
      <c r="D647" s="29"/>
      <c r="E647" s="29"/>
      <c r="F647" s="255"/>
      <c r="G647" s="256"/>
      <c r="H647" s="256"/>
      <c r="I647" s="200"/>
      <c r="J647" s="203" t="s">
        <v>1221</v>
      </c>
      <c r="K647" s="200"/>
      <c r="L647" s="200"/>
      <c r="M647" s="37"/>
      <c r="N647" s="37"/>
      <c r="O647" s="153"/>
      <c r="P647" s="45"/>
      <c r="Q647" s="54"/>
      <c r="R647" s="257"/>
      <c r="S647" s="258"/>
      <c r="T647" s="258"/>
      <c r="U647" s="38"/>
      <c r="V647" s="259"/>
      <c r="W647" s="256"/>
      <c r="X647" s="256"/>
      <c r="Y647" s="256"/>
      <c r="Z647" s="256"/>
      <c r="AA647" s="54"/>
      <c r="AB647" s="200"/>
      <c r="AC647" s="31"/>
      <c r="AD647" s="184"/>
      <c r="AE647" s="51"/>
      <c r="AF647" s="52"/>
      <c r="AG647" s="41"/>
      <c r="AH647" s="45"/>
      <c r="AI647" s="28"/>
      <c r="AJ647" s="28"/>
      <c r="AK647" s="28"/>
      <c r="AL647" s="28"/>
      <c r="AM647" s="12"/>
      <c r="AN647" s="12"/>
      <c r="AO647" s="12"/>
      <c r="AP647" s="12"/>
      <c r="AQ647" s="12"/>
      <c r="AR647" s="13"/>
      <c r="AS647" s="14"/>
    </row>
    <row r="648" spans="1:45" s="16" customFormat="1" ht="30.95" hidden="1" customHeight="1" x14ac:dyDescent="0.2">
      <c r="A648" s="35"/>
      <c r="B648" s="36"/>
      <c r="C648" s="43"/>
      <c r="D648" s="29"/>
      <c r="E648" s="29"/>
      <c r="F648" s="255"/>
      <c r="G648" s="256"/>
      <c r="H648" s="256"/>
      <c r="I648" s="200"/>
      <c r="J648" s="203"/>
      <c r="K648" s="200"/>
      <c r="L648" s="200"/>
      <c r="M648" s="37"/>
      <c r="N648" s="37"/>
      <c r="O648" s="153"/>
      <c r="P648" s="45"/>
      <c r="Q648" s="54"/>
      <c r="R648" s="257"/>
      <c r="S648" s="258"/>
      <c r="T648" s="258"/>
      <c r="U648" s="38"/>
      <c r="V648" s="259"/>
      <c r="W648" s="256"/>
      <c r="X648" s="256"/>
      <c r="Y648" s="256"/>
      <c r="Z648" s="256"/>
      <c r="AA648" s="54"/>
      <c r="AB648" s="200"/>
      <c r="AC648" s="31"/>
      <c r="AD648" s="184"/>
      <c r="AE648" s="51"/>
      <c r="AF648" s="52"/>
      <c r="AG648" s="41"/>
      <c r="AH648" s="45"/>
      <c r="AI648" s="28"/>
      <c r="AJ648" s="28"/>
      <c r="AK648" s="28"/>
      <c r="AL648" s="28"/>
      <c r="AM648" s="12"/>
      <c r="AN648" s="12"/>
      <c r="AO648" s="12"/>
      <c r="AP648" s="12"/>
      <c r="AQ648" s="12"/>
      <c r="AR648" s="13"/>
      <c r="AS648" s="14"/>
    </row>
    <row r="649" spans="1:45" s="16" customFormat="1" ht="30.95" hidden="1" customHeight="1" x14ac:dyDescent="0.2">
      <c r="A649" s="35" t="s">
        <v>1184</v>
      </c>
      <c r="B649" s="36" t="s">
        <v>462</v>
      </c>
      <c r="C649" s="43"/>
      <c r="D649" s="29">
        <v>3712094</v>
      </c>
      <c r="E649" s="29">
        <v>4140961</v>
      </c>
      <c r="F649" s="255" t="str">
        <f>IF(D649="","",VLOOKUP(D649,契約台帳!$A$3:$K$4986,6,FALSE)&amp;VLOOKUP(D649,契約台帳!$A$3:$K$4986,7,FALSE)&amp;VLOOKUP(D649,契約台帳!$A$3:$K$4986,8,FALSE)&amp;VLOOKUP(D649,契約台帳!$A$3:$K$4986,9,FALSE)&amp;VLOOKUP(D649,契約台帳!$A$3:$K$4986,11,FALSE))</f>
        <v>3SNCLBLEYK</v>
      </c>
      <c r="G649" s="256" t="str">
        <f>IF(D649="","",VLOOKUP(F649,製品マスタ!$G$5:$H$4999,2,FALSE))</f>
        <v>S</v>
      </c>
      <c r="H649" s="256" t="str">
        <f>IF(D649="","",VLOOKUP(F649,製品マスタ!$G$5:$K$4999,5,FALSE))</f>
        <v>LEYK</v>
      </c>
      <c r="I649" s="200" t="str">
        <f>IF(D649="","",VLOOKUP(F649,製品マスタ!$G$5:$L$4999,6,FALSE))</f>
        <v>ルミラー　ＥＹＫ</v>
      </c>
      <c r="J649" s="203" t="s">
        <v>447</v>
      </c>
      <c r="K649" s="200">
        <f>IF(D649="","",VLOOKUP(D649,契約台帳!$A$3:$L$4986,12,FALSE))</f>
        <v>50</v>
      </c>
      <c r="L649" s="200" t="str">
        <f>IF(D649="","",INDEX(製品マスタ!$Q$5:$Q$4999,MATCH('S4'!F649&amp;'S4'!K649,製品マスタ!$AO$5:$AO$4999,0)))</f>
        <v>T62M</v>
      </c>
      <c r="M649" s="37">
        <v>1125</v>
      </c>
      <c r="N649" s="37">
        <v>6100</v>
      </c>
      <c r="O649" s="153">
        <v>3</v>
      </c>
      <c r="P649" s="45">
        <v>3</v>
      </c>
      <c r="Q649" s="54"/>
      <c r="R649" s="257">
        <f ca="1">IF(D649="","",IF(OFFSET(D649,-1,0)&lt;&gt;"","",IF(OR(J649="リード付け",J649="巻足し",J649="巻返しリード付け"),M649,VLOOKUP(D649,契約台帳!$A$3:$N$4986,14,FALSE))))</f>
        <v>1120</v>
      </c>
      <c r="S649" s="258">
        <f ca="1">IF(D649="","",IF(OFFSET(D649,-1,0)&lt;&gt;"","",IF(OR(J649="リード付け",J649="巻足し",J649="巻返しリード付け"),M649,VLOOKUP(D649,契約台帳!$A$3:$O$4986,15,FALSE))))</f>
        <v>1120</v>
      </c>
      <c r="T649" s="258">
        <f ca="1">IF(D649="","",IF(J649="リード付け",N649,IF(J649="巻返しリード付け",N649,IF(J649="巻足し",N649*P649+OFFSET(N649,1,0)*OFFSET(P649,1,0),VLOOKUP(D649,契約台帳!$A$3:$P$4986,16,FALSE)))))</f>
        <v>6000</v>
      </c>
      <c r="U649" s="38">
        <v>3</v>
      </c>
      <c r="V649" s="259">
        <f ca="1">IF(D649="","",IF(OFFSET(D649,-2,0)=D649,"",VLOOKUP(D649,契約台帳!$A$3:$R$4986,18,FALSE)))</f>
        <v>3</v>
      </c>
      <c r="W649" s="256" t="str">
        <f ca="1">IF(D649="","",IF(T649="","",IF(OR(J649="巻足し",J649="巻返しリード付け"),"",IF(J649="巻返し",VLOOKUP(F649&amp;K649&amp;M649,製品マスタ!$M$5:$AD$4999,18,FALSE),IF(OR(J649="リード付け",J649="巻返しリード付け"),"原反コア",IF(J649="スリット",VLOOKUP(F649&amp;K649&amp;R649,製品マスタ!$N$5:$AD$4999,17,FALSE),""))))))</f>
        <v>6ｲﾝﾁMｺｱ</v>
      </c>
      <c r="X649" s="256">
        <f ca="1">IF(D649="","",IF(T649="","",IF(J649="巻足し","",IF(J649="巻返し",VLOOKUP(F649&amp;K649&amp;M649,製品マスタ!$M$5:$AE$4999,19,FALSE),IF(OR(J649="リード付け",J649="巻返しリード付け"),"",IF(J649="スリット",VLOOKUP(F649&amp;K649&amp;R649,製品マスタ!$N$5:$AE$4999,18,FALSE),""))))))</f>
        <v>1140</v>
      </c>
      <c r="Y649" s="256">
        <f ca="1">IF(D649="","",IF(T649="","",VLOOKUP(D649,契約台帳!$A$3:$Q$4986,17,FALSE)))</f>
        <v>2</v>
      </c>
      <c r="Z649" s="256" t="str">
        <f ca="1">IF(D649="","",IF(T649="","",VLOOKUP(D649,契約台帳!$A$3:$E$4986,5,FALSE)))</f>
        <v>新タック化成㈱</v>
      </c>
      <c r="AA649" s="54"/>
      <c r="AB649" s="200" t="str">
        <f>IFERROR((VLOOKUP(F649&amp;K649&amp;M649,製品マスタ!$M$5:$AM$4999,27,FALSE)),"")</f>
        <v>原反ケース再利用</v>
      </c>
      <c r="AC649" s="31"/>
      <c r="AD649" s="184"/>
      <c r="AE649" s="51"/>
      <c r="AF649" s="52"/>
      <c r="AG649" s="41"/>
      <c r="AH649" s="45"/>
      <c r="AI649" s="28"/>
      <c r="AJ649" s="28"/>
      <c r="AK649" s="28"/>
      <c r="AL649" s="28"/>
      <c r="AM649" s="12"/>
      <c r="AN649" s="12"/>
      <c r="AO649" s="12"/>
      <c r="AP649" s="12"/>
      <c r="AQ649" s="12"/>
      <c r="AR649" s="13"/>
      <c r="AS649" s="14"/>
    </row>
    <row r="650" spans="1:45" s="16" customFormat="1" ht="30.95" hidden="1" customHeight="1" x14ac:dyDescent="0.2">
      <c r="A650" s="35"/>
      <c r="B650" s="36"/>
      <c r="C650" s="43"/>
      <c r="D650" s="29"/>
      <c r="E650" s="29"/>
      <c r="F650" s="255" t="str">
        <f>IF(D650="","",VLOOKUP(D650,契約台帳!$A$3:$K$4986,6,FALSE)&amp;VLOOKUP(D650,契約台帳!$A$3:$K$4986,7,FALSE)&amp;VLOOKUP(D650,契約台帳!$A$3:$K$4986,8,FALSE)&amp;VLOOKUP(D650,契約台帳!$A$3:$K$4986,9,FALSE)&amp;VLOOKUP(D650,契約台帳!$A$3:$K$4986,11,FALSE))</f>
        <v/>
      </c>
      <c r="G650" s="256" t="str">
        <f>IF(D650="","",VLOOKUP(F650,製品マスタ!$G$5:$H$4999,2,FALSE))</f>
        <v/>
      </c>
      <c r="H650" s="256" t="str">
        <f>IF(D650="","",VLOOKUP(F650,製品マスタ!$G$5:$K$4999,5,FALSE))</f>
        <v/>
      </c>
      <c r="I650" s="200" t="str">
        <f>IF(D650="","",VLOOKUP(F650,製品マスタ!$G$5:$L$4999,6,FALSE))</f>
        <v/>
      </c>
      <c r="J650" s="203"/>
      <c r="K650" s="200" t="str">
        <f>IF(D650="","",VLOOKUP(D650,契約台帳!$A$3:$L$4986,12,FALSE))</f>
        <v/>
      </c>
      <c r="L650" s="200" t="str">
        <f>IF(D650="","",INDEX(製品マスタ!$Q$5:$Q$4999,MATCH('S4'!F650&amp;'S4'!K650,製品マスタ!$AO$5:$AO$4999,0)))</f>
        <v/>
      </c>
      <c r="M650" s="37"/>
      <c r="N650" s="37"/>
      <c r="O650" s="153"/>
      <c r="P650" s="45"/>
      <c r="Q650" s="54"/>
      <c r="R650" s="257" t="str">
        <f ca="1">IF(D650="","",IF(OFFSET(D650,-1,0)&lt;&gt;"","",IF(OR(J650="リード付け",J650="巻足し",J650="巻返しリード付け"),M650,VLOOKUP(D650,契約台帳!$A$3:$N$4986,14,FALSE))))</f>
        <v/>
      </c>
      <c r="S650" s="258" t="str">
        <f ca="1">IF(D650="","",IF(OFFSET(D650,-1,0)&lt;&gt;"","",IF(OR(J650="リード付け",J650="巻足し",J650="巻返しリード付け"),M650,VLOOKUP(D650,契約台帳!$A$3:$O$4986,15,FALSE))))</f>
        <v/>
      </c>
      <c r="T650" s="258" t="str">
        <f ca="1">IF(D650="","",IF(J650="リード付け",N650,IF(J650="巻返しリード付け",N650,IF(J650="巻足し",N650*P650+OFFSET(N650,1,0)*OFFSET(P650,1,0),VLOOKUP(D650,契約台帳!$A$3:$P$4986,16,FALSE)))))</f>
        <v/>
      </c>
      <c r="U650" s="38"/>
      <c r="V650" s="259" t="str">
        <f ca="1">IF(D650="","",IF(OFFSET(D650,-2,0)=D650,"",VLOOKUP(D650,契約台帳!$A$3:$R$4986,18,FALSE)))</f>
        <v/>
      </c>
      <c r="W650" s="256" t="str">
        <f>IF(D650="","",IF(T650="","",IF(OR(J650="巻足し",J650="巻返しリード付け"),"",IF(J650="巻返し",VLOOKUP(F650&amp;K650&amp;M650,製品マスタ!$M$5:$AD$4999,18,FALSE),IF(OR(J650="リード付け",J650="巻返しリード付け"),"原反コア",IF(J650="スリット",VLOOKUP(F650&amp;K650&amp;R650,製品マスタ!$N$5:$AD$4999,17,FALSE),""))))))</f>
        <v/>
      </c>
      <c r="X650" s="256" t="str">
        <f>IF(D650="","",IF(T650="","",IF(J650="巻足し","",IF(J650="巻返し",VLOOKUP(F650&amp;K650&amp;M650,製品マスタ!$M$5:$AE$4999,19,FALSE),IF(OR(J650="リード付け",J650="巻返しリード付け"),"",IF(J650="スリット",VLOOKUP(F650&amp;K650&amp;R650,製品マスタ!$N$5:$AE$4999,18,FALSE),""))))))</f>
        <v/>
      </c>
      <c r="Y650" s="256" t="str">
        <f>IF(D650="","",IF(T650="","",VLOOKUP(D650,契約台帳!$A$3:$Q$4986,17,FALSE)))</f>
        <v/>
      </c>
      <c r="Z650" s="256" t="str">
        <f>IF(D650="","",IF(T650="","",VLOOKUP(D650,契約台帳!$A$3:$E$4986,5,FALSE)))</f>
        <v/>
      </c>
      <c r="AA650" s="54"/>
      <c r="AB650" s="200" t="str">
        <f>IFERROR((VLOOKUP(F650&amp;K650&amp;M650,製品マスタ!$M$5:$AM$4999,27,FALSE)),"")</f>
        <v/>
      </c>
      <c r="AC650" s="31"/>
      <c r="AD650" s="184"/>
      <c r="AE650" s="51"/>
      <c r="AF650" s="52"/>
      <c r="AG650" s="41"/>
      <c r="AH650" s="45"/>
      <c r="AI650" s="28"/>
      <c r="AJ650" s="28"/>
      <c r="AK650" s="28"/>
      <c r="AL650" s="28"/>
      <c r="AM650" s="12"/>
      <c r="AN650" s="12"/>
      <c r="AO650" s="12"/>
      <c r="AP650" s="12"/>
      <c r="AQ650" s="12"/>
      <c r="AR650" s="13"/>
      <c r="AS650" s="14"/>
    </row>
    <row r="651" spans="1:45" s="16" customFormat="1" ht="30.95" hidden="1" customHeight="1" x14ac:dyDescent="0.2">
      <c r="A651" s="35"/>
      <c r="B651" s="36"/>
      <c r="C651" s="43"/>
      <c r="D651" s="29">
        <v>3712093</v>
      </c>
      <c r="E651" s="29">
        <v>4140962</v>
      </c>
      <c r="F651" s="255" t="str">
        <f>IF(D651="","",VLOOKUP(D651,契約台帳!$A$3:$K$4986,6,FALSE)&amp;VLOOKUP(D651,契約台帳!$A$3:$K$4986,7,FALSE)&amp;VLOOKUP(D651,契約台帳!$A$3:$K$4986,8,FALSE)&amp;VLOOKUP(D651,契約台帳!$A$3:$K$4986,9,FALSE)&amp;VLOOKUP(D651,契約台帳!$A$3:$K$4986,11,FALSE))</f>
        <v>3SNCLBLEYK</v>
      </c>
      <c r="G651" s="256" t="str">
        <f>IF(D651="","",VLOOKUP(F651,製品マスタ!$G$5:$H$4999,2,FALSE))</f>
        <v>S</v>
      </c>
      <c r="H651" s="256" t="str">
        <f>IF(D651="","",VLOOKUP(F651,製品マスタ!$G$5:$K$4999,5,FALSE))</f>
        <v>LEYK</v>
      </c>
      <c r="I651" s="200" t="str">
        <f>IF(D651="","",VLOOKUP(F651,製品マスタ!$G$5:$L$4999,6,FALSE))</f>
        <v>ルミラー　ＥＹＫ</v>
      </c>
      <c r="J651" s="203" t="s">
        <v>447</v>
      </c>
      <c r="K651" s="200">
        <f>IF(D651="","",VLOOKUP(D651,契約台帳!$A$3:$L$4986,12,FALSE))</f>
        <v>25</v>
      </c>
      <c r="L651" s="200" t="str">
        <f>IF(D651="","",INDEX(製品マスタ!$Q$5:$Q$4999,MATCH('S4'!F651&amp;'S4'!K651,製品マスタ!$AO$5:$AO$4999,0)))</f>
        <v>T62M</v>
      </c>
      <c r="M651" s="37">
        <v>1120</v>
      </c>
      <c r="N651" s="37">
        <v>12100</v>
      </c>
      <c r="O651" s="153">
        <v>1</v>
      </c>
      <c r="P651" s="45">
        <v>1</v>
      </c>
      <c r="Q651" s="54"/>
      <c r="R651" s="257">
        <f ca="1">IF(D651="","",IF(OFFSET(D651,-1,0)&lt;&gt;"","",IF(OR(J651="リード付け",J651="巻足し",J651="巻返しリード付け"),M651,VLOOKUP(D651,契約台帳!$A$3:$N$4986,14,FALSE))))</f>
        <v>1120</v>
      </c>
      <c r="S651" s="258">
        <f ca="1">IF(D651="","",IF(OFFSET(D651,-1,0)&lt;&gt;"","",IF(OR(J651="リード付け",J651="巻足し",J651="巻返しリード付け"),M651,VLOOKUP(D651,契約台帳!$A$3:$O$4986,15,FALSE))))</f>
        <v>1120</v>
      </c>
      <c r="T651" s="258">
        <f ca="1">IF(D651="","",IF(J651="リード付け",N651,IF(J651="巻返しリード付け",N651,IF(J651="巻足し",N651*P651+OFFSET(N651,1,0)*OFFSET(P651,1,0),VLOOKUP(D651,契約台帳!$A$3:$P$4986,16,FALSE)))))</f>
        <v>6000</v>
      </c>
      <c r="U651" s="38">
        <v>2</v>
      </c>
      <c r="V651" s="259">
        <f ca="1">IF(D651="","",IF(OFFSET(D651,-2,0)=D651,"",VLOOKUP(D651,契約台帳!$A$3:$R$4986,18,FALSE)))</f>
        <v>2</v>
      </c>
      <c r="W651" s="256" t="str">
        <f ca="1">IF(D651="","",IF(T651="","",IF(OR(J651="巻足し",J651="巻返しリード付け"),"",IF(J651="巻返し",VLOOKUP(F651&amp;K651&amp;M651,製品マスタ!$M$5:$AD$4999,18,FALSE),IF(OR(J651="リード付け",J651="巻返しリード付け"),"原反コア",IF(J651="スリット",VLOOKUP(F651&amp;K651&amp;R651,製品マスタ!$N$5:$AD$4999,17,FALSE),""))))))</f>
        <v>6ｲﾝﾁMｺｱ</v>
      </c>
      <c r="X651" s="256">
        <f ca="1">IF(D651="","",IF(T651="","",IF(J651="巻足し","",IF(J651="巻返し",VLOOKUP(F651&amp;K651&amp;M651,製品マスタ!$M$5:$AE$4999,19,FALSE),IF(OR(J651="リード付け",J651="巻返しリード付け"),"",IF(J651="スリット",VLOOKUP(F651&amp;K651&amp;R651,製品マスタ!$N$5:$AE$4999,18,FALSE),""))))))</f>
        <v>1140</v>
      </c>
      <c r="Y651" s="256">
        <f ca="1">IF(D651="","",IF(T651="","",VLOOKUP(D651,契約台帳!$A$3:$Q$4986,17,FALSE)))</f>
        <v>2</v>
      </c>
      <c r="Z651" s="256" t="str">
        <f ca="1">IF(D651="","",IF(T651="","",VLOOKUP(D651,契約台帳!$A$3:$E$4986,5,FALSE)))</f>
        <v>新タック化成㈱</v>
      </c>
      <c r="AA651" s="54"/>
      <c r="AB651" s="200">
        <f>IFERROR((VLOOKUP(F651&amp;K651&amp;M651,製品マスタ!$M$5:$AM$4999,27,FALSE)),"")</f>
        <v>0</v>
      </c>
      <c r="AC651" s="31"/>
      <c r="AD651" s="184"/>
      <c r="AE651" s="51"/>
      <c r="AF651" s="52"/>
      <c r="AG651" s="41"/>
      <c r="AH651" s="45"/>
      <c r="AI651" s="28"/>
      <c r="AJ651" s="28"/>
      <c r="AK651" s="28"/>
      <c r="AL651" s="28"/>
      <c r="AM651" s="12"/>
      <c r="AN651" s="12"/>
      <c r="AO651" s="12"/>
      <c r="AP651" s="12"/>
      <c r="AQ651" s="12"/>
      <c r="AR651" s="13"/>
      <c r="AS651" s="14"/>
    </row>
    <row r="652" spans="1:45" s="16" customFormat="1" ht="30.95" hidden="1" customHeight="1" x14ac:dyDescent="0.2">
      <c r="A652" s="35"/>
      <c r="B652" s="36"/>
      <c r="C652" s="43"/>
      <c r="D652" s="29"/>
      <c r="E652" s="29"/>
      <c r="F652" s="255"/>
      <c r="G652" s="256"/>
      <c r="H652" s="256"/>
      <c r="I652" s="200"/>
      <c r="J652" s="203"/>
      <c r="K652" s="200"/>
      <c r="L652" s="200"/>
      <c r="M652" s="37"/>
      <c r="N652" s="37"/>
      <c r="O652" s="153"/>
      <c r="P652" s="45"/>
      <c r="Q652" s="54"/>
      <c r="R652" s="257"/>
      <c r="S652" s="258"/>
      <c r="T652" s="258"/>
      <c r="U652" s="38"/>
      <c r="V652" s="259"/>
      <c r="W652" s="256"/>
      <c r="X652" s="256"/>
      <c r="Y652" s="256"/>
      <c r="Z652" s="256"/>
      <c r="AA652" s="54"/>
      <c r="AB652" s="200"/>
      <c r="AC652" s="31"/>
      <c r="AD652" s="184"/>
      <c r="AE652" s="51"/>
      <c r="AF652" s="52"/>
      <c r="AG652" s="41"/>
      <c r="AH652" s="45"/>
      <c r="AI652" s="28"/>
      <c r="AJ652" s="28"/>
      <c r="AK652" s="28"/>
      <c r="AL652" s="28"/>
      <c r="AM652" s="12"/>
      <c r="AN652" s="12"/>
      <c r="AO652" s="12"/>
      <c r="AP652" s="12"/>
      <c r="AQ652" s="12"/>
      <c r="AR652" s="13"/>
      <c r="AS652" s="14"/>
    </row>
    <row r="653" spans="1:45" s="16" customFormat="1" ht="30.95" hidden="1" customHeight="1" x14ac:dyDescent="0.2">
      <c r="A653" s="35"/>
      <c r="B653" s="36"/>
      <c r="C653" s="43"/>
      <c r="D653" s="29">
        <v>3712114</v>
      </c>
      <c r="E653" s="29">
        <v>4140963</v>
      </c>
      <c r="F653" s="255" t="str">
        <f>IF(D653="","",VLOOKUP(D653,契約台帳!$A$3:$K$4986,6,FALSE)&amp;VLOOKUP(D653,契約台帳!$A$3:$K$4986,7,FALSE)&amp;VLOOKUP(D653,契約台帳!$A$3:$K$4986,8,FALSE)&amp;VLOOKUP(D653,契約台帳!$A$3:$K$4986,9,FALSE)&amp;VLOOKUP(D653,契約台帳!$A$3:$K$4986,11,FALSE))</f>
        <v>3SNCLBLMEYK</v>
      </c>
      <c r="G653" s="256" t="str">
        <f>IF(D653="","",VLOOKUP(F653,製品マスタ!$G$5:$H$4999,2,FALSE))</f>
        <v>S</v>
      </c>
      <c r="H653" s="256" t="str">
        <f>IF(D653="","",VLOOKUP(F653,製品マスタ!$G$5:$K$4999,5,FALSE))</f>
        <v>LMEYK</v>
      </c>
      <c r="I653" s="200" t="str">
        <f>IF(D653="","",VLOOKUP(F653,製品マスタ!$G$5:$L$4999,6,FALSE))</f>
        <v>ルミマットＥＹＫ</v>
      </c>
      <c r="J653" s="203" t="s">
        <v>447</v>
      </c>
      <c r="K653" s="200">
        <f>IF(D653="","",VLOOKUP(D653,契約台帳!$A$3:$L$4986,12,FALSE))</f>
        <v>38</v>
      </c>
      <c r="L653" s="200" t="str">
        <f>IF(D653="","",INDEX(製品マスタ!$Q$5:$Q$4999,MATCH('S4'!F653&amp;'S4'!K653,製品マスタ!$AO$5:$AO$4999,0)))</f>
        <v>LUMIMAT</v>
      </c>
      <c r="M653" s="37">
        <v>1005</v>
      </c>
      <c r="N653" s="37">
        <v>4000</v>
      </c>
      <c r="O653" s="153">
        <v>2</v>
      </c>
      <c r="P653" s="45">
        <v>2</v>
      </c>
      <c r="Q653" s="54"/>
      <c r="R653" s="257">
        <f ca="1">IF(D653="","",IF(OFFSET(D653,-1,0)&lt;&gt;"","",IF(OR(J653="リード付け",J653="巻足し",J653="巻返しリード付け"),M653,VLOOKUP(D653,契約台帳!$A$3:$N$4986,14,FALSE))))</f>
        <v>1005</v>
      </c>
      <c r="S653" s="258">
        <f ca="1">IF(D653="","",IF(OFFSET(D653,-1,0)&lt;&gt;"","",IF(OR(J653="リード付け",J653="巻足し",J653="巻返しリード付け"),M653,VLOOKUP(D653,契約台帳!$A$3:$O$4986,15,FALSE))))</f>
        <v>1000</v>
      </c>
      <c r="T653" s="258">
        <f ca="1">IF(D653="","",IF(J653="リード付け",N653,IF(J653="巻返しリード付け",N653,IF(J653="巻足し",N653*P653+OFFSET(N653,1,0)*OFFSET(P653,1,0),VLOOKUP(D653,契約台帳!$A$3:$P$4986,16,FALSE)))))</f>
        <v>4000</v>
      </c>
      <c r="U653" s="38">
        <v>2</v>
      </c>
      <c r="V653" s="259">
        <f ca="1">IF(D653="","",IF(OFFSET(D653,-2,0)=D653,"",VLOOKUP(D653,契約台帳!$A$3:$R$4986,18,FALSE)))</f>
        <v>2</v>
      </c>
      <c r="W653" s="256" t="str">
        <f ca="1">IF(D653="","",IF(T653="","",IF(OR(J653="巻足し",J653="巻返しリード付け"),"",IF(J653="巻返し",VLOOKUP(F653&amp;K653&amp;M653,製品マスタ!$M$5:$AD$4999,18,FALSE),IF(OR(J653="リード付け",J653="巻返しリード付け"),"原反コア",IF(J653="スリット",VLOOKUP(F653&amp;K653&amp;R653,製品マスタ!$N$5:$AD$4999,17,FALSE),""))))))</f>
        <v>3ｲﾝﾁSｺｱ</v>
      </c>
      <c r="X653" s="256">
        <f ca="1">IF(D653="","",IF(T653="","",IF(J653="巻足し","",IF(J653="巻返し",VLOOKUP(F653&amp;K653&amp;M653,製品マスタ!$M$5:$AE$4999,19,FALSE),IF(OR(J653="リード付け",J653="巻返しリード付け"),"",IF(J653="スリット",VLOOKUP(F653&amp;K653&amp;R653,製品マスタ!$N$5:$AE$4999,18,FALSE),""))))))</f>
        <v>1015</v>
      </c>
      <c r="Y653" s="256">
        <f ca="1">IF(D653="","",IF(T653="","",VLOOKUP(D653,契約台帳!$A$3:$Q$4986,17,FALSE)))</f>
        <v>2</v>
      </c>
      <c r="Z653" s="256" t="str">
        <f ca="1">IF(D653="","",IF(T653="","",VLOOKUP(D653,契約台帳!$A$3:$E$4986,5,FALSE)))</f>
        <v>リンテック㈱</v>
      </c>
      <c r="AA653" s="54"/>
      <c r="AB653" s="200">
        <f>IFERROR((VLOOKUP(F653&amp;K653&amp;M653,製品マスタ!$M$5:$AM$4999,27,FALSE)),"")</f>
        <v>0</v>
      </c>
      <c r="AC653" s="31"/>
      <c r="AD653" s="184"/>
      <c r="AE653" s="51"/>
      <c r="AF653" s="52"/>
      <c r="AG653" s="41"/>
      <c r="AH653" s="45"/>
      <c r="AI653" s="28"/>
      <c r="AJ653" s="28"/>
      <c r="AK653" s="28"/>
      <c r="AL653" s="28"/>
      <c r="AM653" s="12"/>
      <c r="AN653" s="12"/>
      <c r="AO653" s="12"/>
      <c r="AP653" s="12"/>
      <c r="AQ653" s="12"/>
      <c r="AR653" s="13"/>
      <c r="AS653" s="14"/>
    </row>
    <row r="654" spans="1:45" s="16" customFormat="1" ht="30.95" hidden="1" customHeight="1" x14ac:dyDescent="0.2">
      <c r="A654" s="35"/>
      <c r="B654" s="36"/>
      <c r="C654" s="43"/>
      <c r="D654" s="29"/>
      <c r="E654" s="29"/>
      <c r="F654" s="255"/>
      <c r="G654" s="256"/>
      <c r="H654" s="256"/>
      <c r="I654" s="200"/>
      <c r="J654" s="203"/>
      <c r="K654" s="200"/>
      <c r="L654" s="200"/>
      <c r="M654" s="37"/>
      <c r="N654" s="37"/>
      <c r="O654" s="153"/>
      <c r="P654" s="45"/>
      <c r="Q654" s="54"/>
      <c r="R654" s="257"/>
      <c r="S654" s="258"/>
      <c r="T654" s="258"/>
      <c r="U654" s="38"/>
      <c r="V654" s="259"/>
      <c r="W654" s="256"/>
      <c r="X654" s="256"/>
      <c r="Y654" s="256"/>
      <c r="Z654" s="256"/>
      <c r="AA654" s="54"/>
      <c r="AB654" s="200"/>
      <c r="AC654" s="31"/>
      <c r="AD654" s="184"/>
      <c r="AE654" s="51"/>
      <c r="AF654" s="52"/>
      <c r="AG654" s="41"/>
      <c r="AH654" s="45"/>
      <c r="AI654" s="28"/>
      <c r="AJ654" s="28"/>
      <c r="AK654" s="28"/>
      <c r="AL654" s="28"/>
      <c r="AM654" s="12"/>
      <c r="AN654" s="12"/>
      <c r="AO654" s="12"/>
      <c r="AP654" s="12"/>
      <c r="AQ654" s="12"/>
      <c r="AR654" s="13"/>
      <c r="AS654" s="14"/>
    </row>
    <row r="655" spans="1:45" s="16" customFormat="1" ht="30.95" hidden="1" customHeight="1" x14ac:dyDescent="0.2">
      <c r="A655" s="35" t="s">
        <v>1226</v>
      </c>
      <c r="B655" s="36" t="s">
        <v>1227</v>
      </c>
      <c r="C655" s="43"/>
      <c r="D655" s="29">
        <v>3712115</v>
      </c>
      <c r="E655" s="29">
        <v>4140964</v>
      </c>
      <c r="F655" s="255" t="str">
        <f>IF(D655="","",VLOOKUP(D655,契約台帳!$A$3:$K$4986,6,FALSE)&amp;VLOOKUP(D655,契約台帳!$A$3:$K$4986,7,FALSE)&amp;VLOOKUP(D655,契約台帳!$A$3:$K$4986,8,FALSE)&amp;VLOOKUP(D655,契約台帳!$A$3:$K$4986,9,FALSE)&amp;VLOOKUP(D655,契約台帳!$A$3:$K$4986,11,FALSE))</f>
        <v>3SNCLBLMEYK</v>
      </c>
      <c r="G655" s="256" t="str">
        <f>IF(D655="","",VLOOKUP(F655,製品マスタ!$G$5:$H$4999,2,FALSE))</f>
        <v>S</v>
      </c>
      <c r="H655" s="256" t="str">
        <f>IF(D655="","",VLOOKUP(F655,製品マスタ!$G$5:$K$4999,5,FALSE))</f>
        <v>LMEYK</v>
      </c>
      <c r="I655" s="200" t="str">
        <f>IF(D655="","",VLOOKUP(F655,製品マスタ!$G$5:$L$4999,6,FALSE))</f>
        <v>ルミマットＥＹＫ</v>
      </c>
      <c r="J655" s="203" t="s">
        <v>447</v>
      </c>
      <c r="K655" s="200">
        <f>IF(D655="","",VLOOKUP(D655,契約台帳!$A$3:$L$4986,12,FALSE))</f>
        <v>38</v>
      </c>
      <c r="L655" s="200" t="str">
        <f>IF(D655="","",INDEX(製品マスタ!$Q$5:$Q$4999,MATCH('S4'!F655&amp;'S4'!K655,製品マスタ!$AO$5:$AO$4999,0)))</f>
        <v>LUMIMAT</v>
      </c>
      <c r="M655" s="37">
        <v>1005</v>
      </c>
      <c r="N655" s="37">
        <v>8000</v>
      </c>
      <c r="O655" s="153">
        <v>1</v>
      </c>
      <c r="P655" s="45">
        <v>1</v>
      </c>
      <c r="Q655" s="54"/>
      <c r="R655" s="257">
        <f ca="1">IF(D655="","",IF(OFFSET(D655,-1,0)&lt;&gt;"","",IF(OR(J655="リード付け",J655="巻足し",J655="巻返しリード付け"),M655,VLOOKUP(D655,契約台帳!$A$3:$N$4986,14,FALSE))))</f>
        <v>1005</v>
      </c>
      <c r="S655" s="258">
        <f ca="1">IF(D655="","",IF(OFFSET(D655,-1,0)&lt;&gt;"","",IF(OR(J655="リード付け",J655="巻足し",J655="巻返しリード付け"),M655,VLOOKUP(D655,契約台帳!$A$3:$O$4986,15,FALSE))))</f>
        <v>1000</v>
      </c>
      <c r="T655" s="258">
        <f ca="1">IF(D655="","",IF(J655="リード付け",N655,IF(J655="巻返しリード付け",N655,IF(J655="巻足し",N655*P655+OFFSET(N655,1,0)*OFFSET(P655,1,0),VLOOKUP(D655,契約台帳!$A$3:$P$4986,16,FALSE)))))</f>
        <v>4000</v>
      </c>
      <c r="U655" s="38">
        <v>2</v>
      </c>
      <c r="V655" s="259">
        <f ca="1">IF(D655="","",IF(OFFSET(D655,-2,0)=D655,"",VLOOKUP(D655,契約台帳!$A$3:$R$4986,18,FALSE)))</f>
        <v>2</v>
      </c>
      <c r="W655" s="256" t="str">
        <f ca="1">IF(D655="","",IF(T655="","",IF(OR(J655="巻足し",J655="巻返しリード付け"),"",IF(J655="巻返し",VLOOKUP(F655&amp;K655&amp;M655,製品マスタ!$M$5:$AD$4999,18,FALSE),IF(OR(J655="リード付け",J655="巻返しリード付け"),"原反コア",IF(J655="スリット",VLOOKUP(F655&amp;K655&amp;R655,製品マスタ!$N$5:$AD$4999,17,FALSE),""))))))</f>
        <v>3ｲﾝﾁSｺｱ</v>
      </c>
      <c r="X655" s="256">
        <f ca="1">IF(D655="","",IF(T655="","",IF(J655="巻足し","",IF(J655="巻返し",VLOOKUP(F655&amp;K655&amp;M655,製品マスタ!$M$5:$AE$4999,19,FALSE),IF(OR(J655="リード付け",J655="巻返しリード付け"),"",IF(J655="スリット",VLOOKUP(F655&amp;K655&amp;R655,製品マスタ!$N$5:$AE$4999,18,FALSE),""))))))</f>
        <v>1015</v>
      </c>
      <c r="Y655" s="256">
        <f ca="1">IF(D655="","",IF(T655="","",VLOOKUP(D655,契約台帳!$A$3:$Q$4986,17,FALSE)))</f>
        <v>2</v>
      </c>
      <c r="Z655" s="256" t="str">
        <f ca="1">IF(D655="","",IF(T655="","",VLOOKUP(D655,契約台帳!$A$3:$E$4986,5,FALSE)))</f>
        <v>リンテック㈱</v>
      </c>
      <c r="AA655" s="54"/>
      <c r="AB655" s="200">
        <f>IFERROR((VLOOKUP(F655&amp;K655&amp;M655,製品マスタ!$M$5:$AM$4999,27,FALSE)),"")</f>
        <v>0</v>
      </c>
      <c r="AC655" s="31"/>
      <c r="AD655" s="184"/>
      <c r="AE655" s="51"/>
      <c r="AF655" s="52"/>
      <c r="AG655" s="41"/>
      <c r="AH655" s="45"/>
      <c r="AI655" s="28"/>
      <c r="AJ655" s="28"/>
      <c r="AK655" s="28"/>
      <c r="AL655" s="28"/>
      <c r="AM655" s="12"/>
      <c r="AN655" s="12"/>
      <c r="AO655" s="12"/>
      <c r="AP655" s="12"/>
      <c r="AQ655" s="12"/>
      <c r="AR655" s="13"/>
      <c r="AS655" s="14"/>
    </row>
    <row r="656" spans="1:45" s="16" customFormat="1" ht="30.95" hidden="1" customHeight="1" x14ac:dyDescent="0.2">
      <c r="A656" s="35"/>
      <c r="B656" s="36"/>
      <c r="C656" s="43"/>
      <c r="D656" s="29"/>
      <c r="E656" s="29"/>
      <c r="F656" s="255"/>
      <c r="G656" s="256"/>
      <c r="H656" s="256"/>
      <c r="I656" s="200"/>
      <c r="J656" s="203"/>
      <c r="K656" s="200"/>
      <c r="L656" s="200"/>
      <c r="M656" s="37"/>
      <c r="N656" s="37"/>
      <c r="O656" s="153"/>
      <c r="P656" s="45"/>
      <c r="Q656" s="54"/>
      <c r="R656" s="257"/>
      <c r="S656" s="258"/>
      <c r="T656" s="258"/>
      <c r="U656" s="38"/>
      <c r="V656" s="259"/>
      <c r="W656" s="256"/>
      <c r="X656" s="256"/>
      <c r="Y656" s="256"/>
      <c r="Z656" s="256"/>
      <c r="AA656" s="54"/>
      <c r="AB656" s="200"/>
      <c r="AC656" s="31"/>
      <c r="AD656" s="184"/>
      <c r="AE656" s="51"/>
      <c r="AF656" s="52"/>
      <c r="AG656" s="41"/>
      <c r="AH656" s="45"/>
      <c r="AI656" s="28"/>
      <c r="AJ656" s="28"/>
      <c r="AK656" s="28"/>
      <c r="AL656" s="28"/>
      <c r="AM656" s="12"/>
      <c r="AN656" s="12"/>
      <c r="AO656" s="12"/>
      <c r="AP656" s="12"/>
      <c r="AQ656" s="12"/>
      <c r="AR656" s="13"/>
      <c r="AS656" s="14"/>
    </row>
    <row r="657" spans="1:45" s="16" customFormat="1" ht="30.95" hidden="1" customHeight="1" x14ac:dyDescent="0.2">
      <c r="A657" s="35"/>
      <c r="B657" s="36"/>
      <c r="C657" s="43"/>
      <c r="D657" s="29">
        <v>3708695</v>
      </c>
      <c r="E657" s="29">
        <v>4140935</v>
      </c>
      <c r="F657" s="255" t="str">
        <f>IF(D657="","",VLOOKUP(D657,契約台帳!$A$3:$K$4986,6,FALSE)&amp;VLOOKUP(D657,契約台帳!$A$3:$K$4986,7,FALSE)&amp;VLOOKUP(D657,契約台帳!$A$3:$K$4986,8,FALSE)&amp;VLOOKUP(D657,契約台帳!$A$3:$K$4986,9,FALSE)&amp;VLOOKUP(D657,契約台帳!$A$3:$K$4986,11,FALSE))</f>
        <v>3HSNMCLBEYK</v>
      </c>
      <c r="G657" s="256" t="str">
        <f>IF(D657="","",VLOOKUP(F657,製品マスタ!$G$5:$H$4999,2,FALSE))</f>
        <v>S</v>
      </c>
      <c r="H657" s="256" t="str">
        <f>IF(D657="","",VLOOKUP(F657,製品マスタ!$G$5:$K$4999,5,FALSE))</f>
        <v>EYK</v>
      </c>
      <c r="I657" s="200" t="str">
        <f>IF(D657="","",VLOOKUP(F657,製品マスタ!$G$5:$L$4999,6,FALSE))</f>
        <v>メタルミー　ＥＹＫ</v>
      </c>
      <c r="J657" s="203" t="s">
        <v>447</v>
      </c>
      <c r="K657" s="200">
        <f>IF(D657="","",VLOOKUP(D657,契約台帳!$A$3:$L$4986,12,FALSE))</f>
        <v>50</v>
      </c>
      <c r="L657" s="200" t="str">
        <f>IF(D657="","",INDEX(製品マスタ!$Q$5:$Q$4999,MATCH('S4'!F657&amp;'S4'!K657,製品マスタ!$AO$5:$AO$4999,0)))</f>
        <v>T62M</v>
      </c>
      <c r="M657" s="37">
        <v>1195</v>
      </c>
      <c r="N657" s="37">
        <v>12200</v>
      </c>
      <c r="O657" s="153">
        <v>7</v>
      </c>
      <c r="P657" s="45">
        <v>15</v>
      </c>
      <c r="Q657" s="54"/>
      <c r="R657" s="257">
        <f ca="1">IF(D657="","",IF(OFFSET(D657,-1,0)&lt;&gt;"","",IF(OR(J657="リード付け",J657="巻足し",J657="巻返しリード付け"),M657,VLOOKUP(D657,契約台帳!$A$3:$N$4986,14,FALSE))))</f>
        <v>1190</v>
      </c>
      <c r="S657" s="258">
        <f ca="1">IF(D657="","",IF(OFFSET(D657,-1,0)&lt;&gt;"","",IF(OR(J657="リード付け",J657="巻足し",J657="巻返しリード付け"),M657,VLOOKUP(D657,契約台帳!$A$3:$O$4986,15,FALSE))))</f>
        <v>1190</v>
      </c>
      <c r="T657" s="258">
        <f ca="1">IF(D657="","",IF(J657="リード付け",N657,IF(J657="巻返しリード付け",N657,IF(J657="巻足し",N657*P657+OFFSET(N657,1,0)*OFFSET(P657,1,0),VLOOKUP(D657,契約台帳!$A$3:$P$4986,16,FALSE)))))</f>
        <v>6000</v>
      </c>
      <c r="U657" s="38">
        <v>14</v>
      </c>
      <c r="V657" s="259">
        <f ca="1">IF(D657="","",IF(OFFSET(D657,-2,0)=D657,"",VLOOKUP(D657,契約台帳!$A$3:$R$4986,18,FALSE)))</f>
        <v>30</v>
      </c>
      <c r="W657" s="256" t="str">
        <f ca="1">IF(D657="","",IF(T657="","",IF(OR(J657="巻足し",J657="巻返しリード付け"),"",IF(J657="巻返し",VLOOKUP(F657&amp;K657&amp;M657,製品マスタ!$M$5:$AD$4999,18,FALSE),IF(OR(J657="リード付け",J657="巻返しリード付け"),"原反コア",IF(J657="スリット",VLOOKUP(F657&amp;K657&amp;R657,製品マスタ!$N$5:$AD$4999,17,FALSE),""))))))</f>
        <v>6ｲﾝﾁMｺｱ</v>
      </c>
      <c r="X657" s="256">
        <f ca="1">IF(D657="","",IF(T657="","",IF(J657="巻足し","",IF(J657="巻返し",VLOOKUP(F657&amp;K657&amp;M657,製品マスタ!$M$5:$AE$4999,19,FALSE),IF(OR(J657="リード付け",J657="巻返しリード付け"),"",IF(J657="スリット",VLOOKUP(F657&amp;K657&amp;R657,製品マスタ!$N$5:$AE$4999,18,FALSE),""))))))</f>
        <v>1220</v>
      </c>
      <c r="Y657" s="256">
        <f ca="1">IF(D657="","",IF(T657="","",VLOOKUP(D657,契約台帳!$A$3:$Q$4986,17,FALSE)))</f>
        <v>2</v>
      </c>
      <c r="Z657" s="256" t="str">
        <f ca="1">IF(D657="","",IF(T657="","",VLOOKUP(D657,契約台帳!$A$3:$E$4986,5,FALSE)))</f>
        <v>大阪シーリング印刷㈱</v>
      </c>
      <c r="AA657" s="54"/>
      <c r="AB657" s="200" t="str">
        <f>IFERROR((VLOOKUP(F657&amp;K657&amp;M657,製品マスタ!$M$5:$AM$4999,27,FALSE)),"")</f>
        <v>原反ケース再利用</v>
      </c>
      <c r="AC657" s="31"/>
      <c r="AD657" s="184"/>
      <c r="AE657" s="51"/>
      <c r="AF657" s="52"/>
      <c r="AG657" s="41"/>
      <c r="AH657" s="45"/>
      <c r="AI657" s="28"/>
      <c r="AJ657" s="28"/>
      <c r="AK657" s="28"/>
      <c r="AL657" s="28"/>
      <c r="AM657" s="12"/>
      <c r="AN657" s="12"/>
      <c r="AO657" s="12"/>
      <c r="AP657" s="12"/>
      <c r="AQ657" s="12"/>
      <c r="AR657" s="13"/>
      <c r="AS657" s="14"/>
    </row>
    <row r="658" spans="1:45" s="16" customFormat="1" ht="30.95" hidden="1" customHeight="1" x14ac:dyDescent="0.2">
      <c r="A658" s="35"/>
      <c r="B658" s="36"/>
      <c r="C658" s="43"/>
      <c r="D658" s="29"/>
      <c r="E658" s="29"/>
      <c r="F658" s="255"/>
      <c r="G658" s="256"/>
      <c r="H658" s="256"/>
      <c r="I658" s="200"/>
      <c r="J658" s="203"/>
      <c r="K658" s="200"/>
      <c r="L658" s="200"/>
      <c r="M658" s="37"/>
      <c r="N658" s="37"/>
      <c r="O658" s="153"/>
      <c r="P658" s="45"/>
      <c r="Q658" s="54"/>
      <c r="R658" s="257"/>
      <c r="S658" s="258"/>
      <c r="T658" s="258"/>
      <c r="U658" s="38"/>
      <c r="V658" s="259"/>
      <c r="W658" s="256"/>
      <c r="X658" s="256"/>
      <c r="Y658" s="256"/>
      <c r="Z658" s="256"/>
      <c r="AA658" s="54"/>
      <c r="AB658" s="200"/>
      <c r="AC658" s="31"/>
      <c r="AD658" s="184"/>
      <c r="AE658" s="51"/>
      <c r="AF658" s="52"/>
      <c r="AG658" s="41"/>
      <c r="AH658" s="45"/>
      <c r="AI658" s="28"/>
      <c r="AJ658" s="28"/>
      <c r="AK658" s="28"/>
      <c r="AL658" s="28"/>
      <c r="AM658" s="12"/>
      <c r="AN658" s="12"/>
      <c r="AO658" s="12"/>
      <c r="AP658" s="12"/>
      <c r="AQ658" s="12"/>
      <c r="AR658" s="13"/>
      <c r="AS658" s="14"/>
    </row>
    <row r="659" spans="1:45" s="16" customFormat="1" ht="30.95" hidden="1" customHeight="1" x14ac:dyDescent="0.2">
      <c r="A659" s="35" t="s">
        <v>1228</v>
      </c>
      <c r="B659" s="36" t="s">
        <v>1229</v>
      </c>
      <c r="C659" s="43"/>
      <c r="D659" s="29">
        <v>3708695</v>
      </c>
      <c r="E659" s="29">
        <v>4140935</v>
      </c>
      <c r="F659" s="255" t="str">
        <f>IF(D659="","",VLOOKUP(D659,契約台帳!$A$3:$K$4986,6,FALSE)&amp;VLOOKUP(D659,契約台帳!$A$3:$K$4986,7,FALSE)&amp;VLOOKUP(D659,契約台帳!$A$3:$K$4986,8,FALSE)&amp;VLOOKUP(D659,契約台帳!$A$3:$K$4986,9,FALSE)&amp;VLOOKUP(D659,契約台帳!$A$3:$K$4986,11,FALSE))</f>
        <v>3HSNMCLBEYK</v>
      </c>
      <c r="G659" s="256" t="str">
        <f>IF(D659="","",VLOOKUP(F659,製品マスタ!$G$5:$H$4999,2,FALSE))</f>
        <v>S</v>
      </c>
      <c r="H659" s="256" t="str">
        <f>IF(D659="","",VLOOKUP(F659,製品マスタ!$G$5:$K$4999,5,FALSE))</f>
        <v>EYK</v>
      </c>
      <c r="I659" s="200" t="str">
        <f>IF(D659="","",VLOOKUP(F659,製品マスタ!$G$5:$L$4999,6,FALSE))</f>
        <v>メタルミー　ＥＹＫ</v>
      </c>
      <c r="J659" s="203" t="s">
        <v>447</v>
      </c>
      <c r="K659" s="200">
        <f>IF(D659="","",VLOOKUP(D659,契約台帳!$A$3:$L$4986,12,FALSE))</f>
        <v>50</v>
      </c>
      <c r="L659" s="200" t="str">
        <f>IF(D659="","",INDEX(製品マスタ!$Q$5:$Q$4999,MATCH('S4'!F659&amp;'S4'!K659,製品マスタ!$AO$5:$AO$4999,0)))</f>
        <v>T62M</v>
      </c>
      <c r="M659" s="37">
        <v>1195</v>
      </c>
      <c r="N659" s="37">
        <v>12200</v>
      </c>
      <c r="O659" s="153">
        <v>8</v>
      </c>
      <c r="P659" s="45">
        <v>15</v>
      </c>
      <c r="Q659" s="54"/>
      <c r="R659" s="257">
        <f ca="1">IF(D659="","",IF(OFFSET(D659,-1,0)&lt;&gt;"","",IF(OR(J659="リード付け",J659="巻足し",J659="巻返しリード付け"),M659,VLOOKUP(D659,契約台帳!$A$3:$N$4986,14,FALSE))))</f>
        <v>1190</v>
      </c>
      <c r="S659" s="258">
        <f ca="1">IF(D659="","",IF(OFFSET(D659,-1,0)&lt;&gt;"","",IF(OR(J659="リード付け",J659="巻足し",J659="巻返しリード付け"),M659,VLOOKUP(D659,契約台帳!$A$3:$O$4986,15,FALSE))))</f>
        <v>1190</v>
      </c>
      <c r="T659" s="258">
        <f ca="1">IF(D659="","",IF(J659="リード付け",N659,IF(J659="巻返しリード付け",N659,IF(J659="巻足し",N659*P659+OFFSET(N659,1,0)*OFFSET(P659,1,0),VLOOKUP(D659,契約台帳!$A$3:$P$4986,16,FALSE)))))</f>
        <v>6000</v>
      </c>
      <c r="U659" s="38">
        <v>16</v>
      </c>
      <c r="V659" s="259" t="str">
        <f ca="1">IF(D659="","",IF(OFFSET(D659,-2,0)=D659,"",VLOOKUP(D659,契約台帳!$A$3:$R$4986,18,FALSE)))</f>
        <v/>
      </c>
      <c r="W659" s="256" t="str">
        <f ca="1">IF(D659="","",IF(T659="","",IF(OR(J659="巻足し",J659="巻返しリード付け"),"",IF(J659="巻返し",VLOOKUP(F659&amp;K659&amp;M659,製品マスタ!$M$5:$AD$4999,18,FALSE),IF(OR(J659="リード付け",J659="巻返しリード付け"),"原反コア",IF(J659="スリット",VLOOKUP(F659&amp;K659&amp;R659,製品マスタ!$N$5:$AD$4999,17,FALSE),""))))))</f>
        <v>6ｲﾝﾁMｺｱ</v>
      </c>
      <c r="X659" s="256">
        <f ca="1">IF(D659="","",IF(T659="","",IF(J659="巻足し","",IF(J659="巻返し",VLOOKUP(F659&amp;K659&amp;M659,製品マスタ!$M$5:$AE$4999,19,FALSE),IF(OR(J659="リード付け",J659="巻返しリード付け"),"",IF(J659="スリット",VLOOKUP(F659&amp;K659&amp;R659,製品マスタ!$N$5:$AE$4999,18,FALSE),""))))))</f>
        <v>1220</v>
      </c>
      <c r="Y659" s="256">
        <f ca="1">IF(D659="","",IF(T659="","",VLOOKUP(D659,契約台帳!$A$3:$Q$4986,17,FALSE)))</f>
        <v>2</v>
      </c>
      <c r="Z659" s="256" t="str">
        <f ca="1">IF(D659="","",IF(T659="","",VLOOKUP(D659,契約台帳!$A$3:$E$4986,5,FALSE)))</f>
        <v>大阪シーリング印刷㈱</v>
      </c>
      <c r="AA659" s="54"/>
      <c r="AB659" s="200" t="str">
        <f>IFERROR((VLOOKUP(F659&amp;K659&amp;M659,製品マスタ!$M$5:$AM$4999,27,FALSE)),"")</f>
        <v>原反ケース再利用</v>
      </c>
      <c r="AC659" s="31"/>
      <c r="AD659" s="184"/>
      <c r="AE659" s="51"/>
      <c r="AF659" s="52"/>
      <c r="AG659" s="41"/>
      <c r="AH659" s="45"/>
      <c r="AI659" s="28"/>
      <c r="AJ659" s="28"/>
      <c r="AK659" s="28"/>
      <c r="AL659" s="28"/>
      <c r="AM659" s="12"/>
      <c r="AN659" s="12"/>
      <c r="AO659" s="12"/>
      <c r="AP659" s="12"/>
      <c r="AQ659" s="12"/>
      <c r="AR659" s="13"/>
      <c r="AS659" s="14"/>
    </row>
    <row r="660" spans="1:45" s="16" customFormat="1" ht="30.95" hidden="1" customHeight="1" x14ac:dyDescent="0.2">
      <c r="A660" s="35"/>
      <c r="B660" s="36"/>
      <c r="C660" s="43"/>
      <c r="D660" s="29"/>
      <c r="E660" s="29"/>
      <c r="F660" s="255"/>
      <c r="G660" s="256"/>
      <c r="H660" s="256"/>
      <c r="I660" s="200"/>
      <c r="J660" s="203"/>
      <c r="K660" s="200"/>
      <c r="L660" s="200"/>
      <c r="M660" s="37"/>
      <c r="N660" s="37"/>
      <c r="O660" s="153"/>
      <c r="P660" s="45"/>
      <c r="Q660" s="54"/>
      <c r="R660" s="257"/>
      <c r="S660" s="258"/>
      <c r="T660" s="258"/>
      <c r="U660" s="38"/>
      <c r="V660" s="259"/>
      <c r="W660" s="256"/>
      <c r="X660" s="256"/>
      <c r="Y660" s="256"/>
      <c r="Z660" s="256"/>
      <c r="AA660" s="54"/>
      <c r="AB660" s="200"/>
      <c r="AC660" s="31"/>
      <c r="AD660" s="184"/>
      <c r="AE660" s="51"/>
      <c r="AF660" s="52"/>
      <c r="AG660" s="41"/>
      <c r="AH660" s="45"/>
      <c r="AI660" s="28"/>
      <c r="AJ660" s="28"/>
      <c r="AK660" s="28"/>
      <c r="AL660" s="28"/>
      <c r="AM660" s="12"/>
      <c r="AN660" s="12"/>
      <c r="AO660" s="12"/>
      <c r="AP660" s="12"/>
      <c r="AQ660" s="12"/>
      <c r="AR660" s="13"/>
      <c r="AS660" s="14"/>
    </row>
    <row r="661" spans="1:45" s="16" customFormat="1" ht="30.95" hidden="1" customHeight="1" x14ac:dyDescent="0.2">
      <c r="A661" s="35" t="s">
        <v>1230</v>
      </c>
      <c r="B661" s="36" t="s">
        <v>1231</v>
      </c>
      <c r="C661" s="43"/>
      <c r="D661" s="29">
        <v>3712095</v>
      </c>
      <c r="E661" s="29">
        <v>4140951</v>
      </c>
      <c r="F661" s="255" t="str">
        <f>IF(D661="","",VLOOKUP(D661,契約台帳!$A$3:$K$4986,6,FALSE)&amp;VLOOKUP(D661,契約台帳!$A$3:$K$4986,7,FALSE)&amp;VLOOKUP(D661,契約台帳!$A$3:$K$4986,8,FALSE)&amp;VLOOKUP(D661,契約台帳!$A$3:$K$4986,9,FALSE)&amp;VLOOKUP(D661,契約台帳!$A$3:$K$4986,11,FALSE))</f>
        <v>3SNMCLBEYK</v>
      </c>
      <c r="G661" s="256" t="str">
        <f>IF(D661="","",VLOOKUP(F661,製品マスタ!$G$5:$H$4999,2,FALSE))</f>
        <v>S</v>
      </c>
      <c r="H661" s="256" t="str">
        <f>IF(D661="","",VLOOKUP(F661,製品マスタ!$G$5:$K$4999,5,FALSE))</f>
        <v>EYK</v>
      </c>
      <c r="I661" s="200" t="str">
        <f>IF(D661="","",VLOOKUP(F661,製品マスタ!$G$5:$L$4999,6,FALSE))</f>
        <v>メタルミー　ＥＹＫ</v>
      </c>
      <c r="J661" s="203" t="s">
        <v>447</v>
      </c>
      <c r="K661" s="200">
        <f>IF(D661="","",VLOOKUP(D661,契約台帳!$A$3:$L$4986,12,FALSE))</f>
        <v>50</v>
      </c>
      <c r="L661" s="200" t="str">
        <f>IF(D661="","",INDEX(製品マスタ!$Q$5:$Q$4999,MATCH('S4'!F661&amp;'S4'!K661,製品マスタ!$AO$5:$AO$4999,0)))</f>
        <v>T62M</v>
      </c>
      <c r="M661" s="37">
        <v>1125</v>
      </c>
      <c r="N661" s="37">
        <v>12200</v>
      </c>
      <c r="O661" s="153">
        <v>2</v>
      </c>
      <c r="P661" s="45">
        <v>2</v>
      </c>
      <c r="Q661" s="54"/>
      <c r="R661" s="257">
        <f ca="1">IF(D661="","",IF(OFFSET(D661,-1,0)&lt;&gt;"","",IF(OR(J661="リード付け",J661="巻足し",J661="巻返しリード付け"),M661,VLOOKUP(D661,契約台帳!$A$3:$N$4986,14,FALSE))))</f>
        <v>1120</v>
      </c>
      <c r="S661" s="258">
        <f ca="1">IF(D661="","",IF(OFFSET(D661,-1,0)&lt;&gt;"","",IF(OR(J661="リード付け",J661="巻足し",J661="巻返しリード付け"),M661,VLOOKUP(D661,契約台帳!$A$3:$O$4986,15,FALSE))))</f>
        <v>1120</v>
      </c>
      <c r="T661" s="258">
        <f ca="1">IF(D661="","",IF(J661="リード付け",N661,IF(J661="巻返しリード付け",N661,IF(J661="巻足し",N661*P661+OFFSET(N661,1,0)*OFFSET(P661,1,0),VLOOKUP(D661,契約台帳!$A$3:$P$4986,16,FALSE)))))</f>
        <v>6000</v>
      </c>
      <c r="U661" s="38">
        <v>4</v>
      </c>
      <c r="V661" s="259">
        <f ca="1">IF(D661="","",IF(OFFSET(D661,-2,0)=D661,"",VLOOKUP(D661,契約台帳!$A$3:$R$4986,18,FALSE)))</f>
        <v>4</v>
      </c>
      <c r="W661" s="256" t="str">
        <f ca="1">IF(D661="","",IF(T661="","",IF(OR(J661="巻足し",J661="巻返しリード付け"),"",IF(J661="巻返し",VLOOKUP(F661&amp;K661&amp;M661,製品マスタ!$M$5:$AD$4999,18,FALSE),IF(OR(J661="リード付け",J661="巻返しリード付け"),"原反コア",IF(J661="スリット",VLOOKUP(F661&amp;K661&amp;R661,製品マスタ!$N$5:$AD$4999,17,FALSE),""))))))</f>
        <v>6ｲﾝﾁMｺｱ</v>
      </c>
      <c r="X661" s="256">
        <f ca="1">IF(D661="","",IF(T661="","",IF(J661="巻足し","",IF(J661="巻返し",VLOOKUP(F661&amp;K661&amp;M661,製品マスタ!$M$5:$AE$4999,19,FALSE),IF(OR(J661="リード付け",J661="巻返しリード付け"),"",IF(J661="スリット",VLOOKUP(F661&amp;K661&amp;R661,製品マスタ!$N$5:$AE$4999,18,FALSE),""))))))</f>
        <v>1140</v>
      </c>
      <c r="Y661" s="256">
        <f ca="1">IF(D661="","",IF(T661="","",VLOOKUP(D661,契約台帳!$A$3:$Q$4986,17,FALSE)))</f>
        <v>2</v>
      </c>
      <c r="Z661" s="256" t="str">
        <f ca="1">IF(D661="","",IF(T661="","",VLOOKUP(D661,契約台帳!$A$3:$E$4986,5,FALSE)))</f>
        <v>新タック化成㈱</v>
      </c>
      <c r="AA661" s="54"/>
      <c r="AB661" s="200" t="str">
        <f>IFERROR((VLOOKUP(F661&amp;K661&amp;M661,製品マスタ!$M$5:$AM$4999,27,FALSE)),"")</f>
        <v>原反ケース再利用</v>
      </c>
      <c r="AC661" s="31"/>
      <c r="AD661" s="184"/>
      <c r="AE661" s="51"/>
      <c r="AF661" s="52"/>
      <c r="AG661" s="41"/>
      <c r="AH661" s="45"/>
      <c r="AI661" s="28"/>
      <c r="AJ661" s="28"/>
      <c r="AK661" s="28"/>
      <c r="AL661" s="28"/>
      <c r="AM661" s="12"/>
      <c r="AN661" s="12"/>
      <c r="AO661" s="12"/>
      <c r="AP661" s="12"/>
      <c r="AQ661" s="12"/>
      <c r="AR661" s="13"/>
      <c r="AS661" s="14"/>
    </row>
    <row r="662" spans="1:45" s="16" customFormat="1" ht="30.95" hidden="1" customHeight="1" x14ac:dyDescent="0.2">
      <c r="A662" s="35"/>
      <c r="B662" s="36"/>
      <c r="C662" s="43"/>
      <c r="D662" s="29"/>
      <c r="E662" s="29"/>
      <c r="F662" s="255"/>
      <c r="G662" s="256"/>
      <c r="H662" s="256"/>
      <c r="I662" s="200"/>
      <c r="J662" s="203"/>
      <c r="K662" s="200"/>
      <c r="L662" s="200"/>
      <c r="M662" s="37"/>
      <c r="N662" s="37"/>
      <c r="O662" s="153"/>
      <c r="P662" s="45"/>
      <c r="Q662" s="54"/>
      <c r="R662" s="257"/>
      <c r="S662" s="258"/>
      <c r="T662" s="258"/>
      <c r="U662" s="38"/>
      <c r="V662" s="259"/>
      <c r="W662" s="256"/>
      <c r="X662" s="256"/>
      <c r="Y662" s="256"/>
      <c r="Z662" s="256"/>
      <c r="AA662" s="54"/>
      <c r="AB662" s="200"/>
      <c r="AC662" s="31"/>
      <c r="AD662" s="184"/>
      <c r="AE662" s="51"/>
      <c r="AF662" s="52"/>
      <c r="AG662" s="41"/>
      <c r="AH662" s="45"/>
      <c r="AI662" s="28"/>
      <c r="AJ662" s="28"/>
      <c r="AK662" s="28"/>
      <c r="AL662" s="28"/>
      <c r="AM662" s="12"/>
      <c r="AN662" s="12"/>
      <c r="AO662" s="12"/>
      <c r="AP662" s="12"/>
      <c r="AQ662" s="12"/>
      <c r="AR662" s="13"/>
      <c r="AS662" s="14"/>
    </row>
    <row r="663" spans="1:45" s="16" customFormat="1" ht="30.95" hidden="1" customHeight="1" x14ac:dyDescent="0.2">
      <c r="A663" s="35"/>
      <c r="B663" s="36"/>
      <c r="C663" s="43"/>
      <c r="D663" s="29">
        <v>3712111</v>
      </c>
      <c r="E663" s="29">
        <v>4140949</v>
      </c>
      <c r="F663" s="255" t="str">
        <f>IF(D663="","",VLOOKUP(D663,契約台帳!$A$3:$K$4986,6,FALSE)&amp;VLOOKUP(D663,契約台帳!$A$3:$K$4986,7,FALSE)&amp;VLOOKUP(D663,契約台帳!$A$3:$K$4986,8,FALSE)&amp;VLOOKUP(D663,契約台帳!$A$3:$K$4986,9,FALSE)&amp;VLOOKUP(D663,契約台帳!$A$3:$K$4986,11,FALSE))</f>
        <v>33SSNMCLBTETKFV</v>
      </c>
      <c r="G663" s="256" t="str">
        <f>IF(D663="","",VLOOKUP(F663,製品マスタ!$G$5:$H$4999,2,FALSE))</f>
        <v>S</v>
      </c>
      <c r="H663" s="256" t="str">
        <f>IF(D663="","",VLOOKUP(F663,製品マスタ!$G$5:$K$4999,5,FALSE))</f>
        <v>TETKFV</v>
      </c>
      <c r="I663" s="200" t="str">
        <f>IF(D663="","",VLOOKUP(F663,製品マスタ!$G$5:$L$4999,6,FALSE))</f>
        <v>メタルミー　ＴＥＳ艶開封　Ｖ</v>
      </c>
      <c r="J663" s="203" t="s">
        <v>447</v>
      </c>
      <c r="K663" s="200">
        <f>IF(D663="","",VLOOKUP(D663,契約台帳!$A$3:$L$4986,12,FALSE))</f>
        <v>50</v>
      </c>
      <c r="L663" s="200" t="str">
        <f>IF(D663="","",INDEX(製品マスタ!$Q$5:$Q$4999,MATCH('S4'!F663&amp;'S4'!K663,製品マスタ!$AO$5:$AO$4999,0)))</f>
        <v>S28SEPA</v>
      </c>
      <c r="M663" s="37">
        <v>1005</v>
      </c>
      <c r="N663" s="37">
        <v>12300</v>
      </c>
      <c r="O663" s="153">
        <v>2</v>
      </c>
      <c r="P663" s="45">
        <v>2</v>
      </c>
      <c r="Q663" s="54"/>
      <c r="R663" s="257">
        <f ca="1">IF(D663="","",IF(OFFSET(D663,-1,0)&lt;&gt;"","",IF(OR(J663="リード付け",J663="巻足し",J663="巻返しリード付け"),M663,VLOOKUP(D663,契約台帳!$A$3:$N$4986,14,FALSE))))</f>
        <v>1005</v>
      </c>
      <c r="S663" s="258">
        <f ca="1">IF(D663="","",IF(OFFSET(D663,-1,0)&lt;&gt;"","",IF(OR(J663="リード付け",J663="巻足し",J663="巻返しリード付け"),M663,VLOOKUP(D663,契約台帳!$A$3:$O$4986,15,FALSE))))</f>
        <v>1000</v>
      </c>
      <c r="T663" s="258">
        <f ca="1">IF(D663="","",IF(J663="リード付け",N663,IF(J663="巻返しリード付け",N663,IF(J663="巻足し",N663*P663+OFFSET(N663,1,0)*OFFSET(P663,1,0),VLOOKUP(D663,契約台帳!$A$3:$P$4986,16,FALSE)))))</f>
        <v>4000</v>
      </c>
      <c r="U663" s="38">
        <v>6</v>
      </c>
      <c r="V663" s="259">
        <f ca="1">IF(D663="","",IF(OFFSET(D663,-2,0)=D663,"",VLOOKUP(D663,契約台帳!$A$3:$R$4986,18,FALSE)))</f>
        <v>6</v>
      </c>
      <c r="W663" s="256" t="str">
        <f ca="1">IF(D663="","",IF(T663="","",IF(OR(J663="巻足し",J663="巻返しリード付け"),"",IF(J663="巻返し",VLOOKUP(F663&amp;K663&amp;M663,製品マスタ!$M$5:$AD$4999,18,FALSE),IF(OR(J663="リード付け",J663="巻返しリード付け"),"原反コア",IF(J663="スリット",VLOOKUP(F663&amp;K663&amp;R663,製品マスタ!$N$5:$AD$4999,17,FALSE),""))))))</f>
        <v>6ｲﾝﾁSｺｱ</v>
      </c>
      <c r="X663" s="256">
        <f ca="1">IF(D663="","",IF(T663="","",IF(J663="巻足し","",IF(J663="巻返し",VLOOKUP(F663&amp;K663&amp;M663,製品マスタ!$M$5:$AE$4999,19,FALSE),IF(OR(J663="リード付け",J663="巻返しリード付け"),"",IF(J663="スリット",VLOOKUP(F663&amp;K663&amp;R663,製品マスタ!$N$5:$AE$4999,18,FALSE),""))))))</f>
        <v>1015</v>
      </c>
      <c r="Y663" s="256">
        <f ca="1">IF(D663="","",IF(T663="","",VLOOKUP(D663,契約台帳!$A$3:$Q$4986,17,FALSE)))</f>
        <v>2</v>
      </c>
      <c r="Z663" s="256" t="str">
        <f ca="1">IF(D663="","",IF(T663="","",VLOOKUP(D663,契約台帳!$A$3:$E$4986,5,FALSE)))</f>
        <v>リンテック㈱</v>
      </c>
      <c r="AA663" s="54"/>
      <c r="AB663" s="200">
        <f>IFERROR((VLOOKUP(F663&amp;K663&amp;M663,製品マスタ!$M$5:$AM$4999,27,FALSE)),"")</f>
        <v>0</v>
      </c>
      <c r="AC663" s="31"/>
      <c r="AD663" s="184"/>
      <c r="AE663" s="51"/>
      <c r="AF663" s="52"/>
      <c r="AG663" s="41"/>
      <c r="AH663" s="45"/>
      <c r="AI663" s="28"/>
      <c r="AJ663" s="28"/>
      <c r="AK663" s="28"/>
      <c r="AL663" s="28"/>
      <c r="AM663" s="12"/>
      <c r="AN663" s="12"/>
      <c r="AO663" s="12"/>
      <c r="AP663" s="12"/>
      <c r="AQ663" s="12"/>
      <c r="AR663" s="13"/>
      <c r="AS663" s="14"/>
    </row>
    <row r="664" spans="1:45" s="16" customFormat="1" ht="30.95" hidden="1" customHeight="1" x14ac:dyDescent="0.2">
      <c r="A664" s="35"/>
      <c r="B664" s="36"/>
      <c r="C664" s="43"/>
      <c r="D664" s="29"/>
      <c r="E664" s="29"/>
      <c r="F664" s="255"/>
      <c r="G664" s="256"/>
      <c r="H664" s="256"/>
      <c r="I664" s="200"/>
      <c r="J664" s="203"/>
      <c r="K664" s="200"/>
      <c r="L664" s="200"/>
      <c r="M664" s="37"/>
      <c r="N664" s="37"/>
      <c r="O664" s="153"/>
      <c r="P664" s="45"/>
      <c r="Q664" s="54"/>
      <c r="R664" s="257"/>
      <c r="S664" s="258"/>
      <c r="T664" s="258"/>
      <c r="U664" s="38"/>
      <c r="V664" s="259"/>
      <c r="W664" s="256"/>
      <c r="X664" s="256"/>
      <c r="Y664" s="256"/>
      <c r="Z664" s="256"/>
      <c r="AA664" s="54"/>
      <c r="AB664" s="200"/>
      <c r="AC664" s="31"/>
      <c r="AD664" s="184"/>
      <c r="AE664" s="51"/>
      <c r="AF664" s="52"/>
      <c r="AG664" s="41"/>
      <c r="AH664" s="45"/>
      <c r="AI664" s="28"/>
      <c r="AJ664" s="28"/>
      <c r="AK664" s="28"/>
      <c r="AL664" s="28"/>
      <c r="AM664" s="12"/>
      <c r="AN664" s="12"/>
      <c r="AO664" s="12"/>
      <c r="AP664" s="12"/>
      <c r="AQ664" s="12"/>
      <c r="AR664" s="13"/>
      <c r="AS664" s="14"/>
    </row>
    <row r="665" spans="1:45" s="16" customFormat="1" ht="30.95" hidden="1" customHeight="1" x14ac:dyDescent="0.2">
      <c r="A665" s="35"/>
      <c r="B665" s="36"/>
      <c r="C665" s="43"/>
      <c r="D665" s="29">
        <v>3712109</v>
      </c>
      <c r="E665" s="29">
        <v>4140947</v>
      </c>
      <c r="F665" s="255" t="str">
        <f>IF(D665="","",VLOOKUP(D665,契約台帳!$A$3:$K$4986,6,FALSE)&amp;VLOOKUP(D665,契約台帳!$A$3:$K$4986,7,FALSE)&amp;VLOOKUP(D665,契約台帳!$A$3:$K$4986,8,FALSE)&amp;VLOOKUP(D665,契約台帳!$A$3:$K$4986,9,FALSE)&amp;VLOOKUP(D665,契約台帳!$A$3:$K$4986,11,FALSE))</f>
        <v>33SSNMCLBTEKKFV</v>
      </c>
      <c r="G665" s="256" t="str">
        <f>IF(D665="","",VLOOKUP(F665,製品マスタ!$G$5:$H$4999,2,FALSE))</f>
        <v>S</v>
      </c>
      <c r="H665" s="256" t="str">
        <f>IF(D665="","",VLOOKUP(F665,製品マスタ!$G$5:$K$4999,5,FALSE))</f>
        <v>TEKKFV</v>
      </c>
      <c r="I665" s="200" t="str">
        <f>IF(D665="","",VLOOKUP(F665,製品マスタ!$G$5:$L$4999,6,FALSE))</f>
        <v>メタルミー　ＴＥＳ消開封　Ｖ</v>
      </c>
      <c r="J665" s="203" t="s">
        <v>447</v>
      </c>
      <c r="K665" s="200">
        <f>IF(D665="","",VLOOKUP(D665,契約台帳!$A$3:$L$4986,12,FALSE))</f>
        <v>50</v>
      </c>
      <c r="L665" s="200" t="str">
        <f>IF(D665="","",INDEX(製品マスタ!$Q$5:$Q$4999,MATCH('S4'!F665&amp;'S4'!K665,製品マスタ!$AO$5:$AO$4999,0)))</f>
        <v>X44SEPA</v>
      </c>
      <c r="M665" s="37">
        <v>1005</v>
      </c>
      <c r="N665" s="37">
        <v>12000</v>
      </c>
      <c r="O665" s="153">
        <v>1</v>
      </c>
      <c r="P665" s="45">
        <v>1</v>
      </c>
      <c r="Q665" s="54"/>
      <c r="R665" s="257">
        <f ca="1">IF(D665="","",IF(OFFSET(D665,-1,0)&lt;&gt;"","",IF(OR(J665="リード付け",J665="巻足し",J665="巻返しリード付け"),M665,VLOOKUP(D665,契約台帳!$A$3:$N$4986,14,FALSE))))</f>
        <v>1005</v>
      </c>
      <c r="S665" s="258">
        <f ca="1">IF(D665="","",IF(OFFSET(D665,-1,0)&lt;&gt;"","",IF(OR(J665="リード付け",J665="巻足し",J665="巻返しリード付け"),M665,VLOOKUP(D665,契約台帳!$A$3:$O$4986,15,FALSE))))</f>
        <v>1000</v>
      </c>
      <c r="T665" s="258">
        <f ca="1">IF(D665="","",IF(J665="リード付け",N665,IF(J665="巻返しリード付け",N665,IF(J665="巻足し",N665*P665+OFFSET(N665,1,0)*OFFSET(P665,1,0),VLOOKUP(D665,契約台帳!$A$3:$P$4986,16,FALSE)))))</f>
        <v>4000</v>
      </c>
      <c r="U665" s="38">
        <v>3</v>
      </c>
      <c r="V665" s="259">
        <f ca="1">IF(D665="","",IF(OFFSET(D665,-2,0)=D665,"",VLOOKUP(D665,契約台帳!$A$3:$R$4986,18,FALSE)))</f>
        <v>3</v>
      </c>
      <c r="W665" s="256" t="str">
        <f ca="1">IF(D665="","",IF(T665="","",IF(OR(J665="巻足し",J665="巻返しリード付け"),"",IF(J665="巻返し",VLOOKUP(F665&amp;K665&amp;M665,製品マスタ!$M$5:$AD$4999,18,FALSE),IF(OR(J665="リード付け",J665="巻返しリード付け"),"原反コア",IF(J665="スリット",VLOOKUP(F665&amp;K665&amp;R665,製品マスタ!$N$5:$AD$4999,17,FALSE),""))))))</f>
        <v>6ｲﾝﾁSｺｱ</v>
      </c>
      <c r="X665" s="256">
        <f ca="1">IF(D665="","",IF(T665="","",IF(J665="巻足し","",IF(J665="巻返し",VLOOKUP(F665&amp;K665&amp;M665,製品マスタ!$M$5:$AE$4999,19,FALSE),IF(OR(J665="リード付け",J665="巻返しリード付け"),"",IF(J665="スリット",VLOOKUP(F665&amp;K665&amp;R665,製品マスタ!$N$5:$AE$4999,18,FALSE),""))))))</f>
        <v>1015</v>
      </c>
      <c r="Y665" s="256">
        <f ca="1">IF(D665="","",IF(T665="","",VLOOKUP(D665,契約台帳!$A$3:$Q$4986,17,FALSE)))</f>
        <v>2</v>
      </c>
      <c r="Z665" s="256" t="str">
        <f ca="1">IF(D665="","",IF(T665="","",VLOOKUP(D665,契約台帳!$A$3:$E$4986,5,FALSE)))</f>
        <v>リンテック㈱</v>
      </c>
      <c r="AA665" s="54"/>
      <c r="AB665" s="200">
        <f>IFERROR((VLOOKUP(F665&amp;K665&amp;M665,製品マスタ!$M$5:$AM$4999,27,FALSE)),"")</f>
        <v>0</v>
      </c>
      <c r="AC665" s="31"/>
      <c r="AD665" s="184"/>
      <c r="AE665" s="51"/>
      <c r="AF665" s="52"/>
      <c r="AG665" s="41"/>
      <c r="AH665" s="45"/>
      <c r="AI665" s="28"/>
      <c r="AJ665" s="28"/>
      <c r="AK665" s="28"/>
      <c r="AL665" s="28"/>
      <c r="AM665" s="12"/>
      <c r="AN665" s="12"/>
      <c r="AO665" s="12"/>
      <c r="AP665" s="12"/>
      <c r="AQ665" s="12"/>
      <c r="AR665" s="13"/>
      <c r="AS665" s="14"/>
    </row>
    <row r="666" spans="1:45" s="16" customFormat="1" ht="30.95" hidden="1" customHeight="1" x14ac:dyDescent="0.2">
      <c r="A666" s="35"/>
      <c r="B666" s="36"/>
      <c r="C666" s="43"/>
      <c r="D666" s="29"/>
      <c r="E666" s="29"/>
      <c r="F666" s="255"/>
      <c r="G666" s="256"/>
      <c r="H666" s="256"/>
      <c r="I666" s="200"/>
      <c r="J666" s="203"/>
      <c r="K666" s="200"/>
      <c r="L666" s="200"/>
      <c r="M666" s="37"/>
      <c r="N666" s="37"/>
      <c r="O666" s="153"/>
      <c r="P666" s="45"/>
      <c r="Q666" s="54"/>
      <c r="R666" s="257"/>
      <c r="S666" s="258"/>
      <c r="T666" s="258"/>
      <c r="U666" s="38"/>
      <c r="V666" s="259"/>
      <c r="W666" s="256"/>
      <c r="X666" s="256"/>
      <c r="Y666" s="256"/>
      <c r="Z666" s="256"/>
      <c r="AA666" s="54"/>
      <c r="AB666" s="200"/>
      <c r="AC666" s="31"/>
      <c r="AD666" s="184"/>
      <c r="AE666" s="51"/>
      <c r="AF666" s="52"/>
      <c r="AG666" s="41"/>
      <c r="AH666" s="45"/>
      <c r="AI666" s="28"/>
      <c r="AJ666" s="28"/>
      <c r="AK666" s="28"/>
      <c r="AL666" s="28"/>
      <c r="AM666" s="12"/>
      <c r="AN666" s="12"/>
      <c r="AO666" s="12"/>
      <c r="AP666" s="12"/>
      <c r="AQ666" s="12"/>
      <c r="AR666" s="13"/>
      <c r="AS666" s="14"/>
    </row>
    <row r="667" spans="1:45" s="16" customFormat="1" ht="30.95" hidden="1" customHeight="1" x14ac:dyDescent="0.2">
      <c r="A667" s="35" t="s">
        <v>1232</v>
      </c>
      <c r="B667" s="36" t="s">
        <v>1233</v>
      </c>
      <c r="C667" s="43"/>
      <c r="D667" s="29">
        <v>3712110</v>
      </c>
      <c r="E667" s="29">
        <v>4140948</v>
      </c>
      <c r="F667" s="255" t="str">
        <f>IF(D667="","",VLOOKUP(D667,契約台帳!$A$3:$K$4986,6,FALSE)&amp;VLOOKUP(D667,契約台帳!$A$3:$K$4986,7,FALSE)&amp;VLOOKUP(D667,契約台帳!$A$3:$K$4986,8,FALSE)&amp;VLOOKUP(D667,契約台帳!$A$3:$K$4986,9,FALSE)&amp;VLOOKUP(D667,契約台帳!$A$3:$K$4986,11,FALSE))</f>
        <v>33SSNMCLBTEKV0V</v>
      </c>
      <c r="G667" s="256" t="str">
        <f>IF(D667="","",VLOOKUP(F667,製品マスタ!$G$5:$H$4999,2,FALSE))</f>
        <v>S</v>
      </c>
      <c r="H667" s="256" t="str">
        <f>IF(D667="","",VLOOKUP(F667,製品マスタ!$G$5:$K$4999,5,FALSE))</f>
        <v>TEKV0V</v>
      </c>
      <c r="I667" s="200" t="str">
        <f>IF(D667="","",VLOOKUP(F667,製品マスタ!$G$5:$L$4999,6,FALSE))</f>
        <v>メタルミー　ＴＥ－Ｓ消　ＶＯＩＤ　Ｖ</v>
      </c>
      <c r="J667" s="203" t="s">
        <v>447</v>
      </c>
      <c r="K667" s="200">
        <f>IF(D667="","",VLOOKUP(D667,契約台帳!$A$3:$L$4986,12,FALSE))</f>
        <v>50</v>
      </c>
      <c r="L667" s="200" t="str">
        <f>IF(D667="","",INDEX(製品マスタ!$Q$5:$Q$4999,MATCH('S4'!F667&amp;'S4'!K667,製品マスタ!$AO$5:$AO$4999,0)))</f>
        <v>X44SEPA</v>
      </c>
      <c r="M667" s="37">
        <v>1005</v>
      </c>
      <c r="N667" s="37">
        <v>12000</v>
      </c>
      <c r="O667" s="153">
        <v>1</v>
      </c>
      <c r="P667" s="45">
        <v>1</v>
      </c>
      <c r="Q667" s="54"/>
      <c r="R667" s="257">
        <f ca="1">IF(D667="","",IF(OFFSET(D667,-1,0)&lt;&gt;"","",IF(OR(J667="リード付け",J667="巻足し",J667="巻返しリード付け"),M667,VLOOKUP(D667,契約台帳!$A$3:$N$4986,14,FALSE))))</f>
        <v>1005</v>
      </c>
      <c r="S667" s="258">
        <f ca="1">IF(D667="","",IF(OFFSET(D667,-1,0)&lt;&gt;"","",IF(OR(J667="リード付け",J667="巻足し",J667="巻返しリード付け"),M667,VLOOKUP(D667,契約台帳!$A$3:$O$4986,15,FALSE))))</f>
        <v>1000</v>
      </c>
      <c r="T667" s="258">
        <f ca="1">IF(D667="","",IF(J667="リード付け",N667,IF(J667="巻返しリード付け",N667,IF(J667="巻足し",N667*P667+OFFSET(N667,1,0)*OFFSET(P667,1,0),VLOOKUP(D667,契約台帳!$A$3:$P$4986,16,FALSE)))))</f>
        <v>4000</v>
      </c>
      <c r="U667" s="38">
        <v>3</v>
      </c>
      <c r="V667" s="259">
        <f ca="1">IF(D667="","",IF(OFFSET(D667,-2,0)=D667,"",VLOOKUP(D667,契約台帳!$A$3:$R$4986,18,FALSE)))</f>
        <v>3</v>
      </c>
      <c r="W667" s="256" t="str">
        <f ca="1">IF(D667="","",IF(T667="","",IF(OR(J667="巻足し",J667="巻返しリード付け"),"",IF(J667="巻返し",VLOOKUP(F667&amp;K667&amp;M667,製品マスタ!$M$5:$AD$4999,18,FALSE),IF(OR(J667="リード付け",J667="巻返しリード付け"),"原反コア",IF(J667="スリット",VLOOKUP(F667&amp;K667&amp;R667,製品マスタ!$N$5:$AD$4999,17,FALSE),""))))))</f>
        <v>6ｲﾝﾁSｺｱ</v>
      </c>
      <c r="X667" s="256">
        <f ca="1">IF(D667="","",IF(T667="","",IF(J667="巻足し","",IF(J667="巻返し",VLOOKUP(F667&amp;K667&amp;M667,製品マスタ!$M$5:$AE$4999,19,FALSE),IF(OR(J667="リード付け",J667="巻返しリード付け"),"",IF(J667="スリット",VLOOKUP(F667&amp;K667&amp;R667,製品マスタ!$N$5:$AE$4999,18,FALSE),""))))))</f>
        <v>1015</v>
      </c>
      <c r="Y667" s="256">
        <f ca="1">IF(D667="","",IF(T667="","",VLOOKUP(D667,契約台帳!$A$3:$Q$4986,17,FALSE)))</f>
        <v>2</v>
      </c>
      <c r="Z667" s="256" t="str">
        <f ca="1">IF(D667="","",IF(T667="","",VLOOKUP(D667,契約台帳!$A$3:$E$4986,5,FALSE)))</f>
        <v>リンテック㈱</v>
      </c>
      <c r="AA667" s="54"/>
      <c r="AB667" s="200">
        <f>IFERROR((VLOOKUP(F667&amp;K667&amp;M667,製品マスタ!$M$5:$AM$4999,27,FALSE)),"")</f>
        <v>0</v>
      </c>
      <c r="AC667" s="31"/>
      <c r="AD667" s="184"/>
      <c r="AE667" s="51"/>
      <c r="AF667" s="52"/>
      <c r="AG667" s="41"/>
      <c r="AH667" s="45"/>
      <c r="AI667" s="28"/>
      <c r="AJ667" s="28"/>
      <c r="AK667" s="28"/>
      <c r="AL667" s="28"/>
      <c r="AM667" s="12"/>
      <c r="AN667" s="12"/>
      <c r="AO667" s="12"/>
      <c r="AP667" s="12"/>
      <c r="AQ667" s="12"/>
      <c r="AR667" s="13"/>
      <c r="AS667" s="14"/>
    </row>
    <row r="668" spans="1:45" s="16" customFormat="1" ht="30.95" hidden="1" customHeight="1" x14ac:dyDescent="0.2">
      <c r="A668" s="35"/>
      <c r="B668" s="36"/>
      <c r="C668" s="43"/>
      <c r="D668" s="29"/>
      <c r="E668" s="29"/>
      <c r="F668" s="255"/>
      <c r="G668" s="256"/>
      <c r="H668" s="256"/>
      <c r="I668" s="200"/>
      <c r="J668" s="203"/>
      <c r="K668" s="200"/>
      <c r="L668" s="200"/>
      <c r="M668" s="37"/>
      <c r="N668" s="37"/>
      <c r="O668" s="153"/>
      <c r="P668" s="45"/>
      <c r="Q668" s="54"/>
      <c r="R668" s="257"/>
      <c r="S668" s="258"/>
      <c r="T668" s="258"/>
      <c r="U668" s="38"/>
      <c r="V668" s="259"/>
      <c r="W668" s="256"/>
      <c r="X668" s="256"/>
      <c r="Y668" s="256"/>
      <c r="Z668" s="256"/>
      <c r="AA668" s="54"/>
      <c r="AB668" s="200"/>
      <c r="AC668" s="31"/>
      <c r="AD668" s="184"/>
      <c r="AE668" s="51"/>
      <c r="AF668" s="52"/>
      <c r="AG668" s="41"/>
      <c r="AH668" s="45"/>
      <c r="AI668" s="28"/>
      <c r="AJ668" s="28"/>
      <c r="AK668" s="28"/>
      <c r="AL668" s="28"/>
      <c r="AM668" s="12"/>
      <c r="AN668" s="12"/>
      <c r="AO668" s="12"/>
      <c r="AP668" s="12"/>
      <c r="AQ668" s="12"/>
      <c r="AR668" s="13"/>
      <c r="AS668" s="14"/>
    </row>
    <row r="669" spans="1:45" s="16" customFormat="1" ht="30.95" hidden="1" customHeight="1" x14ac:dyDescent="0.2">
      <c r="A669" s="35"/>
      <c r="B669" s="36"/>
      <c r="C669" s="43"/>
      <c r="D669" s="29">
        <v>3715368</v>
      </c>
      <c r="E669" s="29">
        <v>4140960</v>
      </c>
      <c r="F669" s="255" t="str">
        <f>IF(D669="","",VLOOKUP(D669,契約台帳!$A$3:$K$4986,6,FALSE)&amp;VLOOKUP(D669,契約台帳!$A$3:$K$4986,7,FALSE)&amp;VLOOKUP(D669,契約台帳!$A$3:$K$4986,8,FALSE)&amp;VLOOKUP(D669,契約台帳!$A$3:$K$4986,9,FALSE)&amp;VLOOKUP(D669,契約台帳!$A$3:$K$4986,11,FALSE))</f>
        <v>3TNMCLBHLKTV</v>
      </c>
      <c r="G669" s="256" t="str">
        <f>IF(D669="","",VLOOKUP(F669,製品マスタ!$G$5:$H$4999,2,FALSE))</f>
        <v>T</v>
      </c>
      <c r="H669" s="256" t="str">
        <f>IF(D669="","",VLOOKUP(F669,製品マスタ!$G$5:$K$4999,5,FALSE))</f>
        <v>HLKTV</v>
      </c>
      <c r="I669" s="200" t="str">
        <f>IF(D669="","",VLOOKUP(F669,製品マスタ!$G$5:$L$4999,6,FALSE))</f>
        <v>メタルミー　ヘヤライン金艶　Ｖ</v>
      </c>
      <c r="J669" s="203" t="s">
        <v>447</v>
      </c>
      <c r="K669" s="200">
        <f>IF(D669="","",VLOOKUP(D669,契約台帳!$A$3:$L$4986,12,FALSE))</f>
        <v>50</v>
      </c>
      <c r="L669" s="200" t="str">
        <f>IF(D669="","",INDEX(製品マスタ!$Q$5:$Q$4999,MATCH('S4'!F669&amp;'S4'!K669,製品マスタ!$AO$5:$AO$4999,0)))</f>
        <v>HL50/EC</v>
      </c>
      <c r="M669" s="37">
        <v>1030</v>
      </c>
      <c r="N669" s="37">
        <v>4000</v>
      </c>
      <c r="O669" s="153">
        <v>1</v>
      </c>
      <c r="P669" s="45">
        <v>1</v>
      </c>
      <c r="Q669" s="54"/>
      <c r="R669" s="257">
        <f ca="1">IF(D669="","",IF(OFFSET(D669,-1,0)&lt;&gt;"","",IF(OR(J669="リード付け",J669="巻足し",J669="巻返しリード付け"),M669,VLOOKUP(D669,契約台帳!$A$3:$N$4986,14,FALSE))))</f>
        <v>1000</v>
      </c>
      <c r="S669" s="258">
        <f ca="1">IF(D669="","",IF(OFFSET(D669,-1,0)&lt;&gt;"","",IF(OR(J669="リード付け",J669="巻足し",J669="巻返しリード付け"),M669,VLOOKUP(D669,契約台帳!$A$3:$O$4986,15,FALSE))))</f>
        <v>1000</v>
      </c>
      <c r="T669" s="258">
        <f ca="1">IF(D669="","",IF(J669="リード付け",N669,IF(J669="巻返しリード付け",N669,IF(J669="巻足し",N669*P669+OFFSET(N669,1,0)*OFFSET(P669,1,0),VLOOKUP(D669,契約台帳!$A$3:$P$4986,16,FALSE)))))</f>
        <v>2000</v>
      </c>
      <c r="U669" s="38">
        <v>2</v>
      </c>
      <c r="V669" s="259">
        <f ca="1">IF(D669="","",IF(OFFSET(D669,-2,0)=D669,"",VLOOKUP(D669,契約台帳!$A$3:$R$4986,18,FALSE)))</f>
        <v>2</v>
      </c>
      <c r="W669" s="256" t="str">
        <f ca="1">IF(D669="","",IF(T669="","",IF(OR(J669="巻足し",J669="巻返しリード付け"),"",IF(J669="巻返し",VLOOKUP(F669&amp;K669&amp;M669,製品マスタ!$M$5:$AD$4999,18,FALSE),IF(OR(J669="リード付け",J669="巻返しリード付け"),"原反コア",IF(J669="スリット",VLOOKUP(F669&amp;K669&amp;R669,製品マスタ!$N$5:$AD$4999,17,FALSE),""))))))</f>
        <v>6ｲﾝﾁSｺｱ</v>
      </c>
      <c r="X669" s="256">
        <f ca="1">IF(D669="","",IF(T669="","",IF(J669="巻足し","",IF(J669="巻返し",VLOOKUP(F669&amp;K669&amp;M669,製品マスタ!$M$5:$AE$4999,19,FALSE),IF(OR(J669="リード付け",J669="巻返しリード付け"),"",IF(J669="スリット",VLOOKUP(F669&amp;K669&amp;R669,製品マスタ!$N$5:$AE$4999,18,FALSE),""))))))</f>
        <v>1015</v>
      </c>
      <c r="Y669" s="256">
        <f ca="1">IF(D669="","",IF(T669="","",VLOOKUP(D669,契約台帳!$A$3:$Q$4986,17,FALSE)))</f>
        <v>2</v>
      </c>
      <c r="Z669" s="256" t="str">
        <f ca="1">IF(D669="","",IF(T669="","",VLOOKUP(D669,契約台帳!$A$3:$E$4986,5,FALSE)))</f>
        <v>リンテック㈱</v>
      </c>
      <c r="AA669" s="54"/>
      <c r="AB669" s="200" t="s">
        <v>774</v>
      </c>
      <c r="AC669" s="31"/>
      <c r="AD669" s="184"/>
      <c r="AE669" s="51"/>
      <c r="AF669" s="52"/>
      <c r="AG669" s="41"/>
      <c r="AH669" s="45"/>
      <c r="AI669" s="28"/>
      <c r="AJ669" s="28"/>
      <c r="AK669" s="28"/>
      <c r="AL669" s="28"/>
      <c r="AM669" s="12"/>
      <c r="AN669" s="12"/>
      <c r="AO669" s="12"/>
      <c r="AP669" s="12"/>
      <c r="AQ669" s="12"/>
      <c r="AR669" s="13"/>
      <c r="AS669" s="14"/>
    </row>
    <row r="670" spans="1:45" s="16" customFormat="1" ht="30.95" hidden="1" customHeight="1" x14ac:dyDescent="0.2">
      <c r="A670" s="35"/>
      <c r="B670" s="36"/>
      <c r="C670" s="43"/>
      <c r="D670" s="29"/>
      <c r="E670" s="29"/>
      <c r="F670" s="255"/>
      <c r="G670" s="256"/>
      <c r="H670" s="256"/>
      <c r="I670" s="200"/>
      <c r="J670" s="203"/>
      <c r="K670" s="200"/>
      <c r="L670" s="200"/>
      <c r="M670" s="37"/>
      <c r="N670" s="37"/>
      <c r="O670" s="153"/>
      <c r="P670" s="45"/>
      <c r="Q670" s="54"/>
      <c r="R670" s="257"/>
      <c r="S670" s="258"/>
      <c r="T670" s="258"/>
      <c r="U670" s="38"/>
      <c r="V670" s="259"/>
      <c r="W670" s="256"/>
      <c r="X670" s="256"/>
      <c r="Y670" s="256"/>
      <c r="Z670" s="256"/>
      <c r="AA670" s="54"/>
      <c r="AB670" s="200"/>
      <c r="AC670" s="31"/>
      <c r="AD670" s="184"/>
      <c r="AE670" s="51"/>
      <c r="AF670" s="52"/>
      <c r="AG670" s="41"/>
      <c r="AH670" s="45"/>
      <c r="AI670" s="28"/>
      <c r="AJ670" s="28"/>
      <c r="AK670" s="28"/>
      <c r="AL670" s="28"/>
      <c r="AM670" s="12"/>
      <c r="AN670" s="12"/>
      <c r="AO670" s="12"/>
      <c r="AP670" s="12"/>
      <c r="AQ670" s="12"/>
      <c r="AR670" s="13"/>
      <c r="AS670" s="14"/>
    </row>
    <row r="671" spans="1:45" s="16" customFormat="1" ht="30.95" hidden="1" customHeight="1" x14ac:dyDescent="0.2">
      <c r="A671" s="35"/>
      <c r="B671" s="36"/>
      <c r="C671" s="43"/>
      <c r="D671" s="29">
        <v>3708722</v>
      </c>
      <c r="E671" s="29">
        <v>4140957</v>
      </c>
      <c r="F671" s="255" t="str">
        <f>IF(D671="","",VLOOKUP(D671,契約台帳!$A$3:$K$4986,6,FALSE)&amp;VLOOKUP(D671,契約台帳!$A$3:$K$4986,7,FALSE)&amp;VLOOKUP(D671,契約台帳!$A$3:$K$4986,8,FALSE)&amp;VLOOKUP(D671,契約台帳!$A$3:$K$4986,9,FALSE)&amp;VLOOKUP(D671,契約台帳!$A$3:$K$4986,11,FALSE))</f>
        <v>3SNMCLBHLGTV</v>
      </c>
      <c r="G671" s="256" t="str">
        <f>IF(D671="","",VLOOKUP(F671,製品マスタ!$G$5:$H$4999,2,FALSE))</f>
        <v>S</v>
      </c>
      <c r="H671" s="256" t="str">
        <f>IF(D671="","",VLOOKUP(F671,製品マスタ!$G$5:$K$4999,5,FALSE))</f>
        <v>HLGTV</v>
      </c>
      <c r="I671" s="200" t="str">
        <f>IF(D671="","",VLOOKUP(F671,製品マスタ!$G$5:$L$4999,6,FALSE))</f>
        <v>メタルミー　ヘヤライン　銀艶Ｖ</v>
      </c>
      <c r="J671" s="203" t="s">
        <v>447</v>
      </c>
      <c r="K671" s="200">
        <f>IF(D671="","",VLOOKUP(D671,契約台帳!$A$3:$L$4986,12,FALSE))</f>
        <v>50</v>
      </c>
      <c r="L671" s="200" t="str">
        <f>IF(D671="","",INDEX(製品マスタ!$Q$5:$Q$4999,MATCH('S4'!F671&amp;'S4'!K671,製品マスタ!$AO$5:$AO$4999,0)))</f>
        <v>BRIGHT</v>
      </c>
      <c r="M671" s="37">
        <v>1005</v>
      </c>
      <c r="N671" s="37">
        <v>8200</v>
      </c>
      <c r="O671" s="153">
        <v>1</v>
      </c>
      <c r="P671" s="45">
        <v>1</v>
      </c>
      <c r="Q671" s="54"/>
      <c r="R671" s="257">
        <f ca="1">IF(D671="","",IF(OFFSET(D671,-1,0)&lt;&gt;"","",IF(OR(J671="リード付け",J671="巻足し",J671="巻返しリード付け"),M671,VLOOKUP(D671,契約台帳!$A$3:$N$4986,14,FALSE))))</f>
        <v>1005</v>
      </c>
      <c r="S671" s="258">
        <f ca="1">IF(D671="","",IF(OFFSET(D671,-1,0)&lt;&gt;"","",IF(OR(J671="リード付け",J671="巻足し",J671="巻返しリード付け"),M671,VLOOKUP(D671,契約台帳!$A$3:$O$4986,15,FALSE))))</f>
        <v>1000</v>
      </c>
      <c r="T671" s="258">
        <f ca="1">IF(D671="","",IF(J671="リード付け",N671,IF(J671="巻返しリード付け",N671,IF(J671="巻足し",N671*P671+OFFSET(N671,1,0)*OFFSET(P671,1,0),VLOOKUP(D671,契約台帳!$A$3:$P$4986,16,FALSE)))))</f>
        <v>2000</v>
      </c>
      <c r="U671" s="38">
        <v>2</v>
      </c>
      <c r="V671" s="259">
        <f ca="1">IF(D671="","",IF(OFFSET(D671,-2,0)=D671,"",VLOOKUP(D671,契約台帳!$A$3:$R$4986,18,FALSE)))</f>
        <v>2</v>
      </c>
      <c r="W671" s="256" t="str">
        <f ca="1">IF(D671="","",IF(T671="","",IF(OR(J671="巻足し",J671="巻返しリード付け"),"",IF(J671="巻返し",VLOOKUP(F671&amp;K671&amp;M671,製品マスタ!$M$5:$AD$4999,18,FALSE),IF(OR(J671="リード付け",J671="巻返しリード付け"),"原反コア",IF(J671="スリット",VLOOKUP(F671&amp;K671&amp;R671,製品マスタ!$N$5:$AD$4999,17,FALSE),""))))))</f>
        <v>6ｲﾝﾁSｺｱ</v>
      </c>
      <c r="X671" s="256">
        <f ca="1">IF(D671="","",IF(T671="","",IF(J671="巻足し","",IF(J671="巻返し",VLOOKUP(F671&amp;K671&amp;M671,製品マスタ!$M$5:$AE$4999,19,FALSE),IF(OR(J671="リード付け",J671="巻返しリード付け"),"",IF(J671="スリット",VLOOKUP(F671&amp;K671&amp;R671,製品マスタ!$N$5:$AE$4999,18,FALSE),""))))))</f>
        <v>1015</v>
      </c>
      <c r="Y671" s="256">
        <f ca="1">IF(D671="","",IF(T671="","",VLOOKUP(D671,契約台帳!$A$3:$Q$4986,17,FALSE)))</f>
        <v>2</v>
      </c>
      <c r="Z671" s="256" t="str">
        <f ca="1">IF(D671="","",IF(T671="","",VLOOKUP(D671,契約台帳!$A$3:$E$4986,5,FALSE)))</f>
        <v>リンテック㈱</v>
      </c>
      <c r="AA671" s="54"/>
      <c r="AB671" s="200">
        <f>IFERROR((VLOOKUP(F671&amp;K671&amp;M671,製品マスタ!$M$5:$AM$4999,27,FALSE)),"")</f>
        <v>0</v>
      </c>
      <c r="AC671" s="31"/>
      <c r="AD671" s="184"/>
      <c r="AE671" s="51"/>
      <c r="AF671" s="52"/>
      <c r="AG671" s="41"/>
      <c r="AH671" s="45"/>
      <c r="AI671" s="28"/>
      <c r="AJ671" s="28"/>
      <c r="AK671" s="28"/>
      <c r="AL671" s="28"/>
      <c r="AM671" s="12"/>
      <c r="AN671" s="12"/>
      <c r="AO671" s="12"/>
      <c r="AP671" s="12"/>
      <c r="AQ671" s="12"/>
      <c r="AR671" s="13"/>
      <c r="AS671" s="14"/>
    </row>
    <row r="672" spans="1:45" s="16" customFormat="1" ht="30.95" hidden="1" customHeight="1" x14ac:dyDescent="0.2">
      <c r="A672" s="35"/>
      <c r="B672" s="36"/>
      <c r="C672" s="43"/>
      <c r="D672" s="29">
        <v>3712113</v>
      </c>
      <c r="E672" s="29"/>
      <c r="F672" s="255" t="str">
        <f>IF(D672="","",VLOOKUP(D672,契約台帳!$A$3:$K$4986,6,FALSE)&amp;VLOOKUP(D672,契約台帳!$A$3:$K$4986,7,FALSE)&amp;VLOOKUP(D672,契約台帳!$A$3:$K$4986,8,FALSE)&amp;VLOOKUP(D672,契約台帳!$A$3:$K$4986,9,FALSE)&amp;VLOOKUP(D672,契約台帳!$A$3:$K$4986,11,FALSE))</f>
        <v>3SNMCLBHLGTV</v>
      </c>
      <c r="G672" s="256" t="str">
        <f>IF(D672="","",VLOOKUP(F672,製品マスタ!$G$5:$H$4999,2,FALSE))</f>
        <v>S</v>
      </c>
      <c r="H672" s="256" t="str">
        <f>IF(D672="","",VLOOKUP(F672,製品マスタ!$G$5:$K$4999,5,FALSE))</f>
        <v>HLGTV</v>
      </c>
      <c r="I672" s="200" t="str">
        <f>IF(D672="","",VLOOKUP(F672,製品マスタ!$G$5:$L$4999,6,FALSE))</f>
        <v>メタルミー　ヘヤライン　銀艶Ｖ</v>
      </c>
      <c r="J672" s="203" t="s">
        <v>447</v>
      </c>
      <c r="K672" s="200">
        <f>IF(D672="","",VLOOKUP(D672,契約台帳!$A$3:$L$4986,12,FALSE))</f>
        <v>50</v>
      </c>
      <c r="L672" s="200" t="str">
        <f>IF(D672="","",INDEX(製品マスタ!$Q$5:$Q$4999,MATCH('S4'!F672&amp;'S4'!K672,製品マスタ!$AO$5:$AO$4999,0)))</f>
        <v>BRIGHT</v>
      </c>
      <c r="M672" s="37">
        <v>1005</v>
      </c>
      <c r="N672" s="37"/>
      <c r="O672" s="153"/>
      <c r="P672" s="45"/>
      <c r="Q672" s="54"/>
      <c r="R672" s="257" t="str">
        <f ca="1">IF(D672="","",IF(OFFSET(D672,-1,0)&lt;&gt;"","",IF(OR(J672="リード付け",J672="巻足し",J672="巻返しリード付け"),M672,VLOOKUP(D672,契約台帳!$A$3:$N$4986,14,FALSE))))</f>
        <v/>
      </c>
      <c r="S672" s="258" t="str">
        <f ca="1">IF(D672="","",IF(OFFSET(D672,-1,0)&lt;&gt;"","",IF(OR(J672="リード付け",J672="巻足し",J672="巻返しリード付け"),M672,VLOOKUP(D672,契約台帳!$A$3:$O$4986,15,FALSE))))</f>
        <v/>
      </c>
      <c r="T672" s="258">
        <f ca="1">IF(D672="","",IF(J672="リード付け",N672,IF(J672="巻返しリード付け",N672,IF(J672="巻足し",N672*P672+OFFSET(N672,1,0)*OFFSET(P672,1,0),VLOOKUP(D672,契約台帳!$A$3:$P$4986,16,FALSE)))))</f>
        <v>4000</v>
      </c>
      <c r="U672" s="38">
        <v>1</v>
      </c>
      <c r="V672" s="259">
        <f ca="1">IF(D672="","",IF(OFFSET(D672,-2,0)=D672,"",VLOOKUP(D672,契約台帳!$A$3:$R$4986,18,FALSE)))</f>
        <v>3</v>
      </c>
      <c r="W672" s="256" t="str">
        <f ca="1">IF(D672="","",IF(T672="","",IF(OR(J672="巻足し",J672="巻返しリード付け"),"",IF(J672="巻返し",VLOOKUP(F672&amp;K672&amp;M672,製品マスタ!$M$5:$AD$4999,18,FALSE),IF(OR(J672="リード付け",J672="巻返しリード付け"),"原反コア",IF(J672="スリット",VLOOKUP(F672&amp;K672&amp;R672,製品マスタ!$N$5:$AD$4999,17,FALSE),""))))))</f>
        <v>6ｲﾝﾁSｺｱ</v>
      </c>
      <c r="X672" s="256">
        <f ca="1">IF(D672="","",IF(T672="","",IF(J672="巻足し","",IF(J672="巻返し",VLOOKUP(F672&amp;K672&amp;M672,製品マスタ!$M$5:$AE$4999,19,FALSE),IF(OR(J672="リード付け",J672="巻返しリード付け"),"",IF(J672="スリット",VLOOKUP(F672&amp;K672&amp;R672,製品マスタ!$N$5:$AE$4999,18,FALSE),""))))))</f>
        <v>1015</v>
      </c>
      <c r="Y672" s="256">
        <f ca="1">IF(D672="","",IF(T672="","",VLOOKUP(D672,契約台帳!$A$3:$Q$4986,17,FALSE)))</f>
        <v>2</v>
      </c>
      <c r="Z672" s="256" t="str">
        <f ca="1">IF(D672="","",IF(T672="","",VLOOKUP(D672,契約台帳!$A$3:$E$4986,5,FALSE)))</f>
        <v>リンテック㈱</v>
      </c>
      <c r="AA672" s="54"/>
      <c r="AB672" s="200">
        <f>IFERROR((VLOOKUP(F672&amp;K672&amp;M672,製品マスタ!$M$5:$AM$4999,27,FALSE)),"")</f>
        <v>0</v>
      </c>
      <c r="AC672" s="31"/>
      <c r="AD672" s="184"/>
      <c r="AE672" s="51"/>
      <c r="AF672" s="52"/>
      <c r="AG672" s="41"/>
      <c r="AH672" s="45"/>
      <c r="AI672" s="28"/>
      <c r="AJ672" s="28"/>
      <c r="AK672" s="28"/>
      <c r="AL672" s="28"/>
      <c r="AM672" s="12"/>
      <c r="AN672" s="12"/>
      <c r="AO672" s="12"/>
      <c r="AP672" s="12"/>
      <c r="AQ672" s="12"/>
      <c r="AR672" s="13"/>
      <c r="AS672" s="14"/>
    </row>
    <row r="673" spans="1:45" s="16" customFormat="1" ht="30.95" hidden="1" customHeight="1" x14ac:dyDescent="0.2">
      <c r="A673" s="35"/>
      <c r="B673" s="36"/>
      <c r="C673" s="43"/>
      <c r="D673" s="29"/>
      <c r="E673" s="29"/>
      <c r="F673" s="255"/>
      <c r="G673" s="256"/>
      <c r="H673" s="256"/>
      <c r="I673" s="200"/>
      <c r="J673" s="203"/>
      <c r="K673" s="200"/>
      <c r="L673" s="200"/>
      <c r="M673" s="37"/>
      <c r="N673" s="37"/>
      <c r="O673" s="153"/>
      <c r="P673" s="45"/>
      <c r="Q673" s="54"/>
      <c r="R673" s="257"/>
      <c r="S673" s="258"/>
      <c r="T673" s="258"/>
      <c r="U673" s="38"/>
      <c r="V673" s="259"/>
      <c r="W673" s="256"/>
      <c r="X673" s="256"/>
      <c r="Y673" s="256"/>
      <c r="Z673" s="256"/>
      <c r="AA673" s="54"/>
      <c r="AB673" s="200"/>
      <c r="AC673" s="31"/>
      <c r="AD673" s="184"/>
      <c r="AE673" s="51"/>
      <c r="AF673" s="52"/>
      <c r="AG673" s="41"/>
      <c r="AH673" s="45"/>
      <c r="AI673" s="28"/>
      <c r="AJ673" s="28"/>
      <c r="AK673" s="28"/>
      <c r="AL673" s="28"/>
      <c r="AM673" s="12"/>
      <c r="AN673" s="12"/>
      <c r="AO673" s="12"/>
      <c r="AP673" s="12"/>
      <c r="AQ673" s="12"/>
      <c r="AR673" s="13"/>
      <c r="AS673" s="14"/>
    </row>
    <row r="674" spans="1:45" s="16" customFormat="1" ht="30.95" hidden="1" customHeight="1" x14ac:dyDescent="0.2">
      <c r="A674" s="35"/>
      <c r="B674" s="36"/>
      <c r="C674" s="43"/>
      <c r="D674" s="29">
        <v>3712113</v>
      </c>
      <c r="E674" s="29">
        <v>4140958</v>
      </c>
      <c r="F674" s="255" t="str">
        <f>IF(D674="","",VLOOKUP(D674,契約台帳!$A$3:$K$4986,6,FALSE)&amp;VLOOKUP(D674,契約台帳!$A$3:$K$4986,7,FALSE)&amp;VLOOKUP(D674,契約台帳!$A$3:$K$4986,8,FALSE)&amp;VLOOKUP(D674,契約台帳!$A$3:$K$4986,9,FALSE)&amp;VLOOKUP(D674,契約台帳!$A$3:$K$4986,11,FALSE))</f>
        <v>3SNMCLBHLGTV</v>
      </c>
      <c r="G674" s="256" t="str">
        <f>IF(D674="","",VLOOKUP(F674,製品マスタ!$G$5:$H$4999,2,FALSE))</f>
        <v>S</v>
      </c>
      <c r="H674" s="256" t="str">
        <f>IF(D674="","",VLOOKUP(F674,製品マスタ!$G$5:$K$4999,5,FALSE))</f>
        <v>HLGTV</v>
      </c>
      <c r="I674" s="200" t="str">
        <f>IF(D674="","",VLOOKUP(F674,製品マスタ!$G$5:$L$4999,6,FALSE))</f>
        <v>メタルミー　ヘヤライン　銀艶Ｖ</v>
      </c>
      <c r="J674" s="203" t="s">
        <v>447</v>
      </c>
      <c r="K674" s="200">
        <f>IF(D674="","",VLOOKUP(D674,契約台帳!$A$3:$L$4986,12,FALSE))</f>
        <v>50</v>
      </c>
      <c r="L674" s="200" t="str">
        <f>IF(D674="","",INDEX(製品マスタ!$Q$5:$Q$4999,MATCH('S4'!F674&amp;'S4'!K674,製品マスタ!$AO$5:$AO$4999,0)))</f>
        <v>BRIGHT</v>
      </c>
      <c r="M674" s="37">
        <v>1005</v>
      </c>
      <c r="N674" s="37">
        <v>8200</v>
      </c>
      <c r="O674" s="153">
        <v>1</v>
      </c>
      <c r="P674" s="45">
        <v>1</v>
      </c>
      <c r="Q674" s="54"/>
      <c r="R674" s="257">
        <f ca="1">IF(D674="","",IF(OFFSET(D674,-1,0)&lt;&gt;"","",IF(OR(J674="リード付け",J674="巻足し",J674="巻返しリード付け"),M674,VLOOKUP(D674,契約台帳!$A$3:$N$4986,14,FALSE))))</f>
        <v>1005</v>
      </c>
      <c r="S674" s="258">
        <f ca="1">IF(D674="","",IF(OFFSET(D674,-1,0)&lt;&gt;"","",IF(OR(J674="リード付け",J674="巻足し",J674="巻返しリード付け"),M674,VLOOKUP(D674,契約台帳!$A$3:$O$4986,15,FALSE))))</f>
        <v>1000</v>
      </c>
      <c r="T674" s="258">
        <f ca="1">IF(D674="","",IF(J674="リード付け",N674,IF(J674="巻返しリード付け",N674,IF(J674="巻足し",N674*P674+OFFSET(N674,1,0)*OFFSET(P674,1,0),VLOOKUP(D674,契約台帳!$A$3:$P$4986,16,FALSE)))))</f>
        <v>4000</v>
      </c>
      <c r="U674" s="38">
        <v>2</v>
      </c>
      <c r="V674" s="259" t="str">
        <f ca="1">IF(D674="","",IF(OFFSET(D674,-2,0)=D674,"",VLOOKUP(D674,契約台帳!$A$3:$R$4986,18,FALSE)))</f>
        <v/>
      </c>
      <c r="W674" s="256" t="str">
        <f ca="1">IF(D674="","",IF(T674="","",IF(OR(J674="巻足し",J674="巻返しリード付け"),"",IF(J674="巻返し",VLOOKUP(F674&amp;K674&amp;M674,製品マスタ!$M$5:$AD$4999,18,FALSE),IF(OR(J674="リード付け",J674="巻返しリード付け"),"原反コア",IF(J674="スリット",VLOOKUP(F674&amp;K674&amp;R674,製品マスタ!$N$5:$AD$4999,17,FALSE),""))))))</f>
        <v>6ｲﾝﾁSｺｱ</v>
      </c>
      <c r="X674" s="256">
        <f ca="1">IF(D674="","",IF(T674="","",IF(J674="巻足し","",IF(J674="巻返し",VLOOKUP(F674&amp;K674&amp;M674,製品マスタ!$M$5:$AE$4999,19,FALSE),IF(OR(J674="リード付け",J674="巻返しリード付け"),"",IF(J674="スリット",VLOOKUP(F674&amp;K674&amp;R674,製品マスタ!$N$5:$AE$4999,18,FALSE),""))))))</f>
        <v>1015</v>
      </c>
      <c r="Y674" s="256">
        <f ca="1">IF(D674="","",IF(T674="","",VLOOKUP(D674,契約台帳!$A$3:$Q$4986,17,FALSE)))</f>
        <v>2</v>
      </c>
      <c r="Z674" s="256" t="str">
        <f ca="1">IF(D674="","",IF(T674="","",VLOOKUP(D674,契約台帳!$A$3:$E$4986,5,FALSE)))</f>
        <v>リンテック㈱</v>
      </c>
      <c r="AA674" s="54"/>
      <c r="AB674" s="200">
        <f>IFERROR((VLOOKUP(F674&amp;K674&amp;M674,製品マスタ!$M$5:$AM$4999,27,FALSE)),"")</f>
        <v>0</v>
      </c>
      <c r="AC674" s="31"/>
      <c r="AD674" s="184"/>
      <c r="AE674" s="51"/>
      <c r="AF674" s="52"/>
      <c r="AG674" s="41"/>
      <c r="AH674" s="45"/>
      <c r="AI674" s="28"/>
      <c r="AJ674" s="28"/>
      <c r="AK674" s="28"/>
      <c r="AL674" s="28"/>
      <c r="AM674" s="12"/>
      <c r="AN674" s="12"/>
      <c r="AO674" s="12"/>
      <c r="AP674" s="12"/>
      <c r="AQ674" s="12"/>
      <c r="AR674" s="13"/>
      <c r="AS674" s="14"/>
    </row>
    <row r="675" spans="1:45" s="16" customFormat="1" ht="30.95" hidden="1" customHeight="1" x14ac:dyDescent="0.2">
      <c r="A675" s="35"/>
      <c r="B675" s="36"/>
      <c r="C675" s="43"/>
      <c r="D675" s="29"/>
      <c r="E675" s="29"/>
      <c r="F675" s="255"/>
      <c r="G675" s="256"/>
      <c r="H675" s="256"/>
      <c r="I675" s="200"/>
      <c r="J675" s="203"/>
      <c r="K675" s="200"/>
      <c r="L675" s="200"/>
      <c r="M675" s="37"/>
      <c r="N675" s="37"/>
      <c r="O675" s="153"/>
      <c r="P675" s="45"/>
      <c r="Q675" s="54"/>
      <c r="R675" s="257"/>
      <c r="S675" s="258"/>
      <c r="T675" s="258"/>
      <c r="U675" s="38"/>
      <c r="V675" s="259"/>
      <c r="W675" s="256"/>
      <c r="X675" s="256"/>
      <c r="Y675" s="256"/>
      <c r="Z675" s="256"/>
      <c r="AA675" s="54"/>
      <c r="AB675" s="200"/>
      <c r="AC675" s="31"/>
      <c r="AD675" s="184"/>
      <c r="AE675" s="51"/>
      <c r="AF675" s="52"/>
      <c r="AG675" s="41"/>
      <c r="AH675" s="45"/>
      <c r="AI675" s="28"/>
      <c r="AJ675" s="28"/>
      <c r="AK675" s="28"/>
      <c r="AL675" s="28"/>
      <c r="AM675" s="12"/>
      <c r="AN675" s="12"/>
      <c r="AO675" s="12"/>
      <c r="AP675" s="12"/>
      <c r="AQ675" s="12"/>
      <c r="AR675" s="13"/>
      <c r="AS675" s="14"/>
    </row>
    <row r="676" spans="1:45" s="16" customFormat="1" ht="30.95" hidden="1" customHeight="1" x14ac:dyDescent="0.2">
      <c r="A676" s="35" t="s">
        <v>1235</v>
      </c>
      <c r="B676" s="36" t="s">
        <v>1236</v>
      </c>
      <c r="C676" s="43"/>
      <c r="D676" s="29"/>
      <c r="E676" s="29"/>
      <c r="F676" s="255"/>
      <c r="G676" s="256"/>
      <c r="H676" s="256"/>
      <c r="I676" s="200"/>
      <c r="J676" s="203" t="s">
        <v>448</v>
      </c>
      <c r="K676" s="200"/>
      <c r="L676" s="200"/>
      <c r="M676" s="37"/>
      <c r="N676" s="37"/>
      <c r="O676" s="153"/>
      <c r="P676" s="45"/>
      <c r="Q676" s="54"/>
      <c r="R676" s="257"/>
      <c r="S676" s="258"/>
      <c r="T676" s="258"/>
      <c r="U676" s="38"/>
      <c r="V676" s="259"/>
      <c r="W676" s="256"/>
      <c r="X676" s="256"/>
      <c r="Y676" s="256"/>
      <c r="Z676" s="256"/>
      <c r="AA676" s="54"/>
      <c r="AB676" s="200"/>
      <c r="AC676" s="31"/>
      <c r="AD676" s="184"/>
      <c r="AE676" s="51"/>
      <c r="AF676" s="52"/>
      <c r="AG676" s="41"/>
      <c r="AH676" s="45"/>
      <c r="AI676" s="28"/>
      <c r="AJ676" s="28"/>
      <c r="AK676" s="28"/>
      <c r="AL676" s="28"/>
      <c r="AM676" s="12"/>
      <c r="AN676" s="12"/>
      <c r="AO676" s="12"/>
      <c r="AP676" s="12"/>
      <c r="AQ676" s="12"/>
      <c r="AR676" s="13"/>
      <c r="AS676" s="14"/>
    </row>
    <row r="677" spans="1:45" s="16" customFormat="1" ht="30.95" hidden="1" customHeight="1" x14ac:dyDescent="0.2">
      <c r="A677" s="35"/>
      <c r="B677" s="36"/>
      <c r="C677" s="43"/>
      <c r="D677" s="29"/>
      <c r="E677" s="29"/>
      <c r="F677" s="255"/>
      <c r="G677" s="256"/>
      <c r="H677" s="256"/>
      <c r="I677" s="200"/>
      <c r="J677" s="203"/>
      <c r="K677" s="200"/>
      <c r="L677" s="200"/>
      <c r="M677" s="37"/>
      <c r="N677" s="37"/>
      <c r="O677" s="153"/>
      <c r="P677" s="45"/>
      <c r="Q677" s="54"/>
      <c r="R677" s="257"/>
      <c r="S677" s="258"/>
      <c r="T677" s="258"/>
      <c r="U677" s="38"/>
      <c r="V677" s="259"/>
      <c r="W677" s="256"/>
      <c r="X677" s="256"/>
      <c r="Y677" s="256"/>
      <c r="Z677" s="256"/>
      <c r="AA677" s="54"/>
      <c r="AB677" s="200"/>
      <c r="AC677" s="31"/>
      <c r="AD677" s="184"/>
      <c r="AE677" s="51"/>
      <c r="AF677" s="52"/>
      <c r="AG677" s="41"/>
      <c r="AH677" s="45"/>
      <c r="AI677" s="28"/>
      <c r="AJ677" s="28"/>
      <c r="AK677" s="28"/>
      <c r="AL677" s="28"/>
      <c r="AM677" s="12"/>
      <c r="AN677" s="12"/>
      <c r="AO677" s="12"/>
      <c r="AP677" s="12"/>
      <c r="AQ677" s="12"/>
      <c r="AR677" s="13"/>
      <c r="AS677" s="14"/>
    </row>
    <row r="678" spans="1:45" s="16" customFormat="1" ht="30.95" hidden="1" customHeight="1" x14ac:dyDescent="0.2">
      <c r="A678" s="35" t="s">
        <v>1234</v>
      </c>
      <c r="B678" s="36" t="s">
        <v>1237</v>
      </c>
      <c r="C678" s="43"/>
      <c r="D678" s="29"/>
      <c r="E678" s="29"/>
      <c r="F678" s="255"/>
      <c r="G678" s="256"/>
      <c r="H678" s="256"/>
      <c r="I678" s="200"/>
      <c r="J678" s="203" t="s">
        <v>448</v>
      </c>
      <c r="K678" s="200"/>
      <c r="L678" s="200"/>
      <c r="M678" s="37"/>
      <c r="N678" s="37"/>
      <c r="O678" s="153"/>
      <c r="P678" s="45"/>
      <c r="Q678" s="54"/>
      <c r="R678" s="257"/>
      <c r="S678" s="258"/>
      <c r="T678" s="258"/>
      <c r="U678" s="38"/>
      <c r="V678" s="259"/>
      <c r="W678" s="256"/>
      <c r="X678" s="256"/>
      <c r="Y678" s="256"/>
      <c r="Z678" s="256"/>
      <c r="AA678" s="54"/>
      <c r="AB678" s="200"/>
      <c r="AC678" s="31"/>
      <c r="AD678" s="184"/>
      <c r="AE678" s="51"/>
      <c r="AF678" s="52"/>
      <c r="AG678" s="41"/>
      <c r="AH678" s="45"/>
      <c r="AI678" s="28"/>
      <c r="AJ678" s="28"/>
      <c r="AK678" s="28"/>
      <c r="AL678" s="28"/>
      <c r="AM678" s="12"/>
      <c r="AN678" s="12"/>
      <c r="AO678" s="12"/>
      <c r="AP678" s="12"/>
      <c r="AQ678" s="12"/>
      <c r="AR678" s="13"/>
      <c r="AS678" s="14"/>
    </row>
    <row r="679" spans="1:45" s="16" customFormat="1" ht="30.95" hidden="1" customHeight="1" x14ac:dyDescent="0.2">
      <c r="A679" s="35"/>
      <c r="B679" s="36"/>
      <c r="C679" s="43"/>
      <c r="D679" s="29"/>
      <c r="E679" s="29"/>
      <c r="F679" s="255"/>
      <c r="G679" s="256"/>
      <c r="H679" s="256"/>
      <c r="I679" s="200"/>
      <c r="J679" s="203"/>
      <c r="K679" s="200"/>
      <c r="L679" s="200"/>
      <c r="M679" s="37"/>
      <c r="N679" s="37"/>
      <c r="O679" s="153"/>
      <c r="P679" s="45"/>
      <c r="Q679" s="54"/>
      <c r="R679" s="257"/>
      <c r="S679" s="258"/>
      <c r="T679" s="258"/>
      <c r="U679" s="38"/>
      <c r="V679" s="259"/>
      <c r="W679" s="256"/>
      <c r="X679" s="256"/>
      <c r="Y679" s="256"/>
      <c r="Z679" s="256"/>
      <c r="AA679" s="54"/>
      <c r="AB679" s="200"/>
      <c r="AC679" s="31"/>
      <c r="AD679" s="184"/>
      <c r="AE679" s="51"/>
      <c r="AF679" s="52"/>
      <c r="AG679" s="41"/>
      <c r="AH679" s="45"/>
      <c r="AI679" s="28"/>
      <c r="AJ679" s="28"/>
      <c r="AK679" s="28"/>
      <c r="AL679" s="28"/>
      <c r="AM679" s="12"/>
      <c r="AN679" s="12"/>
      <c r="AO679" s="12"/>
      <c r="AP679" s="12"/>
      <c r="AQ679" s="12"/>
      <c r="AR679" s="13"/>
      <c r="AS679" s="14"/>
    </row>
    <row r="680" spans="1:45" s="16" customFormat="1" ht="30.95" hidden="1" customHeight="1" x14ac:dyDescent="0.2">
      <c r="A680" s="35" t="s">
        <v>1223</v>
      </c>
      <c r="B680" s="36" t="s">
        <v>462</v>
      </c>
      <c r="C680" s="43"/>
      <c r="D680" s="29">
        <v>3711152</v>
      </c>
      <c r="E680" s="29">
        <v>4140945</v>
      </c>
      <c r="F680" s="255" t="str">
        <f>IF(D680="","",VLOOKUP(D680,契約台帳!$A$3:$K$4986,6,FALSE)&amp;VLOOKUP(D680,契約台帳!$A$3:$K$4986,7,FALSE)&amp;VLOOKUP(D680,契約台帳!$A$3:$K$4986,8,FALSE)&amp;VLOOKUP(D680,契約台帳!$A$3:$K$4986,9,FALSE)&amp;VLOOKUP(D680,契約台帳!$A$3:$K$4986,11,FALSE))</f>
        <v>3UNMCLBHLGTV</v>
      </c>
      <c r="G680" s="256" t="str">
        <f>IF(D680="","",VLOOKUP(F680,製品マスタ!$G$5:$H$4999,2,FALSE))</f>
        <v>U</v>
      </c>
      <c r="H680" s="256" t="str">
        <f>IF(D680="","",VLOOKUP(F680,製品マスタ!$G$5:$K$4999,5,FALSE))</f>
        <v>HLGTV</v>
      </c>
      <c r="I680" s="200" t="str">
        <f>IF(D680="","",VLOOKUP(F680,製品マスタ!$G$5:$L$4999,6,FALSE))</f>
        <v>メタルミー　ヘヤライン　銀艶Ｖ</v>
      </c>
      <c r="J680" s="203" t="s">
        <v>447</v>
      </c>
      <c r="K680" s="200">
        <f>IF(D680="","",VLOOKUP(D680,契約台帳!$A$3:$L$4986,12,FALSE))</f>
        <v>50</v>
      </c>
      <c r="L680" s="200" t="str">
        <f>IF(D680="","",INDEX(製品マスタ!$Q$5:$Q$4999,MATCH('S4'!F680&amp;'S4'!K680,製品マスタ!$AO$5:$AO$4999,0)))</f>
        <v>BRIGHT</v>
      </c>
      <c r="M680" s="37">
        <v>1005</v>
      </c>
      <c r="N680" s="37">
        <v>12300</v>
      </c>
      <c r="O680" s="153">
        <v>1</v>
      </c>
      <c r="P680" s="45">
        <v>1</v>
      </c>
      <c r="Q680" s="54"/>
      <c r="R680" s="257">
        <f ca="1">IF(D680="","",IF(OFFSET(D680,-1,0)&lt;&gt;"","",IF(OR(J680="リード付け",J680="巻足し",J680="巻返しリード付け"),M680,VLOOKUP(D680,契約台帳!$A$3:$N$4986,14,FALSE))))</f>
        <v>1005</v>
      </c>
      <c r="S680" s="258">
        <f ca="1">IF(D680="","",IF(OFFSET(D680,-1,0)&lt;&gt;"","",IF(OR(J680="リード付け",J680="巻足し",J680="巻返しリード付け"),M680,VLOOKUP(D680,契約台帳!$A$3:$O$4986,15,FALSE))))</f>
        <v>1000</v>
      </c>
      <c r="T680" s="258">
        <f ca="1">IF(D680="","",IF(J680="リード付け",N680,IF(J680="巻返しリード付け",N680,IF(J680="巻足し",N680*P680+OFFSET(N680,1,0)*OFFSET(P680,1,0),VLOOKUP(D680,契約台帳!$A$3:$P$4986,16,FALSE)))))</f>
        <v>4000</v>
      </c>
      <c r="U680" s="38">
        <v>3</v>
      </c>
      <c r="V680" s="259">
        <f ca="1">IF(D680="","",IF(OFFSET(D680,-2,0)=D680,"",VLOOKUP(D680,契約台帳!$A$3:$R$4986,18,FALSE)))</f>
        <v>5</v>
      </c>
      <c r="W680" s="256" t="str">
        <f ca="1">IF(D680="","",IF(T680="","",IF(OR(J680="巻足し",J680="巻返しリード付け"),"",IF(J680="巻返し",VLOOKUP(F680&amp;K680&amp;M680,製品マスタ!$M$5:$AD$4999,18,FALSE),IF(OR(J680="リード付け",J680="巻返しリード付け"),"原反コア",IF(J680="スリット",VLOOKUP(F680&amp;K680&amp;R680,製品マスタ!$N$5:$AD$4999,17,FALSE),""))))))</f>
        <v>6ｲﾝﾁSｺｱ</v>
      </c>
      <c r="X680" s="256">
        <f ca="1">IF(D680="","",IF(T680="","",IF(J680="巻足し","",IF(J680="巻返し",VLOOKUP(F680&amp;K680&amp;M680,製品マスタ!$M$5:$AE$4999,19,FALSE),IF(OR(J680="リード付け",J680="巻返しリード付け"),"",IF(J680="スリット",VLOOKUP(F680&amp;K680&amp;R680,製品マスタ!$N$5:$AE$4999,18,FALSE),""))))))</f>
        <v>1015</v>
      </c>
      <c r="Y680" s="256">
        <f ca="1">IF(D680="","",IF(T680="","",VLOOKUP(D680,契約台帳!$A$3:$Q$4986,17,FALSE)))</f>
        <v>2</v>
      </c>
      <c r="Z680" s="256" t="str">
        <f ca="1">IF(D680="","",IF(T680="","",VLOOKUP(D680,契約台帳!$A$3:$E$4986,5,FALSE)))</f>
        <v>リンテック㈱</v>
      </c>
      <c r="AA680" s="54" t="s">
        <v>1255</v>
      </c>
      <c r="AB680" s="200" t="s">
        <v>774</v>
      </c>
      <c r="AC680" s="31"/>
      <c r="AD680" s="184"/>
      <c r="AE680" s="51"/>
      <c r="AF680" s="52"/>
      <c r="AG680" s="41"/>
      <c r="AH680" s="45"/>
      <c r="AI680" s="28"/>
      <c r="AJ680" s="28"/>
      <c r="AK680" s="28"/>
      <c r="AL680" s="28"/>
      <c r="AM680" s="12"/>
      <c r="AN680" s="12"/>
      <c r="AO680" s="12"/>
      <c r="AP680" s="12"/>
      <c r="AQ680" s="12"/>
      <c r="AR680" s="13"/>
      <c r="AS680" s="14"/>
    </row>
    <row r="681" spans="1:45" s="16" customFormat="1" ht="30.95" hidden="1" customHeight="1" x14ac:dyDescent="0.2">
      <c r="A681" s="35"/>
      <c r="B681" s="36"/>
      <c r="C681" s="43"/>
      <c r="D681" s="29"/>
      <c r="E681" s="29"/>
      <c r="F681" s="255"/>
      <c r="G681" s="256"/>
      <c r="H681" s="256"/>
      <c r="I681" s="200"/>
      <c r="J681" s="203"/>
      <c r="K681" s="200"/>
      <c r="L681" s="200"/>
      <c r="M681" s="37"/>
      <c r="N681" s="37"/>
      <c r="O681" s="153"/>
      <c r="P681" s="45"/>
      <c r="Q681" s="54"/>
      <c r="R681" s="257"/>
      <c r="S681" s="258"/>
      <c r="T681" s="258"/>
      <c r="U681" s="38"/>
      <c r="V681" s="259"/>
      <c r="W681" s="256"/>
      <c r="X681" s="256"/>
      <c r="Y681" s="256"/>
      <c r="Z681" s="256"/>
      <c r="AA681" s="54"/>
      <c r="AB681" s="200"/>
      <c r="AC681" s="31"/>
      <c r="AD681" s="184"/>
      <c r="AE681" s="51"/>
      <c r="AF681" s="52"/>
      <c r="AG681" s="41"/>
      <c r="AH681" s="45"/>
      <c r="AI681" s="28"/>
      <c r="AJ681" s="28"/>
      <c r="AK681" s="28"/>
      <c r="AL681" s="28"/>
      <c r="AM681" s="12"/>
      <c r="AN681" s="12"/>
      <c r="AO681" s="12"/>
      <c r="AP681" s="12"/>
      <c r="AQ681" s="12"/>
      <c r="AR681" s="13"/>
      <c r="AS681" s="14"/>
    </row>
    <row r="682" spans="1:45" s="16" customFormat="1" ht="30.95" hidden="1" customHeight="1" x14ac:dyDescent="0.2">
      <c r="A682" s="35"/>
      <c r="B682" s="36"/>
      <c r="C682" s="43"/>
      <c r="D682" s="29">
        <v>3711152</v>
      </c>
      <c r="E682" s="29">
        <v>4140945</v>
      </c>
      <c r="F682" s="255" t="str">
        <f>IF(D682="","",VLOOKUP(D682,契約台帳!$A$3:$K$4986,6,FALSE)&amp;VLOOKUP(D682,契約台帳!$A$3:$K$4986,7,FALSE)&amp;VLOOKUP(D682,契約台帳!$A$3:$K$4986,8,FALSE)&amp;VLOOKUP(D682,契約台帳!$A$3:$K$4986,9,FALSE)&amp;VLOOKUP(D682,契約台帳!$A$3:$K$4986,11,FALSE))</f>
        <v>3UNMCLBHLGTV</v>
      </c>
      <c r="G682" s="256" t="str">
        <f>IF(D682="","",VLOOKUP(F682,製品マスタ!$G$5:$H$4999,2,FALSE))</f>
        <v>U</v>
      </c>
      <c r="H682" s="256" t="str">
        <f>IF(D682="","",VLOOKUP(F682,製品マスタ!$G$5:$K$4999,5,FALSE))</f>
        <v>HLGTV</v>
      </c>
      <c r="I682" s="200" t="str">
        <f>IF(D682="","",VLOOKUP(F682,製品マスタ!$G$5:$L$4999,6,FALSE))</f>
        <v>メタルミー　ヘヤライン　銀艶Ｖ</v>
      </c>
      <c r="J682" s="203" t="s">
        <v>447</v>
      </c>
      <c r="K682" s="200">
        <f>IF(D682="","",VLOOKUP(D682,契約台帳!$A$3:$L$4986,12,FALSE))</f>
        <v>50</v>
      </c>
      <c r="L682" s="200" t="str">
        <f>IF(D682="","",INDEX(製品マスタ!$Q$5:$Q$4999,MATCH('S4'!F682&amp;'S4'!K682,製品マスタ!$AO$5:$AO$4999,0)))</f>
        <v>BRIGHT</v>
      </c>
      <c r="M682" s="37">
        <v>1005</v>
      </c>
      <c r="N682" s="37">
        <v>8200</v>
      </c>
      <c r="O682" s="153">
        <v>1</v>
      </c>
      <c r="P682" s="45">
        <v>1</v>
      </c>
      <c r="Q682" s="54"/>
      <c r="R682" s="257">
        <f ca="1">IF(D682="","",IF(OFFSET(D682,-1,0)&lt;&gt;"","",IF(OR(J682="リード付け",J682="巻足し",J682="巻返しリード付け"),M682,VLOOKUP(D682,契約台帳!$A$3:$N$4986,14,FALSE))))</f>
        <v>1005</v>
      </c>
      <c r="S682" s="258">
        <f ca="1">IF(D682="","",IF(OFFSET(D682,-1,0)&lt;&gt;"","",IF(OR(J682="リード付け",J682="巻足し",J682="巻返しリード付け"),M682,VLOOKUP(D682,契約台帳!$A$3:$O$4986,15,FALSE))))</f>
        <v>1000</v>
      </c>
      <c r="T682" s="258">
        <f ca="1">IF(D682="","",IF(J682="リード付け",N682,IF(J682="巻返しリード付け",N682,IF(J682="巻足し",N682*P682+OFFSET(N682,1,0)*OFFSET(P682,1,0),VLOOKUP(D682,契約台帳!$A$3:$P$4986,16,FALSE)))))</f>
        <v>4000</v>
      </c>
      <c r="U682" s="38">
        <v>2</v>
      </c>
      <c r="V682" s="259" t="str">
        <f ca="1">IF(D682="","",IF(OFFSET(D682,-2,0)=D682,"",VLOOKUP(D682,契約台帳!$A$3:$R$4986,18,FALSE)))</f>
        <v/>
      </c>
      <c r="W682" s="256" t="str">
        <f ca="1">IF(D682="","",IF(T682="","",IF(OR(J682="巻足し",J682="巻返しリード付け"),"",IF(J682="巻返し",VLOOKUP(F682&amp;K682&amp;M682,製品マスタ!$M$5:$AD$4999,18,FALSE),IF(OR(J682="リード付け",J682="巻返しリード付け"),"原反コア",IF(J682="スリット",VLOOKUP(F682&amp;K682&amp;R682,製品マスタ!$N$5:$AD$4999,17,FALSE),""))))))</f>
        <v>6ｲﾝﾁSｺｱ</v>
      </c>
      <c r="X682" s="256">
        <f ca="1">IF(D682="","",IF(T682="","",IF(J682="巻足し","",IF(J682="巻返し",VLOOKUP(F682&amp;K682&amp;M682,製品マスタ!$M$5:$AE$4999,19,FALSE),IF(OR(J682="リード付け",J682="巻返しリード付け"),"",IF(J682="スリット",VLOOKUP(F682&amp;K682&amp;R682,製品マスタ!$N$5:$AE$4999,18,FALSE),""))))))</f>
        <v>1015</v>
      </c>
      <c r="Y682" s="256">
        <f ca="1">IF(D682="","",IF(T682="","",VLOOKUP(D682,契約台帳!$A$3:$Q$4986,17,FALSE)))</f>
        <v>2</v>
      </c>
      <c r="Z682" s="256" t="str">
        <f ca="1">IF(D682="","",IF(T682="","",VLOOKUP(D682,契約台帳!$A$3:$E$4986,5,FALSE)))</f>
        <v>リンテック㈱</v>
      </c>
      <c r="AA682" s="54" t="s">
        <v>1254</v>
      </c>
      <c r="AB682" s="200" t="s">
        <v>774</v>
      </c>
      <c r="AC682" s="31"/>
      <c r="AD682" s="184"/>
      <c r="AE682" s="51"/>
      <c r="AF682" s="52"/>
      <c r="AG682" s="41"/>
      <c r="AH682" s="45"/>
      <c r="AI682" s="28"/>
      <c r="AJ682" s="28"/>
      <c r="AK682" s="28"/>
      <c r="AL682" s="28"/>
      <c r="AM682" s="12"/>
      <c r="AN682" s="12"/>
      <c r="AO682" s="12"/>
      <c r="AP682" s="12"/>
      <c r="AQ682" s="12"/>
      <c r="AR682" s="13"/>
      <c r="AS682" s="14"/>
    </row>
    <row r="683" spans="1:45" s="16" customFormat="1" ht="30.95" hidden="1" customHeight="1" x14ac:dyDescent="0.2">
      <c r="A683" s="35"/>
      <c r="B683" s="36"/>
      <c r="C683" s="43"/>
      <c r="D683" s="29"/>
      <c r="E683" s="29"/>
      <c r="F683" s="255"/>
      <c r="G683" s="256"/>
      <c r="H683" s="256"/>
      <c r="I683" s="200"/>
      <c r="J683" s="203"/>
      <c r="K683" s="200"/>
      <c r="L683" s="200"/>
      <c r="M683" s="37"/>
      <c r="N683" s="37"/>
      <c r="O683" s="153"/>
      <c r="P683" s="45"/>
      <c r="Q683" s="54"/>
      <c r="R683" s="257"/>
      <c r="S683" s="258"/>
      <c r="T683" s="258"/>
      <c r="U683" s="38"/>
      <c r="V683" s="259"/>
      <c r="W683" s="256"/>
      <c r="X683" s="256"/>
      <c r="Y683" s="256"/>
      <c r="Z683" s="256"/>
      <c r="AA683" s="54"/>
      <c r="AB683" s="200"/>
      <c r="AC683" s="31"/>
      <c r="AD683" s="184"/>
      <c r="AE683" s="51"/>
      <c r="AF683" s="52"/>
      <c r="AG683" s="41"/>
      <c r="AH683" s="45"/>
      <c r="AI683" s="28"/>
      <c r="AJ683" s="28"/>
      <c r="AK683" s="28"/>
      <c r="AL683" s="28"/>
      <c r="AM683" s="12"/>
      <c r="AN683" s="12"/>
      <c r="AO683" s="12"/>
      <c r="AP683" s="12"/>
      <c r="AQ683" s="12"/>
      <c r="AR683" s="13"/>
      <c r="AS683" s="14"/>
    </row>
    <row r="684" spans="1:45" s="16" customFormat="1" ht="30.95" hidden="1" customHeight="1" x14ac:dyDescent="0.2">
      <c r="A684" s="35"/>
      <c r="B684" s="36"/>
      <c r="C684" s="43"/>
      <c r="D684" s="29">
        <v>3711153</v>
      </c>
      <c r="E684" s="29">
        <v>4140944</v>
      </c>
      <c r="F684" s="255" t="str">
        <f>IF(D684="","",VLOOKUP(D684,契約台帳!$A$3:$K$4986,6,FALSE)&amp;VLOOKUP(D684,契約台帳!$A$3:$K$4986,7,FALSE)&amp;VLOOKUP(D684,契約台帳!$A$3:$K$4986,8,FALSE)&amp;VLOOKUP(D684,契約台帳!$A$3:$K$4986,9,FALSE)&amp;VLOOKUP(D684,契約台帳!$A$3:$K$4986,11,FALSE))</f>
        <v>3UNMCLBHLGTV</v>
      </c>
      <c r="G684" s="256" t="str">
        <f>IF(D684="","",VLOOKUP(F684,製品マスタ!$G$5:$H$4999,2,FALSE))</f>
        <v>U</v>
      </c>
      <c r="H684" s="256" t="str">
        <f>IF(D684="","",VLOOKUP(F684,製品マスタ!$G$5:$K$4999,5,FALSE))</f>
        <v>HLGTV</v>
      </c>
      <c r="I684" s="200" t="str">
        <f>IF(D684="","",VLOOKUP(F684,製品マスタ!$G$5:$L$4999,6,FALSE))</f>
        <v>メタルミー　ヘヤライン　銀艶Ｖ</v>
      </c>
      <c r="J684" s="203" t="s">
        <v>447</v>
      </c>
      <c r="K684" s="200">
        <f>IF(D684="","",VLOOKUP(D684,契約台帳!$A$3:$L$4986,12,FALSE))</f>
        <v>25</v>
      </c>
      <c r="L684" s="200" t="str">
        <f>IF(D684="","",INDEX(製品マスタ!$Q$5:$Q$4999,MATCH('S4'!F684&amp;'S4'!K684,製品マスタ!$AO$5:$AO$4999,0)))</f>
        <v>BRIGHT</v>
      </c>
      <c r="M684" s="37">
        <v>1005</v>
      </c>
      <c r="N684" s="37">
        <v>8200</v>
      </c>
      <c r="O684" s="153">
        <v>1</v>
      </c>
      <c r="P684" s="45">
        <v>1</v>
      </c>
      <c r="Q684" s="54"/>
      <c r="R684" s="257">
        <f ca="1">IF(D684="","",IF(OFFSET(D684,-1,0)&lt;&gt;"","",IF(OR(J684="リード付け",J684="巻足し",J684="巻返しリード付け"),M684,VLOOKUP(D684,契約台帳!$A$3:$N$4986,14,FALSE))))</f>
        <v>1005</v>
      </c>
      <c r="S684" s="258">
        <f ca="1">IF(D684="","",IF(OFFSET(D684,-1,0)&lt;&gt;"","",IF(OR(J684="リード付け",J684="巻足し",J684="巻返しリード付け"),M684,VLOOKUP(D684,契約台帳!$A$3:$O$4986,15,FALSE))))</f>
        <v>1000</v>
      </c>
      <c r="T684" s="258">
        <f ca="1">IF(D684="","",IF(J684="リード付け",N684,IF(J684="巻返しリード付け",N684,IF(J684="巻足し",N684*P684+OFFSET(N684,1,0)*OFFSET(P684,1,0),VLOOKUP(D684,契約台帳!$A$3:$P$4986,16,FALSE)))))</f>
        <v>2000</v>
      </c>
      <c r="U684" s="38">
        <v>4</v>
      </c>
      <c r="V684" s="259">
        <f ca="1">IF(D684="","",IF(OFFSET(D684,-2,0)=D684,"",VLOOKUP(D684,契約台帳!$A$3:$R$4986,18,FALSE)))</f>
        <v>4</v>
      </c>
      <c r="W684" s="256" t="str">
        <f ca="1">IF(D684="","",IF(T684="","",IF(OR(J684="巻足し",J684="巻返しリード付け"),"",IF(J684="巻返し",VLOOKUP(F684&amp;K684&amp;M684,製品マスタ!$M$5:$AD$4999,18,FALSE),IF(OR(J684="リード付け",J684="巻返しリード付け"),"原反コア",IF(J684="スリット",VLOOKUP(F684&amp;K684&amp;R684,製品マスタ!$N$5:$AD$4999,17,FALSE),""))))))</f>
        <v>6ｲﾝﾁSｺｱ</v>
      </c>
      <c r="X684" s="256">
        <f ca="1">IF(D684="","",IF(T684="","",IF(J684="巻足し","",IF(J684="巻返し",VLOOKUP(F684&amp;K684&amp;M684,製品マスタ!$M$5:$AE$4999,19,FALSE),IF(OR(J684="リード付け",J684="巻返しリード付け"),"",IF(J684="スリット",VLOOKUP(F684&amp;K684&amp;R684,製品マスタ!$N$5:$AE$4999,18,FALSE),""))))))</f>
        <v>1015</v>
      </c>
      <c r="Y684" s="256">
        <f ca="1">IF(D684="","",IF(T684="","",VLOOKUP(D684,契約台帳!$A$3:$Q$4986,17,FALSE)))</f>
        <v>2</v>
      </c>
      <c r="Z684" s="256" t="str">
        <f ca="1">IF(D684="","",IF(T684="","",VLOOKUP(D684,契約台帳!$A$3:$E$4986,5,FALSE)))</f>
        <v>リンテック㈱</v>
      </c>
      <c r="AA684" s="54" t="s">
        <v>1254</v>
      </c>
      <c r="AB684" s="200" t="s">
        <v>774</v>
      </c>
      <c r="AC684" s="31"/>
      <c r="AD684" s="184"/>
      <c r="AE684" s="51"/>
      <c r="AF684" s="52"/>
      <c r="AG684" s="41"/>
      <c r="AH684" s="45"/>
      <c r="AI684" s="28"/>
      <c r="AJ684" s="28"/>
      <c r="AK684" s="28"/>
      <c r="AL684" s="28"/>
      <c r="AM684" s="12"/>
      <c r="AN684" s="12"/>
      <c r="AO684" s="12"/>
      <c r="AP684" s="12"/>
      <c r="AQ684" s="12"/>
      <c r="AR684" s="13"/>
      <c r="AS684" s="14"/>
    </row>
    <row r="685" spans="1:45" s="16" customFormat="1" ht="30.95" hidden="1" customHeight="1" x14ac:dyDescent="0.2">
      <c r="A685" s="35"/>
      <c r="B685" s="36"/>
      <c r="C685" s="43"/>
      <c r="D685" s="29"/>
      <c r="E685" s="29"/>
      <c r="F685" s="255"/>
      <c r="G685" s="256"/>
      <c r="H685" s="256"/>
      <c r="I685" s="200"/>
      <c r="J685" s="203"/>
      <c r="K685" s="200"/>
      <c r="L685" s="200"/>
      <c r="M685" s="37"/>
      <c r="N685" s="37"/>
      <c r="O685" s="153"/>
      <c r="P685" s="45"/>
      <c r="Q685" s="54"/>
      <c r="R685" s="257"/>
      <c r="S685" s="258"/>
      <c r="T685" s="258"/>
      <c r="U685" s="38"/>
      <c r="V685" s="259"/>
      <c r="W685" s="256"/>
      <c r="X685" s="256"/>
      <c r="Y685" s="256"/>
      <c r="Z685" s="256"/>
      <c r="AA685" s="54"/>
      <c r="AB685" s="200"/>
      <c r="AC685" s="31"/>
      <c r="AD685" s="184"/>
      <c r="AE685" s="51"/>
      <c r="AF685" s="52"/>
      <c r="AG685" s="41"/>
      <c r="AH685" s="45"/>
      <c r="AI685" s="28"/>
      <c r="AJ685" s="28"/>
      <c r="AK685" s="28"/>
      <c r="AL685" s="28"/>
      <c r="AM685" s="12"/>
      <c r="AN685" s="12"/>
      <c r="AO685" s="12"/>
      <c r="AP685" s="12"/>
      <c r="AQ685" s="12"/>
      <c r="AR685" s="13"/>
      <c r="AS685" s="14"/>
    </row>
    <row r="686" spans="1:45" s="16" customFormat="1" ht="30.95" hidden="1" customHeight="1" x14ac:dyDescent="0.2">
      <c r="A686" s="35"/>
      <c r="B686" s="36"/>
      <c r="C686" s="43"/>
      <c r="D686" s="29">
        <v>3714660</v>
      </c>
      <c r="E686" s="29">
        <v>4140959</v>
      </c>
      <c r="F686" s="255" t="str">
        <f>IF(D686="","",VLOOKUP(D686,契約台帳!$A$3:$K$4986,6,FALSE)&amp;VLOOKUP(D686,契約台帳!$A$3:$K$4986,7,FALSE)&amp;VLOOKUP(D686,契約台帳!$A$3:$K$4986,8,FALSE)&amp;VLOOKUP(D686,契約台帳!$A$3:$K$4986,9,FALSE)&amp;VLOOKUP(D686,契約台帳!$A$3:$K$4986,11,FALSE))</f>
        <v>3UNMCLBHLGTV</v>
      </c>
      <c r="G686" s="256" t="str">
        <f>IF(D686="","",VLOOKUP(F686,製品マスタ!$G$5:$H$4999,2,FALSE))</f>
        <v>U</v>
      </c>
      <c r="H686" s="256" t="str">
        <f>IF(D686="","",VLOOKUP(F686,製品マスタ!$G$5:$K$4999,5,FALSE))</f>
        <v>HLGTV</v>
      </c>
      <c r="I686" s="200" t="str">
        <f>IF(D686="","",VLOOKUP(F686,製品マスタ!$G$5:$L$4999,6,FALSE))</f>
        <v>メタルミー　ヘヤライン　銀艶Ｖ</v>
      </c>
      <c r="J686" s="203" t="s">
        <v>447</v>
      </c>
      <c r="K686" s="200">
        <f>IF(D686="","",VLOOKUP(D686,契約台帳!$A$3:$L$4986,12,FALSE))</f>
        <v>25</v>
      </c>
      <c r="L686" s="200" t="str">
        <f>IF(D686="","",INDEX(製品マスタ!$Q$5:$Q$4999,MATCH('S4'!F686&amp;'S4'!K686,製品マスタ!$AO$5:$AO$4999,0)))</f>
        <v>BRIGHT</v>
      </c>
      <c r="M686" s="37">
        <v>1005</v>
      </c>
      <c r="N686" s="37">
        <v>8200</v>
      </c>
      <c r="O686" s="153">
        <v>1</v>
      </c>
      <c r="P686" s="45">
        <v>1</v>
      </c>
      <c r="Q686" s="54"/>
      <c r="R686" s="257">
        <f ca="1">IF(D686="","",IF(OFFSET(D686,-1,0)&lt;&gt;"","",IF(OR(J686="リード付け",J686="巻足し",J686="巻返しリード付け"),M686,VLOOKUP(D686,契約台帳!$A$3:$N$4986,14,FALSE))))</f>
        <v>1005</v>
      </c>
      <c r="S686" s="258">
        <f ca="1">IF(D686="","",IF(OFFSET(D686,-1,0)&lt;&gt;"","",IF(OR(J686="リード付け",J686="巻足し",J686="巻返しリード付け"),M686,VLOOKUP(D686,契約台帳!$A$3:$O$4986,15,FALSE))))</f>
        <v>1000</v>
      </c>
      <c r="T686" s="258">
        <f ca="1">IF(D686="","",IF(J686="リード付け",N686,IF(J686="巻返しリード付け",N686,IF(J686="巻足し",N686*P686+OFFSET(N686,1,0)*OFFSET(P686,1,0),VLOOKUP(D686,契約台帳!$A$3:$P$4986,16,FALSE)))))</f>
        <v>2000</v>
      </c>
      <c r="U686" s="38">
        <v>1</v>
      </c>
      <c r="V686" s="259">
        <f ca="1">IF(D686="","",IF(OFFSET(D686,-2,0)=D686,"",VLOOKUP(D686,契約台帳!$A$3:$R$4986,18,FALSE)))</f>
        <v>1</v>
      </c>
      <c r="W686" s="256" t="str">
        <f ca="1">IF(D686="","",IF(T686="","",IF(OR(J686="巻足し",J686="巻返しリード付け"),"",IF(J686="巻返し",VLOOKUP(F686&amp;K686&amp;M686,製品マスタ!$M$5:$AD$4999,18,FALSE),IF(OR(J686="リード付け",J686="巻返しリード付け"),"原反コア",IF(J686="スリット",VLOOKUP(F686&amp;K686&amp;R686,製品マスタ!$N$5:$AD$4999,17,FALSE),""))))))</f>
        <v>6ｲﾝﾁSｺｱ</v>
      </c>
      <c r="X686" s="256">
        <f ca="1">IF(D686="","",IF(T686="","",IF(J686="巻足し","",IF(J686="巻返し",VLOOKUP(F686&amp;K686&amp;M686,製品マスタ!$M$5:$AE$4999,19,FALSE),IF(OR(J686="リード付け",J686="巻返しリード付け"),"",IF(J686="スリット",VLOOKUP(F686&amp;K686&amp;R686,製品マスタ!$N$5:$AE$4999,18,FALSE),""))))))</f>
        <v>1015</v>
      </c>
      <c r="Y686" s="256">
        <f ca="1">IF(D686="","",IF(T686="","",VLOOKUP(D686,契約台帳!$A$3:$Q$4986,17,FALSE)))</f>
        <v>2</v>
      </c>
      <c r="Z686" s="256" t="str">
        <f ca="1">IF(D686="","",IF(T686="","",VLOOKUP(D686,契約台帳!$A$3:$E$4986,5,FALSE)))</f>
        <v>リンテック㈱</v>
      </c>
      <c r="AA686" s="54" t="s">
        <v>1254</v>
      </c>
      <c r="AB686" s="200" t="s">
        <v>774</v>
      </c>
      <c r="AC686" s="31"/>
      <c r="AD686" s="184"/>
      <c r="AE686" s="51"/>
      <c r="AF686" s="52"/>
      <c r="AG686" s="41"/>
      <c r="AH686" s="45"/>
      <c r="AI686" s="28"/>
      <c r="AJ686" s="28"/>
      <c r="AK686" s="28"/>
      <c r="AL686" s="28"/>
      <c r="AM686" s="12"/>
      <c r="AN686" s="12"/>
      <c r="AO686" s="12"/>
      <c r="AP686" s="12"/>
      <c r="AQ686" s="12"/>
      <c r="AR686" s="13"/>
      <c r="AS686" s="14"/>
    </row>
    <row r="687" spans="1:45" s="16" customFormat="1" ht="30.95" hidden="1" customHeight="1" x14ac:dyDescent="0.2">
      <c r="A687" s="35"/>
      <c r="B687" s="36"/>
      <c r="C687" s="43"/>
      <c r="D687" s="29"/>
      <c r="E687" s="29"/>
      <c r="F687" s="255"/>
      <c r="G687" s="256"/>
      <c r="H687" s="256"/>
      <c r="I687" s="200"/>
      <c r="J687" s="203"/>
      <c r="K687" s="200"/>
      <c r="L687" s="200"/>
      <c r="M687" s="37"/>
      <c r="N687" s="37"/>
      <c r="O687" s="153"/>
      <c r="P687" s="45"/>
      <c r="Q687" s="54"/>
      <c r="R687" s="257">
        <v>1005</v>
      </c>
      <c r="S687" s="258">
        <v>1000</v>
      </c>
      <c r="T687" s="258">
        <v>6000</v>
      </c>
      <c r="U687" s="38">
        <v>1</v>
      </c>
      <c r="V687" s="259">
        <v>1</v>
      </c>
      <c r="W687" s="256"/>
      <c r="X687" s="256"/>
      <c r="Y687" s="256"/>
      <c r="Z687" s="256"/>
      <c r="AA687" s="54"/>
      <c r="AB687" s="200"/>
      <c r="AC687" s="31"/>
      <c r="AD687" s="184"/>
      <c r="AE687" s="51"/>
      <c r="AF687" s="52"/>
      <c r="AG687" s="41"/>
      <c r="AH687" s="45"/>
      <c r="AI687" s="28"/>
      <c r="AJ687" s="28"/>
      <c r="AK687" s="28"/>
      <c r="AL687" s="28"/>
      <c r="AM687" s="12"/>
      <c r="AN687" s="12"/>
      <c r="AO687" s="12"/>
      <c r="AP687" s="12"/>
      <c r="AQ687" s="12"/>
      <c r="AR687" s="13"/>
      <c r="AS687" s="14"/>
    </row>
    <row r="688" spans="1:45" s="16" customFormat="1" ht="30.95" hidden="1" customHeight="1" x14ac:dyDescent="0.2">
      <c r="A688" s="35"/>
      <c r="B688" s="36"/>
      <c r="C688" s="43"/>
      <c r="D688" s="29"/>
      <c r="E688" s="29"/>
      <c r="F688" s="255"/>
      <c r="G688" s="256"/>
      <c r="H688" s="256"/>
      <c r="I688" s="200"/>
      <c r="J688" s="203"/>
      <c r="K688" s="200"/>
      <c r="L688" s="200"/>
      <c r="M688" s="37"/>
      <c r="N688" s="37"/>
      <c r="O688" s="153"/>
      <c r="P688" s="45"/>
      <c r="Q688" s="54"/>
      <c r="R688" s="257"/>
      <c r="S688" s="258"/>
      <c r="T688" s="258"/>
      <c r="U688" s="38"/>
      <c r="V688" s="259"/>
      <c r="W688" s="256"/>
      <c r="X688" s="256"/>
      <c r="Y688" s="256"/>
      <c r="Z688" s="256"/>
      <c r="AA688" s="54"/>
      <c r="AB688" s="200"/>
      <c r="AC688" s="31"/>
      <c r="AD688" s="184"/>
      <c r="AE688" s="51"/>
      <c r="AF688" s="52"/>
      <c r="AG688" s="41"/>
      <c r="AH688" s="45"/>
      <c r="AI688" s="28"/>
      <c r="AJ688" s="28"/>
      <c r="AK688" s="28"/>
      <c r="AL688" s="28"/>
      <c r="AM688" s="12"/>
      <c r="AN688" s="12"/>
      <c r="AO688" s="12"/>
      <c r="AP688" s="12"/>
      <c r="AQ688" s="12"/>
      <c r="AR688" s="13"/>
      <c r="AS688" s="14"/>
    </row>
    <row r="689" spans="1:45" s="16" customFormat="1" ht="30.95" hidden="1" customHeight="1" x14ac:dyDescent="0.2">
      <c r="A689" s="35"/>
      <c r="B689" s="36"/>
      <c r="C689" s="43"/>
      <c r="D689" s="29">
        <v>3711151</v>
      </c>
      <c r="E689" s="29">
        <v>4140943</v>
      </c>
      <c r="F689" s="255" t="str">
        <f>IF(D689="","",VLOOKUP(D689,契約台帳!$A$3:$K$4986,6,FALSE)&amp;VLOOKUP(D689,契約台帳!$A$3:$K$4986,7,FALSE)&amp;VLOOKUP(D689,契約台帳!$A$3:$K$4986,8,FALSE)&amp;VLOOKUP(D689,契約台帳!$A$3:$K$4986,9,FALSE)&amp;VLOOKUP(D689,契約台帳!$A$3:$K$4986,11,FALSE))</f>
        <v>3UNMCLBHLGKJV</v>
      </c>
      <c r="G689" s="256" t="str">
        <f>IF(D689="","",VLOOKUP(F689,製品マスタ!$G$5:$H$4999,2,FALSE))</f>
        <v>U</v>
      </c>
      <c r="H689" s="256" t="str">
        <f>IF(D689="","",VLOOKUP(F689,製品マスタ!$G$5:$K$4999,5,FALSE))</f>
        <v>HLGKJV</v>
      </c>
      <c r="I689" s="200" t="str">
        <f>IF(D689="","",VLOOKUP(F689,製品マスタ!$G$5:$L$4999,6,FALSE))</f>
        <v>メタルミー　ヘヤライン　銀消Ｖ</v>
      </c>
      <c r="J689" s="203" t="s">
        <v>447</v>
      </c>
      <c r="K689" s="200">
        <f>IF(D689="","",VLOOKUP(D689,契約台帳!$A$3:$L$4986,12,FALSE))</f>
        <v>50</v>
      </c>
      <c r="L689" s="200" t="str">
        <f>IF(D689="","",INDEX(製品マスタ!$Q$5:$Q$4999,MATCH('S4'!F689&amp;'S4'!K689,製品マスタ!$AO$5:$AO$4999,0)))</f>
        <v>HL-MAT</v>
      </c>
      <c r="M689" s="37">
        <v>1005</v>
      </c>
      <c r="N689" s="37">
        <v>8000</v>
      </c>
      <c r="O689" s="153">
        <v>1</v>
      </c>
      <c r="P689" s="45">
        <v>1</v>
      </c>
      <c r="Q689" s="54"/>
      <c r="R689" s="257">
        <f ca="1">IF(D689="","",IF(OFFSET(D689,-1,0)&lt;&gt;"","",IF(OR(J689="リード付け",J689="巻足し",J689="巻返しリード付け"),M689,VLOOKUP(D689,契約台帳!$A$3:$N$4986,14,FALSE))))</f>
        <v>1005</v>
      </c>
      <c r="S689" s="258">
        <f ca="1">IF(D689="","",IF(OFFSET(D689,-1,0)&lt;&gt;"","",IF(OR(J689="リード付け",J689="巻足し",J689="巻返しリード付け"),M689,VLOOKUP(D689,契約台帳!$A$3:$O$4986,15,FALSE))))</f>
        <v>1000</v>
      </c>
      <c r="T689" s="258">
        <f ca="1">IF(D689="","",IF(J689="リード付け",N689,IF(J689="巻返しリード付け",N689,IF(J689="巻足し",N689*P689+OFFSET(N689,1,0)*OFFSET(P689,1,0),VLOOKUP(D689,契約台帳!$A$3:$P$4986,16,FALSE)))))</f>
        <v>2000</v>
      </c>
      <c r="U689" s="38">
        <v>4</v>
      </c>
      <c r="V689" s="259">
        <f ca="1">IF(D689="","",IF(OFFSET(D689,-2,0)=D689,"",VLOOKUP(D689,契約台帳!$A$3:$R$4986,18,FALSE)))</f>
        <v>4</v>
      </c>
      <c r="W689" s="256" t="str">
        <f ca="1">IF(D689="","",IF(T689="","",IF(OR(J689="巻足し",J689="巻返しリード付け"),"",IF(J689="巻返し",VLOOKUP(F689&amp;K689&amp;M689,製品マスタ!$M$5:$AD$4999,18,FALSE),IF(OR(J689="リード付け",J689="巻返しリード付け"),"原反コア",IF(J689="スリット",VLOOKUP(F689&amp;K689&amp;R689,製品マスタ!$N$5:$AD$4999,17,FALSE),""))))))</f>
        <v>6ｲﾝﾁSｺｱ</v>
      </c>
      <c r="X689" s="256">
        <f ca="1">IF(D689="","",IF(T689="","",IF(J689="巻足し","",IF(J689="巻返し",VLOOKUP(F689&amp;K689&amp;M689,製品マスタ!$M$5:$AE$4999,19,FALSE),IF(OR(J689="リード付け",J689="巻返しリード付け"),"",IF(J689="スリット",VLOOKUP(F689&amp;K689&amp;R689,製品マスタ!$N$5:$AE$4999,18,FALSE),""))))))</f>
        <v>1015</v>
      </c>
      <c r="Y689" s="256">
        <f ca="1">IF(D689="","",IF(T689="","",VLOOKUP(D689,契約台帳!$A$3:$Q$4986,17,FALSE)))</f>
        <v>2</v>
      </c>
      <c r="Z689" s="256" t="str">
        <f ca="1">IF(D689="","",IF(T689="","",VLOOKUP(D689,契約台帳!$A$3:$E$4986,5,FALSE)))</f>
        <v>リンテック㈱</v>
      </c>
      <c r="AA689" s="54" t="s">
        <v>1254</v>
      </c>
      <c r="AB689" s="200" t="s">
        <v>774</v>
      </c>
      <c r="AC689" s="31"/>
      <c r="AD689" s="184"/>
      <c r="AE689" s="51"/>
      <c r="AF689" s="52"/>
      <c r="AG689" s="41"/>
      <c r="AH689" s="45"/>
      <c r="AI689" s="28"/>
      <c r="AJ689" s="28"/>
      <c r="AK689" s="28"/>
      <c r="AL689" s="28"/>
      <c r="AM689" s="12"/>
      <c r="AN689" s="12"/>
      <c r="AO689" s="12"/>
      <c r="AP689" s="12"/>
      <c r="AQ689" s="12"/>
      <c r="AR689" s="13"/>
      <c r="AS689" s="14"/>
    </row>
    <row r="690" spans="1:45" s="16" customFormat="1" ht="30.95" hidden="1" customHeight="1" x14ac:dyDescent="0.2">
      <c r="A690" s="35"/>
      <c r="B690" s="36"/>
      <c r="C690" s="43"/>
      <c r="D690" s="29"/>
      <c r="E690" s="29"/>
      <c r="F690" s="255"/>
      <c r="G690" s="256"/>
      <c r="H690" s="256"/>
      <c r="I690" s="200"/>
      <c r="J690" s="203"/>
      <c r="K690" s="200"/>
      <c r="L690" s="200"/>
      <c r="M690" s="37"/>
      <c r="N690" s="37"/>
      <c r="O690" s="153"/>
      <c r="P690" s="45"/>
      <c r="Q690" s="54"/>
      <c r="R690" s="257"/>
      <c r="S690" s="258"/>
      <c r="T690" s="258"/>
      <c r="U690" s="38"/>
      <c r="V690" s="259"/>
      <c r="W690" s="256"/>
      <c r="X690" s="256"/>
      <c r="Y690" s="256"/>
      <c r="Z690" s="256"/>
      <c r="AA690" s="54"/>
      <c r="AB690" s="200"/>
      <c r="AC690" s="31"/>
      <c r="AD690" s="184"/>
      <c r="AE690" s="51"/>
      <c r="AF690" s="52"/>
      <c r="AG690" s="41"/>
      <c r="AH690" s="45"/>
      <c r="AI690" s="28"/>
      <c r="AJ690" s="28"/>
      <c r="AK690" s="28"/>
      <c r="AL690" s="28"/>
      <c r="AM690" s="12"/>
      <c r="AN690" s="12"/>
      <c r="AO690" s="12"/>
      <c r="AP690" s="12"/>
      <c r="AQ690" s="12"/>
      <c r="AR690" s="13"/>
      <c r="AS690" s="14"/>
    </row>
    <row r="691" spans="1:45" s="16" customFormat="1" ht="30.95" hidden="1" customHeight="1" x14ac:dyDescent="0.2">
      <c r="A691" s="35" t="s">
        <v>1239</v>
      </c>
      <c r="B691" s="36" t="s">
        <v>1240</v>
      </c>
      <c r="C691" s="43"/>
      <c r="D691" s="29"/>
      <c r="E691" s="29"/>
      <c r="F691" s="255"/>
      <c r="G691" s="256"/>
      <c r="H691" s="256"/>
      <c r="I691" s="200"/>
      <c r="J691" s="203" t="s">
        <v>1257</v>
      </c>
      <c r="K691" s="200"/>
      <c r="L691" s="200"/>
      <c r="M691" s="37"/>
      <c r="N691" s="37"/>
      <c r="O691" s="153"/>
      <c r="P691" s="45"/>
      <c r="Q691" s="54"/>
      <c r="R691" s="257"/>
      <c r="S691" s="258"/>
      <c r="T691" s="258"/>
      <c r="U691" s="38"/>
      <c r="V691" s="259"/>
      <c r="W691" s="256"/>
      <c r="X691" s="256"/>
      <c r="Y691" s="256"/>
      <c r="Z691" s="256"/>
      <c r="AA691" s="54"/>
      <c r="AB691" s="200"/>
      <c r="AC691" s="31"/>
      <c r="AD691" s="184"/>
      <c r="AE691" s="51"/>
      <c r="AF691" s="52"/>
      <c r="AG691" s="41"/>
      <c r="AH691" s="45"/>
      <c r="AI691" s="28"/>
      <c r="AJ691" s="28"/>
      <c r="AK691" s="28"/>
      <c r="AL691" s="28"/>
      <c r="AM691" s="12"/>
      <c r="AN691" s="12"/>
      <c r="AO691" s="12"/>
      <c r="AP691" s="12"/>
      <c r="AQ691" s="12"/>
      <c r="AR691" s="13"/>
      <c r="AS691" s="14"/>
    </row>
    <row r="692" spans="1:45" s="16" customFormat="1" ht="30.95" hidden="1" customHeight="1" x14ac:dyDescent="0.2">
      <c r="A692" s="35"/>
      <c r="B692" s="36"/>
      <c r="C692" s="43"/>
      <c r="D692" s="29"/>
      <c r="E692" s="29"/>
      <c r="F692" s="255"/>
      <c r="G692" s="256"/>
      <c r="H692" s="256"/>
      <c r="I692" s="200"/>
      <c r="J692" s="203"/>
      <c r="K692" s="200"/>
      <c r="L692" s="200"/>
      <c r="M692" s="37"/>
      <c r="N692" s="37"/>
      <c r="O692" s="153"/>
      <c r="P692" s="45"/>
      <c r="Q692" s="54"/>
      <c r="R692" s="257"/>
      <c r="S692" s="258"/>
      <c r="T692" s="258"/>
      <c r="U692" s="38"/>
      <c r="V692" s="259"/>
      <c r="W692" s="256"/>
      <c r="X692" s="256"/>
      <c r="Y692" s="256"/>
      <c r="Z692" s="256"/>
      <c r="AA692" s="54"/>
      <c r="AB692" s="200"/>
      <c r="AC692" s="31"/>
      <c r="AD692" s="184"/>
      <c r="AE692" s="51"/>
      <c r="AF692" s="52"/>
      <c r="AG692" s="41"/>
      <c r="AH692" s="45"/>
      <c r="AI692" s="28"/>
      <c r="AJ692" s="28"/>
      <c r="AK692" s="28"/>
      <c r="AL692" s="28"/>
      <c r="AM692" s="12"/>
      <c r="AN692" s="12"/>
      <c r="AO692" s="12"/>
      <c r="AP692" s="12"/>
      <c r="AQ692" s="12"/>
      <c r="AR692" s="13"/>
      <c r="AS692" s="14"/>
    </row>
    <row r="693" spans="1:45" s="16" customFormat="1" ht="30.95" hidden="1" customHeight="1" x14ac:dyDescent="0.2">
      <c r="A693" s="35" t="s">
        <v>1241</v>
      </c>
      <c r="B693" s="36" t="s">
        <v>1242</v>
      </c>
      <c r="C693" s="43"/>
      <c r="D693" s="29"/>
      <c r="E693" s="29"/>
      <c r="F693" s="255"/>
      <c r="G693" s="256"/>
      <c r="H693" s="256"/>
      <c r="I693" s="200"/>
      <c r="J693" s="203" t="s">
        <v>1257</v>
      </c>
      <c r="K693" s="200"/>
      <c r="L693" s="200"/>
      <c r="M693" s="37"/>
      <c r="N693" s="37"/>
      <c r="O693" s="153"/>
      <c r="P693" s="45"/>
      <c r="Q693" s="54"/>
      <c r="R693" s="257"/>
      <c r="S693" s="258"/>
      <c r="T693" s="258"/>
      <c r="U693" s="38"/>
      <c r="V693" s="259"/>
      <c r="W693" s="256"/>
      <c r="X693" s="256"/>
      <c r="Y693" s="256"/>
      <c r="Z693" s="256"/>
      <c r="AA693" s="54"/>
      <c r="AB693" s="200"/>
      <c r="AC693" s="31"/>
      <c r="AD693" s="184"/>
      <c r="AE693" s="51"/>
      <c r="AF693" s="52"/>
      <c r="AG693" s="41"/>
      <c r="AH693" s="45"/>
      <c r="AI693" s="28"/>
      <c r="AJ693" s="28"/>
      <c r="AK693" s="28"/>
      <c r="AL693" s="28"/>
      <c r="AM693" s="12"/>
      <c r="AN693" s="12"/>
      <c r="AO693" s="12"/>
      <c r="AP693" s="12"/>
      <c r="AQ693" s="12"/>
      <c r="AR693" s="13"/>
      <c r="AS693" s="14"/>
    </row>
    <row r="694" spans="1:45" s="16" customFormat="1" ht="30.95" hidden="1" customHeight="1" x14ac:dyDescent="0.2">
      <c r="A694" s="35"/>
      <c r="B694" s="36"/>
      <c r="C694" s="43"/>
      <c r="D694" s="29"/>
      <c r="E694" s="29"/>
      <c r="F694" s="255"/>
      <c r="G694" s="256"/>
      <c r="H694" s="256"/>
      <c r="I694" s="200"/>
      <c r="J694" s="203"/>
      <c r="K694" s="200"/>
      <c r="L694" s="200"/>
      <c r="M694" s="37"/>
      <c r="N694" s="37"/>
      <c r="O694" s="153"/>
      <c r="P694" s="45"/>
      <c r="Q694" s="54"/>
      <c r="R694" s="257"/>
      <c r="S694" s="258"/>
      <c r="T694" s="258"/>
      <c r="U694" s="38"/>
      <c r="V694" s="259"/>
      <c r="W694" s="256"/>
      <c r="X694" s="256"/>
      <c r="Y694" s="256"/>
      <c r="Z694" s="256"/>
      <c r="AA694" s="54"/>
      <c r="AB694" s="200"/>
      <c r="AC694" s="31"/>
      <c r="AD694" s="184"/>
      <c r="AE694" s="51"/>
      <c r="AF694" s="52"/>
      <c r="AG694" s="41"/>
      <c r="AH694" s="45"/>
      <c r="AI694" s="28"/>
      <c r="AJ694" s="28"/>
      <c r="AK694" s="28"/>
      <c r="AL694" s="28"/>
      <c r="AM694" s="12"/>
      <c r="AN694" s="12"/>
      <c r="AO694" s="12"/>
      <c r="AP694" s="12"/>
      <c r="AQ694" s="12"/>
      <c r="AR694" s="13"/>
      <c r="AS694" s="14"/>
    </row>
    <row r="695" spans="1:45" s="16" customFormat="1" ht="30.95" hidden="1" customHeight="1" x14ac:dyDescent="0.2">
      <c r="A695" s="35" t="s">
        <v>1243</v>
      </c>
      <c r="B695" s="36" t="s">
        <v>1244</v>
      </c>
      <c r="C695" s="43"/>
      <c r="D695" s="29"/>
      <c r="E695" s="29"/>
      <c r="F695" s="255"/>
      <c r="G695" s="256"/>
      <c r="H695" s="256"/>
      <c r="I695" s="200"/>
      <c r="J695" s="203" t="s">
        <v>1258</v>
      </c>
      <c r="K695" s="200"/>
      <c r="L695" s="200"/>
      <c r="M695" s="37"/>
      <c r="N695" s="37"/>
      <c r="O695" s="153"/>
      <c r="P695" s="45"/>
      <c r="Q695" s="54"/>
      <c r="R695" s="257"/>
      <c r="S695" s="258"/>
      <c r="T695" s="258"/>
      <c r="U695" s="38"/>
      <c r="V695" s="259"/>
      <c r="W695" s="256"/>
      <c r="X695" s="256"/>
      <c r="Y695" s="256"/>
      <c r="Z695" s="256"/>
      <c r="AA695" s="54"/>
      <c r="AB695" s="200"/>
      <c r="AC695" s="31"/>
      <c r="AD695" s="184"/>
      <c r="AE695" s="51"/>
      <c r="AF695" s="52"/>
      <c r="AG695" s="41"/>
      <c r="AH695" s="45"/>
      <c r="AI695" s="28"/>
      <c r="AJ695" s="28"/>
      <c r="AK695" s="28"/>
      <c r="AL695" s="28"/>
      <c r="AM695" s="12"/>
      <c r="AN695" s="12"/>
      <c r="AO695" s="12"/>
      <c r="AP695" s="12"/>
      <c r="AQ695" s="12"/>
      <c r="AR695" s="13"/>
      <c r="AS695" s="14"/>
    </row>
    <row r="696" spans="1:45" s="16" customFormat="1" ht="30.95" hidden="1" customHeight="1" x14ac:dyDescent="0.2">
      <c r="A696" s="35"/>
      <c r="B696" s="36"/>
      <c r="C696" s="43"/>
      <c r="D696" s="29"/>
      <c r="E696" s="29"/>
      <c r="F696" s="255"/>
      <c r="G696" s="256"/>
      <c r="H696" s="256"/>
      <c r="I696" s="200"/>
      <c r="J696" s="203"/>
      <c r="K696" s="200"/>
      <c r="L696" s="200"/>
      <c r="M696" s="37"/>
      <c r="N696" s="37"/>
      <c r="O696" s="153"/>
      <c r="P696" s="45"/>
      <c r="Q696" s="54"/>
      <c r="R696" s="257"/>
      <c r="S696" s="258"/>
      <c r="T696" s="258"/>
      <c r="U696" s="38"/>
      <c r="V696" s="259"/>
      <c r="W696" s="256"/>
      <c r="X696" s="256"/>
      <c r="Y696" s="256"/>
      <c r="Z696" s="256"/>
      <c r="AA696" s="54"/>
      <c r="AB696" s="200"/>
      <c r="AC696" s="31"/>
      <c r="AD696" s="184"/>
      <c r="AE696" s="51"/>
      <c r="AF696" s="52"/>
      <c r="AG696" s="41"/>
      <c r="AH696" s="45"/>
      <c r="AI696" s="28"/>
      <c r="AJ696" s="28"/>
      <c r="AK696" s="28"/>
      <c r="AL696" s="28"/>
      <c r="AM696" s="12"/>
      <c r="AN696" s="12"/>
      <c r="AO696" s="12"/>
      <c r="AP696" s="12"/>
      <c r="AQ696" s="12"/>
      <c r="AR696" s="13"/>
      <c r="AS696" s="14"/>
    </row>
    <row r="697" spans="1:45" s="16" customFormat="1" ht="30.95" hidden="1" customHeight="1" x14ac:dyDescent="0.2">
      <c r="A697" s="35" t="s">
        <v>1245</v>
      </c>
      <c r="B697" s="36" t="s">
        <v>1246</v>
      </c>
      <c r="C697" s="43"/>
      <c r="D697" s="29"/>
      <c r="E697" s="29"/>
      <c r="F697" s="255"/>
      <c r="G697" s="256"/>
      <c r="H697" s="256"/>
      <c r="I697" s="200"/>
      <c r="J697" s="203" t="s">
        <v>1258</v>
      </c>
      <c r="K697" s="200"/>
      <c r="L697" s="200"/>
      <c r="M697" s="37"/>
      <c r="N697" s="37"/>
      <c r="O697" s="153"/>
      <c r="P697" s="45"/>
      <c r="Q697" s="54"/>
      <c r="R697" s="257"/>
      <c r="S697" s="258"/>
      <c r="T697" s="258"/>
      <c r="U697" s="38"/>
      <c r="V697" s="259"/>
      <c r="W697" s="256"/>
      <c r="X697" s="256"/>
      <c r="Y697" s="256"/>
      <c r="Z697" s="256"/>
      <c r="AA697" s="54"/>
      <c r="AB697" s="200"/>
      <c r="AC697" s="31"/>
      <c r="AD697" s="184"/>
      <c r="AE697" s="51"/>
      <c r="AF697" s="52"/>
      <c r="AG697" s="41"/>
      <c r="AH697" s="45"/>
      <c r="AI697" s="28"/>
      <c r="AJ697" s="28"/>
      <c r="AK697" s="28"/>
      <c r="AL697" s="28"/>
      <c r="AM697" s="12"/>
      <c r="AN697" s="12"/>
      <c r="AO697" s="12"/>
      <c r="AP697" s="12"/>
      <c r="AQ697" s="12"/>
      <c r="AR697" s="13"/>
      <c r="AS697" s="14"/>
    </row>
    <row r="698" spans="1:45" s="16" customFormat="1" ht="30.95" hidden="1" customHeight="1" x14ac:dyDescent="0.2">
      <c r="A698" s="35"/>
      <c r="B698" s="36"/>
      <c r="C698" s="43"/>
      <c r="D698" s="29"/>
      <c r="E698" s="29"/>
      <c r="F698" s="255"/>
      <c r="G698" s="256"/>
      <c r="H698" s="256"/>
      <c r="I698" s="200"/>
      <c r="J698" s="203"/>
      <c r="K698" s="200"/>
      <c r="L698" s="200"/>
      <c r="M698" s="37"/>
      <c r="N698" s="37"/>
      <c r="O698" s="153"/>
      <c r="P698" s="45"/>
      <c r="Q698" s="54"/>
      <c r="R698" s="257"/>
      <c r="S698" s="258"/>
      <c r="T698" s="258"/>
      <c r="U698" s="38"/>
      <c r="V698" s="259"/>
      <c r="W698" s="256"/>
      <c r="X698" s="256"/>
      <c r="Y698" s="256"/>
      <c r="Z698" s="256"/>
      <c r="AA698" s="54"/>
      <c r="AB698" s="200"/>
      <c r="AC698" s="31"/>
      <c r="AD698" s="184"/>
      <c r="AE698" s="51"/>
      <c r="AF698" s="52"/>
      <c r="AG698" s="41"/>
      <c r="AH698" s="45"/>
      <c r="AI698" s="28"/>
      <c r="AJ698" s="28"/>
      <c r="AK698" s="28"/>
      <c r="AL698" s="28"/>
      <c r="AM698" s="12"/>
      <c r="AN698" s="12"/>
      <c r="AO698" s="12"/>
      <c r="AP698" s="12"/>
      <c r="AQ698" s="12"/>
      <c r="AR698" s="13"/>
      <c r="AS698" s="14"/>
    </row>
    <row r="699" spans="1:45" s="16" customFormat="1" ht="30.95" hidden="1" customHeight="1" x14ac:dyDescent="0.2">
      <c r="A699" s="35" t="s">
        <v>1247</v>
      </c>
      <c r="B699" s="36" t="s">
        <v>1236</v>
      </c>
      <c r="C699" s="43"/>
      <c r="D699" s="29"/>
      <c r="E699" s="29"/>
      <c r="F699" s="255"/>
      <c r="G699" s="256"/>
      <c r="H699" s="256"/>
      <c r="I699" s="200"/>
      <c r="J699" s="203" t="s">
        <v>448</v>
      </c>
      <c r="K699" s="200"/>
      <c r="L699" s="200"/>
      <c r="M699" s="37"/>
      <c r="N699" s="37"/>
      <c r="O699" s="153"/>
      <c r="P699" s="45"/>
      <c r="Q699" s="54"/>
      <c r="R699" s="257"/>
      <c r="S699" s="258"/>
      <c r="T699" s="258"/>
      <c r="U699" s="38"/>
      <c r="V699" s="259"/>
      <c r="W699" s="256"/>
      <c r="X699" s="256"/>
      <c r="Y699" s="256"/>
      <c r="Z699" s="256"/>
      <c r="AA699" s="54"/>
      <c r="AB699" s="200"/>
      <c r="AC699" s="31"/>
      <c r="AD699" s="184"/>
      <c r="AE699" s="51"/>
      <c r="AF699" s="52"/>
      <c r="AG699" s="41"/>
      <c r="AH699" s="45"/>
      <c r="AI699" s="28"/>
      <c r="AJ699" s="28"/>
      <c r="AK699" s="28"/>
      <c r="AL699" s="28"/>
      <c r="AM699" s="12"/>
      <c r="AN699" s="12"/>
      <c r="AO699" s="12"/>
      <c r="AP699" s="12"/>
      <c r="AQ699" s="12"/>
      <c r="AR699" s="13"/>
      <c r="AS699" s="14"/>
    </row>
    <row r="700" spans="1:45" s="16" customFormat="1" ht="30.95" hidden="1" customHeight="1" x14ac:dyDescent="0.2">
      <c r="A700" s="35"/>
      <c r="B700" s="36"/>
      <c r="C700" s="43"/>
      <c r="D700" s="29"/>
      <c r="E700" s="29"/>
      <c r="F700" s="255"/>
      <c r="G700" s="256"/>
      <c r="H700" s="256"/>
      <c r="I700" s="200"/>
      <c r="J700" s="203"/>
      <c r="K700" s="200"/>
      <c r="L700" s="200"/>
      <c r="M700" s="37"/>
      <c r="N700" s="37"/>
      <c r="O700" s="153"/>
      <c r="P700" s="45"/>
      <c r="Q700" s="54"/>
      <c r="R700" s="257"/>
      <c r="S700" s="258"/>
      <c r="T700" s="258"/>
      <c r="U700" s="38"/>
      <c r="V700" s="259"/>
      <c r="W700" s="256"/>
      <c r="X700" s="256"/>
      <c r="Y700" s="256"/>
      <c r="Z700" s="256"/>
      <c r="AA700" s="54"/>
      <c r="AB700" s="200"/>
      <c r="AC700" s="31"/>
      <c r="AD700" s="184"/>
      <c r="AE700" s="51"/>
      <c r="AF700" s="52"/>
      <c r="AG700" s="41"/>
      <c r="AH700" s="45"/>
      <c r="AI700" s="28"/>
      <c r="AJ700" s="28"/>
      <c r="AK700" s="28"/>
      <c r="AL700" s="28"/>
      <c r="AM700" s="12"/>
      <c r="AN700" s="12"/>
      <c r="AO700" s="12"/>
      <c r="AP700" s="12"/>
      <c r="AQ700" s="12"/>
      <c r="AR700" s="13"/>
      <c r="AS700" s="14"/>
    </row>
    <row r="701" spans="1:45" s="16" customFormat="1" ht="30.95" hidden="1" customHeight="1" x14ac:dyDescent="0.2">
      <c r="A701" s="35" t="s">
        <v>1248</v>
      </c>
      <c r="B701" s="36" t="s">
        <v>1237</v>
      </c>
      <c r="C701" s="43"/>
      <c r="D701" s="29"/>
      <c r="E701" s="29"/>
      <c r="F701" s="255"/>
      <c r="G701" s="256"/>
      <c r="H701" s="256"/>
      <c r="I701" s="200"/>
      <c r="J701" s="203" t="s">
        <v>448</v>
      </c>
      <c r="K701" s="200"/>
      <c r="L701" s="200"/>
      <c r="M701" s="37"/>
      <c r="N701" s="37"/>
      <c r="O701" s="153"/>
      <c r="P701" s="45"/>
      <c r="Q701" s="54"/>
      <c r="R701" s="257"/>
      <c r="S701" s="258"/>
      <c r="T701" s="258"/>
      <c r="U701" s="38"/>
      <c r="V701" s="259"/>
      <c r="W701" s="256"/>
      <c r="X701" s="256"/>
      <c r="Y701" s="256"/>
      <c r="Z701" s="256"/>
      <c r="AA701" s="54"/>
      <c r="AB701" s="200"/>
      <c r="AC701" s="31"/>
      <c r="AD701" s="184"/>
      <c r="AE701" s="51"/>
      <c r="AF701" s="52"/>
      <c r="AG701" s="41"/>
      <c r="AH701" s="45"/>
      <c r="AI701" s="28"/>
      <c r="AJ701" s="28"/>
      <c r="AK701" s="28"/>
      <c r="AL701" s="28"/>
      <c r="AM701" s="12"/>
      <c r="AN701" s="12"/>
      <c r="AO701" s="12"/>
      <c r="AP701" s="12"/>
      <c r="AQ701" s="12"/>
      <c r="AR701" s="13"/>
      <c r="AS701" s="14"/>
    </row>
    <row r="702" spans="1:45" s="16" customFormat="1" ht="30.95" hidden="1" customHeight="1" x14ac:dyDescent="0.2">
      <c r="A702" s="35"/>
      <c r="B702" s="36"/>
      <c r="C702" s="43"/>
      <c r="D702" s="29"/>
      <c r="E702" s="29"/>
      <c r="F702" s="255"/>
      <c r="G702" s="256"/>
      <c r="H702" s="256"/>
      <c r="I702" s="200"/>
      <c r="J702" s="203"/>
      <c r="K702" s="200"/>
      <c r="L702" s="200"/>
      <c r="M702" s="37"/>
      <c r="N702" s="37"/>
      <c r="O702" s="153"/>
      <c r="P702" s="45"/>
      <c r="Q702" s="54"/>
      <c r="R702" s="257"/>
      <c r="S702" s="258"/>
      <c r="T702" s="258"/>
      <c r="U702" s="38"/>
      <c r="V702" s="259"/>
      <c r="W702" s="256"/>
      <c r="X702" s="256"/>
      <c r="Y702" s="256"/>
      <c r="Z702" s="256"/>
      <c r="AA702" s="54"/>
      <c r="AB702" s="200"/>
      <c r="AC702" s="31"/>
      <c r="AD702" s="184"/>
      <c r="AE702" s="51"/>
      <c r="AF702" s="52"/>
      <c r="AG702" s="41"/>
      <c r="AH702" s="45"/>
      <c r="AI702" s="28"/>
      <c r="AJ702" s="28"/>
      <c r="AK702" s="28"/>
      <c r="AL702" s="28"/>
      <c r="AM702" s="12"/>
      <c r="AN702" s="12"/>
      <c r="AO702" s="12"/>
      <c r="AP702" s="12"/>
      <c r="AQ702" s="12"/>
      <c r="AR702" s="13"/>
      <c r="AS702" s="14"/>
    </row>
    <row r="703" spans="1:45" s="16" customFormat="1" ht="30.95" hidden="1" customHeight="1" x14ac:dyDescent="0.2">
      <c r="A703" s="35" t="s">
        <v>1249</v>
      </c>
      <c r="B703" s="36" t="s">
        <v>1238</v>
      </c>
      <c r="C703" s="43"/>
      <c r="D703" s="29">
        <v>3712090</v>
      </c>
      <c r="E703" s="29">
        <v>4161935</v>
      </c>
      <c r="F703" s="255" t="str">
        <f>IF(D703="","",VLOOKUP(D703,契約台帳!$A$3:$K$4986,6,FALSE)&amp;VLOOKUP(D703,契約台帳!$A$3:$K$4986,7,FALSE)&amp;VLOOKUP(D703,契約台帳!$A$3:$K$4986,8,FALSE)&amp;VLOOKUP(D703,契約台帳!$A$3:$K$4986,9,FALSE)&amp;VLOOKUP(D703,契約台帳!$A$3:$K$4986,11,FALSE))</f>
        <v>3SNMCLBMSNEYK</v>
      </c>
      <c r="G703" s="256" t="str">
        <f>IF(D703="","",VLOOKUP(F703,製品マスタ!$G$5:$H$4999,2,FALSE))</f>
        <v>S</v>
      </c>
      <c r="H703" s="256" t="str">
        <f>IF(D703="","",VLOOKUP(F703,製品マスタ!$G$5:$K$4999,5,FALSE))</f>
        <v>MSNEYK</v>
      </c>
      <c r="I703" s="200" t="str">
        <f>IF(D703="","",VLOOKUP(F703,製品マスタ!$G$5:$L$4999,6,FALSE))</f>
        <v>ＭＳＮ　ＥＹＫ</v>
      </c>
      <c r="J703" s="203" t="s">
        <v>935</v>
      </c>
      <c r="K703" s="200">
        <f>IF(D703="","",VLOOKUP(D703,契約台帳!$A$3:$L$4986,12,FALSE))</f>
        <v>50</v>
      </c>
      <c r="L703" s="200" t="str">
        <f>IF(D703="","",INDEX(製品マスタ!$Q$5:$Q$4999,MATCH('S4'!F703&amp;'S4'!K703,製品マスタ!$AO$5:$AO$4999,0)))</f>
        <v>N-MAT</v>
      </c>
      <c r="M703" s="37">
        <v>1200</v>
      </c>
      <c r="N703" s="37">
        <v>6000</v>
      </c>
      <c r="O703" s="153">
        <v>6</v>
      </c>
      <c r="P703" s="45">
        <v>2</v>
      </c>
      <c r="Q703" s="206">
        <v>45100</v>
      </c>
      <c r="R703" s="257">
        <f ca="1">IF(D703="","",IF(OFFSET(D703,-1,0)&lt;&gt;"","",IF(OR(J703="リード付け",J703="巻足し",J703="巻返しリード付け"),M703,VLOOKUP(D703,契約台帳!$A$3:$N$4986,14,FALSE))))</f>
        <v>1200</v>
      </c>
      <c r="S703" s="258">
        <f ca="1">IF(D703="","",IF(OFFSET(D703,-1,0)&lt;&gt;"","",IF(OR(J703="リード付け",J703="巻足し",J703="巻返しリード付け"),M703,VLOOKUP(D703,契約台帳!$A$3:$O$4986,15,FALSE))))</f>
        <v>1200</v>
      </c>
      <c r="T703" s="258">
        <f ca="1">IF(D703="","",IF(J703="リード付け",N703,IF(J703="巻返しリード付け",N703,IF(J703="巻足し",N703*P703+OFFSET(N703,1,0)*OFFSET(P703,1,0),VLOOKUP(D703,契約台帳!$A$3:$P$4986,16,FALSE)))))</f>
        <v>12000</v>
      </c>
      <c r="U703" s="38">
        <v>3</v>
      </c>
      <c r="V703" s="259">
        <f ca="1">IF(D703="","",IF(OFFSET(D703,-2,0)=D703,"",VLOOKUP(D703,契約台帳!$A$3:$R$4986,18,FALSE)))</f>
        <v>6</v>
      </c>
      <c r="W703" s="256" t="str">
        <f ca="1">IF(D703="","",IF(T703="","",IF(OR(J703="巻足し",J703="巻返しリード付け"),"",IF(J703="巻返し",VLOOKUP(F703&amp;K703&amp;M703,製品マスタ!$M$5:$AD$4999,18,FALSE),IF(OR(J703="リード付け",J703="巻返しリード付け"),"原反コア",IF(J703="スリット",VLOOKUP(F703&amp;K703&amp;R703,製品マスタ!$N$5:$AD$4999,17,FALSE),""))))))</f>
        <v/>
      </c>
      <c r="X703" s="256" t="str">
        <f ca="1">IF(D703="","",IF(T703="","",IF(J703="巻足し","",IF(J703="巻返し",VLOOKUP(F703&amp;K703&amp;M703,製品マスタ!$M$5:$AE$4999,19,FALSE),IF(OR(J703="リード付け",J703="巻返しリード付け"),"",IF(J703="スリット",VLOOKUP(F703&amp;K703&amp;R703,製品マスタ!$N$5:$AE$4999,18,FALSE),""))))))</f>
        <v/>
      </c>
      <c r="Y703" s="256">
        <f ca="1">IF(D703="","",IF(T703="","",VLOOKUP(D703,契約台帳!$A$3:$Q$4986,17,FALSE)))</f>
        <v>2</v>
      </c>
      <c r="Z703" s="256" t="str">
        <f ca="1">IF(D703="","",IF(T703="","",VLOOKUP(D703,契約台帳!$A$3:$E$4986,5,FALSE)))</f>
        <v>大阪シーリング印刷㈱</v>
      </c>
      <c r="AA703" s="54"/>
      <c r="AB703" s="200" t="str">
        <f>IFERROR((VLOOKUP(F703&amp;K703&amp;M703,製品マスタ!$M$5:$AM$4999,27,FALSE)),"")</f>
        <v>原反ケース再利用</v>
      </c>
      <c r="AC703" s="31"/>
      <c r="AD703" s="184"/>
      <c r="AE703" s="51"/>
      <c r="AF703" s="52">
        <f>+M703*N703*O703/1000</f>
        <v>43200</v>
      </c>
      <c r="AG703" s="41"/>
      <c r="AH703" s="45"/>
      <c r="AI703" s="28"/>
      <c r="AJ703" s="28"/>
      <c r="AK703" s="28"/>
      <c r="AL703" s="28"/>
      <c r="AM703" s="12"/>
      <c r="AN703" s="12"/>
      <c r="AO703" s="12"/>
      <c r="AP703" s="12"/>
      <c r="AQ703" s="12"/>
      <c r="AR703" s="13"/>
      <c r="AS703" s="14"/>
    </row>
    <row r="704" spans="1:45" s="16" customFormat="1" ht="30.95" hidden="1" customHeight="1" x14ac:dyDescent="0.2">
      <c r="A704" s="35"/>
      <c r="B704" s="36"/>
      <c r="C704" s="43"/>
      <c r="D704" s="29"/>
      <c r="E704" s="29"/>
      <c r="F704" s="255"/>
      <c r="G704" s="256"/>
      <c r="H704" s="256"/>
      <c r="I704" s="200"/>
      <c r="J704" s="203"/>
      <c r="K704" s="200"/>
      <c r="L704" s="200"/>
      <c r="M704" s="37"/>
      <c r="N704" s="37"/>
      <c r="O704" s="153"/>
      <c r="P704" s="45"/>
      <c r="Q704" s="54"/>
      <c r="R704" s="257"/>
      <c r="S704" s="258"/>
      <c r="T704" s="258"/>
      <c r="U704" s="38"/>
      <c r="V704" s="259"/>
      <c r="W704" s="256"/>
      <c r="X704" s="256"/>
      <c r="Y704" s="256"/>
      <c r="Z704" s="256"/>
      <c r="AA704" s="54"/>
      <c r="AB704" s="200"/>
      <c r="AC704" s="31"/>
      <c r="AD704" s="184"/>
      <c r="AE704" s="51"/>
      <c r="AF704" s="52"/>
      <c r="AG704" s="41"/>
      <c r="AH704" s="45"/>
      <c r="AI704" s="28"/>
      <c r="AJ704" s="28"/>
      <c r="AK704" s="28"/>
      <c r="AL704" s="28"/>
      <c r="AM704" s="12"/>
      <c r="AN704" s="12"/>
      <c r="AO704" s="12"/>
      <c r="AP704" s="12"/>
      <c r="AQ704" s="12"/>
      <c r="AR704" s="13"/>
      <c r="AS704" s="14"/>
    </row>
    <row r="705" spans="1:45" s="16" customFormat="1" ht="30.95" hidden="1" customHeight="1" x14ac:dyDescent="0.2">
      <c r="A705" s="35"/>
      <c r="B705" s="36"/>
      <c r="C705" s="43"/>
      <c r="D705" s="29">
        <v>3716257</v>
      </c>
      <c r="E705" s="29">
        <v>4161981</v>
      </c>
      <c r="F705" s="255" t="str">
        <f>IF(D705="","",VLOOKUP(D705,契約台帳!$A$3:$K$4986,6,FALSE)&amp;VLOOKUP(D705,契約台帳!$A$3:$K$4986,7,FALSE)&amp;VLOOKUP(D705,契約台帳!$A$3:$K$4986,8,FALSE)&amp;VLOOKUP(D705,契約台帳!$A$3:$K$4986,9,FALSE)&amp;VLOOKUP(D705,契約台帳!$A$3:$K$4986,11,FALSE))</f>
        <v>3SNMLBMNGTBF</v>
      </c>
      <c r="G705" s="256" t="str">
        <f>IF(D705="","",VLOOKUP(F705,製品マスタ!$G$5:$H$4999,2,FALSE))</f>
        <v>S</v>
      </c>
      <c r="H705" s="256" t="str">
        <f>IF(D705="","",VLOOKUP(F705,製品マスタ!$G$5:$K$4999,5,FALSE))</f>
        <v>MNGTBF</v>
      </c>
      <c r="I705" s="200" t="str">
        <f>IF(D705="","",VLOOKUP(F705,製品マスタ!$G$5:$L$4999,6,FALSE))</f>
        <v>メタルミー　ネーマー　銀艶　Ｂ</v>
      </c>
      <c r="J705" s="203" t="s">
        <v>935</v>
      </c>
      <c r="K705" s="200">
        <f>IF(D705="","",VLOOKUP(D705,契約台帳!$A$3:$L$4986,12,FALSE))</f>
        <v>50</v>
      </c>
      <c r="L705" s="200" t="str">
        <f>IF(D705="","",INDEX(製品マスタ!$Q$5:$Q$4999,MATCH('S4'!F705&amp;'S4'!K705,製品マスタ!$AO$5:$AO$4999,0)))</f>
        <v>T62</v>
      </c>
      <c r="M705" s="37">
        <v>1120</v>
      </c>
      <c r="N705" s="37">
        <v>5000</v>
      </c>
      <c r="O705" s="153">
        <v>12</v>
      </c>
      <c r="P705" s="45">
        <v>2</v>
      </c>
      <c r="Q705" s="206">
        <v>45100</v>
      </c>
      <c r="R705" s="257">
        <f ca="1">IF(D705="","",IF(OFFSET(D705,-1,0)&lt;&gt;"","",IF(OR(J705="リード付け",J705="巻足し",J705="巻返しリード付け"),M705,VLOOKUP(D705,契約台帳!$A$3:$N$4986,14,FALSE))))</f>
        <v>1120</v>
      </c>
      <c r="S705" s="258">
        <f ca="1">IF(D705="","",IF(OFFSET(D705,-1,0)&lt;&gt;"","",IF(OR(J705="リード付け",J705="巻足し",J705="巻返しリード付け"),M705,VLOOKUP(D705,契約台帳!$A$3:$O$4986,15,FALSE))))</f>
        <v>1120</v>
      </c>
      <c r="T705" s="258">
        <f ca="1">IF(D705="","",IF(J705="リード付け",N705,IF(J705="巻返しリード付け",N705,IF(J705="巻足し",N705*P705+OFFSET(N705,1,0)*OFFSET(P705,1,0),VLOOKUP(D705,契約台帳!$A$3:$P$4986,16,FALSE)))))</f>
        <v>10000</v>
      </c>
      <c r="U705" s="38">
        <v>6</v>
      </c>
      <c r="V705" s="259">
        <f ca="1">IF(D705="","",IF(OFFSET(D705,-2,0)=D705,"",VLOOKUP(D705,契約台帳!$A$3:$R$4986,18,FALSE)))</f>
        <v>13</v>
      </c>
      <c r="W705" s="256" t="str">
        <f ca="1">IF(D705="","",IF(T705="","",IF(OR(J705="巻足し",J705="巻返しリード付け"),"",IF(J705="巻返し",VLOOKUP(F705&amp;K705&amp;M705,製品マスタ!$M$5:$AD$4999,18,FALSE),IF(OR(J705="リード付け",J705="巻返しリード付け"),"原反コア",IF(J705="スリット",VLOOKUP(F705&amp;K705&amp;R705,製品マスタ!$N$5:$AD$4999,17,FALSE),""))))))</f>
        <v/>
      </c>
      <c r="X705" s="256" t="str">
        <f ca="1">IF(D705="","",IF(T705="","",IF(J705="巻足し","",IF(J705="巻返し",VLOOKUP(F705&amp;K705&amp;M705,製品マスタ!$M$5:$AE$4999,19,FALSE),IF(OR(J705="リード付け",J705="巻返しリード付け"),"",IF(J705="スリット",VLOOKUP(F705&amp;K705&amp;R705,製品マスタ!$N$5:$AE$4999,18,FALSE),""))))))</f>
        <v/>
      </c>
      <c r="Y705" s="256">
        <f ca="1">IF(D705="","",IF(T705="","",VLOOKUP(D705,契約台帳!$A$3:$Q$4986,17,FALSE)))</f>
        <v>2</v>
      </c>
      <c r="Z705" s="256" t="str">
        <f ca="1">IF(D705="","",IF(T705="","",VLOOKUP(D705,契約台帳!$A$3:$E$4986,5,FALSE)))</f>
        <v>リンテック㈱</v>
      </c>
      <c r="AA705" s="54"/>
      <c r="AB705" s="200" t="str">
        <f>IFERROR((VLOOKUP(F705&amp;K705&amp;M705,製品マスタ!$M$5:$AM$4999,27,FALSE)),"")</f>
        <v>原反ケース再利用</v>
      </c>
      <c r="AC705" s="31"/>
      <c r="AD705" s="184"/>
      <c r="AE705" s="51"/>
      <c r="AF705" s="52">
        <f>+M705*N705*O705/1000</f>
        <v>67200</v>
      </c>
      <c r="AG705" s="41"/>
      <c r="AH705" s="45"/>
      <c r="AI705" s="28"/>
      <c r="AJ705" s="28"/>
      <c r="AK705" s="28"/>
      <c r="AL705" s="28"/>
      <c r="AM705" s="12"/>
      <c r="AN705" s="12"/>
      <c r="AO705" s="12"/>
      <c r="AP705" s="12"/>
      <c r="AQ705" s="12"/>
      <c r="AR705" s="13"/>
      <c r="AS705" s="14"/>
    </row>
    <row r="706" spans="1:45" s="16" customFormat="1" ht="30.95" hidden="1" customHeight="1" x14ac:dyDescent="0.2">
      <c r="A706" s="35"/>
      <c r="B706" s="36"/>
      <c r="C706" s="43"/>
      <c r="D706" s="29"/>
      <c r="E706" s="29"/>
      <c r="F706" s="255"/>
      <c r="G706" s="256"/>
      <c r="H706" s="256"/>
      <c r="I706" s="200"/>
      <c r="J706" s="203"/>
      <c r="K706" s="200"/>
      <c r="L706" s="200"/>
      <c r="M706" s="37"/>
      <c r="N706" s="37"/>
      <c r="O706" s="153"/>
      <c r="P706" s="45"/>
      <c r="Q706" s="54"/>
      <c r="R706" s="257"/>
      <c r="S706" s="258"/>
      <c r="T706" s="258"/>
      <c r="U706" s="38"/>
      <c r="V706" s="259"/>
      <c r="W706" s="256"/>
      <c r="X706" s="256"/>
      <c r="Y706" s="256"/>
      <c r="Z706" s="256"/>
      <c r="AA706" s="54"/>
      <c r="AB706" s="200" t="str">
        <f>IFERROR((VLOOKUP(F706&amp;K706&amp;M706,製品マスタ!$M$5:$AM$4999,27,FALSE)),"")</f>
        <v/>
      </c>
      <c r="AC706" s="31"/>
      <c r="AD706" s="184"/>
      <c r="AE706" s="51"/>
      <c r="AF706" s="52"/>
      <c r="AG706" s="41"/>
      <c r="AH706" s="45"/>
      <c r="AI706" s="28"/>
      <c r="AJ706" s="28"/>
      <c r="AK706" s="28"/>
      <c r="AL706" s="28"/>
      <c r="AM706" s="12"/>
      <c r="AN706" s="12"/>
      <c r="AO706" s="12"/>
      <c r="AP706" s="12"/>
      <c r="AQ706" s="12"/>
      <c r="AR706" s="13"/>
      <c r="AS706" s="14"/>
    </row>
    <row r="707" spans="1:45" s="16" customFormat="1" ht="30.95" hidden="1" customHeight="1" x14ac:dyDescent="0.2">
      <c r="A707" s="35"/>
      <c r="B707" s="36"/>
      <c r="C707" s="43"/>
      <c r="D707" s="29">
        <v>3716257</v>
      </c>
      <c r="E707" s="29">
        <v>4161981</v>
      </c>
      <c r="F707" s="255" t="str">
        <f>IF(D707="","",VLOOKUP(D707,契約台帳!$A$3:$K$4986,6,FALSE)&amp;VLOOKUP(D707,契約台帳!$A$3:$K$4986,7,FALSE)&amp;VLOOKUP(D707,契約台帳!$A$3:$K$4986,8,FALSE)&amp;VLOOKUP(D707,契約台帳!$A$3:$K$4986,9,FALSE)&amp;VLOOKUP(D707,契約台帳!$A$3:$K$4986,11,FALSE))</f>
        <v>3SNMLBMNGTBF</v>
      </c>
      <c r="G707" s="256" t="str">
        <f>IF(D707="","",VLOOKUP(F707,製品マスタ!$G$5:$H$4999,2,FALSE))</f>
        <v>S</v>
      </c>
      <c r="H707" s="256" t="str">
        <f>IF(D707="","",VLOOKUP(F707,製品マスタ!$G$5:$K$4999,5,FALSE))</f>
        <v>MNGTBF</v>
      </c>
      <c r="I707" s="200" t="str">
        <f>IF(D707="","",VLOOKUP(F707,製品マスタ!$G$5:$L$4999,6,FALSE))</f>
        <v>メタルミー　ネーマー　銀艶　Ｂ</v>
      </c>
      <c r="J707" s="203" t="s">
        <v>935</v>
      </c>
      <c r="K707" s="200">
        <f>IF(D707="","",VLOOKUP(D707,契約台帳!$A$3:$L$4986,12,FALSE))</f>
        <v>50</v>
      </c>
      <c r="L707" s="200" t="str">
        <f>IF(D707="","",INDEX(製品マスタ!$Q$5:$Q$4999,MATCH('S4'!F707&amp;'S4'!K707,製品マスタ!$AO$5:$AO$4999,0)))</f>
        <v>T62</v>
      </c>
      <c r="M707" s="37">
        <v>1120</v>
      </c>
      <c r="N707" s="37">
        <v>5000</v>
      </c>
      <c r="O707" s="153">
        <v>1</v>
      </c>
      <c r="P707" s="45">
        <v>2</v>
      </c>
      <c r="Q707" s="206">
        <v>45100</v>
      </c>
      <c r="R707" s="257">
        <f ca="1">IF(D707="","",IF(OFFSET(D707,-1,0)&lt;&gt;"","",IF(OR(J707="リード付け",J707="巻足し",J707="巻返しリード付け"),M707,VLOOKUP(D707,契約台帳!$A$3:$N$4986,14,FALSE))))</f>
        <v>1120</v>
      </c>
      <c r="S707" s="258">
        <f ca="1">IF(D707="","",IF(OFFSET(D707,-1,0)&lt;&gt;"","",IF(OR(J707="リード付け",J707="巻足し",J707="巻返しリード付け"),M707,VLOOKUP(D707,契約台帳!$A$3:$O$4986,15,FALSE))))</f>
        <v>1120</v>
      </c>
      <c r="T707" s="258">
        <f ca="1">IF(D707="","",IF(J707="リード付け",N707,IF(J707="巻返しリード付け",N707,IF(J707="巻足し",N707*P707+OFFSET(N707,1,0)*OFFSET(P707,1,0),VLOOKUP(D707,契約台帳!$A$3:$P$4986,16,FALSE)))))</f>
        <v>10000</v>
      </c>
      <c r="U707" s="38">
        <v>1</v>
      </c>
      <c r="V707" s="259" t="str">
        <f ca="1">IF(D707="","",IF(OFFSET(D707,-2,0)=D707,"",VLOOKUP(D707,契約台帳!$A$3:$R$4986,18,FALSE)))</f>
        <v/>
      </c>
      <c r="W707" s="256" t="str">
        <f ca="1">IF(D707="","",IF(T707="","",IF(OR(J707="巻足し",J707="巻返しリード付け"),"",IF(J707="巻返し",VLOOKUP(F707&amp;K707&amp;M707,製品マスタ!$M$5:$AD$4999,18,FALSE),IF(OR(J707="リード付け",J707="巻返しリード付け"),"原反コア",IF(J707="スリット",VLOOKUP(F707&amp;K707&amp;R707,製品マスタ!$N$5:$AD$4999,17,FALSE),""))))))</f>
        <v/>
      </c>
      <c r="X707" s="256" t="str">
        <f ca="1">IF(D707="","",IF(T707="","",IF(J707="巻足し","",IF(J707="巻返し",VLOOKUP(F707&amp;K707&amp;M707,製品マスタ!$M$5:$AE$4999,19,FALSE),IF(OR(J707="リード付け",J707="巻返しリード付け"),"",IF(J707="スリット",VLOOKUP(F707&amp;K707&amp;R707,製品マスタ!$N$5:$AE$4999,18,FALSE),""))))))</f>
        <v/>
      </c>
      <c r="Y707" s="256">
        <f ca="1">IF(D707="","",IF(T707="","",VLOOKUP(D707,契約台帳!$A$3:$Q$4986,17,FALSE)))</f>
        <v>2</v>
      </c>
      <c r="Z707" s="256" t="str">
        <f ca="1">IF(D707="","",IF(T707="","",VLOOKUP(D707,契約台帳!$A$3:$E$4986,5,FALSE)))</f>
        <v>リンテック㈱</v>
      </c>
      <c r="AA707" s="54"/>
      <c r="AB707" s="200" t="str">
        <f>IFERROR((VLOOKUP(F707&amp;K707&amp;M707,製品マスタ!$M$5:$AM$4999,27,FALSE)),"")</f>
        <v>原反ケース再利用</v>
      </c>
      <c r="AC707" s="31"/>
      <c r="AD707" s="184"/>
      <c r="AE707" s="51"/>
      <c r="AF707" s="52">
        <f>+M707*N707*O707/1000</f>
        <v>5600</v>
      </c>
      <c r="AG707" s="41"/>
      <c r="AH707" s="45"/>
      <c r="AI707" s="28"/>
      <c r="AJ707" s="28"/>
      <c r="AK707" s="28"/>
      <c r="AL707" s="28"/>
      <c r="AM707" s="12"/>
      <c r="AN707" s="12"/>
      <c r="AO707" s="12"/>
      <c r="AP707" s="12"/>
      <c r="AQ707" s="12"/>
      <c r="AR707" s="13"/>
      <c r="AS707" s="14"/>
    </row>
    <row r="708" spans="1:45" s="16" customFormat="1" ht="30.95" hidden="1" customHeight="1" x14ac:dyDescent="0.2">
      <c r="A708" s="35"/>
      <c r="B708" s="36"/>
      <c r="C708" s="43"/>
      <c r="D708" s="29">
        <v>3716258</v>
      </c>
      <c r="E708" s="29"/>
      <c r="F708" s="255" t="str">
        <f>IF(D708="","",VLOOKUP(D708,契約台帳!$A$3:$K$4986,6,FALSE)&amp;VLOOKUP(D708,契約台帳!$A$3:$K$4986,7,FALSE)&amp;VLOOKUP(D708,契約台帳!$A$3:$K$4986,8,FALSE)&amp;VLOOKUP(D708,契約台帳!$A$3:$K$4986,9,FALSE)&amp;VLOOKUP(D708,契約台帳!$A$3:$K$4986,11,FALSE))</f>
        <v>3SNMLBMNGTBF</v>
      </c>
      <c r="G708" s="256" t="str">
        <f>IF(D708="","",VLOOKUP(F708,製品マスタ!$G$5:$H$4999,2,FALSE))</f>
        <v>S</v>
      </c>
      <c r="H708" s="256" t="str">
        <f>IF(D708="","",VLOOKUP(F708,製品マスタ!$G$5:$K$4999,5,FALSE))</f>
        <v>MNGTBF</v>
      </c>
      <c r="I708" s="200" t="str">
        <f>IF(D708="","",VLOOKUP(F708,製品マスタ!$G$5:$L$4999,6,FALSE))</f>
        <v>メタルミー　ネーマー　銀艶　Ｂ</v>
      </c>
      <c r="J708" s="203" t="s">
        <v>935</v>
      </c>
      <c r="K708" s="200">
        <f>IF(D708="","",VLOOKUP(D708,契約台帳!$A$3:$L$4986,12,FALSE))</f>
        <v>50</v>
      </c>
      <c r="L708" s="200" t="str">
        <f>IF(D708="","",INDEX(製品マスタ!$Q$5:$Q$4999,MATCH('S4'!F708&amp;'S4'!K708,製品マスタ!$AO$5:$AO$4999,0)))</f>
        <v>T62</v>
      </c>
      <c r="M708" s="37">
        <v>1120</v>
      </c>
      <c r="N708" s="37">
        <v>5000</v>
      </c>
      <c r="O708" s="153">
        <v>1</v>
      </c>
      <c r="P708" s="45"/>
      <c r="Q708" s="206">
        <v>45103</v>
      </c>
      <c r="R708" s="257" t="str">
        <f ca="1">IF(D708="","",IF(OFFSET(D708,-1,0)&lt;&gt;"","",IF(OR(J708="リード付け",J708="巻足し",J708="巻返しリード付け"),M708,VLOOKUP(D708,契約台帳!$A$3:$N$4986,14,FALSE))))</f>
        <v/>
      </c>
      <c r="S708" s="258" t="str">
        <f ca="1">IF(D708="","",IF(OFFSET(D708,-1,0)&lt;&gt;"","",IF(OR(J708="リード付け",J708="巻足し",J708="巻返しリード付け"),M708,VLOOKUP(D708,契約台帳!$A$3:$O$4986,15,FALSE))))</f>
        <v/>
      </c>
      <c r="T708" s="258">
        <f ca="1">IF(D708="","",IF(J708="リード付け",N708,IF(J708="巻返しリード付け",N708,IF(J708="巻足し",N708*P708+OFFSET(N708,1,0)*OFFSET(P708,1,0),VLOOKUP(D708,契約台帳!$A$3:$P$4986,16,FALSE)))))</f>
        <v>0</v>
      </c>
      <c r="U708" s="38"/>
      <c r="V708" s="259">
        <f ca="1">IF(D708="","",IF(OFFSET(D708,-2,0)=D708,"",VLOOKUP(D708,契約台帳!$A$3:$R$4986,18,FALSE)))</f>
        <v>13</v>
      </c>
      <c r="W708" s="256" t="str">
        <f ca="1">IF(D708="","",IF(T708="","",IF(OR(J708="巻足し",J708="巻返しリード付け"),"",IF(J708="巻返し",VLOOKUP(F708&amp;K708&amp;M708,製品マスタ!$M$5:$AD$4999,18,FALSE),IF(OR(J708="リード付け",J708="巻返しリード付け"),"原反コア",IF(J708="スリット",VLOOKUP(F708&amp;K708&amp;R708,製品マスタ!$N$5:$AD$4999,17,FALSE),""))))))</f>
        <v/>
      </c>
      <c r="X708" s="256" t="str">
        <f ca="1">IF(D708="","",IF(T708="","",IF(J708="巻足し","",IF(J708="巻返し",VLOOKUP(F708&amp;K708&amp;M708,製品マスタ!$M$5:$AE$4999,19,FALSE),IF(OR(J708="リード付け",J708="巻返しリード付け"),"",IF(J708="スリット",VLOOKUP(F708&amp;K708&amp;R708,製品マスタ!$N$5:$AE$4999,18,FALSE),""))))))</f>
        <v/>
      </c>
      <c r="Y708" s="256">
        <f ca="1">IF(D708="","",IF(T708="","",VLOOKUP(D708,契約台帳!$A$3:$Q$4986,17,FALSE)))</f>
        <v>2</v>
      </c>
      <c r="Z708" s="256" t="str">
        <f ca="1">IF(D708="","",IF(T708="","",VLOOKUP(D708,契約台帳!$A$3:$E$4986,5,FALSE)))</f>
        <v>リンテック㈱</v>
      </c>
      <c r="AA708" s="54"/>
      <c r="AB708" s="200" t="str">
        <f>IFERROR((VLOOKUP(F708&amp;K708&amp;M708,製品マスタ!$M$5:$AM$4999,27,FALSE)),"")</f>
        <v>原反ケース再利用</v>
      </c>
      <c r="AC708" s="31"/>
      <c r="AD708" s="184"/>
      <c r="AE708" s="51"/>
      <c r="AF708" s="52">
        <f>+M708*N708*O708/1000</f>
        <v>5600</v>
      </c>
      <c r="AG708" s="41"/>
      <c r="AH708" s="45"/>
      <c r="AI708" s="28"/>
      <c r="AJ708" s="28"/>
      <c r="AK708" s="28"/>
      <c r="AL708" s="28"/>
      <c r="AM708" s="12"/>
      <c r="AN708" s="12"/>
      <c r="AO708" s="12"/>
      <c r="AP708" s="12"/>
      <c r="AQ708" s="12"/>
      <c r="AR708" s="13"/>
      <c r="AS708" s="14"/>
    </row>
    <row r="709" spans="1:45" s="16" customFormat="1" ht="30.95" hidden="1" customHeight="1" x14ac:dyDescent="0.2">
      <c r="A709" s="35"/>
      <c r="B709" s="36"/>
      <c r="C709" s="43"/>
      <c r="D709" s="29"/>
      <c r="E709" s="29"/>
      <c r="F709" s="255"/>
      <c r="G709" s="256"/>
      <c r="H709" s="256"/>
      <c r="I709" s="200"/>
      <c r="J709" s="203"/>
      <c r="K709" s="200"/>
      <c r="L709" s="200"/>
      <c r="M709" s="37"/>
      <c r="N709" s="37"/>
      <c r="O709" s="153"/>
      <c r="P709" s="45"/>
      <c r="Q709" s="54"/>
      <c r="R709" s="257"/>
      <c r="S709" s="258"/>
      <c r="T709" s="258"/>
      <c r="U709" s="38"/>
      <c r="V709" s="259"/>
      <c r="W709" s="256"/>
      <c r="X709" s="256"/>
      <c r="Y709" s="256"/>
      <c r="Z709" s="256"/>
      <c r="AA709" s="54"/>
      <c r="AB709" s="200" t="str">
        <f>IFERROR((VLOOKUP(F709&amp;K709&amp;M709,製品マスタ!$M$5:$AM$4999,27,FALSE)),"")</f>
        <v/>
      </c>
      <c r="AC709" s="31"/>
      <c r="AD709" s="184"/>
      <c r="AE709" s="51"/>
      <c r="AF709" s="52"/>
      <c r="AG709" s="41"/>
      <c r="AH709" s="45"/>
      <c r="AI709" s="28"/>
      <c r="AJ709" s="28"/>
      <c r="AK709" s="28"/>
      <c r="AL709" s="28"/>
      <c r="AM709" s="12"/>
      <c r="AN709" s="12"/>
      <c r="AO709" s="12"/>
      <c r="AP709" s="12"/>
      <c r="AQ709" s="12"/>
      <c r="AR709" s="13"/>
      <c r="AS709" s="14"/>
    </row>
    <row r="710" spans="1:45" s="16" customFormat="1" ht="30.95" hidden="1" customHeight="1" x14ac:dyDescent="0.2">
      <c r="A710" s="35" t="s">
        <v>1214</v>
      </c>
      <c r="B710" s="36" t="s">
        <v>688</v>
      </c>
      <c r="C710" s="43"/>
      <c r="D710" s="29">
        <v>3716258</v>
      </c>
      <c r="E710" s="29">
        <v>4161982</v>
      </c>
      <c r="F710" s="255" t="str">
        <f>IF(D710="","",VLOOKUP(D710,契約台帳!$A$3:$K$4986,6,FALSE)&amp;VLOOKUP(D710,契約台帳!$A$3:$K$4986,7,FALSE)&amp;VLOOKUP(D710,契約台帳!$A$3:$K$4986,8,FALSE)&amp;VLOOKUP(D710,契約台帳!$A$3:$K$4986,9,FALSE)&amp;VLOOKUP(D710,契約台帳!$A$3:$K$4986,11,FALSE))</f>
        <v>3SNMLBMNGTBF</v>
      </c>
      <c r="G710" s="256" t="str">
        <f>IF(D710="","",VLOOKUP(F710,製品マスタ!$G$5:$H$4999,2,FALSE))</f>
        <v>S</v>
      </c>
      <c r="H710" s="256" t="str">
        <f>IF(D710="","",VLOOKUP(F710,製品マスタ!$G$5:$K$4999,5,FALSE))</f>
        <v>MNGTBF</v>
      </c>
      <c r="I710" s="200" t="str">
        <f>IF(D710="","",VLOOKUP(F710,製品マスタ!$G$5:$L$4999,6,FALSE))</f>
        <v>メタルミー　ネーマー　銀艶　Ｂ</v>
      </c>
      <c r="J710" s="203" t="s">
        <v>935</v>
      </c>
      <c r="K710" s="200">
        <f>IF(D710="","",VLOOKUP(D710,契約台帳!$A$3:$L$4986,12,FALSE))</f>
        <v>50</v>
      </c>
      <c r="L710" s="200" t="str">
        <f>IF(D710="","",INDEX(製品マスタ!$Q$5:$Q$4999,MATCH('S4'!F710&amp;'S4'!K710,製品マスタ!$AO$5:$AO$4999,0)))</f>
        <v>T62</v>
      </c>
      <c r="M710" s="37">
        <v>1120</v>
      </c>
      <c r="N710" s="37">
        <v>5000</v>
      </c>
      <c r="O710" s="153">
        <v>12</v>
      </c>
      <c r="P710" s="45">
        <v>2</v>
      </c>
      <c r="Q710" s="206">
        <v>45103</v>
      </c>
      <c r="R710" s="257">
        <f ca="1">IF(D710="","",IF(OFFSET(D710,-1,0)&lt;&gt;"","",IF(OR(J710="リード付け",J710="巻足し",J710="巻返しリード付け"),M710,VLOOKUP(D710,契約台帳!$A$3:$N$4986,14,FALSE))))</f>
        <v>1120</v>
      </c>
      <c r="S710" s="258">
        <f ca="1">IF(D710="","",IF(OFFSET(D710,-1,0)&lt;&gt;"","",IF(OR(J710="リード付け",J710="巻足し",J710="巻返しリード付け"),M710,VLOOKUP(D710,契約台帳!$A$3:$O$4986,15,FALSE))))</f>
        <v>1120</v>
      </c>
      <c r="T710" s="258">
        <f ca="1">IF(D710="","",IF(J710="リード付け",N710,IF(J710="巻返しリード付け",N710,IF(J710="巻足し",N710*P710+OFFSET(N710,1,0)*OFFSET(P710,1,0),VLOOKUP(D710,契約台帳!$A$3:$P$4986,16,FALSE)))))</f>
        <v>10000</v>
      </c>
      <c r="U710" s="38">
        <v>6</v>
      </c>
      <c r="V710" s="259" t="str">
        <f ca="1">IF(D710="","",IF(OFFSET(D710,-2,0)=D710,"",VLOOKUP(D710,契約台帳!$A$3:$R$4986,18,FALSE)))</f>
        <v/>
      </c>
      <c r="W710" s="256" t="str">
        <f ca="1">IF(D710="","",IF(T710="","",IF(OR(J710="巻足し",J710="巻返しリード付け"),"",IF(J710="巻返し",VLOOKUP(F710&amp;K710&amp;M710,製品マスタ!$M$5:$AD$4999,18,FALSE),IF(OR(J710="リード付け",J710="巻返しリード付け"),"原反コア",IF(J710="スリット",VLOOKUP(F710&amp;K710&amp;R710,製品マスタ!$N$5:$AD$4999,17,FALSE),""))))))</f>
        <v/>
      </c>
      <c r="X710" s="256" t="str">
        <f ca="1">IF(D710="","",IF(T710="","",IF(J710="巻足し","",IF(J710="巻返し",VLOOKUP(F710&amp;K710&amp;M710,製品マスタ!$M$5:$AE$4999,19,FALSE),IF(OR(J710="リード付け",J710="巻返しリード付け"),"",IF(J710="スリット",VLOOKUP(F710&amp;K710&amp;R710,製品マスタ!$N$5:$AE$4999,18,FALSE),""))))))</f>
        <v/>
      </c>
      <c r="Y710" s="256">
        <f ca="1">IF(D710="","",IF(T710="","",VLOOKUP(D710,契約台帳!$A$3:$Q$4986,17,FALSE)))</f>
        <v>2</v>
      </c>
      <c r="Z710" s="256" t="str">
        <f ca="1">IF(D710="","",IF(T710="","",VLOOKUP(D710,契約台帳!$A$3:$E$4986,5,FALSE)))</f>
        <v>リンテック㈱</v>
      </c>
      <c r="AA710" s="54"/>
      <c r="AB710" s="200" t="str">
        <f>IFERROR((VLOOKUP(F710&amp;K710&amp;M710,製品マスタ!$M$5:$AM$4999,27,FALSE)),"")</f>
        <v>原反ケース再利用</v>
      </c>
      <c r="AC710" s="31"/>
      <c r="AD710" s="184"/>
      <c r="AE710" s="51"/>
      <c r="AF710" s="52">
        <f>+M710*N710*O710/1000</f>
        <v>67200</v>
      </c>
      <c r="AG710" s="41"/>
      <c r="AH710" s="45"/>
      <c r="AI710" s="28"/>
      <c r="AJ710" s="28"/>
      <c r="AK710" s="28"/>
      <c r="AL710" s="28"/>
      <c r="AM710" s="12"/>
      <c r="AN710" s="12"/>
      <c r="AO710" s="12"/>
      <c r="AP710" s="12"/>
      <c r="AQ710" s="12"/>
      <c r="AR710" s="13"/>
      <c r="AS710" s="14"/>
    </row>
    <row r="711" spans="1:45" s="16" customFormat="1" ht="30.95" hidden="1" customHeight="1" x14ac:dyDescent="0.2">
      <c r="A711" s="35"/>
      <c r="B711" s="36"/>
      <c r="C711" s="43"/>
      <c r="D711" s="29"/>
      <c r="E711" s="29"/>
      <c r="F711" s="255"/>
      <c r="G711" s="256"/>
      <c r="H711" s="256"/>
      <c r="I711" s="200"/>
      <c r="J711" s="203"/>
      <c r="K711" s="200"/>
      <c r="L711" s="200"/>
      <c r="M711" s="37"/>
      <c r="N711" s="37"/>
      <c r="O711" s="153"/>
      <c r="P711" s="45"/>
      <c r="Q711" s="54"/>
      <c r="R711" s="257"/>
      <c r="S711" s="258"/>
      <c r="T711" s="258"/>
      <c r="U711" s="38"/>
      <c r="V711" s="259"/>
      <c r="W711" s="256"/>
      <c r="X711" s="256"/>
      <c r="Y711" s="256"/>
      <c r="Z711" s="256"/>
      <c r="AA711" s="54"/>
      <c r="AB711" s="200" t="str">
        <f>IFERROR((VLOOKUP(F711&amp;K711&amp;M711,製品マスタ!$M$5:$AM$4999,27,FALSE)),"")</f>
        <v/>
      </c>
      <c r="AC711" s="31"/>
      <c r="AD711" s="184"/>
      <c r="AE711" s="51"/>
      <c r="AF711" s="52"/>
      <c r="AG711" s="41"/>
      <c r="AH711" s="45"/>
      <c r="AI711" s="28"/>
      <c r="AJ711" s="28"/>
      <c r="AK711" s="28"/>
      <c r="AL711" s="28"/>
      <c r="AM711" s="12"/>
      <c r="AN711" s="12"/>
      <c r="AO711" s="12"/>
      <c r="AP711" s="12"/>
      <c r="AQ711" s="12"/>
      <c r="AR711" s="13"/>
      <c r="AS711" s="14"/>
    </row>
    <row r="712" spans="1:45" s="16" customFormat="1" ht="30.95" hidden="1" customHeight="1" x14ac:dyDescent="0.2">
      <c r="A712" s="35"/>
      <c r="B712" s="36"/>
      <c r="C712" s="43"/>
      <c r="D712" s="29">
        <v>3716259</v>
      </c>
      <c r="E712" s="29">
        <v>4161983</v>
      </c>
      <c r="F712" s="255" t="str">
        <f>IF(D712="","",VLOOKUP(D712,契約台帳!$A$3:$K$4986,6,FALSE)&amp;VLOOKUP(D712,契約台帳!$A$3:$K$4986,7,FALSE)&amp;VLOOKUP(D712,契約台帳!$A$3:$K$4986,8,FALSE)&amp;VLOOKUP(D712,契約台帳!$A$3:$K$4986,9,FALSE)&amp;VLOOKUP(D712,契約台帳!$A$3:$K$4986,11,FALSE))</f>
        <v>3SNMLBMNGTBF</v>
      </c>
      <c r="G712" s="256" t="str">
        <f>IF(D712="","",VLOOKUP(F712,製品マスタ!$G$5:$H$4999,2,FALSE))</f>
        <v>S</v>
      </c>
      <c r="H712" s="256" t="str">
        <f>IF(D712="","",VLOOKUP(F712,製品マスタ!$G$5:$K$4999,5,FALSE))</f>
        <v>MNGTBF</v>
      </c>
      <c r="I712" s="200" t="str">
        <f>IF(D712="","",VLOOKUP(F712,製品マスタ!$G$5:$L$4999,6,FALSE))</f>
        <v>メタルミー　ネーマー　銀艶　Ｂ</v>
      </c>
      <c r="J712" s="203" t="s">
        <v>935</v>
      </c>
      <c r="K712" s="200">
        <f>IF(D712="","",VLOOKUP(D712,契約台帳!$A$3:$L$4986,12,FALSE))</f>
        <v>50</v>
      </c>
      <c r="L712" s="200" t="str">
        <f>IF(D712="","",INDEX(製品マスタ!$Q$5:$Q$4999,MATCH('S4'!F712&amp;'S4'!K712,製品マスタ!$AO$5:$AO$4999,0)))</f>
        <v>T62</v>
      </c>
      <c r="M712" s="37">
        <v>1120</v>
      </c>
      <c r="N712" s="37">
        <v>5000</v>
      </c>
      <c r="O712" s="153">
        <v>12</v>
      </c>
      <c r="P712" s="45">
        <v>2</v>
      </c>
      <c r="Q712" s="206">
        <v>45104</v>
      </c>
      <c r="R712" s="257">
        <f ca="1">IF(D712="","",IF(OFFSET(D712,-1,0)&lt;&gt;"","",IF(OR(J712="リード付け",J712="巻足し",J712="巻返しリード付け"),M712,VLOOKUP(D712,契約台帳!$A$3:$N$4986,14,FALSE))))</f>
        <v>1120</v>
      </c>
      <c r="S712" s="258">
        <f ca="1">IF(D712="","",IF(OFFSET(D712,-1,0)&lt;&gt;"","",IF(OR(J712="リード付け",J712="巻足し",J712="巻返しリード付け"),M712,VLOOKUP(D712,契約台帳!$A$3:$O$4986,15,FALSE))))</f>
        <v>1120</v>
      </c>
      <c r="T712" s="258">
        <f ca="1">IF(D712="","",IF(J712="リード付け",N712,IF(J712="巻返しリード付け",N712,IF(J712="巻足し",N712*P712+OFFSET(N712,1,0)*OFFSET(P712,1,0),VLOOKUP(D712,契約台帳!$A$3:$P$4986,16,FALSE)))))</f>
        <v>10000</v>
      </c>
      <c r="U712" s="38">
        <v>6</v>
      </c>
      <c r="V712" s="259">
        <f ca="1">IF(D712="","",IF(OFFSET(D712,-2,0)=D712,"",VLOOKUP(D712,契約台帳!$A$3:$R$4986,18,FALSE)))</f>
        <v>13</v>
      </c>
      <c r="W712" s="256" t="str">
        <f ca="1">IF(D712="","",IF(T712="","",IF(OR(J712="巻足し",J712="巻返しリード付け"),"",IF(J712="巻返し",VLOOKUP(F712&amp;K712&amp;M712,製品マスタ!$M$5:$AD$4999,18,FALSE),IF(OR(J712="リード付け",J712="巻返しリード付け"),"原反コア",IF(J712="スリット",VLOOKUP(F712&amp;K712&amp;R712,製品マスタ!$N$5:$AD$4999,17,FALSE),""))))))</f>
        <v/>
      </c>
      <c r="X712" s="256" t="str">
        <f ca="1">IF(D712="","",IF(T712="","",IF(J712="巻足し","",IF(J712="巻返し",VLOOKUP(F712&amp;K712&amp;M712,製品マスタ!$M$5:$AE$4999,19,FALSE),IF(OR(J712="リード付け",J712="巻返しリード付け"),"",IF(J712="スリット",VLOOKUP(F712&amp;K712&amp;R712,製品マスタ!$N$5:$AE$4999,18,FALSE),""))))))</f>
        <v/>
      </c>
      <c r="Y712" s="256">
        <f ca="1">IF(D712="","",IF(T712="","",VLOOKUP(D712,契約台帳!$A$3:$Q$4986,17,FALSE)))</f>
        <v>2</v>
      </c>
      <c r="Z712" s="256" t="str">
        <f ca="1">IF(D712="","",IF(T712="","",VLOOKUP(D712,契約台帳!$A$3:$E$4986,5,FALSE)))</f>
        <v>リンテック㈱</v>
      </c>
      <c r="AA712" s="54"/>
      <c r="AB712" s="200" t="str">
        <f>IFERROR((VLOOKUP(F712&amp;K712&amp;M712,製品マスタ!$M$5:$AM$4999,27,FALSE)),"")</f>
        <v>原反ケース再利用</v>
      </c>
      <c r="AC712" s="31"/>
      <c r="AD712" s="184"/>
      <c r="AE712" s="51"/>
      <c r="AF712" s="52">
        <f>+M712*N712*O712/1000</f>
        <v>67200</v>
      </c>
      <c r="AG712" s="41"/>
      <c r="AH712" s="45"/>
      <c r="AI712" s="28"/>
      <c r="AJ712" s="28"/>
      <c r="AK712" s="28"/>
      <c r="AL712" s="28"/>
      <c r="AM712" s="12"/>
      <c r="AN712" s="12"/>
      <c r="AO712" s="12"/>
      <c r="AP712" s="12"/>
      <c r="AQ712" s="12"/>
      <c r="AR712" s="13"/>
      <c r="AS712" s="14"/>
    </row>
    <row r="713" spans="1:45" s="16" customFormat="1" ht="30.95" hidden="1" customHeight="1" x14ac:dyDescent="0.2">
      <c r="A713" s="35"/>
      <c r="B713" s="36"/>
      <c r="C713" s="43"/>
      <c r="D713" s="29"/>
      <c r="E713" s="29"/>
      <c r="F713" s="255"/>
      <c r="G713" s="256"/>
      <c r="H713" s="256"/>
      <c r="I713" s="200"/>
      <c r="J713" s="203"/>
      <c r="K713" s="200"/>
      <c r="L713" s="200"/>
      <c r="M713" s="37"/>
      <c r="N713" s="37"/>
      <c r="O713" s="153"/>
      <c r="P713" s="45"/>
      <c r="Q713" s="54"/>
      <c r="R713" s="257"/>
      <c r="S713" s="258"/>
      <c r="T713" s="258"/>
      <c r="U713" s="38"/>
      <c r="V713" s="259"/>
      <c r="W713" s="256"/>
      <c r="X713" s="256"/>
      <c r="Y713" s="256"/>
      <c r="Z713" s="256"/>
      <c r="AA713" s="54"/>
      <c r="AB713" s="200" t="str">
        <f>IFERROR((VLOOKUP(F713&amp;K713&amp;M713,製品マスタ!$M$5:$AM$4999,27,FALSE)),"")</f>
        <v/>
      </c>
      <c r="AC713" s="31"/>
      <c r="AD713" s="184"/>
      <c r="AE713" s="51"/>
      <c r="AF713" s="52"/>
      <c r="AG713" s="41"/>
      <c r="AH713" s="45"/>
      <c r="AI713" s="28"/>
      <c r="AJ713" s="28"/>
      <c r="AK713" s="28"/>
      <c r="AL713" s="28"/>
      <c r="AM713" s="12"/>
      <c r="AN713" s="12"/>
      <c r="AO713" s="12"/>
      <c r="AP713" s="12"/>
      <c r="AQ713" s="12"/>
      <c r="AR713" s="13"/>
      <c r="AS713" s="14"/>
    </row>
    <row r="714" spans="1:45" s="16" customFormat="1" ht="30.95" hidden="1" customHeight="1" x14ac:dyDescent="0.2">
      <c r="A714" s="35" t="s">
        <v>1215</v>
      </c>
      <c r="B714" s="36" t="s">
        <v>442</v>
      </c>
      <c r="C714" s="43"/>
      <c r="D714" s="29">
        <v>3716259</v>
      </c>
      <c r="E714" s="29">
        <v>4161983</v>
      </c>
      <c r="F714" s="255" t="str">
        <f>IF(D714="","",VLOOKUP(D714,契約台帳!$A$3:$K$4986,6,FALSE)&amp;VLOOKUP(D714,契約台帳!$A$3:$K$4986,7,FALSE)&amp;VLOOKUP(D714,契約台帳!$A$3:$K$4986,8,FALSE)&amp;VLOOKUP(D714,契約台帳!$A$3:$K$4986,9,FALSE)&amp;VLOOKUP(D714,契約台帳!$A$3:$K$4986,11,FALSE))</f>
        <v>3SNMLBMNGTBF</v>
      </c>
      <c r="G714" s="256" t="str">
        <f>IF(D714="","",VLOOKUP(F714,製品マスタ!$G$5:$H$4999,2,FALSE))</f>
        <v>S</v>
      </c>
      <c r="H714" s="256" t="str">
        <f>IF(D714="","",VLOOKUP(F714,製品マスタ!$G$5:$K$4999,5,FALSE))</f>
        <v>MNGTBF</v>
      </c>
      <c r="I714" s="200" t="str">
        <f>IF(D714="","",VLOOKUP(F714,製品マスタ!$G$5:$L$4999,6,FALSE))</f>
        <v>メタルミー　ネーマー　銀艶　Ｂ</v>
      </c>
      <c r="J714" s="203" t="s">
        <v>935</v>
      </c>
      <c r="K714" s="200">
        <f>IF(D714="","",VLOOKUP(D714,契約台帳!$A$3:$L$4986,12,FALSE))</f>
        <v>50</v>
      </c>
      <c r="L714" s="200" t="str">
        <f>IF(D714="","",INDEX(製品マスタ!$Q$5:$Q$4999,MATCH('S4'!F714&amp;'S4'!K714,製品マスタ!$AO$5:$AO$4999,0)))</f>
        <v>T62</v>
      </c>
      <c r="M714" s="37">
        <v>1120</v>
      </c>
      <c r="N714" s="37">
        <v>5000</v>
      </c>
      <c r="O714" s="153">
        <v>1</v>
      </c>
      <c r="P714" s="45">
        <v>2</v>
      </c>
      <c r="Q714" s="206">
        <v>45104</v>
      </c>
      <c r="R714" s="257">
        <f ca="1">IF(D714="","",IF(OFFSET(D714,-1,0)&lt;&gt;"","",IF(OR(J714="リード付け",J714="巻足し",J714="巻返しリード付け"),M714,VLOOKUP(D714,契約台帳!$A$3:$N$4986,14,FALSE))))</f>
        <v>1120</v>
      </c>
      <c r="S714" s="258">
        <f ca="1">IF(D714="","",IF(OFFSET(D714,-1,0)&lt;&gt;"","",IF(OR(J714="リード付け",J714="巻足し",J714="巻返しリード付け"),M714,VLOOKUP(D714,契約台帳!$A$3:$O$4986,15,FALSE))))</f>
        <v>1120</v>
      </c>
      <c r="T714" s="258">
        <f ca="1">IF(D714="","",IF(J714="リード付け",N714,IF(J714="巻返しリード付け",N714,IF(J714="巻足し",N714*P714+OFFSET(N714,1,0)*OFFSET(P714,1,0),VLOOKUP(D714,契約台帳!$A$3:$P$4986,16,FALSE)))))</f>
        <v>10000</v>
      </c>
      <c r="U714" s="38">
        <v>1</v>
      </c>
      <c r="V714" s="259" t="str">
        <f ca="1">IF(D714="","",IF(OFFSET(D714,-2,0)=D714,"",VLOOKUP(D714,契約台帳!$A$3:$R$4986,18,FALSE)))</f>
        <v/>
      </c>
      <c r="W714" s="256" t="str">
        <f ca="1">IF(D714="","",IF(T714="","",IF(OR(J714="巻足し",J714="巻返しリード付け"),"",IF(J714="巻返し",VLOOKUP(F714&amp;K714&amp;M714,製品マスタ!$M$5:$AD$4999,18,FALSE),IF(OR(J714="リード付け",J714="巻返しリード付け"),"原反コア",IF(J714="スリット",VLOOKUP(F714&amp;K714&amp;R714,製品マスタ!$N$5:$AD$4999,17,FALSE),""))))))</f>
        <v/>
      </c>
      <c r="X714" s="256" t="str">
        <f ca="1">IF(D714="","",IF(T714="","",IF(J714="巻足し","",IF(J714="巻返し",VLOOKUP(F714&amp;K714&amp;M714,製品マスタ!$M$5:$AE$4999,19,FALSE),IF(OR(J714="リード付け",J714="巻返しリード付け"),"",IF(J714="スリット",VLOOKUP(F714&amp;K714&amp;R714,製品マスタ!$N$5:$AE$4999,18,FALSE),""))))))</f>
        <v/>
      </c>
      <c r="Y714" s="256">
        <f ca="1">IF(D714="","",IF(T714="","",VLOOKUP(D714,契約台帳!$A$3:$Q$4986,17,FALSE)))</f>
        <v>2</v>
      </c>
      <c r="Z714" s="256" t="str">
        <f ca="1">IF(D714="","",IF(T714="","",VLOOKUP(D714,契約台帳!$A$3:$E$4986,5,FALSE)))</f>
        <v>リンテック㈱</v>
      </c>
      <c r="AA714" s="54"/>
      <c r="AB714" s="200" t="str">
        <f>IFERROR((VLOOKUP(F714&amp;K714&amp;M714,製品マスタ!$M$5:$AM$4999,27,FALSE)),"")</f>
        <v>原反ケース再利用</v>
      </c>
      <c r="AC714" s="31"/>
      <c r="AD714" s="184"/>
      <c r="AE714" s="51"/>
      <c r="AF714" s="52">
        <f>+M714*N714*O714/1000</f>
        <v>5600</v>
      </c>
      <c r="AG714" s="41"/>
      <c r="AH714" s="45"/>
      <c r="AI714" s="28"/>
      <c r="AJ714" s="28"/>
      <c r="AK714" s="28"/>
      <c r="AL714" s="28"/>
      <c r="AM714" s="12"/>
      <c r="AN714" s="12"/>
      <c r="AO714" s="12"/>
      <c r="AP714" s="12"/>
      <c r="AQ714" s="12"/>
      <c r="AR714" s="13"/>
      <c r="AS714" s="14"/>
    </row>
    <row r="715" spans="1:45" s="16" customFormat="1" ht="30.95" hidden="1" customHeight="1" x14ac:dyDescent="0.2">
      <c r="A715" s="35"/>
      <c r="B715" s="36"/>
      <c r="C715" s="43"/>
      <c r="D715" s="29">
        <v>3716260</v>
      </c>
      <c r="E715" s="29"/>
      <c r="F715" s="255" t="str">
        <f>IF(D715="","",VLOOKUP(D715,契約台帳!$A$3:$K$4986,6,FALSE)&amp;VLOOKUP(D715,契約台帳!$A$3:$K$4986,7,FALSE)&amp;VLOOKUP(D715,契約台帳!$A$3:$K$4986,8,FALSE)&amp;VLOOKUP(D715,契約台帳!$A$3:$K$4986,9,FALSE)&amp;VLOOKUP(D715,契約台帳!$A$3:$K$4986,11,FALSE))</f>
        <v>3SNMLBMNGTBF</v>
      </c>
      <c r="G715" s="256" t="str">
        <f>IF(D715="","",VLOOKUP(F715,製品マスタ!$G$5:$H$4999,2,FALSE))</f>
        <v>S</v>
      </c>
      <c r="H715" s="256" t="str">
        <f>IF(D715="","",VLOOKUP(F715,製品マスタ!$G$5:$K$4999,5,FALSE))</f>
        <v>MNGTBF</v>
      </c>
      <c r="I715" s="200" t="str">
        <f>IF(D715="","",VLOOKUP(F715,製品マスタ!$G$5:$L$4999,6,FALSE))</f>
        <v>メタルミー　ネーマー　銀艶　Ｂ</v>
      </c>
      <c r="J715" s="203" t="s">
        <v>935</v>
      </c>
      <c r="K715" s="200">
        <f>IF(D715="","",VLOOKUP(D715,契約台帳!$A$3:$L$4986,12,FALSE))</f>
        <v>50</v>
      </c>
      <c r="L715" s="200" t="str">
        <f>IF(D715="","",INDEX(製品マスタ!$Q$5:$Q$4999,MATCH('S4'!F715&amp;'S4'!K715,製品マスタ!$AO$5:$AO$4999,0)))</f>
        <v>T62</v>
      </c>
      <c r="M715" s="37">
        <v>1120</v>
      </c>
      <c r="N715" s="37">
        <v>5000</v>
      </c>
      <c r="O715" s="153">
        <v>1</v>
      </c>
      <c r="P715" s="45"/>
      <c r="Q715" s="206">
        <v>45104</v>
      </c>
      <c r="R715" s="257" t="str">
        <f ca="1">IF(D715="","",IF(OFFSET(D715,-1,0)&lt;&gt;"","",IF(OR(J715="リード付け",J715="巻足し",J715="巻返しリード付け"),M715,VLOOKUP(D715,契約台帳!$A$3:$N$4986,14,FALSE))))</f>
        <v/>
      </c>
      <c r="S715" s="258" t="str">
        <f ca="1">IF(D715="","",IF(OFFSET(D715,-1,0)&lt;&gt;"","",IF(OR(J715="リード付け",J715="巻足し",J715="巻返しリード付け"),M715,VLOOKUP(D715,契約台帳!$A$3:$O$4986,15,FALSE))))</f>
        <v/>
      </c>
      <c r="T715" s="258">
        <f ca="1">IF(D715="","",IF(J715="リード付け",N715,IF(J715="巻返しリード付け",N715,IF(J715="巻足し",N715*P715+OFFSET(N715,1,0)*OFFSET(P715,1,0),VLOOKUP(D715,契約台帳!$A$3:$P$4986,16,FALSE)))))</f>
        <v>0</v>
      </c>
      <c r="U715" s="38"/>
      <c r="V715" s="259">
        <f ca="1">IF(D715="","",IF(OFFSET(D715,-2,0)=D715,"",VLOOKUP(D715,契約台帳!$A$3:$R$4986,18,FALSE)))</f>
        <v>13</v>
      </c>
      <c r="W715" s="256" t="str">
        <f ca="1">IF(D715="","",IF(T715="","",IF(OR(J715="巻足し",J715="巻返しリード付け"),"",IF(J715="巻返し",VLOOKUP(F715&amp;K715&amp;M715,製品マスタ!$M$5:$AD$4999,18,FALSE),IF(OR(J715="リード付け",J715="巻返しリード付け"),"原反コア",IF(J715="スリット",VLOOKUP(F715&amp;K715&amp;R715,製品マスタ!$N$5:$AD$4999,17,FALSE),""))))))</f>
        <v/>
      </c>
      <c r="X715" s="256" t="str">
        <f ca="1">IF(D715="","",IF(T715="","",IF(J715="巻足し","",IF(J715="巻返し",VLOOKUP(F715&amp;K715&amp;M715,製品マスタ!$M$5:$AE$4999,19,FALSE),IF(OR(J715="リード付け",J715="巻返しリード付け"),"",IF(J715="スリット",VLOOKUP(F715&amp;K715&amp;R715,製品マスタ!$N$5:$AE$4999,18,FALSE),""))))))</f>
        <v/>
      </c>
      <c r="Y715" s="256">
        <f ca="1">IF(D715="","",IF(T715="","",VLOOKUP(D715,契約台帳!$A$3:$Q$4986,17,FALSE)))</f>
        <v>2</v>
      </c>
      <c r="Z715" s="256" t="str">
        <f ca="1">IF(D715="","",IF(T715="","",VLOOKUP(D715,契約台帳!$A$3:$E$4986,5,FALSE)))</f>
        <v>リンテック㈱</v>
      </c>
      <c r="AA715" s="54"/>
      <c r="AB715" s="200" t="str">
        <f>IFERROR((VLOOKUP(F715&amp;K715&amp;M715,製品マスタ!$M$5:$AM$4999,27,FALSE)),"")</f>
        <v>原反ケース再利用</v>
      </c>
      <c r="AC715" s="31"/>
      <c r="AD715" s="184"/>
      <c r="AE715" s="51"/>
      <c r="AF715" s="52">
        <f>+M715*N715*O715/1000</f>
        <v>5600</v>
      </c>
      <c r="AG715" s="41"/>
      <c r="AH715" s="45"/>
      <c r="AI715" s="28"/>
      <c r="AJ715" s="28"/>
      <c r="AK715" s="28"/>
      <c r="AL715" s="28"/>
      <c r="AM715" s="12"/>
      <c r="AN715" s="12"/>
      <c r="AO715" s="12"/>
      <c r="AP715" s="12"/>
      <c r="AQ715" s="12"/>
      <c r="AR715" s="13"/>
      <c r="AS715" s="14"/>
    </row>
    <row r="716" spans="1:45" s="16" customFormat="1" ht="30.95" hidden="1" customHeight="1" x14ac:dyDescent="0.2">
      <c r="A716" s="35"/>
      <c r="B716" s="36"/>
      <c r="C716" s="43"/>
      <c r="D716" s="29"/>
      <c r="E716" s="29"/>
      <c r="F716" s="255"/>
      <c r="G716" s="256"/>
      <c r="H716" s="256"/>
      <c r="I716" s="200"/>
      <c r="J716" s="203"/>
      <c r="K716" s="200"/>
      <c r="L716" s="200"/>
      <c r="M716" s="37"/>
      <c r="N716" s="37"/>
      <c r="O716" s="153"/>
      <c r="P716" s="45"/>
      <c r="Q716" s="54"/>
      <c r="R716" s="257"/>
      <c r="S716" s="258"/>
      <c r="T716" s="258"/>
      <c r="U716" s="38"/>
      <c r="V716" s="259"/>
      <c r="W716" s="256"/>
      <c r="X716" s="256"/>
      <c r="Y716" s="256"/>
      <c r="Z716" s="256"/>
      <c r="AA716" s="54"/>
      <c r="AB716" s="200" t="str">
        <f>IFERROR((VLOOKUP(F716&amp;K716&amp;M716,製品マスタ!$M$5:$AM$4999,27,FALSE)),"")</f>
        <v/>
      </c>
      <c r="AC716" s="31"/>
      <c r="AD716" s="184"/>
      <c r="AE716" s="51"/>
      <c r="AF716" s="52"/>
      <c r="AG716" s="41"/>
      <c r="AH716" s="45"/>
      <c r="AI716" s="28"/>
      <c r="AJ716" s="28"/>
      <c r="AK716" s="28"/>
      <c r="AL716" s="28"/>
      <c r="AM716" s="12"/>
      <c r="AN716" s="12"/>
      <c r="AO716" s="12"/>
      <c r="AP716" s="12"/>
      <c r="AQ716" s="12"/>
      <c r="AR716" s="13"/>
      <c r="AS716" s="14"/>
    </row>
    <row r="717" spans="1:45" s="16" customFormat="1" ht="30.95" hidden="1" customHeight="1" x14ac:dyDescent="0.2">
      <c r="A717" s="35"/>
      <c r="B717" s="36"/>
      <c r="C717" s="43"/>
      <c r="D717" s="29">
        <v>3716260</v>
      </c>
      <c r="E717" s="29">
        <v>4161984</v>
      </c>
      <c r="F717" s="255" t="str">
        <f>IF(D717="","",VLOOKUP(D717,契約台帳!$A$3:$K$4986,6,FALSE)&amp;VLOOKUP(D717,契約台帳!$A$3:$K$4986,7,FALSE)&amp;VLOOKUP(D717,契約台帳!$A$3:$K$4986,8,FALSE)&amp;VLOOKUP(D717,契約台帳!$A$3:$K$4986,9,FALSE)&amp;VLOOKUP(D717,契約台帳!$A$3:$K$4986,11,FALSE))</f>
        <v>3SNMLBMNGTBF</v>
      </c>
      <c r="G717" s="256" t="str">
        <f>IF(D717="","",VLOOKUP(F717,製品マスタ!$G$5:$H$4999,2,FALSE))</f>
        <v>S</v>
      </c>
      <c r="H717" s="256" t="str">
        <f>IF(D717="","",VLOOKUP(F717,製品マスタ!$G$5:$K$4999,5,FALSE))</f>
        <v>MNGTBF</v>
      </c>
      <c r="I717" s="200" t="str">
        <f>IF(D717="","",VLOOKUP(F717,製品マスタ!$G$5:$L$4999,6,FALSE))</f>
        <v>メタルミー　ネーマー　銀艶　Ｂ</v>
      </c>
      <c r="J717" s="203" t="s">
        <v>935</v>
      </c>
      <c r="K717" s="200">
        <f>IF(D717="","",VLOOKUP(D717,契約台帳!$A$3:$L$4986,12,FALSE))</f>
        <v>50</v>
      </c>
      <c r="L717" s="200" t="str">
        <f>IF(D717="","",INDEX(製品マスタ!$Q$5:$Q$4999,MATCH('S4'!F717&amp;'S4'!K717,製品マスタ!$AO$5:$AO$4999,0)))</f>
        <v>T62</v>
      </c>
      <c r="M717" s="37">
        <v>1120</v>
      </c>
      <c r="N717" s="37">
        <v>5000</v>
      </c>
      <c r="O717" s="153">
        <v>12</v>
      </c>
      <c r="P717" s="45">
        <v>2</v>
      </c>
      <c r="Q717" s="206">
        <v>45104</v>
      </c>
      <c r="R717" s="257">
        <f ca="1">IF(D717="","",IF(OFFSET(D717,-1,0)&lt;&gt;"","",IF(OR(J717="リード付け",J717="巻足し",J717="巻返しリード付け"),M717,VLOOKUP(D717,契約台帳!$A$3:$N$4986,14,FALSE))))</f>
        <v>1120</v>
      </c>
      <c r="S717" s="258">
        <f ca="1">IF(D717="","",IF(OFFSET(D717,-1,0)&lt;&gt;"","",IF(OR(J717="リード付け",J717="巻足し",J717="巻返しリード付け"),M717,VLOOKUP(D717,契約台帳!$A$3:$O$4986,15,FALSE))))</f>
        <v>1120</v>
      </c>
      <c r="T717" s="258">
        <f ca="1">IF(D717="","",IF(J717="リード付け",N717,IF(J717="巻返しリード付け",N717,IF(J717="巻足し",N717*P717+OFFSET(N717,1,0)*OFFSET(P717,1,0),VLOOKUP(D717,契約台帳!$A$3:$P$4986,16,FALSE)))))</f>
        <v>10000</v>
      </c>
      <c r="U717" s="38">
        <v>6</v>
      </c>
      <c r="V717" s="259" t="str">
        <f ca="1">IF(D717="","",IF(OFFSET(D717,-2,0)=D717,"",VLOOKUP(D717,契約台帳!$A$3:$R$4986,18,FALSE)))</f>
        <v/>
      </c>
      <c r="W717" s="256" t="str">
        <f ca="1">IF(D717="","",IF(T717="","",IF(OR(J717="巻足し",J717="巻返しリード付け"),"",IF(J717="巻返し",VLOOKUP(F717&amp;K717&amp;M717,製品マスタ!$M$5:$AD$4999,18,FALSE),IF(OR(J717="リード付け",J717="巻返しリード付け"),"原反コア",IF(J717="スリット",VLOOKUP(F717&amp;K717&amp;R717,製品マスタ!$N$5:$AD$4999,17,FALSE),""))))))</f>
        <v/>
      </c>
      <c r="X717" s="256" t="str">
        <f ca="1">IF(D717="","",IF(T717="","",IF(J717="巻足し","",IF(J717="巻返し",VLOOKUP(F717&amp;K717&amp;M717,製品マスタ!$M$5:$AE$4999,19,FALSE),IF(OR(J717="リード付け",J717="巻返しリード付け"),"",IF(J717="スリット",VLOOKUP(F717&amp;K717&amp;R717,製品マスタ!$N$5:$AE$4999,18,FALSE),""))))))</f>
        <v/>
      </c>
      <c r="Y717" s="256">
        <f ca="1">IF(D717="","",IF(T717="","",VLOOKUP(D717,契約台帳!$A$3:$Q$4986,17,FALSE)))</f>
        <v>2</v>
      </c>
      <c r="Z717" s="256" t="str">
        <f ca="1">IF(D717="","",IF(T717="","",VLOOKUP(D717,契約台帳!$A$3:$E$4986,5,FALSE)))</f>
        <v>リンテック㈱</v>
      </c>
      <c r="AA717" s="54"/>
      <c r="AB717" s="200" t="str">
        <f>IFERROR((VLOOKUP(F717&amp;K717&amp;M717,製品マスタ!$M$5:$AM$4999,27,FALSE)),"")</f>
        <v>原反ケース再利用</v>
      </c>
      <c r="AC717" s="31"/>
      <c r="AD717" s="184"/>
      <c r="AE717" s="51"/>
      <c r="AF717" s="52">
        <f>+M717*N717*O717/1000</f>
        <v>67200</v>
      </c>
      <c r="AG717" s="41"/>
      <c r="AH717" s="45"/>
      <c r="AI717" s="28"/>
      <c r="AJ717" s="28"/>
      <c r="AK717" s="28"/>
      <c r="AL717" s="28"/>
      <c r="AM717" s="12"/>
      <c r="AN717" s="12"/>
      <c r="AO717" s="12"/>
      <c r="AP717" s="12"/>
      <c r="AQ717" s="12"/>
      <c r="AR717" s="13"/>
      <c r="AS717" s="14"/>
    </row>
    <row r="718" spans="1:45" s="16" customFormat="1" ht="30.95" hidden="1" customHeight="1" x14ac:dyDescent="0.2">
      <c r="A718" s="35"/>
      <c r="B718" s="36"/>
      <c r="C718" s="43"/>
      <c r="D718" s="29"/>
      <c r="E718" s="29"/>
      <c r="F718" s="255"/>
      <c r="G718" s="256"/>
      <c r="H718" s="256"/>
      <c r="I718" s="200"/>
      <c r="J718" s="203"/>
      <c r="K718" s="200"/>
      <c r="L718" s="200"/>
      <c r="M718" s="37"/>
      <c r="N718" s="37"/>
      <c r="O718" s="153"/>
      <c r="P718" s="45"/>
      <c r="Q718" s="54"/>
      <c r="R718" s="257"/>
      <c r="S718" s="258"/>
      <c r="T718" s="258"/>
      <c r="U718" s="38"/>
      <c r="V718" s="259"/>
      <c r="W718" s="256"/>
      <c r="X718" s="256"/>
      <c r="Y718" s="256"/>
      <c r="Z718" s="256"/>
      <c r="AA718" s="54"/>
      <c r="AB718" s="200" t="str">
        <f>IFERROR((VLOOKUP(F718&amp;K718&amp;M718,製品マスタ!$M$5:$AM$4999,27,FALSE)),"")</f>
        <v/>
      </c>
      <c r="AC718" s="31"/>
      <c r="AD718" s="184"/>
      <c r="AE718" s="51"/>
      <c r="AF718" s="52"/>
      <c r="AG718" s="41"/>
      <c r="AH718" s="45"/>
      <c r="AI718" s="28"/>
      <c r="AJ718" s="28"/>
      <c r="AK718" s="28"/>
      <c r="AL718" s="28"/>
      <c r="AM718" s="12"/>
      <c r="AN718" s="12"/>
      <c r="AO718" s="12"/>
      <c r="AP718" s="12"/>
      <c r="AQ718" s="12"/>
      <c r="AR718" s="13"/>
      <c r="AS718" s="14"/>
    </row>
    <row r="719" spans="1:45" s="16" customFormat="1" ht="30.95" hidden="1" customHeight="1" x14ac:dyDescent="0.2">
      <c r="A719" s="35" t="s">
        <v>1216</v>
      </c>
      <c r="B719" s="36" t="s">
        <v>443</v>
      </c>
      <c r="C719" s="43"/>
      <c r="D719" s="29">
        <v>3716247</v>
      </c>
      <c r="E719" s="29">
        <v>4161950</v>
      </c>
      <c r="F719" s="255" t="str">
        <f>IF(D719="","",VLOOKUP(D719,契約台帳!$A$3:$K$4986,6,FALSE)&amp;VLOOKUP(D719,契約台帳!$A$3:$K$4986,7,FALSE)&amp;VLOOKUP(D719,契約台帳!$A$3:$K$4986,8,FALSE)&amp;VLOOKUP(D719,契約台帳!$A$3:$K$4986,9,FALSE)&amp;VLOOKUP(D719,契約台帳!$A$3:$K$4986,11,FALSE))</f>
        <v>3SNMLBMNGKKBF</v>
      </c>
      <c r="G719" s="256" t="str">
        <f>IF(D719="","",VLOOKUP(F719,製品マスタ!$G$5:$H$4999,2,FALSE))</f>
        <v>S</v>
      </c>
      <c r="H719" s="256" t="str">
        <f>IF(D719="","",VLOOKUP(F719,製品マスタ!$G$5:$K$4999,5,FALSE))</f>
        <v>MNGKKBF</v>
      </c>
      <c r="I719" s="200" t="str">
        <f>IF(D719="","",VLOOKUP(F719,製品マスタ!$G$5:$L$4999,6,FALSE))</f>
        <v>メタルミー　ネーマー銀消改　Ｂ</v>
      </c>
      <c r="J719" s="203" t="s">
        <v>935</v>
      </c>
      <c r="K719" s="200">
        <f>IF(D719="","",VLOOKUP(D719,契約台帳!$A$3:$L$4986,12,FALSE))</f>
        <v>50</v>
      </c>
      <c r="L719" s="200" t="str">
        <f>IF(D719="","",INDEX(製品マスタ!$Q$5:$Q$4999,MATCH('S4'!F719&amp;'S4'!K719,製品マスタ!$AO$5:$AO$4999,0)))</f>
        <v>S99-MAT</v>
      </c>
      <c r="M719" s="37">
        <v>1120</v>
      </c>
      <c r="N719" s="37">
        <v>4000</v>
      </c>
      <c r="O719" s="153">
        <v>18</v>
      </c>
      <c r="P719" s="45">
        <v>3</v>
      </c>
      <c r="Q719" s="206">
        <v>45104</v>
      </c>
      <c r="R719" s="257">
        <f ca="1">IF(D719="","",IF(OFFSET(D719,-1,0)&lt;&gt;"","",IF(OR(J719="リード付け",J719="巻足し",J719="巻返しリード付け"),M719,VLOOKUP(D719,契約台帳!$A$3:$N$4986,14,FALSE))))</f>
        <v>1120</v>
      </c>
      <c r="S719" s="258">
        <f ca="1">IF(D719="","",IF(OFFSET(D719,-1,0)&lt;&gt;"","",IF(OR(J719="リード付け",J719="巻足し",J719="巻返しリード付け"),M719,VLOOKUP(D719,契約台帳!$A$3:$O$4986,15,FALSE))))</f>
        <v>1120</v>
      </c>
      <c r="T719" s="258">
        <f ca="1">IF(D719="","",IF(J719="リード付け",N719,IF(J719="巻返しリード付け",N719,IF(J719="巻足し",N719*P719+OFFSET(N719,1,0)*OFFSET(P719,1,0),VLOOKUP(D719,契約台帳!$A$3:$P$4986,16,FALSE)))))</f>
        <v>12000</v>
      </c>
      <c r="U719" s="38">
        <v>6</v>
      </c>
      <c r="V719" s="259">
        <f ca="1">IF(D719="","",IF(OFFSET(D719,-2,0)=D719,"",VLOOKUP(D719,契約台帳!$A$3:$R$4986,18,FALSE)))</f>
        <v>20</v>
      </c>
      <c r="W719" s="256" t="str">
        <f ca="1">IF(D719="","",IF(T719="","",IF(OR(J719="巻足し",J719="巻返しリード付け"),"",IF(J719="巻返し",VLOOKUP(F719&amp;K719&amp;M719,製品マスタ!$M$5:$AD$4999,18,FALSE),IF(OR(J719="リード付け",J719="巻返しリード付け"),"原反コア",IF(J719="スリット",VLOOKUP(F719&amp;K719&amp;R719,製品マスタ!$N$5:$AD$4999,17,FALSE),""))))))</f>
        <v/>
      </c>
      <c r="X719" s="256" t="str">
        <f ca="1">IF(D719="","",IF(T719="","",IF(J719="巻足し","",IF(J719="巻返し",VLOOKUP(F719&amp;K719&amp;M719,製品マスタ!$M$5:$AE$4999,19,FALSE),IF(OR(J719="リード付け",J719="巻返しリード付け"),"",IF(J719="スリット",VLOOKUP(F719&amp;K719&amp;R719,製品マスタ!$N$5:$AE$4999,18,FALSE),""))))))</f>
        <v/>
      </c>
      <c r="Y719" s="256">
        <f ca="1">IF(D719="","",IF(T719="","",VLOOKUP(D719,契約台帳!$A$3:$Q$4986,17,FALSE)))</f>
        <v>2</v>
      </c>
      <c r="Z719" s="256" t="str">
        <f ca="1">IF(D719="","",IF(T719="","",VLOOKUP(D719,契約台帳!$A$3:$E$4986,5,FALSE)))</f>
        <v>リンテック㈱</v>
      </c>
      <c r="AA719" s="54"/>
      <c r="AB719" s="200">
        <f>IFERROR((VLOOKUP(F719&amp;K719&amp;M719,製品マスタ!$M$5:$AM$4999,27,FALSE)),"")</f>
        <v>0</v>
      </c>
      <c r="AC719" s="31"/>
      <c r="AD719" s="184"/>
      <c r="AE719" s="51"/>
      <c r="AF719" s="52">
        <f>+M719*N719*O719/1000</f>
        <v>80640</v>
      </c>
      <c r="AG719" s="41"/>
      <c r="AH719" s="45"/>
      <c r="AI719" s="28"/>
      <c r="AJ719" s="28"/>
      <c r="AK719" s="28"/>
      <c r="AL719" s="28"/>
      <c r="AM719" s="12"/>
      <c r="AN719" s="12"/>
      <c r="AO719" s="12"/>
      <c r="AP719" s="12"/>
      <c r="AQ719" s="12"/>
      <c r="AR719" s="13"/>
      <c r="AS719" s="14"/>
    </row>
    <row r="720" spans="1:45" s="16" customFormat="1" ht="30.95" hidden="1" customHeight="1" x14ac:dyDescent="0.2">
      <c r="A720" s="35"/>
      <c r="B720" s="36"/>
      <c r="C720" s="43"/>
      <c r="D720" s="29"/>
      <c r="E720" s="29"/>
      <c r="F720" s="255"/>
      <c r="G720" s="256"/>
      <c r="H720" s="256"/>
      <c r="I720" s="200"/>
      <c r="J720" s="203"/>
      <c r="K720" s="200"/>
      <c r="L720" s="200"/>
      <c r="M720" s="37"/>
      <c r="N720" s="37"/>
      <c r="O720" s="153"/>
      <c r="P720" s="45"/>
      <c r="Q720" s="54"/>
      <c r="R720" s="257"/>
      <c r="S720" s="258"/>
      <c r="T720" s="258"/>
      <c r="U720" s="38"/>
      <c r="V720" s="259"/>
      <c r="W720" s="256"/>
      <c r="X720" s="256"/>
      <c r="Y720" s="256"/>
      <c r="Z720" s="256"/>
      <c r="AA720" s="54"/>
      <c r="AB720" s="200"/>
      <c r="AC720" s="31"/>
      <c r="AD720" s="184"/>
      <c r="AE720" s="51"/>
      <c r="AF720" s="52"/>
      <c r="AG720" s="41"/>
      <c r="AH720" s="45"/>
      <c r="AI720" s="28"/>
      <c r="AJ720" s="28"/>
      <c r="AK720" s="28"/>
      <c r="AL720" s="28"/>
      <c r="AM720" s="12"/>
      <c r="AN720" s="12"/>
      <c r="AO720" s="12"/>
      <c r="AP720" s="12"/>
      <c r="AQ720" s="12"/>
      <c r="AR720" s="13"/>
      <c r="AS720" s="14"/>
    </row>
    <row r="721" spans="1:45" s="16" customFormat="1" ht="30.95" hidden="1" customHeight="1" x14ac:dyDescent="0.2">
      <c r="A721" s="35"/>
      <c r="B721" s="36"/>
      <c r="C721" s="43"/>
      <c r="D721" s="29">
        <v>3716247</v>
      </c>
      <c r="E721" s="29">
        <v>4161950</v>
      </c>
      <c r="F721" s="255" t="str">
        <f>IF(D721="","",VLOOKUP(D721,契約台帳!$A$3:$K$4986,6,FALSE)&amp;VLOOKUP(D721,契約台帳!$A$3:$K$4986,7,FALSE)&amp;VLOOKUP(D721,契約台帳!$A$3:$K$4986,8,FALSE)&amp;VLOOKUP(D721,契約台帳!$A$3:$K$4986,9,FALSE)&amp;VLOOKUP(D721,契約台帳!$A$3:$K$4986,11,FALSE))</f>
        <v>3SNMLBMNGKKBF</v>
      </c>
      <c r="G721" s="256" t="str">
        <f>IF(D721="","",VLOOKUP(F721,製品マスタ!$G$5:$H$4999,2,FALSE))</f>
        <v>S</v>
      </c>
      <c r="H721" s="256" t="str">
        <f>IF(D721="","",VLOOKUP(F721,製品マスタ!$G$5:$K$4999,5,FALSE))</f>
        <v>MNGKKBF</v>
      </c>
      <c r="I721" s="200" t="str">
        <f>IF(D721="","",VLOOKUP(F721,製品マスタ!$G$5:$L$4999,6,FALSE))</f>
        <v>メタルミー　ネーマー銀消改　Ｂ</v>
      </c>
      <c r="J721" s="203" t="s">
        <v>935</v>
      </c>
      <c r="K721" s="200">
        <f>IF(D721="","",VLOOKUP(D721,契約台帳!$A$3:$L$4986,12,FALSE))</f>
        <v>50</v>
      </c>
      <c r="L721" s="200" t="str">
        <f>IF(D721="","",INDEX(製品マスタ!$Q$5:$Q$4999,MATCH('S4'!F721&amp;'S4'!K721,製品マスタ!$AO$5:$AO$4999,0)))</f>
        <v>S99-MAT</v>
      </c>
      <c r="M721" s="37">
        <v>1120</v>
      </c>
      <c r="N721" s="37">
        <v>4000</v>
      </c>
      <c r="O721" s="153">
        <v>2</v>
      </c>
      <c r="P721" s="45">
        <v>2</v>
      </c>
      <c r="Q721" s="206">
        <v>45104</v>
      </c>
      <c r="R721" s="257">
        <f ca="1">IF(D721="","",IF(OFFSET(D721,-1,0)&lt;&gt;"","",IF(OR(J721="リード付け",J721="巻足し",J721="巻返しリード付け"),M721,VLOOKUP(D721,契約台帳!$A$3:$N$4986,14,FALSE))))</f>
        <v>1120</v>
      </c>
      <c r="S721" s="258">
        <f ca="1">IF(D721="","",IF(OFFSET(D721,-1,0)&lt;&gt;"","",IF(OR(J721="リード付け",J721="巻足し",J721="巻返しリード付け"),M721,VLOOKUP(D721,契約台帳!$A$3:$O$4986,15,FALSE))))</f>
        <v>1120</v>
      </c>
      <c r="T721" s="258">
        <f ca="1">IF(D721="","",IF(J721="リード付け",N721,IF(J721="巻返しリード付け",N721,IF(J721="巻足し",N721*P721+OFFSET(N721,1,0)*OFFSET(P721,1,0),VLOOKUP(D721,契約台帳!$A$3:$P$4986,16,FALSE)))))</f>
        <v>8000</v>
      </c>
      <c r="U721" s="38">
        <v>1</v>
      </c>
      <c r="V721" s="259" t="str">
        <f ca="1">IF(D721="","",IF(OFFSET(D721,-2,0)=D721,"",VLOOKUP(D721,契約台帳!$A$3:$R$4986,18,FALSE)))</f>
        <v/>
      </c>
      <c r="W721" s="256" t="str">
        <f ca="1">IF(D721="","",IF(T721="","",IF(OR(J721="巻足し",J721="巻返しリード付け"),"",IF(J721="巻返し",VLOOKUP(F721&amp;K721&amp;M721,製品マスタ!$M$5:$AD$4999,18,FALSE),IF(OR(J721="リード付け",J721="巻返しリード付け"),"原反コア",IF(J721="スリット",VLOOKUP(F721&amp;K721&amp;R721,製品マスタ!$N$5:$AD$4999,17,FALSE),""))))))</f>
        <v/>
      </c>
      <c r="X721" s="256" t="str">
        <f ca="1">IF(D721="","",IF(T721="","",IF(J721="巻足し","",IF(J721="巻返し",VLOOKUP(F721&amp;K721&amp;M721,製品マスタ!$M$5:$AE$4999,19,FALSE),IF(OR(J721="リード付け",J721="巻返しリード付け"),"",IF(J721="スリット",VLOOKUP(F721&amp;K721&amp;R721,製品マスタ!$N$5:$AE$4999,18,FALSE),""))))))</f>
        <v/>
      </c>
      <c r="Y721" s="256">
        <f ca="1">IF(D721="","",IF(T721="","",VLOOKUP(D721,契約台帳!$A$3:$Q$4986,17,FALSE)))</f>
        <v>2</v>
      </c>
      <c r="Z721" s="256" t="str">
        <f ca="1">IF(D721="","",IF(T721="","",VLOOKUP(D721,契約台帳!$A$3:$E$4986,5,FALSE)))</f>
        <v>リンテック㈱</v>
      </c>
      <c r="AA721" s="54"/>
      <c r="AB721" s="200">
        <f>IFERROR((VLOOKUP(F721&amp;K721&amp;M721,製品マスタ!$M$5:$AM$4999,27,FALSE)),"")</f>
        <v>0</v>
      </c>
      <c r="AC721" s="31"/>
      <c r="AD721" s="184"/>
      <c r="AE721" s="51"/>
      <c r="AF721" s="52">
        <f>+M721*N721*O721/1000</f>
        <v>8960</v>
      </c>
      <c r="AG721" s="41"/>
      <c r="AH721" s="45"/>
      <c r="AI721" s="28"/>
      <c r="AJ721" s="28"/>
      <c r="AK721" s="28"/>
      <c r="AL721" s="28"/>
      <c r="AM721" s="12"/>
      <c r="AN721" s="12"/>
      <c r="AO721" s="12"/>
      <c r="AP721" s="12"/>
      <c r="AQ721" s="12"/>
      <c r="AR721" s="13"/>
      <c r="AS721" s="14"/>
    </row>
    <row r="722" spans="1:45" s="16" customFormat="1" ht="30.95" hidden="1" customHeight="1" x14ac:dyDescent="0.2">
      <c r="A722" s="35"/>
      <c r="B722" s="36"/>
      <c r="C722" s="43"/>
      <c r="D722" s="29"/>
      <c r="E722" s="29"/>
      <c r="F722" s="255"/>
      <c r="G722" s="256"/>
      <c r="H722" s="256"/>
      <c r="I722" s="200"/>
      <c r="J722" s="203"/>
      <c r="K722" s="200"/>
      <c r="L722" s="200"/>
      <c r="M722" s="37"/>
      <c r="N722" s="37"/>
      <c r="O722" s="153"/>
      <c r="P722" s="45"/>
      <c r="Q722" s="54"/>
      <c r="R722" s="257"/>
      <c r="S722" s="258"/>
      <c r="T722" s="258"/>
      <c r="U722" s="38"/>
      <c r="V722" s="259"/>
      <c r="W722" s="256"/>
      <c r="X722" s="256"/>
      <c r="Y722" s="256"/>
      <c r="Z722" s="256"/>
      <c r="AA722" s="54"/>
      <c r="AB722" s="200"/>
      <c r="AC722" s="31"/>
      <c r="AD722" s="184"/>
      <c r="AE722" s="51"/>
      <c r="AF722" s="52"/>
      <c r="AG722" s="41"/>
      <c r="AH722" s="45"/>
      <c r="AI722" s="28"/>
      <c r="AJ722" s="28"/>
      <c r="AK722" s="28"/>
      <c r="AL722" s="28"/>
      <c r="AM722" s="12"/>
      <c r="AN722" s="12"/>
      <c r="AO722" s="12"/>
      <c r="AP722" s="12"/>
      <c r="AQ722" s="12"/>
      <c r="AR722" s="13"/>
      <c r="AS722" s="14"/>
    </row>
    <row r="723" spans="1:45" s="16" customFormat="1" ht="30.95" hidden="1" customHeight="1" x14ac:dyDescent="0.2">
      <c r="A723" s="35" t="s">
        <v>1259</v>
      </c>
      <c r="B723" s="36" t="s">
        <v>1260</v>
      </c>
      <c r="C723" s="43"/>
      <c r="D723" s="29">
        <v>3716245</v>
      </c>
      <c r="E723" s="29">
        <v>4161948</v>
      </c>
      <c r="F723" s="255" t="str">
        <f>IF(D723="","",VLOOKUP(D723,契約台帳!$A$3:$K$4986,6,FALSE)&amp;VLOOKUP(D723,契約台帳!$A$3:$K$4986,7,FALSE)&amp;VLOOKUP(D723,契約台帳!$A$3:$K$4986,8,FALSE)&amp;VLOOKUP(D723,契約台帳!$A$3:$K$4986,9,FALSE)&amp;VLOOKUP(D723,契約台帳!$A$3:$K$4986,11,FALSE))</f>
        <v>3SNMLBMNGKKBF</v>
      </c>
      <c r="G723" s="256" t="str">
        <f>IF(D723="","",VLOOKUP(F723,製品マスタ!$G$5:$H$4999,2,FALSE))</f>
        <v>S</v>
      </c>
      <c r="H723" s="256" t="str">
        <f>IF(D723="","",VLOOKUP(F723,製品マスタ!$G$5:$K$4999,5,FALSE))</f>
        <v>MNGKKBF</v>
      </c>
      <c r="I723" s="200" t="str">
        <f>IF(D723="","",VLOOKUP(F723,製品マスタ!$G$5:$L$4999,6,FALSE))</f>
        <v>メタルミー　ネーマー銀消改　Ｂ</v>
      </c>
      <c r="J723" s="203" t="s">
        <v>935</v>
      </c>
      <c r="K723" s="200">
        <f>IF(D723="","",VLOOKUP(D723,契約台帳!$A$3:$L$4986,12,FALSE))</f>
        <v>25</v>
      </c>
      <c r="L723" s="200" t="str">
        <f>IF(D723="","",INDEX(製品マスタ!$Q$5:$Q$4999,MATCH('S4'!F723&amp;'S4'!K723,製品マスタ!$AO$5:$AO$4999,0)))</f>
        <v>FMATS99</v>
      </c>
      <c r="M723" s="37">
        <v>1120</v>
      </c>
      <c r="N723" s="37">
        <v>4000</v>
      </c>
      <c r="O723" s="153">
        <v>8</v>
      </c>
      <c r="P723" s="45">
        <v>2</v>
      </c>
      <c r="Q723" s="206">
        <v>45104</v>
      </c>
      <c r="R723" s="257">
        <f ca="1">IF(D723="","",IF(OFFSET(D723,-1,0)&lt;&gt;"","",IF(OR(J723="リード付け",J723="巻足し",J723="巻返しリード付け"),M723,VLOOKUP(D723,契約台帳!$A$3:$N$4986,14,FALSE))))</f>
        <v>1120</v>
      </c>
      <c r="S723" s="258">
        <f ca="1">IF(D723="","",IF(OFFSET(D723,-1,0)&lt;&gt;"","",IF(OR(J723="リード付け",J723="巻足し",J723="巻返しリード付け"),M723,VLOOKUP(D723,契約台帳!$A$3:$O$4986,15,FALSE))))</f>
        <v>1120</v>
      </c>
      <c r="T723" s="258">
        <f ca="1">IF(D723="","",IF(J723="リード付け",N723,IF(J723="巻返しリード付け",N723,IF(J723="巻足し",N723*P723+OFFSET(N723,1,0)*OFFSET(P723,1,0),VLOOKUP(D723,契約台帳!$A$3:$P$4986,16,FALSE)))))</f>
        <v>8000</v>
      </c>
      <c r="U723" s="38">
        <v>4</v>
      </c>
      <c r="V723" s="259">
        <f ca="1">IF(D723="","",IF(OFFSET(D723,-2,0)=D723,"",VLOOKUP(D723,契約台帳!$A$3:$R$4986,18,FALSE)))</f>
        <v>8</v>
      </c>
      <c r="W723" s="256" t="str">
        <f ca="1">IF(D723="","",IF(T723="","",IF(OR(J723="巻足し",J723="巻返しリード付け"),"",IF(J723="巻返し",VLOOKUP(F723&amp;K723&amp;M723,製品マスタ!$M$5:$AD$4999,18,FALSE),IF(OR(J723="リード付け",J723="巻返しリード付け"),"原反コア",IF(J723="スリット",VLOOKUP(F723&amp;K723&amp;R723,製品マスタ!$N$5:$AD$4999,17,FALSE),""))))))</f>
        <v/>
      </c>
      <c r="X723" s="256" t="str">
        <f ca="1">IF(D723="","",IF(T723="","",IF(J723="巻足し","",IF(J723="巻返し",VLOOKUP(F723&amp;K723&amp;M723,製品マスタ!$M$5:$AE$4999,19,FALSE),IF(OR(J723="リード付け",J723="巻返しリード付け"),"",IF(J723="スリット",VLOOKUP(F723&amp;K723&amp;R723,製品マスタ!$N$5:$AE$4999,18,FALSE),""))))))</f>
        <v/>
      </c>
      <c r="Y723" s="256">
        <f ca="1">IF(D723="","",IF(T723="","",VLOOKUP(D723,契約台帳!$A$3:$Q$4986,17,FALSE)))</f>
        <v>2</v>
      </c>
      <c r="Z723" s="256" t="str">
        <f ca="1">IF(D723="","",IF(T723="","",VLOOKUP(D723,契約台帳!$A$3:$E$4986,5,FALSE)))</f>
        <v>リンテック㈱</v>
      </c>
      <c r="AA723" s="54"/>
      <c r="AB723" s="200">
        <f>IFERROR((VLOOKUP(F723&amp;K723&amp;M723,製品マスタ!$M$5:$AM$4999,27,FALSE)),"")</f>
        <v>0</v>
      </c>
      <c r="AC723" s="31"/>
      <c r="AD723" s="184"/>
      <c r="AE723" s="51"/>
      <c r="AF723" s="52">
        <f>+M723*N723*O723/1000</f>
        <v>35840</v>
      </c>
      <c r="AG723" s="41"/>
      <c r="AH723" s="45"/>
      <c r="AI723" s="28"/>
      <c r="AJ723" s="28"/>
      <c r="AK723" s="28"/>
      <c r="AL723" s="28"/>
      <c r="AM723" s="12"/>
      <c r="AN723" s="12"/>
      <c r="AO723" s="12"/>
      <c r="AP723" s="12"/>
      <c r="AQ723" s="12"/>
      <c r="AR723" s="13"/>
      <c r="AS723" s="14"/>
    </row>
    <row r="724" spans="1:45" s="16" customFormat="1" ht="30.95" hidden="1" customHeight="1" x14ac:dyDescent="0.2">
      <c r="A724" s="35"/>
      <c r="B724" s="36"/>
      <c r="C724" s="43"/>
      <c r="D724" s="29"/>
      <c r="E724" s="29"/>
      <c r="F724" s="255"/>
      <c r="G724" s="256"/>
      <c r="H724" s="256"/>
      <c r="I724" s="200"/>
      <c r="J724" s="203"/>
      <c r="K724" s="200"/>
      <c r="L724" s="200"/>
      <c r="M724" s="37"/>
      <c r="N724" s="37"/>
      <c r="O724" s="153"/>
      <c r="P724" s="45"/>
      <c r="Q724" s="54"/>
      <c r="R724" s="257"/>
      <c r="S724" s="258"/>
      <c r="T724" s="258"/>
      <c r="U724" s="38"/>
      <c r="V724" s="259"/>
      <c r="W724" s="256"/>
      <c r="X724" s="256"/>
      <c r="Y724" s="256"/>
      <c r="Z724" s="256"/>
      <c r="AA724" s="54"/>
      <c r="AB724" s="200"/>
      <c r="AC724" s="31"/>
      <c r="AD724" s="184"/>
      <c r="AE724" s="51"/>
      <c r="AF724" s="52"/>
      <c r="AG724" s="41"/>
      <c r="AH724" s="45"/>
      <c r="AI724" s="28"/>
      <c r="AJ724" s="28"/>
      <c r="AK724" s="28"/>
      <c r="AL724" s="28"/>
      <c r="AM724" s="12"/>
      <c r="AN724" s="12"/>
      <c r="AO724" s="12"/>
      <c r="AP724" s="12"/>
      <c r="AQ724" s="12"/>
      <c r="AR724" s="13"/>
      <c r="AS724" s="14"/>
    </row>
    <row r="725" spans="1:45" s="16" customFormat="1" ht="30.95" hidden="1" customHeight="1" x14ac:dyDescent="0.2">
      <c r="A725" s="35"/>
      <c r="B725" s="36"/>
      <c r="C725" s="43"/>
      <c r="D725" s="29">
        <v>3716272</v>
      </c>
      <c r="E725" s="29">
        <v>4161964</v>
      </c>
      <c r="F725" s="255" t="str">
        <f>IF(D725="","",VLOOKUP(D725,契約台帳!$A$3:$K$4986,6,FALSE)&amp;VLOOKUP(D725,契約台帳!$A$3:$K$4986,7,FALSE)&amp;VLOOKUP(D725,契約台帳!$A$3:$K$4986,8,FALSE)&amp;VLOOKUP(D725,契約台帳!$A$3:$K$4986,9,FALSE)&amp;VLOOKUP(D725,契約台帳!$A$3:$K$4986,11,FALSE))</f>
        <v>3SYMLBMSNMBF</v>
      </c>
      <c r="G725" s="256" t="str">
        <f>IF(D725="","",VLOOKUP(F725,製品マスタ!$G$5:$H$4999,2,FALSE))</f>
        <v>S</v>
      </c>
      <c r="H725" s="256" t="str">
        <f>IF(D725="","",VLOOKUP(F725,製品マスタ!$G$5:$K$4999,5,FALSE))</f>
        <v>MSNMBF</v>
      </c>
      <c r="I725" s="200" t="str">
        <f>IF(D725="","",VLOOKUP(F725,製品マスタ!$G$5:$L$4999,6,FALSE))</f>
        <v>ＭＥＴＡＬＵＭＹ　ＳＩＬＶＥＲ　Ｎ－ＭＡＴＴＥ　Ｘ４４Ｍ　Ｂ</v>
      </c>
      <c r="J725" s="203" t="s">
        <v>935</v>
      </c>
      <c r="K725" s="200">
        <f>IF(D725="","",VLOOKUP(D725,契約台帳!$A$3:$L$4986,12,FALSE))</f>
        <v>50</v>
      </c>
      <c r="L725" s="200" t="str">
        <f>IF(D725="","",INDEX(製品マスタ!$Q$5:$Q$4999,MATCH('S4'!F725&amp;'S4'!K725,製品マスタ!$AO$5:$AO$4999,0)))</f>
        <v>X44</v>
      </c>
      <c r="M725" s="37">
        <v>1120</v>
      </c>
      <c r="N725" s="37">
        <v>4000</v>
      </c>
      <c r="O725" s="153">
        <v>3</v>
      </c>
      <c r="P725" s="45">
        <v>3</v>
      </c>
      <c r="Q725" s="206">
        <v>45105</v>
      </c>
      <c r="R725" s="257">
        <f ca="1">IF(D725="","",IF(OFFSET(D725,-1,0)&lt;&gt;"","",IF(OR(J725="リード付け",J725="巻足し",J725="巻返しリード付け"),M725,VLOOKUP(D725,契約台帳!$A$3:$N$4986,14,FALSE))))</f>
        <v>1120</v>
      </c>
      <c r="S725" s="258">
        <f ca="1">IF(D725="","",IF(OFFSET(D725,-1,0)&lt;&gt;"","",IF(OR(J725="リード付け",J725="巻足し",J725="巻返しリード付け"),M725,VLOOKUP(D725,契約台帳!$A$3:$O$4986,15,FALSE))))</f>
        <v>1120</v>
      </c>
      <c r="T725" s="258">
        <f ca="1">IF(D725="","",IF(J725="リード付け",N725,IF(J725="巻返しリード付け",N725,IF(J725="巻足し",N725*P725+OFFSET(N725,1,0)*OFFSET(P725,1,0),VLOOKUP(D725,契約台帳!$A$3:$P$4986,16,FALSE)))))</f>
        <v>12000</v>
      </c>
      <c r="U725" s="38">
        <v>1</v>
      </c>
      <c r="V725" s="259">
        <f ca="1">IF(D725="","",IF(OFFSET(D725,-2,0)=D725,"",VLOOKUP(D725,契約台帳!$A$3:$R$4986,18,FALSE)))</f>
        <v>4</v>
      </c>
      <c r="W725" s="256" t="str">
        <f ca="1">IF(D725="","",IF(T725="","",IF(OR(J725="巻足し",J725="巻返しリード付け"),"",IF(J725="巻返し",VLOOKUP(F725&amp;K725&amp;M725,製品マスタ!$M$5:$AD$4999,18,FALSE),IF(OR(J725="リード付け",J725="巻返しリード付け"),"原反コア",IF(J725="スリット",VLOOKUP(F725&amp;K725&amp;R725,製品マスタ!$N$5:$AD$4999,17,FALSE),""))))))</f>
        <v/>
      </c>
      <c r="X725" s="256" t="str">
        <f ca="1">IF(D725="","",IF(T725="","",IF(J725="巻足し","",IF(J725="巻返し",VLOOKUP(F725&amp;K725&amp;M725,製品マスタ!$M$5:$AE$4999,19,FALSE),IF(OR(J725="リード付け",J725="巻返しリード付け"),"",IF(J725="スリット",VLOOKUP(F725&amp;K725&amp;R725,製品マスタ!$N$5:$AE$4999,18,FALSE),""))))))</f>
        <v/>
      </c>
      <c r="Y725" s="256">
        <f ca="1">IF(D725="","",IF(T725="","",VLOOKUP(D725,契約台帳!$A$3:$Q$4986,17,FALSE)))</f>
        <v>2</v>
      </c>
      <c r="Z725" s="256" t="str">
        <f ca="1">IF(D725="","",IF(T725="","",VLOOKUP(D725,契約台帳!$A$3:$E$4986,5,FALSE)))</f>
        <v>リンテック㈱</v>
      </c>
      <c r="AA725" s="54"/>
      <c r="AB725" s="200">
        <f>IFERROR((VLOOKUP(F725&amp;K725&amp;M725,製品マスタ!$M$5:$AM$4999,27,FALSE)),"")</f>
        <v>0</v>
      </c>
      <c r="AC725" s="31"/>
      <c r="AD725" s="184"/>
      <c r="AE725" s="51"/>
      <c r="AF725" s="52">
        <f>+M725*N725*O725/1000</f>
        <v>13440</v>
      </c>
      <c r="AG725" s="41"/>
      <c r="AH725" s="45"/>
      <c r="AI725" s="28"/>
      <c r="AJ725" s="28"/>
      <c r="AK725" s="28"/>
      <c r="AL725" s="28"/>
      <c r="AM725" s="12"/>
      <c r="AN725" s="12"/>
      <c r="AO725" s="12"/>
      <c r="AP725" s="12"/>
      <c r="AQ725" s="12"/>
      <c r="AR725" s="13"/>
      <c r="AS725" s="14"/>
    </row>
    <row r="726" spans="1:45" s="16" customFormat="1" ht="30.95" hidden="1" customHeight="1" x14ac:dyDescent="0.2">
      <c r="A726" s="35"/>
      <c r="B726" s="36"/>
      <c r="C726" s="43"/>
      <c r="D726" s="29"/>
      <c r="E726" s="29"/>
      <c r="F726" s="255"/>
      <c r="G726" s="256"/>
      <c r="H726" s="256"/>
      <c r="I726" s="200"/>
      <c r="J726" s="203"/>
      <c r="K726" s="200"/>
      <c r="L726" s="200"/>
      <c r="M726" s="37"/>
      <c r="N726" s="37"/>
      <c r="O726" s="153"/>
      <c r="P726" s="45"/>
      <c r="Q726" s="54"/>
      <c r="R726" s="257"/>
      <c r="S726" s="258"/>
      <c r="T726" s="258"/>
      <c r="U726" s="38"/>
      <c r="V726" s="259"/>
      <c r="W726" s="256"/>
      <c r="X726" s="256"/>
      <c r="Y726" s="256"/>
      <c r="Z726" s="256"/>
      <c r="AA726" s="54"/>
      <c r="AB726" s="200"/>
      <c r="AC726" s="31"/>
      <c r="AD726" s="184"/>
      <c r="AE726" s="51"/>
      <c r="AF726" s="52"/>
      <c r="AG726" s="41"/>
      <c r="AH726" s="45"/>
      <c r="AI726" s="28"/>
      <c r="AJ726" s="28"/>
      <c r="AK726" s="28"/>
      <c r="AL726" s="28"/>
      <c r="AM726" s="12"/>
      <c r="AN726" s="12"/>
      <c r="AO726" s="12"/>
      <c r="AP726" s="12"/>
      <c r="AQ726" s="12"/>
      <c r="AR726" s="13"/>
      <c r="AS726" s="14"/>
    </row>
    <row r="727" spans="1:45" s="16" customFormat="1" ht="30.95" hidden="1" customHeight="1" x14ac:dyDescent="0.2">
      <c r="A727" s="35"/>
      <c r="B727" s="36"/>
      <c r="C727" s="43"/>
      <c r="D727" s="29">
        <v>3716272</v>
      </c>
      <c r="E727" s="29">
        <v>4161964</v>
      </c>
      <c r="F727" s="255" t="str">
        <f>IF(D727="","",VLOOKUP(D727,契約台帳!$A$3:$K$4986,6,FALSE)&amp;VLOOKUP(D727,契約台帳!$A$3:$K$4986,7,FALSE)&amp;VLOOKUP(D727,契約台帳!$A$3:$K$4986,8,FALSE)&amp;VLOOKUP(D727,契約台帳!$A$3:$K$4986,9,FALSE)&amp;VLOOKUP(D727,契約台帳!$A$3:$K$4986,11,FALSE))</f>
        <v>3SYMLBMSNMBF</v>
      </c>
      <c r="G727" s="256" t="str">
        <f>IF(D727="","",VLOOKUP(F727,製品マスタ!$G$5:$H$4999,2,FALSE))</f>
        <v>S</v>
      </c>
      <c r="H727" s="256" t="str">
        <f>IF(D727="","",VLOOKUP(F727,製品マスタ!$G$5:$K$4999,5,FALSE))</f>
        <v>MSNMBF</v>
      </c>
      <c r="I727" s="200" t="str">
        <f>IF(D727="","",VLOOKUP(F727,製品マスタ!$G$5:$L$4999,6,FALSE))</f>
        <v>ＭＥＴＡＬＵＭＹ　ＳＩＬＶＥＲ　Ｎ－ＭＡＴＴＥ　Ｘ４４Ｍ　Ｂ</v>
      </c>
      <c r="J727" s="203" t="s">
        <v>935</v>
      </c>
      <c r="K727" s="200">
        <f>IF(D727="","",VLOOKUP(D727,契約台帳!$A$3:$L$4986,12,FALSE))</f>
        <v>50</v>
      </c>
      <c r="L727" s="200" t="str">
        <f>IF(D727="","",INDEX(製品マスタ!$Q$5:$Q$4999,MATCH('S4'!F727&amp;'S4'!K727,製品マスタ!$AO$5:$AO$4999,0)))</f>
        <v>X44</v>
      </c>
      <c r="M727" s="37">
        <v>1120</v>
      </c>
      <c r="N727" s="37">
        <v>4000</v>
      </c>
      <c r="O727" s="153">
        <v>1</v>
      </c>
      <c r="P727" s="45">
        <v>3</v>
      </c>
      <c r="Q727" s="206">
        <v>45105</v>
      </c>
      <c r="R727" s="257">
        <f ca="1">IF(D727="","",IF(OFFSET(D727,-1,0)&lt;&gt;"","",IF(OR(J727="リード付け",J727="巻足し",J727="巻返しリード付け"),M727,VLOOKUP(D727,契約台帳!$A$3:$N$4986,14,FALSE))))</f>
        <v>1120</v>
      </c>
      <c r="S727" s="258">
        <f ca="1">IF(D727="","",IF(OFFSET(D727,-1,0)&lt;&gt;"","",IF(OR(J727="リード付け",J727="巻足し",J727="巻返しリード付け"),M727,VLOOKUP(D727,契約台帳!$A$3:$O$4986,15,FALSE))))</f>
        <v>1120</v>
      </c>
      <c r="T727" s="258">
        <f ca="1">IF(D727="","",IF(J727="リード付け",N727,IF(J727="巻返しリード付け",N727,IF(J727="巻足し",N727*P727+OFFSET(N727,1,0)*OFFSET(P727,1,0),VLOOKUP(D727,契約台帳!$A$3:$P$4986,16,FALSE)))))</f>
        <v>12000</v>
      </c>
      <c r="U727" s="38">
        <v>1</v>
      </c>
      <c r="V727" s="259" t="str">
        <f ca="1">IF(D727="","",IF(OFFSET(D727,-2,0)=D727,"",VLOOKUP(D727,契約台帳!$A$3:$R$4986,18,FALSE)))</f>
        <v/>
      </c>
      <c r="W727" s="256" t="str">
        <f ca="1">IF(D727="","",IF(T727="","",IF(OR(J727="巻足し",J727="巻返しリード付け"),"",IF(J727="巻返し",VLOOKUP(F727&amp;K727&amp;M727,製品マスタ!$M$5:$AD$4999,18,FALSE),IF(OR(J727="リード付け",J727="巻返しリード付け"),"原反コア",IF(J727="スリット",VLOOKUP(F727&amp;K727&amp;R727,製品マスタ!$N$5:$AD$4999,17,FALSE),""))))))</f>
        <v/>
      </c>
      <c r="X727" s="256" t="str">
        <f ca="1">IF(D727="","",IF(T727="","",IF(J727="巻足し","",IF(J727="巻返し",VLOOKUP(F727&amp;K727&amp;M727,製品マスタ!$M$5:$AE$4999,19,FALSE),IF(OR(J727="リード付け",J727="巻返しリード付け"),"",IF(J727="スリット",VLOOKUP(F727&amp;K727&amp;R727,製品マスタ!$N$5:$AE$4999,18,FALSE),""))))))</f>
        <v/>
      </c>
      <c r="Y727" s="256">
        <f ca="1">IF(D727="","",IF(T727="","",VLOOKUP(D727,契約台帳!$A$3:$Q$4986,17,FALSE)))</f>
        <v>2</v>
      </c>
      <c r="Z727" s="256" t="str">
        <f ca="1">IF(D727="","",IF(T727="","",VLOOKUP(D727,契約台帳!$A$3:$E$4986,5,FALSE)))</f>
        <v>リンテック㈱</v>
      </c>
      <c r="AA727" s="54"/>
      <c r="AB727" s="200"/>
      <c r="AC727" s="31"/>
      <c r="AD727" s="184"/>
      <c r="AE727" s="51"/>
      <c r="AF727" s="52">
        <f>+M727*N727*O727/1000</f>
        <v>4480</v>
      </c>
      <c r="AG727" s="41"/>
      <c r="AH727" s="45"/>
      <c r="AI727" s="28"/>
      <c r="AJ727" s="28"/>
      <c r="AK727" s="28"/>
      <c r="AL727" s="28"/>
      <c r="AM727" s="12"/>
      <c r="AN727" s="12"/>
      <c r="AO727" s="12"/>
      <c r="AP727" s="12"/>
      <c r="AQ727" s="12"/>
      <c r="AR727" s="13"/>
      <c r="AS727" s="14"/>
    </row>
    <row r="728" spans="1:45" s="16" customFormat="1" ht="30.95" hidden="1" customHeight="1" x14ac:dyDescent="0.2">
      <c r="A728" s="35"/>
      <c r="B728" s="36"/>
      <c r="C728" s="43"/>
      <c r="D728" s="29">
        <v>3716273</v>
      </c>
      <c r="E728" s="29"/>
      <c r="F728" s="255" t="str">
        <f>IF(D728="","",VLOOKUP(D728,契約台帳!$A$3:$K$4986,6,FALSE)&amp;VLOOKUP(D728,契約台帳!$A$3:$K$4986,7,FALSE)&amp;VLOOKUP(D728,契約台帳!$A$3:$K$4986,8,FALSE)&amp;VLOOKUP(D728,契約台帳!$A$3:$K$4986,9,FALSE)&amp;VLOOKUP(D728,契約台帳!$A$3:$K$4986,11,FALSE))</f>
        <v>3SYMLBMSNMBF</v>
      </c>
      <c r="G728" s="256" t="str">
        <f>IF(D728="","",VLOOKUP(F728,製品マスタ!$G$5:$H$4999,2,FALSE))</f>
        <v>S</v>
      </c>
      <c r="H728" s="256" t="str">
        <f>IF(D728="","",VLOOKUP(F728,製品マスタ!$G$5:$K$4999,5,FALSE))</f>
        <v>MSNMBF</v>
      </c>
      <c r="I728" s="200" t="str">
        <f>IF(D728="","",VLOOKUP(F728,製品マスタ!$G$5:$L$4999,6,FALSE))</f>
        <v>ＭＥＴＡＬＵＭＹ　ＳＩＬＶＥＲ　Ｎ－ＭＡＴＴＥ　Ｘ４４Ｍ　Ｂ</v>
      </c>
      <c r="J728" s="203" t="s">
        <v>935</v>
      </c>
      <c r="K728" s="200">
        <f>IF(D728="","",VLOOKUP(D728,契約台帳!$A$3:$L$4986,12,FALSE))</f>
        <v>50</v>
      </c>
      <c r="L728" s="200" t="str">
        <f>IF(D728="","",INDEX(製品マスタ!$Q$5:$Q$4999,MATCH('S4'!F728&amp;'S4'!K728,製品マスタ!$AO$5:$AO$4999,0)))</f>
        <v>X44</v>
      </c>
      <c r="M728" s="37">
        <v>1120</v>
      </c>
      <c r="N728" s="37">
        <v>4000</v>
      </c>
      <c r="O728" s="153">
        <v>2</v>
      </c>
      <c r="P728" s="45"/>
      <c r="Q728" s="206">
        <v>45105</v>
      </c>
      <c r="R728" s="257" t="str">
        <f ca="1">IF(D728="","",IF(OFFSET(D728,-1,0)&lt;&gt;"","",IF(OR(J728="リード付け",J728="巻足し",J728="巻返しリード付け"),M728,VLOOKUP(D728,契約台帳!$A$3:$N$4986,14,FALSE))))</f>
        <v/>
      </c>
      <c r="S728" s="258" t="str">
        <f ca="1">IF(D728="","",IF(OFFSET(D728,-1,0)&lt;&gt;"","",IF(OR(J728="リード付け",J728="巻足し",J728="巻返しリード付け"),M728,VLOOKUP(D728,契約台帳!$A$3:$O$4986,15,FALSE))))</f>
        <v/>
      </c>
      <c r="T728" s="258">
        <f ca="1">IF(D728="","",IF(J728="リード付け",N728,IF(J728="巻返しリード付け",N728,IF(J728="巻足し",N728*P728+OFFSET(N728,1,0)*OFFSET(P728,1,0),VLOOKUP(D728,契約台帳!$A$3:$P$4986,16,FALSE)))))</f>
        <v>0</v>
      </c>
      <c r="U728" s="38"/>
      <c r="V728" s="259">
        <f ca="1">IF(D728="","",IF(OFFSET(D728,-2,0)=D728,"",VLOOKUP(D728,契約台帳!$A$3:$R$4986,18,FALSE)))</f>
        <v>5</v>
      </c>
      <c r="W728" s="256" t="str">
        <f ca="1">IF(D728="","",IF(T728="","",IF(OR(J728="巻足し",J728="巻返しリード付け"),"",IF(J728="巻返し",VLOOKUP(F728&amp;K728&amp;M728,製品マスタ!$M$5:$AD$4999,18,FALSE),IF(OR(J728="リード付け",J728="巻返しリード付け"),"原反コア",IF(J728="スリット",VLOOKUP(F728&amp;K728&amp;R728,製品マスタ!$N$5:$AD$4999,17,FALSE),""))))))</f>
        <v/>
      </c>
      <c r="X728" s="256" t="str">
        <f ca="1">IF(D728="","",IF(T728="","",IF(J728="巻足し","",IF(J728="巻返し",VLOOKUP(F728&amp;K728&amp;M728,製品マスタ!$M$5:$AE$4999,19,FALSE),IF(OR(J728="リード付け",J728="巻返しリード付け"),"",IF(J728="スリット",VLOOKUP(F728&amp;K728&amp;R728,製品マスタ!$N$5:$AE$4999,18,FALSE),""))))))</f>
        <v/>
      </c>
      <c r="Y728" s="256">
        <f ca="1">IF(D728="","",IF(T728="","",VLOOKUP(D728,契約台帳!$A$3:$Q$4986,17,FALSE)))</f>
        <v>2</v>
      </c>
      <c r="Z728" s="256" t="str">
        <f ca="1">IF(D728="","",IF(T728="","",VLOOKUP(D728,契約台帳!$A$3:$E$4986,5,FALSE)))</f>
        <v>リンテック㈱</v>
      </c>
      <c r="AA728" s="54"/>
      <c r="AB728" s="200">
        <f>IFERROR((VLOOKUP(F728&amp;K728&amp;M728,製品マスタ!$M$5:$AM$4999,27,FALSE)),"")</f>
        <v>0</v>
      </c>
      <c r="AC728" s="31"/>
      <c r="AD728" s="184"/>
      <c r="AE728" s="51"/>
      <c r="AF728" s="52">
        <f>+M728*N728*O728/1000</f>
        <v>8960</v>
      </c>
      <c r="AG728" s="41"/>
      <c r="AH728" s="45"/>
      <c r="AI728" s="28"/>
      <c r="AJ728" s="28"/>
      <c r="AK728" s="28"/>
      <c r="AL728" s="28"/>
      <c r="AM728" s="12"/>
      <c r="AN728" s="12"/>
      <c r="AO728" s="12"/>
      <c r="AP728" s="12"/>
      <c r="AQ728" s="12"/>
      <c r="AR728" s="13"/>
      <c r="AS728" s="14"/>
    </row>
    <row r="729" spans="1:45" s="16" customFormat="1" ht="30.95" hidden="1" customHeight="1" x14ac:dyDescent="0.2">
      <c r="A729" s="35"/>
      <c r="B729" s="36"/>
      <c r="C729" s="43"/>
      <c r="D729" s="29"/>
      <c r="E729" s="29"/>
      <c r="F729" s="255"/>
      <c r="G729" s="256"/>
      <c r="H729" s="256"/>
      <c r="I729" s="200"/>
      <c r="J729" s="203"/>
      <c r="K729" s="200"/>
      <c r="L729" s="200"/>
      <c r="M729" s="37"/>
      <c r="N729" s="37"/>
      <c r="O729" s="153"/>
      <c r="P729" s="45"/>
      <c r="Q729" s="54"/>
      <c r="R729" s="257"/>
      <c r="S729" s="258"/>
      <c r="T729" s="258"/>
      <c r="U729" s="38"/>
      <c r="V729" s="259"/>
      <c r="W729" s="256"/>
      <c r="X729" s="256"/>
      <c r="Y729" s="256"/>
      <c r="Z729" s="256"/>
      <c r="AA729" s="54"/>
      <c r="AB729" s="200"/>
      <c r="AC729" s="31"/>
      <c r="AD729" s="184"/>
      <c r="AE729" s="51"/>
      <c r="AF729" s="52"/>
      <c r="AG729" s="41"/>
      <c r="AH729" s="45"/>
      <c r="AI729" s="28"/>
      <c r="AJ729" s="28"/>
      <c r="AK729" s="28"/>
      <c r="AL729" s="28"/>
      <c r="AM729" s="12"/>
      <c r="AN729" s="12"/>
      <c r="AO729" s="12"/>
      <c r="AP729" s="12"/>
      <c r="AQ729" s="12"/>
      <c r="AR729" s="13"/>
      <c r="AS729" s="14"/>
    </row>
    <row r="730" spans="1:45" s="16" customFormat="1" ht="30.95" hidden="1" customHeight="1" x14ac:dyDescent="0.2">
      <c r="A730" s="35"/>
      <c r="B730" s="36"/>
      <c r="C730" s="43"/>
      <c r="D730" s="29">
        <v>3716273</v>
      </c>
      <c r="E730" s="29">
        <v>4161965</v>
      </c>
      <c r="F730" s="255" t="str">
        <f>IF(D730="","",VLOOKUP(D730,契約台帳!$A$3:$K$4986,6,FALSE)&amp;VLOOKUP(D730,契約台帳!$A$3:$K$4986,7,FALSE)&amp;VLOOKUP(D730,契約台帳!$A$3:$K$4986,8,FALSE)&amp;VLOOKUP(D730,契約台帳!$A$3:$K$4986,9,FALSE)&amp;VLOOKUP(D730,契約台帳!$A$3:$K$4986,11,FALSE))</f>
        <v>3SYMLBMSNMBF</v>
      </c>
      <c r="G730" s="256" t="str">
        <f>IF(D730="","",VLOOKUP(F730,製品マスタ!$G$5:$H$4999,2,FALSE))</f>
        <v>S</v>
      </c>
      <c r="H730" s="256" t="str">
        <f>IF(D730="","",VLOOKUP(F730,製品マスタ!$G$5:$K$4999,5,FALSE))</f>
        <v>MSNMBF</v>
      </c>
      <c r="I730" s="200" t="str">
        <f>IF(D730="","",VLOOKUP(F730,製品マスタ!$G$5:$L$4999,6,FALSE))</f>
        <v>ＭＥＴＡＬＵＭＹ　ＳＩＬＶＥＲ　Ｎ－ＭＡＴＴＥ　Ｘ４４Ｍ　Ｂ</v>
      </c>
      <c r="J730" s="203" t="s">
        <v>935</v>
      </c>
      <c r="K730" s="200">
        <f>IF(D730="","",VLOOKUP(D730,契約台帳!$A$3:$L$4986,12,FALSE))</f>
        <v>50</v>
      </c>
      <c r="L730" s="200" t="str">
        <f>IF(D730="","",INDEX(製品マスタ!$Q$5:$Q$4999,MATCH('S4'!F730&amp;'S4'!K730,製品マスタ!$AO$5:$AO$4999,0)))</f>
        <v>X44</v>
      </c>
      <c r="M730" s="37">
        <v>1120</v>
      </c>
      <c r="N730" s="37">
        <v>4000</v>
      </c>
      <c r="O730" s="153">
        <v>3</v>
      </c>
      <c r="P730" s="45">
        <v>3</v>
      </c>
      <c r="Q730" s="206">
        <v>45105</v>
      </c>
      <c r="R730" s="257">
        <f ca="1">IF(D730="","",IF(OFFSET(D730,-1,0)&lt;&gt;"","",IF(OR(J730="リード付け",J730="巻足し",J730="巻返しリード付け"),M730,VLOOKUP(D730,契約台帳!$A$3:$N$4986,14,FALSE))))</f>
        <v>1120</v>
      </c>
      <c r="S730" s="258">
        <f ca="1">IF(D730="","",IF(OFFSET(D730,-1,0)&lt;&gt;"","",IF(OR(J730="リード付け",J730="巻足し",J730="巻返しリード付け"),M730,VLOOKUP(D730,契約台帳!$A$3:$O$4986,15,FALSE))))</f>
        <v>1120</v>
      </c>
      <c r="T730" s="258">
        <f ca="1">IF(D730="","",IF(J730="リード付け",N730,IF(J730="巻返しリード付け",N730,IF(J730="巻足し",N730*P730+OFFSET(N730,1,0)*OFFSET(P730,1,0),VLOOKUP(D730,契約台帳!$A$3:$P$4986,16,FALSE)))))</f>
        <v>12000</v>
      </c>
      <c r="U730" s="38">
        <v>1</v>
      </c>
      <c r="V730" s="259" t="str">
        <f ca="1">IF(D730="","",IF(OFFSET(D730,-2,0)=D730,"",VLOOKUP(D730,契約台帳!$A$3:$R$4986,18,FALSE)))</f>
        <v/>
      </c>
      <c r="W730" s="256" t="str">
        <f ca="1">IF(D730="","",IF(T730="","",IF(OR(J730="巻足し",J730="巻返しリード付け"),"",IF(J730="巻返し",VLOOKUP(F730&amp;K730&amp;M730,製品マスタ!$M$5:$AD$4999,18,FALSE),IF(OR(J730="リード付け",J730="巻返しリード付け"),"原反コア",IF(J730="スリット",VLOOKUP(F730&amp;K730&amp;R730,製品マスタ!$N$5:$AD$4999,17,FALSE),""))))))</f>
        <v/>
      </c>
      <c r="X730" s="256" t="str">
        <f ca="1">IF(D730="","",IF(T730="","",IF(J730="巻足し","",IF(J730="巻返し",VLOOKUP(F730&amp;K730&amp;M730,製品マスタ!$M$5:$AE$4999,19,FALSE),IF(OR(J730="リード付け",J730="巻返しリード付け"),"",IF(J730="スリット",VLOOKUP(F730&amp;K730&amp;R730,製品マスタ!$N$5:$AE$4999,18,FALSE),""))))))</f>
        <v/>
      </c>
      <c r="Y730" s="256">
        <f ca="1">IF(D730="","",IF(T730="","",VLOOKUP(D730,契約台帳!$A$3:$Q$4986,17,FALSE)))</f>
        <v>2</v>
      </c>
      <c r="Z730" s="256" t="str">
        <f ca="1">IF(D730="","",IF(T730="","",VLOOKUP(D730,契約台帳!$A$3:$E$4986,5,FALSE)))</f>
        <v>リンテック㈱</v>
      </c>
      <c r="AA730" s="54"/>
      <c r="AB730" s="200">
        <f>IFERROR((VLOOKUP(F730&amp;K730&amp;M730,製品マスタ!$M$5:$AM$4999,27,FALSE)),"")</f>
        <v>0</v>
      </c>
      <c r="AC730" s="31"/>
      <c r="AD730" s="184"/>
      <c r="AE730" s="51"/>
      <c r="AF730" s="52">
        <f>+M730*N730*O730/1000</f>
        <v>13440</v>
      </c>
      <c r="AG730" s="41"/>
      <c r="AH730" s="45"/>
      <c r="AI730" s="28"/>
      <c r="AJ730" s="28"/>
      <c r="AK730" s="28"/>
      <c r="AL730" s="28"/>
      <c r="AM730" s="12"/>
      <c r="AN730" s="12"/>
      <c r="AO730" s="12"/>
      <c r="AP730" s="12"/>
      <c r="AQ730" s="12"/>
      <c r="AR730" s="13"/>
      <c r="AS730" s="14"/>
    </row>
    <row r="731" spans="1:45" s="16" customFormat="1" ht="30.95" hidden="1" customHeight="1" x14ac:dyDescent="0.2">
      <c r="A731" s="35"/>
      <c r="B731" s="36"/>
      <c r="C731" s="43"/>
      <c r="D731" s="29"/>
      <c r="E731" s="29"/>
      <c r="F731" s="255"/>
      <c r="G731" s="256"/>
      <c r="H731" s="256"/>
      <c r="I731" s="200"/>
      <c r="J731" s="203"/>
      <c r="K731" s="200"/>
      <c r="L731" s="200"/>
      <c r="M731" s="37"/>
      <c r="N731" s="37"/>
      <c r="O731" s="153"/>
      <c r="P731" s="45"/>
      <c r="Q731" s="54"/>
      <c r="R731" s="257"/>
      <c r="S731" s="258"/>
      <c r="T731" s="258"/>
      <c r="U731" s="38"/>
      <c r="V731" s="259"/>
      <c r="W731" s="256"/>
      <c r="X731" s="256"/>
      <c r="Y731" s="256"/>
      <c r="Z731" s="256"/>
      <c r="AA731" s="54"/>
      <c r="AB731" s="200"/>
      <c r="AC731" s="31"/>
      <c r="AD731" s="184"/>
      <c r="AE731" s="51"/>
      <c r="AF731" s="52"/>
      <c r="AG731" s="41"/>
      <c r="AH731" s="45"/>
      <c r="AI731" s="28"/>
      <c r="AJ731" s="28"/>
      <c r="AK731" s="28"/>
      <c r="AL731" s="28"/>
      <c r="AM731" s="12"/>
      <c r="AN731" s="12"/>
      <c r="AO731" s="12"/>
      <c r="AP731" s="12"/>
      <c r="AQ731" s="12"/>
      <c r="AR731" s="13"/>
      <c r="AS731" s="14"/>
    </row>
    <row r="732" spans="1:45" s="16" customFormat="1" ht="30.95" hidden="1" customHeight="1" x14ac:dyDescent="0.2">
      <c r="A732" s="35" t="s">
        <v>770</v>
      </c>
      <c r="B732" s="36" t="s">
        <v>445</v>
      </c>
      <c r="C732" s="43"/>
      <c r="D732" s="29"/>
      <c r="E732" s="29"/>
      <c r="F732" s="255"/>
      <c r="G732" s="256"/>
      <c r="H732" s="256"/>
      <c r="I732" s="200"/>
      <c r="J732" s="203" t="s">
        <v>448</v>
      </c>
      <c r="K732" s="200"/>
      <c r="L732" s="200"/>
      <c r="M732" s="37"/>
      <c r="N732" s="37"/>
      <c r="O732" s="153"/>
      <c r="P732" s="45"/>
      <c r="Q732" s="54"/>
      <c r="R732" s="257"/>
      <c r="S732" s="258"/>
      <c r="T732" s="258"/>
      <c r="U732" s="38"/>
      <c r="V732" s="259"/>
      <c r="W732" s="256"/>
      <c r="X732" s="256"/>
      <c r="Y732" s="256"/>
      <c r="Z732" s="256"/>
      <c r="AA732" s="54"/>
      <c r="AB732" s="200"/>
      <c r="AC732" s="31"/>
      <c r="AD732" s="184"/>
      <c r="AE732" s="51"/>
      <c r="AF732" s="52"/>
      <c r="AG732" s="41"/>
      <c r="AH732" s="45"/>
      <c r="AI732" s="28"/>
      <c r="AJ732" s="28"/>
      <c r="AK732" s="28"/>
      <c r="AL732" s="28"/>
      <c r="AM732" s="12"/>
      <c r="AN732" s="12"/>
      <c r="AO732" s="12"/>
      <c r="AP732" s="12"/>
      <c r="AQ732" s="12"/>
      <c r="AR732" s="13"/>
      <c r="AS732" s="14"/>
    </row>
    <row r="733" spans="1:45" s="16" customFormat="1" ht="30.95" hidden="1" customHeight="1" x14ac:dyDescent="0.2">
      <c r="A733" s="35"/>
      <c r="B733" s="36"/>
      <c r="C733" s="43"/>
      <c r="D733" s="29"/>
      <c r="E733" s="29"/>
      <c r="F733" s="255"/>
      <c r="G733" s="256"/>
      <c r="H733" s="256"/>
      <c r="I733" s="200"/>
      <c r="J733" s="203"/>
      <c r="K733" s="200"/>
      <c r="L733" s="200"/>
      <c r="M733" s="37"/>
      <c r="N733" s="37"/>
      <c r="O733" s="153"/>
      <c r="P733" s="45"/>
      <c r="Q733" s="54"/>
      <c r="R733" s="257"/>
      <c r="S733" s="258"/>
      <c r="T733" s="258"/>
      <c r="U733" s="38"/>
      <c r="V733" s="259"/>
      <c r="W733" s="256"/>
      <c r="X733" s="256"/>
      <c r="Y733" s="256"/>
      <c r="Z733" s="256"/>
      <c r="AA733" s="54"/>
      <c r="AB733" s="200"/>
      <c r="AC733" s="31"/>
      <c r="AD733" s="184"/>
      <c r="AE733" s="51"/>
      <c r="AF733" s="52"/>
      <c r="AG733" s="41"/>
      <c r="AH733" s="45"/>
      <c r="AI733" s="28"/>
      <c r="AJ733" s="28"/>
      <c r="AK733" s="28"/>
      <c r="AL733" s="28"/>
      <c r="AM733" s="12"/>
      <c r="AN733" s="12"/>
      <c r="AO733" s="12"/>
      <c r="AP733" s="12"/>
      <c r="AQ733" s="12"/>
      <c r="AR733" s="13"/>
      <c r="AS733" s="14"/>
    </row>
    <row r="734" spans="1:45" s="16" customFormat="1" ht="30.95" hidden="1" customHeight="1" x14ac:dyDescent="0.2">
      <c r="A734" s="35" t="s">
        <v>492</v>
      </c>
      <c r="B734" s="36" t="s">
        <v>446</v>
      </c>
      <c r="C734" s="43"/>
      <c r="D734" s="29"/>
      <c r="E734" s="29"/>
      <c r="F734" s="255"/>
      <c r="G734" s="256"/>
      <c r="H734" s="256"/>
      <c r="I734" s="200"/>
      <c r="J734" s="203" t="s">
        <v>448</v>
      </c>
      <c r="K734" s="200"/>
      <c r="L734" s="200"/>
      <c r="M734" s="37"/>
      <c r="N734" s="37"/>
      <c r="O734" s="153"/>
      <c r="P734" s="45"/>
      <c r="Q734" s="54"/>
      <c r="R734" s="257"/>
      <c r="S734" s="258"/>
      <c r="T734" s="258"/>
      <c r="U734" s="38"/>
      <c r="V734" s="259"/>
      <c r="W734" s="256"/>
      <c r="X734" s="256"/>
      <c r="Y734" s="256"/>
      <c r="Z734" s="256"/>
      <c r="AA734" s="54"/>
      <c r="AB734" s="200"/>
      <c r="AC734" s="31"/>
      <c r="AD734" s="184"/>
      <c r="AE734" s="51"/>
      <c r="AF734" s="52"/>
      <c r="AG734" s="41"/>
      <c r="AH734" s="45"/>
      <c r="AI734" s="28"/>
      <c r="AJ734" s="28"/>
      <c r="AK734" s="28"/>
      <c r="AL734" s="28"/>
      <c r="AM734" s="12"/>
      <c r="AN734" s="12"/>
      <c r="AO734" s="12"/>
      <c r="AP734" s="12"/>
      <c r="AQ734" s="12"/>
      <c r="AR734" s="13"/>
      <c r="AS734" s="14"/>
    </row>
    <row r="735" spans="1:45" s="16" customFormat="1" ht="30.95" hidden="1" customHeight="1" x14ac:dyDescent="0.2">
      <c r="A735" s="35"/>
      <c r="B735" s="36"/>
      <c r="C735" s="43"/>
      <c r="D735" s="29"/>
      <c r="E735" s="29"/>
      <c r="F735" s="255"/>
      <c r="G735" s="256"/>
      <c r="H735" s="256"/>
      <c r="I735" s="200"/>
      <c r="J735" s="203"/>
      <c r="K735" s="200"/>
      <c r="L735" s="200"/>
      <c r="M735" s="37"/>
      <c r="N735" s="37"/>
      <c r="O735" s="153"/>
      <c r="P735" s="45"/>
      <c r="Q735" s="54"/>
      <c r="R735" s="257"/>
      <c r="S735" s="258"/>
      <c r="T735" s="258"/>
      <c r="U735" s="38"/>
      <c r="V735" s="259"/>
      <c r="W735" s="256"/>
      <c r="X735" s="256"/>
      <c r="Y735" s="256"/>
      <c r="Z735" s="256"/>
      <c r="AA735" s="54"/>
      <c r="AB735" s="200"/>
      <c r="AC735" s="31"/>
      <c r="AD735" s="184"/>
      <c r="AE735" s="51"/>
      <c r="AF735" s="52"/>
      <c r="AG735" s="41"/>
      <c r="AH735" s="45"/>
      <c r="AI735" s="28"/>
      <c r="AJ735" s="28"/>
      <c r="AK735" s="28"/>
      <c r="AL735" s="28"/>
      <c r="AM735" s="12"/>
      <c r="AN735" s="12"/>
      <c r="AO735" s="12"/>
      <c r="AP735" s="12"/>
      <c r="AQ735" s="12"/>
      <c r="AR735" s="13"/>
      <c r="AS735" s="14"/>
    </row>
    <row r="736" spans="1:45" s="16" customFormat="1" ht="30.95" hidden="1" customHeight="1" x14ac:dyDescent="0.2">
      <c r="A736" s="35" t="s">
        <v>1261</v>
      </c>
      <c r="B736" s="36" t="s">
        <v>1262</v>
      </c>
      <c r="C736" s="43"/>
      <c r="D736" s="29">
        <v>3716268</v>
      </c>
      <c r="E736" s="29">
        <v>4161976</v>
      </c>
      <c r="F736" s="255" t="str">
        <f>IF(D736="","",VLOOKUP(D736,契約台帳!$A$3:$K$4986,6,FALSE)&amp;VLOOKUP(D736,契約台帳!$A$3:$K$4986,7,FALSE)&amp;VLOOKUP(D736,契約台帳!$A$3:$K$4986,8,FALSE)&amp;VLOOKUP(D736,契約台帳!$A$3:$K$4986,9,FALSE)&amp;VLOOKUP(D736,契約台帳!$A$3:$K$4986,11,FALSE))</f>
        <v>3SNMLBMNQR66F</v>
      </c>
      <c r="G736" s="256" t="str">
        <f>IF(D736="","",VLOOKUP(F736,製品マスタ!$G$5:$H$4999,2,FALSE))</f>
        <v>S</v>
      </c>
      <c r="H736" s="256" t="str">
        <f>IF(D736="","",VLOOKUP(F736,製品マスタ!$G$5:$K$4999,5,FALSE))</f>
        <v>MNQR66F</v>
      </c>
      <c r="I736" s="200" t="str">
        <f>IF(D736="","",VLOOKUP(F736,製品マスタ!$G$5:$L$4999,6,FALSE))</f>
        <v>ＱＲ６６蒸着品</v>
      </c>
      <c r="J736" s="203" t="s">
        <v>935</v>
      </c>
      <c r="K736" s="200">
        <f>IF(D736="","",VLOOKUP(D736,契約台帳!$A$3:$L$4986,12,FALSE))</f>
        <v>25</v>
      </c>
      <c r="L736" s="200" t="str">
        <f>IF(D736="","",INDEX(製品マスタ!$Q$5:$Q$4999,MATCH('S4'!F736&amp;'S4'!K736,製品マスタ!$AO$5:$AO$4999,0)))</f>
        <v>E315</v>
      </c>
      <c r="M736" s="37">
        <v>1100</v>
      </c>
      <c r="N736" s="37">
        <v>6000</v>
      </c>
      <c r="O736" s="153">
        <v>8</v>
      </c>
      <c r="P736" s="45">
        <v>4</v>
      </c>
      <c r="Q736" s="206">
        <v>45105</v>
      </c>
      <c r="R736" s="257">
        <f ca="1">IF(D736="","",IF(OFFSET(D736,-1,0)&lt;&gt;"","",IF(OR(J736="リード付け",J736="巻足し",J736="巻返しリード付け"),M736,VLOOKUP(D736,契約台帳!$A$3:$N$4986,14,FALSE))))</f>
        <v>1100</v>
      </c>
      <c r="S736" s="258">
        <f ca="1">IF(D736="","",IF(OFFSET(D736,-1,0)&lt;&gt;"","",IF(OR(J736="リード付け",J736="巻足し",J736="巻返しリード付け"),M736,VLOOKUP(D736,契約台帳!$A$3:$O$4986,15,FALSE))))</f>
        <v>1100</v>
      </c>
      <c r="T736" s="258">
        <f ca="1">IF(D736="","",IF(J736="リード付け",N736,IF(J736="巻返しリード付け",N736,IF(J736="巻足し",N736*P736+OFFSET(N736,1,0)*OFFSET(P736,1,0),VLOOKUP(D736,契約台帳!$A$3:$P$4986,16,FALSE)))))</f>
        <v>24000</v>
      </c>
      <c r="U736" s="38">
        <v>2</v>
      </c>
      <c r="V736" s="259">
        <f ca="1">IF(D736="","",IF(OFFSET(D736,-2,0)=D736,"",VLOOKUP(D736,契約台帳!$A$3:$R$4986,18,FALSE)))</f>
        <v>8</v>
      </c>
      <c r="W736" s="256" t="str">
        <f ca="1">IF(D736="","",IF(T736="","",IF(OR(J736="巻足し",J736="巻返しリード付け"),"",IF(J736="巻返し",VLOOKUP(F736&amp;K736&amp;M736,製品マスタ!$M$5:$AD$4999,18,FALSE),IF(OR(J736="リード付け",J736="巻返しリード付け"),"原反コア",IF(J736="スリット",VLOOKUP(F736&amp;K736&amp;R736,製品マスタ!$N$5:$AD$4999,17,FALSE),""))))))</f>
        <v/>
      </c>
      <c r="X736" s="256" t="str">
        <f ca="1">IF(D736="","",IF(T736="","",IF(J736="巻足し","",IF(J736="巻返し",VLOOKUP(F736&amp;K736&amp;M736,製品マスタ!$M$5:$AE$4999,19,FALSE),IF(OR(J736="リード付け",J736="巻返しリード付け"),"",IF(J736="スリット",VLOOKUP(F736&amp;K736&amp;R736,製品マスタ!$N$5:$AE$4999,18,FALSE),""))))))</f>
        <v/>
      </c>
      <c r="Y736" s="256">
        <f ca="1">IF(D736="","",IF(T736="","",VLOOKUP(D736,契約台帳!$A$3:$Q$4986,17,FALSE)))</f>
        <v>2</v>
      </c>
      <c r="Z736" s="256" t="str">
        <f ca="1">IF(D736="","",IF(T736="","",VLOOKUP(D736,契約台帳!$A$3:$E$4986,5,FALSE)))</f>
        <v>リンテック㈱</v>
      </c>
      <c r="AA736" s="54"/>
      <c r="AB736" s="200" t="str">
        <f>IFERROR((VLOOKUP(F736&amp;K736&amp;M736,製品マスタ!$M$5:$AM$4999,27,FALSE)),"")</f>
        <v>原反ケース再利用</v>
      </c>
      <c r="AC736" s="31"/>
      <c r="AD736" s="184"/>
      <c r="AE736" s="51"/>
      <c r="AF736" s="52"/>
      <c r="AG736" s="41"/>
      <c r="AH736" s="45"/>
      <c r="AI736" s="28"/>
      <c r="AJ736" s="28"/>
      <c r="AK736" s="28"/>
      <c r="AL736" s="28"/>
      <c r="AM736" s="12"/>
      <c r="AN736" s="12"/>
      <c r="AO736" s="12"/>
      <c r="AP736" s="12"/>
      <c r="AQ736" s="12"/>
      <c r="AR736" s="13"/>
      <c r="AS736" s="14"/>
    </row>
    <row r="737" spans="1:45" s="16" customFormat="1" ht="30.95" hidden="1" customHeight="1" x14ac:dyDescent="0.2">
      <c r="A737" s="35"/>
      <c r="B737" s="36"/>
      <c r="C737" s="43"/>
      <c r="D737" s="29"/>
      <c r="E737" s="29"/>
      <c r="F737" s="255"/>
      <c r="G737" s="256"/>
      <c r="H737" s="256"/>
      <c r="I737" s="200"/>
      <c r="J737" s="203"/>
      <c r="K737" s="200"/>
      <c r="L737" s="200"/>
      <c r="M737" s="37"/>
      <c r="N737" s="37"/>
      <c r="O737" s="153"/>
      <c r="P737" s="45"/>
      <c r="Q737" s="54"/>
      <c r="R737" s="257"/>
      <c r="S737" s="258"/>
      <c r="T737" s="258"/>
      <c r="U737" s="38"/>
      <c r="V737" s="259"/>
      <c r="W737" s="256"/>
      <c r="X737" s="256"/>
      <c r="Y737" s="256"/>
      <c r="Z737" s="256"/>
      <c r="AA737" s="54"/>
      <c r="AB737" s="200"/>
      <c r="AC737" s="31"/>
      <c r="AD737" s="184"/>
      <c r="AE737" s="51"/>
      <c r="AF737" s="52"/>
      <c r="AG737" s="41"/>
      <c r="AH737" s="45"/>
      <c r="AI737" s="28"/>
      <c r="AJ737" s="28"/>
      <c r="AK737" s="28"/>
      <c r="AL737" s="28"/>
      <c r="AM737" s="12"/>
      <c r="AN737" s="12"/>
      <c r="AO737" s="12"/>
      <c r="AP737" s="12"/>
      <c r="AQ737" s="12"/>
      <c r="AR737" s="13"/>
      <c r="AS737" s="14"/>
    </row>
    <row r="738" spans="1:45" s="16" customFormat="1" ht="30.95" hidden="1" customHeight="1" x14ac:dyDescent="0.2">
      <c r="A738" s="35"/>
      <c r="B738" s="36"/>
      <c r="C738" s="43"/>
      <c r="D738" s="29" t="s">
        <v>1276</v>
      </c>
      <c r="E738" s="29" t="s">
        <v>1277</v>
      </c>
      <c r="F738" s="298" t="e">
        <v>#N/A</v>
      </c>
      <c r="G738" s="29" t="e">
        <v>#N/A</v>
      </c>
      <c r="H738" s="29" t="e">
        <v>#N/A</v>
      </c>
      <c r="I738" s="299" t="s">
        <v>1267</v>
      </c>
      <c r="J738" s="203" t="s">
        <v>1269</v>
      </c>
      <c r="K738" s="299">
        <v>100</v>
      </c>
      <c r="L738" s="299" t="s">
        <v>1268</v>
      </c>
      <c r="M738" s="37">
        <v>1100</v>
      </c>
      <c r="N738" s="37">
        <v>1600</v>
      </c>
      <c r="O738" s="153">
        <v>1</v>
      </c>
      <c r="P738" s="45">
        <v>1</v>
      </c>
      <c r="Q738" s="206">
        <v>45106</v>
      </c>
      <c r="R738" s="257">
        <v>1100</v>
      </c>
      <c r="S738" s="258">
        <v>1100</v>
      </c>
      <c r="T738" s="258">
        <v>1600</v>
      </c>
      <c r="U738" s="38">
        <v>1</v>
      </c>
      <c r="V738" s="38">
        <v>1</v>
      </c>
      <c r="W738" s="29" t="s">
        <v>2803</v>
      </c>
      <c r="X738" s="29" t="s">
        <v>928</v>
      </c>
      <c r="Y738" s="29" t="e">
        <v>#N/A</v>
      </c>
      <c r="Z738" s="29" t="s">
        <v>1270</v>
      </c>
      <c r="AA738" s="54"/>
      <c r="AB738" s="200" t="s">
        <v>928</v>
      </c>
      <c r="AC738" s="31"/>
      <c r="AD738" s="184"/>
      <c r="AE738" s="51"/>
      <c r="AF738" s="52"/>
      <c r="AG738" s="37"/>
      <c r="AH738" s="300"/>
      <c r="AI738" s="28"/>
      <c r="AJ738" s="28"/>
      <c r="AK738" s="28"/>
      <c r="AL738" s="12"/>
      <c r="AM738" s="12"/>
      <c r="AN738" s="12"/>
      <c r="AO738" s="12"/>
      <c r="AP738" s="12"/>
      <c r="AQ738" s="13"/>
      <c r="AR738" s="14"/>
    </row>
    <row r="739" spans="1:45" s="16" customFormat="1" ht="30.95" hidden="1" customHeight="1" x14ac:dyDescent="0.2">
      <c r="A739" s="35"/>
      <c r="B739" s="36"/>
      <c r="C739" s="43"/>
      <c r="D739" s="29"/>
      <c r="E739" s="29"/>
      <c r="F739" s="255"/>
      <c r="G739" s="256"/>
      <c r="H739" s="256"/>
      <c r="I739" s="200"/>
      <c r="J739" s="203"/>
      <c r="K739" s="200"/>
      <c r="L739" s="200"/>
      <c r="M739" s="37"/>
      <c r="N739" s="37"/>
      <c r="O739" s="153"/>
      <c r="P739" s="45"/>
      <c r="Q739" s="54"/>
      <c r="R739" s="257"/>
      <c r="S739" s="258"/>
      <c r="T739" s="258"/>
      <c r="U739" s="38"/>
      <c r="V739" s="259"/>
      <c r="W739" s="256"/>
      <c r="X739" s="256"/>
      <c r="Y739" s="256"/>
      <c r="Z739" s="256"/>
      <c r="AA739" s="54"/>
      <c r="AB739" s="200"/>
      <c r="AC739" s="31"/>
      <c r="AD739" s="184"/>
      <c r="AE739" s="51"/>
      <c r="AF739" s="52"/>
      <c r="AG739" s="41"/>
      <c r="AH739" s="45"/>
      <c r="AI739" s="28"/>
      <c r="AJ739" s="28"/>
      <c r="AK739" s="28"/>
      <c r="AL739" s="28"/>
      <c r="AM739" s="12"/>
      <c r="AN739" s="12"/>
      <c r="AO739" s="12"/>
      <c r="AP739" s="12"/>
      <c r="AQ739" s="12"/>
      <c r="AR739" s="13"/>
      <c r="AS739" s="14"/>
    </row>
    <row r="740" spans="1:45" s="16" customFormat="1" ht="30.95" hidden="1" customHeight="1" x14ac:dyDescent="0.2">
      <c r="A740" s="35"/>
      <c r="B740" s="36"/>
      <c r="C740" s="43"/>
      <c r="D740" s="29">
        <v>3716250</v>
      </c>
      <c r="E740" s="29">
        <v>4161943</v>
      </c>
      <c r="F740" s="255" t="str">
        <f>IF(D740="","",VLOOKUP(D740,契約台帳!$A$3:$K$4986,6,FALSE)&amp;VLOOKUP(D740,契約台帳!$A$3:$K$4986,7,FALSE)&amp;VLOOKUP(D740,契約台帳!$A$3:$K$4986,8,FALSE)&amp;VLOOKUP(D740,契約台帳!$A$3:$K$4986,9,FALSE)&amp;VLOOKUP(D740,契約台帳!$A$3:$K$4986,11,FALSE))</f>
        <v>3SNMLBMNGKBF</v>
      </c>
      <c r="G740" s="256" t="str">
        <f>IF(D740="","",VLOOKUP(F740,製品マスタ!$G$5:$H$4999,2,FALSE))</f>
        <v>S</v>
      </c>
      <c r="H740" s="256" t="str">
        <f>IF(D740="","",VLOOKUP(F740,製品マスタ!$G$5:$K$4999,5,FALSE))</f>
        <v>MNGKBF</v>
      </c>
      <c r="I740" s="200" t="str">
        <f>IF(D740="","",VLOOKUP(F740,製品マスタ!$G$5:$L$4999,6,FALSE))</f>
        <v>メタルミー　ネーマー銀消　Ｂ</v>
      </c>
      <c r="J740" s="203" t="s">
        <v>935</v>
      </c>
      <c r="K740" s="200">
        <f>IF(D740="","",VLOOKUP(D740,契約台帳!$A$3:$L$4986,12,FALSE))</f>
        <v>25</v>
      </c>
      <c r="L740" s="200" t="str">
        <f>IF(D740="","",INDEX(製品マスタ!$Q$5:$Q$4999,MATCH('S4'!F740&amp;'S4'!K740,製品マスタ!$AO$5:$AO$4999,0)))</f>
        <v>LUMIMAT</v>
      </c>
      <c r="M740" s="37">
        <v>1050</v>
      </c>
      <c r="N740" s="37">
        <v>4000</v>
      </c>
      <c r="O740" s="153">
        <v>2</v>
      </c>
      <c r="P740" s="45">
        <v>2</v>
      </c>
      <c r="Q740" s="206">
        <v>45105</v>
      </c>
      <c r="R740" s="257">
        <f ca="1">IF(D740="","",IF(OFFSET(D740,-1,0)&lt;&gt;"","",IF(OR(J740="リード付け",J740="巻足し",J740="巻返しリード付け"),M740,VLOOKUP(D740,契約台帳!$A$3:$N$4986,14,FALSE))))</f>
        <v>1050</v>
      </c>
      <c r="S740" s="258">
        <f ca="1">IF(D740="","",IF(OFFSET(D740,-1,0)&lt;&gt;"","",IF(OR(J740="リード付け",J740="巻足し",J740="巻返しリード付け"),M740,VLOOKUP(D740,契約台帳!$A$3:$O$4986,15,FALSE))))</f>
        <v>1050</v>
      </c>
      <c r="T740" s="258">
        <f ca="1">IF(D740="","",IF(J740="リード付け",N740,IF(J740="巻返しリード付け",N740,IF(J740="巻足し",N740*P740+OFFSET(N740,1,0)*OFFSET(P740,1,0),VLOOKUP(D740,契約台帳!$A$3:$P$4986,16,FALSE)))))</f>
        <v>8000</v>
      </c>
      <c r="U740" s="38">
        <v>1</v>
      </c>
      <c r="V740" s="259">
        <f ca="1">IF(D740="","",IF(OFFSET(D740,-2,0)=D740,"",VLOOKUP(D740,契約台帳!$A$3:$R$4986,18,FALSE)))</f>
        <v>2</v>
      </c>
      <c r="W740" s="256" t="str">
        <f ca="1">IF(D740="","",IF(T740="","",IF(OR(J740="巻足し",J740="巻返しリード付け"),"",IF(J740="巻返し",VLOOKUP(F740&amp;K740&amp;M740,製品マスタ!$M$5:$AD$4999,18,FALSE),IF(OR(J740="リード付け",J740="巻返しリード付け"),"原反コア",IF(J740="スリット",VLOOKUP(F740&amp;K740&amp;R740,製品マスタ!$N$5:$AD$4999,17,FALSE),""))))))</f>
        <v/>
      </c>
      <c r="X740" s="256" t="str">
        <f ca="1">IF(D740="","",IF(T740="","",IF(J740="巻足し","",IF(J740="巻返し",VLOOKUP(F740&amp;K740&amp;M740,製品マスタ!$M$5:$AE$4999,19,FALSE),IF(OR(J740="リード付け",J740="巻返しリード付け"),"",IF(J740="スリット",VLOOKUP(F740&amp;K740&amp;R740,製品マスタ!$N$5:$AE$4999,18,FALSE),""))))))</f>
        <v/>
      </c>
      <c r="Y740" s="256">
        <f ca="1">IF(D740="","",IF(T740="","",VLOOKUP(D740,契約台帳!$A$3:$Q$4986,17,FALSE)))</f>
        <v>2</v>
      </c>
      <c r="Z740" s="256" t="str">
        <f ca="1">IF(D740="","",IF(T740="","",VLOOKUP(D740,契約台帳!$A$3:$E$4986,5,FALSE)))</f>
        <v>リンテック㈱</v>
      </c>
      <c r="AA740" s="54"/>
      <c r="AB740" s="200">
        <f>IFERROR((VLOOKUP(F740&amp;K740&amp;M740,製品マスタ!$M$5:$AM$4999,27,FALSE)),"")</f>
        <v>0</v>
      </c>
      <c r="AC740" s="31"/>
      <c r="AD740" s="184"/>
      <c r="AE740" s="51"/>
      <c r="AF740" s="52"/>
      <c r="AG740" s="41"/>
      <c r="AH740" s="45"/>
      <c r="AI740" s="28"/>
      <c r="AJ740" s="28"/>
      <c r="AK740" s="28"/>
      <c r="AL740" s="28"/>
      <c r="AM740" s="12"/>
      <c r="AN740" s="12"/>
      <c r="AO740" s="12"/>
      <c r="AP740" s="12"/>
      <c r="AQ740" s="12"/>
      <c r="AR740" s="13"/>
      <c r="AS740" s="14"/>
    </row>
    <row r="741" spans="1:45" s="16" customFormat="1" ht="30.95" hidden="1" customHeight="1" x14ac:dyDescent="0.2">
      <c r="A741" s="35"/>
      <c r="B741" s="36"/>
      <c r="C741" s="43"/>
      <c r="D741" s="29"/>
      <c r="E741" s="29"/>
      <c r="F741" s="255"/>
      <c r="G741" s="256"/>
      <c r="H741" s="256"/>
      <c r="I741" s="200"/>
      <c r="J741" s="203"/>
      <c r="K741" s="200"/>
      <c r="L741" s="200"/>
      <c r="M741" s="37"/>
      <c r="N741" s="37"/>
      <c r="O741" s="153"/>
      <c r="P741" s="45"/>
      <c r="Q741" s="54"/>
      <c r="R741" s="257"/>
      <c r="S741" s="258"/>
      <c r="T741" s="258"/>
      <c r="U741" s="38"/>
      <c r="V741" s="259"/>
      <c r="W741" s="256"/>
      <c r="X741" s="256"/>
      <c r="Y741" s="256"/>
      <c r="Z741" s="256"/>
      <c r="AA741" s="54"/>
      <c r="AB741" s="200"/>
      <c r="AC741" s="31"/>
      <c r="AD741" s="184"/>
      <c r="AE741" s="51"/>
      <c r="AF741" s="52"/>
      <c r="AG741" s="41"/>
      <c r="AH741" s="45"/>
      <c r="AI741" s="28"/>
      <c r="AJ741" s="28"/>
      <c r="AK741" s="28"/>
      <c r="AL741" s="28"/>
      <c r="AM741" s="12"/>
      <c r="AN741" s="12"/>
      <c r="AO741" s="12"/>
      <c r="AP741" s="12"/>
      <c r="AQ741" s="12"/>
      <c r="AR741" s="13"/>
      <c r="AS741" s="14"/>
    </row>
    <row r="742" spans="1:45" s="16" customFormat="1" ht="30.95" hidden="1" customHeight="1" x14ac:dyDescent="0.2">
      <c r="A742" s="35"/>
      <c r="B742" s="36"/>
      <c r="C742" s="43"/>
      <c r="D742" s="29">
        <v>3716251</v>
      </c>
      <c r="E742" s="29">
        <v>4161945</v>
      </c>
      <c r="F742" s="255" t="str">
        <f>IF(D742="","",VLOOKUP(D742,契約台帳!$A$3:$K$4986,6,FALSE)&amp;VLOOKUP(D742,契約台帳!$A$3:$K$4986,7,FALSE)&amp;VLOOKUP(D742,契約台帳!$A$3:$K$4986,8,FALSE)&amp;VLOOKUP(D742,契約台帳!$A$3:$K$4986,9,FALSE)&amp;VLOOKUP(D742,契約台帳!$A$3:$K$4986,11,FALSE))</f>
        <v>3SNMLBMNGKBF</v>
      </c>
      <c r="G742" s="256" t="str">
        <f>IF(D742="","",VLOOKUP(F742,製品マスタ!$G$5:$H$4999,2,FALSE))</f>
        <v>S</v>
      </c>
      <c r="H742" s="256" t="str">
        <f>IF(D742="","",VLOOKUP(F742,製品マスタ!$G$5:$K$4999,5,FALSE))</f>
        <v>MNGKBF</v>
      </c>
      <c r="I742" s="200" t="str">
        <f>IF(D742="","",VLOOKUP(F742,製品マスタ!$G$5:$L$4999,6,FALSE))</f>
        <v>メタルミー　ネーマー銀消　Ｂ</v>
      </c>
      <c r="J742" s="203" t="s">
        <v>935</v>
      </c>
      <c r="K742" s="200">
        <f>IF(D742="","",VLOOKUP(D742,契約台帳!$A$3:$L$4986,12,FALSE))</f>
        <v>50</v>
      </c>
      <c r="L742" s="200" t="str">
        <f>IF(D742="","",INDEX(製品マスタ!$Q$5:$Q$4999,MATCH('S4'!F742&amp;'S4'!K742,製品マスタ!$AO$5:$AO$4999,0)))</f>
        <v>MAT</v>
      </c>
      <c r="M742" s="37">
        <v>1050</v>
      </c>
      <c r="N742" s="37">
        <v>4100</v>
      </c>
      <c r="O742" s="153">
        <v>3</v>
      </c>
      <c r="P742" s="45">
        <v>3</v>
      </c>
      <c r="Q742" s="206">
        <v>45105</v>
      </c>
      <c r="R742" s="257">
        <f ca="1">IF(D742="","",IF(OFFSET(D742,-1,0)&lt;&gt;"","",IF(OR(J742="リード付け",J742="巻足し",J742="巻返しリード付け"),M742,VLOOKUP(D742,契約台帳!$A$3:$N$4986,14,FALSE))))</f>
        <v>1050</v>
      </c>
      <c r="S742" s="258">
        <f ca="1">IF(D742="","",IF(OFFSET(D742,-1,0)&lt;&gt;"","",IF(OR(J742="リード付け",J742="巻足し",J742="巻返しリード付け"),M742,VLOOKUP(D742,契約台帳!$A$3:$O$4986,15,FALSE))))</f>
        <v>1050</v>
      </c>
      <c r="T742" s="258">
        <f ca="1">IF(D742="","",IF(J742="リード付け",N742,IF(J742="巻返しリード付け",N742,IF(J742="巻足し",N742*P742+OFFSET(N742,1,0)*OFFSET(P742,1,0),VLOOKUP(D742,契約台帳!$A$3:$P$4986,16,FALSE)))))</f>
        <v>12300</v>
      </c>
      <c r="U742" s="38">
        <v>1</v>
      </c>
      <c r="V742" s="259">
        <f ca="1">IF(D742="","",IF(OFFSET(D742,-2,0)=D742,"",VLOOKUP(D742,契約台帳!$A$3:$R$4986,18,FALSE)))</f>
        <v>3</v>
      </c>
      <c r="W742" s="256" t="str">
        <f ca="1">IF(D742="","",IF(T742="","",IF(OR(J742="巻足し",J742="巻返しリード付け"),"",IF(J742="巻返し",VLOOKUP(F742&amp;K742&amp;M742,製品マスタ!$M$5:$AD$4999,18,FALSE),IF(OR(J742="リード付け",J742="巻返しリード付け"),"原反コア",IF(J742="スリット",VLOOKUP(F742&amp;K742&amp;R742,製品マスタ!$N$5:$AD$4999,17,FALSE),""))))))</f>
        <v/>
      </c>
      <c r="X742" s="256" t="str">
        <f ca="1">IF(D742="","",IF(T742="","",IF(J742="巻足し","",IF(J742="巻返し",VLOOKUP(F742&amp;K742&amp;M742,製品マスタ!$M$5:$AE$4999,19,FALSE),IF(OR(J742="リード付け",J742="巻返しリード付け"),"",IF(J742="スリット",VLOOKUP(F742&amp;K742&amp;R742,製品マスタ!$N$5:$AE$4999,18,FALSE),""))))))</f>
        <v/>
      </c>
      <c r="Y742" s="256">
        <f ca="1">IF(D742="","",IF(T742="","",VLOOKUP(D742,契約台帳!$A$3:$Q$4986,17,FALSE)))</f>
        <v>2</v>
      </c>
      <c r="Z742" s="256" t="str">
        <f ca="1">IF(D742="","",IF(T742="","",VLOOKUP(D742,契約台帳!$A$3:$E$4986,5,FALSE)))</f>
        <v>リンテック㈱</v>
      </c>
      <c r="AA742" s="54"/>
      <c r="AB742" s="200">
        <f>IFERROR((VLOOKUP(F742&amp;K742&amp;M742,製品マスタ!$M$5:$AM$4999,27,FALSE)),"")</f>
        <v>0</v>
      </c>
      <c r="AC742" s="31"/>
      <c r="AD742" s="184"/>
      <c r="AE742" s="51"/>
      <c r="AF742" s="52"/>
      <c r="AG742" s="41"/>
      <c r="AH742" s="45"/>
      <c r="AI742" s="28"/>
      <c r="AJ742" s="28"/>
      <c r="AK742" s="28"/>
      <c r="AL742" s="28"/>
      <c r="AM742" s="12"/>
      <c r="AN742" s="12"/>
      <c r="AO742" s="12"/>
      <c r="AP742" s="12"/>
      <c r="AQ742" s="12"/>
      <c r="AR742" s="13"/>
      <c r="AS742" s="14"/>
    </row>
    <row r="743" spans="1:45" s="16" customFormat="1" ht="30.95" hidden="1" customHeight="1" x14ac:dyDescent="0.2">
      <c r="A743" s="35"/>
      <c r="B743" s="36"/>
      <c r="C743" s="43"/>
      <c r="D743" s="29"/>
      <c r="E743" s="29"/>
      <c r="F743" s="255"/>
      <c r="G743" s="256"/>
      <c r="H743" s="256"/>
      <c r="I743" s="200"/>
      <c r="J743" s="203"/>
      <c r="K743" s="200"/>
      <c r="L743" s="200"/>
      <c r="M743" s="37"/>
      <c r="N743" s="37"/>
      <c r="O743" s="153"/>
      <c r="P743" s="45"/>
      <c r="Q743" s="54"/>
      <c r="R743" s="257"/>
      <c r="S743" s="258"/>
      <c r="T743" s="258"/>
      <c r="U743" s="38"/>
      <c r="V743" s="259"/>
      <c r="W743" s="256"/>
      <c r="X743" s="256"/>
      <c r="Y743" s="256"/>
      <c r="Z743" s="256"/>
      <c r="AA743" s="54"/>
      <c r="AB743" s="200"/>
      <c r="AC743" s="31"/>
      <c r="AD743" s="184"/>
      <c r="AE743" s="51"/>
      <c r="AF743" s="52"/>
      <c r="AG743" s="41"/>
      <c r="AH743" s="45"/>
      <c r="AI743" s="28"/>
      <c r="AJ743" s="28"/>
      <c r="AK743" s="28"/>
      <c r="AL743" s="28"/>
      <c r="AM743" s="12"/>
      <c r="AN743" s="12"/>
      <c r="AO743" s="12"/>
      <c r="AP743" s="12"/>
      <c r="AQ743" s="12"/>
      <c r="AR743" s="13"/>
      <c r="AS743" s="14"/>
    </row>
    <row r="744" spans="1:45" s="16" customFormat="1" ht="30.95" hidden="1" customHeight="1" x14ac:dyDescent="0.2">
      <c r="A744" s="35"/>
      <c r="B744" s="36"/>
      <c r="C744" s="43"/>
      <c r="D744" s="29">
        <v>3716253</v>
      </c>
      <c r="E744" s="29">
        <v>4161947</v>
      </c>
      <c r="F744" s="255" t="str">
        <f>IF(D744="","",VLOOKUP(D744,契約台帳!$A$3:$K$4986,6,FALSE)&amp;VLOOKUP(D744,契約台帳!$A$3:$K$4986,7,FALSE)&amp;VLOOKUP(D744,契約台帳!$A$3:$K$4986,8,FALSE)&amp;VLOOKUP(D744,契約台帳!$A$3:$K$4986,9,FALSE)&amp;VLOOKUP(D744,契約台帳!$A$3:$K$4986,11,FALSE))</f>
        <v>3SNMLBMNGKBF</v>
      </c>
      <c r="G744" s="256" t="str">
        <f>IF(D744="","",VLOOKUP(F744,製品マスタ!$G$5:$H$4999,2,FALSE))</f>
        <v>S</v>
      </c>
      <c r="H744" s="256" t="str">
        <f>IF(D744="","",VLOOKUP(F744,製品マスタ!$G$5:$K$4999,5,FALSE))</f>
        <v>MNGKBF</v>
      </c>
      <c r="I744" s="200" t="str">
        <f>IF(D744="","",VLOOKUP(F744,製品マスタ!$G$5:$L$4999,6,FALSE))</f>
        <v>メタルミー　ネーマー銀消　Ｂ</v>
      </c>
      <c r="J744" s="203" t="s">
        <v>935</v>
      </c>
      <c r="K744" s="200">
        <f>IF(D744="","",VLOOKUP(D744,契約台帳!$A$3:$L$4986,12,FALSE))</f>
        <v>75</v>
      </c>
      <c r="L744" s="200" t="str">
        <f>IF(D744="","",INDEX(製品マスタ!$Q$5:$Q$4999,MATCH('S4'!F744&amp;'S4'!K744,製品マスタ!$AO$5:$AO$4999,0)))</f>
        <v>MAT</v>
      </c>
      <c r="M744" s="37">
        <v>1050</v>
      </c>
      <c r="N744" s="37">
        <v>2000</v>
      </c>
      <c r="O744" s="153">
        <v>2</v>
      </c>
      <c r="P744" s="45">
        <v>2</v>
      </c>
      <c r="Q744" s="206">
        <v>45105</v>
      </c>
      <c r="R744" s="257">
        <f ca="1">IF(D744="","",IF(OFFSET(D744,-1,0)&lt;&gt;"","",IF(OR(J744="リード付け",J744="巻足し",J744="巻返しリード付け"),M744,VLOOKUP(D744,契約台帳!$A$3:$N$4986,14,FALSE))))</f>
        <v>1050</v>
      </c>
      <c r="S744" s="258">
        <f ca="1">IF(D744="","",IF(OFFSET(D744,-1,0)&lt;&gt;"","",IF(OR(J744="リード付け",J744="巻足し",J744="巻返しリード付け"),M744,VLOOKUP(D744,契約台帳!$A$3:$O$4986,15,FALSE))))</f>
        <v>1050</v>
      </c>
      <c r="T744" s="258">
        <f ca="1">IF(D744="","",IF(J744="リード付け",N744,IF(J744="巻返しリード付け",N744,IF(J744="巻足し",N744*P744+OFFSET(N744,1,0)*OFFSET(P744,1,0),VLOOKUP(D744,契約台帳!$A$3:$P$4986,16,FALSE)))))</f>
        <v>4000</v>
      </c>
      <c r="U744" s="38">
        <v>1</v>
      </c>
      <c r="V744" s="259">
        <f ca="1">IF(D744="","",IF(OFFSET(D744,-2,0)=D744,"",VLOOKUP(D744,契約台帳!$A$3:$R$4986,18,FALSE)))</f>
        <v>2</v>
      </c>
      <c r="W744" s="256" t="str">
        <f ca="1">IF(D744="","",IF(T744="","",IF(OR(J744="巻足し",J744="巻返しリード付け"),"",IF(J744="巻返し",VLOOKUP(F744&amp;K744&amp;M744,製品マスタ!$M$5:$AD$4999,18,FALSE),IF(OR(J744="リード付け",J744="巻返しリード付け"),"原反コア",IF(J744="スリット",VLOOKUP(F744&amp;K744&amp;R744,製品マスタ!$N$5:$AD$4999,17,FALSE),""))))))</f>
        <v/>
      </c>
      <c r="X744" s="256" t="str">
        <f ca="1">IF(D744="","",IF(T744="","",IF(J744="巻足し","",IF(J744="巻返し",VLOOKUP(F744&amp;K744&amp;M744,製品マスタ!$M$5:$AE$4999,19,FALSE),IF(OR(J744="リード付け",J744="巻返しリード付け"),"",IF(J744="スリット",VLOOKUP(F744&amp;K744&amp;R744,製品マスタ!$N$5:$AE$4999,18,FALSE),""))))))</f>
        <v/>
      </c>
      <c r="Y744" s="256">
        <f ca="1">IF(D744="","",IF(T744="","",VLOOKUP(D744,契約台帳!$A$3:$Q$4986,17,FALSE)))</f>
        <v>2</v>
      </c>
      <c r="Z744" s="256" t="str">
        <f ca="1">IF(D744="","",IF(T744="","",VLOOKUP(D744,契約台帳!$A$3:$E$4986,5,FALSE)))</f>
        <v>リンテック㈱</v>
      </c>
      <c r="AA744" s="54"/>
      <c r="AB744" s="200">
        <f>IFERROR((VLOOKUP(F744&amp;K744&amp;M744,製品マスタ!$M$5:$AM$4999,27,FALSE)),"")</f>
        <v>0</v>
      </c>
      <c r="AC744" s="31"/>
      <c r="AD744" s="184"/>
      <c r="AE744" s="51"/>
      <c r="AF744" s="52"/>
      <c r="AG744" s="41"/>
      <c r="AH744" s="45"/>
      <c r="AI744" s="28"/>
      <c r="AJ744" s="28"/>
      <c r="AK744" s="28"/>
      <c r="AL744" s="28"/>
      <c r="AM744" s="12"/>
      <c r="AN744" s="12"/>
      <c r="AO744" s="12"/>
      <c r="AP744" s="12"/>
      <c r="AQ744" s="12"/>
      <c r="AR744" s="13"/>
      <c r="AS744" s="14"/>
    </row>
    <row r="745" spans="1:45" s="16" customFormat="1" ht="30.95" hidden="1" customHeight="1" x14ac:dyDescent="0.2">
      <c r="A745" s="35"/>
      <c r="B745" s="36"/>
      <c r="C745" s="43"/>
      <c r="D745" s="29"/>
      <c r="E745" s="29"/>
      <c r="F745" s="255"/>
      <c r="G745" s="256"/>
      <c r="H745" s="256"/>
      <c r="I745" s="200"/>
      <c r="J745" s="203"/>
      <c r="K745" s="200"/>
      <c r="L745" s="200"/>
      <c r="M745" s="37"/>
      <c r="N745" s="37"/>
      <c r="O745" s="153"/>
      <c r="P745" s="45"/>
      <c r="Q745" s="54"/>
      <c r="R745" s="257"/>
      <c r="S745" s="258"/>
      <c r="T745" s="258"/>
      <c r="U745" s="38"/>
      <c r="V745" s="259"/>
      <c r="W745" s="256"/>
      <c r="X745" s="256"/>
      <c r="Y745" s="256"/>
      <c r="Z745" s="256"/>
      <c r="AA745" s="54"/>
      <c r="AB745" s="200"/>
      <c r="AC745" s="31"/>
      <c r="AD745" s="184"/>
      <c r="AE745" s="51"/>
      <c r="AF745" s="52"/>
      <c r="AG745" s="41"/>
      <c r="AH745" s="45"/>
      <c r="AI745" s="28"/>
      <c r="AJ745" s="28"/>
      <c r="AK745" s="28"/>
      <c r="AL745" s="28"/>
      <c r="AM745" s="12"/>
      <c r="AN745" s="12"/>
      <c r="AO745" s="12"/>
      <c r="AP745" s="12"/>
      <c r="AQ745" s="12"/>
      <c r="AR745" s="13"/>
      <c r="AS745" s="14"/>
    </row>
    <row r="746" spans="1:45" s="16" customFormat="1" ht="30.95" hidden="1" customHeight="1" x14ac:dyDescent="0.2">
      <c r="A746" s="35"/>
      <c r="B746" s="36"/>
      <c r="C746" s="43"/>
      <c r="D746" s="29">
        <v>3716240</v>
      </c>
      <c r="E746" s="29">
        <v>4161942</v>
      </c>
      <c r="F746" s="255" t="str">
        <f>IF(D746="","",VLOOKUP(D746,契約台帳!$A$3:$K$4986,6,FALSE)&amp;VLOOKUP(D746,契約台帳!$A$3:$K$4986,7,FALSE)&amp;VLOOKUP(D746,契約台帳!$A$3:$K$4986,8,FALSE)&amp;VLOOKUP(D746,契約台帳!$A$3:$K$4986,9,FALSE)&amp;VLOOKUP(D746,契約台帳!$A$3:$K$4986,11,FALSE))</f>
        <v>3SNMLBMDMSJF</v>
      </c>
      <c r="G746" s="256" t="str">
        <f>IF(D746="","",VLOOKUP(F746,製品マスタ!$G$5:$H$4999,2,FALSE))</f>
        <v>S</v>
      </c>
      <c r="H746" s="256" t="str">
        <f>IF(D746="","",VLOOKUP(F746,製品マスタ!$G$5:$K$4999,5,FALSE))</f>
        <v>MDMSJF</v>
      </c>
      <c r="I746" s="200" t="str">
        <f>IF(D746="","",VLOOKUP(F746,製品マスタ!$G$5:$L$4999,6,FALSE))</f>
        <v>ＤＭＳ蒸着（Ｘ－４４）</v>
      </c>
      <c r="J746" s="203" t="s">
        <v>935</v>
      </c>
      <c r="K746" s="200">
        <f>IF(D746="","",VLOOKUP(D746,契約台帳!$A$3:$L$4986,12,FALSE))</f>
        <v>50</v>
      </c>
      <c r="L746" s="200" t="str">
        <f>IF(D746="","",INDEX(製品マスタ!$Q$5:$Q$4999,MATCH('S4'!F746&amp;'S4'!K746,製品マスタ!$AO$5:$AO$4999,0)))</f>
        <v>X44</v>
      </c>
      <c r="M746" s="37">
        <v>1020</v>
      </c>
      <c r="N746" s="37">
        <v>4000</v>
      </c>
      <c r="O746" s="153">
        <v>2</v>
      </c>
      <c r="P746" s="45">
        <v>2</v>
      </c>
      <c r="Q746" s="206">
        <v>45110</v>
      </c>
      <c r="R746" s="257">
        <f ca="1">IF(D746="","",IF(OFFSET(D746,-1,0)&lt;&gt;"","",IF(OR(J746="リード付け",J746="巻足し",J746="巻返しリード付け"),M746,VLOOKUP(D746,契約台帳!$A$3:$N$4986,14,FALSE))))</f>
        <v>1020</v>
      </c>
      <c r="S746" s="258">
        <f ca="1">IF(D746="","",IF(OFFSET(D746,-1,0)&lt;&gt;"","",IF(OR(J746="リード付け",J746="巻足し",J746="巻返しリード付け"),M746,VLOOKUP(D746,契約台帳!$A$3:$O$4986,15,FALSE))))</f>
        <v>1020</v>
      </c>
      <c r="T746" s="258">
        <f ca="1">IF(D746="","",IF(J746="リード付け",N746,IF(J746="巻返しリード付け",N746,IF(J746="巻足し",N746*P746+OFFSET(N746,1,0)*OFFSET(P746,1,0),VLOOKUP(D746,契約台帳!$A$3:$P$4986,16,FALSE)))))</f>
        <v>8000</v>
      </c>
      <c r="U746" s="38">
        <v>1</v>
      </c>
      <c r="V746" s="259">
        <f ca="1">IF(D746="","",IF(OFFSET(D746,-2,0)=D746,"",VLOOKUP(D746,契約台帳!$A$3:$R$4986,18,FALSE)))</f>
        <v>4</v>
      </c>
      <c r="W746" s="256" t="str">
        <f ca="1">IF(D746="","",IF(T746="","",IF(OR(J746="巻足し",J746="巻返しリード付け"),"",IF(J746="巻返し",VLOOKUP(F746&amp;K746&amp;M746,製品マスタ!$M$5:$AD$4999,18,FALSE),IF(OR(J746="リード付け",J746="巻返しリード付け"),"原反コア",IF(J746="スリット",VLOOKUP(F746&amp;K746&amp;R746,製品マスタ!$N$5:$AD$4999,17,FALSE),""))))))</f>
        <v/>
      </c>
      <c r="X746" s="256" t="str">
        <f ca="1">IF(D746="","",IF(T746="","",IF(J746="巻足し","",IF(J746="巻返し",VLOOKUP(F746&amp;K746&amp;M746,製品マスタ!$M$5:$AE$4999,19,FALSE),IF(OR(J746="リード付け",J746="巻返しリード付け"),"",IF(J746="スリット",VLOOKUP(F746&amp;K746&amp;R746,製品マスタ!$N$5:$AE$4999,18,FALSE),""))))))</f>
        <v/>
      </c>
      <c r="Y746" s="256">
        <f ca="1">IF(D746="","",IF(T746="","",VLOOKUP(D746,契約台帳!$A$3:$Q$4986,17,FALSE)))</f>
        <v>2</v>
      </c>
      <c r="Z746" s="256" t="str">
        <f ca="1">IF(D746="","",IF(T746="","",VLOOKUP(D746,契約台帳!$A$3:$E$4986,5,FALSE)))</f>
        <v>五洋紙工㈱</v>
      </c>
      <c r="AA746" s="54"/>
      <c r="AB746" s="200">
        <f>IFERROR((VLOOKUP(F746&amp;K746&amp;M746,製品マスタ!$M$5:$AM$4999,27,FALSE)),"")</f>
        <v>0</v>
      </c>
      <c r="AC746" s="31"/>
      <c r="AD746" s="184"/>
      <c r="AE746" s="51"/>
      <c r="AF746" s="52"/>
      <c r="AG746" s="41"/>
      <c r="AH746" s="45"/>
      <c r="AI746" s="28"/>
      <c r="AJ746" s="28"/>
      <c r="AK746" s="28"/>
      <c r="AL746" s="28"/>
      <c r="AM746" s="12"/>
      <c r="AN746" s="12"/>
      <c r="AO746" s="12"/>
      <c r="AP746" s="12"/>
      <c r="AQ746" s="12"/>
      <c r="AR746" s="13"/>
      <c r="AS746" s="14"/>
    </row>
    <row r="747" spans="1:45" s="16" customFormat="1" ht="30.95" hidden="1" customHeight="1" x14ac:dyDescent="0.2">
      <c r="A747" s="35"/>
      <c r="B747" s="36"/>
      <c r="C747" s="43"/>
      <c r="D747" s="29"/>
      <c r="E747" s="29"/>
      <c r="F747" s="255"/>
      <c r="G747" s="256"/>
      <c r="H747" s="256"/>
      <c r="I747" s="200"/>
      <c r="J747" s="203"/>
      <c r="K747" s="200"/>
      <c r="L747" s="200"/>
      <c r="M747" s="37"/>
      <c r="N747" s="37"/>
      <c r="O747" s="153"/>
      <c r="P747" s="45"/>
      <c r="Q747" s="54"/>
      <c r="R747" s="257"/>
      <c r="S747" s="258"/>
      <c r="T747" s="258"/>
      <c r="U747" s="38"/>
      <c r="V747" s="259"/>
      <c r="W747" s="256"/>
      <c r="X747" s="256"/>
      <c r="Y747" s="256"/>
      <c r="Z747" s="256"/>
      <c r="AA747" s="54"/>
      <c r="AB747" s="200"/>
      <c r="AC747" s="31"/>
      <c r="AD747" s="184"/>
      <c r="AE747" s="51"/>
      <c r="AF747" s="52"/>
      <c r="AG747" s="41"/>
      <c r="AH747" s="45"/>
      <c r="AI747" s="28"/>
      <c r="AJ747" s="28"/>
      <c r="AK747" s="28"/>
      <c r="AL747" s="28"/>
      <c r="AM747" s="12"/>
      <c r="AN747" s="12"/>
      <c r="AO747" s="12"/>
      <c r="AP747" s="12"/>
      <c r="AQ747" s="12"/>
      <c r="AR747" s="13"/>
      <c r="AS747" s="14"/>
    </row>
    <row r="748" spans="1:45" s="16" customFormat="1" ht="30.95" hidden="1" customHeight="1" x14ac:dyDescent="0.2">
      <c r="A748" s="35" t="s">
        <v>1263</v>
      </c>
      <c r="B748" s="36" t="s">
        <v>1264</v>
      </c>
      <c r="C748" s="43"/>
      <c r="D748" s="29">
        <v>3717594</v>
      </c>
      <c r="E748" s="29">
        <v>4161978</v>
      </c>
      <c r="F748" s="255" t="str">
        <f>IF(D748="","",VLOOKUP(D748,契約台帳!$A$3:$K$4986,6,FALSE)&amp;VLOOKUP(D748,契約台帳!$A$3:$K$4986,7,FALSE)&amp;VLOOKUP(D748,契約台帳!$A$3:$K$4986,8,FALSE)&amp;VLOOKUP(D748,契約台帳!$A$3:$K$4986,9,FALSE)&amp;VLOOKUP(D748,契約台帳!$A$3:$K$4986,11,FALSE))</f>
        <v>3SNMLBMNGKBF</v>
      </c>
      <c r="G748" s="256" t="str">
        <f>IF(D748="","",VLOOKUP(F748,製品マスタ!$G$5:$H$4999,2,FALSE))</f>
        <v>S</v>
      </c>
      <c r="H748" s="256" t="str">
        <f>IF(D748="","",VLOOKUP(F748,製品マスタ!$G$5:$K$4999,5,FALSE))</f>
        <v>MNGKBF</v>
      </c>
      <c r="I748" s="200" t="str">
        <f>IF(D748="","",VLOOKUP(F748,製品マスタ!$G$5:$L$4999,6,FALSE))</f>
        <v>メタルミー　ネーマー銀消　Ｂ</v>
      </c>
      <c r="J748" s="203" t="s">
        <v>935</v>
      </c>
      <c r="K748" s="200">
        <f>IF(D748="","",VLOOKUP(D748,契約台帳!$A$3:$L$4986,12,FALSE))</f>
        <v>38</v>
      </c>
      <c r="L748" s="200" t="str">
        <f>IF(D748="","",INDEX(製品マスタ!$Q$5:$Q$4999,MATCH('S4'!F748&amp;'S4'!K748,製品マスタ!$AO$5:$AO$4999,0)))</f>
        <v>LUMIMAT</v>
      </c>
      <c r="M748" s="37">
        <v>1005</v>
      </c>
      <c r="N748" s="37">
        <v>4100</v>
      </c>
      <c r="O748" s="153">
        <v>3</v>
      </c>
      <c r="P748" s="45">
        <v>3</v>
      </c>
      <c r="Q748" s="206">
        <v>45105</v>
      </c>
      <c r="R748" s="257">
        <f ca="1">IF(D748="","",IF(OFFSET(D748,-1,0)&lt;&gt;"","",IF(OR(J748="リード付け",J748="巻足し",J748="巻返しリード付け"),M748,VLOOKUP(D748,契約台帳!$A$3:$N$4986,14,FALSE))))</f>
        <v>1005</v>
      </c>
      <c r="S748" s="258">
        <f ca="1">IF(D748="","",IF(OFFSET(D748,-1,0)&lt;&gt;"","",IF(OR(J748="リード付け",J748="巻足し",J748="巻返しリード付け"),M748,VLOOKUP(D748,契約台帳!$A$3:$O$4986,15,FALSE))))</f>
        <v>1005</v>
      </c>
      <c r="T748" s="258">
        <f ca="1">IF(D748="","",IF(J748="リード付け",N748,IF(J748="巻返しリード付け",N748,IF(J748="巻足し",N748*P748+OFFSET(N748,1,0)*OFFSET(P748,1,0),VLOOKUP(D748,契約台帳!$A$3:$P$4986,16,FALSE)))))</f>
        <v>12300</v>
      </c>
      <c r="U748" s="38">
        <v>1</v>
      </c>
      <c r="V748" s="259">
        <f ca="1">IF(D748="","",IF(OFFSET(D748,-2,0)=D748,"",VLOOKUP(D748,契約台帳!$A$3:$R$4986,18,FALSE)))</f>
        <v>3</v>
      </c>
      <c r="W748" s="256" t="str">
        <f ca="1">IF(D748="","",IF(T748="","",IF(OR(J748="巻足し",J748="巻返しリード付け"),"",IF(J748="巻返し",VLOOKUP(F748&amp;K748&amp;M748,製品マスタ!$M$5:$AD$4999,18,FALSE),IF(OR(J748="リード付け",J748="巻返しリード付け"),"原反コア",IF(J748="スリット",VLOOKUP(F748&amp;K748&amp;R748,製品マスタ!$N$5:$AD$4999,17,FALSE),""))))))</f>
        <v/>
      </c>
      <c r="X748" s="256" t="str">
        <f ca="1">IF(D748="","",IF(T748="","",IF(J748="巻足し","",IF(J748="巻返し",VLOOKUP(F748&amp;K748&amp;M748,製品マスタ!$M$5:$AE$4999,19,FALSE),IF(OR(J748="リード付け",J748="巻返しリード付け"),"",IF(J748="スリット",VLOOKUP(F748&amp;K748&amp;R748,製品マスタ!$N$5:$AE$4999,18,FALSE),""))))))</f>
        <v/>
      </c>
      <c r="Y748" s="256">
        <f ca="1">IF(D748="","",IF(T748="","",VLOOKUP(D748,契約台帳!$A$3:$Q$4986,17,FALSE)))</f>
        <v>2</v>
      </c>
      <c r="Z748" s="256" t="str">
        <f ca="1">IF(D748="","",IF(T748="","",VLOOKUP(D748,契約台帳!$A$3:$E$4986,5,FALSE)))</f>
        <v>リンテック㈱</v>
      </c>
      <c r="AA748" s="54"/>
      <c r="AB748" s="200">
        <f>IFERROR((VLOOKUP(F748&amp;K748&amp;M748,製品マスタ!$M$5:$AM$4999,27,FALSE)),"")</f>
        <v>0</v>
      </c>
      <c r="AC748" s="31"/>
      <c r="AD748" s="184"/>
      <c r="AE748" s="51"/>
      <c r="AF748" s="52"/>
      <c r="AG748" s="41"/>
      <c r="AH748" s="45"/>
      <c r="AI748" s="28"/>
      <c r="AJ748" s="28"/>
      <c r="AK748" s="28"/>
      <c r="AL748" s="28"/>
      <c r="AM748" s="12"/>
      <c r="AN748" s="12"/>
      <c r="AO748" s="12"/>
      <c r="AP748" s="12"/>
      <c r="AQ748" s="12"/>
      <c r="AR748" s="13"/>
      <c r="AS748" s="14"/>
    </row>
    <row r="749" spans="1:45" s="16" customFormat="1" ht="30.95" hidden="1" customHeight="1" x14ac:dyDescent="0.2">
      <c r="A749" s="35"/>
      <c r="B749" s="36"/>
      <c r="C749" s="43"/>
      <c r="D749" s="29"/>
      <c r="E749" s="29"/>
      <c r="F749" s="255"/>
      <c r="G749" s="256"/>
      <c r="H749" s="256"/>
      <c r="I749" s="200"/>
      <c r="J749" s="203"/>
      <c r="K749" s="200"/>
      <c r="L749" s="200"/>
      <c r="M749" s="37"/>
      <c r="N749" s="37"/>
      <c r="O749" s="153"/>
      <c r="P749" s="45"/>
      <c r="Q749" s="54"/>
      <c r="R749" s="257"/>
      <c r="S749" s="258"/>
      <c r="T749" s="258"/>
      <c r="U749" s="38"/>
      <c r="V749" s="259"/>
      <c r="W749" s="256"/>
      <c r="X749" s="256"/>
      <c r="Y749" s="256"/>
      <c r="Z749" s="256"/>
      <c r="AA749" s="54"/>
      <c r="AB749" s="200"/>
      <c r="AC749" s="31"/>
      <c r="AD749" s="184"/>
      <c r="AE749" s="51"/>
      <c r="AF749" s="52"/>
      <c r="AG749" s="41"/>
      <c r="AH749" s="45"/>
      <c r="AI749" s="28"/>
      <c r="AJ749" s="28"/>
      <c r="AK749" s="28"/>
      <c r="AL749" s="28"/>
      <c r="AM749" s="12"/>
      <c r="AN749" s="12"/>
      <c r="AO749" s="12"/>
      <c r="AP749" s="12"/>
      <c r="AQ749" s="12"/>
      <c r="AR749" s="13"/>
      <c r="AS749" s="14"/>
    </row>
    <row r="750" spans="1:45" s="16" customFormat="1" ht="30.95" hidden="1" customHeight="1" x14ac:dyDescent="0.2">
      <c r="A750" s="35"/>
      <c r="B750" s="36"/>
      <c r="C750" s="43"/>
      <c r="D750" s="29">
        <v>3716263</v>
      </c>
      <c r="E750" s="29">
        <v>4161960</v>
      </c>
      <c r="F750" s="255" t="str">
        <f>IF(D750="","",VLOOKUP(D750,契約台帳!$A$3:$K$4986,6,FALSE)&amp;VLOOKUP(D750,契約台帳!$A$3:$K$4986,7,FALSE)&amp;VLOOKUP(D750,契約台帳!$A$3:$K$4986,8,FALSE)&amp;VLOOKUP(D750,契約台帳!$A$3:$K$4986,9,FALSE)&amp;VLOOKUP(D750,契約台帳!$A$3:$K$4986,11,FALSE))</f>
        <v>3SNMLBMNNGKBF</v>
      </c>
      <c r="G750" s="256" t="str">
        <f>IF(D750="","",VLOOKUP(F750,製品マスタ!$G$5:$H$4999,2,FALSE))</f>
        <v>S</v>
      </c>
      <c r="H750" s="256" t="str">
        <f>IF(D750="","",VLOOKUP(F750,製品マスタ!$G$5:$K$4999,5,FALSE))</f>
        <v>MNNGKBF</v>
      </c>
      <c r="I750" s="200" t="str">
        <f>IF(D750="","",VLOOKUP(F750,製品マスタ!$G$5:$L$4999,6,FALSE))</f>
        <v>メタルミー　ニューネーマー銀消　Ｂ</v>
      </c>
      <c r="J750" s="203" t="s">
        <v>935</v>
      </c>
      <c r="K750" s="200">
        <f>IF(D750="","",VLOOKUP(D750,契約台帳!$A$3:$L$4986,12,FALSE))</f>
        <v>50</v>
      </c>
      <c r="L750" s="200" t="str">
        <f>IF(D750="","",INDEX(製品マスタ!$Q$5:$Q$4999,MATCH('S4'!F750&amp;'S4'!K750,製品マスタ!$AO$5:$AO$4999,0)))</f>
        <v>X44</v>
      </c>
      <c r="M750" s="37">
        <v>1000</v>
      </c>
      <c r="N750" s="37">
        <v>4000</v>
      </c>
      <c r="O750" s="153">
        <v>3</v>
      </c>
      <c r="P750" s="45">
        <v>3</v>
      </c>
      <c r="Q750" s="206">
        <v>45111</v>
      </c>
      <c r="R750" s="257">
        <f ca="1">IF(D750="","",IF(OFFSET(D750,-1,0)&lt;&gt;"","",IF(OR(J750="リード付け",J750="巻足し",J750="巻返しリード付け"),M750,VLOOKUP(D750,契約台帳!$A$3:$N$4986,14,FALSE))))</f>
        <v>1000</v>
      </c>
      <c r="S750" s="258">
        <f ca="1">IF(D750="","",IF(OFFSET(D750,-1,0)&lt;&gt;"","",IF(OR(J750="リード付け",J750="巻足し",J750="巻返しリード付け"),M750,VLOOKUP(D750,契約台帳!$A$3:$O$4986,15,FALSE))))</f>
        <v>1000</v>
      </c>
      <c r="T750" s="258">
        <f ca="1">IF(D750="","",IF(J750="リード付け",N750,IF(J750="巻返しリード付け",N750,IF(J750="巻足し",N750*P750+OFFSET(N750,1,0)*OFFSET(P750,1,0),VLOOKUP(D750,契約台帳!$A$3:$P$4986,16,FALSE)))))</f>
        <v>12000</v>
      </c>
      <c r="U750" s="38">
        <v>1</v>
      </c>
      <c r="V750" s="259">
        <f ca="1">IF(D750="","",IF(OFFSET(D750,-2,0)=D750,"",VLOOKUP(D750,契約台帳!$A$3:$R$4986,18,FALSE)))</f>
        <v>4</v>
      </c>
      <c r="W750" s="256" t="str">
        <f ca="1">IF(D750="","",IF(T750="","",IF(OR(J750="巻足し",J750="巻返しリード付け"),"",IF(J750="巻返し",VLOOKUP(F750&amp;K750&amp;M750,製品マスタ!$M$5:$AD$4999,18,FALSE),IF(OR(J750="リード付け",J750="巻返しリード付け"),"原反コア",IF(J750="スリット",VLOOKUP(F750&amp;K750&amp;R750,製品マスタ!$N$5:$AD$4999,17,FALSE),""))))))</f>
        <v/>
      </c>
      <c r="X750" s="256" t="str">
        <f ca="1">IF(D750="","",IF(T750="","",IF(J750="巻足し","",IF(J750="巻返し",VLOOKUP(F750&amp;K750&amp;M750,製品マスタ!$M$5:$AE$4999,19,FALSE),IF(OR(J750="リード付け",J750="巻返しリード付け"),"",IF(J750="スリット",VLOOKUP(F750&amp;K750&amp;R750,製品マスタ!$N$5:$AE$4999,18,FALSE),""))))))</f>
        <v/>
      </c>
      <c r="Y750" s="256">
        <f ca="1">IF(D750="","",IF(T750="","",VLOOKUP(D750,契約台帳!$A$3:$Q$4986,17,FALSE)))</f>
        <v>2</v>
      </c>
      <c r="Z750" s="256" t="str">
        <f ca="1">IF(D750="","",IF(T750="","",VLOOKUP(D750,契約台帳!$A$3:$E$4986,5,FALSE)))</f>
        <v>リンテック㈱</v>
      </c>
      <c r="AA750" s="54"/>
      <c r="AB750" s="200" t="str">
        <f>IFERROR((VLOOKUP(F750&amp;K750&amp;M750,製品マスタ!$M$5:$AM$4999,27,FALSE)),"")</f>
        <v>原反ケース再利用</v>
      </c>
      <c r="AC750" s="31"/>
      <c r="AD750" s="184"/>
      <c r="AE750" s="51"/>
      <c r="AF750" s="52"/>
      <c r="AG750" s="41"/>
      <c r="AH750" s="45"/>
      <c r="AI750" s="28"/>
      <c r="AJ750" s="28"/>
      <c r="AK750" s="28"/>
      <c r="AL750" s="28"/>
      <c r="AM750" s="12"/>
      <c r="AN750" s="12"/>
      <c r="AO750" s="12"/>
      <c r="AP750" s="12"/>
      <c r="AQ750" s="12"/>
      <c r="AR750" s="13"/>
      <c r="AS750" s="14"/>
    </row>
    <row r="751" spans="1:45" s="16" customFormat="1" ht="30.95" hidden="1" customHeight="1" x14ac:dyDescent="0.2">
      <c r="A751" s="35"/>
      <c r="B751" s="36"/>
      <c r="C751" s="43"/>
      <c r="D751" s="29"/>
      <c r="E751" s="29"/>
      <c r="F751" s="255"/>
      <c r="G751" s="256"/>
      <c r="H751" s="256"/>
      <c r="I751" s="200"/>
      <c r="J751" s="203"/>
      <c r="K751" s="200"/>
      <c r="L751" s="200"/>
      <c r="M751" s="37"/>
      <c r="N751" s="37"/>
      <c r="O751" s="153"/>
      <c r="P751" s="45"/>
      <c r="Q751" s="54"/>
      <c r="R751" s="257"/>
      <c r="S751" s="258"/>
      <c r="T751" s="258"/>
      <c r="U751" s="38"/>
      <c r="V751" s="259"/>
      <c r="W751" s="256"/>
      <c r="X751" s="256"/>
      <c r="Y751" s="256"/>
      <c r="Z751" s="256"/>
      <c r="AA751" s="54"/>
      <c r="AB751" s="200"/>
      <c r="AC751" s="31"/>
      <c r="AD751" s="184"/>
      <c r="AE751" s="51"/>
      <c r="AF751" s="52"/>
      <c r="AG751" s="41"/>
      <c r="AH751" s="45"/>
      <c r="AI751" s="28"/>
      <c r="AJ751" s="28"/>
      <c r="AK751" s="28"/>
      <c r="AL751" s="28"/>
      <c r="AM751" s="12"/>
      <c r="AN751" s="12"/>
      <c r="AO751" s="12"/>
      <c r="AP751" s="12"/>
      <c r="AQ751" s="12"/>
      <c r="AR751" s="13"/>
      <c r="AS751" s="14"/>
    </row>
    <row r="752" spans="1:45" s="16" customFormat="1" ht="30.95" hidden="1" customHeight="1" x14ac:dyDescent="0.2">
      <c r="A752" s="35"/>
      <c r="B752" s="36"/>
      <c r="C752" s="43"/>
      <c r="D752" s="29">
        <v>3716263</v>
      </c>
      <c r="E752" s="29">
        <v>4161960</v>
      </c>
      <c r="F752" s="255" t="str">
        <f>IF(D752="","",VLOOKUP(D752,契約台帳!$A$3:$K$4986,6,FALSE)&amp;VLOOKUP(D752,契約台帳!$A$3:$K$4986,7,FALSE)&amp;VLOOKUP(D752,契約台帳!$A$3:$K$4986,8,FALSE)&amp;VLOOKUP(D752,契約台帳!$A$3:$K$4986,9,FALSE)&amp;VLOOKUP(D752,契約台帳!$A$3:$K$4986,11,FALSE))</f>
        <v>3SNMLBMNNGKBF</v>
      </c>
      <c r="G752" s="256" t="str">
        <f>IF(D752="","",VLOOKUP(F752,製品マスタ!$G$5:$H$4999,2,FALSE))</f>
        <v>S</v>
      </c>
      <c r="H752" s="256" t="str">
        <f>IF(D752="","",VLOOKUP(F752,製品マスタ!$G$5:$K$4999,5,FALSE))</f>
        <v>MNNGKBF</v>
      </c>
      <c r="I752" s="200" t="str">
        <f>IF(D752="","",VLOOKUP(F752,製品マスタ!$G$5:$L$4999,6,FALSE))</f>
        <v>メタルミー　ニューネーマー銀消　Ｂ</v>
      </c>
      <c r="J752" s="203" t="s">
        <v>935</v>
      </c>
      <c r="K752" s="200">
        <f>IF(D752="","",VLOOKUP(D752,契約台帳!$A$3:$L$4986,12,FALSE))</f>
        <v>50</v>
      </c>
      <c r="L752" s="200" t="str">
        <f>IF(D752="","",INDEX(製品マスタ!$Q$5:$Q$4999,MATCH('S4'!F752&amp;'S4'!K752,製品マスタ!$AO$5:$AO$4999,0)))</f>
        <v>X44</v>
      </c>
      <c r="M752" s="37">
        <v>1000</v>
      </c>
      <c r="N752" s="37">
        <v>4000</v>
      </c>
      <c r="O752" s="153">
        <v>1</v>
      </c>
      <c r="P752" s="45">
        <v>3</v>
      </c>
      <c r="Q752" s="206">
        <v>45111</v>
      </c>
      <c r="R752" s="257">
        <f ca="1">IF(D752="","",IF(OFFSET(D752,-1,0)&lt;&gt;"","",IF(OR(J752="リード付け",J752="巻足し",J752="巻返しリード付け"),M752,VLOOKUP(D752,契約台帳!$A$3:$N$4986,14,FALSE))))</f>
        <v>1000</v>
      </c>
      <c r="S752" s="258">
        <f ca="1">IF(D752="","",IF(OFFSET(D752,-1,0)&lt;&gt;"","",IF(OR(J752="リード付け",J752="巻足し",J752="巻返しリード付け"),M752,VLOOKUP(D752,契約台帳!$A$3:$O$4986,15,FALSE))))</f>
        <v>1000</v>
      </c>
      <c r="T752" s="258">
        <f ca="1">IF(D752="","",IF(J752="リード付け",N752,IF(J752="巻返しリード付け",N752,IF(J752="巻足し",N752*P752+OFFSET(N752,1,0)*OFFSET(P752,1,0),VLOOKUP(D752,契約台帳!$A$3:$P$4986,16,FALSE)))))</f>
        <v>12000</v>
      </c>
      <c r="U752" s="38">
        <v>1</v>
      </c>
      <c r="V752" s="259" t="str">
        <f ca="1">IF(D752="","",IF(OFFSET(D752,-2,0)=D752,"",VLOOKUP(D752,契約台帳!$A$3:$R$4986,18,FALSE)))</f>
        <v/>
      </c>
      <c r="W752" s="256" t="str">
        <f ca="1">IF(D752="","",IF(T752="","",IF(OR(J752="巻足し",J752="巻返しリード付け"),"",IF(J752="巻返し",VLOOKUP(F752&amp;K752&amp;M752,製品マスタ!$M$5:$AD$4999,18,FALSE),IF(OR(J752="リード付け",J752="巻返しリード付け"),"原反コア",IF(J752="スリット",VLOOKUP(F752&amp;K752&amp;R752,製品マスタ!$N$5:$AD$4999,17,FALSE),""))))))</f>
        <v/>
      </c>
      <c r="X752" s="256" t="str">
        <f ca="1">IF(D752="","",IF(T752="","",IF(J752="巻足し","",IF(J752="巻返し",VLOOKUP(F752&amp;K752&amp;M752,製品マスタ!$M$5:$AE$4999,19,FALSE),IF(OR(J752="リード付け",J752="巻返しリード付け"),"",IF(J752="スリット",VLOOKUP(F752&amp;K752&amp;R752,製品マスタ!$N$5:$AE$4999,18,FALSE),""))))))</f>
        <v/>
      </c>
      <c r="Y752" s="256">
        <f ca="1">IF(D752="","",IF(T752="","",VLOOKUP(D752,契約台帳!$A$3:$Q$4986,17,FALSE)))</f>
        <v>2</v>
      </c>
      <c r="Z752" s="256" t="str">
        <f ca="1">IF(D752="","",IF(T752="","",VLOOKUP(D752,契約台帳!$A$3:$E$4986,5,FALSE)))</f>
        <v>リンテック㈱</v>
      </c>
      <c r="AA752" s="54"/>
      <c r="AB752" s="200" t="str">
        <f>IFERROR((VLOOKUP(F752&amp;K752&amp;M752,製品マスタ!$M$5:$AM$4999,27,FALSE)),"")</f>
        <v>原反ケース再利用</v>
      </c>
      <c r="AC752" s="31"/>
      <c r="AD752" s="184"/>
      <c r="AE752" s="51"/>
      <c r="AF752" s="52"/>
      <c r="AG752" s="41"/>
      <c r="AH752" s="45"/>
      <c r="AI752" s="28"/>
      <c r="AJ752" s="28"/>
      <c r="AK752" s="28"/>
      <c r="AL752" s="28"/>
      <c r="AM752" s="12"/>
      <c r="AN752" s="12"/>
      <c r="AO752" s="12"/>
      <c r="AP752" s="12"/>
      <c r="AQ752" s="12"/>
      <c r="AR752" s="13"/>
      <c r="AS752" s="14"/>
    </row>
    <row r="753" spans="1:45" s="16" customFormat="1" ht="30.95" hidden="1" customHeight="1" x14ac:dyDescent="0.2">
      <c r="A753" s="35"/>
      <c r="B753" s="36"/>
      <c r="C753" s="43"/>
      <c r="D753" s="29">
        <v>3716264</v>
      </c>
      <c r="E753" s="29"/>
      <c r="F753" s="255" t="str">
        <f>IF(D753="","",VLOOKUP(D753,契約台帳!$A$3:$K$4986,6,FALSE)&amp;VLOOKUP(D753,契約台帳!$A$3:$K$4986,7,FALSE)&amp;VLOOKUP(D753,契約台帳!$A$3:$K$4986,8,FALSE)&amp;VLOOKUP(D753,契約台帳!$A$3:$K$4986,9,FALSE)&amp;VLOOKUP(D753,契約台帳!$A$3:$K$4986,11,FALSE))</f>
        <v>3SNMLBMNNGKBF</v>
      </c>
      <c r="G753" s="256" t="str">
        <f>IF(D753="","",VLOOKUP(F753,製品マスタ!$G$5:$H$4999,2,FALSE))</f>
        <v>S</v>
      </c>
      <c r="H753" s="256" t="str">
        <f>IF(D753="","",VLOOKUP(F753,製品マスタ!$G$5:$K$4999,5,FALSE))</f>
        <v>MNNGKBF</v>
      </c>
      <c r="I753" s="200" t="str">
        <f>IF(D753="","",VLOOKUP(F753,製品マスタ!$G$5:$L$4999,6,FALSE))</f>
        <v>メタルミー　ニューネーマー銀消　Ｂ</v>
      </c>
      <c r="J753" s="203" t="s">
        <v>935</v>
      </c>
      <c r="K753" s="200">
        <f>IF(D753="","",VLOOKUP(D753,契約台帳!$A$3:$L$4986,12,FALSE))</f>
        <v>50</v>
      </c>
      <c r="L753" s="200" t="str">
        <f>IF(D753="","",INDEX(製品マスタ!$Q$5:$Q$4999,MATCH('S4'!F753&amp;'S4'!K753,製品マスタ!$AO$5:$AO$4999,0)))</f>
        <v>X44</v>
      </c>
      <c r="M753" s="37">
        <v>1000</v>
      </c>
      <c r="N753" s="37">
        <v>4000</v>
      </c>
      <c r="O753" s="153">
        <v>2</v>
      </c>
      <c r="P753" s="45"/>
      <c r="Q753" s="206">
        <v>45111</v>
      </c>
      <c r="R753" s="257" t="str">
        <f ca="1">IF(D753="","",IF(OFFSET(D753,-1,0)&lt;&gt;"","",IF(OR(J753="リード付け",J753="巻足し",J753="巻返しリード付け"),M753,VLOOKUP(D753,契約台帳!$A$3:$N$4986,14,FALSE))))</f>
        <v/>
      </c>
      <c r="S753" s="258" t="str">
        <f ca="1">IF(D753="","",IF(OFFSET(D753,-1,0)&lt;&gt;"","",IF(OR(J753="リード付け",J753="巻足し",J753="巻返しリード付け"),M753,VLOOKUP(D753,契約台帳!$A$3:$O$4986,15,FALSE))))</f>
        <v/>
      </c>
      <c r="T753" s="258"/>
      <c r="U753" s="38"/>
      <c r="V753" s="259">
        <f ca="1">IF(D753="","",IF(OFFSET(D753,-2,0)=D753,"",VLOOKUP(D753,契約台帳!$A$3:$R$4986,18,FALSE)))</f>
        <v>14</v>
      </c>
      <c r="W753" s="256" t="str">
        <f>IF(D753="","",IF(T753="","",IF(OR(J753="巻足し",J753="巻返しリード付け"),"",IF(J753="巻返し",VLOOKUP(F753&amp;K753&amp;M753,製品マスタ!$M$5:$AD$4999,18,FALSE),IF(OR(J753="リード付け",J753="巻返しリード付け"),"原反コア",IF(J753="スリット",VLOOKUP(F753&amp;K753&amp;R753,製品マスタ!$N$5:$AD$4999,17,FALSE),""))))))</f>
        <v/>
      </c>
      <c r="X753" s="256" t="str">
        <f>IF(D753="","",IF(T753="","",IF(J753="巻足し","",IF(J753="巻返し",VLOOKUP(F753&amp;K753&amp;M753,製品マスタ!$M$5:$AE$4999,19,FALSE),IF(OR(J753="リード付け",J753="巻返しリード付け"),"",IF(J753="スリット",VLOOKUP(F753&amp;K753&amp;R753,製品マスタ!$N$5:$AE$4999,18,FALSE),""))))))</f>
        <v/>
      </c>
      <c r="Y753" s="256" t="str">
        <f>IF(D753="","",IF(T753="","",VLOOKUP(D753,契約台帳!$A$3:$Q$4986,17,FALSE)))</f>
        <v/>
      </c>
      <c r="Z753" s="256" t="str">
        <f>IF(D753="","",IF(T753="","",VLOOKUP(D753,契約台帳!$A$3:$E$4986,5,FALSE)))</f>
        <v/>
      </c>
      <c r="AA753" s="54"/>
      <c r="AB753" s="200" t="str">
        <f>IFERROR((VLOOKUP(F753&amp;K753&amp;M753,製品マスタ!$M$5:$AM$4999,27,FALSE)),"")</f>
        <v>原反ケース再利用</v>
      </c>
      <c r="AC753" s="31"/>
      <c r="AD753" s="184"/>
      <c r="AE753" s="51"/>
      <c r="AF753" s="52"/>
      <c r="AG753" s="41"/>
      <c r="AH753" s="45"/>
      <c r="AI753" s="28"/>
      <c r="AJ753" s="28"/>
      <c r="AK753" s="28"/>
      <c r="AL753" s="28"/>
      <c r="AM753" s="12"/>
      <c r="AN753" s="12"/>
      <c r="AO753" s="12"/>
      <c r="AP753" s="12"/>
      <c r="AQ753" s="12"/>
      <c r="AR753" s="13"/>
      <c r="AS753" s="14"/>
    </row>
    <row r="754" spans="1:45" s="16" customFormat="1" ht="30.95" hidden="1" customHeight="1" x14ac:dyDescent="0.2">
      <c r="A754" s="35"/>
      <c r="B754" s="36"/>
      <c r="C754" s="43"/>
      <c r="D754" s="29"/>
      <c r="E754" s="29"/>
      <c r="F754" s="255"/>
      <c r="G754" s="256"/>
      <c r="H754" s="256"/>
      <c r="I754" s="200"/>
      <c r="J754" s="203"/>
      <c r="K754" s="200"/>
      <c r="L754" s="200"/>
      <c r="M754" s="37"/>
      <c r="N754" s="37"/>
      <c r="O754" s="153"/>
      <c r="P754" s="45"/>
      <c r="Q754" s="54"/>
      <c r="R754" s="257"/>
      <c r="S754" s="258"/>
      <c r="T754" s="258"/>
      <c r="U754" s="38"/>
      <c r="V754" s="259"/>
      <c r="W754" s="256"/>
      <c r="X754" s="256"/>
      <c r="Y754" s="256"/>
      <c r="Z754" s="256"/>
      <c r="AA754" s="54"/>
      <c r="AB754" s="200"/>
      <c r="AC754" s="31"/>
      <c r="AD754" s="184"/>
      <c r="AE754" s="51"/>
      <c r="AF754" s="52"/>
      <c r="AG754" s="41"/>
      <c r="AH754" s="45"/>
      <c r="AI754" s="28"/>
      <c r="AJ754" s="28"/>
      <c r="AK754" s="28"/>
      <c r="AL754" s="28"/>
      <c r="AM754" s="12"/>
      <c r="AN754" s="12"/>
      <c r="AO754" s="12"/>
      <c r="AP754" s="12"/>
      <c r="AQ754" s="12"/>
      <c r="AR754" s="13"/>
      <c r="AS754" s="14"/>
    </row>
    <row r="755" spans="1:45" s="16" customFormat="1" ht="30.95" hidden="1" customHeight="1" x14ac:dyDescent="0.2">
      <c r="A755" s="35"/>
      <c r="B755" s="36"/>
      <c r="C755" s="43"/>
      <c r="D755" s="29">
        <v>3716264</v>
      </c>
      <c r="E755" s="29">
        <v>4161961</v>
      </c>
      <c r="F755" s="255" t="str">
        <f>IF(D755="","",VLOOKUP(D755,契約台帳!$A$3:$K$4986,6,FALSE)&amp;VLOOKUP(D755,契約台帳!$A$3:$K$4986,7,FALSE)&amp;VLOOKUP(D755,契約台帳!$A$3:$K$4986,8,FALSE)&amp;VLOOKUP(D755,契約台帳!$A$3:$K$4986,9,FALSE)&amp;VLOOKUP(D755,契約台帳!$A$3:$K$4986,11,FALSE))</f>
        <v>3SNMLBMNNGKBF</v>
      </c>
      <c r="G755" s="256" t="str">
        <f>IF(D755="","",VLOOKUP(F755,製品マスタ!$G$5:$H$4999,2,FALSE))</f>
        <v>S</v>
      </c>
      <c r="H755" s="256" t="str">
        <f>IF(D755="","",VLOOKUP(F755,製品マスタ!$G$5:$K$4999,5,FALSE))</f>
        <v>MNNGKBF</v>
      </c>
      <c r="I755" s="200" t="str">
        <f>IF(D755="","",VLOOKUP(F755,製品マスタ!$G$5:$L$4999,6,FALSE))</f>
        <v>メタルミー　ニューネーマー銀消　Ｂ</v>
      </c>
      <c r="J755" s="203" t="s">
        <v>935</v>
      </c>
      <c r="K755" s="200">
        <f>IF(D755="","",VLOOKUP(D755,契約台帳!$A$3:$L$4986,12,FALSE))</f>
        <v>50</v>
      </c>
      <c r="L755" s="200" t="str">
        <f>IF(D755="","",INDEX(製品マスタ!$Q$5:$Q$4999,MATCH('S4'!F755&amp;'S4'!K755,製品マスタ!$AO$5:$AO$4999,0)))</f>
        <v>X44</v>
      </c>
      <c r="M755" s="37">
        <v>1000</v>
      </c>
      <c r="N755" s="37">
        <v>4000</v>
      </c>
      <c r="O755" s="153">
        <v>12</v>
      </c>
      <c r="P755" s="45">
        <v>3</v>
      </c>
      <c r="Q755" s="206">
        <v>45111</v>
      </c>
      <c r="R755" s="257">
        <f ca="1">IF(D755="","",IF(OFFSET(D755,-1,0)&lt;&gt;"","",IF(OR(J755="リード付け",J755="巻足し",J755="巻返しリード付け"),M755,VLOOKUP(D755,契約台帳!$A$3:$N$4986,14,FALSE))))</f>
        <v>1000</v>
      </c>
      <c r="S755" s="258">
        <f ca="1">IF(D755="","",IF(OFFSET(D755,-1,0)&lt;&gt;"","",IF(OR(J755="リード付け",J755="巻足し",J755="巻返しリード付け"),M755,VLOOKUP(D755,契約台帳!$A$3:$O$4986,15,FALSE))))</f>
        <v>1000</v>
      </c>
      <c r="T755" s="258">
        <f ca="1">IF(D755="","",IF(J755="リード付け",N755,IF(J755="巻返しリード付け",N755,IF(J755="巻足し",N755*P755+OFFSET(N755,1,0)*OFFSET(P755,1,0),VLOOKUP(D755,契約台帳!$A$3:$P$4986,16,FALSE)))))</f>
        <v>12000</v>
      </c>
      <c r="U755" s="38">
        <v>4</v>
      </c>
      <c r="V755" s="259" t="str">
        <f ca="1">IF(D755="","",IF(OFFSET(D755,-2,0)=D755,"",VLOOKUP(D755,契約台帳!$A$3:$R$4986,18,FALSE)))</f>
        <v/>
      </c>
      <c r="W755" s="256" t="str">
        <f ca="1">IF(D755="","",IF(T755="","",IF(OR(J755="巻足し",J755="巻返しリード付け"),"",IF(J755="巻返し",VLOOKUP(F755&amp;K755&amp;M755,製品マスタ!$M$5:$AD$4999,18,FALSE),IF(OR(J755="リード付け",J755="巻返しリード付け"),"原反コア",IF(J755="スリット",VLOOKUP(F755&amp;K755&amp;R755,製品マスタ!$N$5:$AD$4999,17,FALSE),""))))))</f>
        <v/>
      </c>
      <c r="X755" s="256" t="str">
        <f ca="1">IF(D755="","",IF(T755="","",IF(J755="巻足し","",IF(J755="巻返し",VLOOKUP(F755&amp;K755&amp;M755,製品マスタ!$M$5:$AE$4999,19,FALSE),IF(OR(J755="リード付け",J755="巻返しリード付け"),"",IF(J755="スリット",VLOOKUP(F755&amp;K755&amp;R755,製品マスタ!$N$5:$AE$4999,18,FALSE),""))))))</f>
        <v/>
      </c>
      <c r="Y755" s="256">
        <f ca="1">IF(D755="","",IF(T755="","",VLOOKUP(D755,契約台帳!$A$3:$Q$4986,17,FALSE)))</f>
        <v>2</v>
      </c>
      <c r="Z755" s="256" t="str">
        <f ca="1">IF(D755="","",IF(T755="","",VLOOKUP(D755,契約台帳!$A$3:$E$4986,5,FALSE)))</f>
        <v>リンテック㈱</v>
      </c>
      <c r="AA755" s="54"/>
      <c r="AB755" s="200" t="str">
        <f>IFERROR((VLOOKUP(F755&amp;K755&amp;M755,製品マスタ!$M$5:$AM$4999,27,FALSE)),"")</f>
        <v>原反ケース再利用</v>
      </c>
      <c r="AC755" s="31"/>
      <c r="AD755" s="184"/>
      <c r="AE755" s="51"/>
      <c r="AF755" s="52"/>
      <c r="AG755" s="41"/>
      <c r="AH755" s="45"/>
      <c r="AI755" s="28"/>
      <c r="AJ755" s="28"/>
      <c r="AK755" s="28"/>
      <c r="AL755" s="28"/>
      <c r="AM755" s="12"/>
      <c r="AN755" s="12"/>
      <c r="AO755" s="12"/>
      <c r="AP755" s="12"/>
      <c r="AQ755" s="12"/>
      <c r="AR755" s="13"/>
      <c r="AS755" s="14"/>
    </row>
    <row r="756" spans="1:45" s="16" customFormat="1" ht="30.95" hidden="1" customHeight="1" x14ac:dyDescent="0.2">
      <c r="A756" s="35"/>
      <c r="B756" s="36"/>
      <c r="C756" s="43"/>
      <c r="D756" s="29"/>
      <c r="E756" s="29"/>
      <c r="F756" s="255"/>
      <c r="G756" s="256"/>
      <c r="H756" s="256"/>
      <c r="I756" s="200"/>
      <c r="J756" s="203"/>
      <c r="K756" s="200"/>
      <c r="L756" s="200"/>
      <c r="M756" s="37"/>
      <c r="N756" s="37"/>
      <c r="O756" s="153"/>
      <c r="P756" s="45"/>
      <c r="Q756" s="54"/>
      <c r="R756" s="257"/>
      <c r="S756" s="258"/>
      <c r="T756" s="258"/>
      <c r="U756" s="38"/>
      <c r="V756" s="259"/>
      <c r="W756" s="256"/>
      <c r="X756" s="256"/>
      <c r="Y756" s="256"/>
      <c r="Z756" s="256"/>
      <c r="AA756" s="54"/>
      <c r="AB756" s="200"/>
      <c r="AC756" s="31"/>
      <c r="AD756" s="184"/>
      <c r="AE756" s="51"/>
      <c r="AF756" s="52"/>
      <c r="AG756" s="41"/>
      <c r="AH756" s="45"/>
      <c r="AI756" s="28"/>
      <c r="AJ756" s="28"/>
      <c r="AK756" s="28"/>
      <c r="AL756" s="28"/>
      <c r="AM756" s="12"/>
      <c r="AN756" s="12"/>
      <c r="AO756" s="12"/>
      <c r="AP756" s="12"/>
      <c r="AQ756" s="12"/>
      <c r="AR756" s="13"/>
      <c r="AS756" s="14"/>
    </row>
    <row r="757" spans="1:45" s="16" customFormat="1" ht="30.95" hidden="1" customHeight="1" x14ac:dyDescent="0.2">
      <c r="A757" s="35" t="s">
        <v>1265</v>
      </c>
      <c r="B757" s="36" t="s">
        <v>1266</v>
      </c>
      <c r="C757" s="43"/>
      <c r="D757" s="29">
        <v>3716267</v>
      </c>
      <c r="E757" s="29">
        <v>4161975</v>
      </c>
      <c r="F757" s="255" t="str">
        <f>IF(D757="","",VLOOKUP(D757,契約台帳!$A$3:$K$4986,6,FALSE)&amp;VLOOKUP(D757,契約台帳!$A$3:$K$4986,7,FALSE)&amp;VLOOKUP(D757,契約台帳!$A$3:$K$4986,8,FALSE)&amp;VLOOKUP(D757,契約台帳!$A$3:$K$4986,9,FALSE)&amp;VLOOKUP(D757,契約台帳!$A$3:$K$4986,11,FALSE))</f>
        <v>3SNMLBMNQR66F</v>
      </c>
      <c r="G757" s="256" t="str">
        <f>IF(D757="","",VLOOKUP(F757,製品マスタ!$G$5:$H$4999,2,FALSE))</f>
        <v>S</v>
      </c>
      <c r="H757" s="256" t="str">
        <f>IF(D757="","",VLOOKUP(F757,製品マスタ!$G$5:$K$4999,5,FALSE))</f>
        <v>MNQR66F</v>
      </c>
      <c r="I757" s="200" t="str">
        <f>IF(D757="","",VLOOKUP(F757,製品マスタ!$G$5:$L$4999,6,FALSE))</f>
        <v>ＱＲ６６蒸着品</v>
      </c>
      <c r="J757" s="203" t="s">
        <v>935</v>
      </c>
      <c r="K757" s="200">
        <f>IF(D757="","",VLOOKUP(D757,契約台帳!$A$3:$L$4986,12,FALSE))</f>
        <v>25</v>
      </c>
      <c r="L757" s="200" t="str">
        <f>IF(D757="","",INDEX(製品マスタ!$Q$5:$Q$4999,MATCH('S4'!F757&amp;'S4'!K757,製品マスタ!$AO$5:$AO$4999,0)))</f>
        <v>E315</v>
      </c>
      <c r="M757" s="37">
        <v>1000</v>
      </c>
      <c r="N757" s="37">
        <v>6000</v>
      </c>
      <c r="O757" s="153">
        <v>8</v>
      </c>
      <c r="P757" s="45">
        <v>4</v>
      </c>
      <c r="Q757" s="206">
        <v>45111</v>
      </c>
      <c r="R757" s="257">
        <f ca="1">IF(D757="","",IF(OFFSET(D757,-1,0)&lt;&gt;"","",IF(OR(J757="リード付け",J757="巻足し",J757="巻返しリード付け"),M757,VLOOKUP(D757,契約台帳!$A$3:$N$4986,14,FALSE))))</f>
        <v>1000</v>
      </c>
      <c r="S757" s="258">
        <f ca="1">IF(D757="","",IF(OFFSET(D757,-1,0)&lt;&gt;"","",IF(OR(J757="リード付け",J757="巻足し",J757="巻返しリード付け"),M757,VLOOKUP(D757,契約台帳!$A$3:$O$4986,15,FALSE))))</f>
        <v>1000</v>
      </c>
      <c r="T757" s="258">
        <f ca="1">IF(D757="","",IF(J757="リード付け",N757,IF(J757="巻返しリード付け",N757,IF(J757="巻足し",N757*P757+OFFSET(N757,1,0)*OFFSET(P757,1,0),VLOOKUP(D757,契約台帳!$A$3:$P$4986,16,FALSE)))))</f>
        <v>24000</v>
      </c>
      <c r="U757" s="38">
        <v>2</v>
      </c>
      <c r="V757" s="259">
        <f ca="1">IF(D757="","",IF(OFFSET(D757,-2,0)=D757,"",VLOOKUP(D757,契約台帳!$A$3:$R$4986,18,FALSE)))</f>
        <v>8</v>
      </c>
      <c r="W757" s="256" t="str">
        <f ca="1">IF(D757="","",IF(T757="","",IF(OR(J757="巻足し",J757="巻返しリード付け"),"",IF(J757="巻返し",VLOOKUP(F757&amp;K757&amp;M757,製品マスタ!$M$5:$AD$4999,18,FALSE),IF(OR(J757="リード付け",J757="巻返しリード付け"),"原反コア",IF(J757="スリット",VLOOKUP(F757&amp;K757&amp;R757,製品マスタ!$N$5:$AD$4999,17,FALSE),""))))))</f>
        <v/>
      </c>
      <c r="X757" s="256" t="str">
        <f ca="1">IF(D757="","",IF(T757="","",IF(J757="巻足し","",IF(J757="巻返し",VLOOKUP(F757&amp;K757&amp;M757,製品マスタ!$M$5:$AE$4999,19,FALSE),IF(OR(J757="リード付け",J757="巻返しリード付け"),"",IF(J757="スリット",VLOOKUP(F757&amp;K757&amp;R757,製品マスタ!$N$5:$AE$4999,18,FALSE),""))))))</f>
        <v/>
      </c>
      <c r="Y757" s="256">
        <f ca="1">IF(D757="","",IF(T757="","",VLOOKUP(D757,契約台帳!$A$3:$Q$4986,17,FALSE)))</f>
        <v>2</v>
      </c>
      <c r="Z757" s="256" t="str">
        <f ca="1">IF(D757="","",IF(T757="","",VLOOKUP(D757,契約台帳!$A$3:$E$4986,5,FALSE)))</f>
        <v>リンテック㈱</v>
      </c>
      <c r="AA757" s="54"/>
      <c r="AB757" s="200" t="str">
        <f>IFERROR((VLOOKUP(F757&amp;K757&amp;M757,製品マスタ!$M$5:$AM$4999,27,FALSE)),"")</f>
        <v>原反ケース再利用</v>
      </c>
      <c r="AC757" s="31"/>
      <c r="AD757" s="184"/>
      <c r="AE757" s="51"/>
      <c r="AF757" s="52"/>
      <c r="AG757" s="41"/>
      <c r="AH757" s="45"/>
      <c r="AI757" s="28"/>
      <c r="AJ757" s="28"/>
      <c r="AK757" s="28"/>
      <c r="AL757" s="28"/>
      <c r="AM757" s="12"/>
      <c r="AN757" s="12"/>
      <c r="AO757" s="12"/>
      <c r="AP757" s="12"/>
      <c r="AQ757" s="12"/>
      <c r="AR757" s="13"/>
      <c r="AS757" s="14"/>
    </row>
    <row r="758" spans="1:45" s="16" customFormat="1" ht="30.95" hidden="1" customHeight="1" x14ac:dyDescent="0.2">
      <c r="A758" s="35"/>
      <c r="B758" s="36"/>
      <c r="C758" s="43"/>
      <c r="D758" s="29"/>
      <c r="E758" s="29"/>
      <c r="F758" s="255"/>
      <c r="G758" s="256"/>
      <c r="H758" s="256"/>
      <c r="I758" s="200"/>
      <c r="J758" s="203"/>
      <c r="K758" s="200"/>
      <c r="L758" s="200"/>
      <c r="M758" s="37"/>
      <c r="N758" s="37"/>
      <c r="O758" s="153"/>
      <c r="P758" s="45"/>
      <c r="Q758" s="54"/>
      <c r="R758" s="257"/>
      <c r="S758" s="258"/>
      <c r="T758" s="258"/>
      <c r="U758" s="38"/>
      <c r="V758" s="259"/>
      <c r="W758" s="256"/>
      <c r="X758" s="256"/>
      <c r="Y758" s="256"/>
      <c r="Z758" s="256"/>
      <c r="AA758" s="54"/>
      <c r="AB758" s="200"/>
      <c r="AC758" s="31"/>
      <c r="AD758" s="184"/>
      <c r="AE758" s="51"/>
      <c r="AF758" s="52"/>
      <c r="AG758" s="41"/>
      <c r="AH758" s="45"/>
      <c r="AI758" s="28"/>
      <c r="AJ758" s="28"/>
      <c r="AK758" s="28"/>
      <c r="AL758" s="28"/>
      <c r="AM758" s="12"/>
      <c r="AN758" s="12"/>
      <c r="AO758" s="12"/>
      <c r="AP758" s="12"/>
      <c r="AQ758" s="12"/>
      <c r="AR758" s="13"/>
      <c r="AS758" s="14"/>
    </row>
    <row r="759" spans="1:45" s="16" customFormat="1" ht="30.95" hidden="1" customHeight="1" x14ac:dyDescent="0.2">
      <c r="A759" s="35"/>
      <c r="B759" s="36"/>
      <c r="C759" s="43"/>
      <c r="D759" s="29">
        <v>3716252</v>
      </c>
      <c r="E759" s="29">
        <v>4161946</v>
      </c>
      <c r="F759" s="255" t="str">
        <f>IF(D759="","",VLOOKUP(D759,契約台帳!$A$3:$K$4986,6,FALSE)&amp;VLOOKUP(D759,契約台帳!$A$3:$K$4986,7,FALSE)&amp;VLOOKUP(D759,契約台帳!$A$3:$K$4986,8,FALSE)&amp;VLOOKUP(D759,契約台帳!$A$3:$K$4986,9,FALSE)&amp;VLOOKUP(D759,契約台帳!$A$3:$K$4986,11,FALSE))</f>
        <v>3SNMLBMNGKBF</v>
      </c>
      <c r="G759" s="256" t="str">
        <f>IF(D759="","",VLOOKUP(F759,製品マスタ!$G$5:$H$4999,2,FALSE))</f>
        <v>S</v>
      </c>
      <c r="H759" s="256" t="str">
        <f>IF(D759="","",VLOOKUP(F759,製品マスタ!$G$5:$K$4999,5,FALSE))</f>
        <v>MNGKBF</v>
      </c>
      <c r="I759" s="200" t="str">
        <f>IF(D759="","",VLOOKUP(F759,製品マスタ!$G$5:$L$4999,6,FALSE))</f>
        <v>メタルミー　ネーマー銀消　Ｂ</v>
      </c>
      <c r="J759" s="203" t="s">
        <v>935</v>
      </c>
      <c r="K759" s="200">
        <f>IF(D759="","",VLOOKUP(D759,契約台帳!$A$3:$L$4986,12,FALSE))</f>
        <v>50</v>
      </c>
      <c r="L759" s="200" t="str">
        <f>IF(D759="","",INDEX(製品マスタ!$Q$5:$Q$4999,MATCH('S4'!F759&amp;'S4'!K759,製品マスタ!$AO$5:$AO$4999,0)))</f>
        <v>MAT</v>
      </c>
      <c r="M759" s="37">
        <v>1170</v>
      </c>
      <c r="N759" s="37">
        <v>4000</v>
      </c>
      <c r="O759" s="153">
        <v>2</v>
      </c>
      <c r="P759" s="45">
        <v>2</v>
      </c>
      <c r="Q759" s="206">
        <v>45105</v>
      </c>
      <c r="R759" s="257">
        <f ca="1">IF(D759="","",IF(OFFSET(D759,-1,0)&lt;&gt;"","",IF(OR(J759="リード付け",J759="巻足し",J759="巻返しリード付け"),M759,VLOOKUP(D759,契約台帳!$A$3:$N$4986,14,FALSE))))</f>
        <v>1170</v>
      </c>
      <c r="S759" s="258">
        <f ca="1">IF(D759="","",IF(OFFSET(D759,-1,0)&lt;&gt;"","",IF(OR(J759="リード付け",J759="巻足し",J759="巻返しリード付け"),M759,VLOOKUP(D759,契約台帳!$A$3:$O$4986,15,FALSE))))</f>
        <v>1170</v>
      </c>
      <c r="T759" s="258">
        <f ca="1">IF(D759="","",IF(J759="リード付け",N759,IF(J759="巻返しリード付け",N759,IF(J759="巻足し",N759*P759+OFFSET(N759,1,0)*OFFSET(P759,1,0),VLOOKUP(D759,契約台帳!$A$3:$P$4986,16,FALSE)))))</f>
        <v>8000</v>
      </c>
      <c r="U759" s="38">
        <v>1</v>
      </c>
      <c r="V759" s="259">
        <f ca="1">IF(D759="","",IF(OFFSET(D759,-2,0)=D759,"",VLOOKUP(D759,契約台帳!$A$3:$R$4986,18,FALSE)))</f>
        <v>2</v>
      </c>
      <c r="W759" s="256" t="str">
        <f ca="1">IF(D759="","",IF(T759="","",IF(OR(J759="巻足し",J759="巻返しリード付け"),"",IF(J759="巻返し",VLOOKUP(F759&amp;K759&amp;M759,製品マスタ!$M$5:$AD$4999,18,FALSE),IF(OR(J759="リード付け",J759="巻返しリード付け"),"原反コア",IF(J759="スリット",VLOOKUP(F759&amp;K759&amp;R759,製品マスタ!$N$5:$AD$4999,17,FALSE),""))))))</f>
        <v/>
      </c>
      <c r="X759" s="256" t="str">
        <f ca="1">IF(D759="","",IF(T759="","",IF(J759="巻足し","",IF(J759="巻返し",VLOOKUP(F759&amp;K759&amp;M759,製品マスタ!$M$5:$AE$4999,19,FALSE),IF(OR(J759="リード付け",J759="巻返しリード付け"),"",IF(J759="スリット",VLOOKUP(F759&amp;K759&amp;R759,製品マスタ!$N$5:$AE$4999,18,FALSE),""))))))</f>
        <v/>
      </c>
      <c r="Y759" s="256">
        <f ca="1">IF(D759="","",IF(T759="","",VLOOKUP(D759,契約台帳!$A$3:$Q$4986,17,FALSE)))</f>
        <v>2</v>
      </c>
      <c r="Z759" s="256" t="str">
        <f ca="1">IF(D759="","",IF(T759="","",VLOOKUP(D759,契約台帳!$A$3:$E$4986,5,FALSE)))</f>
        <v>リンテック㈱</v>
      </c>
      <c r="AA759" s="54"/>
      <c r="AB759" s="200">
        <f>IFERROR((VLOOKUP(F759&amp;K759&amp;M759,製品マスタ!$M$5:$AM$4999,27,FALSE)),"")</f>
        <v>0</v>
      </c>
      <c r="AC759" s="31"/>
      <c r="AD759" s="184"/>
      <c r="AE759" s="51"/>
      <c r="AF759" s="52"/>
      <c r="AG759" s="41"/>
      <c r="AH759" s="45"/>
      <c r="AI759" s="28"/>
      <c r="AJ759" s="28"/>
      <c r="AK759" s="28"/>
      <c r="AL759" s="28"/>
      <c r="AM759" s="12"/>
      <c r="AN759" s="12"/>
      <c r="AO759" s="12"/>
      <c r="AP759" s="12"/>
      <c r="AQ759" s="12"/>
      <c r="AR759" s="13"/>
      <c r="AS759" s="14"/>
    </row>
    <row r="760" spans="1:45" s="16" customFormat="1" ht="30.95" hidden="1" customHeight="1" x14ac:dyDescent="0.2">
      <c r="A760" s="35"/>
      <c r="B760" s="36"/>
      <c r="C760" s="43"/>
      <c r="D760" s="29"/>
      <c r="E760" s="29"/>
      <c r="F760" s="255"/>
      <c r="G760" s="256"/>
      <c r="H760" s="256"/>
      <c r="I760" s="200"/>
      <c r="J760" s="203"/>
      <c r="K760" s="200"/>
      <c r="L760" s="200"/>
      <c r="M760" s="37"/>
      <c r="N760" s="37"/>
      <c r="O760" s="153"/>
      <c r="P760" s="45"/>
      <c r="Q760" s="54"/>
      <c r="R760" s="257"/>
      <c r="S760" s="258"/>
      <c r="T760" s="258"/>
      <c r="U760" s="38"/>
      <c r="V760" s="259"/>
      <c r="W760" s="256"/>
      <c r="X760" s="256"/>
      <c r="Y760" s="256"/>
      <c r="Z760" s="256"/>
      <c r="AA760" s="54"/>
      <c r="AB760" s="200"/>
      <c r="AC760" s="31"/>
      <c r="AD760" s="184"/>
      <c r="AE760" s="51"/>
      <c r="AF760" s="52"/>
      <c r="AG760" s="41"/>
      <c r="AH760" s="45"/>
      <c r="AI760" s="28"/>
      <c r="AJ760" s="28"/>
      <c r="AK760" s="28"/>
      <c r="AL760" s="28"/>
      <c r="AM760" s="12"/>
      <c r="AN760" s="12"/>
      <c r="AO760" s="12"/>
      <c r="AP760" s="12"/>
      <c r="AQ760" s="12"/>
      <c r="AR760" s="13"/>
      <c r="AS760" s="14"/>
    </row>
    <row r="761" spans="1:45" s="16" customFormat="1" ht="30.95" hidden="1" customHeight="1" x14ac:dyDescent="0.2">
      <c r="A761" s="35" t="s">
        <v>507</v>
      </c>
      <c r="B761" s="36" t="s">
        <v>443</v>
      </c>
      <c r="C761" s="43"/>
      <c r="D761" s="29">
        <v>3712097</v>
      </c>
      <c r="E761" s="29">
        <v>4140955</v>
      </c>
      <c r="F761" s="255" t="str">
        <f>IF(D761="","",VLOOKUP(D761,契約台帳!$A$3:$K$4986,6,FALSE)&amp;VLOOKUP(D761,契約台帳!$A$3:$K$4986,7,FALSE)&amp;VLOOKUP(D761,契約台帳!$A$3:$K$4986,8,FALSE)&amp;VLOOKUP(D761,契約台帳!$A$3:$K$4986,9,FALSE)&amp;VLOOKUP(D761,契約台帳!$A$3:$K$4986,11,FALSE))</f>
        <v>3SNMCLBWCB</v>
      </c>
      <c r="G761" s="256" t="str">
        <f>IF(D761="","",VLOOKUP(F761,製品マスタ!$G$5:$H$4999,2,FALSE))</f>
        <v>S</v>
      </c>
      <c r="H761" s="256" t="str">
        <f>IF(D761="","",VLOOKUP(F761,製品マスタ!$G$5:$K$4999,5,FALSE))</f>
        <v>WCB</v>
      </c>
      <c r="I761" s="200" t="str">
        <f>IF(D761="","",VLOOKUP(F761,製品マスタ!$G$5:$L$4999,6,FALSE))</f>
        <v>メタルミー　ホワイトコート　（Ｂ）</v>
      </c>
      <c r="J761" s="203" t="s">
        <v>463</v>
      </c>
      <c r="K761" s="200">
        <f>IF(D761="","",VLOOKUP(D761,契約台帳!$A$3:$L$4986,12,FALSE))</f>
        <v>50</v>
      </c>
      <c r="L761" s="200" t="str">
        <f>IF(D761="","",INDEX(製品マスタ!$Q$5:$Q$4999,MATCH('S4'!F761&amp;'S4'!K761,製品マスタ!$AO$5:$AO$4999,0)))</f>
        <v>T62M</v>
      </c>
      <c r="M761" s="37">
        <v>1150</v>
      </c>
      <c r="N761" s="37">
        <v>10000</v>
      </c>
      <c r="O761" s="153">
        <v>2</v>
      </c>
      <c r="P761" s="45">
        <v>2</v>
      </c>
      <c r="Q761" s="54"/>
      <c r="R761" s="257">
        <f ca="1">IF(D761="","",IF(OFFSET(D761,-1,0)&lt;&gt;"","",IF(OR(J761="リード付け",J761="巻足し",J761="巻返しリード付け"),M761,VLOOKUP(D761,契約台帳!$A$3:$N$4986,14,FALSE))))</f>
        <v>1120</v>
      </c>
      <c r="S761" s="258">
        <f ca="1">IF(D761="","",IF(OFFSET(D761,-1,0)&lt;&gt;"","",IF(OR(J761="リード付け",J761="巻足し",J761="巻返しリード付け"),M761,VLOOKUP(D761,契約台帳!$A$3:$O$4986,15,FALSE))))</f>
        <v>1120</v>
      </c>
      <c r="T761" s="258">
        <f ca="1">IF(D761="","",IF(J761="リード付け",N761,IF(J761="巻返しリード付け",N761,IF(J761="巻足し",N761*P761+OFFSET(N761,1,0)*OFFSET(P761,1,0),VLOOKUP(D761,契約台帳!$A$3:$P$4986,16,FALSE)))))</f>
        <v>5000</v>
      </c>
      <c r="U761" s="38">
        <v>4</v>
      </c>
      <c r="V761" s="259">
        <f ca="1">IF(D761="","",IF(OFFSET(D761,-2,0)=D761,"",VLOOKUP(D761,契約台帳!$A$3:$R$4986,18,FALSE)))</f>
        <v>4</v>
      </c>
      <c r="W761" s="256" t="str">
        <f ca="1">IF(D761="","",IF(T761="","",IF(OR(J761="巻足し",J761="巻返しリード付け"),"",IF(J761="巻返し",VLOOKUP(F761&amp;K761&amp;M761,製品マスタ!$M$5:$AD$4999,18,FALSE),IF(OR(J761="リード付け",J761="巻返しリード付け"),"原反コア",IF(J761="スリット",VLOOKUP(F761&amp;K761&amp;R761,製品マスタ!$N$5:$AD$4999,17,FALSE),""))))))</f>
        <v>6ｲﾝﾁSｺｱ</v>
      </c>
      <c r="X761" s="256">
        <f ca="1">IF(D761="","",IF(T761="","",IF(J761="巻足し","",IF(J761="巻返し",VLOOKUP(F761&amp;K761&amp;M761,製品マスタ!$M$5:$AE$4999,19,FALSE),IF(OR(J761="リード付け",J761="巻返しリード付け"),"",IF(J761="スリット",VLOOKUP(F761&amp;K761&amp;R761,製品マスタ!$N$5:$AE$4999,18,FALSE),""))))))</f>
        <v>1140</v>
      </c>
      <c r="Y761" s="256">
        <f ca="1">IF(D761="","",IF(T761="","",VLOOKUP(D761,契約台帳!$A$3:$Q$4986,17,FALSE)))</f>
        <v>2</v>
      </c>
      <c r="Z761" s="256" t="str">
        <f ca="1">IF(D761="","",IF(T761="","",VLOOKUP(D761,契約台帳!$A$3:$E$4986,5,FALSE)))</f>
        <v>新タック化成㈱</v>
      </c>
      <c r="AA761" s="54"/>
      <c r="AB761" s="200" t="str">
        <f>IFERROR((VLOOKUP(F761&amp;K761&amp;M761,製品マスタ!$M$5:$AM$4999,27,FALSE)),"")</f>
        <v>エージング後スリット</v>
      </c>
      <c r="AC761" s="31"/>
      <c r="AD761" s="184"/>
      <c r="AE761" s="51"/>
      <c r="AF761" s="52"/>
      <c r="AG761" s="41"/>
      <c r="AH761" s="45"/>
      <c r="AI761" s="28"/>
      <c r="AJ761" s="28"/>
      <c r="AK761" s="28"/>
      <c r="AL761" s="28"/>
      <c r="AM761" s="12"/>
      <c r="AN761" s="12"/>
      <c r="AO761" s="12"/>
      <c r="AP761" s="12"/>
      <c r="AQ761" s="12"/>
      <c r="AR761" s="13"/>
      <c r="AS761" s="14"/>
    </row>
    <row r="762" spans="1:45" s="16" customFormat="1" ht="30.95" hidden="1" customHeight="1" x14ac:dyDescent="0.2">
      <c r="A762" s="35"/>
      <c r="B762" s="36"/>
      <c r="C762" s="43"/>
      <c r="D762" s="29"/>
      <c r="E762" s="29"/>
      <c r="F762" s="255"/>
      <c r="G762" s="256"/>
      <c r="H762" s="256"/>
      <c r="I762" s="200"/>
      <c r="J762" s="203"/>
      <c r="K762" s="200"/>
      <c r="L762" s="200"/>
      <c r="M762" s="37"/>
      <c r="N762" s="37"/>
      <c r="O762" s="153"/>
      <c r="P762" s="45"/>
      <c r="Q762" s="54"/>
      <c r="R762" s="257"/>
      <c r="S762" s="258"/>
      <c r="T762" s="258"/>
      <c r="U762" s="38"/>
      <c r="V762" s="259"/>
      <c r="W762" s="256"/>
      <c r="X762" s="256"/>
      <c r="Y762" s="256"/>
      <c r="Z762" s="256"/>
      <c r="AA762" s="54"/>
      <c r="AB762" s="200"/>
      <c r="AC762" s="31"/>
      <c r="AD762" s="184"/>
      <c r="AE762" s="51"/>
      <c r="AF762" s="52"/>
      <c r="AG762" s="41"/>
      <c r="AH762" s="45"/>
      <c r="AI762" s="28"/>
      <c r="AJ762" s="28"/>
      <c r="AK762" s="28"/>
      <c r="AL762" s="28"/>
      <c r="AM762" s="12"/>
      <c r="AN762" s="12"/>
      <c r="AO762" s="12"/>
      <c r="AP762" s="12"/>
      <c r="AQ762" s="12"/>
      <c r="AR762" s="13"/>
      <c r="AS762" s="14"/>
    </row>
    <row r="763" spans="1:45" s="16" customFormat="1" ht="30.95" hidden="1" customHeight="1" x14ac:dyDescent="0.2">
      <c r="A763" s="35" t="s">
        <v>1271</v>
      </c>
      <c r="B763" s="36" t="s">
        <v>1260</v>
      </c>
      <c r="C763" s="43"/>
      <c r="D763" s="29">
        <v>3716248</v>
      </c>
      <c r="E763" s="29">
        <v>4161951</v>
      </c>
      <c r="F763" s="255" t="str">
        <f>IF(D763="","",VLOOKUP(D763,契約台帳!$A$3:$K$4986,6,FALSE)&amp;VLOOKUP(D763,契約台帳!$A$3:$K$4986,7,FALSE)&amp;VLOOKUP(D763,契約台帳!$A$3:$K$4986,8,FALSE)&amp;VLOOKUP(D763,契約台帳!$A$3:$K$4986,9,FALSE)&amp;VLOOKUP(D763,契約台帳!$A$3:$K$4986,11,FALSE))</f>
        <v>3SNMLBMNGKKBF</v>
      </c>
      <c r="G763" s="256" t="str">
        <f>IF(D763="","",VLOOKUP(F763,製品マスタ!$G$5:$H$4999,2,FALSE))</f>
        <v>S</v>
      </c>
      <c r="H763" s="256" t="str">
        <f>IF(D763="","",VLOOKUP(F763,製品マスタ!$G$5:$K$4999,5,FALSE))</f>
        <v>MNGKKBF</v>
      </c>
      <c r="I763" s="200" t="str">
        <f>IF(D763="","",VLOOKUP(F763,製品マスタ!$G$5:$L$4999,6,FALSE))</f>
        <v>メタルミー　ネーマー銀消改　Ｂ</v>
      </c>
      <c r="J763" s="203" t="s">
        <v>935</v>
      </c>
      <c r="K763" s="200">
        <f>IF(D763="","",VLOOKUP(D763,契約台帳!$A$3:$L$4986,12,FALSE))</f>
        <v>50</v>
      </c>
      <c r="L763" s="200" t="str">
        <f>IF(D763="","",INDEX(製品マスタ!$Q$5:$Q$4999,MATCH('S4'!F763&amp;'S4'!K763,製品マスタ!$AO$5:$AO$4999,0)))</f>
        <v>S99-MAT</v>
      </c>
      <c r="M763" s="37">
        <v>1120</v>
      </c>
      <c r="N763" s="37">
        <v>4000</v>
      </c>
      <c r="O763" s="153">
        <v>18</v>
      </c>
      <c r="P763" s="45">
        <v>3</v>
      </c>
      <c r="Q763" s="206">
        <v>45114</v>
      </c>
      <c r="R763" s="257">
        <f ca="1">IF(D763="","",IF(OFFSET(D763,-1,0)&lt;&gt;"","",IF(OR(J763="リード付け",J763="巻足し",J763="巻返しリード付け"),M763,VLOOKUP(D763,契約台帳!$A$3:$N$4986,14,FALSE))))</f>
        <v>1120</v>
      </c>
      <c r="S763" s="258">
        <f ca="1">IF(D763="","",IF(OFFSET(D763,-1,0)&lt;&gt;"","",IF(OR(J763="リード付け",J763="巻足し",J763="巻返しリード付け"),M763,VLOOKUP(D763,契約台帳!$A$3:$O$4986,15,FALSE))))</f>
        <v>1120</v>
      </c>
      <c r="T763" s="258">
        <f ca="1">IF(D763="","",IF(J763="リード付け",N763,IF(J763="巻返しリード付け",N763,IF(J763="巻足し",N763*P763+OFFSET(N763,1,0)*OFFSET(P763,1,0),VLOOKUP(D763,契約台帳!$A$3:$P$4986,16,FALSE)))))</f>
        <v>12000</v>
      </c>
      <c r="U763" s="38">
        <v>6</v>
      </c>
      <c r="V763" s="259">
        <f ca="1">IF(D763="","",IF(OFFSET(D763,-2,0)=D763,"",VLOOKUP(D763,契約台帳!$A$3:$R$4986,18,FALSE)))</f>
        <v>18</v>
      </c>
      <c r="W763" s="256" t="str">
        <f ca="1">IF(D763="","",IF(T763="","",IF(OR(J763="巻足し",J763="巻返しリード付け"),"",IF(J763="巻返し",VLOOKUP(F763&amp;K763&amp;M763,製品マスタ!$M$5:$AD$4999,18,FALSE),IF(OR(J763="リード付け",J763="巻返しリード付け"),"原反コア",IF(J763="スリット",VLOOKUP(F763&amp;K763&amp;R763,製品マスタ!$N$5:$AD$4999,17,FALSE),""))))))</f>
        <v/>
      </c>
      <c r="X763" s="256" t="str">
        <f ca="1">IF(D763="","",IF(T763="","",IF(J763="巻足し","",IF(J763="巻返し",VLOOKUP(F763&amp;K763&amp;M763,製品マスタ!$M$5:$AE$4999,19,FALSE),IF(OR(J763="リード付け",J763="巻返しリード付け"),"",IF(J763="スリット",VLOOKUP(F763&amp;K763&amp;R763,製品マスタ!$N$5:$AE$4999,18,FALSE),""))))))</f>
        <v/>
      </c>
      <c r="Y763" s="256">
        <f ca="1">IF(D763="","",IF(T763="","",VLOOKUP(D763,契約台帳!$A$3:$Q$4986,17,FALSE)))</f>
        <v>2</v>
      </c>
      <c r="Z763" s="256" t="str">
        <f ca="1">IF(D763="","",IF(T763="","",VLOOKUP(D763,契約台帳!$A$3:$E$4986,5,FALSE)))</f>
        <v>リンテック㈱</v>
      </c>
      <c r="AA763" s="54"/>
      <c r="AB763" s="200">
        <f>IFERROR((VLOOKUP(F763&amp;K763&amp;M763,製品マスタ!$M$5:$AM$4999,27,FALSE)),"")</f>
        <v>0</v>
      </c>
      <c r="AC763" s="31"/>
      <c r="AD763" s="184"/>
      <c r="AE763" s="51"/>
      <c r="AF763" s="52"/>
      <c r="AG763" s="41"/>
      <c r="AH763" s="45"/>
      <c r="AI763" s="28"/>
      <c r="AJ763" s="28"/>
      <c r="AK763" s="28"/>
      <c r="AL763" s="28"/>
      <c r="AM763" s="12"/>
      <c r="AN763" s="12"/>
      <c r="AO763" s="12"/>
      <c r="AP763" s="12"/>
      <c r="AQ763" s="12"/>
      <c r="AR763" s="13"/>
      <c r="AS763" s="14"/>
    </row>
    <row r="764" spans="1:45" s="16" customFormat="1" ht="30.95" hidden="1" customHeight="1" x14ac:dyDescent="0.2">
      <c r="A764" s="35"/>
      <c r="B764" s="36"/>
      <c r="C764" s="43"/>
      <c r="D764" s="29"/>
      <c r="E764" s="29"/>
      <c r="F764" s="255"/>
      <c r="G764" s="256"/>
      <c r="H764" s="256"/>
      <c r="I764" s="200"/>
      <c r="J764" s="203"/>
      <c r="K764" s="200"/>
      <c r="L764" s="200"/>
      <c r="M764" s="37"/>
      <c r="N764" s="37"/>
      <c r="O764" s="153"/>
      <c r="P764" s="45"/>
      <c r="Q764" s="54"/>
      <c r="R764" s="257"/>
      <c r="S764" s="258"/>
      <c r="T764" s="258"/>
      <c r="U764" s="38"/>
      <c r="V764" s="259"/>
      <c r="W764" s="256"/>
      <c r="X764" s="256"/>
      <c r="Y764" s="256"/>
      <c r="Z764" s="256"/>
      <c r="AA764" s="54"/>
      <c r="AB764" s="200"/>
      <c r="AC764" s="31"/>
      <c r="AD764" s="184"/>
      <c r="AE764" s="51"/>
      <c r="AF764" s="52"/>
      <c r="AG764" s="41"/>
      <c r="AH764" s="45"/>
      <c r="AI764" s="28"/>
      <c r="AJ764" s="28"/>
      <c r="AK764" s="28"/>
      <c r="AL764" s="28"/>
      <c r="AM764" s="12"/>
      <c r="AN764" s="12"/>
      <c r="AO764" s="12"/>
      <c r="AP764" s="12"/>
      <c r="AQ764" s="12"/>
      <c r="AR764" s="13"/>
      <c r="AS764" s="14"/>
    </row>
    <row r="765" spans="1:45" s="16" customFormat="1" ht="30.95" hidden="1" customHeight="1" x14ac:dyDescent="0.2">
      <c r="A765" s="35" t="s">
        <v>493</v>
      </c>
      <c r="B765" s="36" t="s">
        <v>445</v>
      </c>
      <c r="C765" s="43"/>
      <c r="D765" s="29"/>
      <c r="E765" s="29"/>
      <c r="F765" s="255"/>
      <c r="G765" s="256"/>
      <c r="H765" s="256"/>
      <c r="I765" s="200"/>
      <c r="J765" s="203" t="s">
        <v>448</v>
      </c>
      <c r="K765" s="200"/>
      <c r="L765" s="200"/>
      <c r="M765" s="37"/>
      <c r="N765" s="37"/>
      <c r="O765" s="153"/>
      <c r="P765" s="45"/>
      <c r="Q765" s="54"/>
      <c r="R765" s="257"/>
      <c r="S765" s="258"/>
      <c r="T765" s="258"/>
      <c r="U765" s="38"/>
      <c r="V765" s="259"/>
      <c r="W765" s="256"/>
      <c r="X765" s="256"/>
      <c r="Y765" s="256"/>
      <c r="Z765" s="256"/>
      <c r="AA765" s="54"/>
      <c r="AB765" s="200"/>
      <c r="AC765" s="31"/>
      <c r="AD765" s="184"/>
      <c r="AE765" s="51"/>
      <c r="AF765" s="52"/>
      <c r="AG765" s="41"/>
      <c r="AH765" s="45"/>
      <c r="AI765" s="28"/>
      <c r="AJ765" s="28"/>
      <c r="AK765" s="28"/>
      <c r="AL765" s="28"/>
      <c r="AM765" s="12"/>
      <c r="AN765" s="12"/>
      <c r="AO765" s="12"/>
      <c r="AP765" s="12"/>
      <c r="AQ765" s="12"/>
      <c r="AR765" s="13"/>
      <c r="AS765" s="14"/>
    </row>
    <row r="766" spans="1:45" s="16" customFormat="1" ht="30.95" hidden="1" customHeight="1" x14ac:dyDescent="0.2">
      <c r="A766" s="35"/>
      <c r="B766" s="36"/>
      <c r="C766" s="43"/>
      <c r="D766" s="29"/>
      <c r="E766" s="29"/>
      <c r="F766" s="255"/>
      <c r="G766" s="256"/>
      <c r="H766" s="256"/>
      <c r="I766" s="200"/>
      <c r="J766" s="203"/>
      <c r="K766" s="200"/>
      <c r="L766" s="200"/>
      <c r="M766" s="37"/>
      <c r="N766" s="37"/>
      <c r="O766" s="153"/>
      <c r="P766" s="45"/>
      <c r="Q766" s="54"/>
      <c r="R766" s="257"/>
      <c r="S766" s="258"/>
      <c r="T766" s="258"/>
      <c r="U766" s="38"/>
      <c r="V766" s="259"/>
      <c r="W766" s="256"/>
      <c r="X766" s="256"/>
      <c r="Y766" s="256"/>
      <c r="Z766" s="256"/>
      <c r="AA766" s="54"/>
      <c r="AB766" s="200"/>
      <c r="AC766" s="31"/>
      <c r="AD766" s="184"/>
      <c r="AE766" s="51"/>
      <c r="AF766" s="52"/>
      <c r="AG766" s="41"/>
      <c r="AH766" s="45"/>
      <c r="AI766" s="28"/>
      <c r="AJ766" s="28"/>
      <c r="AK766" s="28"/>
      <c r="AL766" s="28"/>
      <c r="AM766" s="12"/>
      <c r="AN766" s="12"/>
      <c r="AO766" s="12"/>
      <c r="AP766" s="12"/>
      <c r="AQ766" s="12"/>
      <c r="AR766" s="13"/>
      <c r="AS766" s="14"/>
    </row>
    <row r="767" spans="1:45" s="16" customFormat="1" ht="30.95" hidden="1" customHeight="1" x14ac:dyDescent="0.2">
      <c r="A767" s="35" t="s">
        <v>508</v>
      </c>
      <c r="B767" s="36" t="s">
        <v>446</v>
      </c>
      <c r="C767" s="43"/>
      <c r="D767" s="29"/>
      <c r="E767" s="29"/>
      <c r="F767" s="255"/>
      <c r="G767" s="256"/>
      <c r="H767" s="256"/>
      <c r="I767" s="200"/>
      <c r="J767" s="203" t="s">
        <v>448</v>
      </c>
      <c r="K767" s="200"/>
      <c r="L767" s="200"/>
      <c r="M767" s="37"/>
      <c r="N767" s="37"/>
      <c r="O767" s="153"/>
      <c r="P767" s="45"/>
      <c r="Q767" s="54"/>
      <c r="R767" s="257"/>
      <c r="S767" s="258"/>
      <c r="T767" s="258"/>
      <c r="U767" s="38"/>
      <c r="V767" s="259"/>
      <c r="W767" s="256"/>
      <c r="X767" s="256"/>
      <c r="Y767" s="256"/>
      <c r="Z767" s="256"/>
      <c r="AA767" s="54"/>
      <c r="AB767" s="200"/>
      <c r="AC767" s="31"/>
      <c r="AD767" s="184"/>
      <c r="AE767" s="51"/>
      <c r="AF767" s="52"/>
      <c r="AG767" s="41"/>
      <c r="AH767" s="45"/>
      <c r="AI767" s="28"/>
      <c r="AJ767" s="28"/>
      <c r="AK767" s="28"/>
      <c r="AL767" s="28"/>
      <c r="AM767" s="12"/>
      <c r="AN767" s="12"/>
      <c r="AO767" s="12"/>
      <c r="AP767" s="12"/>
      <c r="AQ767" s="12"/>
      <c r="AR767" s="13"/>
      <c r="AS767" s="14"/>
    </row>
    <row r="768" spans="1:45" s="16" customFormat="1" ht="30.95" hidden="1" customHeight="1" x14ac:dyDescent="0.2">
      <c r="A768" s="35"/>
      <c r="B768" s="36"/>
      <c r="C768" s="43"/>
      <c r="D768" s="29"/>
      <c r="E768" s="29"/>
      <c r="F768" s="255"/>
      <c r="G768" s="256"/>
      <c r="H768" s="256"/>
      <c r="I768" s="200"/>
      <c r="J768" s="203"/>
      <c r="K768" s="200"/>
      <c r="L768" s="200"/>
      <c r="M768" s="37"/>
      <c r="N768" s="37"/>
      <c r="O768" s="153"/>
      <c r="P768" s="45"/>
      <c r="Q768" s="54"/>
      <c r="R768" s="257"/>
      <c r="S768" s="258"/>
      <c r="T768" s="258"/>
      <c r="U768" s="38"/>
      <c r="V768" s="259"/>
      <c r="W768" s="256"/>
      <c r="X768" s="256"/>
      <c r="Y768" s="256"/>
      <c r="Z768" s="256"/>
      <c r="AA768" s="54"/>
      <c r="AB768" s="200"/>
      <c r="AC768" s="31"/>
      <c r="AD768" s="184"/>
      <c r="AE768" s="51"/>
      <c r="AF768" s="52"/>
      <c r="AG768" s="41"/>
      <c r="AH768" s="45"/>
      <c r="AI768" s="28"/>
      <c r="AJ768" s="28"/>
      <c r="AK768" s="28"/>
      <c r="AL768" s="28"/>
      <c r="AM768" s="12"/>
      <c r="AN768" s="12"/>
      <c r="AO768" s="12"/>
      <c r="AP768" s="12"/>
      <c r="AQ768" s="12"/>
      <c r="AR768" s="13"/>
      <c r="AS768" s="14"/>
    </row>
    <row r="769" spans="1:45" s="16" customFormat="1" ht="30.95" hidden="1" customHeight="1" x14ac:dyDescent="0.2">
      <c r="A769" s="35" t="s">
        <v>1272</v>
      </c>
      <c r="B769" s="36" t="s">
        <v>1262</v>
      </c>
      <c r="C769" s="43"/>
      <c r="D769" s="29">
        <v>3716265</v>
      </c>
      <c r="E769" s="29">
        <v>4161941</v>
      </c>
      <c r="F769" s="255" t="str">
        <f>IF(D769="","",VLOOKUP(D769,契約台帳!$A$3:$K$4986,6,FALSE)&amp;VLOOKUP(D769,契約台帳!$A$3:$K$4986,7,FALSE)&amp;VLOOKUP(D769,契約台帳!$A$3:$K$4986,8,FALSE)&amp;VLOOKUP(D769,契約台帳!$A$3:$K$4986,9,FALSE)&amp;VLOOKUP(D769,契約台帳!$A$3:$K$4986,11,FALSE))</f>
        <v>33SSNMCLBTEKKFV</v>
      </c>
      <c r="G769" s="256" t="str">
        <f>IF(D769="","",VLOOKUP(F769,製品マスタ!$G$5:$H$4999,2,FALSE))</f>
        <v>S</v>
      </c>
      <c r="H769" s="256" t="str">
        <f>IF(D769="","",VLOOKUP(F769,製品マスタ!$G$5:$K$4999,5,FALSE))</f>
        <v>TEKKFV</v>
      </c>
      <c r="I769" s="200" t="str">
        <f>IF(D769="","",VLOOKUP(F769,製品マスタ!$G$5:$L$4999,6,FALSE))</f>
        <v>メタルミー　ＴＥＳ消開封　Ｖ</v>
      </c>
      <c r="J769" s="203" t="s">
        <v>935</v>
      </c>
      <c r="K769" s="200">
        <f>IF(D769="","",VLOOKUP(D769,契約台帳!$A$3:$L$4986,12,FALSE))</f>
        <v>50</v>
      </c>
      <c r="L769" s="200" t="str">
        <f>IF(D769="","",INDEX(製品マスタ!$Q$5:$Q$4999,MATCH('S4'!F769&amp;'S4'!K769,製品マスタ!$AO$5:$AO$4999,0)))</f>
        <v>X44SEPA</v>
      </c>
      <c r="M769" s="37">
        <v>1005</v>
      </c>
      <c r="N769" s="37">
        <v>4000</v>
      </c>
      <c r="O769" s="153">
        <v>6</v>
      </c>
      <c r="P769" s="45">
        <v>3</v>
      </c>
      <c r="Q769" s="206">
        <v>45113</v>
      </c>
      <c r="R769" s="257">
        <f ca="1">IF(D769="","",IF(OFFSET(D769,-1,0)&lt;&gt;"","",IF(OR(J769="リード付け",J769="巻足し",J769="巻返しリード付け"),M769,VLOOKUP(D769,契約台帳!$A$3:$N$4986,14,FALSE))))</f>
        <v>1005</v>
      </c>
      <c r="S769" s="258">
        <f ca="1">IF(D769="","",IF(OFFSET(D769,-1,0)&lt;&gt;"","",IF(OR(J769="リード付け",J769="巻足し",J769="巻返しリード付け"),M769,VLOOKUP(D769,契約台帳!$A$3:$O$4986,15,FALSE))))</f>
        <v>1005</v>
      </c>
      <c r="T769" s="258">
        <f ca="1">IF(D769="","",IF(J769="リード付け",N769,IF(J769="巻返しリード付け",N769,IF(J769="巻足し",N769*P769+OFFSET(N769,1,0)*OFFSET(P769,1,0),VLOOKUP(D769,契約台帳!$A$3:$P$4986,16,FALSE)))))</f>
        <v>12000</v>
      </c>
      <c r="U769" s="38">
        <v>2</v>
      </c>
      <c r="V769" s="259">
        <f ca="1">IF(D769="","",IF(OFFSET(D769,-2,0)=D769,"",VLOOKUP(D769,契約台帳!$A$3:$R$4986,18,FALSE)))</f>
        <v>6</v>
      </c>
      <c r="W769" s="256" t="str">
        <f ca="1">IF(D769="","",IF(T769="","",IF(OR(J769="巻足し",J769="巻返しリード付け"),"",IF(J769="巻返し",VLOOKUP(F769&amp;K769&amp;M769,製品マスタ!$M$5:$AD$4999,18,FALSE),IF(OR(J769="リード付け",J769="巻返しリード付け"),"原反コア",IF(J769="スリット",VLOOKUP(F769&amp;K769&amp;R769,製品マスタ!$N$5:$AD$4999,17,FALSE),""))))))</f>
        <v/>
      </c>
      <c r="X769" s="256" t="str">
        <f ca="1">IF(D769="","",IF(T769="","",IF(J769="巻足し","",IF(J769="巻返し",VLOOKUP(F769&amp;K769&amp;M769,製品マスタ!$M$5:$AE$4999,19,FALSE),IF(OR(J769="リード付け",J769="巻返しリード付け"),"",IF(J769="スリット",VLOOKUP(F769&amp;K769&amp;R769,製品マスタ!$N$5:$AE$4999,18,FALSE),""))))))</f>
        <v/>
      </c>
      <c r="Y769" s="256">
        <f ca="1">IF(D769="","",IF(T769="","",VLOOKUP(D769,契約台帳!$A$3:$Q$4986,17,FALSE)))</f>
        <v>2</v>
      </c>
      <c r="Z769" s="256" t="str">
        <f ca="1">IF(D769="","",IF(T769="","",VLOOKUP(D769,契約台帳!$A$3:$E$4986,5,FALSE)))</f>
        <v>リンテック㈱</v>
      </c>
      <c r="AA769" s="54"/>
      <c r="AB769" s="200">
        <f>IFERROR((VLOOKUP(F769&amp;K769&amp;M769,製品マスタ!$M$5:$AM$4999,27,FALSE)),"")</f>
        <v>0</v>
      </c>
      <c r="AC769" s="31"/>
      <c r="AD769" s="184"/>
      <c r="AE769" s="51"/>
      <c r="AF769" s="52"/>
      <c r="AG769" s="41"/>
      <c r="AH769" s="45"/>
      <c r="AI769" s="28"/>
      <c r="AJ769" s="28"/>
      <c r="AK769" s="28"/>
      <c r="AL769" s="28"/>
      <c r="AM769" s="12"/>
      <c r="AN769" s="12"/>
      <c r="AO769" s="12"/>
      <c r="AP769" s="12"/>
      <c r="AQ769" s="12"/>
      <c r="AR769" s="13"/>
      <c r="AS769" s="14"/>
    </row>
    <row r="770" spans="1:45" s="16" customFormat="1" ht="30.95" hidden="1" customHeight="1" x14ac:dyDescent="0.2">
      <c r="A770" s="35"/>
      <c r="B770" s="36"/>
      <c r="C770" s="43"/>
      <c r="D770" s="29"/>
      <c r="E770" s="29"/>
      <c r="F770" s="255"/>
      <c r="G770" s="256"/>
      <c r="H770" s="256"/>
      <c r="I770" s="200"/>
      <c r="J770" s="203"/>
      <c r="K770" s="200"/>
      <c r="L770" s="200"/>
      <c r="M770" s="37"/>
      <c r="N770" s="37"/>
      <c r="O770" s="153"/>
      <c r="P770" s="45"/>
      <c r="Q770" s="54"/>
      <c r="R770" s="257"/>
      <c r="S770" s="258"/>
      <c r="T770" s="258"/>
      <c r="U770" s="38"/>
      <c r="V770" s="259"/>
      <c r="W770" s="256"/>
      <c r="X770" s="256"/>
      <c r="Y770" s="256"/>
      <c r="Z770" s="256"/>
      <c r="AA770" s="54"/>
      <c r="AB770" s="200"/>
      <c r="AC770" s="31"/>
      <c r="AD770" s="184"/>
      <c r="AE770" s="51"/>
      <c r="AF770" s="52"/>
      <c r="AG770" s="41"/>
      <c r="AH770" s="45"/>
      <c r="AI770" s="28"/>
      <c r="AJ770" s="28"/>
      <c r="AK770" s="28"/>
      <c r="AL770" s="28"/>
      <c r="AM770" s="12"/>
      <c r="AN770" s="12"/>
      <c r="AO770" s="12"/>
      <c r="AP770" s="12"/>
      <c r="AQ770" s="12"/>
      <c r="AR770" s="13"/>
      <c r="AS770" s="14"/>
    </row>
    <row r="771" spans="1:45" s="16" customFormat="1" ht="30.95" hidden="1" customHeight="1" x14ac:dyDescent="0.2">
      <c r="A771" s="35"/>
      <c r="B771" s="36"/>
      <c r="C771" s="43"/>
      <c r="D771" s="29">
        <v>3717593</v>
      </c>
      <c r="E771" s="29">
        <v>4161980</v>
      </c>
      <c r="F771" s="255" t="str">
        <f>IF(D771="","",VLOOKUP(D771,契約台帳!$A$3:$K$4986,6,FALSE)&amp;VLOOKUP(D771,契約台帳!$A$3:$K$4986,7,FALSE)&amp;VLOOKUP(D771,契約台帳!$A$3:$K$4986,8,FALSE)&amp;VLOOKUP(D771,契約台帳!$A$3:$K$4986,9,FALSE)&amp;VLOOKUP(D771,契約台帳!$A$3:$K$4986,11,FALSE))</f>
        <v>3SNMCLBNGKVB</v>
      </c>
      <c r="G771" s="256" t="str">
        <f>IF(D771="","",VLOOKUP(F771,製品マスタ!$G$5:$H$4999,2,FALSE))</f>
        <v>S</v>
      </c>
      <c r="H771" s="256" t="str">
        <f>IF(D771="","",VLOOKUP(F771,製品マスタ!$G$5:$K$4999,5,FALSE))</f>
        <v>NGKVB</v>
      </c>
      <c r="I771" s="200" t="str">
        <f>IF(D771="","",VLOOKUP(F771,製品マスタ!$G$5:$L$4999,6,FALSE))</f>
        <v>メタルミー　ネーマー銀消　ＶＢ</v>
      </c>
      <c r="J771" s="203" t="s">
        <v>935</v>
      </c>
      <c r="K771" s="200">
        <f>IF(D771="","",VLOOKUP(D771,契約台帳!$A$3:$L$4986,12,FALSE))</f>
        <v>50</v>
      </c>
      <c r="L771" s="200" t="str">
        <f>IF(D771="","",INDEX(製品マスタ!$Q$5:$Q$4999,MATCH('S4'!F771&amp;'S4'!K771,製品マスタ!$AO$5:$AO$4999,0)))</f>
        <v>MAT</v>
      </c>
      <c r="M771" s="37">
        <v>1005</v>
      </c>
      <c r="N771" s="37">
        <v>4100</v>
      </c>
      <c r="O771" s="153">
        <v>3</v>
      </c>
      <c r="P771" s="45">
        <v>3</v>
      </c>
      <c r="Q771" s="206">
        <v>45114</v>
      </c>
      <c r="R771" s="257">
        <f ca="1">IF(D771="","",IF(OFFSET(D771,-1,0)&lt;&gt;"","",IF(OR(J771="リード付け",J771="巻足し",J771="巻返しリード付け"),M771,VLOOKUP(D771,契約台帳!$A$3:$N$4986,14,FALSE))))</f>
        <v>1005</v>
      </c>
      <c r="S771" s="258">
        <f ca="1">IF(D771="","",IF(OFFSET(D771,-1,0)&lt;&gt;"","",IF(OR(J771="リード付け",J771="巻足し",J771="巻返しリード付け"),M771,VLOOKUP(D771,契約台帳!$A$3:$O$4986,15,FALSE))))</f>
        <v>1005</v>
      </c>
      <c r="T771" s="258">
        <f ca="1">IF(D771="","",IF(J771="リード付け",N771,IF(J771="巻返しリード付け",N771,IF(J771="巻足し",N771*P771+OFFSET(N771,1,0)*OFFSET(P771,1,0),VLOOKUP(D771,契約台帳!$A$3:$P$4986,16,FALSE)))))</f>
        <v>12300</v>
      </c>
      <c r="U771" s="38">
        <v>1</v>
      </c>
      <c r="V771" s="259">
        <f ca="1">IF(D771="","",IF(OFFSET(D771,-2,0)=D771,"",VLOOKUP(D771,契約台帳!$A$3:$R$4986,18,FALSE)))</f>
        <v>3</v>
      </c>
      <c r="W771" s="256" t="str">
        <f ca="1">IF(D771="","",IF(T771="","",IF(OR(J771="巻足し",J771="巻返しリード付け"),"",IF(J771="巻返し",VLOOKUP(F771&amp;K771&amp;M771,製品マスタ!$M$5:$AD$4999,18,FALSE),IF(OR(J771="リード付け",J771="巻返しリード付け"),"原反コア",IF(J771="スリット",VLOOKUP(F771&amp;K771&amp;R771,製品マスタ!$N$5:$AD$4999,17,FALSE),""))))))</f>
        <v/>
      </c>
      <c r="X771" s="256" t="str">
        <f ca="1">IF(D771="","",IF(T771="","",IF(J771="巻足し","",IF(J771="巻返し",VLOOKUP(F771&amp;K771&amp;M771,製品マスタ!$M$5:$AE$4999,19,FALSE),IF(OR(J771="リード付け",J771="巻返しリード付け"),"",IF(J771="スリット",VLOOKUP(F771&amp;K771&amp;R771,製品マスタ!$N$5:$AE$4999,18,FALSE),""))))))</f>
        <v/>
      </c>
      <c r="Y771" s="256">
        <f ca="1">IF(D771="","",IF(T771="","",VLOOKUP(D771,契約台帳!$A$3:$Q$4986,17,FALSE)))</f>
        <v>2</v>
      </c>
      <c r="Z771" s="256" t="str">
        <f ca="1">IF(D771="","",IF(T771="","",VLOOKUP(D771,契約台帳!$A$3:$E$4986,5,FALSE)))</f>
        <v>リンテック㈱</v>
      </c>
      <c r="AA771" s="54"/>
      <c r="AB771" s="200">
        <f>IFERROR((VLOOKUP(F771&amp;K771&amp;M771,製品マスタ!$M$5:$AM$4999,27,FALSE)),"")</f>
        <v>0</v>
      </c>
      <c r="AC771" s="31"/>
      <c r="AD771" s="184"/>
      <c r="AE771" s="51"/>
      <c r="AF771" s="52"/>
      <c r="AG771" s="41"/>
      <c r="AH771" s="45"/>
      <c r="AI771" s="28"/>
      <c r="AJ771" s="28"/>
      <c r="AK771" s="28"/>
      <c r="AL771" s="28"/>
      <c r="AM771" s="12"/>
      <c r="AN771" s="12"/>
      <c r="AO771" s="12"/>
      <c r="AP771" s="12"/>
      <c r="AQ771" s="12"/>
      <c r="AR771" s="13"/>
      <c r="AS771" s="14"/>
    </row>
    <row r="772" spans="1:45" s="16" customFormat="1" ht="30.95" hidden="1" customHeight="1" x14ac:dyDescent="0.2">
      <c r="A772" s="35"/>
      <c r="B772" s="36"/>
      <c r="C772" s="43"/>
      <c r="D772" s="29"/>
      <c r="E772" s="29"/>
      <c r="F772" s="255"/>
      <c r="G772" s="256"/>
      <c r="H772" s="256"/>
      <c r="I772" s="200"/>
      <c r="J772" s="203"/>
      <c r="K772" s="200"/>
      <c r="L772" s="200"/>
      <c r="M772" s="37"/>
      <c r="N772" s="37"/>
      <c r="O772" s="153"/>
      <c r="P772" s="45"/>
      <c r="Q772" s="54"/>
      <c r="R772" s="257"/>
      <c r="S772" s="258"/>
      <c r="T772" s="258"/>
      <c r="U772" s="38"/>
      <c r="V772" s="259"/>
      <c r="W772" s="256"/>
      <c r="X772" s="256"/>
      <c r="Y772" s="256"/>
      <c r="Z772" s="256"/>
      <c r="AA772" s="54"/>
      <c r="AB772" s="200"/>
      <c r="AC772" s="31"/>
      <c r="AD772" s="184"/>
      <c r="AE772" s="51"/>
      <c r="AF772" s="52"/>
      <c r="AG772" s="41"/>
      <c r="AH772" s="45"/>
      <c r="AI772" s="28"/>
      <c r="AJ772" s="28"/>
      <c r="AK772" s="28"/>
      <c r="AL772" s="28"/>
      <c r="AM772" s="12"/>
      <c r="AN772" s="12"/>
      <c r="AO772" s="12"/>
      <c r="AP772" s="12"/>
      <c r="AQ772" s="12"/>
      <c r="AR772" s="13"/>
      <c r="AS772" s="14"/>
    </row>
    <row r="773" spans="1:45" s="16" customFormat="1" ht="30.95" hidden="1" customHeight="1" x14ac:dyDescent="0.2">
      <c r="A773" s="35"/>
      <c r="B773" s="36"/>
      <c r="C773" s="43"/>
      <c r="D773" s="29">
        <v>3717595</v>
      </c>
      <c r="E773" s="29">
        <v>4161985</v>
      </c>
      <c r="F773" s="255" t="str">
        <f>IF(D773="","",VLOOKUP(D773,契約台帳!$A$3:$K$4986,6,FALSE)&amp;VLOOKUP(D773,契約台帳!$A$3:$K$4986,7,FALSE)&amp;VLOOKUP(D773,契約台帳!$A$3:$K$4986,8,FALSE)&amp;VLOOKUP(D773,契約台帳!$A$3:$K$4986,9,FALSE)&amp;VLOOKUP(D773,契約台帳!$A$3:$K$4986,11,FALSE))</f>
        <v>3UNMCLBHLGKJV</v>
      </c>
      <c r="G773" s="256" t="str">
        <f>IF(D773="","",VLOOKUP(F773,製品マスタ!$G$5:$H$4999,2,FALSE))</f>
        <v>U</v>
      </c>
      <c r="H773" s="256" t="str">
        <f>IF(D773="","",VLOOKUP(F773,製品マスタ!$G$5:$K$4999,5,FALSE))</f>
        <v>HLGKJV</v>
      </c>
      <c r="I773" s="200" t="str">
        <f>IF(D773="","",VLOOKUP(F773,製品マスタ!$G$5:$L$4999,6,FALSE))</f>
        <v>メタルミー　ヘヤライン　銀消Ｖ</v>
      </c>
      <c r="J773" s="203" t="s">
        <v>935</v>
      </c>
      <c r="K773" s="200">
        <f>IF(D773="","",VLOOKUP(D773,契約台帳!$A$3:$L$4986,12,FALSE))</f>
        <v>50</v>
      </c>
      <c r="L773" s="200" t="str">
        <f>IF(D773="","",INDEX(製品マスタ!$Q$5:$Q$4999,MATCH('S4'!F773&amp;'S4'!K773,製品マスタ!$AO$5:$AO$4999,0)))</f>
        <v>HL-MAT</v>
      </c>
      <c r="M773" s="37">
        <v>1005</v>
      </c>
      <c r="N773" s="37">
        <v>4000</v>
      </c>
      <c r="O773" s="153">
        <v>1</v>
      </c>
      <c r="P773" s="45">
        <v>3</v>
      </c>
      <c r="Q773" s="206">
        <v>45113</v>
      </c>
      <c r="R773" s="257">
        <f ca="1">IF(D773="","",IF(OFFSET(D773,-1,0)&lt;&gt;"","",IF(OR(J773="リード付け",J773="巻足し",J773="巻返しリード付け"),M773,VLOOKUP(D773,契約台帳!$A$3:$N$4986,14,FALSE))))</f>
        <v>1005</v>
      </c>
      <c r="S773" s="258">
        <f ca="1">IF(D773="","",IF(OFFSET(D773,-1,0)&lt;&gt;"","",IF(OR(J773="リード付け",J773="巻足し",J773="巻返しリード付け"),M773,VLOOKUP(D773,契約台帳!$A$3:$O$4986,15,FALSE))))</f>
        <v>1005</v>
      </c>
      <c r="T773" s="258">
        <f ca="1">IF(D773="","",IF(J773="リード付け",N773,IF(J773="巻返しリード付け",N773,IF(J773="巻足し",N773*P773+OFFSET(N773,1,0)*OFFSET(P773,1,0),VLOOKUP(D773,契約台帳!$A$3:$P$4986,16,FALSE)))))</f>
        <v>12000</v>
      </c>
      <c r="U773" s="38">
        <v>1</v>
      </c>
      <c r="V773" s="259">
        <f ca="1">IF(D773="","",IF(OFFSET(D773,-2,0)=D773,"",VLOOKUP(D773,契約台帳!$A$3:$R$4986,18,FALSE)))</f>
        <v>2</v>
      </c>
      <c r="W773" s="256" t="str">
        <f ca="1">IF(D773="","",IF(T773="","",IF(OR(J773="巻足し",J773="巻返しリード付け"),"",IF(J773="巻返し",VLOOKUP(F773&amp;K773&amp;M773,製品マスタ!$M$5:$AD$4999,18,FALSE),IF(OR(J773="リード付け",J773="巻返しリード付け"),"原反コア",IF(J773="スリット",VLOOKUP(F773&amp;K773&amp;R773,製品マスタ!$N$5:$AD$4999,17,FALSE),""))))))</f>
        <v/>
      </c>
      <c r="X773" s="256" t="str">
        <f ca="1">IF(D773="","",IF(T773="","",IF(J773="巻足し","",IF(J773="巻返し",VLOOKUP(F773&amp;K773&amp;M773,製品マスタ!$M$5:$AE$4999,19,FALSE),IF(OR(J773="リード付け",J773="巻返しリード付け"),"",IF(J773="スリット",VLOOKUP(F773&amp;K773&amp;R773,製品マスタ!$N$5:$AE$4999,18,FALSE),""))))))</f>
        <v/>
      </c>
      <c r="Y773" s="256">
        <f ca="1">IF(D773="","",IF(T773="","",VLOOKUP(D773,契約台帳!$A$3:$Q$4986,17,FALSE)))</f>
        <v>2</v>
      </c>
      <c r="Z773" s="256" t="str">
        <f ca="1">IF(D773="","",IF(T773="","",VLOOKUP(D773,契約台帳!$A$3:$E$4986,5,FALSE)))</f>
        <v>リンテック㈱</v>
      </c>
      <c r="AA773" s="54"/>
      <c r="AB773" s="200" t="s">
        <v>774</v>
      </c>
      <c r="AC773" s="31"/>
      <c r="AD773" s="184"/>
      <c r="AE773" s="51"/>
      <c r="AF773" s="52"/>
      <c r="AG773" s="41"/>
      <c r="AH773" s="45"/>
      <c r="AI773" s="28"/>
      <c r="AJ773" s="28"/>
      <c r="AK773" s="28"/>
      <c r="AL773" s="28"/>
      <c r="AM773" s="12"/>
      <c r="AN773" s="12"/>
      <c r="AO773" s="12"/>
      <c r="AP773" s="12"/>
      <c r="AQ773" s="12"/>
      <c r="AR773" s="13"/>
      <c r="AS773" s="14"/>
    </row>
    <row r="774" spans="1:45" s="16" customFormat="1" ht="30.95" hidden="1" customHeight="1" x14ac:dyDescent="0.2">
      <c r="A774" s="35"/>
      <c r="B774" s="36"/>
      <c r="C774" s="43"/>
      <c r="D774" s="29">
        <v>3717596</v>
      </c>
      <c r="E774" s="29"/>
      <c r="F774" s="255" t="str">
        <f>IF(D774="","",VLOOKUP(D774,契約台帳!$A$3:$K$4986,6,FALSE)&amp;VLOOKUP(D774,契約台帳!$A$3:$K$4986,7,FALSE)&amp;VLOOKUP(D774,契約台帳!$A$3:$K$4986,8,FALSE)&amp;VLOOKUP(D774,契約台帳!$A$3:$K$4986,9,FALSE)&amp;VLOOKUP(D774,契約台帳!$A$3:$K$4986,11,FALSE))</f>
        <v>3UNMCLBHLGKJV</v>
      </c>
      <c r="G774" s="256" t="str">
        <f>IF(D774="","",VLOOKUP(F774,製品マスタ!$G$5:$H$4999,2,FALSE))</f>
        <v>U</v>
      </c>
      <c r="H774" s="256" t="str">
        <f>IF(D774="","",VLOOKUP(F774,製品マスタ!$G$5:$K$4999,5,FALSE))</f>
        <v>HLGKJV</v>
      </c>
      <c r="I774" s="200" t="str">
        <f>IF(D774="","",VLOOKUP(F774,製品マスタ!$G$5:$L$4999,6,FALSE))</f>
        <v>メタルミー　ヘヤライン　銀消Ｖ</v>
      </c>
      <c r="J774" s="203" t="s">
        <v>935</v>
      </c>
      <c r="K774" s="200">
        <f>IF(D774="","",VLOOKUP(D774,契約台帳!$A$3:$L$4986,12,FALSE))</f>
        <v>50</v>
      </c>
      <c r="L774" s="200" t="str">
        <f>IF(D774="","",INDEX(製品マスタ!$Q$5:$Q$4999,MATCH('S4'!F774&amp;'S4'!K774,製品マスタ!$AO$5:$AO$4999,0)))</f>
        <v>HL-MAT</v>
      </c>
      <c r="M774" s="37">
        <v>1005</v>
      </c>
      <c r="N774" s="37">
        <v>4000</v>
      </c>
      <c r="O774" s="153">
        <v>2</v>
      </c>
      <c r="P774" s="45"/>
      <c r="Q774" s="206">
        <v>45113</v>
      </c>
      <c r="R774" s="257" t="str">
        <f ca="1">IF(D774="","",IF(OFFSET(D774,-1,0)&lt;&gt;"","",IF(OR(J774="リード付け",J774="巻足し",J774="巻返しリード付け"),M774,VLOOKUP(D774,契約台帳!$A$3:$N$4986,14,FALSE))))</f>
        <v/>
      </c>
      <c r="S774" s="258" t="str">
        <f ca="1">IF(D774="","",IF(OFFSET(D774,-1,0)&lt;&gt;"","",IF(OR(J774="リード付け",J774="巻足し",J774="巻返しリード付け"),M774,VLOOKUP(D774,契約台帳!$A$3:$O$4986,15,FALSE))))</f>
        <v/>
      </c>
      <c r="T774" s="258">
        <f ca="1">IF(D774="","",IF(J774="リード付け",N774,IF(J774="巻返しリード付け",N774,IF(J774="巻足し",N774*P774+OFFSET(N774,1,0)*OFFSET(P774,1,0),VLOOKUP(D774,契約台帳!$A$3:$P$4986,16,FALSE)))))</f>
        <v>0</v>
      </c>
      <c r="U774" s="38">
        <v>1</v>
      </c>
      <c r="V774" s="259">
        <f ca="1">IF(D774="","",IF(OFFSET(D774,-2,0)=D774,"",VLOOKUP(D774,契約台帳!$A$3:$R$4986,18,FALSE)))</f>
        <v>4</v>
      </c>
      <c r="W774" s="256" t="str">
        <f ca="1">IF(D774="","",IF(T774="","",IF(OR(J774="巻足し",J774="巻返しリード付け"),"",IF(J774="巻返し",VLOOKUP(F774&amp;K774&amp;M774,製品マスタ!$M$5:$AD$4999,18,FALSE),IF(OR(J774="リード付け",J774="巻返しリード付け"),"原反コア",IF(J774="スリット",VLOOKUP(F774&amp;K774&amp;R774,製品マスタ!$N$5:$AD$4999,17,FALSE),""))))))</f>
        <v/>
      </c>
      <c r="X774" s="256" t="str">
        <f ca="1">IF(D774="","",IF(T774="","",IF(J774="巻足し","",IF(J774="巻返し",VLOOKUP(F774&amp;K774&amp;M774,製品マスタ!$M$5:$AE$4999,19,FALSE),IF(OR(J774="リード付け",J774="巻返しリード付け"),"",IF(J774="スリット",VLOOKUP(F774&amp;K774&amp;R774,製品マスタ!$N$5:$AE$4999,18,FALSE),""))))))</f>
        <v/>
      </c>
      <c r="Y774" s="256">
        <f ca="1">IF(D774="","",IF(T774="","",VLOOKUP(D774,契約台帳!$A$3:$Q$4986,17,FALSE)))</f>
        <v>2</v>
      </c>
      <c r="Z774" s="256" t="str">
        <f ca="1">IF(D774="","",IF(T774="","",VLOOKUP(D774,契約台帳!$A$3:$E$4986,5,FALSE)))</f>
        <v>リンテック㈱</v>
      </c>
      <c r="AA774" s="54"/>
      <c r="AB774" s="200" t="s">
        <v>774</v>
      </c>
      <c r="AC774" s="31"/>
      <c r="AD774" s="184"/>
      <c r="AE774" s="51"/>
      <c r="AF774" s="52"/>
      <c r="AG774" s="41"/>
      <c r="AH774" s="45"/>
      <c r="AI774" s="28"/>
      <c r="AJ774" s="28"/>
      <c r="AK774" s="28"/>
      <c r="AL774" s="28"/>
      <c r="AM774" s="12"/>
      <c r="AN774" s="12"/>
      <c r="AO774" s="12"/>
      <c r="AP774" s="12"/>
      <c r="AQ774" s="12"/>
      <c r="AR774" s="13"/>
      <c r="AS774" s="14"/>
    </row>
    <row r="775" spans="1:45" s="16" customFormat="1" ht="30.95" hidden="1" customHeight="1" x14ac:dyDescent="0.2">
      <c r="A775" s="35"/>
      <c r="B775" s="36"/>
      <c r="C775" s="43"/>
      <c r="D775" s="29"/>
      <c r="E775" s="29"/>
      <c r="F775" s="255"/>
      <c r="G775" s="256"/>
      <c r="H775" s="256"/>
      <c r="I775" s="200"/>
      <c r="J775" s="203"/>
      <c r="K775" s="200"/>
      <c r="L775" s="200"/>
      <c r="M775" s="37"/>
      <c r="N775" s="37"/>
      <c r="O775" s="153"/>
      <c r="P775" s="45"/>
      <c r="Q775" s="54"/>
      <c r="R775" s="257"/>
      <c r="S775" s="258"/>
      <c r="T775" s="258"/>
      <c r="U775" s="38"/>
      <c r="V775" s="259"/>
      <c r="W775" s="256"/>
      <c r="X775" s="256"/>
      <c r="Y775" s="256"/>
      <c r="Z775" s="256"/>
      <c r="AA775" s="54"/>
      <c r="AB775" s="200"/>
      <c r="AC775" s="31"/>
      <c r="AD775" s="184"/>
      <c r="AE775" s="51"/>
      <c r="AF775" s="52"/>
      <c r="AG775" s="41"/>
      <c r="AH775" s="45"/>
      <c r="AI775" s="28"/>
      <c r="AJ775" s="28"/>
      <c r="AK775" s="28"/>
      <c r="AL775" s="28"/>
      <c r="AM775" s="12"/>
      <c r="AN775" s="12"/>
      <c r="AO775" s="12"/>
      <c r="AP775" s="12"/>
      <c r="AQ775" s="12"/>
      <c r="AR775" s="13"/>
      <c r="AS775" s="14"/>
    </row>
    <row r="776" spans="1:45" s="16" customFormat="1" ht="30.95" hidden="1" customHeight="1" x14ac:dyDescent="0.2">
      <c r="A776" s="35"/>
      <c r="B776" s="36"/>
      <c r="C776" s="43"/>
      <c r="D776" s="29">
        <v>3717599</v>
      </c>
      <c r="E776" s="29">
        <v>4161989</v>
      </c>
      <c r="F776" s="255" t="str">
        <f>IF(D776="","",VLOOKUP(D776,契約台帳!$A$3:$K$4986,6,FALSE)&amp;VLOOKUP(D776,契約台帳!$A$3:$K$4986,7,FALSE)&amp;VLOOKUP(D776,契約台帳!$A$3:$K$4986,8,FALSE)&amp;VLOOKUP(D776,契約台帳!$A$3:$K$4986,9,FALSE)&amp;VLOOKUP(D776,契約台帳!$A$3:$K$4986,11,FALSE))</f>
        <v>3UNMCLBHLGTV</v>
      </c>
      <c r="G776" s="256" t="str">
        <f>IF(D776="","",VLOOKUP(F776,製品マスタ!$G$5:$H$4999,2,FALSE))</f>
        <v>U</v>
      </c>
      <c r="H776" s="256" t="str">
        <f>IF(D776="","",VLOOKUP(F776,製品マスタ!$G$5:$K$4999,5,FALSE))</f>
        <v>HLGTV</v>
      </c>
      <c r="I776" s="200" t="str">
        <f>IF(D776="","",VLOOKUP(F776,製品マスタ!$G$5:$L$4999,6,FALSE))</f>
        <v>メタルミー　ヘヤライン　銀艶Ｖ</v>
      </c>
      <c r="J776" s="203" t="s">
        <v>935</v>
      </c>
      <c r="K776" s="200">
        <f>IF(D776="","",VLOOKUP(D776,契約台帳!$A$3:$L$4986,12,FALSE))</f>
        <v>50</v>
      </c>
      <c r="L776" s="200" t="str">
        <f>IF(D776="","",INDEX(製品マスタ!$Q$5:$Q$4999,MATCH('S4'!F776&amp;'S4'!K776,製品マスタ!$AO$5:$AO$4999,0)))</f>
        <v>BRIGHT</v>
      </c>
      <c r="M776" s="37">
        <v>1005</v>
      </c>
      <c r="N776" s="37">
        <v>4100</v>
      </c>
      <c r="O776" s="153">
        <v>3</v>
      </c>
      <c r="P776" s="45">
        <v>3</v>
      </c>
      <c r="Q776" s="206">
        <v>45113</v>
      </c>
      <c r="R776" s="257">
        <f ca="1">IF(D776="","",IF(OFFSET(D776,-1,0)&lt;&gt;"","",IF(OR(J776="リード付け",J776="巻足し",J776="巻返しリード付け"),M776,VLOOKUP(D776,契約台帳!$A$3:$N$4986,14,FALSE))))</f>
        <v>1005</v>
      </c>
      <c r="S776" s="258">
        <f ca="1">IF(D776="","",IF(OFFSET(D776,-1,0)&lt;&gt;"","",IF(OR(J776="リード付け",J776="巻足し",J776="巻返しリード付け"),M776,VLOOKUP(D776,契約台帳!$A$3:$O$4986,15,FALSE))))</f>
        <v>1005</v>
      </c>
      <c r="T776" s="258">
        <f ca="1">IF(D776="","",IF(J776="リード付け",N776,IF(J776="巻返しリード付け",N776,IF(J776="巻足し",N776*P776+OFFSET(N776,1,0)*OFFSET(P776,1,0),VLOOKUP(D776,契約台帳!$A$3:$P$4986,16,FALSE)))))</f>
        <v>12300</v>
      </c>
      <c r="U776" s="38">
        <v>1</v>
      </c>
      <c r="V776" s="259">
        <f ca="1">IF(D776="","",IF(OFFSET(D776,-2,0)=D776,"",VLOOKUP(D776,契約台帳!$A$3:$R$4986,18,FALSE)))</f>
        <v>3</v>
      </c>
      <c r="W776" s="256" t="str">
        <f ca="1">IF(D776="","",IF(T776="","",IF(OR(J776="巻足し",J776="巻返しリード付け"),"",IF(J776="巻返し",VLOOKUP(F776&amp;K776&amp;M776,製品マスタ!$M$5:$AD$4999,18,FALSE),IF(OR(J776="リード付け",J776="巻返しリード付け"),"原反コア",IF(J776="スリット",VLOOKUP(F776&amp;K776&amp;R776,製品マスタ!$N$5:$AD$4999,17,FALSE),""))))))</f>
        <v/>
      </c>
      <c r="X776" s="256" t="str">
        <f ca="1">IF(D776="","",IF(T776="","",IF(J776="巻足し","",IF(J776="巻返し",VLOOKUP(F776&amp;K776&amp;M776,製品マスタ!$M$5:$AE$4999,19,FALSE),IF(OR(J776="リード付け",J776="巻返しリード付け"),"",IF(J776="スリット",VLOOKUP(F776&amp;K776&amp;R776,製品マスタ!$N$5:$AE$4999,18,FALSE),""))))))</f>
        <v/>
      </c>
      <c r="Y776" s="256">
        <f ca="1">IF(D776="","",IF(T776="","",VLOOKUP(D776,契約台帳!$A$3:$Q$4986,17,FALSE)))</f>
        <v>2</v>
      </c>
      <c r="Z776" s="256" t="str">
        <f ca="1">IF(D776="","",IF(T776="","",VLOOKUP(D776,契約台帳!$A$3:$E$4986,5,FALSE)))</f>
        <v>リンテック㈱</v>
      </c>
      <c r="AA776" s="54"/>
      <c r="AB776" s="200" t="s">
        <v>774</v>
      </c>
      <c r="AC776" s="31"/>
      <c r="AD776" s="184"/>
      <c r="AE776" s="51"/>
      <c r="AF776" s="52"/>
      <c r="AG776" s="41"/>
      <c r="AH776" s="45"/>
      <c r="AI776" s="28"/>
      <c r="AJ776" s="28"/>
      <c r="AK776" s="28"/>
      <c r="AL776" s="28"/>
      <c r="AM776" s="12"/>
      <c r="AN776" s="12"/>
      <c r="AO776" s="12"/>
      <c r="AP776" s="12"/>
      <c r="AQ776" s="12"/>
      <c r="AR776" s="13"/>
      <c r="AS776" s="14"/>
    </row>
    <row r="777" spans="1:45" s="16" customFormat="1" ht="30.95" hidden="1" customHeight="1" x14ac:dyDescent="0.2">
      <c r="A777" s="35"/>
      <c r="B777" s="36"/>
      <c r="C777" s="43"/>
      <c r="D777" s="29"/>
      <c r="E777" s="29"/>
      <c r="F777" s="255"/>
      <c r="G777" s="256"/>
      <c r="H777" s="256"/>
      <c r="I777" s="200"/>
      <c r="J777" s="203"/>
      <c r="K777" s="200"/>
      <c r="L777" s="200"/>
      <c r="M777" s="37"/>
      <c r="N777" s="37"/>
      <c r="O777" s="153"/>
      <c r="P777" s="45"/>
      <c r="Q777" s="54"/>
      <c r="R777" s="257"/>
      <c r="S777" s="258"/>
      <c r="T777" s="258"/>
      <c r="U777" s="38"/>
      <c r="V777" s="259"/>
      <c r="W777" s="256"/>
      <c r="X777" s="256"/>
      <c r="Y777" s="256"/>
      <c r="Z777" s="256"/>
      <c r="AA777" s="54"/>
      <c r="AB777" s="200"/>
      <c r="AC777" s="31"/>
      <c r="AD777" s="184"/>
      <c r="AE777" s="51"/>
      <c r="AF777" s="52"/>
      <c r="AG777" s="41"/>
      <c r="AH777" s="45"/>
      <c r="AI777" s="28"/>
      <c r="AJ777" s="28"/>
      <c r="AK777" s="28"/>
      <c r="AL777" s="28"/>
      <c r="AM777" s="12"/>
      <c r="AN777" s="12"/>
      <c r="AO777" s="12"/>
      <c r="AP777" s="12"/>
      <c r="AQ777" s="12"/>
      <c r="AR777" s="13"/>
      <c r="AS777" s="14"/>
    </row>
    <row r="778" spans="1:45" s="16" customFormat="1" ht="30.95" hidden="1" customHeight="1" x14ac:dyDescent="0.2">
      <c r="A778" s="35" t="s">
        <v>509</v>
      </c>
      <c r="B778" s="36" t="s">
        <v>688</v>
      </c>
      <c r="C778" s="43"/>
      <c r="D778" s="29">
        <v>3717604</v>
      </c>
      <c r="E778" s="29">
        <v>4161990</v>
      </c>
      <c r="F778" s="255" t="str">
        <f>IF(D778="","",VLOOKUP(D778,契約台帳!$A$3:$K$4986,6,FALSE)&amp;VLOOKUP(D778,契約台帳!$A$3:$K$4986,7,FALSE)&amp;VLOOKUP(D778,契約台帳!$A$3:$K$4986,8,FALSE)&amp;VLOOKUP(D778,契約台帳!$A$3:$K$4986,9,FALSE)&amp;VLOOKUP(D778,契約台帳!$A$3:$K$4986,11,FALSE))</f>
        <v>3UNMCLBHLGTV</v>
      </c>
      <c r="G778" s="256" t="str">
        <f>IF(D778="","",VLOOKUP(F778,製品マスタ!$G$5:$H$4999,2,FALSE))</f>
        <v>U</v>
      </c>
      <c r="H778" s="256" t="str">
        <f>IF(D778="","",VLOOKUP(F778,製品マスタ!$G$5:$K$4999,5,FALSE))</f>
        <v>HLGTV</v>
      </c>
      <c r="I778" s="200" t="str">
        <f>IF(D778="","",VLOOKUP(F778,製品マスタ!$G$5:$L$4999,6,FALSE))</f>
        <v>メタルミー　ヘヤライン　銀艶Ｖ</v>
      </c>
      <c r="J778" s="203" t="s">
        <v>935</v>
      </c>
      <c r="K778" s="200">
        <f>IF(D778="","",VLOOKUP(D778,契約台帳!$A$3:$L$4986,12,FALSE))</f>
        <v>25</v>
      </c>
      <c r="L778" s="200" t="str">
        <f>IF(D778="","",INDEX(製品マスタ!$Q$5:$Q$4999,MATCH('S4'!F778&amp;'S4'!K778,製品マスタ!$AO$5:$AO$4999,0)))</f>
        <v>BRIGHT</v>
      </c>
      <c r="M778" s="37">
        <v>1005</v>
      </c>
      <c r="N778" s="37">
        <v>8000</v>
      </c>
      <c r="O778" s="153">
        <v>4</v>
      </c>
      <c r="P778" s="45">
        <v>2</v>
      </c>
      <c r="Q778" s="206">
        <v>45113</v>
      </c>
      <c r="R778" s="257">
        <f ca="1">IF(D778="","",IF(OFFSET(D778,-1,0)&lt;&gt;"","",IF(OR(J778="リード付け",J778="巻足し",J778="巻返しリード付け"),M778,VLOOKUP(D778,契約台帳!$A$3:$N$4986,14,FALSE))))</f>
        <v>1005</v>
      </c>
      <c r="S778" s="258">
        <f ca="1">IF(D778="","",IF(OFFSET(D778,-1,0)&lt;&gt;"","",IF(OR(J778="リード付け",J778="巻足し",J778="巻返しリード付け"),M778,VLOOKUP(D778,契約台帳!$A$3:$O$4986,15,FALSE))))</f>
        <v>1005</v>
      </c>
      <c r="T778" s="258">
        <f ca="1">IF(D778="","",IF(J778="リード付け",N778,IF(J778="巻返しリード付け",N778,IF(J778="巻足し",N778*P778+OFFSET(N778,1,0)*OFFSET(P778,1,0),VLOOKUP(D778,契約台帳!$A$3:$P$4986,16,FALSE)))))</f>
        <v>16000</v>
      </c>
      <c r="U778" s="38">
        <v>2</v>
      </c>
      <c r="V778" s="259">
        <f ca="1">IF(D778="","",IF(OFFSET(D778,-2,0)=D778,"",VLOOKUP(D778,契約台帳!$A$3:$R$4986,18,FALSE)))</f>
        <v>4</v>
      </c>
      <c r="W778" s="256" t="str">
        <f ca="1">IF(D778="","",IF(T778="","",IF(OR(J778="巻足し",J778="巻返しリード付け"),"",IF(J778="巻返し",VLOOKUP(F778&amp;K778&amp;M778,製品マスタ!$M$5:$AD$4999,18,FALSE),IF(OR(J778="リード付け",J778="巻返しリード付け"),"原反コア",IF(J778="スリット",VLOOKUP(F778&amp;K778&amp;R778,製品マスタ!$N$5:$AD$4999,17,FALSE),""))))))</f>
        <v/>
      </c>
      <c r="X778" s="256" t="str">
        <f ca="1">IF(D778="","",IF(T778="","",IF(J778="巻足し","",IF(J778="巻返し",VLOOKUP(F778&amp;K778&amp;M778,製品マスタ!$M$5:$AE$4999,19,FALSE),IF(OR(J778="リード付け",J778="巻返しリード付け"),"",IF(J778="スリット",VLOOKUP(F778&amp;K778&amp;R778,製品マスタ!$N$5:$AE$4999,18,FALSE),""))))))</f>
        <v/>
      </c>
      <c r="Y778" s="256">
        <f ca="1">IF(D778="","",IF(T778="","",VLOOKUP(D778,契約台帳!$A$3:$Q$4986,17,FALSE)))</f>
        <v>2</v>
      </c>
      <c r="Z778" s="256" t="str">
        <f ca="1">IF(D778="","",IF(T778="","",VLOOKUP(D778,契約台帳!$A$3:$E$4986,5,FALSE)))</f>
        <v>リンテック㈱</v>
      </c>
      <c r="AA778" s="54"/>
      <c r="AB778" s="200" t="s">
        <v>774</v>
      </c>
      <c r="AC778" s="31"/>
      <c r="AD778" s="184"/>
      <c r="AE778" s="51"/>
      <c r="AF778" s="52"/>
      <c r="AG778" s="41"/>
      <c r="AH778" s="45"/>
      <c r="AI778" s="28"/>
      <c r="AJ778" s="28"/>
      <c r="AK778" s="28"/>
      <c r="AL778" s="28"/>
      <c r="AM778" s="12"/>
      <c r="AN778" s="12"/>
      <c r="AO778" s="12"/>
      <c r="AP778" s="12"/>
      <c r="AQ778" s="12"/>
      <c r="AR778" s="13"/>
      <c r="AS778" s="14"/>
    </row>
    <row r="779" spans="1:45" s="16" customFormat="1" ht="30.95" hidden="1" customHeight="1" x14ac:dyDescent="0.2">
      <c r="A779" s="35"/>
      <c r="B779" s="36"/>
      <c r="C779" s="43"/>
      <c r="D779" s="29"/>
      <c r="E779" s="29"/>
      <c r="F779" s="255"/>
      <c r="G779" s="256"/>
      <c r="H779" s="256"/>
      <c r="I779" s="200"/>
      <c r="J779" s="203"/>
      <c r="K779" s="200"/>
      <c r="L779" s="200"/>
      <c r="M779" s="37"/>
      <c r="N779" s="37"/>
      <c r="O779" s="153"/>
      <c r="P779" s="45"/>
      <c r="Q779" s="54"/>
      <c r="R779" s="257"/>
      <c r="S779" s="258"/>
      <c r="T779" s="258"/>
      <c r="U779" s="38"/>
      <c r="V779" s="259"/>
      <c r="W779" s="256"/>
      <c r="X779" s="256"/>
      <c r="Y779" s="256"/>
      <c r="Z779" s="256"/>
      <c r="AA779" s="54"/>
      <c r="AB779" s="200"/>
      <c r="AC779" s="31"/>
      <c r="AD779" s="184"/>
      <c r="AE779" s="51"/>
      <c r="AF779" s="52"/>
      <c r="AG779" s="41"/>
      <c r="AH779" s="45"/>
      <c r="AI779" s="28"/>
      <c r="AJ779" s="28"/>
      <c r="AK779" s="28"/>
      <c r="AL779" s="28"/>
      <c r="AM779" s="12"/>
      <c r="AN779" s="12"/>
      <c r="AO779" s="12"/>
      <c r="AP779" s="12"/>
      <c r="AQ779" s="12"/>
      <c r="AR779" s="13"/>
      <c r="AS779" s="14"/>
    </row>
    <row r="780" spans="1:45" s="16" customFormat="1" ht="30.95" hidden="1" customHeight="1" x14ac:dyDescent="0.2">
      <c r="A780" s="35"/>
      <c r="B780" s="36"/>
      <c r="C780" s="43"/>
      <c r="D780" s="29" t="s">
        <v>1305</v>
      </c>
      <c r="E780" s="29" t="s">
        <v>1306</v>
      </c>
      <c r="F780" s="255" t="s">
        <v>1304</v>
      </c>
      <c r="G780" s="256" t="s">
        <v>269</v>
      </c>
      <c r="H780" s="256" t="s">
        <v>172</v>
      </c>
      <c r="I780" s="200" t="s">
        <v>1307</v>
      </c>
      <c r="J780" s="203" t="s">
        <v>935</v>
      </c>
      <c r="K780" s="200">
        <v>50</v>
      </c>
      <c r="L780" s="200" t="s">
        <v>178</v>
      </c>
      <c r="M780" s="37">
        <v>1005</v>
      </c>
      <c r="N780" s="37">
        <v>2300</v>
      </c>
      <c r="O780" s="153">
        <v>1</v>
      </c>
      <c r="P780" s="45">
        <v>1</v>
      </c>
      <c r="Q780" s="54"/>
      <c r="R780" s="257">
        <v>1005</v>
      </c>
      <c r="S780" s="258">
        <v>1005</v>
      </c>
      <c r="T780" s="258">
        <v>2800</v>
      </c>
      <c r="U780" s="38">
        <v>1</v>
      </c>
      <c r="V780" s="259">
        <v>2</v>
      </c>
      <c r="W780" s="256" t="s">
        <v>928</v>
      </c>
      <c r="X780" s="256" t="s">
        <v>928</v>
      </c>
      <c r="Y780" s="256">
        <v>2</v>
      </c>
      <c r="Z780" s="256" t="s">
        <v>116</v>
      </c>
      <c r="AA780" s="54"/>
      <c r="AB780" s="200" t="s">
        <v>774</v>
      </c>
      <c r="AC780" s="31"/>
      <c r="AD780" s="184"/>
      <c r="AE780" s="51"/>
      <c r="AF780" s="52"/>
      <c r="AG780" s="41"/>
      <c r="AH780" s="45"/>
      <c r="AI780" s="28"/>
      <c r="AJ780" s="28"/>
      <c r="AK780" s="28"/>
      <c r="AL780" s="28"/>
      <c r="AM780" s="12"/>
      <c r="AN780" s="12"/>
      <c r="AO780" s="12"/>
      <c r="AP780" s="12"/>
      <c r="AQ780" s="12"/>
      <c r="AR780" s="13"/>
      <c r="AS780" s="14"/>
    </row>
    <row r="781" spans="1:45" s="16" customFormat="1" ht="30.95" hidden="1" customHeight="1" x14ac:dyDescent="0.2">
      <c r="A781" s="35"/>
      <c r="B781" s="36"/>
      <c r="C781" s="43"/>
      <c r="D781" s="29" t="s">
        <v>1305</v>
      </c>
      <c r="E781" s="29" t="s">
        <v>1306</v>
      </c>
      <c r="F781" s="255" t="s">
        <v>1304</v>
      </c>
      <c r="G781" s="256" t="s">
        <v>269</v>
      </c>
      <c r="H781" s="256" t="s">
        <v>172</v>
      </c>
      <c r="I781" s="200" t="s">
        <v>173</v>
      </c>
      <c r="J781" s="203" t="s">
        <v>935</v>
      </c>
      <c r="K781" s="200">
        <v>50</v>
      </c>
      <c r="L781" s="200" t="s">
        <v>174</v>
      </c>
      <c r="M781" s="37">
        <v>1005</v>
      </c>
      <c r="N781" s="37">
        <v>500</v>
      </c>
      <c r="O781" s="153">
        <v>1</v>
      </c>
      <c r="P781" s="45"/>
      <c r="Q781" s="54"/>
      <c r="R781" s="257" t="s">
        <v>928</v>
      </c>
      <c r="S781" s="258" t="s">
        <v>928</v>
      </c>
      <c r="T781" s="258">
        <v>0</v>
      </c>
      <c r="U781" s="38"/>
      <c r="V781" s="259"/>
      <c r="W781" s="256" t="s">
        <v>928</v>
      </c>
      <c r="X781" s="256" t="s">
        <v>928</v>
      </c>
      <c r="Y781" s="256">
        <v>2</v>
      </c>
      <c r="Z781" s="256" t="s">
        <v>116</v>
      </c>
      <c r="AA781" s="54"/>
      <c r="AB781" s="200" t="s">
        <v>774</v>
      </c>
      <c r="AC781" s="31"/>
      <c r="AD781" s="184"/>
      <c r="AE781" s="51"/>
      <c r="AF781" s="52"/>
      <c r="AG781" s="41"/>
      <c r="AH781" s="45"/>
      <c r="AI781" s="28"/>
      <c r="AJ781" s="28"/>
      <c r="AK781" s="28"/>
      <c r="AL781" s="28"/>
      <c r="AM781" s="12"/>
      <c r="AN781" s="12"/>
      <c r="AO781" s="12"/>
      <c r="AP781" s="12"/>
      <c r="AQ781" s="12"/>
      <c r="AR781" s="13"/>
      <c r="AS781" s="14"/>
    </row>
    <row r="782" spans="1:45" s="16" customFormat="1" ht="30.95" hidden="1" customHeight="1" x14ac:dyDescent="0.2">
      <c r="A782" s="35"/>
      <c r="B782" s="36"/>
      <c r="C782" s="43"/>
      <c r="D782" s="29"/>
      <c r="E782" s="29"/>
      <c r="F782" s="255"/>
      <c r="G782" s="256"/>
      <c r="H782" s="256"/>
      <c r="I782" s="200"/>
      <c r="J782" s="203"/>
      <c r="K782" s="200"/>
      <c r="L782" s="200"/>
      <c r="M782" s="37"/>
      <c r="N782" s="37"/>
      <c r="O782" s="153"/>
      <c r="P782" s="45"/>
      <c r="Q782" s="54"/>
      <c r="R782" s="257"/>
      <c r="S782" s="258"/>
      <c r="T782" s="258"/>
      <c r="U782" s="38"/>
      <c r="V782" s="259"/>
      <c r="W782" s="256"/>
      <c r="X782" s="256"/>
      <c r="Y782" s="256"/>
      <c r="Z782" s="256"/>
      <c r="AA782" s="54"/>
      <c r="AB782" s="200"/>
      <c r="AC782" s="31"/>
      <c r="AD782" s="184"/>
      <c r="AE782" s="51"/>
      <c r="AF782" s="52"/>
      <c r="AG782" s="41"/>
      <c r="AH782" s="45"/>
      <c r="AI782" s="28"/>
      <c r="AJ782" s="28"/>
      <c r="AK782" s="28"/>
      <c r="AL782" s="28"/>
      <c r="AM782" s="12"/>
      <c r="AN782" s="12"/>
      <c r="AO782" s="12"/>
      <c r="AP782" s="12"/>
      <c r="AQ782" s="12"/>
      <c r="AR782" s="13"/>
      <c r="AS782" s="14"/>
    </row>
    <row r="783" spans="1:45" s="16" customFormat="1" ht="30.95" hidden="1" customHeight="1" x14ac:dyDescent="0.2">
      <c r="A783" s="35"/>
      <c r="B783" s="36"/>
      <c r="C783" s="43"/>
      <c r="D783" s="29" t="s">
        <v>1276</v>
      </c>
      <c r="E783" s="29" t="s">
        <v>1277</v>
      </c>
      <c r="F783" s="255" t="s">
        <v>1304</v>
      </c>
      <c r="G783" s="256" t="s">
        <v>269</v>
      </c>
      <c r="H783" s="256" t="s">
        <v>1318</v>
      </c>
      <c r="I783" s="200" t="s">
        <v>1316</v>
      </c>
      <c r="J783" s="203" t="s">
        <v>935</v>
      </c>
      <c r="K783" s="200">
        <v>50</v>
      </c>
      <c r="L783" s="200" t="s">
        <v>1320</v>
      </c>
      <c r="M783" s="37">
        <v>1030</v>
      </c>
      <c r="N783" s="37">
        <v>2000</v>
      </c>
      <c r="O783" s="153">
        <v>1</v>
      </c>
      <c r="P783" s="45">
        <v>1</v>
      </c>
      <c r="Q783" s="54"/>
      <c r="R783" s="257">
        <v>1030</v>
      </c>
      <c r="S783" s="258">
        <v>1030</v>
      </c>
      <c r="T783" s="258">
        <v>2500</v>
      </c>
      <c r="U783" s="38">
        <v>1</v>
      </c>
      <c r="V783" s="259">
        <v>2</v>
      </c>
      <c r="W783" s="256" t="s">
        <v>928</v>
      </c>
      <c r="X783" s="256" t="s">
        <v>928</v>
      </c>
      <c r="Y783" s="256">
        <v>2</v>
      </c>
      <c r="Z783" s="256" t="s">
        <v>116</v>
      </c>
      <c r="AA783" s="54"/>
      <c r="AB783" s="200" t="s">
        <v>774</v>
      </c>
      <c r="AC783" s="31"/>
      <c r="AD783" s="184"/>
      <c r="AE783" s="51"/>
      <c r="AF783" s="52"/>
      <c r="AG783" s="41"/>
      <c r="AH783" s="45"/>
      <c r="AI783" s="28"/>
      <c r="AJ783" s="28"/>
      <c r="AK783" s="28"/>
      <c r="AL783" s="28"/>
      <c r="AM783" s="12"/>
      <c r="AN783" s="12"/>
      <c r="AO783" s="12"/>
      <c r="AP783" s="12"/>
      <c r="AQ783" s="12"/>
      <c r="AR783" s="13"/>
      <c r="AS783" s="14"/>
    </row>
    <row r="784" spans="1:45" s="16" customFormat="1" ht="30.95" hidden="1" customHeight="1" x14ac:dyDescent="0.2">
      <c r="A784" s="35"/>
      <c r="B784" s="36"/>
      <c r="C784" s="43"/>
      <c r="D784" s="29" t="s">
        <v>1276</v>
      </c>
      <c r="E784" s="29" t="s">
        <v>1277</v>
      </c>
      <c r="F784" s="255" t="s">
        <v>1304</v>
      </c>
      <c r="G784" s="256" t="s">
        <v>269</v>
      </c>
      <c r="H784" s="256" t="s">
        <v>1319</v>
      </c>
      <c r="I784" s="200" t="s">
        <v>1317</v>
      </c>
      <c r="J784" s="203" t="s">
        <v>935</v>
      </c>
      <c r="K784" s="200">
        <v>25</v>
      </c>
      <c r="L784" s="200" t="s">
        <v>1321</v>
      </c>
      <c r="M784" s="37">
        <v>1040</v>
      </c>
      <c r="N784" s="37">
        <v>500</v>
      </c>
      <c r="O784" s="153">
        <v>1</v>
      </c>
      <c r="P784" s="45"/>
      <c r="Q784" s="54"/>
      <c r="R784" s="257" t="s">
        <v>928</v>
      </c>
      <c r="S784" s="258" t="s">
        <v>928</v>
      </c>
      <c r="T784" s="258">
        <v>0</v>
      </c>
      <c r="U784" s="38"/>
      <c r="V784" s="259"/>
      <c r="W784" s="256" t="s">
        <v>928</v>
      </c>
      <c r="X784" s="256" t="s">
        <v>928</v>
      </c>
      <c r="Y784" s="256">
        <v>2</v>
      </c>
      <c r="Z784" s="256" t="s">
        <v>116</v>
      </c>
      <c r="AA784" s="54"/>
      <c r="AB784" s="200" t="s">
        <v>774</v>
      </c>
      <c r="AC784" s="31"/>
      <c r="AD784" s="184"/>
      <c r="AE784" s="51"/>
      <c r="AF784" s="52"/>
      <c r="AG784" s="41"/>
      <c r="AH784" s="45"/>
      <c r="AI784" s="28"/>
      <c r="AJ784" s="28"/>
      <c r="AK784" s="28"/>
      <c r="AL784" s="28"/>
      <c r="AM784" s="12"/>
      <c r="AN784" s="12"/>
      <c r="AO784" s="12"/>
      <c r="AP784" s="12"/>
      <c r="AQ784" s="12"/>
      <c r="AR784" s="13"/>
      <c r="AS784" s="14"/>
    </row>
    <row r="785" spans="1:45" s="16" customFormat="1" ht="30.95" hidden="1" customHeight="1" x14ac:dyDescent="0.2">
      <c r="A785" s="35"/>
      <c r="B785" s="36"/>
      <c r="C785" s="43"/>
      <c r="D785" s="29"/>
      <c r="E785" s="29"/>
      <c r="F785" s="255"/>
      <c r="G785" s="256"/>
      <c r="H785" s="256"/>
      <c r="I785" s="200"/>
      <c r="J785" s="203"/>
      <c r="K785" s="200"/>
      <c r="L785" s="200"/>
      <c r="M785" s="37"/>
      <c r="N785" s="37"/>
      <c r="O785" s="153"/>
      <c r="P785" s="45"/>
      <c r="Q785" s="54"/>
      <c r="R785" s="257"/>
      <c r="S785" s="258"/>
      <c r="T785" s="258"/>
      <c r="U785" s="38"/>
      <c r="V785" s="259"/>
      <c r="W785" s="256"/>
      <c r="X785" s="256"/>
      <c r="Y785" s="256"/>
      <c r="Z785" s="256"/>
      <c r="AA785" s="54"/>
      <c r="AB785" s="200"/>
      <c r="AC785" s="31"/>
      <c r="AD785" s="184"/>
      <c r="AE785" s="51"/>
      <c r="AF785" s="52"/>
      <c r="AG785" s="41"/>
      <c r="AH785" s="45"/>
      <c r="AI785" s="28"/>
      <c r="AJ785" s="28"/>
      <c r="AK785" s="28"/>
      <c r="AL785" s="28"/>
      <c r="AM785" s="12"/>
      <c r="AN785" s="12"/>
      <c r="AO785" s="12"/>
      <c r="AP785" s="12"/>
      <c r="AQ785" s="12"/>
      <c r="AR785" s="13"/>
      <c r="AS785" s="14"/>
    </row>
    <row r="786" spans="1:45" s="16" customFormat="1" ht="30.95" hidden="1" customHeight="1" x14ac:dyDescent="0.2">
      <c r="A786" s="35"/>
      <c r="B786" s="36"/>
      <c r="C786" s="43"/>
      <c r="D786" s="29">
        <v>3716246</v>
      </c>
      <c r="E786" s="29">
        <v>4161949</v>
      </c>
      <c r="F786" s="255" t="str">
        <f>IF(D786="","",VLOOKUP(D786,契約台帳!$A$3:$K$4986,6,FALSE)&amp;VLOOKUP(D786,契約台帳!$A$3:$K$4986,7,FALSE)&amp;VLOOKUP(D786,契約台帳!$A$3:$K$4986,8,FALSE)&amp;VLOOKUP(D786,契約台帳!$A$3:$K$4986,9,FALSE)&amp;VLOOKUP(D786,契約台帳!$A$3:$K$4986,11,FALSE))</f>
        <v>3SNMLBMNGKKBF</v>
      </c>
      <c r="G786" s="256" t="str">
        <f>IF(D786="","",VLOOKUP(F786,製品マスタ!$G$5:$H$4999,2,FALSE))</f>
        <v>S</v>
      </c>
      <c r="H786" s="256" t="str">
        <f>IF(D786="","",VLOOKUP(F786,製品マスタ!$G$5:$K$4999,5,FALSE))</f>
        <v>MNGKKBF</v>
      </c>
      <c r="I786" s="200" t="str">
        <f>IF(D786="","",VLOOKUP(F786,製品マスタ!$G$5:$L$4999,6,FALSE))</f>
        <v>メタルミー　ネーマー銀消改　Ｂ</v>
      </c>
      <c r="J786" s="203" t="s">
        <v>935</v>
      </c>
      <c r="K786" s="200">
        <f>IF(D786="","",VLOOKUP(D786,契約台帳!$A$3:$L$4986,12,FALSE))</f>
        <v>50</v>
      </c>
      <c r="L786" s="200" t="str">
        <f>IF(D786="","",INDEX(製品マスタ!$Q$5:$Q$4999,MATCH('S4'!F786&amp;'S4'!K786,製品マスタ!$AO$5:$AO$4999,0)))</f>
        <v>S99-MAT</v>
      </c>
      <c r="M786" s="37">
        <v>1000</v>
      </c>
      <c r="N786" s="37">
        <v>4000</v>
      </c>
      <c r="O786" s="153">
        <v>3</v>
      </c>
      <c r="P786" s="45">
        <v>3</v>
      </c>
      <c r="Q786" s="206">
        <v>45114</v>
      </c>
      <c r="R786" s="257">
        <f ca="1">IF(D786="","",IF(OFFSET(D786,-1,0)&lt;&gt;"","",IF(OR(J786="リード付け",J786="巻足し",J786="巻返しリード付け"),M786,VLOOKUP(D786,契約台帳!$A$3:$N$4986,14,FALSE))))</f>
        <v>1000</v>
      </c>
      <c r="S786" s="258">
        <f ca="1">IF(D786="","",IF(OFFSET(D786,-1,0)&lt;&gt;"","",IF(OR(J786="リード付け",J786="巻足し",J786="巻返しリード付け"),M786,VLOOKUP(D786,契約台帳!$A$3:$O$4986,15,FALSE))))</f>
        <v>1000</v>
      </c>
      <c r="T786" s="258">
        <f ca="1">IF(D786="","",IF(J786="リード付け",N786,IF(J786="巻返しリード付け",N786,IF(J786="巻足し",N786*P786+OFFSET(N786,1,0)*OFFSET(P786,1,0),VLOOKUP(D786,契約台帳!$A$3:$P$4986,16,FALSE)))))</f>
        <v>12000</v>
      </c>
      <c r="U786" s="38">
        <v>1</v>
      </c>
      <c r="V786" s="259">
        <f ca="1">IF(D786="","",IF(OFFSET(D786,-2,0)=D786,"",VLOOKUP(D786,契約台帳!$A$3:$R$4986,18,FALSE)))</f>
        <v>3</v>
      </c>
      <c r="W786" s="256" t="str">
        <f ca="1">IF(D786="","",IF(T786="","",IF(OR(J786="巻足し",J786="巻返しリード付け"),"",IF(J786="巻返し",VLOOKUP(F786&amp;K786&amp;M786,製品マスタ!$M$5:$AD$4999,18,FALSE),IF(OR(J786="リード付け",J786="巻返しリード付け"),"原反コア",IF(J786="スリット",VLOOKUP(F786&amp;K786&amp;R786,製品マスタ!$N$5:$AD$4999,17,FALSE),""))))))</f>
        <v/>
      </c>
      <c r="X786" s="256" t="str">
        <f ca="1">IF(D786="","",IF(T786="","",IF(J786="巻足し","",IF(J786="巻返し",VLOOKUP(F786&amp;K786&amp;M786,製品マスタ!$M$5:$AE$4999,19,FALSE),IF(OR(J786="リード付け",J786="巻返しリード付け"),"",IF(J786="スリット",VLOOKUP(F786&amp;K786&amp;R786,製品マスタ!$N$5:$AE$4999,18,FALSE),""))))))</f>
        <v/>
      </c>
      <c r="Y786" s="256">
        <f ca="1">IF(D786="","",IF(T786="","",VLOOKUP(D786,契約台帳!$A$3:$Q$4986,17,FALSE)))</f>
        <v>2</v>
      </c>
      <c r="Z786" s="256" t="str">
        <f ca="1">IF(D786="","",IF(T786="","",VLOOKUP(D786,契約台帳!$A$3:$E$4986,5,FALSE)))</f>
        <v>リンテック㈱</v>
      </c>
      <c r="AA786" s="54"/>
      <c r="AB786" s="200">
        <f>IFERROR((VLOOKUP(F786&amp;K786&amp;M786,製品マスタ!$M$5:$AM$4999,27,FALSE)),"")</f>
        <v>0</v>
      </c>
      <c r="AC786" s="31"/>
      <c r="AD786" s="184"/>
      <c r="AE786" s="51"/>
      <c r="AF786" s="52"/>
      <c r="AG786" s="41"/>
      <c r="AH786" s="45"/>
      <c r="AI786" s="28"/>
      <c r="AJ786" s="28"/>
      <c r="AK786" s="28"/>
      <c r="AL786" s="28"/>
      <c r="AM786" s="12"/>
      <c r="AN786" s="12"/>
      <c r="AO786" s="12"/>
      <c r="AP786" s="12"/>
      <c r="AQ786" s="12"/>
      <c r="AR786" s="13"/>
      <c r="AS786" s="14"/>
    </row>
    <row r="787" spans="1:45" s="16" customFormat="1" ht="30.95" hidden="1" customHeight="1" x14ac:dyDescent="0.2">
      <c r="A787" s="35"/>
      <c r="B787" s="36"/>
      <c r="C787" s="43"/>
      <c r="D787" s="29"/>
      <c r="E787" s="29"/>
      <c r="F787" s="255"/>
      <c r="G787" s="256"/>
      <c r="H787" s="256"/>
      <c r="I787" s="200"/>
      <c r="J787" s="203"/>
      <c r="K787" s="200"/>
      <c r="L787" s="200"/>
      <c r="M787" s="37"/>
      <c r="N787" s="37"/>
      <c r="O787" s="153"/>
      <c r="P787" s="45"/>
      <c r="Q787" s="54"/>
      <c r="R787" s="257"/>
      <c r="S787" s="258"/>
      <c r="T787" s="258"/>
      <c r="U787" s="38"/>
      <c r="V787" s="259"/>
      <c r="W787" s="256"/>
      <c r="X787" s="256"/>
      <c r="Y787" s="256"/>
      <c r="Z787" s="256"/>
      <c r="AA787" s="54"/>
      <c r="AB787" s="200"/>
      <c r="AC787" s="31"/>
      <c r="AD787" s="184"/>
      <c r="AE787" s="51"/>
      <c r="AF787" s="52"/>
      <c r="AG787" s="41"/>
      <c r="AH787" s="45"/>
      <c r="AI787" s="28"/>
      <c r="AJ787" s="28"/>
      <c r="AK787" s="28"/>
      <c r="AL787" s="28"/>
      <c r="AM787" s="12"/>
      <c r="AN787" s="12"/>
      <c r="AO787" s="12"/>
      <c r="AP787" s="12"/>
      <c r="AQ787" s="12"/>
      <c r="AR787" s="13"/>
      <c r="AS787" s="14"/>
    </row>
    <row r="788" spans="1:45" s="16" customFormat="1" ht="30.95" hidden="1" customHeight="1" x14ac:dyDescent="0.2">
      <c r="A788" s="35" t="s">
        <v>1273</v>
      </c>
      <c r="B788" s="36" t="s">
        <v>1266</v>
      </c>
      <c r="C788" s="43"/>
      <c r="D788" s="29">
        <v>3716271</v>
      </c>
      <c r="E788" s="29">
        <v>4161967</v>
      </c>
      <c r="F788" s="255" t="str">
        <f>IF(D788="","",VLOOKUP(D788,契約台帳!$A$3:$K$4986,6,FALSE)&amp;VLOOKUP(D788,契約台帳!$A$3:$K$4986,7,FALSE)&amp;VLOOKUP(D788,契約台帳!$A$3:$K$4986,8,FALSE)&amp;VLOOKUP(D788,契約台帳!$A$3:$K$4986,9,FALSE)&amp;VLOOKUP(D788,契約台帳!$A$3:$K$4986,11,FALSE))</f>
        <v>3SYMLBMSSMBF</v>
      </c>
      <c r="G788" s="256" t="str">
        <f>IF(D788="","",VLOOKUP(F788,製品マスタ!$G$5:$H$4999,2,FALSE))</f>
        <v>S</v>
      </c>
      <c r="H788" s="256" t="str">
        <f>IF(D788="","",VLOOKUP(F788,製品マスタ!$G$5:$K$4999,5,FALSE))</f>
        <v>MSSMBF</v>
      </c>
      <c r="I788" s="200" t="str">
        <f>IF(D788="","",VLOOKUP(F788,製品マスタ!$G$5:$L$4999,6,FALSE))</f>
        <v>ＭＥＴＡＬＵＭＹ　ＳＩＬＶＥＲ　Ｓ－ＭＡＴＴＥ　Ｓ２８ＭＭ　Ｂ</v>
      </c>
      <c r="J788" s="203" t="s">
        <v>935</v>
      </c>
      <c r="K788" s="200">
        <f>IF(D788="","",VLOOKUP(D788,契約台帳!$A$3:$L$4986,12,FALSE))</f>
        <v>50</v>
      </c>
      <c r="L788" s="200" t="str">
        <f>IF(D788="","",INDEX(製品マスタ!$Q$5:$Q$4999,MATCH('S4'!F788&amp;'S4'!K788,製品マスタ!$AO$5:$AO$4999,0)))</f>
        <v>LI-MAT</v>
      </c>
      <c r="M788" s="37">
        <v>1120</v>
      </c>
      <c r="N788" s="37">
        <v>4000</v>
      </c>
      <c r="O788" s="153">
        <v>4</v>
      </c>
      <c r="P788" s="45">
        <v>2</v>
      </c>
      <c r="Q788" s="206">
        <v>45119</v>
      </c>
      <c r="R788" s="257">
        <f ca="1">IF(D788="","",IF(OFFSET(D788,-1,0)&lt;&gt;"","",IF(OR(J788="リード付け",J788="巻足し",J788="巻返しリード付け"),M788,VLOOKUP(D788,契約台帳!$A$3:$N$4986,14,FALSE))))</f>
        <v>1120</v>
      </c>
      <c r="S788" s="258">
        <f ca="1">IF(D788="","",IF(OFFSET(D788,-1,0)&lt;&gt;"","",IF(OR(J788="リード付け",J788="巻足し",J788="巻返しリード付け"),M788,VLOOKUP(D788,契約台帳!$A$3:$O$4986,15,FALSE))))</f>
        <v>1120</v>
      </c>
      <c r="T788" s="258">
        <f ca="1">IF(D788="","",IF(J788="リード付け",N788,IF(J788="巻返しリード付け",N788,IF(J788="巻足し",N788*P788+OFFSET(N788,1,0)*OFFSET(P788,1,0),VLOOKUP(D788,契約台帳!$A$3:$P$4986,16,FALSE)))))</f>
        <v>8000</v>
      </c>
      <c r="U788" s="38">
        <v>2</v>
      </c>
      <c r="V788" s="259">
        <f ca="1">IF(D788="","",IF(OFFSET(D788,-2,0)=D788,"",VLOOKUP(D788,契約台帳!$A$3:$R$4986,18,FALSE)))</f>
        <v>4</v>
      </c>
      <c r="W788" s="256" t="str">
        <f ca="1">IF(D788="","",IF(T788="","",IF(OR(J788="巻足し",J788="巻返しリード付け"),"",IF(J788="巻返し",VLOOKUP(F788&amp;K788&amp;M788,製品マスタ!$M$5:$AD$4999,18,FALSE),IF(OR(J788="リード付け",J788="巻返しリード付け"),"原反コア",IF(J788="スリット",VLOOKUP(F788&amp;K788&amp;R788,製品マスタ!$N$5:$AD$4999,17,FALSE),""))))))</f>
        <v/>
      </c>
      <c r="X788" s="256" t="str">
        <f ca="1">IF(D788="","",IF(T788="","",IF(J788="巻足し","",IF(J788="巻返し",VLOOKUP(F788&amp;K788&amp;M788,製品マスタ!$M$5:$AE$4999,19,FALSE),IF(OR(J788="リード付け",J788="巻返しリード付け"),"",IF(J788="スリット",VLOOKUP(F788&amp;K788&amp;R788,製品マスタ!$N$5:$AE$4999,18,FALSE),""))))))</f>
        <v/>
      </c>
      <c r="Y788" s="256">
        <f ca="1">IF(D788="","",IF(T788="","",VLOOKUP(D788,契約台帳!$A$3:$Q$4986,17,FALSE)))</f>
        <v>2</v>
      </c>
      <c r="Z788" s="256" t="str">
        <f ca="1">IF(D788="","",IF(T788="","",VLOOKUP(D788,契約台帳!$A$3:$E$4986,5,FALSE)))</f>
        <v>リンテック㈱</v>
      </c>
      <c r="AA788" s="54"/>
      <c r="AB788" s="200">
        <f>IFERROR((VLOOKUP(F788&amp;K788&amp;M788,製品マスタ!$M$5:$AM$4999,27,FALSE)),"")</f>
        <v>0</v>
      </c>
      <c r="AC788" s="31"/>
      <c r="AD788" s="184"/>
      <c r="AE788" s="51"/>
      <c r="AF788" s="52"/>
      <c r="AG788" s="41"/>
      <c r="AH788" s="45"/>
      <c r="AI788" s="28"/>
      <c r="AJ788" s="28"/>
      <c r="AK788" s="28"/>
      <c r="AL788" s="28"/>
      <c r="AM788" s="12"/>
      <c r="AN788" s="12"/>
      <c r="AO788" s="12"/>
      <c r="AP788" s="12"/>
      <c r="AQ788" s="12"/>
      <c r="AR788" s="13"/>
      <c r="AS788" s="14"/>
    </row>
    <row r="789" spans="1:45" s="16" customFormat="1" ht="30.95" hidden="1" customHeight="1" x14ac:dyDescent="0.2">
      <c r="A789" s="35"/>
      <c r="B789" s="36"/>
      <c r="C789" s="43"/>
      <c r="D789" s="29"/>
      <c r="E789" s="29"/>
      <c r="F789" s="255"/>
      <c r="G789" s="256"/>
      <c r="H789" s="256"/>
      <c r="I789" s="200"/>
      <c r="J789" s="203"/>
      <c r="K789" s="200"/>
      <c r="L789" s="200"/>
      <c r="M789" s="37"/>
      <c r="N789" s="37"/>
      <c r="O789" s="153"/>
      <c r="P789" s="45"/>
      <c r="Q789" s="54"/>
      <c r="R789" s="257"/>
      <c r="S789" s="258"/>
      <c r="T789" s="258"/>
      <c r="U789" s="38"/>
      <c r="V789" s="259"/>
      <c r="W789" s="256"/>
      <c r="X789" s="256"/>
      <c r="Y789" s="256"/>
      <c r="Z789" s="256"/>
      <c r="AA789" s="54"/>
      <c r="AB789" s="200"/>
      <c r="AC789" s="31"/>
      <c r="AD789" s="184"/>
      <c r="AE789" s="51"/>
      <c r="AF789" s="52"/>
      <c r="AG789" s="41"/>
      <c r="AH789" s="45"/>
      <c r="AI789" s="28"/>
      <c r="AJ789" s="28"/>
      <c r="AK789" s="28"/>
      <c r="AL789" s="28"/>
      <c r="AM789" s="12"/>
      <c r="AN789" s="12"/>
      <c r="AO789" s="12"/>
      <c r="AP789" s="12"/>
      <c r="AQ789" s="12"/>
      <c r="AR789" s="13"/>
      <c r="AS789" s="14"/>
    </row>
    <row r="790" spans="1:45" s="16" customFormat="1" ht="30.95" hidden="1" customHeight="1" x14ac:dyDescent="0.2">
      <c r="A790" s="35"/>
      <c r="B790" s="36"/>
      <c r="C790" s="43"/>
      <c r="D790" s="29">
        <v>3712096</v>
      </c>
      <c r="E790" s="29">
        <v>4140956</v>
      </c>
      <c r="F790" s="255" t="str">
        <f>IF(D790="","",VLOOKUP(D790,契約台帳!$A$3:$K$4986,6,FALSE)&amp;VLOOKUP(D790,契約台帳!$A$3:$K$4986,7,FALSE)&amp;VLOOKUP(D790,契約台帳!$A$3:$K$4986,8,FALSE)&amp;VLOOKUP(D790,契約台帳!$A$3:$K$4986,9,FALSE)&amp;VLOOKUP(D790,契約台帳!$A$3:$K$4986,11,FALSE))</f>
        <v>3SNMCLBSCB</v>
      </c>
      <c r="G790" s="256" t="str">
        <f>IF(D790="","",VLOOKUP(F790,製品マスタ!$G$5:$H$4999,2,FALSE))</f>
        <v>S</v>
      </c>
      <c r="H790" s="256" t="str">
        <f>IF(D790="","",VLOOKUP(F790,製品マスタ!$G$5:$K$4999,5,FALSE))</f>
        <v>SCB</v>
      </c>
      <c r="I790" s="200" t="str">
        <f>IF(D790="","",VLOOKUP(F790,製品マスタ!$G$5:$L$4999,6,FALSE))</f>
        <v>メタルミー　シロコート（Ｂ）</v>
      </c>
      <c r="J790" s="203" t="s">
        <v>463</v>
      </c>
      <c r="K790" s="200">
        <f>IF(D790="","",VLOOKUP(D790,契約台帳!$A$3:$L$4986,12,FALSE))</f>
        <v>25</v>
      </c>
      <c r="L790" s="200" t="s">
        <v>1256</v>
      </c>
      <c r="M790" s="37">
        <v>1060</v>
      </c>
      <c r="N790" s="37">
        <v>6000</v>
      </c>
      <c r="O790" s="153">
        <v>5</v>
      </c>
      <c r="P790" s="45">
        <v>6</v>
      </c>
      <c r="Q790" s="54"/>
      <c r="R790" s="257">
        <f ca="1">IF(D790="","",IF(OFFSET(D790,-1,0)&lt;&gt;"","",IF(OR(J790="リード付け",J790="巻足し",J790="巻返しリード付け"),M790,VLOOKUP(D790,契約台帳!$A$3:$N$4986,14,FALSE))))</f>
        <v>1020</v>
      </c>
      <c r="S790" s="258">
        <f ca="1">IF(D790="","",IF(OFFSET(D790,-1,0)&lt;&gt;"","",IF(OR(J790="リード付け",J790="巻足し",J790="巻返しリード付け"),M790,VLOOKUP(D790,契約台帳!$A$3:$O$4986,15,FALSE))))</f>
        <v>1020</v>
      </c>
      <c r="T790" s="258">
        <f ca="1">IF(D790="","",IF(J790="リード付け",N790,IF(J790="巻返しリード付け",N790,IF(J790="巻足し",N790*P790+OFFSET(N790,1,0)*OFFSET(P790,1,0),VLOOKUP(D790,契約台帳!$A$3:$P$4986,16,FALSE)))))</f>
        <v>6000</v>
      </c>
      <c r="U790" s="38">
        <v>5</v>
      </c>
      <c r="V790" s="259">
        <f ca="1">IF(D790="","",IF(OFFSET(D790,-2,0)=D790,"",VLOOKUP(D790,契約台帳!$A$3:$R$4986,18,FALSE)))</f>
        <v>6</v>
      </c>
      <c r="W790" s="256" t="str">
        <f ca="1">IF(D790="","",IF(T790="","",IF(OR(J790="巻足し",J790="巻返しリード付け"),"",IF(J790="巻返し",VLOOKUP(F790&amp;K790&amp;M790,製品マスタ!$M$5:$AD$4999,18,FALSE),IF(OR(J790="リード付け",J790="巻返しリード付け"),"原反コア",IF(J790="スリット",VLOOKUP(F790&amp;K790&amp;R790,製品マスタ!$N$5:$AD$4999,17,FALSE),""))))))</f>
        <v>6ｲﾝﾁSｺｱ</v>
      </c>
      <c r="X790" s="256">
        <f ca="1">IF(D790="","",IF(T790="","",IF(J790="巻足し","",IF(J790="巻返し",VLOOKUP(F790&amp;K790&amp;M790,製品マスタ!$M$5:$AE$4999,19,FALSE),IF(OR(J790="リード付け",J790="巻返しリード付け"),"",IF(J790="スリット",VLOOKUP(F790&amp;K790&amp;R790,製品マスタ!$N$5:$AE$4999,18,FALSE),""))))))</f>
        <v>1035</v>
      </c>
      <c r="Y790" s="256">
        <f ca="1">IF(D790="","",IF(T790="","",VLOOKUP(D790,契約台帳!$A$3:$Q$4986,17,FALSE)))</f>
        <v>2</v>
      </c>
      <c r="Z790" s="256" t="str">
        <f ca="1">IF(D790="","",IF(T790="","",VLOOKUP(D790,契約台帳!$A$3:$E$4986,5,FALSE)))</f>
        <v>新タック化成㈱</v>
      </c>
      <c r="AA790" s="54"/>
      <c r="AB790" s="200" t="str">
        <f>IFERROR((VLOOKUP(F790&amp;K790&amp;M790,製品マスタ!$M$5:$AM$4999,27,FALSE)),"")</f>
        <v>エージング後スリット</v>
      </c>
      <c r="AC790" s="31"/>
      <c r="AD790" s="184"/>
      <c r="AE790" s="51"/>
      <c r="AF790" s="52"/>
      <c r="AG790" s="41"/>
      <c r="AH790" s="45"/>
      <c r="AI790" s="28"/>
      <c r="AJ790" s="28"/>
      <c r="AK790" s="28"/>
      <c r="AL790" s="28"/>
      <c r="AM790" s="12"/>
      <c r="AN790" s="12"/>
      <c r="AO790" s="12"/>
      <c r="AP790" s="12"/>
      <c r="AQ790" s="12"/>
      <c r="AR790" s="13"/>
      <c r="AS790" s="14"/>
    </row>
    <row r="791" spans="1:45" s="16" customFormat="1" ht="30.95" hidden="1" customHeight="1" x14ac:dyDescent="0.2">
      <c r="A791" s="35"/>
      <c r="B791" s="36"/>
      <c r="C791" s="43"/>
      <c r="D791" s="29"/>
      <c r="E791" s="29"/>
      <c r="F791" s="255"/>
      <c r="G791" s="256"/>
      <c r="H791" s="256"/>
      <c r="I791" s="200"/>
      <c r="J791" s="203"/>
      <c r="K791" s="200"/>
      <c r="L791" s="200"/>
      <c r="M791" s="37"/>
      <c r="N791" s="37"/>
      <c r="O791" s="153"/>
      <c r="P791" s="45"/>
      <c r="Q791" s="54"/>
      <c r="R791" s="257"/>
      <c r="S791" s="258"/>
      <c r="T791" s="258"/>
      <c r="U791" s="38"/>
      <c r="V791" s="259"/>
      <c r="W791" s="256"/>
      <c r="X791" s="256"/>
      <c r="Y791" s="256"/>
      <c r="Z791" s="256"/>
      <c r="AA791" s="54"/>
      <c r="AB791" s="200"/>
      <c r="AC791" s="31"/>
      <c r="AD791" s="184"/>
      <c r="AE791" s="51"/>
      <c r="AF791" s="52"/>
      <c r="AG791" s="41"/>
      <c r="AH791" s="45"/>
      <c r="AI791" s="28"/>
      <c r="AJ791" s="28"/>
      <c r="AK791" s="28"/>
      <c r="AL791" s="28"/>
      <c r="AM791" s="12"/>
      <c r="AN791" s="12"/>
      <c r="AO791" s="12"/>
      <c r="AP791" s="12"/>
      <c r="AQ791" s="12"/>
      <c r="AR791" s="13"/>
      <c r="AS791" s="14"/>
    </row>
    <row r="792" spans="1:45" s="16" customFormat="1" ht="30.95" hidden="1" customHeight="1" x14ac:dyDescent="0.2">
      <c r="A792" s="35" t="s">
        <v>1294</v>
      </c>
      <c r="B792" s="36" t="s">
        <v>1295</v>
      </c>
      <c r="C792" s="43"/>
      <c r="D792" s="29"/>
      <c r="E792" s="29"/>
      <c r="F792" s="255"/>
      <c r="G792" s="256"/>
      <c r="H792" s="256"/>
      <c r="I792" s="200"/>
      <c r="J792" s="203"/>
      <c r="K792" s="200"/>
      <c r="L792" s="200"/>
      <c r="M792" s="37"/>
      <c r="N792" s="37"/>
      <c r="O792" s="153"/>
      <c r="P792" s="45"/>
      <c r="Q792" s="54"/>
      <c r="R792" s="257"/>
      <c r="S792" s="258"/>
      <c r="T792" s="258"/>
      <c r="U792" s="38"/>
      <c r="V792" s="259"/>
      <c r="W792" s="256"/>
      <c r="X792" s="256"/>
      <c r="Y792" s="256"/>
      <c r="Z792" s="256"/>
      <c r="AA792" s="54"/>
      <c r="AB792" s="200"/>
      <c r="AC792" s="31"/>
      <c r="AD792" s="184"/>
      <c r="AE792" s="51"/>
      <c r="AF792" s="52"/>
      <c r="AG792" s="41"/>
      <c r="AH792" s="45"/>
      <c r="AI792" s="28"/>
      <c r="AJ792" s="28"/>
      <c r="AK792" s="28"/>
      <c r="AL792" s="28"/>
      <c r="AM792" s="12"/>
      <c r="AN792" s="12"/>
      <c r="AO792" s="12"/>
      <c r="AP792" s="12"/>
      <c r="AQ792" s="12"/>
      <c r="AR792" s="13"/>
      <c r="AS792" s="14"/>
    </row>
    <row r="793" spans="1:45" s="16" customFormat="1" ht="30.95" hidden="1" customHeight="1" x14ac:dyDescent="0.2">
      <c r="A793" s="35"/>
      <c r="B793" s="36"/>
      <c r="C793" s="43"/>
      <c r="D793" s="29"/>
      <c r="E793" s="29"/>
      <c r="F793" s="255"/>
      <c r="G793" s="256"/>
      <c r="H793" s="256"/>
      <c r="I793" s="200"/>
      <c r="J793" s="203"/>
      <c r="K793" s="200"/>
      <c r="L793" s="200"/>
      <c r="M793" s="37"/>
      <c r="N793" s="37"/>
      <c r="O793" s="153"/>
      <c r="P793" s="45"/>
      <c r="Q793" s="54"/>
      <c r="R793" s="257"/>
      <c r="S793" s="258"/>
      <c r="T793" s="258"/>
      <c r="U793" s="38"/>
      <c r="V793" s="259"/>
      <c r="W793" s="256"/>
      <c r="X793" s="256"/>
      <c r="Y793" s="256"/>
      <c r="Z793" s="256"/>
      <c r="AA793" s="54"/>
      <c r="AB793" s="200"/>
      <c r="AC793" s="31"/>
      <c r="AD793" s="184"/>
      <c r="AE793" s="51"/>
      <c r="AF793" s="52"/>
      <c r="AG793" s="41"/>
      <c r="AH793" s="45"/>
      <c r="AI793" s="28"/>
      <c r="AJ793" s="28"/>
      <c r="AK793" s="28"/>
      <c r="AL793" s="28"/>
      <c r="AM793" s="12"/>
      <c r="AN793" s="12"/>
      <c r="AO793" s="12"/>
      <c r="AP793" s="12"/>
      <c r="AQ793" s="12"/>
      <c r="AR793" s="13"/>
      <c r="AS793" s="14"/>
    </row>
    <row r="794" spans="1:45" s="16" customFormat="1" ht="30.95" hidden="1" customHeight="1" x14ac:dyDescent="0.2">
      <c r="A794" s="35" t="s">
        <v>1296</v>
      </c>
      <c r="B794" s="36" t="s">
        <v>1297</v>
      </c>
      <c r="C794" s="43"/>
      <c r="D794" s="29">
        <v>3712096</v>
      </c>
      <c r="E794" s="29"/>
      <c r="F794" s="255"/>
      <c r="G794" s="256"/>
      <c r="H794" s="256"/>
      <c r="I794" s="200" t="s">
        <v>1324</v>
      </c>
      <c r="J794" s="203" t="s">
        <v>1322</v>
      </c>
      <c r="K794" s="200">
        <v>25</v>
      </c>
      <c r="L794" s="200" t="s">
        <v>1323</v>
      </c>
      <c r="M794" s="37">
        <v>1020</v>
      </c>
      <c r="N794" s="37">
        <v>6000</v>
      </c>
      <c r="O794" s="153">
        <v>3</v>
      </c>
      <c r="P794" s="45"/>
      <c r="Q794" s="54"/>
      <c r="R794" s="257">
        <v>1020</v>
      </c>
      <c r="S794" s="258">
        <v>1020</v>
      </c>
      <c r="T794" s="258">
        <v>6000</v>
      </c>
      <c r="U794" s="38">
        <v>3</v>
      </c>
      <c r="V794" s="259"/>
      <c r="W794" s="256"/>
      <c r="X794" s="256"/>
      <c r="Y794" s="256"/>
      <c r="Z794" s="256"/>
      <c r="AA794" s="54"/>
      <c r="AB794" s="200"/>
      <c r="AC794" s="31"/>
      <c r="AD794" s="184"/>
      <c r="AE794" s="51"/>
      <c r="AF794" s="52"/>
      <c r="AG794" s="41"/>
      <c r="AH794" s="45"/>
      <c r="AI794" s="28"/>
      <c r="AJ794" s="28"/>
      <c r="AK794" s="28"/>
      <c r="AL794" s="28"/>
      <c r="AM794" s="12"/>
      <c r="AN794" s="12"/>
      <c r="AO794" s="12"/>
      <c r="AP794" s="12"/>
      <c r="AQ794" s="12"/>
      <c r="AR794" s="13"/>
      <c r="AS794" s="14"/>
    </row>
    <row r="795" spans="1:45" s="16" customFormat="1" ht="30.95" hidden="1" customHeight="1" x14ac:dyDescent="0.2">
      <c r="A795" s="35"/>
      <c r="B795" s="36"/>
      <c r="C795" s="43"/>
      <c r="D795" s="29"/>
      <c r="E795" s="29"/>
      <c r="F795" s="255"/>
      <c r="G795" s="256"/>
      <c r="H795" s="256"/>
      <c r="I795" s="200"/>
      <c r="J795" s="203"/>
      <c r="K795" s="200"/>
      <c r="L795" s="200"/>
      <c r="M795" s="37"/>
      <c r="N795" s="37"/>
      <c r="O795" s="153"/>
      <c r="P795" s="45"/>
      <c r="Q795" s="54"/>
      <c r="R795" s="257"/>
      <c r="S795" s="258"/>
      <c r="T795" s="258"/>
      <c r="U795" s="38"/>
      <c r="V795" s="259"/>
      <c r="W795" s="256"/>
      <c r="X795" s="256"/>
      <c r="Y795" s="256"/>
      <c r="Z795" s="256"/>
      <c r="AA795" s="54"/>
      <c r="AB795" s="200"/>
      <c r="AC795" s="31"/>
      <c r="AD795" s="184"/>
      <c r="AE795" s="51"/>
      <c r="AF795" s="52"/>
      <c r="AG795" s="41"/>
      <c r="AH795" s="45"/>
      <c r="AI795" s="28"/>
      <c r="AJ795" s="28"/>
      <c r="AK795" s="28"/>
      <c r="AL795" s="28"/>
      <c r="AM795" s="12"/>
      <c r="AN795" s="12"/>
      <c r="AO795" s="12"/>
      <c r="AP795" s="12"/>
      <c r="AQ795" s="12"/>
      <c r="AR795" s="13"/>
      <c r="AS795" s="14"/>
    </row>
    <row r="796" spans="1:45" s="16" customFormat="1" ht="30.95" hidden="1" customHeight="1" x14ac:dyDescent="0.2">
      <c r="A796" s="35" t="s">
        <v>1298</v>
      </c>
      <c r="B796" s="36" t="s">
        <v>1299</v>
      </c>
      <c r="C796" s="43"/>
      <c r="D796" s="29"/>
      <c r="E796" s="29"/>
      <c r="F796" s="255"/>
      <c r="G796" s="256"/>
      <c r="H796" s="256"/>
      <c r="I796" s="200"/>
      <c r="J796" s="203" t="s">
        <v>448</v>
      </c>
      <c r="K796" s="200"/>
      <c r="L796" s="200"/>
      <c r="M796" s="37"/>
      <c r="N796" s="37"/>
      <c r="O796" s="153"/>
      <c r="P796" s="45"/>
      <c r="Q796" s="54"/>
      <c r="R796" s="257"/>
      <c r="S796" s="258"/>
      <c r="T796" s="258"/>
      <c r="U796" s="38"/>
      <c r="V796" s="259"/>
      <c r="W796" s="256"/>
      <c r="X796" s="256"/>
      <c r="Y796" s="256"/>
      <c r="Z796" s="256"/>
      <c r="AA796" s="54"/>
      <c r="AB796" s="200"/>
      <c r="AC796" s="31"/>
      <c r="AD796" s="184"/>
      <c r="AE796" s="51"/>
      <c r="AF796" s="52"/>
      <c r="AG796" s="41"/>
      <c r="AH796" s="45"/>
      <c r="AI796" s="28"/>
      <c r="AJ796" s="28"/>
      <c r="AK796" s="28"/>
      <c r="AL796" s="28"/>
      <c r="AM796" s="12"/>
      <c r="AN796" s="12"/>
      <c r="AO796" s="12"/>
      <c r="AP796" s="12"/>
      <c r="AQ796" s="12"/>
      <c r="AR796" s="13"/>
      <c r="AS796" s="14"/>
    </row>
    <row r="797" spans="1:45" s="16" customFormat="1" ht="30.95" hidden="1" customHeight="1" x14ac:dyDescent="0.2">
      <c r="A797" s="35"/>
      <c r="B797" s="36"/>
      <c r="C797" s="43"/>
      <c r="D797" s="29"/>
      <c r="E797" s="29"/>
      <c r="F797" s="255"/>
      <c r="G797" s="256"/>
      <c r="H797" s="256"/>
      <c r="I797" s="200"/>
      <c r="J797" s="203"/>
      <c r="K797" s="200"/>
      <c r="L797" s="200"/>
      <c r="M797" s="37"/>
      <c r="N797" s="37"/>
      <c r="O797" s="153"/>
      <c r="P797" s="45"/>
      <c r="Q797" s="54"/>
      <c r="R797" s="257"/>
      <c r="S797" s="258"/>
      <c r="T797" s="258"/>
      <c r="U797" s="38"/>
      <c r="V797" s="259"/>
      <c r="W797" s="256"/>
      <c r="X797" s="256"/>
      <c r="Y797" s="256"/>
      <c r="Z797" s="256"/>
      <c r="AA797" s="54"/>
      <c r="AB797" s="200"/>
      <c r="AC797" s="31"/>
      <c r="AD797" s="184"/>
      <c r="AE797" s="51"/>
      <c r="AF797" s="52"/>
      <c r="AG797" s="41"/>
      <c r="AH797" s="45"/>
      <c r="AI797" s="28"/>
      <c r="AJ797" s="28"/>
      <c r="AK797" s="28"/>
      <c r="AL797" s="28"/>
      <c r="AM797" s="12"/>
      <c r="AN797" s="12"/>
      <c r="AO797" s="12"/>
      <c r="AP797" s="12"/>
      <c r="AQ797" s="12"/>
      <c r="AR797" s="13"/>
      <c r="AS797" s="14"/>
    </row>
    <row r="798" spans="1:45" s="16" customFormat="1" ht="30.95" hidden="1" customHeight="1" x14ac:dyDescent="0.2">
      <c r="A798" s="35" t="s">
        <v>1300</v>
      </c>
      <c r="B798" s="36" t="s">
        <v>1301</v>
      </c>
      <c r="C798" s="43"/>
      <c r="D798" s="29"/>
      <c r="E798" s="29"/>
      <c r="F798" s="255"/>
      <c r="G798" s="256"/>
      <c r="H798" s="256"/>
      <c r="I798" s="200"/>
      <c r="J798" s="203" t="s">
        <v>448</v>
      </c>
      <c r="K798" s="200"/>
      <c r="L798" s="200"/>
      <c r="M798" s="37"/>
      <c r="N798" s="37"/>
      <c r="O798" s="153"/>
      <c r="P798" s="45"/>
      <c r="Q798" s="54"/>
      <c r="R798" s="257"/>
      <c r="S798" s="258"/>
      <c r="T798" s="258"/>
      <c r="U798" s="38"/>
      <c r="V798" s="259"/>
      <c r="W798" s="256"/>
      <c r="X798" s="256"/>
      <c r="Y798" s="256"/>
      <c r="Z798" s="256"/>
      <c r="AA798" s="54"/>
      <c r="AB798" s="200"/>
      <c r="AC798" s="31"/>
      <c r="AD798" s="184"/>
      <c r="AE798" s="51"/>
      <c r="AF798" s="52"/>
      <c r="AG798" s="41"/>
      <c r="AH798" s="45"/>
      <c r="AI798" s="28"/>
      <c r="AJ798" s="28"/>
      <c r="AK798" s="28"/>
      <c r="AL798" s="28"/>
      <c r="AM798" s="12"/>
      <c r="AN798" s="12"/>
      <c r="AO798" s="12"/>
      <c r="AP798" s="12"/>
      <c r="AQ798" s="12"/>
      <c r="AR798" s="13"/>
      <c r="AS798" s="14"/>
    </row>
    <row r="799" spans="1:45" s="16" customFormat="1" ht="30.95" hidden="1" customHeight="1" x14ac:dyDescent="0.2">
      <c r="A799" s="35"/>
      <c r="B799" s="36"/>
      <c r="C799" s="43"/>
      <c r="D799" s="29"/>
      <c r="E799" s="29"/>
      <c r="F799" s="255"/>
      <c r="G799" s="256"/>
      <c r="H799" s="256"/>
      <c r="I799" s="200"/>
      <c r="J799" s="203"/>
      <c r="K799" s="200"/>
      <c r="L799" s="200"/>
      <c r="M799" s="37"/>
      <c r="N799" s="37"/>
      <c r="O799" s="153"/>
      <c r="P799" s="45"/>
      <c r="Q799" s="54"/>
      <c r="R799" s="257"/>
      <c r="S799" s="258"/>
      <c r="T799" s="258"/>
      <c r="U799" s="38"/>
      <c r="V799" s="259"/>
      <c r="W799" s="256"/>
      <c r="X799" s="256"/>
      <c r="Y799" s="256"/>
      <c r="Z799" s="256"/>
      <c r="AA799" s="54"/>
      <c r="AB799" s="200"/>
      <c r="AC799" s="31"/>
      <c r="AD799" s="184"/>
      <c r="AE799" s="51"/>
      <c r="AF799" s="52"/>
      <c r="AG799" s="41"/>
      <c r="AH799" s="45"/>
      <c r="AI799" s="28"/>
      <c r="AJ799" s="28"/>
      <c r="AK799" s="28"/>
      <c r="AL799" s="28"/>
      <c r="AM799" s="12"/>
      <c r="AN799" s="12"/>
      <c r="AO799" s="12"/>
      <c r="AP799" s="12"/>
      <c r="AQ799" s="12"/>
      <c r="AR799" s="13"/>
      <c r="AS799" s="14"/>
    </row>
    <row r="800" spans="1:45" s="16" customFormat="1" ht="30.95" hidden="1" customHeight="1" x14ac:dyDescent="0.2">
      <c r="A800" s="35" t="s">
        <v>1302</v>
      </c>
      <c r="B800" s="36" t="s">
        <v>1303</v>
      </c>
      <c r="C800" s="43"/>
      <c r="D800" s="29"/>
      <c r="E800" s="29"/>
      <c r="F800" s="255"/>
      <c r="G800" s="256"/>
      <c r="H800" s="256"/>
      <c r="I800" s="200"/>
      <c r="J800" s="203" t="s">
        <v>448</v>
      </c>
      <c r="K800" s="200"/>
      <c r="L800" s="200"/>
      <c r="M800" s="37"/>
      <c r="N800" s="37"/>
      <c r="O800" s="153"/>
      <c r="P800" s="45"/>
      <c r="Q800" s="54"/>
      <c r="R800" s="257"/>
      <c r="S800" s="258"/>
      <c r="T800" s="258"/>
      <c r="U800" s="38"/>
      <c r="V800" s="259"/>
      <c r="W800" s="256"/>
      <c r="X800" s="256"/>
      <c r="Y800" s="256"/>
      <c r="Z800" s="256"/>
      <c r="AA800" s="54"/>
      <c r="AB800" s="200"/>
      <c r="AC800" s="31"/>
      <c r="AD800" s="184"/>
      <c r="AE800" s="51"/>
      <c r="AF800" s="52"/>
      <c r="AG800" s="41"/>
      <c r="AH800" s="45"/>
      <c r="AI800" s="28"/>
      <c r="AJ800" s="28"/>
      <c r="AK800" s="28"/>
      <c r="AL800" s="28"/>
      <c r="AM800" s="12"/>
      <c r="AN800" s="12"/>
      <c r="AO800" s="12"/>
      <c r="AP800" s="12"/>
      <c r="AQ800" s="12"/>
      <c r="AR800" s="13"/>
      <c r="AS800" s="14"/>
    </row>
    <row r="801" spans="1:45" s="16" customFormat="1" ht="30.95" hidden="1" customHeight="1" x14ac:dyDescent="0.2">
      <c r="A801" s="35"/>
      <c r="B801" s="36"/>
      <c r="C801" s="43"/>
      <c r="D801" s="29"/>
      <c r="E801" s="29"/>
      <c r="F801" s="255"/>
      <c r="G801" s="256"/>
      <c r="H801" s="256"/>
      <c r="I801" s="200"/>
      <c r="J801" s="203"/>
      <c r="K801" s="200"/>
      <c r="L801" s="200"/>
      <c r="M801" s="37"/>
      <c r="N801" s="37"/>
      <c r="O801" s="153"/>
      <c r="P801" s="45"/>
      <c r="Q801" s="54"/>
      <c r="R801" s="257"/>
      <c r="S801" s="258"/>
      <c r="T801" s="258"/>
      <c r="U801" s="38"/>
      <c r="V801" s="259"/>
      <c r="W801" s="256"/>
      <c r="X801" s="256"/>
      <c r="Y801" s="256"/>
      <c r="Z801" s="256"/>
      <c r="AA801" s="54"/>
      <c r="AB801" s="200"/>
      <c r="AC801" s="31"/>
      <c r="AD801" s="184"/>
      <c r="AE801" s="51"/>
      <c r="AF801" s="52"/>
      <c r="AG801" s="41"/>
      <c r="AH801" s="45"/>
      <c r="AI801" s="28"/>
      <c r="AJ801" s="28"/>
      <c r="AK801" s="28"/>
      <c r="AL801" s="28"/>
      <c r="AM801" s="12"/>
      <c r="AN801" s="12"/>
      <c r="AO801" s="12"/>
      <c r="AP801" s="12"/>
      <c r="AQ801" s="12"/>
      <c r="AR801" s="13"/>
      <c r="AS801" s="14"/>
    </row>
    <row r="802" spans="1:45" s="16" customFormat="1" ht="30.95" hidden="1" customHeight="1" x14ac:dyDescent="0.2">
      <c r="A802" s="35" t="s">
        <v>497</v>
      </c>
      <c r="B802" s="36" t="s">
        <v>688</v>
      </c>
      <c r="C802" s="43"/>
      <c r="D802" s="29">
        <v>3712096</v>
      </c>
      <c r="E802" s="29">
        <v>4140956</v>
      </c>
      <c r="F802" s="255" t="str">
        <f>IF(D802="","",VLOOKUP(D802,契約台帳!$A$3:$K$4986,6,FALSE)&amp;VLOOKUP(D802,契約台帳!$A$3:$K$4986,7,FALSE)&amp;VLOOKUP(D802,契約台帳!$A$3:$K$4986,8,FALSE)&amp;VLOOKUP(D802,契約台帳!$A$3:$K$4986,9,FALSE)&amp;VLOOKUP(D802,契約台帳!$A$3:$K$4986,11,FALSE))</f>
        <v>3SNMCLBSCB</v>
      </c>
      <c r="G802" s="256" t="str">
        <f>IF(D802="","",VLOOKUP(F802,製品マスタ!$G$5:$H$4999,2,FALSE))</f>
        <v>S</v>
      </c>
      <c r="H802" s="256" t="str">
        <f>IF(D802="","",VLOOKUP(F802,製品マスタ!$G$5:$K$4999,5,FALSE))</f>
        <v>SCB</v>
      </c>
      <c r="I802" s="200" t="str">
        <f>IF(D802="","",VLOOKUP(F802,製品マスタ!$G$5:$L$4999,6,FALSE))</f>
        <v>メタルミー　シロコート（Ｂ）</v>
      </c>
      <c r="J802" s="203" t="s">
        <v>463</v>
      </c>
      <c r="K802" s="200">
        <f>IF(D802="","",VLOOKUP(D802,契約台帳!$A$3:$L$4986,12,FALSE))</f>
        <v>25</v>
      </c>
      <c r="L802" s="200" t="s">
        <v>1256</v>
      </c>
      <c r="M802" s="37">
        <v>1060</v>
      </c>
      <c r="N802" s="37">
        <v>6000</v>
      </c>
      <c r="O802" s="153">
        <v>1</v>
      </c>
      <c r="P802" s="45">
        <v>6</v>
      </c>
      <c r="Q802" s="54"/>
      <c r="R802" s="257">
        <f ca="1">IF(D802="","",IF(OFFSET(D802,-1,0)&lt;&gt;"","",IF(OR(J802="リード付け",J802="巻足し",J802="巻返しリード付け"),M802,VLOOKUP(D802,契約台帳!$A$3:$N$4986,14,FALSE))))</f>
        <v>1020</v>
      </c>
      <c r="S802" s="258">
        <f ca="1">IF(D802="","",IF(OFFSET(D802,-1,0)&lt;&gt;"","",IF(OR(J802="リード付け",J802="巻足し",J802="巻返しリード付け"),M802,VLOOKUP(D802,契約台帳!$A$3:$O$4986,15,FALSE))))</f>
        <v>1020</v>
      </c>
      <c r="T802" s="258">
        <f ca="1">IF(D802="","",IF(J802="リード付け",N802,IF(J802="巻返しリード付け",N802,IF(J802="巻足し",N802*P802+OFFSET(N802,1,0)*OFFSET(P802,1,0),VLOOKUP(D802,契約台帳!$A$3:$P$4986,16,FALSE)))))</f>
        <v>6000</v>
      </c>
      <c r="U802" s="38">
        <v>1</v>
      </c>
      <c r="V802" s="259">
        <f ca="1">IF(D802="","",IF(OFFSET(D802,-2,0)=D802,"",VLOOKUP(D802,契約台帳!$A$3:$R$4986,18,FALSE)))</f>
        <v>6</v>
      </c>
      <c r="W802" s="256" t="str">
        <f ca="1">IF(D802="","",IF(T802="","",IF(OR(J802="巻足し",J802="巻返しリード付け"),"",IF(J802="巻返し",VLOOKUP(F802&amp;K802&amp;M802,製品マスタ!$M$5:$AD$4999,18,FALSE),IF(OR(J802="リード付け",J802="巻返しリード付け"),"原反コア",IF(J802="スリット",VLOOKUP(F802&amp;K802&amp;R802,製品マスタ!$N$5:$AD$4999,17,FALSE),""))))))</f>
        <v>6ｲﾝﾁSｺｱ</v>
      </c>
      <c r="X802" s="256">
        <f ca="1">IF(D802="","",IF(T802="","",IF(J802="巻足し","",IF(J802="巻返し",VLOOKUP(F802&amp;K802&amp;M802,製品マスタ!$M$5:$AE$4999,19,FALSE),IF(OR(J802="リード付け",J802="巻返しリード付け"),"",IF(J802="スリット",VLOOKUP(F802&amp;K802&amp;R802,製品マスタ!$N$5:$AE$4999,18,FALSE),""))))))</f>
        <v>1035</v>
      </c>
      <c r="Y802" s="256">
        <f ca="1">IF(D802="","",IF(T802="","",VLOOKUP(D802,契約台帳!$A$3:$Q$4986,17,FALSE)))</f>
        <v>2</v>
      </c>
      <c r="Z802" s="256" t="str">
        <f ca="1">IF(D802="","",IF(T802="","",VLOOKUP(D802,契約台帳!$A$3:$E$4986,5,FALSE)))</f>
        <v>新タック化成㈱</v>
      </c>
      <c r="AA802" s="54"/>
      <c r="AB802" s="200" t="str">
        <f>IFERROR((VLOOKUP(F802&amp;K802&amp;M802,製品マスタ!$M$5:$AM$4999,27,FALSE)),"")</f>
        <v>エージング後スリット</v>
      </c>
      <c r="AC802" s="31"/>
      <c r="AD802" s="184"/>
      <c r="AE802" s="51"/>
      <c r="AF802" s="52"/>
      <c r="AG802" s="41"/>
      <c r="AH802" s="45"/>
      <c r="AI802" s="28"/>
      <c r="AJ802" s="28"/>
      <c r="AK802" s="28"/>
      <c r="AL802" s="28"/>
      <c r="AM802" s="12"/>
      <c r="AN802" s="12"/>
      <c r="AO802" s="12"/>
      <c r="AP802" s="12"/>
      <c r="AQ802" s="12"/>
      <c r="AR802" s="13"/>
      <c r="AS802" s="14"/>
    </row>
    <row r="803" spans="1:45" s="16" customFormat="1" ht="30.95" hidden="1" customHeight="1" x14ac:dyDescent="0.2">
      <c r="A803" s="35"/>
      <c r="B803" s="36"/>
      <c r="C803" s="43"/>
      <c r="D803" s="29"/>
      <c r="E803" s="29"/>
      <c r="F803" s="255"/>
      <c r="G803" s="256"/>
      <c r="H803" s="256"/>
      <c r="I803" s="200"/>
      <c r="J803" s="203"/>
      <c r="K803" s="200"/>
      <c r="L803" s="200"/>
      <c r="M803" s="37"/>
      <c r="N803" s="37"/>
      <c r="O803" s="153"/>
      <c r="P803" s="45"/>
      <c r="Q803" s="54"/>
      <c r="R803" s="257"/>
      <c r="S803" s="258"/>
      <c r="T803" s="258"/>
      <c r="U803" s="38"/>
      <c r="V803" s="259"/>
      <c r="W803" s="256"/>
      <c r="X803" s="256"/>
      <c r="Y803" s="256"/>
      <c r="Z803" s="256"/>
      <c r="AA803" s="54"/>
      <c r="AB803" s="200"/>
      <c r="AC803" s="31"/>
      <c r="AD803" s="184"/>
      <c r="AE803" s="51"/>
      <c r="AF803" s="52"/>
      <c r="AG803" s="41"/>
      <c r="AH803" s="45"/>
      <c r="AI803" s="28"/>
      <c r="AJ803" s="28"/>
      <c r="AK803" s="28"/>
      <c r="AL803" s="28"/>
      <c r="AM803" s="12"/>
      <c r="AN803" s="12"/>
      <c r="AO803" s="12"/>
      <c r="AP803" s="12"/>
      <c r="AQ803" s="12"/>
      <c r="AR803" s="13"/>
      <c r="AS803" s="14"/>
    </row>
    <row r="804" spans="1:45" s="16" customFormat="1" ht="30.95" hidden="1" customHeight="1" x14ac:dyDescent="0.2">
      <c r="A804" s="35"/>
      <c r="B804" s="36"/>
      <c r="C804" s="43"/>
      <c r="D804" s="29">
        <v>3716244</v>
      </c>
      <c r="E804" s="29">
        <v>4140966</v>
      </c>
      <c r="F804" s="255" t="str">
        <f>IF(D804="","",VLOOKUP(D804,契約台帳!$A$3:$K$4986,6,FALSE)&amp;VLOOKUP(D804,契約台帳!$A$3:$K$4986,7,FALSE)&amp;VLOOKUP(D804,契約台帳!$A$3:$K$4986,8,FALSE)&amp;VLOOKUP(D804,契約台帳!$A$3:$K$4986,9,FALSE)&amp;VLOOKUP(D804,契約台帳!$A$3:$K$4986,11,FALSE))</f>
        <v>3SNCLBLEYK</v>
      </c>
      <c r="G804" s="256" t="str">
        <f>IF(D804="","",VLOOKUP(F804,製品マスタ!$G$5:$H$4999,2,FALSE))</f>
        <v>S</v>
      </c>
      <c r="H804" s="256" t="str">
        <f>IF(D804="","",VLOOKUP(F804,製品マスタ!$G$5:$K$4999,5,FALSE))</f>
        <v>LEYK</v>
      </c>
      <c r="I804" s="200" t="str">
        <f>IF(D804="","",VLOOKUP(F804,製品マスタ!$G$5:$L$4999,6,FALSE))</f>
        <v>ルミラー　ＥＹＫ</v>
      </c>
      <c r="J804" s="203" t="s">
        <v>447</v>
      </c>
      <c r="K804" s="200">
        <f>IF(D804="","",VLOOKUP(D804,契約台帳!$A$3:$L$4986,12,FALSE))</f>
        <v>50</v>
      </c>
      <c r="L804" s="200" t="str">
        <f>IF(D804="","",INDEX(製品マスタ!$Q$5:$Q$4999,MATCH('S4'!F804&amp;'S4'!K804,製品マスタ!$AO$5:$AO$4999,0)))</f>
        <v>T62M</v>
      </c>
      <c r="M804" s="37">
        <v>1125</v>
      </c>
      <c r="N804" s="37">
        <v>6100</v>
      </c>
      <c r="O804" s="153">
        <v>2</v>
      </c>
      <c r="P804" s="45">
        <v>2</v>
      </c>
      <c r="Q804" s="54"/>
      <c r="R804" s="257">
        <f ca="1">IF(D804="","",IF(OFFSET(D804,-1,0)&lt;&gt;"","",IF(OR(J804="リード付け",J804="巻足し",J804="巻返しリード付け"),M804,VLOOKUP(D804,契約台帳!$A$3:$N$4986,14,FALSE))))</f>
        <v>1120</v>
      </c>
      <c r="S804" s="258">
        <f ca="1">IF(D804="","",IF(OFFSET(D804,-1,0)&lt;&gt;"","",IF(OR(J804="リード付け",J804="巻足し",J804="巻返しリード付け"),M804,VLOOKUP(D804,契約台帳!$A$3:$O$4986,15,FALSE))))</f>
        <v>1120</v>
      </c>
      <c r="T804" s="258">
        <f ca="1">IF(D804="","",IF(J804="リード付け",N804,IF(J804="巻返しリード付け",N804,IF(J804="巻足し",N804*P804+OFFSET(N804,1,0)*OFFSET(P804,1,0),VLOOKUP(D804,契約台帳!$A$3:$P$4986,16,FALSE)))))</f>
        <v>6000</v>
      </c>
      <c r="U804" s="38">
        <v>2</v>
      </c>
      <c r="V804" s="259">
        <f ca="1">IF(D804="","",IF(OFFSET(D804,-2,0)=D804,"",VLOOKUP(D804,契約台帳!$A$3:$R$4986,18,FALSE)))</f>
        <v>2</v>
      </c>
      <c r="W804" s="256" t="str">
        <f ca="1">IF(D804="","",IF(T804="","",IF(OR(J804="巻足し",J804="巻返しリード付け"),"",IF(J804="巻返し",VLOOKUP(F804&amp;K804&amp;M804,製品マスタ!$M$5:$AD$4999,18,FALSE),IF(OR(J804="リード付け",J804="巻返しリード付け"),"原反コア",IF(J804="スリット",VLOOKUP(F804&amp;K804&amp;R804,製品マスタ!$N$5:$AD$4999,17,FALSE),""))))))</f>
        <v>6ｲﾝﾁMｺｱ</v>
      </c>
      <c r="X804" s="256">
        <f ca="1">IF(D804="","",IF(T804="","",IF(J804="巻足し","",IF(J804="巻返し",VLOOKUP(F804&amp;K804&amp;M804,製品マスタ!$M$5:$AE$4999,19,FALSE),IF(OR(J804="リード付け",J804="巻返しリード付け"),"",IF(J804="スリット",VLOOKUP(F804&amp;K804&amp;R804,製品マスタ!$N$5:$AE$4999,18,FALSE),""))))))</f>
        <v>1140</v>
      </c>
      <c r="Y804" s="256">
        <f ca="1">IF(D804="","",IF(T804="","",VLOOKUP(D804,契約台帳!$A$3:$Q$4986,17,FALSE)))</f>
        <v>2</v>
      </c>
      <c r="Z804" s="256" t="str">
        <f ca="1">IF(D804="","",IF(T804="","",VLOOKUP(D804,契約台帳!$A$3:$E$4986,5,FALSE)))</f>
        <v>新タック化成㈱</v>
      </c>
      <c r="AA804" s="54"/>
      <c r="AB804" s="200" t="str">
        <f>IFERROR((VLOOKUP(F804&amp;K804&amp;M804,製品マスタ!$M$5:$AM$4999,27,FALSE)),"")</f>
        <v>原反ケース再利用</v>
      </c>
      <c r="AC804" s="31"/>
      <c r="AD804" s="184"/>
      <c r="AE804" s="51"/>
      <c r="AF804" s="52"/>
      <c r="AG804" s="41"/>
      <c r="AH804" s="45"/>
      <c r="AI804" s="28"/>
      <c r="AJ804" s="28"/>
      <c r="AK804" s="28"/>
      <c r="AL804" s="28"/>
      <c r="AM804" s="12"/>
      <c r="AN804" s="12"/>
      <c r="AO804" s="12"/>
      <c r="AP804" s="12"/>
      <c r="AQ804" s="12"/>
      <c r="AR804" s="13"/>
      <c r="AS804" s="14"/>
    </row>
    <row r="805" spans="1:45" s="16" customFormat="1" ht="30.95" hidden="1" customHeight="1" x14ac:dyDescent="0.2">
      <c r="A805" s="35"/>
      <c r="B805" s="36"/>
      <c r="C805" s="43"/>
      <c r="D805" s="29"/>
      <c r="E805" s="29"/>
      <c r="F805" s="255"/>
      <c r="G805" s="256"/>
      <c r="H805" s="256"/>
      <c r="I805" s="200"/>
      <c r="J805" s="203"/>
      <c r="K805" s="200"/>
      <c r="L805" s="200"/>
      <c r="M805" s="37"/>
      <c r="N805" s="37"/>
      <c r="O805" s="153"/>
      <c r="P805" s="45"/>
      <c r="Q805" s="54"/>
      <c r="R805" s="257"/>
      <c r="S805" s="258"/>
      <c r="T805" s="258"/>
      <c r="U805" s="38"/>
      <c r="V805" s="259"/>
      <c r="W805" s="256"/>
      <c r="X805" s="256"/>
      <c r="Y805" s="256"/>
      <c r="Z805" s="256"/>
      <c r="AA805" s="54"/>
      <c r="AB805" s="200"/>
      <c r="AC805" s="31"/>
      <c r="AD805" s="184"/>
      <c r="AE805" s="51"/>
      <c r="AF805" s="52"/>
      <c r="AG805" s="41"/>
      <c r="AH805" s="45"/>
      <c r="AI805" s="28"/>
      <c r="AJ805" s="28"/>
      <c r="AK805" s="28"/>
      <c r="AL805" s="28"/>
      <c r="AM805" s="12"/>
      <c r="AN805" s="12"/>
      <c r="AO805" s="12"/>
      <c r="AP805" s="12"/>
      <c r="AQ805" s="12"/>
      <c r="AR805" s="13"/>
      <c r="AS805" s="14"/>
    </row>
    <row r="806" spans="1:45" s="16" customFormat="1" ht="30.95" hidden="1" customHeight="1" x14ac:dyDescent="0.2">
      <c r="A806" s="35" t="s">
        <v>498</v>
      </c>
      <c r="B806" s="36" t="s">
        <v>442</v>
      </c>
      <c r="C806" s="43"/>
      <c r="D806" s="29">
        <v>3716243</v>
      </c>
      <c r="E806" s="29">
        <v>4140982</v>
      </c>
      <c r="F806" s="255" t="str">
        <f>IF(D806="","",VLOOKUP(D806,契約台帳!$A$3:$K$4986,6,FALSE)&amp;VLOOKUP(D806,契約台帳!$A$3:$K$4986,7,FALSE)&amp;VLOOKUP(D806,契約台帳!$A$3:$K$4986,8,FALSE)&amp;VLOOKUP(D806,契約台帳!$A$3:$K$4986,9,FALSE)&amp;VLOOKUP(D806,契約台帳!$A$3:$K$4986,11,FALSE))</f>
        <v>3SNCLBLEYK</v>
      </c>
      <c r="G806" s="256" t="str">
        <f>IF(D806="","",VLOOKUP(F806,製品マスタ!$G$5:$H$4999,2,FALSE))</f>
        <v>S</v>
      </c>
      <c r="H806" s="256" t="str">
        <f>IF(D806="","",VLOOKUP(F806,製品マスタ!$G$5:$K$4999,5,FALSE))</f>
        <v>LEYK</v>
      </c>
      <c r="I806" s="200" t="str">
        <f>IF(D806="","",VLOOKUP(F806,製品マスタ!$G$5:$L$4999,6,FALSE))</f>
        <v>ルミラー　ＥＹＫ</v>
      </c>
      <c r="J806" s="203" t="s">
        <v>447</v>
      </c>
      <c r="K806" s="200">
        <f>IF(D806="","",VLOOKUP(D806,契約台帳!$A$3:$L$4986,12,FALSE))</f>
        <v>25</v>
      </c>
      <c r="L806" s="200" t="str">
        <f>IF(D806="","",INDEX(製品マスタ!$Q$5:$Q$4999,MATCH('S4'!F806&amp;'S4'!K806,製品マスタ!$AO$5:$AO$4999,0)))</f>
        <v>T62M</v>
      </c>
      <c r="M806" s="37">
        <v>1120</v>
      </c>
      <c r="N806" s="37">
        <v>12100</v>
      </c>
      <c r="O806" s="153">
        <v>2</v>
      </c>
      <c r="P806" s="45">
        <v>2</v>
      </c>
      <c r="Q806" s="54"/>
      <c r="R806" s="257">
        <f ca="1">IF(D806="","",IF(OFFSET(D806,-1,0)&lt;&gt;"","",IF(OR(J806="リード付け",J806="巻足し",J806="巻返しリード付け"),M806,VLOOKUP(D806,契約台帳!$A$3:$N$4986,14,FALSE))))</f>
        <v>1120</v>
      </c>
      <c r="S806" s="258">
        <f ca="1">IF(D806="","",IF(OFFSET(D806,-1,0)&lt;&gt;"","",IF(OR(J806="リード付け",J806="巻足し",J806="巻返しリード付け"),M806,VLOOKUP(D806,契約台帳!$A$3:$O$4986,15,FALSE))))</f>
        <v>1120</v>
      </c>
      <c r="T806" s="258">
        <f ca="1">IF(D806="","",IF(J806="リード付け",N806,IF(J806="巻返しリード付け",N806,IF(J806="巻足し",N806*P806+OFFSET(N806,1,0)*OFFSET(P806,1,0),VLOOKUP(D806,契約台帳!$A$3:$P$4986,16,FALSE)))))</f>
        <v>6000</v>
      </c>
      <c r="U806" s="38">
        <v>4</v>
      </c>
      <c r="V806" s="259">
        <f ca="1">IF(D806="","",IF(OFFSET(D806,-2,0)=D806,"",VLOOKUP(D806,契約台帳!$A$3:$R$4986,18,FALSE)))</f>
        <v>4</v>
      </c>
      <c r="W806" s="256" t="str">
        <f ca="1">IF(D806="","",IF(T806="","",IF(OR(J806="巻足し",J806="巻返しリード付け"),"",IF(J806="巻返し",VLOOKUP(F806&amp;K806&amp;M806,製品マスタ!$M$5:$AD$4999,18,FALSE),IF(OR(J806="リード付け",J806="巻返しリード付け"),"原反コア",IF(J806="スリット",VLOOKUP(F806&amp;K806&amp;R806,製品マスタ!$N$5:$AD$4999,17,FALSE),""))))))</f>
        <v>6ｲﾝﾁMｺｱ</v>
      </c>
      <c r="X806" s="256">
        <f ca="1">IF(D806="","",IF(T806="","",IF(J806="巻足し","",IF(J806="巻返し",VLOOKUP(F806&amp;K806&amp;M806,製品マスタ!$M$5:$AE$4999,19,FALSE),IF(OR(J806="リード付け",J806="巻返しリード付け"),"",IF(J806="スリット",VLOOKUP(F806&amp;K806&amp;R806,製品マスタ!$N$5:$AE$4999,18,FALSE),""))))))</f>
        <v>1140</v>
      </c>
      <c r="Y806" s="256">
        <f ca="1">IF(D806="","",IF(T806="","",VLOOKUP(D806,契約台帳!$A$3:$Q$4986,17,FALSE)))</f>
        <v>2</v>
      </c>
      <c r="Z806" s="256" t="str">
        <f ca="1">IF(D806="","",IF(T806="","",VLOOKUP(D806,契約台帳!$A$3:$E$4986,5,FALSE)))</f>
        <v>新タック化成㈱</v>
      </c>
      <c r="AA806" s="54"/>
      <c r="AB806" s="200">
        <f>IFERROR((VLOOKUP(F806&amp;K806&amp;M806,製品マスタ!$M$5:$AM$4999,27,FALSE)),"")</f>
        <v>0</v>
      </c>
      <c r="AC806" s="31"/>
      <c r="AD806" s="184"/>
      <c r="AE806" s="51"/>
      <c r="AF806" s="52"/>
      <c r="AG806" s="41"/>
      <c r="AH806" s="45"/>
      <c r="AI806" s="28"/>
      <c r="AJ806" s="28"/>
      <c r="AK806" s="28"/>
      <c r="AL806" s="28"/>
      <c r="AM806" s="12"/>
      <c r="AN806" s="12"/>
      <c r="AO806" s="12"/>
      <c r="AP806" s="12"/>
      <c r="AQ806" s="12"/>
      <c r="AR806" s="13"/>
      <c r="AS806" s="14"/>
    </row>
    <row r="807" spans="1:45" s="16" customFormat="1" ht="30.95" hidden="1" customHeight="1" x14ac:dyDescent="0.2">
      <c r="A807" s="35"/>
      <c r="B807" s="36"/>
      <c r="C807" s="43"/>
      <c r="D807" s="29"/>
      <c r="E807" s="29"/>
      <c r="F807" s="255"/>
      <c r="G807" s="256"/>
      <c r="H807" s="256"/>
      <c r="I807" s="200"/>
      <c r="J807" s="203"/>
      <c r="K807" s="200"/>
      <c r="L807" s="200"/>
      <c r="M807" s="37"/>
      <c r="N807" s="37"/>
      <c r="O807" s="153"/>
      <c r="P807" s="45"/>
      <c r="Q807" s="54"/>
      <c r="R807" s="257"/>
      <c r="S807" s="258"/>
      <c r="T807" s="258"/>
      <c r="U807" s="38"/>
      <c r="V807" s="259"/>
      <c r="W807" s="256"/>
      <c r="X807" s="256"/>
      <c r="Y807" s="256"/>
      <c r="Z807" s="256"/>
      <c r="AA807" s="54"/>
      <c r="AB807" s="200"/>
      <c r="AC807" s="31"/>
      <c r="AD807" s="184"/>
      <c r="AE807" s="51"/>
      <c r="AF807" s="52"/>
      <c r="AG807" s="41"/>
      <c r="AH807" s="45"/>
      <c r="AI807" s="28"/>
      <c r="AJ807" s="28"/>
      <c r="AK807" s="28"/>
      <c r="AL807" s="28"/>
      <c r="AM807" s="12"/>
      <c r="AN807" s="12"/>
      <c r="AO807" s="12"/>
      <c r="AP807" s="12"/>
      <c r="AQ807" s="12"/>
      <c r="AR807" s="13"/>
      <c r="AS807" s="14"/>
    </row>
    <row r="808" spans="1:45" s="16" customFormat="1" ht="30.95" hidden="1" customHeight="1" x14ac:dyDescent="0.2">
      <c r="A808" s="35"/>
      <c r="B808" s="36"/>
      <c r="C808" s="43"/>
      <c r="D808" s="29">
        <v>3716269</v>
      </c>
      <c r="E808" s="29">
        <v>4140973</v>
      </c>
      <c r="F808" s="255" t="str">
        <f>IF(D808="","",VLOOKUP(D808,契約台帳!$A$3:$K$4986,6,FALSE)&amp;VLOOKUP(D808,契約台帳!$A$3:$K$4986,7,FALSE)&amp;VLOOKUP(D808,契約台帳!$A$3:$K$4986,8,FALSE)&amp;VLOOKUP(D808,契約台帳!$A$3:$K$4986,9,FALSE)&amp;VLOOKUP(D808,契約台帳!$A$3:$K$4986,11,FALSE))</f>
        <v>3SNCLBLMEYK</v>
      </c>
      <c r="G808" s="256" t="str">
        <f>IF(D808="","",VLOOKUP(F808,製品マスタ!$G$5:$H$4999,2,FALSE))</f>
        <v>S</v>
      </c>
      <c r="H808" s="256" t="str">
        <f>IF(D808="","",VLOOKUP(F808,製品マスタ!$G$5:$K$4999,5,FALSE))</f>
        <v>LMEYK</v>
      </c>
      <c r="I808" s="200" t="str">
        <f>IF(D808="","",VLOOKUP(F808,製品マスタ!$G$5:$L$4999,6,FALSE))</f>
        <v>ルミマットＥＹＫ</v>
      </c>
      <c r="J808" s="203" t="s">
        <v>447</v>
      </c>
      <c r="K808" s="200">
        <f>IF(D808="","",VLOOKUP(D808,契約台帳!$A$3:$L$4986,12,FALSE))</f>
        <v>38</v>
      </c>
      <c r="L808" s="200" t="str">
        <f>IF(D808="","",INDEX(製品マスタ!$Q$5:$Q$4999,MATCH('S4'!F808&amp;'S4'!K808,製品マスタ!$AO$5:$AO$4999,0)))</f>
        <v>LUMIMAT</v>
      </c>
      <c r="M808" s="37">
        <v>1005</v>
      </c>
      <c r="N808" s="37">
        <v>8000</v>
      </c>
      <c r="O808" s="153">
        <v>2</v>
      </c>
      <c r="P808" s="45">
        <v>2</v>
      </c>
      <c r="Q808" s="54"/>
      <c r="R808" s="257">
        <f ca="1">IF(D808="","",IF(OFFSET(D808,-1,0)&lt;&gt;"","",IF(OR(J808="リード付け",J808="巻足し",J808="巻返しリード付け"),M808,VLOOKUP(D808,契約台帳!$A$3:$N$4986,14,FALSE))))</f>
        <v>1005</v>
      </c>
      <c r="S808" s="258">
        <f ca="1">IF(D808="","",IF(OFFSET(D808,-1,0)&lt;&gt;"","",IF(OR(J808="リード付け",J808="巻足し",J808="巻返しリード付け"),M808,VLOOKUP(D808,契約台帳!$A$3:$O$4986,15,FALSE))))</f>
        <v>1000</v>
      </c>
      <c r="T808" s="258">
        <f ca="1">IF(D808="","",IF(J808="リード付け",N808,IF(J808="巻返しリード付け",N808,IF(J808="巻足し",N808*P808+OFFSET(N808,1,0)*OFFSET(P808,1,0),VLOOKUP(D808,契約台帳!$A$3:$P$4986,16,FALSE)))))</f>
        <v>4000</v>
      </c>
      <c r="U808" s="38">
        <v>4</v>
      </c>
      <c r="V808" s="259">
        <f ca="1">IF(D808="","",IF(OFFSET(D808,-2,0)=D808,"",VLOOKUP(D808,契約台帳!$A$3:$R$4986,18,FALSE)))</f>
        <v>4</v>
      </c>
      <c r="W808" s="256" t="str">
        <f ca="1">IF(D808="","",IF(T808="","",IF(OR(J808="巻足し",J808="巻返しリード付け"),"",IF(J808="巻返し",VLOOKUP(F808&amp;K808&amp;M808,製品マスタ!$M$5:$AD$4999,18,FALSE),IF(OR(J808="リード付け",J808="巻返しリード付け"),"原反コア",IF(J808="スリット",VLOOKUP(F808&amp;K808&amp;R808,製品マスタ!$N$5:$AD$4999,17,FALSE),""))))))</f>
        <v>3ｲﾝﾁSｺｱ</v>
      </c>
      <c r="X808" s="256">
        <f ca="1">IF(D808="","",IF(T808="","",IF(J808="巻足し","",IF(J808="巻返し",VLOOKUP(F808&amp;K808&amp;M808,製品マスタ!$M$5:$AE$4999,19,FALSE),IF(OR(J808="リード付け",J808="巻返しリード付け"),"",IF(J808="スリット",VLOOKUP(F808&amp;K808&amp;R808,製品マスタ!$N$5:$AE$4999,18,FALSE),""))))))</f>
        <v>1015</v>
      </c>
      <c r="Y808" s="256">
        <f ca="1">IF(D808="","",IF(T808="","",VLOOKUP(D808,契約台帳!$A$3:$Q$4986,17,FALSE)))</f>
        <v>2</v>
      </c>
      <c r="Z808" s="256" t="str">
        <f ca="1">IF(D808="","",IF(T808="","",VLOOKUP(D808,契約台帳!$A$3:$E$4986,5,FALSE)))</f>
        <v>リンテック㈱</v>
      </c>
      <c r="AA808" s="54"/>
      <c r="AB808" s="200">
        <f>IFERROR((VLOOKUP(F808&amp;K808&amp;M808,製品マスタ!$M$5:$AM$4999,27,FALSE)),"")</f>
        <v>0</v>
      </c>
      <c r="AC808" s="31"/>
      <c r="AD808" s="184"/>
      <c r="AE808" s="51"/>
      <c r="AF808" s="52"/>
      <c r="AG808" s="41"/>
      <c r="AH808" s="45"/>
      <c r="AI808" s="28"/>
      <c r="AJ808" s="28"/>
      <c r="AK808" s="28"/>
      <c r="AL808" s="28"/>
      <c r="AM808" s="12"/>
      <c r="AN808" s="12"/>
      <c r="AO808" s="12"/>
      <c r="AP808" s="12"/>
      <c r="AQ808" s="12"/>
      <c r="AR808" s="13"/>
      <c r="AS808" s="14"/>
    </row>
    <row r="809" spans="1:45" s="16" customFormat="1" ht="30.95" hidden="1" customHeight="1" x14ac:dyDescent="0.2">
      <c r="A809" s="35"/>
      <c r="B809" s="36"/>
      <c r="C809" s="43"/>
      <c r="D809" s="29"/>
      <c r="E809" s="29"/>
      <c r="F809" s="255"/>
      <c r="G809" s="256"/>
      <c r="H809" s="256"/>
      <c r="I809" s="200"/>
      <c r="J809" s="203"/>
      <c r="K809" s="200"/>
      <c r="L809" s="200"/>
      <c r="M809" s="37"/>
      <c r="N809" s="37"/>
      <c r="O809" s="153"/>
      <c r="P809" s="45"/>
      <c r="Q809" s="54"/>
      <c r="R809" s="257"/>
      <c r="S809" s="258"/>
      <c r="T809" s="258"/>
      <c r="U809" s="38"/>
      <c r="V809" s="259"/>
      <c r="W809" s="256"/>
      <c r="X809" s="256"/>
      <c r="Y809" s="256"/>
      <c r="Z809" s="256"/>
      <c r="AA809" s="54"/>
      <c r="AB809" s="200"/>
      <c r="AC809" s="31"/>
      <c r="AD809" s="184"/>
      <c r="AE809" s="51"/>
      <c r="AF809" s="52"/>
      <c r="AG809" s="41"/>
      <c r="AH809" s="45"/>
      <c r="AI809" s="28"/>
      <c r="AJ809" s="28"/>
      <c r="AK809" s="28"/>
      <c r="AL809" s="28"/>
      <c r="AM809" s="12"/>
      <c r="AN809" s="12"/>
      <c r="AO809" s="12"/>
      <c r="AP809" s="12"/>
      <c r="AQ809" s="12"/>
      <c r="AR809" s="13"/>
      <c r="AS809" s="14"/>
    </row>
    <row r="810" spans="1:45" s="16" customFormat="1" ht="30.95" hidden="1" customHeight="1" x14ac:dyDescent="0.2">
      <c r="A810" s="35"/>
      <c r="B810" s="36"/>
      <c r="C810" s="43"/>
      <c r="D810" s="29">
        <v>3712090</v>
      </c>
      <c r="E810" s="29">
        <v>4140953</v>
      </c>
      <c r="F810" s="255" t="str">
        <f>IF(D810="","",VLOOKUP(D810,契約台帳!$A$3:$K$4986,6,FALSE)&amp;VLOOKUP(D810,契約台帳!$A$3:$K$4986,7,FALSE)&amp;VLOOKUP(D810,契約台帳!$A$3:$K$4986,8,FALSE)&amp;VLOOKUP(D810,契約台帳!$A$3:$K$4986,9,FALSE)&amp;VLOOKUP(D810,契約台帳!$A$3:$K$4986,11,FALSE))</f>
        <v>3SNMCLBMSNEYK</v>
      </c>
      <c r="G810" s="256" t="str">
        <f>IF(D810="","",VLOOKUP(F810,製品マスタ!$G$5:$H$4999,2,FALSE))</f>
        <v>S</v>
      </c>
      <c r="H810" s="256" t="str">
        <f>IF(D810="","",VLOOKUP(F810,製品マスタ!$G$5:$K$4999,5,FALSE))</f>
        <v>MSNEYK</v>
      </c>
      <c r="I810" s="200" t="str">
        <f>IF(D810="","",VLOOKUP(F810,製品マスタ!$G$5:$L$4999,6,FALSE))</f>
        <v>ＭＳＮ　ＥＹＫ</v>
      </c>
      <c r="J810" s="203" t="s">
        <v>447</v>
      </c>
      <c r="K810" s="200">
        <f>IF(D810="","",VLOOKUP(D810,契約台帳!$A$3:$L$4986,12,FALSE))</f>
        <v>50</v>
      </c>
      <c r="L810" s="200" t="str">
        <f>IF(D810="","",INDEX(製品マスタ!$Q$5:$Q$4999,MATCH('S4'!F810&amp;'S4'!K810,製品マスタ!$AO$5:$AO$4999,0)))</f>
        <v>N-MAT</v>
      </c>
      <c r="M810" s="37">
        <v>1200</v>
      </c>
      <c r="N810" s="37">
        <v>12000</v>
      </c>
      <c r="O810" s="153">
        <v>3</v>
      </c>
      <c r="P810" s="45">
        <v>3</v>
      </c>
      <c r="Q810" s="54"/>
      <c r="R810" s="257">
        <f ca="1">IF(D810="","",IF(OFFSET(D810,-1,0)&lt;&gt;"","",IF(OR(J810="リード付け",J810="巻足し",J810="巻返しリード付け"),M810,VLOOKUP(D810,契約台帳!$A$3:$N$4986,14,FALSE))))</f>
        <v>1200</v>
      </c>
      <c r="S810" s="258">
        <f ca="1">IF(D810="","",IF(OFFSET(D810,-1,0)&lt;&gt;"","",IF(OR(J810="リード付け",J810="巻足し",J810="巻返しリード付け"),M810,VLOOKUP(D810,契約台帳!$A$3:$O$4986,15,FALSE))))</f>
        <v>1190</v>
      </c>
      <c r="T810" s="258">
        <f ca="1">IF(D810="","",IF(J810="リード付け",N810,IF(J810="巻返しリード付け",N810,IF(J810="巻足し",N810*P810+OFFSET(N810,1,0)*OFFSET(P810,1,0),VLOOKUP(D810,契約台帳!$A$3:$P$4986,16,FALSE)))))</f>
        <v>6000</v>
      </c>
      <c r="U810" s="38">
        <v>6</v>
      </c>
      <c r="V810" s="259">
        <f ca="1">IF(D810="","",IF(OFFSET(D810,-2,0)=D810,"",VLOOKUP(D810,契約台帳!$A$3:$R$4986,18,FALSE)))</f>
        <v>6</v>
      </c>
      <c r="W810" s="256" t="str">
        <f ca="1">IF(D810="","",IF(T810="","",IF(OR(J810="巻足し",J810="巻返しリード付け"),"",IF(J810="巻返し",VLOOKUP(F810&amp;K810&amp;M810,製品マスタ!$M$5:$AD$4999,18,FALSE),IF(OR(J810="リード付け",J810="巻返しリード付け"),"原反コア",IF(J810="スリット",VLOOKUP(F810&amp;K810&amp;R810,製品マスタ!$N$5:$AD$4999,17,FALSE),""))))))</f>
        <v>6ｲﾝﾁMｺｱ</v>
      </c>
      <c r="X810" s="256">
        <f ca="1">IF(D810="","",IF(T810="","",IF(J810="巻足し","",IF(J810="巻返し",VLOOKUP(F810&amp;K810&amp;M810,製品マスタ!$M$5:$AE$4999,19,FALSE),IF(OR(J810="リード付け",J810="巻返しリード付け"),"",IF(J810="スリット",VLOOKUP(F810&amp;K810&amp;R810,製品マスタ!$N$5:$AE$4999,18,FALSE),""))))))</f>
        <v>1220</v>
      </c>
      <c r="Y810" s="256">
        <f ca="1">IF(D810="","",IF(T810="","",VLOOKUP(D810,契約台帳!$A$3:$Q$4986,17,FALSE)))</f>
        <v>2</v>
      </c>
      <c r="Z810" s="256" t="str">
        <f ca="1">IF(D810="","",IF(T810="","",VLOOKUP(D810,契約台帳!$A$3:$E$4986,5,FALSE)))</f>
        <v>大阪シーリング印刷㈱</v>
      </c>
      <c r="AA810" s="54"/>
      <c r="AB810" s="200" t="str">
        <f>IFERROR((VLOOKUP(F810&amp;K810&amp;M810,製品マスタ!$M$5:$AM$4999,27,FALSE)),"")</f>
        <v>原反ケース再利用</v>
      </c>
      <c r="AC810" s="31"/>
      <c r="AD810" s="184"/>
      <c r="AE810" s="51"/>
      <c r="AF810" s="52"/>
      <c r="AG810" s="41"/>
      <c r="AH810" s="45"/>
      <c r="AI810" s="28"/>
      <c r="AJ810" s="28"/>
      <c r="AK810" s="28"/>
      <c r="AL810" s="28"/>
      <c r="AM810" s="12"/>
      <c r="AN810" s="12"/>
      <c r="AO810" s="12"/>
      <c r="AP810" s="12"/>
      <c r="AQ810" s="12"/>
      <c r="AR810" s="13"/>
      <c r="AS810" s="14"/>
    </row>
    <row r="811" spans="1:45" s="16" customFormat="1" ht="30.95" hidden="1" customHeight="1" x14ac:dyDescent="0.2">
      <c r="A811" s="35"/>
      <c r="B811" s="36"/>
      <c r="C811" s="43"/>
      <c r="D811" s="29"/>
      <c r="E811" s="29"/>
      <c r="F811" s="255"/>
      <c r="G811" s="256"/>
      <c r="H811" s="256"/>
      <c r="I811" s="200"/>
      <c r="J811" s="203"/>
      <c r="K811" s="200"/>
      <c r="L811" s="200"/>
      <c r="M811" s="37"/>
      <c r="N811" s="37"/>
      <c r="O811" s="153"/>
      <c r="P811" s="45"/>
      <c r="Q811" s="54"/>
      <c r="R811" s="257"/>
      <c r="S811" s="258"/>
      <c r="T811" s="258"/>
      <c r="U811" s="38"/>
      <c r="V811" s="259"/>
      <c r="W811" s="256"/>
      <c r="X811" s="256"/>
      <c r="Y811" s="256"/>
      <c r="Z811" s="256"/>
      <c r="AA811" s="54"/>
      <c r="AB811" s="200"/>
      <c r="AC811" s="31"/>
      <c r="AD811" s="184"/>
      <c r="AE811" s="51"/>
      <c r="AF811" s="52"/>
      <c r="AG811" s="41"/>
      <c r="AH811" s="45"/>
      <c r="AI811" s="28"/>
      <c r="AJ811" s="28"/>
      <c r="AK811" s="28"/>
      <c r="AL811" s="28"/>
      <c r="AM811" s="12"/>
      <c r="AN811" s="12"/>
      <c r="AO811" s="12"/>
      <c r="AP811" s="12"/>
      <c r="AQ811" s="12"/>
      <c r="AR811" s="13"/>
      <c r="AS811" s="14"/>
    </row>
    <row r="812" spans="1:45" s="16" customFormat="1" ht="30.95" hidden="1" customHeight="1" x14ac:dyDescent="0.2">
      <c r="A812" s="35" t="s">
        <v>499</v>
      </c>
      <c r="B812" s="36" t="s">
        <v>443</v>
      </c>
      <c r="C812" s="43"/>
      <c r="D812" s="29">
        <v>3717593</v>
      </c>
      <c r="E812" s="29">
        <v>4140975</v>
      </c>
      <c r="F812" s="255" t="str">
        <f>IF(D812="","",VLOOKUP(D812,契約台帳!$A$3:$K$4986,6,FALSE)&amp;VLOOKUP(D812,契約台帳!$A$3:$K$4986,7,FALSE)&amp;VLOOKUP(D812,契約台帳!$A$3:$K$4986,8,FALSE)&amp;VLOOKUP(D812,契約台帳!$A$3:$K$4986,9,FALSE)&amp;VLOOKUP(D812,契約台帳!$A$3:$K$4986,11,FALSE))</f>
        <v>3SNMCLBNGKVB</v>
      </c>
      <c r="G812" s="256" t="str">
        <f>IF(D812="","",VLOOKUP(F812,製品マスタ!$G$5:$H$4999,2,FALSE))</f>
        <v>S</v>
      </c>
      <c r="H812" s="256" t="str">
        <f>IF(D812="","",VLOOKUP(F812,製品マスタ!$G$5:$K$4999,5,FALSE))</f>
        <v>NGKVB</v>
      </c>
      <c r="I812" s="200" t="str">
        <f>IF(D812="","",VLOOKUP(F812,製品マスタ!$G$5:$L$4999,6,FALSE))</f>
        <v>メタルミー　ネーマー銀消　ＶＢ</v>
      </c>
      <c r="J812" s="203" t="s">
        <v>447</v>
      </c>
      <c r="K812" s="200">
        <f>IF(D812="","",VLOOKUP(D812,契約台帳!$A$3:$L$4986,12,FALSE))</f>
        <v>50</v>
      </c>
      <c r="L812" s="200" t="str">
        <f>IF(D812="","",INDEX(製品マスタ!$Q$5:$Q$4999,MATCH('S4'!F812&amp;'S4'!K812,製品マスタ!$AO$5:$AO$4999,0)))</f>
        <v>MAT</v>
      </c>
      <c r="M812" s="37">
        <v>1005</v>
      </c>
      <c r="N812" s="37">
        <v>12300</v>
      </c>
      <c r="O812" s="153">
        <v>1</v>
      </c>
      <c r="P812" s="45">
        <v>1</v>
      </c>
      <c r="Q812" s="54"/>
      <c r="R812" s="257">
        <f ca="1">IF(D812="","",IF(OFFSET(D812,-1,0)&lt;&gt;"","",IF(OR(J812="リード付け",J812="巻足し",J812="巻返しリード付け"),M812,VLOOKUP(D812,契約台帳!$A$3:$N$4986,14,FALSE))))</f>
        <v>1005</v>
      </c>
      <c r="S812" s="258">
        <f ca="1">IF(D812="","",IF(OFFSET(D812,-1,0)&lt;&gt;"","",IF(OR(J812="リード付け",J812="巻足し",J812="巻返しリード付け"),M812,VLOOKUP(D812,契約台帳!$A$3:$O$4986,15,FALSE))))</f>
        <v>1000</v>
      </c>
      <c r="T812" s="258">
        <f ca="1">IF(D812="","",IF(J812="リード付け",N812,IF(J812="巻返しリード付け",N812,IF(J812="巻足し",N812*P812+OFFSET(N812,1,0)*OFFSET(P812,1,0),VLOOKUP(D812,契約台帳!$A$3:$P$4986,16,FALSE)))))</f>
        <v>4100</v>
      </c>
      <c r="U812" s="38">
        <v>3</v>
      </c>
      <c r="V812" s="259">
        <f ca="1">IF(D812="","",IF(OFFSET(D812,-2,0)=D812,"",VLOOKUP(D812,契約台帳!$A$3:$R$4986,18,FALSE)))</f>
        <v>3</v>
      </c>
      <c r="W812" s="256" t="str">
        <f ca="1">IF(D812="","",IF(T812="","",IF(OR(J812="巻足し",J812="巻返しリード付け"),"",IF(J812="巻返し",VLOOKUP(F812&amp;K812&amp;M812,製品マスタ!$M$5:$AD$4999,18,FALSE),IF(OR(J812="リード付け",J812="巻返しリード付け"),"原反コア",IF(J812="スリット",VLOOKUP(F812&amp;K812&amp;R812,製品マスタ!$N$5:$AD$4999,17,FALSE),""))))))</f>
        <v>6ｲﾝﾁMｺｱ</v>
      </c>
      <c r="X812" s="256">
        <f ca="1">IF(D812="","",IF(T812="","",IF(J812="巻足し","",IF(J812="巻返し",VLOOKUP(F812&amp;K812&amp;M812,製品マスタ!$M$5:$AE$4999,19,FALSE),IF(OR(J812="リード付け",J812="巻返しリード付け"),"",IF(J812="スリット",VLOOKUP(F812&amp;K812&amp;R812,製品マスタ!$N$5:$AE$4999,18,FALSE),""))))))</f>
        <v>1020</v>
      </c>
      <c r="Y812" s="256">
        <f ca="1">IF(D812="","",IF(T812="","",VLOOKUP(D812,契約台帳!$A$3:$Q$4986,17,FALSE)))</f>
        <v>2</v>
      </c>
      <c r="Z812" s="256" t="str">
        <f ca="1">IF(D812="","",IF(T812="","",VLOOKUP(D812,契約台帳!$A$3:$E$4986,5,FALSE)))</f>
        <v>リンテック㈱</v>
      </c>
      <c r="AA812" s="54"/>
      <c r="AB812" s="200">
        <f>IFERROR((VLOOKUP(F812&amp;K812&amp;M812,製品マスタ!$M$5:$AM$4999,27,FALSE)),"")</f>
        <v>0</v>
      </c>
      <c r="AC812" s="31"/>
      <c r="AD812" s="184"/>
      <c r="AE812" s="51"/>
      <c r="AF812" s="52"/>
      <c r="AG812" s="41"/>
      <c r="AH812" s="45"/>
      <c r="AI812" s="28"/>
      <c r="AJ812" s="28"/>
      <c r="AK812" s="28"/>
      <c r="AL812" s="28"/>
      <c r="AM812" s="12"/>
      <c r="AN812" s="12"/>
      <c r="AO812" s="12"/>
      <c r="AP812" s="12"/>
      <c r="AQ812" s="12"/>
      <c r="AR812" s="13"/>
      <c r="AS812" s="14"/>
    </row>
    <row r="813" spans="1:45" s="16" customFormat="1" ht="30.95" hidden="1" customHeight="1" x14ac:dyDescent="0.2">
      <c r="A813" s="35"/>
      <c r="B813" s="36"/>
      <c r="C813" s="43"/>
      <c r="D813" s="29"/>
      <c r="E813" s="29"/>
      <c r="F813" s="255"/>
      <c r="G813" s="256"/>
      <c r="H813" s="256"/>
      <c r="I813" s="200"/>
      <c r="J813" s="203"/>
      <c r="K813" s="200"/>
      <c r="L813" s="200"/>
      <c r="M813" s="37"/>
      <c r="N813" s="37"/>
      <c r="O813" s="153"/>
      <c r="P813" s="45"/>
      <c r="Q813" s="54"/>
      <c r="R813" s="257"/>
      <c r="S813" s="258"/>
      <c r="T813" s="258"/>
      <c r="U813" s="38"/>
      <c r="V813" s="259"/>
      <c r="W813" s="256"/>
      <c r="X813" s="256"/>
      <c r="Y813" s="256"/>
      <c r="Z813" s="256"/>
      <c r="AA813" s="54"/>
      <c r="AB813" s="200"/>
      <c r="AC813" s="31"/>
      <c r="AD813" s="184"/>
      <c r="AE813" s="51"/>
      <c r="AF813" s="52"/>
      <c r="AG813" s="41"/>
      <c r="AH813" s="45"/>
      <c r="AI813" s="28"/>
      <c r="AJ813" s="28"/>
      <c r="AK813" s="28"/>
      <c r="AL813" s="28"/>
      <c r="AM813" s="12"/>
      <c r="AN813" s="12"/>
      <c r="AO813" s="12"/>
      <c r="AP813" s="12"/>
      <c r="AQ813" s="12"/>
      <c r="AR813" s="13"/>
      <c r="AS813" s="14"/>
    </row>
    <row r="814" spans="1:45" s="16" customFormat="1" ht="30.95" hidden="1" customHeight="1" x14ac:dyDescent="0.2">
      <c r="A814" s="35"/>
      <c r="B814" s="36"/>
      <c r="C814" s="43"/>
      <c r="D814" s="29">
        <v>3716265</v>
      </c>
      <c r="E814" s="29">
        <v>4140965</v>
      </c>
      <c r="F814" s="255" t="str">
        <f>IF(D814="","",VLOOKUP(D814,契約台帳!$A$3:$K$4986,6,FALSE)&amp;VLOOKUP(D814,契約台帳!$A$3:$K$4986,7,FALSE)&amp;VLOOKUP(D814,契約台帳!$A$3:$K$4986,8,FALSE)&amp;VLOOKUP(D814,契約台帳!$A$3:$K$4986,9,FALSE)&amp;VLOOKUP(D814,契約台帳!$A$3:$K$4986,11,FALSE))</f>
        <v>33SSNMCLBTEKKFV</v>
      </c>
      <c r="G814" s="256" t="str">
        <f>IF(D814="","",VLOOKUP(F814,製品マスタ!$G$5:$H$4999,2,FALSE))</f>
        <v>S</v>
      </c>
      <c r="H814" s="256" t="str">
        <f>IF(D814="","",VLOOKUP(F814,製品マスタ!$G$5:$K$4999,5,FALSE))</f>
        <v>TEKKFV</v>
      </c>
      <c r="I814" s="200" t="str">
        <f>IF(D814="","",VLOOKUP(F814,製品マスタ!$G$5:$L$4999,6,FALSE))</f>
        <v>メタルミー　ＴＥＳ消開封　Ｖ</v>
      </c>
      <c r="J814" s="203" t="s">
        <v>447</v>
      </c>
      <c r="K814" s="200">
        <f>IF(D814="","",VLOOKUP(D814,契約台帳!$A$3:$L$4986,12,FALSE))</f>
        <v>50</v>
      </c>
      <c r="L814" s="200" t="str">
        <f>IF(D814="","",INDEX(製品マスタ!$Q$5:$Q$4999,MATCH('S4'!F814&amp;'S4'!K814,製品マスタ!$AO$5:$AO$4999,0)))</f>
        <v>X44SEPA</v>
      </c>
      <c r="M814" s="37">
        <v>1005</v>
      </c>
      <c r="N814" s="37">
        <v>12000</v>
      </c>
      <c r="O814" s="153">
        <v>2</v>
      </c>
      <c r="P814" s="45">
        <v>2</v>
      </c>
      <c r="Q814" s="54"/>
      <c r="R814" s="257">
        <f ca="1">IF(D814="","",IF(OFFSET(D814,-1,0)&lt;&gt;"","",IF(OR(J814="リード付け",J814="巻足し",J814="巻返しリード付け"),M814,VLOOKUP(D814,契約台帳!$A$3:$N$4986,14,FALSE))))</f>
        <v>1005</v>
      </c>
      <c r="S814" s="258">
        <f ca="1">IF(D814="","",IF(OFFSET(D814,-1,0)&lt;&gt;"","",IF(OR(J814="リード付け",J814="巻足し",J814="巻返しリード付け"),M814,VLOOKUP(D814,契約台帳!$A$3:$O$4986,15,FALSE))))</f>
        <v>1000</v>
      </c>
      <c r="T814" s="258">
        <f ca="1">IF(D814="","",IF(J814="リード付け",N814,IF(J814="巻返しリード付け",N814,IF(J814="巻足し",N814*P814+OFFSET(N814,1,0)*OFFSET(P814,1,0),VLOOKUP(D814,契約台帳!$A$3:$P$4986,16,FALSE)))))</f>
        <v>4000</v>
      </c>
      <c r="U814" s="38">
        <v>6</v>
      </c>
      <c r="V814" s="259">
        <f ca="1">IF(D814="","",IF(OFFSET(D814,-2,0)=D814,"",VLOOKUP(D814,契約台帳!$A$3:$R$4986,18,FALSE)))</f>
        <v>6</v>
      </c>
      <c r="W814" s="256" t="str">
        <f ca="1">IF(D814="","",IF(T814="","",IF(OR(J814="巻足し",J814="巻返しリード付け"),"",IF(J814="巻返し",VLOOKUP(F814&amp;K814&amp;M814,製品マスタ!$M$5:$AD$4999,18,FALSE),IF(OR(J814="リード付け",J814="巻返しリード付け"),"原反コア",IF(J814="スリット",VLOOKUP(F814&amp;K814&amp;R814,製品マスタ!$N$5:$AD$4999,17,FALSE),""))))))</f>
        <v>6ｲﾝﾁSｺｱ</v>
      </c>
      <c r="X814" s="256">
        <f ca="1">IF(D814="","",IF(T814="","",IF(J814="巻足し","",IF(J814="巻返し",VLOOKUP(F814&amp;K814&amp;M814,製品マスタ!$M$5:$AE$4999,19,FALSE),IF(OR(J814="リード付け",J814="巻返しリード付け"),"",IF(J814="スリット",VLOOKUP(F814&amp;K814&amp;R814,製品マスタ!$N$5:$AE$4999,18,FALSE),""))))))</f>
        <v>1015</v>
      </c>
      <c r="Y814" s="256">
        <f ca="1">IF(D814="","",IF(T814="","",VLOOKUP(D814,契約台帳!$A$3:$Q$4986,17,FALSE)))</f>
        <v>2</v>
      </c>
      <c r="Z814" s="256" t="str">
        <f ca="1">IF(D814="","",IF(T814="","",VLOOKUP(D814,契約台帳!$A$3:$E$4986,5,FALSE)))</f>
        <v>リンテック㈱</v>
      </c>
      <c r="AA814" s="54"/>
      <c r="AB814" s="200">
        <f>IFERROR((VLOOKUP(F814&amp;K814&amp;M814,製品マスタ!$M$5:$AM$4999,27,FALSE)),"")</f>
        <v>0</v>
      </c>
      <c r="AC814" s="31"/>
      <c r="AD814" s="184"/>
      <c r="AE814" s="51"/>
      <c r="AF814" s="52"/>
      <c r="AG814" s="41"/>
      <c r="AH814" s="45"/>
      <c r="AI814" s="28"/>
      <c r="AJ814" s="28"/>
      <c r="AK814" s="28"/>
      <c r="AL814" s="28"/>
      <c r="AM814" s="12"/>
      <c r="AN814" s="12"/>
      <c r="AO814" s="12"/>
      <c r="AP814" s="12"/>
      <c r="AQ814" s="12"/>
      <c r="AR814" s="13"/>
      <c r="AS814" s="14"/>
    </row>
    <row r="815" spans="1:45" s="16" customFormat="1" ht="30.95" hidden="1" customHeight="1" x14ac:dyDescent="0.2">
      <c r="A815" s="35"/>
      <c r="B815" s="36"/>
      <c r="C815" s="43"/>
      <c r="D815" s="29"/>
      <c r="E815" s="29"/>
      <c r="F815" s="255"/>
      <c r="G815" s="256"/>
      <c r="H815" s="256"/>
      <c r="I815" s="200"/>
      <c r="J815" s="203"/>
      <c r="K815" s="200"/>
      <c r="L815" s="200"/>
      <c r="M815" s="37"/>
      <c r="N815" s="37"/>
      <c r="O815" s="153"/>
      <c r="P815" s="45"/>
      <c r="Q815" s="54"/>
      <c r="R815" s="257"/>
      <c r="S815" s="258"/>
      <c r="T815" s="258"/>
      <c r="U815" s="38"/>
      <c r="V815" s="259"/>
      <c r="W815" s="256"/>
      <c r="X815" s="256"/>
      <c r="Y815" s="256"/>
      <c r="Z815" s="256"/>
      <c r="AA815" s="54"/>
      <c r="AB815" s="200"/>
      <c r="AC815" s="31"/>
      <c r="AD815" s="184"/>
      <c r="AE815" s="51"/>
      <c r="AF815" s="52"/>
      <c r="AG815" s="41"/>
      <c r="AH815" s="45"/>
      <c r="AI815" s="28"/>
      <c r="AJ815" s="28"/>
      <c r="AK815" s="28"/>
      <c r="AL815" s="28"/>
      <c r="AM815" s="12"/>
      <c r="AN815" s="12"/>
      <c r="AO815" s="12"/>
      <c r="AP815" s="12"/>
      <c r="AQ815" s="12"/>
      <c r="AR815" s="13"/>
      <c r="AS815" s="14"/>
    </row>
    <row r="816" spans="1:45" s="16" customFormat="1" ht="30.95" hidden="1" customHeight="1" x14ac:dyDescent="0.2">
      <c r="A816" s="35"/>
      <c r="B816" s="36"/>
      <c r="C816" s="43"/>
      <c r="D816" s="29">
        <v>3717595</v>
      </c>
      <c r="E816" s="29">
        <v>4140976</v>
      </c>
      <c r="F816" s="255" t="str">
        <f>IF(D816="","",VLOOKUP(D816,契約台帳!$A$3:$K$4986,6,FALSE)&amp;VLOOKUP(D816,契約台帳!$A$3:$K$4986,7,FALSE)&amp;VLOOKUP(D816,契約台帳!$A$3:$K$4986,8,FALSE)&amp;VLOOKUP(D816,契約台帳!$A$3:$K$4986,9,FALSE)&amp;VLOOKUP(D816,契約台帳!$A$3:$K$4986,11,FALSE))</f>
        <v>3UNMCLBHLGKJV</v>
      </c>
      <c r="G816" s="256" t="str">
        <f>IF(D816="","",VLOOKUP(F816,製品マスタ!$G$5:$H$4999,2,FALSE))</f>
        <v>U</v>
      </c>
      <c r="H816" s="256" t="str">
        <f>IF(D816="","",VLOOKUP(F816,製品マスタ!$G$5:$K$4999,5,FALSE))</f>
        <v>HLGKJV</v>
      </c>
      <c r="I816" s="200" t="str">
        <f>IF(D816="","",VLOOKUP(F816,製品マスタ!$G$5:$L$4999,6,FALSE))</f>
        <v>メタルミー　ヘヤライン　銀消Ｖ</v>
      </c>
      <c r="J816" s="203" t="s">
        <v>447</v>
      </c>
      <c r="K816" s="200">
        <f>IF(D816="","",VLOOKUP(D816,契約台帳!$A$3:$L$4986,12,FALSE))</f>
        <v>50</v>
      </c>
      <c r="L816" s="200" t="str">
        <f>IF(D816="","",INDEX(製品マスタ!$Q$5:$Q$4999,MATCH('S4'!F816&amp;'S4'!K816,製品マスタ!$AO$5:$AO$4999,0)))</f>
        <v>HL-MAT</v>
      </c>
      <c r="M816" s="37">
        <v>1005</v>
      </c>
      <c r="N816" s="37">
        <v>12000</v>
      </c>
      <c r="O816" s="153">
        <v>1</v>
      </c>
      <c r="P816" s="45">
        <v>1</v>
      </c>
      <c r="Q816" s="54"/>
      <c r="R816" s="257">
        <f ca="1">IF(D816="","",IF(OFFSET(D816,-1,0)&lt;&gt;"","",IF(OR(J816="リード付け",J816="巻足し",J816="巻返しリード付け"),M816,VLOOKUP(D816,契約台帳!$A$3:$N$4986,14,FALSE))))</f>
        <v>1005</v>
      </c>
      <c r="S816" s="258">
        <f ca="1">IF(D816="","",IF(OFFSET(D816,-1,0)&lt;&gt;"","",IF(OR(J816="リード付け",J816="巻足し",J816="巻返しリード付け"),M816,VLOOKUP(D816,契約台帳!$A$3:$O$4986,15,FALSE))))</f>
        <v>1000</v>
      </c>
      <c r="T816" s="258">
        <f ca="1">IF(D816="","",IF(J816="リード付け",N816,IF(J816="巻返しリード付け",N816,IF(J816="巻足し",N816*P816+OFFSET(N816,1,0)*OFFSET(P816,1,0),VLOOKUP(D816,契約台帳!$A$3:$P$4986,16,FALSE)))))</f>
        <v>2000</v>
      </c>
      <c r="U816" s="38">
        <v>2</v>
      </c>
      <c r="V816" s="259">
        <f ca="1">IF(D816="","",IF(OFFSET(D816,-2,0)=D816,"",VLOOKUP(D816,契約台帳!$A$3:$R$4986,18,FALSE)))</f>
        <v>2</v>
      </c>
      <c r="W816" s="256" t="str">
        <f ca="1">IF(D816="","",IF(T816="","",IF(OR(J816="巻足し",J816="巻返しリード付け"),"",IF(J816="巻返し",VLOOKUP(F816&amp;K816&amp;M816,製品マスタ!$M$5:$AD$4999,18,FALSE),IF(OR(J816="リード付け",J816="巻返しリード付け"),"原反コア",IF(J816="スリット",VLOOKUP(F816&amp;K816&amp;R816,製品マスタ!$N$5:$AD$4999,17,FALSE),""))))))</f>
        <v>6ｲﾝﾁSｺｱ</v>
      </c>
      <c r="X816" s="256">
        <f ca="1">IF(D816="","",IF(T816="","",IF(J816="巻足し","",IF(J816="巻返し",VLOOKUP(F816&amp;K816&amp;M816,製品マスタ!$M$5:$AE$4999,19,FALSE),IF(OR(J816="リード付け",J816="巻返しリード付け"),"",IF(J816="スリット",VLOOKUP(F816&amp;K816&amp;R816,製品マスタ!$N$5:$AE$4999,18,FALSE),""))))))</f>
        <v>1015</v>
      </c>
      <c r="Y816" s="256">
        <f ca="1">IF(D816="","",IF(T816="","",VLOOKUP(D816,契約台帳!$A$3:$Q$4986,17,FALSE)))</f>
        <v>2</v>
      </c>
      <c r="Z816" s="256" t="str">
        <f ca="1">IF(D816="","",IF(T816="","",VLOOKUP(D816,契約台帳!$A$3:$E$4986,5,FALSE)))</f>
        <v>リンテック㈱</v>
      </c>
      <c r="AA816" s="54" t="s">
        <v>1254</v>
      </c>
      <c r="AB816" s="200" t="s">
        <v>774</v>
      </c>
      <c r="AC816" s="31"/>
      <c r="AD816" s="184"/>
      <c r="AE816" s="51"/>
      <c r="AF816" s="52"/>
      <c r="AG816" s="41"/>
      <c r="AH816" s="45"/>
      <c r="AI816" s="28"/>
      <c r="AJ816" s="28"/>
      <c r="AK816" s="28"/>
      <c r="AL816" s="28"/>
      <c r="AM816" s="12"/>
      <c r="AN816" s="12"/>
      <c r="AO816" s="12"/>
      <c r="AP816" s="12"/>
      <c r="AQ816" s="12"/>
      <c r="AR816" s="13"/>
      <c r="AS816" s="14"/>
    </row>
    <row r="817" spans="1:45" s="16" customFormat="1" ht="30.95" hidden="1" customHeight="1" x14ac:dyDescent="0.2">
      <c r="A817" s="35"/>
      <c r="B817" s="36"/>
      <c r="C817" s="43"/>
      <c r="D817" s="29">
        <v>3717596</v>
      </c>
      <c r="E817" s="29"/>
      <c r="F817" s="255" t="str">
        <f>IF(D817="","",VLOOKUP(D817,契約台帳!$A$3:$K$4986,6,FALSE)&amp;VLOOKUP(D817,契約台帳!$A$3:$K$4986,7,FALSE)&amp;VLOOKUP(D817,契約台帳!$A$3:$K$4986,8,FALSE)&amp;VLOOKUP(D817,契約台帳!$A$3:$K$4986,9,FALSE)&amp;VLOOKUP(D817,契約台帳!$A$3:$K$4986,11,FALSE))</f>
        <v>3UNMCLBHLGKJV</v>
      </c>
      <c r="G817" s="256" t="str">
        <f>IF(D817="","",VLOOKUP(F817,製品マスタ!$G$5:$H$4999,2,FALSE))</f>
        <v>U</v>
      </c>
      <c r="H817" s="256" t="str">
        <f>IF(D817="","",VLOOKUP(F817,製品マスタ!$G$5:$K$4999,5,FALSE))</f>
        <v>HLGKJV</v>
      </c>
      <c r="I817" s="200" t="str">
        <f>IF(D817="","",VLOOKUP(F817,製品マスタ!$G$5:$L$4999,6,FALSE))</f>
        <v>メタルミー　ヘヤライン　銀消Ｖ</v>
      </c>
      <c r="J817" s="203" t="s">
        <v>447</v>
      </c>
      <c r="K817" s="200">
        <f>IF(D817="","",VLOOKUP(D817,契約台帳!$A$3:$L$4986,12,FALSE))</f>
        <v>50</v>
      </c>
      <c r="L817" s="200" t="str">
        <f>IF(D817="","",INDEX(製品マスタ!$Q$5:$Q$4999,MATCH('S4'!F817&amp;'S4'!K817,製品マスタ!$AO$5:$AO$4999,0)))</f>
        <v>HL-MAT</v>
      </c>
      <c r="M817" s="37">
        <v>1005</v>
      </c>
      <c r="N817" s="37"/>
      <c r="O817" s="153"/>
      <c r="P817" s="45"/>
      <c r="Q817" s="54"/>
      <c r="R817" s="257" t="str">
        <f ca="1">IF(D817="","",IF(OFFSET(D817,-1,0)&lt;&gt;"","",IF(OR(J817="リード付け",J817="巻足し",J817="巻返しリード付け"),M817,VLOOKUP(D817,契約台帳!$A$3:$N$4986,14,FALSE))))</f>
        <v/>
      </c>
      <c r="S817" s="258" t="str">
        <f ca="1">IF(D817="","",IF(OFFSET(D817,-1,0)&lt;&gt;"","",IF(OR(J817="リード付け",J817="巻足し",J817="巻返しリード付け"),M817,VLOOKUP(D817,契約台帳!$A$3:$O$4986,15,FALSE))))</f>
        <v/>
      </c>
      <c r="T817" s="258">
        <f ca="1">IF(D817="","",IF(J817="リード付け",N817,IF(J817="巻返しリード付け",N817,IF(J817="巻足し",N817*P817+OFFSET(N817,1,0)*OFFSET(P817,1,0),VLOOKUP(D817,契約台帳!$A$3:$P$4986,16,FALSE)))))</f>
        <v>2000</v>
      </c>
      <c r="U817" s="38">
        <v>4</v>
      </c>
      <c r="V817" s="259">
        <f ca="1">IF(D817="","",IF(OFFSET(D817,-2,0)=D817,"",VLOOKUP(D817,契約台帳!$A$3:$R$4986,18,FALSE)))</f>
        <v>4</v>
      </c>
      <c r="W817" s="256" t="str">
        <f ca="1">IF(D817="","",IF(T817="","",IF(OR(J817="巻足し",J817="巻返しリード付け"),"",IF(J817="巻返し",VLOOKUP(F817&amp;K817&amp;M817,製品マスタ!$M$5:$AD$4999,18,FALSE),IF(OR(J817="リード付け",J817="巻返しリード付け"),"原反コア",IF(J817="スリット",VLOOKUP(F817&amp;K817&amp;R817,製品マスタ!$N$5:$AD$4999,17,FALSE),""))))))</f>
        <v>6ｲﾝﾁSｺｱ</v>
      </c>
      <c r="X817" s="256">
        <f ca="1">IF(D817="","",IF(T817="","",IF(J817="巻足し","",IF(J817="巻返し",VLOOKUP(F817&amp;K817&amp;M817,製品マスタ!$M$5:$AE$4999,19,FALSE),IF(OR(J817="リード付け",J817="巻返しリード付け"),"",IF(J817="スリット",VLOOKUP(F817&amp;K817&amp;R817,製品マスタ!$N$5:$AE$4999,18,FALSE),""))))))</f>
        <v>1015</v>
      </c>
      <c r="Y817" s="256">
        <f ca="1">IF(D817="","",IF(T817="","",VLOOKUP(D817,契約台帳!$A$3:$Q$4986,17,FALSE)))</f>
        <v>2</v>
      </c>
      <c r="Z817" s="256" t="str">
        <f ca="1">IF(D817="","",IF(T817="","",VLOOKUP(D817,契約台帳!$A$3:$E$4986,5,FALSE)))</f>
        <v>リンテック㈱</v>
      </c>
      <c r="AA817" s="54" t="s">
        <v>1254</v>
      </c>
      <c r="AB817" s="200" t="s">
        <v>774</v>
      </c>
      <c r="AC817" s="31"/>
      <c r="AD817" s="184"/>
      <c r="AE817" s="51"/>
      <c r="AF817" s="52"/>
      <c r="AG817" s="41"/>
      <c r="AH817" s="45"/>
      <c r="AI817" s="28"/>
      <c r="AJ817" s="28"/>
      <c r="AK817" s="28"/>
      <c r="AL817" s="28"/>
      <c r="AM817" s="12"/>
      <c r="AN817" s="12"/>
      <c r="AO817" s="12"/>
      <c r="AP817" s="12"/>
      <c r="AQ817" s="12"/>
      <c r="AR817" s="13"/>
      <c r="AS817" s="14"/>
    </row>
    <row r="818" spans="1:45" s="16" customFormat="1" ht="30.95" hidden="1" customHeight="1" x14ac:dyDescent="0.2">
      <c r="A818" s="35"/>
      <c r="B818" s="36"/>
      <c r="C818" s="43"/>
      <c r="D818" s="29"/>
      <c r="E818" s="29"/>
      <c r="F818" s="255"/>
      <c r="G818" s="256"/>
      <c r="H818" s="256"/>
      <c r="I818" s="200"/>
      <c r="J818" s="203"/>
      <c r="K818" s="200"/>
      <c r="L818" s="200"/>
      <c r="M818" s="37"/>
      <c r="N818" s="37"/>
      <c r="O818" s="153"/>
      <c r="P818" s="45"/>
      <c r="Q818" s="54"/>
      <c r="R818" s="257"/>
      <c r="S818" s="258"/>
      <c r="T818" s="258"/>
      <c r="U818" s="38"/>
      <c r="V818" s="259"/>
      <c r="W818" s="256"/>
      <c r="X818" s="256"/>
      <c r="Y818" s="256"/>
      <c r="Z818" s="256"/>
      <c r="AA818" s="54"/>
      <c r="AB818" s="200"/>
      <c r="AC818" s="31"/>
      <c r="AD818" s="184"/>
      <c r="AE818" s="51"/>
      <c r="AF818" s="52"/>
      <c r="AG818" s="41"/>
      <c r="AH818" s="45"/>
      <c r="AI818" s="28"/>
      <c r="AJ818" s="28"/>
      <c r="AK818" s="28"/>
      <c r="AL818" s="28"/>
      <c r="AM818" s="12"/>
      <c r="AN818" s="12"/>
      <c r="AO818" s="12"/>
      <c r="AP818" s="12"/>
      <c r="AQ818" s="12"/>
      <c r="AR818" s="13"/>
      <c r="AS818" s="14"/>
    </row>
    <row r="819" spans="1:45" s="16" customFormat="1" ht="30.95" hidden="1" customHeight="1" x14ac:dyDescent="0.2">
      <c r="A819" s="35" t="s">
        <v>1333</v>
      </c>
      <c r="B819" s="302" t="s">
        <v>1334</v>
      </c>
      <c r="C819" s="43"/>
      <c r="D819" s="29">
        <v>3717604</v>
      </c>
      <c r="E819" s="29">
        <v>4140981</v>
      </c>
      <c r="F819" s="255" t="str">
        <f>IF(D819="","",VLOOKUP(D819,契約台帳!$A$3:$K$4986,6,FALSE)&amp;VLOOKUP(D819,契約台帳!$A$3:$K$4986,7,FALSE)&amp;VLOOKUP(D819,契約台帳!$A$3:$K$4986,8,FALSE)&amp;VLOOKUP(D819,契約台帳!$A$3:$K$4986,9,FALSE)&amp;VLOOKUP(D819,契約台帳!$A$3:$K$4986,11,FALSE))</f>
        <v>3UNMCLBHLGTV</v>
      </c>
      <c r="G819" s="256" t="str">
        <f>IF(D819="","",VLOOKUP(F819,製品マスタ!$G$5:$H$4999,2,FALSE))</f>
        <v>U</v>
      </c>
      <c r="H819" s="256" t="str">
        <f>IF(D819="","",VLOOKUP(F819,製品マスタ!$G$5:$K$4999,5,FALSE))</f>
        <v>HLGTV</v>
      </c>
      <c r="I819" s="200" t="str">
        <f>IF(D819="","",VLOOKUP(F819,製品マスタ!$G$5:$L$4999,6,FALSE))</f>
        <v>メタルミー　ヘヤライン　銀艶Ｖ</v>
      </c>
      <c r="J819" s="203" t="s">
        <v>447</v>
      </c>
      <c r="K819" s="200">
        <f>IF(D819="","",VLOOKUP(D819,契約台帳!$A$3:$L$4986,12,FALSE))</f>
        <v>25</v>
      </c>
      <c r="L819" s="200" t="str">
        <f>IF(D819="","",INDEX(製品マスタ!$Q$5:$Q$4999,MATCH('S4'!F819&amp;'S4'!K819,製品マスタ!$AO$5:$AO$4999,0)))</f>
        <v>BRIGHT</v>
      </c>
      <c r="M819" s="37">
        <v>1005</v>
      </c>
      <c r="N819" s="37">
        <v>16000</v>
      </c>
      <c r="O819" s="153">
        <v>2</v>
      </c>
      <c r="P819" s="45">
        <v>2</v>
      </c>
      <c r="Q819" s="54"/>
      <c r="R819" s="257">
        <f ca="1">IF(D819="","",IF(OFFSET(D819,-1,0)&lt;&gt;"","",IF(OR(J819="リード付け",J819="巻足し",J819="巻返しリード付け"),M819,VLOOKUP(D819,契約台帳!$A$3:$N$4986,14,FALSE))))</f>
        <v>1005</v>
      </c>
      <c r="S819" s="258">
        <f ca="1">IF(D819="","",IF(OFFSET(D819,-1,0)&lt;&gt;"","",IF(OR(J819="リード付け",J819="巻足し",J819="巻返しリード付け"),M819,VLOOKUP(D819,契約台帳!$A$3:$O$4986,15,FALSE))))</f>
        <v>1000</v>
      </c>
      <c r="T819" s="258">
        <f ca="1">IF(D819="","",IF(J819="リード付け",N819,IF(J819="巻返しリード付け",N819,IF(J819="巻足し",N819*P819+OFFSET(N819,1,0)*OFFSET(P819,1,0),VLOOKUP(D819,契約台帳!$A$3:$P$4986,16,FALSE)))))</f>
        <v>2000</v>
      </c>
      <c r="U819" s="38">
        <v>4</v>
      </c>
      <c r="V819" s="259">
        <f ca="1">IF(D819="","",IF(OFFSET(D819,-2,0)=D819,"",VLOOKUP(D819,契約台帳!$A$3:$R$4986,18,FALSE)))</f>
        <v>4</v>
      </c>
      <c r="W819" s="256" t="str">
        <f ca="1">IF(D819="","",IF(T819="","",IF(OR(J819="巻足し",J819="巻返しリード付け"),"",IF(J819="巻返し",VLOOKUP(F819&amp;K819&amp;M819,製品マスタ!$M$5:$AD$4999,18,FALSE),IF(OR(J819="リード付け",J819="巻返しリード付け"),"原反コア",IF(J819="スリット",VLOOKUP(F819&amp;K819&amp;R819,製品マスタ!$N$5:$AD$4999,17,FALSE),""))))))</f>
        <v>6ｲﾝﾁSｺｱ</v>
      </c>
      <c r="X819" s="256">
        <f ca="1">IF(D819="","",IF(T819="","",IF(J819="巻足し","",IF(J819="巻返し",VLOOKUP(F819&amp;K819&amp;M819,製品マスタ!$M$5:$AE$4999,19,FALSE),IF(OR(J819="リード付け",J819="巻返しリード付け"),"",IF(J819="スリット",VLOOKUP(F819&amp;K819&amp;R819,製品マスタ!$N$5:$AE$4999,18,FALSE),""))))))</f>
        <v>1015</v>
      </c>
      <c r="Y819" s="256">
        <f ca="1">IF(D819="","",IF(T819="","",VLOOKUP(D819,契約台帳!$A$3:$Q$4986,17,FALSE)))</f>
        <v>2</v>
      </c>
      <c r="Z819" s="256" t="str">
        <f ca="1">IF(D819="","",IF(T819="","",VLOOKUP(D819,契約台帳!$A$3:$E$4986,5,FALSE)))</f>
        <v>リンテック㈱</v>
      </c>
      <c r="AA819" s="54" t="s">
        <v>1254</v>
      </c>
      <c r="AB819" s="200" t="s">
        <v>774</v>
      </c>
      <c r="AC819" s="31"/>
      <c r="AD819" s="184"/>
      <c r="AE819" s="51"/>
      <c r="AF819" s="52"/>
      <c r="AG819" s="41"/>
      <c r="AH819" s="45"/>
      <c r="AI819" s="28"/>
      <c r="AJ819" s="28"/>
      <c r="AK819" s="28"/>
      <c r="AL819" s="28"/>
      <c r="AM819" s="12"/>
      <c r="AN819" s="12"/>
      <c r="AO819" s="12"/>
      <c r="AP819" s="12"/>
      <c r="AQ819" s="12"/>
      <c r="AR819" s="13"/>
      <c r="AS819" s="14"/>
    </row>
    <row r="820" spans="1:45" s="16" customFormat="1" ht="30.95" hidden="1" customHeight="1" x14ac:dyDescent="0.2">
      <c r="A820" s="35"/>
      <c r="B820" s="36"/>
      <c r="C820" s="43"/>
      <c r="D820" s="29"/>
      <c r="E820" s="29"/>
      <c r="F820" s="255"/>
      <c r="G820" s="256"/>
      <c r="H820" s="256"/>
      <c r="I820" s="200"/>
      <c r="J820" s="203"/>
      <c r="K820" s="200"/>
      <c r="L820" s="200"/>
      <c r="M820" s="37"/>
      <c r="N820" s="37"/>
      <c r="O820" s="153"/>
      <c r="P820" s="45"/>
      <c r="Q820" s="54"/>
      <c r="R820" s="257"/>
      <c r="S820" s="258"/>
      <c r="T820" s="258">
        <v>6000</v>
      </c>
      <c r="U820" s="38">
        <v>4</v>
      </c>
      <c r="V820" s="259">
        <v>4</v>
      </c>
      <c r="W820" s="256" t="s">
        <v>806</v>
      </c>
      <c r="X820" s="256">
        <v>1015</v>
      </c>
      <c r="Y820" s="256">
        <v>2</v>
      </c>
      <c r="Z820" s="256" t="s">
        <v>116</v>
      </c>
      <c r="AA820" s="54" t="s">
        <v>1254</v>
      </c>
      <c r="AB820" s="200" t="s">
        <v>774</v>
      </c>
      <c r="AC820" s="31"/>
      <c r="AD820" s="184"/>
      <c r="AE820" s="51"/>
      <c r="AF820" s="52"/>
      <c r="AG820" s="41"/>
      <c r="AH820" s="45"/>
      <c r="AI820" s="28"/>
      <c r="AJ820" s="28"/>
      <c r="AK820" s="28"/>
      <c r="AL820" s="28"/>
      <c r="AM820" s="12"/>
      <c r="AN820" s="12"/>
      <c r="AO820" s="12"/>
      <c r="AP820" s="12"/>
      <c r="AQ820" s="12"/>
      <c r="AR820" s="13"/>
      <c r="AS820" s="14"/>
    </row>
    <row r="821" spans="1:45" s="16" customFormat="1" ht="30.95" hidden="1" customHeight="1" x14ac:dyDescent="0.2">
      <c r="A821" s="35"/>
      <c r="B821" s="36"/>
      <c r="C821" s="43"/>
      <c r="D821" s="29"/>
      <c r="E821" s="29"/>
      <c r="F821" s="255"/>
      <c r="G821" s="256"/>
      <c r="H821" s="256"/>
      <c r="I821" s="200"/>
      <c r="J821" s="203"/>
      <c r="K821" s="200"/>
      <c r="L821" s="200"/>
      <c r="M821" s="37"/>
      <c r="N821" s="37"/>
      <c r="O821" s="153"/>
      <c r="P821" s="45"/>
      <c r="Q821" s="54"/>
      <c r="R821" s="257"/>
      <c r="S821" s="258"/>
      <c r="T821" s="258"/>
      <c r="U821" s="38"/>
      <c r="V821" s="259"/>
      <c r="W821" s="256"/>
      <c r="X821" s="256"/>
      <c r="Y821" s="256"/>
      <c r="Z821" s="256"/>
      <c r="AA821" s="54"/>
      <c r="AB821" s="200"/>
      <c r="AC821" s="31"/>
      <c r="AD821" s="184"/>
      <c r="AE821" s="51"/>
      <c r="AF821" s="52"/>
      <c r="AG821" s="41"/>
      <c r="AH821" s="45"/>
      <c r="AI821" s="28"/>
      <c r="AJ821" s="28"/>
      <c r="AK821" s="28"/>
      <c r="AL821" s="28"/>
      <c r="AM821" s="12"/>
      <c r="AN821" s="12"/>
      <c r="AO821" s="12"/>
      <c r="AP821" s="12"/>
      <c r="AQ821" s="12"/>
      <c r="AR821" s="13"/>
      <c r="AS821" s="14"/>
    </row>
    <row r="822" spans="1:45" s="16" customFormat="1" ht="30.95" hidden="1" customHeight="1" x14ac:dyDescent="0.2">
      <c r="A822" s="35"/>
      <c r="B822" s="36"/>
      <c r="C822" s="43"/>
      <c r="D822" s="29" t="s">
        <v>1305</v>
      </c>
      <c r="E822" s="29" t="s">
        <v>1306</v>
      </c>
      <c r="F822" s="255" t="s">
        <v>1304</v>
      </c>
      <c r="G822" s="256" t="s">
        <v>269</v>
      </c>
      <c r="H822" s="256" t="s">
        <v>172</v>
      </c>
      <c r="I822" s="200" t="s">
        <v>1307</v>
      </c>
      <c r="J822" s="203" t="s">
        <v>447</v>
      </c>
      <c r="K822" s="200">
        <v>50</v>
      </c>
      <c r="L822" s="200" t="s">
        <v>178</v>
      </c>
      <c r="M822" s="37">
        <v>1005</v>
      </c>
      <c r="N822" s="37">
        <v>2800</v>
      </c>
      <c r="O822" s="153">
        <v>1</v>
      </c>
      <c r="P822" s="45">
        <v>1</v>
      </c>
      <c r="Q822" s="54"/>
      <c r="R822" s="257">
        <v>1005</v>
      </c>
      <c r="S822" s="258">
        <v>1000</v>
      </c>
      <c r="T822" s="258">
        <v>2300</v>
      </c>
      <c r="U822" s="38">
        <v>1</v>
      </c>
      <c r="V822" s="259">
        <v>1</v>
      </c>
      <c r="W822" s="256" t="s">
        <v>806</v>
      </c>
      <c r="X822" s="256">
        <v>1015</v>
      </c>
      <c r="Y822" s="256">
        <v>2</v>
      </c>
      <c r="Z822" s="256" t="s">
        <v>116</v>
      </c>
      <c r="AA822" s="54" t="s">
        <v>1254</v>
      </c>
      <c r="AB822" s="200" t="s">
        <v>774</v>
      </c>
      <c r="AC822" s="31"/>
      <c r="AD822" s="184"/>
      <c r="AE822" s="51"/>
      <c r="AF822" s="52"/>
      <c r="AG822" s="41"/>
      <c r="AH822" s="45"/>
      <c r="AI822" s="28"/>
      <c r="AJ822" s="28"/>
      <c r="AK822" s="28"/>
      <c r="AL822" s="28"/>
      <c r="AM822" s="12"/>
      <c r="AN822" s="12"/>
      <c r="AO822" s="12"/>
      <c r="AP822" s="12"/>
      <c r="AQ822" s="12"/>
      <c r="AR822" s="13"/>
      <c r="AS822" s="14"/>
    </row>
    <row r="823" spans="1:45" s="16" customFormat="1" ht="30.95" hidden="1" customHeight="1" x14ac:dyDescent="0.2">
      <c r="A823" s="35"/>
      <c r="B823" s="36"/>
      <c r="C823" s="43"/>
      <c r="D823" s="29" t="s">
        <v>1305</v>
      </c>
      <c r="E823" s="29" t="s">
        <v>1306</v>
      </c>
      <c r="F823" s="255" t="s">
        <v>1304</v>
      </c>
      <c r="G823" s="256" t="s">
        <v>269</v>
      </c>
      <c r="H823" s="256" t="s">
        <v>172</v>
      </c>
      <c r="I823" s="200" t="s">
        <v>1308</v>
      </c>
      <c r="J823" s="203" t="s">
        <v>447</v>
      </c>
      <c r="K823" s="200">
        <v>50</v>
      </c>
      <c r="L823" s="200" t="s">
        <v>174</v>
      </c>
      <c r="M823" s="37">
        <v>1005</v>
      </c>
      <c r="N823" s="37"/>
      <c r="O823" s="153"/>
      <c r="P823" s="45"/>
      <c r="Q823" s="54"/>
      <c r="R823" s="257" t="s">
        <v>928</v>
      </c>
      <c r="S823" s="258" t="s">
        <v>928</v>
      </c>
      <c r="T823" s="258">
        <v>500</v>
      </c>
      <c r="U823" s="38">
        <v>1</v>
      </c>
      <c r="V823" s="259">
        <v>1</v>
      </c>
      <c r="W823" s="256" t="s">
        <v>806</v>
      </c>
      <c r="X823" s="256">
        <v>1015</v>
      </c>
      <c r="Y823" s="256">
        <v>2</v>
      </c>
      <c r="Z823" s="256" t="s">
        <v>116</v>
      </c>
      <c r="AA823" s="54" t="s">
        <v>1315</v>
      </c>
      <c r="AB823" s="200" t="s">
        <v>774</v>
      </c>
      <c r="AC823" s="31"/>
      <c r="AD823" s="184"/>
      <c r="AE823" s="51"/>
      <c r="AF823" s="52"/>
      <c r="AG823" s="41"/>
      <c r="AH823" s="45"/>
      <c r="AI823" s="28"/>
      <c r="AJ823" s="28"/>
      <c r="AK823" s="28"/>
      <c r="AL823" s="28"/>
      <c r="AM823" s="12"/>
      <c r="AN823" s="12"/>
      <c r="AO823" s="12"/>
      <c r="AP823" s="12"/>
      <c r="AQ823" s="12"/>
      <c r="AR823" s="13"/>
      <c r="AS823" s="14"/>
    </row>
    <row r="824" spans="1:45" s="16" customFormat="1" ht="30.95" hidden="1" customHeight="1" x14ac:dyDescent="0.2">
      <c r="A824" s="35"/>
      <c r="B824" s="36"/>
      <c r="C824" s="43"/>
      <c r="D824" s="29"/>
      <c r="E824" s="29"/>
      <c r="F824" s="255"/>
      <c r="G824" s="256"/>
      <c r="H824" s="256"/>
      <c r="I824" s="200"/>
      <c r="J824" s="203"/>
      <c r="K824" s="200"/>
      <c r="L824" s="200"/>
      <c r="M824" s="37"/>
      <c r="N824" s="37"/>
      <c r="O824" s="153"/>
      <c r="P824" s="45"/>
      <c r="Q824" s="54"/>
      <c r="R824" s="257"/>
      <c r="S824" s="258"/>
      <c r="T824" s="258"/>
      <c r="U824" s="38"/>
      <c r="V824" s="259"/>
      <c r="W824" s="256"/>
      <c r="X824" s="256"/>
      <c r="Y824" s="256"/>
      <c r="Z824" s="256"/>
      <c r="AA824" s="54"/>
      <c r="AB824" s="200"/>
      <c r="AC824" s="31"/>
      <c r="AD824" s="184"/>
      <c r="AE824" s="51"/>
      <c r="AF824" s="52"/>
      <c r="AG824" s="41"/>
      <c r="AH824" s="45"/>
      <c r="AI824" s="28"/>
      <c r="AJ824" s="28"/>
      <c r="AK824" s="28"/>
      <c r="AL824" s="28"/>
      <c r="AM824" s="12"/>
      <c r="AN824" s="12"/>
      <c r="AO824" s="12"/>
      <c r="AP824" s="12"/>
      <c r="AQ824" s="12"/>
      <c r="AR824" s="13"/>
      <c r="AS824" s="14"/>
    </row>
    <row r="825" spans="1:45" s="16" customFormat="1" ht="30.95" hidden="1" customHeight="1" x14ac:dyDescent="0.2">
      <c r="A825" s="35" t="s">
        <v>518</v>
      </c>
      <c r="B825" s="36" t="s">
        <v>445</v>
      </c>
      <c r="C825" s="43"/>
      <c r="D825" s="29" t="s">
        <v>1276</v>
      </c>
      <c r="E825" s="29" t="s">
        <v>1277</v>
      </c>
      <c r="F825" s="298" t="e">
        <v>#N/A</v>
      </c>
      <c r="G825" s="29" t="e">
        <v>#N/A</v>
      </c>
      <c r="H825" s="29" t="e">
        <v>#N/A</v>
      </c>
      <c r="I825" s="299" t="s">
        <v>1274</v>
      </c>
      <c r="J825" s="203" t="s">
        <v>447</v>
      </c>
      <c r="K825" s="299">
        <v>100</v>
      </c>
      <c r="L825" s="299" t="s">
        <v>1268</v>
      </c>
      <c r="M825" s="37">
        <v>1100</v>
      </c>
      <c r="N825" s="37">
        <v>1600</v>
      </c>
      <c r="O825" s="153">
        <v>1</v>
      </c>
      <c r="P825" s="45">
        <v>1</v>
      </c>
      <c r="Q825" s="54"/>
      <c r="R825" s="41">
        <v>1100</v>
      </c>
      <c r="S825" s="37">
        <v>1100</v>
      </c>
      <c r="T825" s="37">
        <v>1600</v>
      </c>
      <c r="U825" s="38">
        <v>1</v>
      </c>
      <c r="V825" s="38">
        <v>1</v>
      </c>
      <c r="W825" s="29" t="s">
        <v>806</v>
      </c>
      <c r="X825" s="29">
        <v>1125</v>
      </c>
      <c r="Y825" s="29">
        <v>2</v>
      </c>
      <c r="Z825" s="29" t="s">
        <v>1275</v>
      </c>
      <c r="AA825" s="54"/>
      <c r="AB825" s="200" t="s">
        <v>928</v>
      </c>
      <c r="AC825" s="31"/>
      <c r="AD825" s="184"/>
      <c r="AE825" s="51"/>
      <c r="AF825" s="52"/>
      <c r="AG825" s="41"/>
      <c r="AH825" s="45"/>
      <c r="AI825" s="28"/>
      <c r="AJ825" s="28"/>
      <c r="AK825" s="28"/>
      <c r="AL825" s="12"/>
      <c r="AM825" s="12"/>
      <c r="AN825" s="12"/>
      <c r="AO825" s="12"/>
      <c r="AP825" s="12"/>
      <c r="AQ825" s="13"/>
      <c r="AR825" s="14"/>
    </row>
    <row r="826" spans="1:45" s="16" customFormat="1" ht="30.95" hidden="1" customHeight="1" x14ac:dyDescent="0.2">
      <c r="A826" s="35"/>
      <c r="B826" s="36"/>
      <c r="C826" s="43"/>
      <c r="D826" s="29"/>
      <c r="E826" s="29"/>
      <c r="F826" s="255"/>
      <c r="G826" s="256"/>
      <c r="H826" s="256"/>
      <c r="I826" s="200"/>
      <c r="J826" s="203"/>
      <c r="K826" s="200"/>
      <c r="L826" s="200"/>
      <c r="M826" s="37"/>
      <c r="N826" s="37"/>
      <c r="O826" s="153"/>
      <c r="P826" s="45"/>
      <c r="Q826" s="54"/>
      <c r="R826" s="257"/>
      <c r="S826" s="258"/>
      <c r="T826" s="258"/>
      <c r="U826" s="38"/>
      <c r="V826" s="259"/>
      <c r="W826" s="256"/>
      <c r="X826" s="256"/>
      <c r="Y826" s="256"/>
      <c r="Z826" s="256"/>
      <c r="AA826" s="54"/>
      <c r="AB826" s="200"/>
      <c r="AC826" s="31"/>
      <c r="AD826" s="184"/>
      <c r="AE826" s="51"/>
      <c r="AF826" s="52"/>
      <c r="AG826" s="41"/>
      <c r="AH826" s="45"/>
      <c r="AI826" s="28"/>
      <c r="AJ826" s="28"/>
      <c r="AK826" s="28"/>
      <c r="AL826" s="28"/>
      <c r="AM826" s="12"/>
      <c r="AN826" s="12"/>
      <c r="AO826" s="12"/>
      <c r="AP826" s="12"/>
      <c r="AQ826" s="12"/>
      <c r="AR826" s="13"/>
      <c r="AS826" s="14"/>
    </row>
    <row r="827" spans="1:45" s="16" customFormat="1" ht="30.95" hidden="1" customHeight="1" x14ac:dyDescent="0.2">
      <c r="A827" s="35"/>
      <c r="B827" s="36"/>
      <c r="C827" s="43"/>
      <c r="D827" s="29"/>
      <c r="E827" s="29"/>
      <c r="F827" s="255"/>
      <c r="G827" s="256"/>
      <c r="H827" s="256"/>
      <c r="I827" s="200"/>
      <c r="J827" s="203" t="s">
        <v>1335</v>
      </c>
      <c r="K827" s="200"/>
      <c r="L827" s="200"/>
      <c r="M827" s="37"/>
      <c r="N827" s="37"/>
      <c r="O827" s="153"/>
      <c r="P827" s="45"/>
      <c r="Q827" s="54"/>
      <c r="R827" s="257"/>
      <c r="S827" s="258"/>
      <c r="T827" s="258"/>
      <c r="U827" s="38"/>
      <c r="V827" s="259"/>
      <c r="W827" s="256"/>
      <c r="X827" s="256"/>
      <c r="Y827" s="256"/>
      <c r="Z827" s="256"/>
      <c r="AA827" s="54"/>
      <c r="AB827" s="200"/>
      <c r="AC827" s="31"/>
      <c r="AD827" s="184"/>
      <c r="AE827" s="51"/>
      <c r="AF827" s="52"/>
      <c r="AG827" s="41"/>
      <c r="AH827" s="45"/>
      <c r="AI827" s="28"/>
      <c r="AJ827" s="28"/>
      <c r="AK827" s="28"/>
      <c r="AL827" s="28"/>
      <c r="AM827" s="12"/>
      <c r="AN827" s="12"/>
      <c r="AO827" s="12"/>
      <c r="AP827" s="12"/>
      <c r="AQ827" s="12"/>
      <c r="AR827" s="13"/>
      <c r="AS827" s="14"/>
    </row>
    <row r="828" spans="1:45" s="16" customFormat="1" ht="30.95" hidden="1" customHeight="1" x14ac:dyDescent="0.2">
      <c r="A828" s="35"/>
      <c r="B828" s="36"/>
      <c r="C828" s="43"/>
      <c r="D828" s="29"/>
      <c r="E828" s="29"/>
      <c r="F828" s="255"/>
      <c r="G828" s="256"/>
      <c r="H828" s="256"/>
      <c r="I828" s="200"/>
      <c r="J828" s="203"/>
      <c r="K828" s="200"/>
      <c r="L828" s="200"/>
      <c r="M828" s="37"/>
      <c r="N828" s="37"/>
      <c r="O828" s="153"/>
      <c r="P828" s="45"/>
      <c r="Q828" s="54"/>
      <c r="R828" s="257"/>
      <c r="S828" s="258"/>
      <c r="T828" s="258"/>
      <c r="U828" s="38"/>
      <c r="V828" s="259"/>
      <c r="W828" s="256"/>
      <c r="X828" s="256"/>
      <c r="Y828" s="256"/>
      <c r="Z828" s="256"/>
      <c r="AA828" s="54"/>
      <c r="AB828" s="200"/>
      <c r="AC828" s="31"/>
      <c r="AD828" s="184"/>
      <c r="AE828" s="51"/>
      <c r="AF828" s="52"/>
      <c r="AG828" s="41"/>
      <c r="AH828" s="45"/>
      <c r="AI828" s="28"/>
      <c r="AJ828" s="28"/>
      <c r="AK828" s="28"/>
      <c r="AL828" s="28"/>
      <c r="AM828" s="12"/>
      <c r="AN828" s="12"/>
      <c r="AO828" s="12"/>
      <c r="AP828" s="12"/>
      <c r="AQ828" s="12"/>
      <c r="AR828" s="13"/>
      <c r="AS828" s="14"/>
    </row>
    <row r="829" spans="1:45" s="16" customFormat="1" ht="30.95" hidden="1" customHeight="1" x14ac:dyDescent="0.2">
      <c r="A829" s="35"/>
      <c r="B829" s="36"/>
      <c r="C829" s="43"/>
      <c r="D829" s="29"/>
      <c r="E829" s="29"/>
      <c r="F829" s="255"/>
      <c r="G829" s="256"/>
      <c r="H829" s="256"/>
      <c r="I829" s="200"/>
      <c r="J829" s="203" t="s">
        <v>1336</v>
      </c>
      <c r="K829" s="200"/>
      <c r="L829" s="200"/>
      <c r="M829" s="37"/>
      <c r="N829" s="37"/>
      <c r="O829" s="153"/>
      <c r="P829" s="45"/>
      <c r="Q829" s="54"/>
      <c r="R829" s="257"/>
      <c r="S829" s="258"/>
      <c r="T829" s="258"/>
      <c r="U829" s="38"/>
      <c r="V829" s="259"/>
      <c r="W829" s="256"/>
      <c r="X829" s="256"/>
      <c r="Y829" s="256"/>
      <c r="Z829" s="256"/>
      <c r="AA829" s="54"/>
      <c r="AB829" s="200"/>
      <c r="AC829" s="31"/>
      <c r="AD829" s="184"/>
      <c r="AE829" s="51"/>
      <c r="AF829" s="52"/>
      <c r="AG829" s="41"/>
      <c r="AH829" s="45"/>
      <c r="AI829" s="28"/>
      <c r="AJ829" s="28"/>
      <c r="AK829" s="28"/>
      <c r="AL829" s="28"/>
      <c r="AM829" s="12"/>
      <c r="AN829" s="12"/>
      <c r="AO829" s="12"/>
      <c r="AP829" s="12"/>
      <c r="AQ829" s="12"/>
      <c r="AR829" s="13"/>
      <c r="AS829" s="14"/>
    </row>
    <row r="830" spans="1:45" s="16" customFormat="1" ht="30.95" hidden="1" customHeight="1" x14ac:dyDescent="0.2">
      <c r="A830" s="35"/>
      <c r="B830" s="36"/>
      <c r="C830" s="43"/>
      <c r="D830" s="29"/>
      <c r="E830" s="29"/>
      <c r="F830" s="255"/>
      <c r="G830" s="256"/>
      <c r="H830" s="256"/>
      <c r="I830" s="200"/>
      <c r="J830" s="203"/>
      <c r="K830" s="200"/>
      <c r="L830" s="200"/>
      <c r="M830" s="37"/>
      <c r="N830" s="37"/>
      <c r="O830" s="153"/>
      <c r="P830" s="45"/>
      <c r="Q830" s="54"/>
      <c r="R830" s="257"/>
      <c r="S830" s="258"/>
      <c r="T830" s="258"/>
      <c r="U830" s="38"/>
      <c r="V830" s="259"/>
      <c r="W830" s="256"/>
      <c r="X830" s="256"/>
      <c r="Y830" s="256"/>
      <c r="Z830" s="256"/>
      <c r="AA830" s="54"/>
      <c r="AB830" s="200"/>
      <c r="AC830" s="31"/>
      <c r="AD830" s="184"/>
      <c r="AE830" s="51"/>
      <c r="AF830" s="52"/>
      <c r="AG830" s="41"/>
      <c r="AH830" s="45"/>
      <c r="AI830" s="28"/>
      <c r="AJ830" s="28"/>
      <c r="AK830" s="28"/>
      <c r="AL830" s="28"/>
      <c r="AM830" s="12"/>
      <c r="AN830" s="12"/>
      <c r="AO830" s="12"/>
      <c r="AP830" s="12"/>
      <c r="AQ830" s="12"/>
      <c r="AR830" s="13"/>
      <c r="AS830" s="14"/>
    </row>
    <row r="831" spans="1:45" s="16" customFormat="1" ht="30.95" hidden="1" customHeight="1" x14ac:dyDescent="0.2">
      <c r="A831" s="35" t="s">
        <v>1309</v>
      </c>
      <c r="B831" s="36" t="s">
        <v>1301</v>
      </c>
      <c r="C831" s="43"/>
      <c r="D831" s="29"/>
      <c r="E831" s="29"/>
      <c r="F831" s="255"/>
      <c r="G831" s="256"/>
      <c r="H831" s="256"/>
      <c r="I831" s="200"/>
      <c r="J831" s="203" t="s">
        <v>1310</v>
      </c>
      <c r="K831" s="200"/>
      <c r="L831" s="200"/>
      <c r="M831" s="37"/>
      <c r="N831" s="37"/>
      <c r="O831" s="153"/>
      <c r="P831" s="45"/>
      <c r="Q831" s="54"/>
      <c r="R831" s="257"/>
      <c r="S831" s="258"/>
      <c r="T831" s="258"/>
      <c r="U831" s="38"/>
      <c r="V831" s="259"/>
      <c r="W831" s="256"/>
      <c r="X831" s="256"/>
      <c r="Y831" s="256"/>
      <c r="Z831" s="256"/>
      <c r="AA831" s="54"/>
      <c r="AB831" s="200"/>
      <c r="AC831" s="31"/>
      <c r="AD831" s="184"/>
      <c r="AE831" s="51"/>
      <c r="AF831" s="52"/>
      <c r="AG831" s="41"/>
      <c r="AH831" s="45"/>
      <c r="AI831" s="28"/>
      <c r="AJ831" s="28"/>
      <c r="AK831" s="28"/>
      <c r="AL831" s="28"/>
      <c r="AM831" s="12"/>
      <c r="AN831" s="12"/>
      <c r="AO831" s="12"/>
      <c r="AP831" s="12"/>
      <c r="AQ831" s="12"/>
      <c r="AR831" s="13"/>
      <c r="AS831" s="14"/>
    </row>
    <row r="832" spans="1:45" s="16" customFormat="1" ht="30.95" hidden="1" customHeight="1" x14ac:dyDescent="0.2">
      <c r="A832" s="35"/>
      <c r="B832" s="36"/>
      <c r="C832" s="43"/>
      <c r="D832" s="29"/>
      <c r="E832" s="29"/>
      <c r="F832" s="255"/>
      <c r="G832" s="256"/>
      <c r="H832" s="256"/>
      <c r="I832" s="200"/>
      <c r="J832" s="203"/>
      <c r="K832" s="200"/>
      <c r="L832" s="200"/>
      <c r="M832" s="37"/>
      <c r="N832" s="37"/>
      <c r="O832" s="153"/>
      <c r="P832" s="45"/>
      <c r="Q832" s="54"/>
      <c r="R832" s="257"/>
      <c r="S832" s="258"/>
      <c r="T832" s="258"/>
      <c r="U832" s="38"/>
      <c r="V832" s="259"/>
      <c r="W832" s="256"/>
      <c r="X832" s="256"/>
      <c r="Y832" s="256"/>
      <c r="Z832" s="256"/>
      <c r="AA832" s="54"/>
      <c r="AB832" s="200"/>
      <c r="AC832" s="31"/>
      <c r="AD832" s="184"/>
      <c r="AE832" s="51"/>
      <c r="AF832" s="52"/>
      <c r="AG832" s="41"/>
      <c r="AH832" s="45"/>
      <c r="AI832" s="28"/>
      <c r="AJ832" s="28"/>
      <c r="AK832" s="28"/>
      <c r="AL832" s="28"/>
      <c r="AM832" s="12"/>
      <c r="AN832" s="12"/>
      <c r="AO832" s="12"/>
      <c r="AP832" s="12"/>
      <c r="AQ832" s="12"/>
      <c r="AR832" s="13"/>
      <c r="AS832" s="14"/>
    </row>
    <row r="833" spans="1:45" s="16" customFormat="1" ht="30.95" hidden="1" customHeight="1" x14ac:dyDescent="0.2">
      <c r="A833" s="35" t="s">
        <v>1311</v>
      </c>
      <c r="B833" s="36" t="s">
        <v>1303</v>
      </c>
      <c r="C833" s="43"/>
      <c r="D833" s="29"/>
      <c r="E833" s="29"/>
      <c r="F833" s="255"/>
      <c r="G833" s="256"/>
      <c r="H833" s="256"/>
      <c r="I833" s="200"/>
      <c r="J833" s="203" t="s">
        <v>489</v>
      </c>
      <c r="K833" s="200"/>
      <c r="L833" s="200"/>
      <c r="M833" s="37"/>
      <c r="N833" s="37"/>
      <c r="O833" s="153"/>
      <c r="P833" s="45"/>
      <c r="Q833" s="54"/>
      <c r="R833" s="257"/>
      <c r="S833" s="258"/>
      <c r="T833" s="258"/>
      <c r="U833" s="38"/>
      <c r="V833" s="259"/>
      <c r="W833" s="256"/>
      <c r="X833" s="256"/>
      <c r="Y833" s="256"/>
      <c r="Z833" s="256"/>
      <c r="AA833" s="54"/>
      <c r="AB833" s="200"/>
      <c r="AC833" s="31"/>
      <c r="AD833" s="184"/>
      <c r="AE833" s="51"/>
      <c r="AF833" s="52"/>
      <c r="AG833" s="41"/>
      <c r="AH833" s="45"/>
      <c r="AI833" s="28"/>
      <c r="AJ833" s="28"/>
      <c r="AK833" s="28"/>
      <c r="AL833" s="28"/>
      <c r="AM833" s="12"/>
      <c r="AN833" s="12"/>
      <c r="AO833" s="12"/>
      <c r="AP833" s="12"/>
      <c r="AQ833" s="12"/>
      <c r="AR833" s="13"/>
      <c r="AS833" s="14"/>
    </row>
    <row r="834" spans="1:45" s="16" customFormat="1" ht="30.95" hidden="1" customHeight="1" x14ac:dyDescent="0.2">
      <c r="A834" s="35"/>
      <c r="B834" s="36"/>
      <c r="C834" s="43"/>
      <c r="D834" s="29"/>
      <c r="E834" s="29"/>
      <c r="F834" s="255"/>
      <c r="G834" s="256"/>
      <c r="H834" s="256"/>
      <c r="I834" s="200"/>
      <c r="J834" s="203"/>
      <c r="K834" s="200"/>
      <c r="L834" s="200"/>
      <c r="M834" s="37"/>
      <c r="N834" s="37"/>
      <c r="O834" s="153"/>
      <c r="P834" s="45"/>
      <c r="Q834" s="54"/>
      <c r="R834" s="257"/>
      <c r="S834" s="258"/>
      <c r="T834" s="258"/>
      <c r="U834" s="38"/>
      <c r="V834" s="259"/>
      <c r="W834" s="256"/>
      <c r="X834" s="256"/>
      <c r="Y834" s="256"/>
      <c r="Z834" s="256"/>
      <c r="AA834" s="54"/>
      <c r="AB834" s="200"/>
      <c r="AC834" s="31"/>
      <c r="AD834" s="184"/>
      <c r="AE834" s="51"/>
      <c r="AF834" s="52"/>
      <c r="AG834" s="41"/>
      <c r="AH834" s="45"/>
      <c r="AI834" s="28"/>
      <c r="AJ834" s="28"/>
      <c r="AK834" s="28"/>
      <c r="AL834" s="28"/>
      <c r="AM834" s="12"/>
      <c r="AN834" s="12"/>
      <c r="AO834" s="12"/>
      <c r="AP834" s="12"/>
      <c r="AQ834" s="12"/>
      <c r="AR834" s="13"/>
      <c r="AS834" s="14"/>
    </row>
    <row r="835" spans="1:45" s="16" customFormat="1" ht="30.95" hidden="1" customHeight="1" x14ac:dyDescent="0.2">
      <c r="A835" s="35" t="s">
        <v>1337</v>
      </c>
      <c r="B835" s="36" t="s">
        <v>1338</v>
      </c>
      <c r="C835" s="43"/>
      <c r="D835" s="29">
        <v>3721214</v>
      </c>
      <c r="E835" s="29">
        <v>4162002</v>
      </c>
      <c r="F835" s="255" t="str">
        <f>IF(D835="","",VLOOKUP(D835,契約台帳!$A$3:$K$4986,6,FALSE)&amp;VLOOKUP(D835,契約台帳!$A$3:$K$4986,7,FALSE)&amp;VLOOKUP(D835,契約台帳!$A$3:$K$4986,8,FALSE)&amp;VLOOKUP(D835,契約台帳!$A$3:$K$4986,9,FALSE)&amp;VLOOKUP(D835,契約台帳!$A$3:$K$4986,11,FALSE))</f>
        <v>3SNMLBMNGTBF</v>
      </c>
      <c r="G835" s="256" t="str">
        <f>IF(D835="","",VLOOKUP(F835,製品マスタ!$G$5:$H$4999,2,FALSE))</f>
        <v>S</v>
      </c>
      <c r="H835" s="256" t="str">
        <f>IF(D835="","",VLOOKUP(F835,製品マスタ!$G$5:$K$4999,5,FALSE))</f>
        <v>MNGTBF</v>
      </c>
      <c r="I835" s="200" t="str">
        <f>IF(D835="","",VLOOKUP(F835,製品マスタ!$G$5:$L$4999,6,FALSE))</f>
        <v>メタルミー　ネーマー　銀艶　Ｂ</v>
      </c>
      <c r="J835" s="203" t="s">
        <v>935</v>
      </c>
      <c r="K835" s="200">
        <f>IF(D835="","",VLOOKUP(D835,契約台帳!$A$3:$L$4986,12,FALSE))</f>
        <v>50</v>
      </c>
      <c r="L835" s="200" t="str">
        <f>IF(D835="","",INDEX(製品マスタ!$Q$5:$Q$4999,MATCH('S4'!F835&amp;'S4'!K835,製品マスタ!$AO$5:$AO$4999,0)))</f>
        <v>T62</v>
      </c>
      <c r="M835" s="37">
        <v>1120</v>
      </c>
      <c r="N835" s="37">
        <v>5000</v>
      </c>
      <c r="O835" s="153">
        <v>12</v>
      </c>
      <c r="P835" s="45">
        <v>2</v>
      </c>
      <c r="Q835" s="206">
        <v>45131</v>
      </c>
      <c r="R835" s="257">
        <f ca="1">IF(D835="","",IF(OFFSET(D835,-1,0)&lt;&gt;"","",IF(OR(J835="リード付け",J835="巻足し",J835="巻返しリード付け"),M835,VLOOKUP(D835,契約台帳!$A$3:$N$4986,14,FALSE))))</f>
        <v>1120</v>
      </c>
      <c r="S835" s="258">
        <f ca="1">IF(D835="","",IF(OFFSET(D835,-1,0)&lt;&gt;"","",IF(OR(J835="リード付け",J835="巻足し",J835="巻返しリード付け"),M835,VLOOKUP(D835,契約台帳!$A$3:$O$4986,15,FALSE))))</f>
        <v>1120</v>
      </c>
      <c r="T835" s="258">
        <f ca="1">IF(D835="","",IF(J835="リード付け",N835,IF(J835="巻返しリード付け",N835,IF(J835="巻足し",N835*P835+OFFSET(N835,1,0)*OFFSET(P835,1,0),VLOOKUP(D835,契約台帳!$A$3:$P$4986,16,FALSE)))))</f>
        <v>10000</v>
      </c>
      <c r="U835" s="38">
        <v>6</v>
      </c>
      <c r="V835" s="259">
        <f ca="1">IF(D835="","",IF(OFFSET(D835,-2,0)=D835,"",VLOOKUP(D835,契約台帳!$A$3:$R$4986,18,FALSE)))</f>
        <v>13</v>
      </c>
      <c r="W835" s="256" t="str">
        <f ca="1">IF(D835="","",IF(T835="","",IF(OR(J835="巻足し",J835="巻返しリード付け"),"",IF(J835="巻返し",VLOOKUP(F835&amp;K835&amp;M835,製品マスタ!$M$5:$AD$4999,18,FALSE),IF(OR(J835="リード付け",J835="巻返しリード付け"),"原反コア",IF(J835="スリット",VLOOKUP(F835&amp;K835&amp;R835,製品マスタ!$N$5:$AD$4999,17,FALSE),""))))))</f>
        <v/>
      </c>
      <c r="X835" s="256" t="str">
        <f ca="1">IF(D835="","",IF(T835="","",IF(J835="巻足し","",IF(J835="巻返し",VLOOKUP(F835&amp;K835&amp;M835,製品マスタ!$M$5:$AE$4999,19,FALSE),IF(OR(J835="リード付け",J835="巻返しリード付け"),"",IF(J835="スリット",VLOOKUP(F835&amp;K835&amp;R835,製品マスタ!$N$5:$AE$4999,18,FALSE),""))))))</f>
        <v/>
      </c>
      <c r="Y835" s="256">
        <f ca="1">IF(D835="","",IF(T835="","",VLOOKUP(D835,契約台帳!$A$3:$Q$4986,17,FALSE)))</f>
        <v>2</v>
      </c>
      <c r="Z835" s="256" t="str">
        <f ca="1">IF(D835="","",IF(T835="","",VLOOKUP(D835,契約台帳!$A$3:$E$4986,5,FALSE)))</f>
        <v>リンテック㈱</v>
      </c>
      <c r="AA835" s="54"/>
      <c r="AB835" s="200" t="str">
        <f>IFERROR((VLOOKUP(F835&amp;K835&amp;M835,製品マスタ!$M$5:$AM$4999,27,FALSE)),"")</f>
        <v>原反ケース再利用</v>
      </c>
      <c r="AC835" s="31"/>
      <c r="AD835" s="184"/>
      <c r="AE835" s="51"/>
      <c r="AF835" s="52">
        <f>+M835*N835*O835/1000</f>
        <v>67200</v>
      </c>
      <c r="AG835" s="41"/>
      <c r="AH835" s="45"/>
      <c r="AI835" s="28"/>
      <c r="AJ835" s="28"/>
      <c r="AK835" s="28"/>
      <c r="AL835" s="28"/>
      <c r="AM835" s="12"/>
      <c r="AN835" s="12"/>
      <c r="AO835" s="12"/>
      <c r="AP835" s="12"/>
      <c r="AQ835" s="12"/>
      <c r="AR835" s="13"/>
      <c r="AS835" s="14"/>
    </row>
    <row r="836" spans="1:45" s="16" customFormat="1" ht="30.95" hidden="1" customHeight="1" x14ac:dyDescent="0.2">
      <c r="A836" s="35"/>
      <c r="B836" s="36"/>
      <c r="C836" s="43"/>
      <c r="D836" s="29"/>
      <c r="E836" s="29"/>
      <c r="F836" s="255"/>
      <c r="G836" s="256"/>
      <c r="H836" s="256"/>
      <c r="I836" s="200"/>
      <c r="J836" s="203"/>
      <c r="K836" s="200"/>
      <c r="L836" s="200"/>
      <c r="M836" s="37"/>
      <c r="N836" s="37"/>
      <c r="O836" s="153"/>
      <c r="P836" s="45"/>
      <c r="Q836" s="54"/>
      <c r="R836" s="257"/>
      <c r="S836" s="258"/>
      <c r="T836" s="258"/>
      <c r="U836" s="38"/>
      <c r="V836" s="259"/>
      <c r="W836" s="256"/>
      <c r="X836" s="256"/>
      <c r="Y836" s="256"/>
      <c r="Z836" s="256"/>
      <c r="AA836" s="54"/>
      <c r="AB836" s="200" t="str">
        <f>IFERROR((VLOOKUP(F836&amp;K836&amp;M836,製品マスタ!$M$5:$AM$4999,27,FALSE)),"")</f>
        <v/>
      </c>
      <c r="AC836" s="31"/>
      <c r="AD836" s="184"/>
      <c r="AE836" s="51"/>
      <c r="AF836" s="52"/>
      <c r="AG836" s="41"/>
      <c r="AH836" s="45"/>
      <c r="AI836" s="28"/>
      <c r="AJ836" s="28"/>
      <c r="AK836" s="28"/>
      <c r="AL836" s="28"/>
      <c r="AM836" s="12"/>
      <c r="AN836" s="12"/>
      <c r="AO836" s="12"/>
      <c r="AP836" s="12"/>
      <c r="AQ836" s="12"/>
      <c r="AR836" s="13"/>
      <c r="AS836" s="14"/>
    </row>
    <row r="837" spans="1:45" s="16" customFormat="1" ht="30.95" hidden="1" customHeight="1" x14ac:dyDescent="0.2">
      <c r="A837" s="35"/>
      <c r="B837" s="36"/>
      <c r="C837" s="43"/>
      <c r="D837" s="29">
        <v>3721214</v>
      </c>
      <c r="E837" s="29">
        <v>4162002</v>
      </c>
      <c r="F837" s="255" t="str">
        <f>IF(D837="","",VLOOKUP(D837,契約台帳!$A$3:$K$4986,6,FALSE)&amp;VLOOKUP(D837,契約台帳!$A$3:$K$4986,7,FALSE)&amp;VLOOKUP(D837,契約台帳!$A$3:$K$4986,8,FALSE)&amp;VLOOKUP(D837,契約台帳!$A$3:$K$4986,9,FALSE)&amp;VLOOKUP(D837,契約台帳!$A$3:$K$4986,11,FALSE))</f>
        <v>3SNMLBMNGTBF</v>
      </c>
      <c r="G837" s="256" t="str">
        <f>IF(D837="","",VLOOKUP(F837,製品マスタ!$G$5:$H$4999,2,FALSE))</f>
        <v>S</v>
      </c>
      <c r="H837" s="256" t="str">
        <f>IF(D837="","",VLOOKUP(F837,製品マスタ!$G$5:$K$4999,5,FALSE))</f>
        <v>MNGTBF</v>
      </c>
      <c r="I837" s="200" t="str">
        <f>IF(D837="","",VLOOKUP(F837,製品マスタ!$G$5:$L$4999,6,FALSE))</f>
        <v>メタルミー　ネーマー　銀艶　Ｂ</v>
      </c>
      <c r="J837" s="203" t="s">
        <v>935</v>
      </c>
      <c r="K837" s="200">
        <f>IF(D837="","",VLOOKUP(D837,契約台帳!$A$3:$L$4986,12,FALSE))</f>
        <v>50</v>
      </c>
      <c r="L837" s="200" t="str">
        <f>IF(D837="","",INDEX(製品マスタ!$Q$5:$Q$4999,MATCH('S4'!F837&amp;'S4'!K837,製品マスタ!$AO$5:$AO$4999,0)))</f>
        <v>T62</v>
      </c>
      <c r="M837" s="37">
        <v>1120</v>
      </c>
      <c r="N837" s="37">
        <v>5000</v>
      </c>
      <c r="O837" s="153">
        <v>1</v>
      </c>
      <c r="P837" s="45">
        <v>2</v>
      </c>
      <c r="Q837" s="206">
        <v>45131</v>
      </c>
      <c r="R837" s="257">
        <f ca="1">IF(D837="","",IF(OFFSET(D837,-1,0)&lt;&gt;"","",IF(OR(J837="リード付け",J837="巻足し",J837="巻返しリード付け"),M837,VLOOKUP(D837,契約台帳!$A$3:$N$4986,14,FALSE))))</f>
        <v>1120</v>
      </c>
      <c r="S837" s="258">
        <f ca="1">IF(D837="","",IF(OFFSET(D837,-1,0)&lt;&gt;"","",IF(OR(J837="リード付け",J837="巻足し",J837="巻返しリード付け"),M837,VLOOKUP(D837,契約台帳!$A$3:$O$4986,15,FALSE))))</f>
        <v>1120</v>
      </c>
      <c r="T837" s="258">
        <f ca="1">IF(D837="","",IF(J837="リード付け",N837,IF(J837="巻返しリード付け",N837,IF(J837="巻足し",N837*P837+OFFSET(N837,1,0)*OFFSET(P837,1,0),VLOOKUP(D837,契約台帳!$A$3:$P$4986,16,FALSE)))))</f>
        <v>10000</v>
      </c>
      <c r="U837" s="38">
        <v>1</v>
      </c>
      <c r="V837" s="259" t="str">
        <f ca="1">IF(D837="","",IF(OFFSET(D837,-2,0)=D837,"",VLOOKUP(D837,契約台帳!$A$3:$R$4986,18,FALSE)))</f>
        <v/>
      </c>
      <c r="W837" s="256" t="str">
        <f ca="1">IF(D837="","",IF(T837="","",IF(OR(J837="巻足し",J837="巻返しリード付け"),"",IF(J837="巻返し",VLOOKUP(F837&amp;K837&amp;M837,製品マスタ!$M$5:$AD$4999,18,FALSE),IF(OR(J837="リード付け",J837="巻返しリード付け"),"原反コア",IF(J837="スリット",VLOOKUP(F837&amp;K837&amp;R837,製品マスタ!$N$5:$AD$4999,17,FALSE),""))))))</f>
        <v/>
      </c>
      <c r="X837" s="256" t="str">
        <f ca="1">IF(D837="","",IF(T837="","",IF(J837="巻足し","",IF(J837="巻返し",VLOOKUP(F837&amp;K837&amp;M837,製品マスタ!$M$5:$AE$4999,19,FALSE),IF(OR(J837="リード付け",J837="巻返しリード付け"),"",IF(J837="スリット",VLOOKUP(F837&amp;K837&amp;R837,製品マスタ!$N$5:$AE$4999,18,FALSE),""))))))</f>
        <v/>
      </c>
      <c r="Y837" s="256">
        <f ca="1">IF(D837="","",IF(T837="","",VLOOKUP(D837,契約台帳!$A$3:$Q$4986,17,FALSE)))</f>
        <v>2</v>
      </c>
      <c r="Z837" s="256" t="str">
        <f ca="1">IF(D837="","",IF(T837="","",VLOOKUP(D837,契約台帳!$A$3:$E$4986,5,FALSE)))</f>
        <v>リンテック㈱</v>
      </c>
      <c r="AA837" s="54"/>
      <c r="AB837" s="200" t="str">
        <f>IFERROR((VLOOKUP(F837&amp;K837&amp;M837,製品マスタ!$M$5:$AM$4999,27,FALSE)),"")</f>
        <v>原反ケース再利用</v>
      </c>
      <c r="AC837" s="31"/>
      <c r="AD837" s="184"/>
      <c r="AE837" s="51"/>
      <c r="AF837" s="52">
        <f>+M837*N837*O837/1000</f>
        <v>5600</v>
      </c>
      <c r="AG837" s="41"/>
      <c r="AH837" s="45"/>
      <c r="AI837" s="28"/>
      <c r="AJ837" s="28"/>
      <c r="AK837" s="28"/>
      <c r="AL837" s="28"/>
      <c r="AM837" s="12"/>
      <c r="AN837" s="12"/>
      <c r="AO837" s="12"/>
      <c r="AP837" s="12"/>
      <c r="AQ837" s="12"/>
      <c r="AR837" s="13"/>
      <c r="AS837" s="14"/>
    </row>
    <row r="838" spans="1:45" s="16" customFormat="1" ht="30.95" hidden="1" customHeight="1" x14ac:dyDescent="0.2">
      <c r="A838" s="35"/>
      <c r="B838" s="36"/>
      <c r="C838" s="43"/>
      <c r="D838" s="29">
        <v>3721215</v>
      </c>
      <c r="E838" s="29"/>
      <c r="F838" s="255" t="str">
        <f>IF(D838="","",VLOOKUP(D838,契約台帳!$A$3:$K$4986,6,FALSE)&amp;VLOOKUP(D838,契約台帳!$A$3:$K$4986,7,FALSE)&amp;VLOOKUP(D838,契約台帳!$A$3:$K$4986,8,FALSE)&amp;VLOOKUP(D838,契約台帳!$A$3:$K$4986,9,FALSE)&amp;VLOOKUP(D838,契約台帳!$A$3:$K$4986,11,FALSE))</f>
        <v>3SNMLBMNGTBF</v>
      </c>
      <c r="G838" s="256" t="str">
        <f>IF(D838="","",VLOOKUP(F838,製品マスタ!$G$5:$H$4999,2,FALSE))</f>
        <v>S</v>
      </c>
      <c r="H838" s="256" t="str">
        <f>IF(D838="","",VLOOKUP(F838,製品マスタ!$G$5:$K$4999,5,FALSE))</f>
        <v>MNGTBF</v>
      </c>
      <c r="I838" s="200" t="str">
        <f>IF(D838="","",VLOOKUP(F838,製品マスタ!$G$5:$L$4999,6,FALSE))</f>
        <v>メタルミー　ネーマー　銀艶　Ｂ</v>
      </c>
      <c r="J838" s="203" t="s">
        <v>935</v>
      </c>
      <c r="K838" s="200">
        <f>IF(D838="","",VLOOKUP(D838,契約台帳!$A$3:$L$4986,12,FALSE))</f>
        <v>50</v>
      </c>
      <c r="L838" s="200" t="str">
        <f>IF(D838="","",INDEX(製品マスタ!$Q$5:$Q$4999,MATCH('S4'!F838&amp;'S4'!K838,製品マスタ!$AO$5:$AO$4999,0)))</f>
        <v>T62</v>
      </c>
      <c r="M838" s="37">
        <v>1120</v>
      </c>
      <c r="N838" s="37">
        <v>5000</v>
      </c>
      <c r="O838" s="153">
        <v>1</v>
      </c>
      <c r="P838" s="45"/>
      <c r="Q838" s="206">
        <v>45132</v>
      </c>
      <c r="R838" s="257" t="str">
        <f ca="1">IF(D838="","",IF(OFFSET(D838,-1,0)&lt;&gt;"","",IF(OR(J838="リード付け",J838="巻足し",J838="巻返しリード付け"),M838,VLOOKUP(D838,契約台帳!$A$3:$N$4986,14,FALSE))))</f>
        <v/>
      </c>
      <c r="S838" s="258" t="str">
        <f ca="1">IF(D838="","",IF(OFFSET(D838,-1,0)&lt;&gt;"","",IF(OR(J838="リード付け",J838="巻足し",J838="巻返しリード付け"),M838,VLOOKUP(D838,契約台帳!$A$3:$O$4986,15,FALSE))))</f>
        <v/>
      </c>
      <c r="T838" s="258">
        <f ca="1">IF(D838="","",IF(J838="リード付け",N838,IF(J838="巻返しリード付け",N838,IF(J838="巻足し",N838*P838+OFFSET(N838,1,0)*OFFSET(P838,1,0),VLOOKUP(D838,契約台帳!$A$3:$P$4986,16,FALSE)))))</f>
        <v>0</v>
      </c>
      <c r="U838" s="38"/>
      <c r="V838" s="259">
        <f ca="1">IF(D838="","",IF(OFFSET(D838,-2,0)=D838,"",VLOOKUP(D838,契約台帳!$A$3:$R$4986,18,FALSE)))</f>
        <v>13</v>
      </c>
      <c r="W838" s="256" t="str">
        <f ca="1">IF(D838="","",IF(T838="","",IF(OR(J838="巻足し",J838="巻返しリード付け"),"",IF(J838="巻返し",VLOOKUP(F838&amp;K838&amp;M838,製品マスタ!$M$5:$AD$4999,18,FALSE),IF(OR(J838="リード付け",J838="巻返しリード付け"),"原反コア",IF(J838="スリット",VLOOKUP(F838&amp;K838&amp;R838,製品マスタ!$N$5:$AD$4999,17,FALSE),""))))))</f>
        <v/>
      </c>
      <c r="X838" s="256" t="str">
        <f ca="1">IF(D838="","",IF(T838="","",IF(J838="巻足し","",IF(J838="巻返し",VLOOKUP(F838&amp;K838&amp;M838,製品マスタ!$M$5:$AE$4999,19,FALSE),IF(OR(J838="リード付け",J838="巻返しリード付け"),"",IF(J838="スリット",VLOOKUP(F838&amp;K838&amp;R838,製品マスタ!$N$5:$AE$4999,18,FALSE),""))))))</f>
        <v/>
      </c>
      <c r="Y838" s="256">
        <f ca="1">IF(D838="","",IF(T838="","",VLOOKUP(D838,契約台帳!$A$3:$Q$4986,17,FALSE)))</f>
        <v>2</v>
      </c>
      <c r="Z838" s="256" t="str">
        <f ca="1">IF(D838="","",IF(T838="","",VLOOKUP(D838,契約台帳!$A$3:$E$4986,5,FALSE)))</f>
        <v>リンテック㈱</v>
      </c>
      <c r="AA838" s="54"/>
      <c r="AB838" s="200" t="str">
        <f>IFERROR((VLOOKUP(F838&amp;K838&amp;M838,製品マスタ!$M$5:$AM$4999,27,FALSE)),"")</f>
        <v>原反ケース再利用</v>
      </c>
      <c r="AC838" s="31"/>
      <c r="AD838" s="184"/>
      <c r="AE838" s="51"/>
      <c r="AF838" s="52">
        <f>+M838*N838*O838/1000</f>
        <v>5600</v>
      </c>
      <c r="AG838" s="41"/>
      <c r="AH838" s="45"/>
      <c r="AI838" s="28"/>
      <c r="AJ838" s="28"/>
      <c r="AK838" s="28"/>
      <c r="AL838" s="28"/>
      <c r="AM838" s="12"/>
      <c r="AN838" s="12"/>
      <c r="AO838" s="12"/>
      <c r="AP838" s="12"/>
      <c r="AQ838" s="12"/>
      <c r="AR838" s="13"/>
      <c r="AS838" s="14"/>
    </row>
    <row r="839" spans="1:45" s="16" customFormat="1" ht="30.95" hidden="1" customHeight="1" x14ac:dyDescent="0.2">
      <c r="A839" s="35"/>
      <c r="B839" s="36"/>
      <c r="C839" s="43"/>
      <c r="D839" s="29"/>
      <c r="E839" s="29"/>
      <c r="F839" s="255"/>
      <c r="G839" s="256"/>
      <c r="H839" s="256"/>
      <c r="I839" s="200"/>
      <c r="J839" s="203"/>
      <c r="K839" s="200"/>
      <c r="L839" s="200"/>
      <c r="M839" s="37"/>
      <c r="N839" s="37"/>
      <c r="O839" s="153"/>
      <c r="P839" s="45"/>
      <c r="Q839" s="54"/>
      <c r="R839" s="257"/>
      <c r="S839" s="258"/>
      <c r="T839" s="258"/>
      <c r="U839" s="38"/>
      <c r="V839" s="259"/>
      <c r="W839" s="256"/>
      <c r="X839" s="256"/>
      <c r="Y839" s="256"/>
      <c r="Z839" s="256"/>
      <c r="AA839" s="54"/>
      <c r="AB839" s="200" t="str">
        <f>IFERROR((VLOOKUP(F839&amp;K839&amp;M839,製品マスタ!$M$5:$AM$4999,27,FALSE)),"")</f>
        <v/>
      </c>
      <c r="AC839" s="31"/>
      <c r="AD839" s="184"/>
      <c r="AE839" s="51"/>
      <c r="AF839" s="52"/>
      <c r="AG839" s="41"/>
      <c r="AH839" s="45"/>
      <c r="AI839" s="28"/>
      <c r="AJ839" s="28"/>
      <c r="AK839" s="28"/>
      <c r="AL839" s="28"/>
      <c r="AM839" s="12"/>
      <c r="AN839" s="12"/>
      <c r="AO839" s="12"/>
      <c r="AP839" s="12"/>
      <c r="AQ839" s="12"/>
      <c r="AR839" s="13"/>
      <c r="AS839" s="14"/>
    </row>
    <row r="840" spans="1:45" s="16" customFormat="1" ht="30.75" hidden="1" customHeight="1" x14ac:dyDescent="0.2">
      <c r="A840" s="35"/>
      <c r="B840" s="36"/>
      <c r="C840" s="43"/>
      <c r="D840" s="29">
        <v>3721215</v>
      </c>
      <c r="E840" s="29">
        <v>4162003</v>
      </c>
      <c r="F840" s="255" t="str">
        <f>IF(D840="","",VLOOKUP(D840,契約台帳!$A$3:$K$4986,6,FALSE)&amp;VLOOKUP(D840,契約台帳!$A$3:$K$4986,7,FALSE)&amp;VLOOKUP(D840,契約台帳!$A$3:$K$4986,8,FALSE)&amp;VLOOKUP(D840,契約台帳!$A$3:$K$4986,9,FALSE)&amp;VLOOKUP(D840,契約台帳!$A$3:$K$4986,11,FALSE))</f>
        <v>3SNMLBMNGTBF</v>
      </c>
      <c r="G840" s="256" t="str">
        <f>IF(D840="","",VLOOKUP(F840,製品マスタ!$G$5:$H$4999,2,FALSE))</f>
        <v>S</v>
      </c>
      <c r="H840" s="256" t="str">
        <f>IF(D840="","",VLOOKUP(F840,製品マスタ!$G$5:$K$4999,5,FALSE))</f>
        <v>MNGTBF</v>
      </c>
      <c r="I840" s="200" t="str">
        <f>IF(D840="","",VLOOKUP(F840,製品マスタ!$G$5:$L$4999,6,FALSE))</f>
        <v>メタルミー　ネーマー　銀艶　Ｂ</v>
      </c>
      <c r="J840" s="203" t="s">
        <v>935</v>
      </c>
      <c r="K840" s="200">
        <f>IF(D840="","",VLOOKUP(D840,契約台帳!$A$3:$L$4986,12,FALSE))</f>
        <v>50</v>
      </c>
      <c r="L840" s="200" t="str">
        <f>IF(D840="","",INDEX(製品マスタ!$Q$5:$Q$4999,MATCH('S4'!F840&amp;'S4'!K840,製品マスタ!$AO$5:$AO$4999,0)))</f>
        <v>T62</v>
      </c>
      <c r="M840" s="37">
        <v>1120</v>
      </c>
      <c r="N840" s="37">
        <v>5000</v>
      </c>
      <c r="O840" s="153">
        <v>4</v>
      </c>
      <c r="P840" s="45">
        <v>2</v>
      </c>
      <c r="Q840" s="206">
        <v>45132</v>
      </c>
      <c r="R840" s="257">
        <f ca="1">IF(D840="","",IF(OFFSET(D840,-1,0)&lt;&gt;"","",IF(OR(J840="リード付け",J840="巻足し",J840="巻返しリード付け"),M840,VLOOKUP(D840,契約台帳!$A$3:$N$4986,14,FALSE))))</f>
        <v>1120</v>
      </c>
      <c r="S840" s="258">
        <f ca="1">IF(D840="","",IF(OFFSET(D840,-1,0)&lt;&gt;"","",IF(OR(J840="リード付け",J840="巻足し",J840="巻返しリード付け"),M840,VLOOKUP(D840,契約台帳!$A$3:$O$4986,15,FALSE))))</f>
        <v>1120</v>
      </c>
      <c r="T840" s="258">
        <f ca="1">IF(D840="","",IF(J840="リード付け",N840,IF(J840="巻返しリード付け",N840,IF(J840="巻足し",N840*P840+OFFSET(N840,1,0)*OFFSET(P840,1,0),VLOOKUP(D840,契約台帳!$A$3:$P$4986,16,FALSE)))))</f>
        <v>10000</v>
      </c>
      <c r="U840" s="38">
        <v>2</v>
      </c>
      <c r="V840" s="259" t="str">
        <f ca="1">IF(D840="","",IF(OFFSET(D840,-2,0)=D840,"",VLOOKUP(D840,契約台帳!$A$3:$R$4986,18,FALSE)))</f>
        <v/>
      </c>
      <c r="W840" s="256" t="str">
        <f ca="1">IF(D840="","",IF(T840="","",IF(OR(J840="巻足し",J840="巻返しリード付け"),"",IF(J840="巻返し",VLOOKUP(F840&amp;K840&amp;M840,製品マスタ!$M$5:$AD$4999,18,FALSE),IF(OR(J840="リード付け",J840="巻返しリード付け"),"原反コア",IF(J840="スリット",VLOOKUP(F840&amp;K840&amp;R840,製品マスタ!$N$5:$AD$4999,17,FALSE),""))))))</f>
        <v/>
      </c>
      <c r="X840" s="256" t="str">
        <f ca="1">IF(D840="","",IF(T840="","",IF(J840="巻足し","",IF(J840="巻返し",VLOOKUP(F840&amp;K840&amp;M840,製品マスタ!$M$5:$AE$4999,19,FALSE),IF(OR(J840="リード付け",J840="巻返しリード付け"),"",IF(J840="スリット",VLOOKUP(F840&amp;K840&amp;R840,製品マスタ!$N$5:$AE$4999,18,FALSE),""))))))</f>
        <v/>
      </c>
      <c r="Y840" s="256">
        <f ca="1">IF(D840="","",IF(T840="","",VLOOKUP(D840,契約台帳!$A$3:$Q$4986,17,FALSE)))</f>
        <v>2</v>
      </c>
      <c r="Z840" s="256" t="str">
        <f ca="1">IF(D840="","",IF(T840="","",VLOOKUP(D840,契約台帳!$A$3:$E$4986,5,FALSE)))</f>
        <v>リンテック㈱</v>
      </c>
      <c r="AA840" s="54"/>
      <c r="AB840" s="200" t="str">
        <f>IFERROR((VLOOKUP(F840&amp;K840&amp;M840,製品マスタ!$M$5:$AM$4999,27,FALSE)),"")</f>
        <v>原反ケース再利用</v>
      </c>
      <c r="AC840" s="31"/>
      <c r="AD840" s="184"/>
      <c r="AE840" s="51"/>
      <c r="AF840" s="52">
        <f>+M840*N840*O840/1000</f>
        <v>22400</v>
      </c>
      <c r="AG840" s="41"/>
      <c r="AH840" s="45"/>
      <c r="AI840" s="28"/>
      <c r="AJ840" s="28"/>
      <c r="AK840" s="28"/>
      <c r="AL840" s="28"/>
      <c r="AM840" s="12"/>
      <c r="AN840" s="12"/>
      <c r="AO840" s="12"/>
      <c r="AP840" s="12"/>
      <c r="AQ840" s="12"/>
      <c r="AR840" s="13"/>
      <c r="AS840" s="14"/>
    </row>
    <row r="841" spans="1:45" s="16" customFormat="1" ht="30.95" hidden="1" customHeight="1" x14ac:dyDescent="0.2">
      <c r="A841" s="35"/>
      <c r="B841" s="36"/>
      <c r="C841" s="43"/>
      <c r="D841" s="29"/>
      <c r="E841" s="29"/>
      <c r="F841" s="255"/>
      <c r="G841" s="256"/>
      <c r="H841" s="256"/>
      <c r="I841" s="200"/>
      <c r="J841" s="203"/>
      <c r="K841" s="200"/>
      <c r="L841" s="200"/>
      <c r="M841" s="37"/>
      <c r="N841" s="37"/>
      <c r="O841" s="153"/>
      <c r="P841" s="45"/>
      <c r="Q841" s="54"/>
      <c r="R841" s="257"/>
      <c r="S841" s="258"/>
      <c r="T841" s="258"/>
      <c r="U841" s="38"/>
      <c r="V841" s="259"/>
      <c r="W841" s="256"/>
      <c r="X841" s="256"/>
      <c r="Y841" s="256"/>
      <c r="Z841" s="256"/>
      <c r="AA841" s="54"/>
      <c r="AB841" s="200" t="str">
        <f>IFERROR((VLOOKUP(F841&amp;K841&amp;M841,製品マスタ!$M$5:$AM$4999,27,FALSE)),"")</f>
        <v/>
      </c>
      <c r="AC841" s="31"/>
      <c r="AD841" s="184"/>
      <c r="AE841" s="51"/>
      <c r="AF841" s="52"/>
      <c r="AG841" s="41"/>
      <c r="AH841" s="45"/>
      <c r="AI841" s="28"/>
      <c r="AJ841" s="28"/>
      <c r="AK841" s="28"/>
      <c r="AL841" s="28"/>
      <c r="AM841" s="12"/>
      <c r="AN841" s="12"/>
      <c r="AO841" s="12"/>
      <c r="AP841" s="12"/>
      <c r="AQ841" s="12"/>
      <c r="AR841" s="13"/>
      <c r="AS841" s="14"/>
    </row>
    <row r="842" spans="1:45" s="16" customFormat="1" ht="30.75" hidden="1" customHeight="1" x14ac:dyDescent="0.2">
      <c r="A842" s="35" t="s">
        <v>1339</v>
      </c>
      <c r="B842" s="36" t="s">
        <v>1340</v>
      </c>
      <c r="C842" s="43"/>
      <c r="D842" s="29">
        <v>3721215</v>
      </c>
      <c r="E842" s="29">
        <v>4162003</v>
      </c>
      <c r="F842" s="255" t="str">
        <f>IF(D842="","",VLOOKUP(D842,契約台帳!$A$3:$K$4986,6,FALSE)&amp;VLOOKUP(D842,契約台帳!$A$3:$K$4986,7,FALSE)&amp;VLOOKUP(D842,契約台帳!$A$3:$K$4986,8,FALSE)&amp;VLOOKUP(D842,契約台帳!$A$3:$K$4986,9,FALSE)&amp;VLOOKUP(D842,契約台帳!$A$3:$K$4986,11,FALSE))</f>
        <v>3SNMLBMNGTBF</v>
      </c>
      <c r="G842" s="256" t="str">
        <f>IF(D842="","",VLOOKUP(F842,製品マスタ!$G$5:$H$4999,2,FALSE))</f>
        <v>S</v>
      </c>
      <c r="H842" s="256" t="str">
        <f>IF(D842="","",VLOOKUP(F842,製品マスタ!$G$5:$K$4999,5,FALSE))</f>
        <v>MNGTBF</v>
      </c>
      <c r="I842" s="200" t="str">
        <f>IF(D842="","",VLOOKUP(F842,製品マスタ!$G$5:$L$4999,6,FALSE))</f>
        <v>メタルミー　ネーマー　銀艶　Ｂ</v>
      </c>
      <c r="J842" s="203" t="s">
        <v>935</v>
      </c>
      <c r="K842" s="200">
        <f>IF(D842="","",VLOOKUP(D842,契約台帳!$A$3:$L$4986,12,FALSE))</f>
        <v>50</v>
      </c>
      <c r="L842" s="200" t="str">
        <f>IF(D842="","",INDEX(製品マスタ!$Q$5:$Q$4999,MATCH('S4'!F842&amp;'S4'!K842,製品マスタ!$AO$5:$AO$4999,0)))</f>
        <v>T62</v>
      </c>
      <c r="M842" s="37">
        <v>1120</v>
      </c>
      <c r="N842" s="37">
        <v>5000</v>
      </c>
      <c r="O842" s="153">
        <v>8</v>
      </c>
      <c r="P842" s="45">
        <v>2</v>
      </c>
      <c r="Q842" s="206">
        <v>45132</v>
      </c>
      <c r="R842" s="257">
        <f ca="1">IF(D842="","",IF(OFFSET(D842,-1,0)&lt;&gt;"","",IF(OR(J842="リード付け",J842="巻足し",J842="巻返しリード付け"),M842,VLOOKUP(D842,契約台帳!$A$3:$N$4986,14,FALSE))))</f>
        <v>1120</v>
      </c>
      <c r="S842" s="258">
        <f ca="1">IF(D842="","",IF(OFFSET(D842,-1,0)&lt;&gt;"","",IF(OR(J842="リード付け",J842="巻足し",J842="巻返しリード付け"),M842,VLOOKUP(D842,契約台帳!$A$3:$O$4986,15,FALSE))))</f>
        <v>1120</v>
      </c>
      <c r="T842" s="258">
        <f ca="1">IF(D842="","",IF(J842="リード付け",N842,IF(J842="巻返しリード付け",N842,IF(J842="巻足し",N842*P842+OFFSET(N842,1,0)*OFFSET(P842,1,0),VLOOKUP(D842,契約台帳!$A$3:$P$4986,16,FALSE)))))</f>
        <v>10000</v>
      </c>
      <c r="U842" s="38">
        <v>4</v>
      </c>
      <c r="V842" s="259" t="str">
        <f ca="1">IF(D842="","",IF(OFFSET(D842,-2,0)=D842,"",VLOOKUP(D842,契約台帳!$A$3:$R$4986,18,FALSE)))</f>
        <v/>
      </c>
      <c r="W842" s="256" t="str">
        <f ca="1">IF(D842="","",IF(T842="","",IF(OR(J842="巻足し",J842="巻返しリード付け"),"",IF(J842="巻返し",VLOOKUP(F842&amp;K842&amp;M842,製品マスタ!$M$5:$AD$4999,18,FALSE),IF(OR(J842="リード付け",J842="巻返しリード付け"),"原反コア",IF(J842="スリット",VLOOKUP(F842&amp;K842&amp;R842,製品マスタ!$N$5:$AD$4999,17,FALSE),""))))))</f>
        <v/>
      </c>
      <c r="X842" s="256" t="str">
        <f ca="1">IF(D842="","",IF(T842="","",IF(J842="巻足し","",IF(J842="巻返し",VLOOKUP(F842&amp;K842&amp;M842,製品マスタ!$M$5:$AE$4999,19,FALSE),IF(OR(J842="リード付け",J842="巻返しリード付け"),"",IF(J842="スリット",VLOOKUP(F842&amp;K842&amp;R842,製品マスタ!$N$5:$AE$4999,18,FALSE),""))))))</f>
        <v/>
      </c>
      <c r="Y842" s="256">
        <f ca="1">IF(D842="","",IF(T842="","",VLOOKUP(D842,契約台帳!$A$3:$Q$4986,17,FALSE)))</f>
        <v>2</v>
      </c>
      <c r="Z842" s="256" t="str">
        <f ca="1">IF(D842="","",IF(T842="","",VLOOKUP(D842,契約台帳!$A$3:$E$4986,5,FALSE)))</f>
        <v>リンテック㈱</v>
      </c>
      <c r="AA842" s="54"/>
      <c r="AB842" s="200" t="str">
        <f>IFERROR((VLOOKUP(F842&amp;K842&amp;M842,製品マスタ!$M$5:$AM$4999,27,FALSE)),"")</f>
        <v>原反ケース再利用</v>
      </c>
      <c r="AC842" s="31"/>
      <c r="AD842" s="184"/>
      <c r="AE842" s="51"/>
      <c r="AF842" s="52">
        <f>+M842*N842*O842/1000</f>
        <v>44800</v>
      </c>
      <c r="AG842" s="41"/>
      <c r="AH842" s="45"/>
      <c r="AI842" s="28"/>
      <c r="AJ842" s="28"/>
      <c r="AK842" s="28"/>
      <c r="AL842" s="28"/>
      <c r="AM842" s="12"/>
      <c r="AN842" s="12"/>
      <c r="AO842" s="12"/>
      <c r="AP842" s="12"/>
      <c r="AQ842" s="12"/>
      <c r="AR842" s="13"/>
      <c r="AS842" s="14"/>
    </row>
    <row r="843" spans="1:45" s="16" customFormat="1" ht="30.95" hidden="1" customHeight="1" x14ac:dyDescent="0.2">
      <c r="A843" s="35"/>
      <c r="B843" s="36"/>
      <c r="C843" s="43"/>
      <c r="D843" s="29"/>
      <c r="E843" s="29"/>
      <c r="F843" s="255"/>
      <c r="G843" s="256"/>
      <c r="H843" s="256"/>
      <c r="I843" s="200"/>
      <c r="J843" s="203"/>
      <c r="K843" s="200"/>
      <c r="L843" s="200"/>
      <c r="M843" s="37"/>
      <c r="N843" s="37"/>
      <c r="O843" s="153"/>
      <c r="P843" s="45"/>
      <c r="Q843" s="54"/>
      <c r="R843" s="257"/>
      <c r="S843" s="258"/>
      <c r="T843" s="258"/>
      <c r="U843" s="38"/>
      <c r="V843" s="259"/>
      <c r="W843" s="256"/>
      <c r="X843" s="256"/>
      <c r="Y843" s="256"/>
      <c r="Z843" s="256"/>
      <c r="AA843" s="54"/>
      <c r="AB843" s="200"/>
      <c r="AC843" s="31"/>
      <c r="AD843" s="184"/>
      <c r="AE843" s="51"/>
      <c r="AF843" s="52"/>
      <c r="AG843" s="41"/>
      <c r="AH843" s="45"/>
      <c r="AI843" s="28"/>
      <c r="AJ843" s="28"/>
      <c r="AK843" s="28"/>
      <c r="AL843" s="28"/>
      <c r="AM843" s="12"/>
      <c r="AN843" s="12"/>
      <c r="AO843" s="12"/>
      <c r="AP843" s="12"/>
      <c r="AQ843" s="12"/>
      <c r="AR843" s="13"/>
      <c r="AS843" s="14"/>
    </row>
    <row r="844" spans="1:45" s="16" customFormat="1" ht="30.95" hidden="1" customHeight="1" x14ac:dyDescent="0.2">
      <c r="A844" s="35"/>
      <c r="B844" s="36"/>
      <c r="C844" s="43"/>
      <c r="D844" s="29">
        <v>3721216</v>
      </c>
      <c r="E844" s="29">
        <v>4162004</v>
      </c>
      <c r="F844" s="255" t="str">
        <f>IF(D844="","",VLOOKUP(D844,契約台帳!$A$3:$K$4986,6,FALSE)&amp;VLOOKUP(D844,契約台帳!$A$3:$K$4986,7,FALSE)&amp;VLOOKUP(D844,契約台帳!$A$3:$K$4986,8,FALSE)&amp;VLOOKUP(D844,契約台帳!$A$3:$K$4986,9,FALSE)&amp;VLOOKUP(D844,契約台帳!$A$3:$K$4986,11,FALSE))</f>
        <v>3SNMLBMNGTBF</v>
      </c>
      <c r="G844" s="256" t="str">
        <f>IF(D844="","",VLOOKUP(F844,製品マスタ!$G$5:$H$4999,2,FALSE))</f>
        <v>S</v>
      </c>
      <c r="H844" s="256" t="str">
        <f>IF(D844="","",VLOOKUP(F844,製品マスタ!$G$5:$K$4999,5,FALSE))</f>
        <v>MNGTBF</v>
      </c>
      <c r="I844" s="200" t="str">
        <f>IF(D844="","",VLOOKUP(F844,製品マスタ!$G$5:$L$4999,6,FALSE))</f>
        <v>メタルミー　ネーマー　銀艶　Ｂ</v>
      </c>
      <c r="J844" s="203" t="s">
        <v>935</v>
      </c>
      <c r="K844" s="200">
        <f>IF(D844="","",VLOOKUP(D844,契約台帳!$A$3:$L$4986,12,FALSE))</f>
        <v>50</v>
      </c>
      <c r="L844" s="200" t="str">
        <f>IF(D844="","",INDEX(製品マスタ!$Q$5:$Q$4999,MATCH('S4'!F844&amp;'S4'!K844,製品マスタ!$AO$5:$AO$4999,0)))</f>
        <v>T62</v>
      </c>
      <c r="M844" s="37">
        <v>1120</v>
      </c>
      <c r="N844" s="37">
        <v>5000</v>
      </c>
      <c r="O844" s="153">
        <v>8</v>
      </c>
      <c r="P844" s="45">
        <v>2</v>
      </c>
      <c r="Q844" s="206">
        <v>45132</v>
      </c>
      <c r="R844" s="257">
        <f ca="1">IF(D844="","",IF(OFFSET(D844,-1,0)&lt;&gt;"","",IF(OR(J844="リード付け",J844="巻足し",J844="巻返しリード付け"),M844,VLOOKUP(D844,契約台帳!$A$3:$N$4986,14,FALSE))))</f>
        <v>1120</v>
      </c>
      <c r="S844" s="258">
        <f ca="1">IF(D844="","",IF(OFFSET(D844,-1,0)&lt;&gt;"","",IF(OR(J844="リード付け",J844="巻足し",J844="巻返しリード付け"),M844,VLOOKUP(D844,契約台帳!$A$3:$O$4986,15,FALSE))))</f>
        <v>1120</v>
      </c>
      <c r="T844" s="258">
        <f ca="1">IF(D844="","",IF(J844="リード付け",N844,IF(J844="巻返しリード付け",N844,IF(J844="巻足し",N844*P844+OFFSET(N844,1,0)*OFFSET(P844,1,0),VLOOKUP(D844,契約台帳!$A$3:$P$4986,16,FALSE)))))</f>
        <v>10000</v>
      </c>
      <c r="U844" s="38">
        <v>4</v>
      </c>
      <c r="V844" s="259">
        <f ca="1">IF(D844="","",IF(OFFSET(D844,-2,0)=D844,"",VLOOKUP(D844,契約台帳!$A$3:$R$4986,18,FALSE)))</f>
        <v>25</v>
      </c>
      <c r="W844" s="256" t="str">
        <f ca="1">IF(D844="","",IF(T844="","",IF(OR(J844="巻足し",J844="巻返しリード付け"),"",IF(J844="巻返し",VLOOKUP(F844&amp;K844&amp;M844,製品マスタ!$M$5:$AD$4999,18,FALSE),IF(OR(J844="リード付け",J844="巻返しリード付け"),"原反コア",IF(J844="スリット",VLOOKUP(F844&amp;K844&amp;R844,製品マスタ!$N$5:$AD$4999,17,FALSE),""))))))</f>
        <v/>
      </c>
      <c r="X844" s="256" t="str">
        <f ca="1">IF(D844="","",IF(T844="","",IF(J844="巻足し","",IF(J844="巻返し",VLOOKUP(F844&amp;K844&amp;M844,製品マスタ!$M$5:$AE$4999,19,FALSE),IF(OR(J844="リード付け",J844="巻返しリード付け"),"",IF(J844="スリット",VLOOKUP(F844&amp;K844&amp;R844,製品マスタ!$N$5:$AE$4999,18,FALSE),""))))))</f>
        <v/>
      </c>
      <c r="Y844" s="256">
        <f ca="1">IF(D844="","",IF(T844="","",VLOOKUP(D844,契約台帳!$A$3:$Q$4986,17,FALSE)))</f>
        <v>2</v>
      </c>
      <c r="Z844" s="256" t="str">
        <f ca="1">IF(D844="","",IF(T844="","",VLOOKUP(D844,契約台帳!$A$3:$E$4986,5,FALSE)))</f>
        <v>リンテック㈱</v>
      </c>
      <c r="AA844" s="54"/>
      <c r="AB844" s="200" t="str">
        <f>IFERROR((VLOOKUP(F844&amp;K844&amp;M844,製品マスタ!$M$5:$AM$4999,27,FALSE)),"")</f>
        <v>原反ケース再利用</v>
      </c>
      <c r="AC844" s="31"/>
      <c r="AD844" s="184"/>
      <c r="AE844" s="51"/>
      <c r="AF844" s="52">
        <f>+M844*N844*O844/1000</f>
        <v>44800</v>
      </c>
      <c r="AG844" s="41"/>
      <c r="AH844" s="45"/>
      <c r="AI844" s="28"/>
      <c r="AJ844" s="28"/>
      <c r="AK844" s="28"/>
      <c r="AL844" s="28"/>
      <c r="AM844" s="12"/>
      <c r="AN844" s="12"/>
      <c r="AO844" s="12"/>
      <c r="AP844" s="12"/>
      <c r="AQ844" s="12"/>
      <c r="AR844" s="13"/>
      <c r="AS844" s="14"/>
    </row>
    <row r="845" spans="1:45" s="16" customFormat="1" ht="30.95" hidden="1" customHeight="1" x14ac:dyDescent="0.2">
      <c r="A845" s="35"/>
      <c r="B845" s="36"/>
      <c r="C845" s="43"/>
      <c r="D845" s="29"/>
      <c r="E845" s="29"/>
      <c r="F845" s="255"/>
      <c r="G845" s="256"/>
      <c r="H845" s="256"/>
      <c r="I845" s="200"/>
      <c r="J845" s="203"/>
      <c r="K845" s="200"/>
      <c r="L845" s="200"/>
      <c r="M845" s="37"/>
      <c r="N845" s="37"/>
      <c r="O845" s="153"/>
      <c r="P845" s="45"/>
      <c r="Q845" s="54"/>
      <c r="R845" s="257"/>
      <c r="S845" s="258"/>
      <c r="T845" s="258"/>
      <c r="U845" s="38"/>
      <c r="V845" s="259"/>
      <c r="W845" s="256"/>
      <c r="X845" s="256"/>
      <c r="Y845" s="256"/>
      <c r="Z845" s="256"/>
      <c r="AA845" s="54"/>
      <c r="AB845" s="200"/>
      <c r="AC845" s="31"/>
      <c r="AD845" s="184"/>
      <c r="AE845" s="51"/>
      <c r="AF845" s="52"/>
      <c r="AG845" s="41"/>
      <c r="AH845" s="45"/>
      <c r="AI845" s="28"/>
      <c r="AJ845" s="28"/>
      <c r="AK845" s="28"/>
      <c r="AL845" s="28"/>
      <c r="AM845" s="12"/>
      <c r="AN845" s="12"/>
      <c r="AO845" s="12"/>
      <c r="AP845" s="12"/>
      <c r="AQ845" s="12"/>
      <c r="AR845" s="13"/>
      <c r="AS845" s="14"/>
    </row>
    <row r="846" spans="1:45" s="16" customFormat="1" ht="30.95" hidden="1" customHeight="1" x14ac:dyDescent="0.2">
      <c r="A846" s="35" t="s">
        <v>1341</v>
      </c>
      <c r="B846" s="36" t="s">
        <v>1342</v>
      </c>
      <c r="C846" s="43"/>
      <c r="D846" s="29">
        <v>3721216</v>
      </c>
      <c r="E846" s="29">
        <v>4162004</v>
      </c>
      <c r="F846" s="255" t="str">
        <f>IF(D846="","",VLOOKUP(D846,契約台帳!$A$3:$K$4986,6,FALSE)&amp;VLOOKUP(D846,契約台帳!$A$3:$K$4986,7,FALSE)&amp;VLOOKUP(D846,契約台帳!$A$3:$K$4986,8,FALSE)&amp;VLOOKUP(D846,契約台帳!$A$3:$K$4986,9,FALSE)&amp;VLOOKUP(D846,契約台帳!$A$3:$K$4986,11,FALSE))</f>
        <v>3SNMLBMNGTBF</v>
      </c>
      <c r="G846" s="256" t="str">
        <f>IF(D846="","",VLOOKUP(F846,製品マスタ!$G$5:$H$4999,2,FALSE))</f>
        <v>S</v>
      </c>
      <c r="H846" s="256" t="str">
        <f>IF(D846="","",VLOOKUP(F846,製品マスタ!$G$5:$K$4999,5,FALSE))</f>
        <v>MNGTBF</v>
      </c>
      <c r="I846" s="200" t="str">
        <f>IF(D846="","",VLOOKUP(F846,製品マスタ!$G$5:$L$4999,6,FALSE))</f>
        <v>メタルミー　ネーマー　銀艶　Ｂ</v>
      </c>
      <c r="J846" s="203" t="s">
        <v>935</v>
      </c>
      <c r="K846" s="200">
        <f>IF(D846="","",VLOOKUP(D846,契約台帳!$A$3:$L$4986,12,FALSE))</f>
        <v>50</v>
      </c>
      <c r="L846" s="200" t="str">
        <f>IF(D846="","",INDEX(製品マスタ!$Q$5:$Q$4999,MATCH('S4'!F846&amp;'S4'!K846,製品マスタ!$AO$5:$AO$4999,0)))</f>
        <v>T62</v>
      </c>
      <c r="M846" s="37">
        <v>1120</v>
      </c>
      <c r="N846" s="37">
        <v>5000</v>
      </c>
      <c r="O846" s="153">
        <v>16</v>
      </c>
      <c r="P846" s="45">
        <v>2</v>
      </c>
      <c r="Q846" s="206">
        <v>45132</v>
      </c>
      <c r="R846" s="257">
        <f ca="1">IF(D846="","",IF(OFFSET(D846,-1,0)&lt;&gt;"","",IF(OR(J846="リード付け",J846="巻足し",J846="巻返しリード付け"),M846,VLOOKUP(D846,契約台帳!$A$3:$N$4986,14,FALSE))))</f>
        <v>1120</v>
      </c>
      <c r="S846" s="258">
        <f ca="1">IF(D846="","",IF(OFFSET(D846,-1,0)&lt;&gt;"","",IF(OR(J846="リード付け",J846="巻足し",J846="巻返しリード付け"),M846,VLOOKUP(D846,契約台帳!$A$3:$O$4986,15,FALSE))))</f>
        <v>1120</v>
      </c>
      <c r="T846" s="258">
        <f ca="1">IF(D846="","",IF(J846="リード付け",N846,IF(J846="巻返しリード付け",N846,IF(J846="巻足し",N846*P846+OFFSET(N846,1,0)*OFFSET(P846,1,0),VLOOKUP(D846,契約台帳!$A$3:$P$4986,16,FALSE)))))</f>
        <v>10000</v>
      </c>
      <c r="U846" s="38">
        <v>8</v>
      </c>
      <c r="V846" s="259" t="str">
        <f ca="1">IF(D846="","",IF(OFFSET(D846,-2,0)=D846,"",VLOOKUP(D846,契約台帳!$A$3:$R$4986,18,FALSE)))</f>
        <v/>
      </c>
      <c r="W846" s="256" t="str">
        <f ca="1">IF(D846="","",IF(T846="","",IF(OR(J846="巻足し",J846="巻返しリード付け"),"",IF(J846="巻返し",VLOOKUP(F846&amp;K846&amp;M846,製品マスタ!$M$5:$AD$4999,18,FALSE),IF(OR(J846="リード付け",J846="巻返しリード付け"),"原反コア",IF(J846="スリット",VLOOKUP(F846&amp;K846&amp;R846,製品マスタ!$N$5:$AD$4999,17,FALSE),""))))))</f>
        <v/>
      </c>
      <c r="X846" s="256" t="str">
        <f ca="1">IF(D846="","",IF(T846="","",IF(J846="巻足し","",IF(J846="巻返し",VLOOKUP(F846&amp;K846&amp;M846,製品マスタ!$M$5:$AE$4999,19,FALSE),IF(OR(J846="リード付け",J846="巻返しリード付け"),"",IF(J846="スリット",VLOOKUP(F846&amp;K846&amp;R846,製品マスタ!$N$5:$AE$4999,18,FALSE),""))))))</f>
        <v/>
      </c>
      <c r="Y846" s="256">
        <f ca="1">IF(D846="","",IF(T846="","",VLOOKUP(D846,契約台帳!$A$3:$Q$4986,17,FALSE)))</f>
        <v>2</v>
      </c>
      <c r="Z846" s="256" t="str">
        <f ca="1">IF(D846="","",IF(T846="","",VLOOKUP(D846,契約台帳!$A$3:$E$4986,5,FALSE)))</f>
        <v>リンテック㈱</v>
      </c>
      <c r="AA846" s="54"/>
      <c r="AB846" s="200" t="str">
        <f>IFERROR((VLOOKUP(F846&amp;K846&amp;M846,製品マスタ!$M$5:$AM$4999,27,FALSE)),"")</f>
        <v>原反ケース再利用</v>
      </c>
      <c r="AC846" s="31"/>
      <c r="AD846" s="184"/>
      <c r="AE846" s="51"/>
      <c r="AF846" s="52">
        <f>+M846*N846*O846/1000</f>
        <v>89600</v>
      </c>
      <c r="AG846" s="41"/>
      <c r="AH846" s="45"/>
      <c r="AI846" s="28"/>
      <c r="AJ846" s="28"/>
      <c r="AK846" s="28"/>
      <c r="AL846" s="28"/>
      <c r="AM846" s="12"/>
      <c r="AN846" s="12"/>
      <c r="AO846" s="12"/>
      <c r="AP846" s="12"/>
      <c r="AQ846" s="12"/>
      <c r="AR846" s="13"/>
      <c r="AS846" s="14"/>
    </row>
    <row r="847" spans="1:45" s="16" customFormat="1" ht="30.95" hidden="1" customHeight="1" x14ac:dyDescent="0.2">
      <c r="A847" s="35"/>
      <c r="B847" s="36"/>
      <c r="C847" s="43"/>
      <c r="D847" s="29"/>
      <c r="E847" s="29"/>
      <c r="F847" s="255"/>
      <c r="G847" s="256"/>
      <c r="H847" s="256"/>
      <c r="I847" s="200"/>
      <c r="J847" s="203"/>
      <c r="K847" s="200"/>
      <c r="L847" s="200"/>
      <c r="M847" s="37"/>
      <c r="N847" s="37"/>
      <c r="O847" s="153"/>
      <c r="P847" s="45"/>
      <c r="Q847" s="54"/>
      <c r="R847" s="257"/>
      <c r="S847" s="258"/>
      <c r="T847" s="258"/>
      <c r="U847" s="38"/>
      <c r="V847" s="259"/>
      <c r="W847" s="256"/>
      <c r="X847" s="256"/>
      <c r="Y847" s="256"/>
      <c r="Z847" s="256"/>
      <c r="AA847" s="54"/>
      <c r="AB847" s="200"/>
      <c r="AC847" s="31"/>
      <c r="AD847" s="184"/>
      <c r="AE847" s="51"/>
      <c r="AF847" s="52"/>
      <c r="AG847" s="41"/>
      <c r="AH847" s="45"/>
      <c r="AI847" s="28"/>
      <c r="AJ847" s="28"/>
      <c r="AK847" s="28"/>
      <c r="AL847" s="28"/>
      <c r="AM847" s="12"/>
      <c r="AN847" s="12"/>
      <c r="AO847" s="12"/>
      <c r="AP847" s="12"/>
      <c r="AQ847" s="12"/>
      <c r="AR847" s="13"/>
      <c r="AS847" s="14"/>
    </row>
    <row r="848" spans="1:45" s="16" customFormat="1" ht="30.95" hidden="1" customHeight="1" x14ac:dyDescent="0.2">
      <c r="A848" s="35" t="s">
        <v>1343</v>
      </c>
      <c r="B848" s="36" t="s">
        <v>1344</v>
      </c>
      <c r="C848" s="43"/>
      <c r="D848" s="29">
        <v>3721216</v>
      </c>
      <c r="E848" s="29">
        <v>4162004</v>
      </c>
      <c r="F848" s="255" t="str">
        <f>IF(D848="","",VLOOKUP(D848,契約台帳!$A$3:$K$4986,6,FALSE)&amp;VLOOKUP(D848,契約台帳!$A$3:$K$4986,7,FALSE)&amp;VLOOKUP(D848,契約台帳!$A$3:$K$4986,8,FALSE)&amp;VLOOKUP(D848,契約台帳!$A$3:$K$4986,9,FALSE)&amp;VLOOKUP(D848,契約台帳!$A$3:$K$4986,11,FALSE))</f>
        <v>3SNMLBMNGTBF</v>
      </c>
      <c r="G848" s="256" t="str">
        <f>IF(D848="","",VLOOKUP(F848,製品マスタ!$G$5:$H$4999,2,FALSE))</f>
        <v>S</v>
      </c>
      <c r="H848" s="256" t="str">
        <f>IF(D848="","",VLOOKUP(F848,製品マスタ!$G$5:$K$4999,5,FALSE))</f>
        <v>MNGTBF</v>
      </c>
      <c r="I848" s="200" t="str">
        <f>IF(D848="","",VLOOKUP(F848,製品マスタ!$G$5:$L$4999,6,FALSE))</f>
        <v>メタルミー　ネーマー　銀艶　Ｂ</v>
      </c>
      <c r="J848" s="203" t="s">
        <v>935</v>
      </c>
      <c r="K848" s="200">
        <f>IF(D848="","",VLOOKUP(D848,契約台帳!$A$3:$L$4986,12,FALSE))</f>
        <v>50</v>
      </c>
      <c r="L848" s="200" t="str">
        <f>IF(D848="","",INDEX(製品マスタ!$Q$5:$Q$4999,MATCH('S4'!F848&amp;'S4'!K848,製品マスタ!$AO$5:$AO$4999,0)))</f>
        <v>T62</v>
      </c>
      <c r="M848" s="37">
        <v>1120</v>
      </c>
      <c r="N848" s="37">
        <v>5000</v>
      </c>
      <c r="O848" s="153">
        <v>1</v>
      </c>
      <c r="P848" s="45">
        <v>2</v>
      </c>
      <c r="Q848" s="206">
        <v>45132</v>
      </c>
      <c r="R848" s="257">
        <f ca="1">IF(D848="","",IF(OFFSET(D848,-1,0)&lt;&gt;"","",IF(OR(J848="リード付け",J848="巻足し",J848="巻返しリード付け"),M848,VLOOKUP(D848,契約台帳!$A$3:$N$4986,14,FALSE))))</f>
        <v>1120</v>
      </c>
      <c r="S848" s="258">
        <f ca="1">IF(D848="","",IF(OFFSET(D848,-1,0)&lt;&gt;"","",IF(OR(J848="リード付け",J848="巻足し",J848="巻返しリード付け"),M848,VLOOKUP(D848,契約台帳!$A$3:$O$4986,15,FALSE))))</f>
        <v>1120</v>
      </c>
      <c r="T848" s="258">
        <f ca="1">IF(D848="","",IF(J848="リード付け",N848,IF(J848="巻返しリード付け",N848,IF(J848="巻足し",N848*P848+OFFSET(N848,1,0)*OFFSET(P848,1,0),VLOOKUP(D848,契約台帳!$A$3:$P$4986,16,FALSE)))))</f>
        <v>10000</v>
      </c>
      <c r="U848" s="38">
        <v>1</v>
      </c>
      <c r="V848" s="259" t="str">
        <f ca="1">IF(D848="","",IF(OFFSET(D848,-2,0)=D848,"",VLOOKUP(D848,契約台帳!$A$3:$R$4986,18,FALSE)))</f>
        <v/>
      </c>
      <c r="W848" s="256" t="str">
        <f ca="1">IF(D848="","",IF(T848="","",IF(OR(J848="巻足し",J848="巻返しリード付け"),"",IF(J848="巻返し",VLOOKUP(F848&amp;K848&amp;M848,製品マスタ!$M$5:$AD$4999,18,FALSE),IF(OR(J848="リード付け",J848="巻返しリード付け"),"原反コア",IF(J848="スリット",VLOOKUP(F848&amp;K848&amp;R848,製品マスタ!$N$5:$AD$4999,17,FALSE),""))))))</f>
        <v/>
      </c>
      <c r="X848" s="256" t="str">
        <f ca="1">IF(D848="","",IF(T848="","",IF(J848="巻足し","",IF(J848="巻返し",VLOOKUP(F848&amp;K848&amp;M848,製品マスタ!$M$5:$AE$4999,19,FALSE),IF(OR(J848="リード付け",J848="巻返しリード付け"),"",IF(J848="スリット",VLOOKUP(F848&amp;K848&amp;R848,製品マスタ!$N$5:$AE$4999,18,FALSE),""))))))</f>
        <v/>
      </c>
      <c r="Y848" s="256">
        <f ca="1">IF(D848="","",IF(T848="","",VLOOKUP(D848,契約台帳!$A$3:$Q$4986,17,FALSE)))</f>
        <v>2</v>
      </c>
      <c r="Z848" s="256" t="str">
        <f ca="1">IF(D848="","",IF(T848="","",VLOOKUP(D848,契約台帳!$A$3:$E$4986,5,FALSE)))</f>
        <v>リンテック㈱</v>
      </c>
      <c r="AA848" s="54"/>
      <c r="AB848" s="200" t="str">
        <f>IFERROR((VLOOKUP(F848&amp;K848&amp;M848,製品マスタ!$M$5:$AM$4999,27,FALSE)),"")</f>
        <v>原反ケース再利用</v>
      </c>
      <c r="AC848" s="31"/>
      <c r="AD848" s="184"/>
      <c r="AE848" s="51"/>
      <c r="AF848" s="52">
        <f>+M848*N848*O848/1000</f>
        <v>5600</v>
      </c>
      <c r="AG848" s="41"/>
      <c r="AH848" s="45"/>
      <c r="AI848" s="28"/>
      <c r="AJ848" s="28"/>
      <c r="AK848" s="28"/>
      <c r="AL848" s="28"/>
      <c r="AM848" s="12"/>
      <c r="AN848" s="12"/>
      <c r="AO848" s="12"/>
      <c r="AP848" s="12"/>
      <c r="AQ848" s="12"/>
      <c r="AR848" s="13"/>
      <c r="AS848" s="14"/>
    </row>
    <row r="849" spans="1:45" s="16" customFormat="1" ht="30.95" hidden="1" customHeight="1" x14ac:dyDescent="0.2">
      <c r="A849" s="35"/>
      <c r="B849" s="36"/>
      <c r="C849" s="43"/>
      <c r="D849" s="29">
        <v>3721217</v>
      </c>
      <c r="E849" s="29"/>
      <c r="F849" s="255" t="str">
        <f>IF(D849="","",VLOOKUP(D849,契約台帳!$A$3:$K$4986,6,FALSE)&amp;VLOOKUP(D849,契約台帳!$A$3:$K$4986,7,FALSE)&amp;VLOOKUP(D849,契約台帳!$A$3:$K$4986,8,FALSE)&amp;VLOOKUP(D849,契約台帳!$A$3:$K$4986,9,FALSE)&amp;VLOOKUP(D849,契約台帳!$A$3:$K$4986,11,FALSE))</f>
        <v>3SNMLBMNGTBF</v>
      </c>
      <c r="G849" s="256" t="str">
        <f>IF(D849="","",VLOOKUP(F849,製品マスタ!$G$5:$H$4999,2,FALSE))</f>
        <v>S</v>
      </c>
      <c r="H849" s="256" t="str">
        <f>IF(D849="","",VLOOKUP(F849,製品マスタ!$G$5:$K$4999,5,FALSE))</f>
        <v>MNGTBF</v>
      </c>
      <c r="I849" s="200" t="str">
        <f>IF(D849="","",VLOOKUP(F849,製品マスタ!$G$5:$L$4999,6,FALSE))</f>
        <v>メタルミー　ネーマー　銀艶　Ｂ</v>
      </c>
      <c r="J849" s="203" t="s">
        <v>935</v>
      </c>
      <c r="K849" s="200">
        <f>IF(D849="","",VLOOKUP(D849,契約台帳!$A$3:$L$4986,12,FALSE))</f>
        <v>50</v>
      </c>
      <c r="L849" s="200" t="str">
        <f>IF(D849="","",INDEX(製品マスタ!$Q$5:$Q$4999,MATCH('S4'!F849&amp;'S4'!K849,製品マスタ!$AO$5:$AO$4999,0)))</f>
        <v>T62</v>
      </c>
      <c r="M849" s="37">
        <v>1120</v>
      </c>
      <c r="N849" s="37">
        <v>5000</v>
      </c>
      <c r="O849" s="153">
        <v>1</v>
      </c>
      <c r="P849" s="45"/>
      <c r="Q849" s="206">
        <v>45132</v>
      </c>
      <c r="R849" s="257" t="str">
        <f ca="1">IF(D849="","",IF(OFFSET(D849,-1,0)&lt;&gt;"","",IF(OR(J849="リード付け",J849="巻足し",J849="巻返しリード付け"),M849,VLOOKUP(D849,契約台帳!$A$3:$N$4986,14,FALSE))))</f>
        <v/>
      </c>
      <c r="S849" s="258" t="str">
        <f ca="1">IF(D849="","",IF(OFFSET(D849,-1,0)&lt;&gt;"","",IF(OR(J849="リード付け",J849="巻足し",J849="巻返しリード付け"),M849,VLOOKUP(D849,契約台帳!$A$3:$O$4986,15,FALSE))))</f>
        <v/>
      </c>
      <c r="T849" s="258">
        <f ca="1">IF(D849="","",IF(J849="リード付け",N849,IF(J849="巻返しリード付け",N849,IF(J849="巻足し",N849*P849+OFFSET(N849,1,0)*OFFSET(P849,1,0),VLOOKUP(D849,契約台帳!$A$3:$P$4986,16,FALSE)))))</f>
        <v>0</v>
      </c>
      <c r="U849" s="38"/>
      <c r="V849" s="259">
        <f ca="1">IF(D849="","",IF(OFFSET(D849,-2,0)=D849,"",VLOOKUP(D849,契約台帳!$A$3:$R$4986,18,FALSE)))</f>
        <v>1</v>
      </c>
      <c r="W849" s="256" t="str">
        <f ca="1">IF(D849="","",IF(T849="","",IF(OR(J849="巻足し",J849="巻返しリード付け"),"",IF(J849="巻返し",VLOOKUP(F849&amp;K849&amp;M849,製品マスタ!$M$5:$AD$4999,18,FALSE),IF(OR(J849="リード付け",J849="巻返しリード付け"),"原反コア",IF(J849="スリット",VLOOKUP(F849&amp;K849&amp;R849,製品マスタ!$N$5:$AD$4999,17,FALSE),""))))))</f>
        <v/>
      </c>
      <c r="X849" s="256" t="str">
        <f ca="1">IF(D849="","",IF(T849="","",IF(J849="巻足し","",IF(J849="巻返し",VLOOKUP(F849&amp;K849&amp;M849,製品マスタ!$M$5:$AE$4999,19,FALSE),IF(OR(J849="リード付け",J849="巻返しリード付け"),"",IF(J849="スリット",VLOOKUP(F849&amp;K849&amp;R849,製品マスタ!$N$5:$AE$4999,18,FALSE),""))))))</f>
        <v/>
      </c>
      <c r="Y849" s="256">
        <f ca="1">IF(D849="","",IF(T849="","",VLOOKUP(D849,契約台帳!$A$3:$Q$4986,17,FALSE)))</f>
        <v>2</v>
      </c>
      <c r="Z849" s="256" t="str">
        <f ca="1">IF(D849="","",IF(T849="","",VLOOKUP(D849,契約台帳!$A$3:$E$4986,5,FALSE)))</f>
        <v>リンテック㈱</v>
      </c>
      <c r="AA849" s="54"/>
      <c r="AB849" s="200" t="str">
        <f>IFERROR((VLOOKUP(F849&amp;K849&amp;M849,製品マスタ!$M$5:$AM$4999,27,FALSE)),"")</f>
        <v>原反ケース再利用</v>
      </c>
      <c r="AC849" s="31"/>
      <c r="AD849" s="184"/>
      <c r="AE849" s="51"/>
      <c r="AF849" s="52">
        <f>+M849*N849*O849/1000</f>
        <v>5600</v>
      </c>
      <c r="AG849" s="41"/>
      <c r="AH849" s="45"/>
      <c r="AI849" s="28"/>
      <c r="AJ849" s="28"/>
      <c r="AK849" s="28"/>
      <c r="AL849" s="28"/>
      <c r="AM849" s="12"/>
      <c r="AN849" s="12"/>
      <c r="AO849" s="12"/>
      <c r="AP849" s="12"/>
      <c r="AQ849" s="12"/>
      <c r="AR849" s="13"/>
      <c r="AS849" s="14"/>
    </row>
    <row r="850" spans="1:45" s="16" customFormat="1" ht="30.95" hidden="1" customHeight="1" x14ac:dyDescent="0.2">
      <c r="A850" s="35"/>
      <c r="B850" s="36"/>
      <c r="C850" s="43"/>
      <c r="D850" s="29"/>
      <c r="E850" s="29"/>
      <c r="F850" s="255"/>
      <c r="G850" s="256"/>
      <c r="H850" s="256"/>
      <c r="I850" s="200"/>
      <c r="J850" s="203"/>
      <c r="K850" s="200"/>
      <c r="L850" s="200"/>
      <c r="M850" s="37"/>
      <c r="N850" s="37"/>
      <c r="O850" s="153"/>
      <c r="P850" s="45"/>
      <c r="Q850" s="54"/>
      <c r="R850" s="257"/>
      <c r="S850" s="258"/>
      <c r="T850" s="258"/>
      <c r="U850" s="38"/>
      <c r="V850" s="259"/>
      <c r="W850" s="256"/>
      <c r="X850" s="256"/>
      <c r="Y850" s="256"/>
      <c r="Z850" s="256"/>
      <c r="AA850" s="54"/>
      <c r="AB850" s="200"/>
      <c r="AC850" s="31"/>
      <c r="AD850" s="184"/>
      <c r="AE850" s="51"/>
      <c r="AF850" s="52"/>
      <c r="AG850" s="41"/>
      <c r="AH850" s="45"/>
      <c r="AI850" s="28"/>
      <c r="AJ850" s="28"/>
      <c r="AK850" s="28"/>
      <c r="AL850" s="28"/>
      <c r="AM850" s="12"/>
      <c r="AN850" s="12"/>
      <c r="AO850" s="12"/>
      <c r="AP850" s="12"/>
      <c r="AQ850" s="12"/>
      <c r="AR850" s="13"/>
      <c r="AS850" s="14"/>
    </row>
    <row r="851" spans="1:45" s="16" customFormat="1" ht="30.95" hidden="1" customHeight="1" x14ac:dyDescent="0.2">
      <c r="A851" s="35"/>
      <c r="B851" s="36"/>
      <c r="C851" s="43"/>
      <c r="D851" s="29">
        <v>3721226</v>
      </c>
      <c r="E851" s="29">
        <v>4162014</v>
      </c>
      <c r="F851" s="255" t="str">
        <f>IF(D851="","",VLOOKUP(D851,契約台帳!$A$3:$K$4986,6,FALSE)&amp;VLOOKUP(D851,契約台帳!$A$3:$K$4986,7,FALSE)&amp;VLOOKUP(D851,契約台帳!$A$3:$K$4986,8,FALSE)&amp;VLOOKUP(D851,契約台帳!$A$3:$K$4986,9,FALSE)&amp;VLOOKUP(D851,契約台帳!$A$3:$K$4986,11,FALSE))</f>
        <v>3SYMLBMSNMBF</v>
      </c>
      <c r="G851" s="256" t="str">
        <f>IF(D851="","",VLOOKUP(F851,製品マスタ!$G$5:$H$4999,2,FALSE))</f>
        <v>S</v>
      </c>
      <c r="H851" s="256" t="str">
        <f>IF(D851="","",VLOOKUP(F851,製品マスタ!$G$5:$K$4999,5,FALSE))</f>
        <v>MSNMBF</v>
      </c>
      <c r="I851" s="200" t="str">
        <f>IF(D851="","",VLOOKUP(F851,製品マスタ!$G$5:$L$4999,6,FALSE))</f>
        <v>ＭＥＴＡＬＵＭＹ　ＳＩＬＶＥＲ　Ｎ－ＭＡＴＴＥ　Ｘ４４Ｍ　Ｂ</v>
      </c>
      <c r="J851" s="203" t="s">
        <v>935</v>
      </c>
      <c r="K851" s="200">
        <f>IF(D851="","",VLOOKUP(D851,契約台帳!$A$3:$L$4986,12,FALSE))</f>
        <v>50</v>
      </c>
      <c r="L851" s="200" t="str">
        <f>IF(D851="","",INDEX(製品マスタ!$Q$5:$Q$4999,MATCH('S4'!F851&amp;'S4'!K851,製品マスタ!$AO$5:$AO$4999,0)))</f>
        <v>X44</v>
      </c>
      <c r="M851" s="37">
        <v>1120</v>
      </c>
      <c r="N851" s="37">
        <v>4000</v>
      </c>
      <c r="O851" s="153">
        <v>6</v>
      </c>
      <c r="P851" s="45">
        <v>3</v>
      </c>
      <c r="Q851" s="206">
        <v>45133</v>
      </c>
      <c r="R851" s="257">
        <f ca="1">IF(D851="","",IF(OFFSET(D851,-1,0)&lt;&gt;"","",IF(OR(J851="リード付け",J851="巻足し",J851="巻返しリード付け"),M851,VLOOKUP(D851,契約台帳!$A$3:$N$4986,14,FALSE))))</f>
        <v>1120</v>
      </c>
      <c r="S851" s="258">
        <f ca="1">IF(D851="","",IF(OFFSET(D851,-1,0)&lt;&gt;"","",IF(OR(J851="リード付け",J851="巻足し",J851="巻返しリード付け"),M851,VLOOKUP(D851,契約台帳!$A$3:$O$4986,15,FALSE))))</f>
        <v>1120</v>
      </c>
      <c r="T851" s="258">
        <f ca="1">IF(D851="","",IF(J851="リード付け",N851,IF(J851="巻返しリード付け",N851,IF(J851="巻足し",N851*P851+OFFSET(N851,1,0)*OFFSET(P851,1,0),VLOOKUP(D851,契約台帳!$A$3:$P$4986,16,FALSE)))))</f>
        <v>12000</v>
      </c>
      <c r="U851" s="38">
        <v>2</v>
      </c>
      <c r="V851" s="259">
        <f ca="1">IF(D851="","",IF(OFFSET(D851,-2,0)=D851,"",VLOOKUP(D851,契約台帳!$A$3:$R$4986,18,FALSE)))</f>
        <v>8</v>
      </c>
      <c r="W851" s="256" t="str">
        <f ca="1">IF(D851="","",IF(T851="","",IF(OR(J851="巻足し",J851="巻返しリード付け"),"",IF(J851="巻返し",VLOOKUP(F851&amp;K851&amp;M851,製品マスタ!$M$5:$AD$4999,18,FALSE),IF(OR(J851="リード付け",J851="巻返しリード付け"),"原反コア",IF(J851="スリット",VLOOKUP(F851&amp;K851&amp;R851,製品マスタ!$N$5:$AD$4999,17,FALSE),""))))))</f>
        <v/>
      </c>
      <c r="X851" s="256" t="str">
        <f ca="1">IF(D851="","",IF(T851="","",IF(J851="巻足し","",IF(J851="巻返し",VLOOKUP(F851&amp;K851&amp;M851,製品マスタ!$M$5:$AE$4999,19,FALSE),IF(OR(J851="リード付け",J851="巻返しリード付け"),"",IF(J851="スリット",VLOOKUP(F851&amp;K851&amp;R851,製品マスタ!$N$5:$AE$4999,18,FALSE),""))))))</f>
        <v/>
      </c>
      <c r="Y851" s="256">
        <f ca="1">IF(D851="","",IF(T851="","",VLOOKUP(D851,契約台帳!$A$3:$Q$4986,17,FALSE)))</f>
        <v>2</v>
      </c>
      <c r="Z851" s="256" t="str">
        <f ca="1">IF(D851="","",IF(T851="","",VLOOKUP(D851,契約台帳!$A$3:$E$4986,5,FALSE)))</f>
        <v>リンテック㈱</v>
      </c>
      <c r="AA851" s="54"/>
      <c r="AB851" s="200">
        <f>IFERROR((VLOOKUP(F851&amp;K851&amp;M851,製品マスタ!$M$5:$AM$4999,27,FALSE)),"")</f>
        <v>0</v>
      </c>
      <c r="AC851" s="31"/>
      <c r="AD851" s="184"/>
      <c r="AE851" s="51"/>
      <c r="AF851" s="52">
        <f>+M851*N851*O851/1000</f>
        <v>26880</v>
      </c>
      <c r="AG851" s="41"/>
      <c r="AH851" s="45"/>
      <c r="AI851" s="28"/>
      <c r="AJ851" s="28"/>
      <c r="AK851" s="28"/>
      <c r="AL851" s="28"/>
      <c r="AM851" s="12"/>
      <c r="AN851" s="12"/>
      <c r="AO851" s="12"/>
      <c r="AP851" s="12"/>
      <c r="AQ851" s="12"/>
      <c r="AR851" s="13"/>
      <c r="AS851" s="14"/>
    </row>
    <row r="852" spans="1:45" s="16" customFormat="1" ht="30.95" hidden="1" customHeight="1" x14ac:dyDescent="0.2">
      <c r="A852" s="35"/>
      <c r="B852" s="36"/>
      <c r="C852" s="43"/>
      <c r="D852" s="29"/>
      <c r="E852" s="29"/>
      <c r="F852" s="255"/>
      <c r="G852" s="256"/>
      <c r="H852" s="256"/>
      <c r="I852" s="200"/>
      <c r="J852" s="203"/>
      <c r="K852" s="200"/>
      <c r="L852" s="200"/>
      <c r="M852" s="37"/>
      <c r="N852" s="37"/>
      <c r="O852" s="153"/>
      <c r="P852" s="45"/>
      <c r="Q852" s="54"/>
      <c r="R852" s="257"/>
      <c r="S852" s="258"/>
      <c r="T852" s="258"/>
      <c r="U852" s="38"/>
      <c r="V852" s="259"/>
      <c r="W852" s="256"/>
      <c r="X852" s="256"/>
      <c r="Y852" s="256"/>
      <c r="Z852" s="256"/>
      <c r="AA852" s="54"/>
      <c r="AB852" s="200"/>
      <c r="AC852" s="31"/>
      <c r="AD852" s="184"/>
      <c r="AE852" s="51"/>
      <c r="AF852" s="52"/>
      <c r="AG852" s="41"/>
      <c r="AH852" s="45"/>
      <c r="AI852" s="28"/>
      <c r="AJ852" s="28"/>
      <c r="AK852" s="28"/>
      <c r="AL852" s="28"/>
      <c r="AM852" s="12"/>
      <c r="AN852" s="12"/>
      <c r="AO852" s="12"/>
      <c r="AP852" s="12"/>
      <c r="AQ852" s="12"/>
      <c r="AR852" s="13"/>
      <c r="AS852" s="14"/>
    </row>
    <row r="853" spans="1:45" s="16" customFormat="1" ht="30.95" hidden="1" customHeight="1" x14ac:dyDescent="0.2">
      <c r="A853" s="35"/>
      <c r="B853" s="36"/>
      <c r="C853" s="43"/>
      <c r="D853" s="29">
        <v>3721226</v>
      </c>
      <c r="E853" s="29">
        <v>4162014</v>
      </c>
      <c r="F853" s="255" t="str">
        <f>IF(D853="","",VLOOKUP(D853,契約台帳!$A$3:$K$4986,6,FALSE)&amp;VLOOKUP(D853,契約台帳!$A$3:$K$4986,7,FALSE)&amp;VLOOKUP(D853,契約台帳!$A$3:$K$4986,8,FALSE)&amp;VLOOKUP(D853,契約台帳!$A$3:$K$4986,9,FALSE)&amp;VLOOKUP(D853,契約台帳!$A$3:$K$4986,11,FALSE))</f>
        <v>3SYMLBMSNMBF</v>
      </c>
      <c r="G853" s="256" t="str">
        <f>IF(D853="","",VLOOKUP(F853,製品マスタ!$G$5:$H$4999,2,FALSE))</f>
        <v>S</v>
      </c>
      <c r="H853" s="256" t="str">
        <f>IF(D853="","",VLOOKUP(F853,製品マスタ!$G$5:$K$4999,5,FALSE))</f>
        <v>MSNMBF</v>
      </c>
      <c r="I853" s="200" t="str">
        <f>IF(D853="","",VLOOKUP(F853,製品マスタ!$G$5:$L$4999,6,FALSE))</f>
        <v>ＭＥＴＡＬＵＭＹ　ＳＩＬＶＥＲ　Ｎ－ＭＡＴＴＥ　Ｘ４４Ｍ　Ｂ</v>
      </c>
      <c r="J853" s="203" t="s">
        <v>935</v>
      </c>
      <c r="K853" s="200">
        <f>IF(D853="","",VLOOKUP(D853,契約台帳!$A$3:$L$4986,12,FALSE))</f>
        <v>50</v>
      </c>
      <c r="L853" s="200" t="str">
        <f>IF(D853="","",INDEX(製品マスタ!$Q$5:$Q$4999,MATCH('S4'!F853&amp;'S4'!K853,製品マスタ!$AO$5:$AO$4999,0)))</f>
        <v>X44</v>
      </c>
      <c r="M853" s="37">
        <v>1120</v>
      </c>
      <c r="N853" s="37">
        <v>4000</v>
      </c>
      <c r="O853" s="153">
        <v>2</v>
      </c>
      <c r="P853" s="45">
        <v>3</v>
      </c>
      <c r="Q853" s="206">
        <v>45133</v>
      </c>
      <c r="R853" s="257">
        <f ca="1">IF(D853="","",IF(OFFSET(D853,-1,0)&lt;&gt;"","",IF(OR(J853="リード付け",J853="巻足し",J853="巻返しリード付け"),M853,VLOOKUP(D853,契約台帳!$A$3:$N$4986,14,FALSE))))</f>
        <v>1120</v>
      </c>
      <c r="S853" s="258">
        <f ca="1">IF(D853="","",IF(OFFSET(D853,-1,0)&lt;&gt;"","",IF(OR(J853="リード付け",J853="巻足し",J853="巻返しリード付け"),M853,VLOOKUP(D853,契約台帳!$A$3:$O$4986,15,FALSE))))</f>
        <v>1120</v>
      </c>
      <c r="T853" s="258">
        <f ca="1">IF(D853="","",IF(J853="リード付け",N853,IF(J853="巻返しリード付け",N853,IF(J853="巻足し",N853*P853+OFFSET(N853,1,0)*OFFSET(P853,1,0),VLOOKUP(D853,契約台帳!$A$3:$P$4986,16,FALSE)))))</f>
        <v>12000</v>
      </c>
      <c r="U853" s="38">
        <v>1</v>
      </c>
      <c r="V853" s="259" t="str">
        <f ca="1">IF(D853="","",IF(OFFSET(D853,-2,0)=D853,"",VLOOKUP(D853,契約台帳!$A$3:$R$4986,18,FALSE)))</f>
        <v/>
      </c>
      <c r="W853" s="256" t="str">
        <f ca="1">IF(D853="","",IF(T853="","",IF(OR(J853="巻足し",J853="巻返しリード付け"),"",IF(J853="巻返し",VLOOKUP(F853&amp;K853&amp;M853,製品マスタ!$M$5:$AD$4999,18,FALSE),IF(OR(J853="リード付け",J853="巻返しリード付け"),"原反コア",IF(J853="スリット",VLOOKUP(F853&amp;K853&amp;R853,製品マスタ!$N$5:$AD$4999,17,FALSE),""))))))</f>
        <v/>
      </c>
      <c r="X853" s="256" t="str">
        <f ca="1">IF(D853="","",IF(T853="","",IF(J853="巻足し","",IF(J853="巻返し",VLOOKUP(F853&amp;K853&amp;M853,製品マスタ!$M$5:$AE$4999,19,FALSE),IF(OR(J853="リード付け",J853="巻返しリード付け"),"",IF(J853="スリット",VLOOKUP(F853&amp;K853&amp;R853,製品マスタ!$N$5:$AE$4999,18,FALSE),""))))))</f>
        <v/>
      </c>
      <c r="Y853" s="256">
        <f ca="1">IF(D853="","",IF(T853="","",VLOOKUP(D853,契約台帳!$A$3:$Q$4986,17,FALSE)))</f>
        <v>2</v>
      </c>
      <c r="Z853" s="256" t="str">
        <f ca="1">IF(D853="","",IF(T853="","",VLOOKUP(D853,契約台帳!$A$3:$E$4986,5,FALSE)))</f>
        <v>リンテック㈱</v>
      </c>
      <c r="AA853" s="54"/>
      <c r="AB853" s="200"/>
      <c r="AC853" s="31"/>
      <c r="AD853" s="184"/>
      <c r="AE853" s="51"/>
      <c r="AF853" s="52">
        <f>+M853*N853*O853/1000</f>
        <v>8960</v>
      </c>
      <c r="AG853" s="41"/>
      <c r="AH853" s="45"/>
      <c r="AI853" s="28"/>
      <c r="AJ853" s="28"/>
      <c r="AK853" s="28"/>
      <c r="AL853" s="28"/>
      <c r="AM853" s="12"/>
      <c r="AN853" s="12"/>
      <c r="AO853" s="12"/>
      <c r="AP853" s="12"/>
      <c r="AQ853" s="12"/>
      <c r="AR853" s="13"/>
      <c r="AS853" s="14"/>
    </row>
    <row r="854" spans="1:45" s="16" customFormat="1" ht="30.95" hidden="1" customHeight="1" x14ac:dyDescent="0.2">
      <c r="A854" s="35"/>
      <c r="B854" s="36"/>
      <c r="C854" s="43"/>
      <c r="D854" s="29">
        <v>3721227</v>
      </c>
      <c r="E854" s="29"/>
      <c r="F854" s="255" t="str">
        <f>IF(D854="","",VLOOKUP(D854,契約台帳!$A$3:$K$4986,6,FALSE)&amp;VLOOKUP(D854,契約台帳!$A$3:$K$4986,7,FALSE)&amp;VLOOKUP(D854,契約台帳!$A$3:$K$4986,8,FALSE)&amp;VLOOKUP(D854,契約台帳!$A$3:$K$4986,9,FALSE)&amp;VLOOKUP(D854,契約台帳!$A$3:$K$4986,11,FALSE))</f>
        <v>3SYMLBMSNMBF</v>
      </c>
      <c r="G854" s="256" t="str">
        <f>IF(D854="","",VLOOKUP(F854,製品マスタ!$G$5:$H$4999,2,FALSE))</f>
        <v>S</v>
      </c>
      <c r="H854" s="256" t="str">
        <f>IF(D854="","",VLOOKUP(F854,製品マスタ!$G$5:$K$4999,5,FALSE))</f>
        <v>MSNMBF</v>
      </c>
      <c r="I854" s="200" t="str">
        <f>IF(D854="","",VLOOKUP(F854,製品マスタ!$G$5:$L$4999,6,FALSE))</f>
        <v>ＭＥＴＡＬＵＭＹ　ＳＩＬＶＥＲ　Ｎ－ＭＡＴＴＥ　Ｘ４４Ｍ　Ｂ</v>
      </c>
      <c r="J854" s="203" t="s">
        <v>935</v>
      </c>
      <c r="K854" s="200">
        <f>IF(D854="","",VLOOKUP(D854,契約台帳!$A$3:$L$4986,12,FALSE))</f>
        <v>50</v>
      </c>
      <c r="L854" s="200" t="str">
        <f>IF(D854="","",INDEX(製品マスタ!$Q$5:$Q$4999,MATCH('S4'!F854&amp;'S4'!K854,製品マスタ!$AO$5:$AO$4999,0)))</f>
        <v>X44</v>
      </c>
      <c r="M854" s="37">
        <v>1120</v>
      </c>
      <c r="N854" s="37">
        <v>4000</v>
      </c>
      <c r="O854" s="153">
        <v>1</v>
      </c>
      <c r="P854" s="45"/>
      <c r="Q854" s="54"/>
      <c r="R854" s="257" t="str">
        <f ca="1">IF(D854="","",IF(OFFSET(D854,-1,0)&lt;&gt;"","",IF(OR(J854="リード付け",J854="巻足し",J854="巻返しリード付け"),M854,VLOOKUP(D854,契約台帳!$A$3:$N$4986,14,FALSE))))</f>
        <v/>
      </c>
      <c r="S854" s="258" t="str">
        <f ca="1">IF(D854="","",IF(OFFSET(D854,-1,0)&lt;&gt;"","",IF(OR(J854="リード付け",J854="巻足し",J854="巻返しリード付け"),M854,VLOOKUP(D854,契約台帳!$A$3:$O$4986,15,FALSE))))</f>
        <v/>
      </c>
      <c r="T854" s="258">
        <f ca="1">IF(D854="","",IF(J854="リード付け",N854,IF(J854="巻返しリード付け",N854,IF(J854="巻足し",N854*P854+OFFSET(N854,1,0)*OFFSET(P854,1,0),VLOOKUP(D854,契約台帳!$A$3:$P$4986,16,FALSE)))))</f>
        <v>0</v>
      </c>
      <c r="U854" s="38"/>
      <c r="V854" s="259">
        <f ca="1">IF(D854="","",IF(OFFSET(D854,-2,0)=D854,"",VLOOKUP(D854,契約台帳!$A$3:$R$4986,18,FALSE)))</f>
        <v>4</v>
      </c>
      <c r="W854" s="256" t="str">
        <f ca="1">IF(D854="","",IF(T854="","",IF(OR(J854="巻足し",J854="巻返しリード付け"),"",IF(J854="巻返し",VLOOKUP(F854&amp;K854&amp;M854,製品マスタ!$M$5:$AD$4999,18,FALSE),IF(OR(J854="リード付け",J854="巻返しリード付け"),"原反コア",IF(J854="スリット",VLOOKUP(F854&amp;K854&amp;R854,製品マスタ!$N$5:$AD$4999,17,FALSE),""))))))</f>
        <v/>
      </c>
      <c r="X854" s="256" t="str">
        <f ca="1">IF(D854="","",IF(T854="","",IF(J854="巻足し","",IF(J854="巻返し",VLOOKUP(F854&amp;K854&amp;M854,製品マスタ!$M$5:$AE$4999,19,FALSE),IF(OR(J854="リード付け",J854="巻返しリード付け"),"",IF(J854="スリット",VLOOKUP(F854&amp;K854&amp;R854,製品マスタ!$N$5:$AE$4999,18,FALSE),""))))))</f>
        <v/>
      </c>
      <c r="Y854" s="256">
        <f ca="1">IF(D854="","",IF(T854="","",VLOOKUP(D854,契約台帳!$A$3:$Q$4986,17,FALSE)))</f>
        <v>2</v>
      </c>
      <c r="Z854" s="256" t="str">
        <f ca="1">IF(D854="","",IF(T854="","",VLOOKUP(D854,契約台帳!$A$3:$E$4986,5,FALSE)))</f>
        <v>リンテック㈱</v>
      </c>
      <c r="AA854" s="54"/>
      <c r="AB854" s="200">
        <f>IFERROR((VLOOKUP(F854&amp;K854&amp;M854,製品マスタ!$M$5:$AM$4999,27,FALSE)),"")</f>
        <v>0</v>
      </c>
      <c r="AC854" s="31"/>
      <c r="AD854" s="184"/>
      <c r="AE854" s="51"/>
      <c r="AF854" s="52">
        <f>+M854*N854*O854/1000</f>
        <v>4480</v>
      </c>
      <c r="AG854" s="41"/>
      <c r="AH854" s="45"/>
      <c r="AI854" s="28"/>
      <c r="AJ854" s="28"/>
      <c r="AK854" s="28"/>
      <c r="AL854" s="28"/>
      <c r="AM854" s="12"/>
      <c r="AN854" s="12"/>
      <c r="AO854" s="12"/>
      <c r="AP854" s="12"/>
      <c r="AQ854" s="12"/>
      <c r="AR854" s="13"/>
      <c r="AS854" s="14"/>
    </row>
    <row r="855" spans="1:45" s="16" customFormat="1" ht="30.95" hidden="1" customHeight="1" x14ac:dyDescent="0.2">
      <c r="A855" s="35"/>
      <c r="B855" s="36"/>
      <c r="C855" s="43"/>
      <c r="D855" s="29"/>
      <c r="E855" s="29"/>
      <c r="F855" s="255"/>
      <c r="G855" s="256"/>
      <c r="H855" s="256"/>
      <c r="I855" s="200"/>
      <c r="J855" s="203"/>
      <c r="K855" s="200"/>
      <c r="L855" s="200"/>
      <c r="M855" s="37"/>
      <c r="N855" s="37"/>
      <c r="O855" s="153"/>
      <c r="P855" s="45"/>
      <c r="Q855" s="54"/>
      <c r="R855" s="257"/>
      <c r="S855" s="258"/>
      <c r="T855" s="258"/>
      <c r="U855" s="38"/>
      <c r="V855" s="259"/>
      <c r="W855" s="256"/>
      <c r="X855" s="256"/>
      <c r="Y855" s="256"/>
      <c r="Z855" s="256"/>
      <c r="AA855" s="54"/>
      <c r="AB855" s="200"/>
      <c r="AC855" s="31"/>
      <c r="AD855" s="184"/>
      <c r="AE855" s="51"/>
      <c r="AF855" s="52"/>
      <c r="AG855" s="41"/>
      <c r="AH855" s="45"/>
      <c r="AI855" s="28"/>
      <c r="AJ855" s="28"/>
      <c r="AK855" s="28"/>
      <c r="AL855" s="28"/>
      <c r="AM855" s="12"/>
      <c r="AN855" s="12"/>
      <c r="AO855" s="12"/>
      <c r="AP855" s="12"/>
      <c r="AQ855" s="12"/>
      <c r="AR855" s="13"/>
      <c r="AS855" s="14"/>
    </row>
    <row r="856" spans="1:45" s="16" customFormat="1" ht="30.95" hidden="1" customHeight="1" x14ac:dyDescent="0.2">
      <c r="A856" s="35"/>
      <c r="B856" s="36"/>
      <c r="C856" s="43"/>
      <c r="D856" s="29">
        <v>3721227</v>
      </c>
      <c r="E856" s="29">
        <v>4162015</v>
      </c>
      <c r="F856" s="255" t="str">
        <f>IF(D856="","",VLOOKUP(D856,契約台帳!$A$3:$K$4986,6,FALSE)&amp;VLOOKUP(D856,契約台帳!$A$3:$K$4986,7,FALSE)&amp;VLOOKUP(D856,契約台帳!$A$3:$K$4986,8,FALSE)&amp;VLOOKUP(D856,契約台帳!$A$3:$K$4986,9,FALSE)&amp;VLOOKUP(D856,契約台帳!$A$3:$K$4986,11,FALSE))</f>
        <v>3SYMLBMSNMBF</v>
      </c>
      <c r="G856" s="256" t="str">
        <f>IF(D856="","",VLOOKUP(F856,製品マスタ!$G$5:$H$4999,2,FALSE))</f>
        <v>S</v>
      </c>
      <c r="H856" s="256" t="str">
        <f>IF(D856="","",VLOOKUP(F856,製品マスタ!$G$5:$K$4999,5,FALSE))</f>
        <v>MSNMBF</v>
      </c>
      <c r="I856" s="200" t="str">
        <f>IF(D856="","",VLOOKUP(F856,製品マスタ!$G$5:$L$4999,6,FALSE))</f>
        <v>ＭＥＴＡＬＵＭＹ　ＳＩＬＶＥＲ　Ｎ－ＭＡＴＴＥ　Ｘ４４Ｍ　Ｂ</v>
      </c>
      <c r="J856" s="203" t="s">
        <v>935</v>
      </c>
      <c r="K856" s="200">
        <f>IF(D856="","",VLOOKUP(D856,契約台帳!$A$3:$L$4986,12,FALSE))</f>
        <v>50</v>
      </c>
      <c r="L856" s="200" t="str">
        <f>IF(D856="","",INDEX(製品マスタ!$Q$5:$Q$4999,MATCH('S4'!F856&amp;'S4'!K856,製品マスタ!$AO$5:$AO$4999,0)))</f>
        <v>X44</v>
      </c>
      <c r="M856" s="37">
        <v>1120</v>
      </c>
      <c r="N856" s="37">
        <v>4000</v>
      </c>
      <c r="O856" s="153">
        <v>3</v>
      </c>
      <c r="P856" s="45">
        <v>3</v>
      </c>
      <c r="Q856" s="206">
        <v>45133</v>
      </c>
      <c r="R856" s="257">
        <f ca="1">IF(D856="","",IF(OFFSET(D856,-1,0)&lt;&gt;"","",IF(OR(J856="リード付け",J856="巻足し",J856="巻返しリード付け"),M856,VLOOKUP(D856,契約台帳!$A$3:$N$4986,14,FALSE))))</f>
        <v>1120</v>
      </c>
      <c r="S856" s="258">
        <f ca="1">IF(D856="","",IF(OFFSET(D856,-1,0)&lt;&gt;"","",IF(OR(J856="リード付け",J856="巻足し",J856="巻返しリード付け"),M856,VLOOKUP(D856,契約台帳!$A$3:$O$4986,15,FALSE))))</f>
        <v>1120</v>
      </c>
      <c r="T856" s="258">
        <f ca="1">IF(D856="","",IF(J856="リード付け",N856,IF(J856="巻返しリード付け",N856,IF(J856="巻足し",N856*P856+OFFSET(N856,1,0)*OFFSET(P856,1,0),VLOOKUP(D856,契約台帳!$A$3:$P$4986,16,FALSE)))))</f>
        <v>12000</v>
      </c>
      <c r="U856" s="38">
        <v>1</v>
      </c>
      <c r="V856" s="259" t="str">
        <f ca="1">IF(D856="","",IF(OFFSET(D856,-2,0)=D856,"",VLOOKUP(D856,契約台帳!$A$3:$R$4986,18,FALSE)))</f>
        <v/>
      </c>
      <c r="W856" s="256" t="str">
        <f ca="1">IF(D856="","",IF(T856="","",IF(OR(J856="巻足し",J856="巻返しリード付け"),"",IF(J856="巻返し",VLOOKUP(F856&amp;K856&amp;M856,製品マスタ!$M$5:$AD$4999,18,FALSE),IF(OR(J856="リード付け",J856="巻返しリード付け"),"原反コア",IF(J856="スリット",VLOOKUP(F856&amp;K856&amp;R856,製品マスタ!$N$5:$AD$4999,17,FALSE),""))))))</f>
        <v/>
      </c>
      <c r="X856" s="256" t="str">
        <f ca="1">IF(D856="","",IF(T856="","",IF(J856="巻足し","",IF(J856="巻返し",VLOOKUP(F856&amp;K856&amp;M856,製品マスタ!$M$5:$AE$4999,19,FALSE),IF(OR(J856="リード付け",J856="巻返しリード付け"),"",IF(J856="スリット",VLOOKUP(F856&amp;K856&amp;R856,製品マスタ!$N$5:$AE$4999,18,FALSE),""))))))</f>
        <v/>
      </c>
      <c r="Y856" s="256">
        <f ca="1">IF(D856="","",IF(T856="","",VLOOKUP(D856,契約台帳!$A$3:$Q$4986,17,FALSE)))</f>
        <v>2</v>
      </c>
      <c r="Z856" s="256" t="str">
        <f ca="1">IF(D856="","",IF(T856="","",VLOOKUP(D856,契約台帳!$A$3:$E$4986,5,FALSE)))</f>
        <v>リンテック㈱</v>
      </c>
      <c r="AA856" s="54"/>
      <c r="AB856" s="200">
        <f>IFERROR((VLOOKUP(F856&amp;K856&amp;M856,製品マスタ!$M$5:$AM$4999,27,FALSE)),"")</f>
        <v>0</v>
      </c>
      <c r="AC856" s="31"/>
      <c r="AD856" s="184"/>
      <c r="AE856" s="51"/>
      <c r="AF856" s="52">
        <f>+M856*N856*O856/1000</f>
        <v>13440</v>
      </c>
      <c r="AG856" s="41"/>
      <c r="AH856" s="45"/>
      <c r="AI856" s="28"/>
      <c r="AJ856" s="28"/>
      <c r="AK856" s="28"/>
      <c r="AL856" s="28"/>
      <c r="AM856" s="12"/>
      <c r="AN856" s="12"/>
      <c r="AO856" s="12"/>
      <c r="AP856" s="12"/>
      <c r="AQ856" s="12"/>
      <c r="AR856" s="13"/>
      <c r="AS856" s="14"/>
    </row>
    <row r="857" spans="1:45" s="16" customFormat="1" ht="30.95" hidden="1" customHeight="1" x14ac:dyDescent="0.2">
      <c r="A857" s="35"/>
      <c r="B857" s="36"/>
      <c r="C857" s="43"/>
      <c r="D857" s="29"/>
      <c r="E857" s="29"/>
      <c r="F857" s="255"/>
      <c r="G857" s="256"/>
      <c r="H857" s="256"/>
      <c r="I857" s="200"/>
      <c r="J857" s="203"/>
      <c r="K857" s="200"/>
      <c r="L857" s="200"/>
      <c r="M857" s="37"/>
      <c r="N857" s="37"/>
      <c r="O857" s="153"/>
      <c r="P857" s="45"/>
      <c r="Q857" s="54"/>
      <c r="R857" s="257"/>
      <c r="S857" s="258"/>
      <c r="T857" s="258"/>
      <c r="U857" s="38"/>
      <c r="V857" s="259"/>
      <c r="W857" s="256"/>
      <c r="X857" s="256"/>
      <c r="Y857" s="256"/>
      <c r="Z857" s="256"/>
      <c r="AA857" s="54"/>
      <c r="AB857" s="200"/>
      <c r="AC857" s="31"/>
      <c r="AD857" s="184"/>
      <c r="AE857" s="51"/>
      <c r="AF857" s="52"/>
      <c r="AG857" s="41"/>
      <c r="AH857" s="45"/>
      <c r="AI857" s="28"/>
      <c r="AJ857" s="28"/>
      <c r="AK857" s="28"/>
      <c r="AL857" s="28"/>
      <c r="AM857" s="12"/>
      <c r="AN857" s="12"/>
      <c r="AO857" s="12"/>
      <c r="AP857" s="12"/>
      <c r="AQ857" s="12"/>
      <c r="AR857" s="13"/>
      <c r="AS857" s="14"/>
    </row>
    <row r="858" spans="1:45" s="16" customFormat="1" ht="30.95" hidden="1" customHeight="1" x14ac:dyDescent="0.2">
      <c r="A858" s="35"/>
      <c r="B858" s="36"/>
      <c r="C858" s="43"/>
      <c r="D858" s="29">
        <v>3717577</v>
      </c>
      <c r="E858" s="29">
        <v>4161973</v>
      </c>
      <c r="F858" s="255" t="str">
        <f>IF(D858="","",VLOOKUP(D858,契約台帳!$A$3:$K$4986,6,FALSE)&amp;VLOOKUP(D858,契約台帳!$A$3:$K$4986,7,FALSE)&amp;VLOOKUP(D858,契約台帳!$A$3:$K$4986,8,FALSE)&amp;VLOOKUP(D858,契約台帳!$A$3:$K$4986,9,FALSE)&amp;VLOOKUP(D858,契約台帳!$A$3:$K$4986,11,FALSE))</f>
        <v>3SNMCLBMSNEYK</v>
      </c>
      <c r="G858" s="256" t="str">
        <f>IF(D858="","",VLOOKUP(F858,製品マスタ!$G$5:$H$4999,2,FALSE))</f>
        <v>S</v>
      </c>
      <c r="H858" s="256" t="str">
        <f>IF(D858="","",VLOOKUP(F858,製品マスタ!$G$5:$K$4999,5,FALSE))</f>
        <v>MSNEYK</v>
      </c>
      <c r="I858" s="200" t="str">
        <f>IF(D858="","",VLOOKUP(F858,製品マスタ!$G$5:$L$4999,6,FALSE))</f>
        <v>ＭＳＮ　ＥＹＫ</v>
      </c>
      <c r="J858" s="203" t="s">
        <v>935</v>
      </c>
      <c r="K858" s="200">
        <f>IF(D858="","",VLOOKUP(D858,契約台帳!$A$3:$L$4986,12,FALSE))</f>
        <v>50</v>
      </c>
      <c r="L858" s="200" t="str">
        <f>IF(D858="","",INDEX(製品マスタ!$Q$5:$Q$4999,MATCH('S4'!F858&amp;'S4'!K858,製品マスタ!$AO$5:$AO$4999,0)))</f>
        <v>N-MAT</v>
      </c>
      <c r="M858" s="37">
        <v>1120</v>
      </c>
      <c r="N858" s="37">
        <v>4000</v>
      </c>
      <c r="O858" s="153">
        <v>2</v>
      </c>
      <c r="P858" s="45">
        <v>2</v>
      </c>
      <c r="Q858" s="206">
        <v>45119</v>
      </c>
      <c r="R858" s="257">
        <f ca="1">IF(D858="","",IF(OFFSET(D858,-1,0)&lt;&gt;"","",IF(OR(J858="リード付け",J858="巻足し",J858="巻返しリード付け"),M858,VLOOKUP(D858,契約台帳!$A$3:$N$4986,14,FALSE))))</f>
        <v>1120</v>
      </c>
      <c r="S858" s="258">
        <f ca="1">IF(D858="","",IF(OFFSET(D858,-1,0)&lt;&gt;"","",IF(OR(J858="リード付け",J858="巻足し",J858="巻返しリード付け"),M858,VLOOKUP(D858,契約台帳!$A$3:$O$4986,15,FALSE))))</f>
        <v>1120</v>
      </c>
      <c r="T858" s="258">
        <f ca="1">IF(D858="","",IF(J858="リード付け",N858,IF(J858="巻返しリード付け",N858,IF(J858="巻足し",N858*P858+OFFSET(N858,1,0)*OFFSET(P858,1,0),VLOOKUP(D858,契約台帳!$A$3:$P$4986,16,FALSE)))))</f>
        <v>8000</v>
      </c>
      <c r="U858" s="38">
        <v>1</v>
      </c>
      <c r="V858" s="259">
        <f ca="1">IF(D858="","",IF(OFFSET(D858,-2,0)=D858,"",VLOOKUP(D858,契約台帳!$A$3:$R$4986,18,FALSE)))</f>
        <v>2</v>
      </c>
      <c r="W858" s="256" t="str">
        <f ca="1">IF(D858="","",IF(T858="","",IF(OR(J858="巻足し",J858="巻返しリード付け"),"",IF(J858="巻返し",VLOOKUP(F858&amp;K858&amp;M858,製品マスタ!$M$5:$AD$4999,18,FALSE),IF(OR(J858="リード付け",J858="巻返しリード付け"),"原反コア",IF(J858="スリット",VLOOKUP(F858&amp;K858&amp;R858,製品マスタ!$N$5:$AD$4999,17,FALSE),""))))))</f>
        <v/>
      </c>
      <c r="X858" s="256" t="str">
        <f ca="1">IF(D858="","",IF(T858="","",IF(J858="巻足し","",IF(J858="巻返し",VLOOKUP(F858&amp;K858&amp;M858,製品マスタ!$M$5:$AE$4999,19,FALSE),IF(OR(J858="リード付け",J858="巻返しリード付け"),"",IF(J858="スリット",VLOOKUP(F858&amp;K858&amp;R858,製品マスタ!$N$5:$AE$4999,18,FALSE),""))))))</f>
        <v/>
      </c>
      <c r="Y858" s="256">
        <f ca="1">IF(D858="","",IF(T858="","",VLOOKUP(D858,契約台帳!$A$3:$Q$4986,17,FALSE)))</f>
        <v>2</v>
      </c>
      <c r="Z858" s="256" t="str">
        <f ca="1">IF(D858="","",IF(T858="","",VLOOKUP(D858,契約台帳!$A$3:$E$4986,5,FALSE)))</f>
        <v>新タック化成㈱</v>
      </c>
      <c r="AA858" s="54"/>
      <c r="AB858" s="200" t="str">
        <f>IFERROR((VLOOKUP(F858&amp;K858&amp;M858,製品マスタ!$M$5:$AM$4999,27,FALSE)),"")</f>
        <v>原反ケース再利用</v>
      </c>
      <c r="AC858" s="31"/>
      <c r="AD858" s="184"/>
      <c r="AE858" s="51"/>
      <c r="AF858" s="52"/>
      <c r="AG858" s="41"/>
      <c r="AH858" s="45"/>
      <c r="AI858" s="28"/>
      <c r="AJ858" s="28"/>
      <c r="AK858" s="28"/>
      <c r="AL858" s="28"/>
      <c r="AM858" s="12"/>
      <c r="AN858" s="12"/>
      <c r="AO858" s="12"/>
      <c r="AP858" s="12"/>
      <c r="AQ858" s="12"/>
      <c r="AR858" s="13"/>
      <c r="AS858" s="14"/>
    </row>
    <row r="859" spans="1:45" s="16" customFormat="1" ht="30.95" hidden="1" customHeight="1" x14ac:dyDescent="0.2">
      <c r="A859" s="35"/>
      <c r="B859" s="36"/>
      <c r="C859" s="43"/>
      <c r="D859" s="29"/>
      <c r="E859" s="29"/>
      <c r="F859" s="255"/>
      <c r="G859" s="256"/>
      <c r="H859" s="256"/>
      <c r="I859" s="200"/>
      <c r="J859" s="203"/>
      <c r="K859" s="200"/>
      <c r="L859" s="200"/>
      <c r="M859" s="37"/>
      <c r="N859" s="37"/>
      <c r="O859" s="153"/>
      <c r="P859" s="45"/>
      <c r="Q859" s="54"/>
      <c r="R859" s="257"/>
      <c r="S859" s="258"/>
      <c r="T859" s="258"/>
      <c r="U859" s="38"/>
      <c r="V859" s="259"/>
      <c r="W859" s="256"/>
      <c r="X859" s="256"/>
      <c r="Y859" s="256"/>
      <c r="Z859" s="256"/>
      <c r="AA859" s="54"/>
      <c r="AB859" s="200"/>
      <c r="AC859" s="31"/>
      <c r="AD859" s="184"/>
      <c r="AE859" s="51"/>
      <c r="AF859" s="52"/>
      <c r="AG859" s="41"/>
      <c r="AH859" s="45"/>
      <c r="AI859" s="28"/>
      <c r="AJ859" s="28"/>
      <c r="AK859" s="28"/>
      <c r="AL859" s="28"/>
      <c r="AM859" s="12"/>
      <c r="AN859" s="12"/>
      <c r="AO859" s="12"/>
      <c r="AP859" s="12"/>
      <c r="AQ859" s="12"/>
      <c r="AR859" s="13"/>
      <c r="AS859" s="14"/>
    </row>
    <row r="860" spans="1:45" s="16" customFormat="1" ht="30.95" hidden="1" customHeight="1" x14ac:dyDescent="0.2">
      <c r="A860" s="35" t="s">
        <v>1312</v>
      </c>
      <c r="B860" s="36" t="s">
        <v>1299</v>
      </c>
      <c r="C860" s="43"/>
      <c r="D860" s="29"/>
      <c r="E860" s="29"/>
      <c r="F860" s="255"/>
      <c r="G860" s="256"/>
      <c r="H860" s="256"/>
      <c r="I860" s="200"/>
      <c r="J860" s="203" t="s">
        <v>448</v>
      </c>
      <c r="K860" s="200"/>
      <c r="L860" s="200"/>
      <c r="M860" s="37"/>
      <c r="N860" s="37"/>
      <c r="O860" s="153"/>
      <c r="P860" s="45"/>
      <c r="Q860" s="54"/>
      <c r="R860" s="257"/>
      <c r="S860" s="258"/>
      <c r="T860" s="258"/>
      <c r="U860" s="38"/>
      <c r="V860" s="259"/>
      <c r="W860" s="256"/>
      <c r="X860" s="256"/>
      <c r="Y860" s="256"/>
      <c r="Z860" s="256"/>
      <c r="AA860" s="54"/>
      <c r="AB860" s="200"/>
      <c r="AC860" s="31"/>
      <c r="AD860" s="184"/>
      <c r="AE860" s="51"/>
      <c r="AF860" s="52"/>
      <c r="AG860" s="41"/>
      <c r="AH860" s="45"/>
      <c r="AI860" s="28"/>
      <c r="AJ860" s="28"/>
      <c r="AK860" s="28"/>
      <c r="AL860" s="28"/>
      <c r="AM860" s="12"/>
      <c r="AN860" s="12"/>
      <c r="AO860" s="12"/>
      <c r="AP860" s="12"/>
      <c r="AQ860" s="12"/>
      <c r="AR860" s="13"/>
      <c r="AS860" s="14"/>
    </row>
    <row r="861" spans="1:45" s="16" customFormat="1" ht="30.95" hidden="1" customHeight="1" x14ac:dyDescent="0.2">
      <c r="A861" s="35"/>
      <c r="B861" s="36"/>
      <c r="C861" s="43"/>
      <c r="D861" s="29"/>
      <c r="E861" s="29"/>
      <c r="F861" s="255"/>
      <c r="G861" s="256"/>
      <c r="H861" s="256"/>
      <c r="I861" s="200"/>
      <c r="J861" s="203"/>
      <c r="K861" s="200"/>
      <c r="L861" s="200"/>
      <c r="M861" s="37"/>
      <c r="N861" s="37"/>
      <c r="O861" s="153"/>
      <c r="P861" s="45"/>
      <c r="Q861" s="54"/>
      <c r="R861" s="257"/>
      <c r="S861" s="258"/>
      <c r="T861" s="258"/>
      <c r="U861" s="38"/>
      <c r="V861" s="259"/>
      <c r="W861" s="256"/>
      <c r="X861" s="256"/>
      <c r="Y861" s="256"/>
      <c r="Z861" s="256"/>
      <c r="AA861" s="54"/>
      <c r="AB861" s="200"/>
      <c r="AC861" s="31"/>
      <c r="AD861" s="184"/>
      <c r="AE861" s="51"/>
      <c r="AF861" s="52"/>
      <c r="AG861" s="41"/>
      <c r="AH861" s="45"/>
      <c r="AI861" s="28"/>
      <c r="AJ861" s="28"/>
      <c r="AK861" s="28"/>
      <c r="AL861" s="28"/>
      <c r="AM861" s="12"/>
      <c r="AN861" s="12"/>
      <c r="AO861" s="12"/>
      <c r="AP861" s="12"/>
      <c r="AQ861" s="12"/>
      <c r="AR861" s="13"/>
      <c r="AS861" s="14"/>
    </row>
    <row r="862" spans="1:45" s="16" customFormat="1" ht="30.95" hidden="1" customHeight="1" x14ac:dyDescent="0.2">
      <c r="A862" s="35" t="s">
        <v>1313</v>
      </c>
      <c r="B862" s="36" t="s">
        <v>1301</v>
      </c>
      <c r="C862" s="43"/>
      <c r="D862" s="29"/>
      <c r="E862" s="29"/>
      <c r="F862" s="255"/>
      <c r="G862" s="256"/>
      <c r="H862" s="256"/>
      <c r="I862" s="200"/>
      <c r="J862" s="203" t="s">
        <v>1310</v>
      </c>
      <c r="K862" s="200"/>
      <c r="L862" s="200"/>
      <c r="M862" s="37"/>
      <c r="N862" s="37"/>
      <c r="O862" s="153"/>
      <c r="P862" s="45"/>
      <c r="Q862" s="54"/>
      <c r="R862" s="257"/>
      <c r="S862" s="258"/>
      <c r="T862" s="258"/>
      <c r="U862" s="38"/>
      <c r="V862" s="259"/>
      <c r="W862" s="256"/>
      <c r="X862" s="256"/>
      <c r="Y862" s="256"/>
      <c r="Z862" s="256"/>
      <c r="AA862" s="54"/>
      <c r="AB862" s="200"/>
      <c r="AC862" s="31"/>
      <c r="AD862" s="184"/>
      <c r="AE862" s="51"/>
      <c r="AF862" s="52"/>
      <c r="AG862" s="41"/>
      <c r="AH862" s="45"/>
      <c r="AI862" s="28"/>
      <c r="AJ862" s="28"/>
      <c r="AK862" s="28"/>
      <c r="AL862" s="28"/>
      <c r="AM862" s="12"/>
      <c r="AN862" s="12"/>
      <c r="AO862" s="12"/>
      <c r="AP862" s="12"/>
      <c r="AQ862" s="12"/>
      <c r="AR862" s="13"/>
      <c r="AS862" s="14"/>
    </row>
    <row r="863" spans="1:45" s="16" customFormat="1" ht="30.95" hidden="1" customHeight="1" x14ac:dyDescent="0.2">
      <c r="A863" s="35"/>
      <c r="B863" s="36"/>
      <c r="C863" s="43"/>
      <c r="D863" s="29"/>
      <c r="E863" s="29"/>
      <c r="F863" s="255"/>
      <c r="G863" s="256"/>
      <c r="H863" s="256"/>
      <c r="I863" s="200"/>
      <c r="J863" s="203"/>
      <c r="K863" s="200"/>
      <c r="L863" s="200"/>
      <c r="M863" s="37"/>
      <c r="N863" s="37"/>
      <c r="O863" s="153"/>
      <c r="P863" s="45"/>
      <c r="Q863" s="54"/>
      <c r="R863" s="257"/>
      <c r="S863" s="258"/>
      <c r="T863" s="258"/>
      <c r="U863" s="38"/>
      <c r="V863" s="259"/>
      <c r="W863" s="256"/>
      <c r="X863" s="256"/>
      <c r="Y863" s="256"/>
      <c r="Z863" s="256"/>
      <c r="AA863" s="54"/>
      <c r="AB863" s="200"/>
      <c r="AC863" s="31"/>
      <c r="AD863" s="184"/>
      <c r="AE863" s="51"/>
      <c r="AF863" s="52"/>
      <c r="AG863" s="41"/>
      <c r="AH863" s="45"/>
      <c r="AI863" s="28"/>
      <c r="AJ863" s="28"/>
      <c r="AK863" s="28"/>
      <c r="AL863" s="28"/>
      <c r="AM863" s="12"/>
      <c r="AN863" s="12"/>
      <c r="AO863" s="12"/>
      <c r="AP863" s="12"/>
      <c r="AQ863" s="12"/>
      <c r="AR863" s="13"/>
      <c r="AS863" s="14"/>
    </row>
    <row r="864" spans="1:45" s="16" customFormat="1" ht="30.95" hidden="1" customHeight="1" x14ac:dyDescent="0.2">
      <c r="A864" s="35" t="s">
        <v>1314</v>
      </c>
      <c r="B864" s="36" t="s">
        <v>1303</v>
      </c>
      <c r="C864" s="43"/>
      <c r="D864" s="29">
        <v>3721225</v>
      </c>
      <c r="E864" s="29">
        <v>4162019</v>
      </c>
      <c r="F864" s="255" t="str">
        <f>IF(D864="","",VLOOKUP(D864,契約台帳!$A$3:$K$4986,6,FALSE)&amp;VLOOKUP(D864,契約台帳!$A$3:$K$4986,7,FALSE)&amp;VLOOKUP(D864,契約台帳!$A$3:$K$4986,8,FALSE)&amp;VLOOKUP(D864,契約台帳!$A$3:$K$4986,9,FALSE)&amp;VLOOKUP(D864,契約台帳!$A$3:$K$4986,11,FALSE))</f>
        <v>3SNMLBMNQR66F</v>
      </c>
      <c r="G864" s="256" t="str">
        <f>IF(D864="","",VLOOKUP(F864,製品マスタ!$G$5:$H$4999,2,FALSE))</f>
        <v>S</v>
      </c>
      <c r="H864" s="256" t="str">
        <f>IF(D864="","",VLOOKUP(F864,製品マスタ!$G$5:$K$4999,5,FALSE))</f>
        <v>MNQR66F</v>
      </c>
      <c r="I864" s="200" t="str">
        <f>IF(D864="","",VLOOKUP(F864,製品マスタ!$G$5:$L$4999,6,FALSE))</f>
        <v>ＱＲ６６蒸着品</v>
      </c>
      <c r="J864" s="203" t="s">
        <v>935</v>
      </c>
      <c r="K864" s="200">
        <f>IF(D864="","",VLOOKUP(D864,契約台帳!$A$3:$L$4986,12,FALSE))</f>
        <v>25</v>
      </c>
      <c r="L864" s="200" t="str">
        <f>IF(D864="","",INDEX(製品マスタ!$Q$5:$Q$4999,MATCH('S4'!F864&amp;'S4'!K864,製品マスタ!$AO$5:$AO$4999,0)))</f>
        <v>E315</v>
      </c>
      <c r="M864" s="37">
        <v>1100</v>
      </c>
      <c r="N864" s="37">
        <v>6000</v>
      </c>
      <c r="O864" s="153">
        <v>8</v>
      </c>
      <c r="P864" s="45">
        <v>4</v>
      </c>
      <c r="Q864" s="206">
        <v>45134</v>
      </c>
      <c r="R864" s="257">
        <f ca="1">IF(D864="","",IF(OFFSET(D864,-1,0)&lt;&gt;"","",IF(OR(J864="リード付け",J864="巻足し",J864="巻返しリード付け"),M864,VLOOKUP(D864,契約台帳!$A$3:$N$4986,14,FALSE))))</f>
        <v>1100</v>
      </c>
      <c r="S864" s="258">
        <f ca="1">IF(D864="","",IF(OFFSET(D864,-1,0)&lt;&gt;"","",IF(OR(J864="リード付け",J864="巻足し",J864="巻返しリード付け"),M864,VLOOKUP(D864,契約台帳!$A$3:$O$4986,15,FALSE))))</f>
        <v>1100</v>
      </c>
      <c r="T864" s="258">
        <f ca="1">IF(D864="","",IF(J864="リード付け",N864,IF(J864="巻返しリード付け",N864,IF(J864="巻足し",N864*P864+OFFSET(N864,1,0)*OFFSET(P864,1,0),VLOOKUP(D864,契約台帳!$A$3:$P$4986,16,FALSE)))))</f>
        <v>24000</v>
      </c>
      <c r="U864" s="38">
        <v>2</v>
      </c>
      <c r="V864" s="259">
        <f ca="1">IF(D864="","",IF(OFFSET(D864,-2,0)=D864,"",VLOOKUP(D864,契約台帳!$A$3:$R$4986,18,FALSE)))</f>
        <v>8</v>
      </c>
      <c r="W864" s="256" t="str">
        <f ca="1">IF(D864="","",IF(T864="","",IF(OR(J864="巻足し",J864="巻返しリード付け"),"",IF(J864="巻返し",VLOOKUP(F864&amp;K864&amp;M864,製品マスタ!$M$5:$AD$4999,18,FALSE),IF(OR(J864="リード付け",J864="巻返しリード付け"),"原反コア",IF(J864="スリット",VLOOKUP(F864&amp;K864&amp;R864,製品マスタ!$N$5:$AD$4999,17,FALSE),""))))))</f>
        <v/>
      </c>
      <c r="X864" s="256" t="str">
        <f ca="1">IF(D864="","",IF(T864="","",IF(J864="巻足し","",IF(J864="巻返し",VLOOKUP(F864&amp;K864&amp;M864,製品マスタ!$M$5:$AE$4999,19,FALSE),IF(OR(J864="リード付け",J864="巻返しリード付け"),"",IF(J864="スリット",VLOOKUP(F864&amp;K864&amp;R864,製品マスタ!$N$5:$AE$4999,18,FALSE),""))))))</f>
        <v/>
      </c>
      <c r="Y864" s="256">
        <f ca="1">IF(D864="","",IF(T864="","",VLOOKUP(D864,契約台帳!$A$3:$Q$4986,17,FALSE)))</f>
        <v>2</v>
      </c>
      <c r="Z864" s="256" t="str">
        <f ca="1">IF(D864="","",IF(T864="","",VLOOKUP(D864,契約台帳!$A$3:$E$4986,5,FALSE)))</f>
        <v>リンテック㈱</v>
      </c>
      <c r="AA864" s="54"/>
      <c r="AB864" s="200" t="str">
        <f>IFERROR((VLOOKUP(F864&amp;K864&amp;M864,製品マスタ!$M$5:$AM$4999,27,FALSE)),"")</f>
        <v>原反ケース再利用</v>
      </c>
      <c r="AC864" s="31"/>
      <c r="AD864" s="184"/>
      <c r="AE864" s="51"/>
      <c r="AF864" s="52"/>
      <c r="AG864" s="41"/>
      <c r="AH864" s="45"/>
      <c r="AI864" s="28"/>
      <c r="AJ864" s="28"/>
      <c r="AK864" s="28"/>
      <c r="AL864" s="28"/>
      <c r="AM864" s="12"/>
      <c r="AN864" s="12"/>
      <c r="AO864" s="12"/>
      <c r="AP864" s="12"/>
      <c r="AQ864" s="12"/>
      <c r="AR864" s="13"/>
      <c r="AS864" s="14"/>
    </row>
    <row r="865" spans="1:45" s="16" customFormat="1" ht="30.95" hidden="1" customHeight="1" x14ac:dyDescent="0.2">
      <c r="A865" s="35"/>
      <c r="B865" s="36"/>
      <c r="C865" s="43"/>
      <c r="D865" s="29"/>
      <c r="E865" s="29"/>
      <c r="F865" s="255" t="str">
        <f>IF(D865="","",VLOOKUP(D865,契約台帳!$A$3:$K$4986,6,FALSE)&amp;VLOOKUP(D865,契約台帳!$A$3:$K$4986,7,FALSE)&amp;VLOOKUP(D865,契約台帳!$A$3:$K$4986,8,FALSE)&amp;VLOOKUP(D865,契約台帳!$A$3:$K$4986,9,FALSE)&amp;VLOOKUP(D865,契約台帳!$A$3:$K$4986,11,FALSE))</f>
        <v/>
      </c>
      <c r="G865" s="256" t="str">
        <f>IF(D865="","",VLOOKUP(F865,製品マスタ!$G$5:$H$4999,2,FALSE))</f>
        <v/>
      </c>
      <c r="H865" s="256" t="str">
        <f>IF(D865="","",VLOOKUP(F865,製品マスタ!$G$5:$K$4999,5,FALSE))</f>
        <v/>
      </c>
      <c r="I865" s="200" t="str">
        <f>IF(D865="","",VLOOKUP(F865,製品マスタ!$G$5:$L$4999,6,FALSE))</f>
        <v/>
      </c>
      <c r="J865" s="203"/>
      <c r="K865" s="200" t="str">
        <f>IF(D865="","",VLOOKUP(D865,契約台帳!$A$3:$L$4986,12,FALSE))</f>
        <v/>
      </c>
      <c r="L865" s="200" t="str">
        <f>IF(D865="","",INDEX(製品マスタ!$Q$5:$Q$4999,MATCH('S4'!F865&amp;'S4'!K865,製品マスタ!$AO$5:$AO$4999,0)))</f>
        <v/>
      </c>
      <c r="M865" s="37"/>
      <c r="N865" s="37"/>
      <c r="O865" s="153"/>
      <c r="P865" s="45"/>
      <c r="Q865" s="54"/>
      <c r="R865" s="257" t="str">
        <f ca="1">IF(D865="","",IF(OFFSET(D865,-1,0)&lt;&gt;"","",IF(OR(J865="リード付け",J865="巻足し",J865="巻返しリード付け"),M865,VLOOKUP(D865,契約台帳!$A$3:$N$4986,14,FALSE))))</f>
        <v/>
      </c>
      <c r="S865" s="258" t="str">
        <f ca="1">IF(D865="","",IF(OFFSET(D865,-1,0)&lt;&gt;"","",IF(OR(J865="リード付け",J865="巻足し",J865="巻返しリード付け"),M865,VLOOKUP(D865,契約台帳!$A$3:$O$4986,15,FALSE))))</f>
        <v/>
      </c>
      <c r="T865" s="258" t="str">
        <f ca="1">IF(D865="","",IF(J865="リード付け",N865,IF(J865="巻返しリード付け",N865,IF(J865="巻足し",N865*P865+OFFSET(N865,1,0)*OFFSET(P865,1,0),VLOOKUP(D865,契約台帳!$A$3:$P$4986,16,FALSE)))))</f>
        <v/>
      </c>
      <c r="U865" s="38"/>
      <c r="V865" s="259" t="str">
        <f ca="1">IF(D865="","",IF(OFFSET(D865,-2,0)=D865,"",VLOOKUP(D865,契約台帳!$A$3:$R$4986,18,FALSE)))</f>
        <v/>
      </c>
      <c r="W865" s="256" t="str">
        <f>IF(D865="","",IF(T865="","",IF(OR(J865="巻足し",J865="巻返しリード付け"),"",IF(J865="巻返し",VLOOKUP(F865&amp;K865&amp;M865,製品マスタ!$M$5:$AD$4999,18,FALSE),IF(OR(J865="リード付け",J865="巻返しリード付け"),"原反コア",IF(J865="スリット",VLOOKUP(F865&amp;K865&amp;R865,製品マスタ!$N$5:$AD$4999,17,FALSE),""))))))</f>
        <v/>
      </c>
      <c r="X865" s="256" t="str">
        <f>IF(D865="","",IF(T865="","",IF(J865="巻足し","",IF(J865="巻返し",VLOOKUP(F865&amp;K865&amp;M865,製品マスタ!$M$5:$AE$4999,19,FALSE),IF(OR(J865="リード付け",J865="巻返しリード付け"),"",IF(J865="スリット",VLOOKUP(F865&amp;K865&amp;R865,製品マスタ!$N$5:$AE$4999,18,FALSE),""))))))</f>
        <v/>
      </c>
      <c r="Y865" s="256" t="str">
        <f>IF(D865="","",IF(T865="","",VLOOKUP(D865,契約台帳!$A$3:$Q$4986,17,FALSE)))</f>
        <v/>
      </c>
      <c r="Z865" s="256" t="str">
        <f>IF(D865="","",IF(T865="","",VLOOKUP(D865,契約台帳!$A$3:$E$4986,5,FALSE)))</f>
        <v/>
      </c>
      <c r="AA865" s="54"/>
      <c r="AB865" s="200" t="str">
        <f>IFERROR((VLOOKUP(F865&amp;K865&amp;M865,製品マスタ!$M$5:$AM$4999,27,FALSE)),"")</f>
        <v/>
      </c>
      <c r="AC865" s="31"/>
      <c r="AD865" s="184"/>
      <c r="AE865" s="51"/>
      <c r="AF865" s="52"/>
      <c r="AG865" s="41"/>
      <c r="AH865" s="45"/>
      <c r="AI865" s="28"/>
      <c r="AJ865" s="28"/>
      <c r="AK865" s="28"/>
      <c r="AL865" s="28"/>
      <c r="AM865" s="12"/>
      <c r="AN865" s="12"/>
      <c r="AO865" s="12"/>
      <c r="AP865" s="12"/>
      <c r="AQ865" s="12"/>
      <c r="AR865" s="13"/>
      <c r="AS865" s="14"/>
    </row>
    <row r="866" spans="1:45" s="16" customFormat="1" ht="30.95" hidden="1" customHeight="1" x14ac:dyDescent="0.2">
      <c r="A866" s="35"/>
      <c r="B866" s="36"/>
      <c r="C866" s="43"/>
      <c r="D866" s="29">
        <v>3721209</v>
      </c>
      <c r="E866" s="29">
        <v>4161995</v>
      </c>
      <c r="F866" s="255" t="str">
        <f>IF(D866="","",VLOOKUP(D866,契約台帳!$A$3:$K$4986,6,FALSE)&amp;VLOOKUP(D866,契約台帳!$A$3:$K$4986,7,FALSE)&amp;VLOOKUP(D866,契約台帳!$A$3:$K$4986,8,FALSE)&amp;VLOOKUP(D866,契約台帳!$A$3:$K$4986,9,FALSE)&amp;VLOOKUP(D866,契約台帳!$A$3:$K$4986,11,FALSE))</f>
        <v>3SNMLBMNGKBF</v>
      </c>
      <c r="G866" s="256" t="str">
        <f>IF(D866="","",VLOOKUP(F866,製品マスタ!$G$5:$H$4999,2,FALSE))</f>
        <v>S</v>
      </c>
      <c r="H866" s="256" t="str">
        <f>IF(D866="","",VLOOKUP(F866,製品マスタ!$G$5:$K$4999,5,FALSE))</f>
        <v>MNGKBF</v>
      </c>
      <c r="I866" s="200" t="str">
        <f>IF(D866="","",VLOOKUP(F866,製品マスタ!$G$5:$L$4999,6,FALSE))</f>
        <v>メタルミー　ネーマー銀消　Ｂ</v>
      </c>
      <c r="J866" s="203" t="s">
        <v>935</v>
      </c>
      <c r="K866" s="200">
        <f>IF(D866="","",VLOOKUP(D866,契約台帳!$A$3:$L$4986,12,FALSE))</f>
        <v>50</v>
      </c>
      <c r="L866" s="200" t="str">
        <f>IF(D866="","",INDEX(製品マスタ!$Q$5:$Q$4999,MATCH('S4'!F866&amp;'S4'!K866,製品マスタ!$AO$5:$AO$4999,0)))</f>
        <v>MAT</v>
      </c>
      <c r="M866" s="37">
        <v>1050</v>
      </c>
      <c r="N866" s="37">
        <v>4100</v>
      </c>
      <c r="O866" s="153">
        <v>3</v>
      </c>
      <c r="P866" s="45">
        <v>3</v>
      </c>
      <c r="Q866" s="206">
        <v>45133</v>
      </c>
      <c r="R866" s="257">
        <f ca="1">IF(D866="","",IF(OFFSET(D866,-1,0)&lt;&gt;"","",IF(OR(J866="リード付け",J866="巻足し",J866="巻返しリード付け"),M866,VLOOKUP(D866,契約台帳!$A$3:$N$4986,14,FALSE))))</f>
        <v>1050</v>
      </c>
      <c r="S866" s="258">
        <f ca="1">IF(D866="","",IF(OFFSET(D866,-1,0)&lt;&gt;"","",IF(OR(J866="リード付け",J866="巻足し",J866="巻返しリード付け"),M866,VLOOKUP(D866,契約台帳!$A$3:$O$4986,15,FALSE))))</f>
        <v>1050</v>
      </c>
      <c r="T866" s="258">
        <f ca="1">IF(D866="","",IF(J866="リード付け",N866,IF(J866="巻返しリード付け",N866,IF(J866="巻足し",N866*P866+OFFSET(N866,1,0)*OFFSET(P866,1,0),VLOOKUP(D866,契約台帳!$A$3:$P$4986,16,FALSE)))))</f>
        <v>12300</v>
      </c>
      <c r="U866" s="38">
        <v>1</v>
      </c>
      <c r="V866" s="259">
        <f ca="1">IF(D866="","",IF(OFFSET(D866,-2,0)=D866,"",VLOOKUP(D866,契約台帳!$A$3:$R$4986,18,FALSE)))</f>
        <v>3</v>
      </c>
      <c r="W866" s="256" t="str">
        <f ca="1">IF(D866="","",IF(T866="","",IF(OR(J866="巻足し",J866="巻返しリード付け"),"",IF(J866="巻返し",VLOOKUP(F866&amp;K866&amp;M866,製品マスタ!$M$5:$AD$4999,18,FALSE),IF(OR(J866="リード付け",J866="巻返しリード付け"),"原反コア",IF(J866="スリット",VLOOKUP(F866&amp;K866&amp;R866,製品マスタ!$N$5:$AD$4999,17,FALSE),""))))))</f>
        <v/>
      </c>
      <c r="X866" s="256" t="str">
        <f ca="1">IF(D866="","",IF(T866="","",IF(J866="巻足し","",IF(J866="巻返し",VLOOKUP(F866&amp;K866&amp;M866,製品マスタ!$M$5:$AE$4999,19,FALSE),IF(OR(J866="リード付け",J866="巻返しリード付け"),"",IF(J866="スリット",VLOOKUP(F866&amp;K866&amp;R866,製品マスタ!$N$5:$AE$4999,18,FALSE),""))))))</f>
        <v/>
      </c>
      <c r="Y866" s="256">
        <f ca="1">IF(D866="","",IF(T866="","",VLOOKUP(D866,契約台帳!$A$3:$Q$4986,17,FALSE)))</f>
        <v>2</v>
      </c>
      <c r="Z866" s="256" t="str">
        <f ca="1">IF(D866="","",IF(T866="","",VLOOKUP(D866,契約台帳!$A$3:$E$4986,5,FALSE)))</f>
        <v>リンテック㈱</v>
      </c>
      <c r="AA866" s="54"/>
      <c r="AB866" s="200">
        <f>IFERROR((VLOOKUP(F866&amp;K866&amp;M866,製品マスタ!$M$5:$AM$4999,27,FALSE)),"")</f>
        <v>0</v>
      </c>
      <c r="AC866" s="31"/>
      <c r="AD866" s="184"/>
      <c r="AE866" s="51"/>
      <c r="AF866" s="52"/>
      <c r="AG866" s="41"/>
      <c r="AH866" s="45"/>
      <c r="AI866" s="28"/>
      <c r="AJ866" s="28"/>
      <c r="AK866" s="28"/>
      <c r="AL866" s="28"/>
      <c r="AM866" s="12"/>
      <c r="AN866" s="12"/>
      <c r="AO866" s="12"/>
      <c r="AP866" s="12"/>
      <c r="AQ866" s="12"/>
      <c r="AR866" s="13"/>
      <c r="AS866" s="14"/>
    </row>
    <row r="867" spans="1:45" s="16" customFormat="1" ht="30.95" hidden="1" customHeight="1" x14ac:dyDescent="0.2">
      <c r="A867" s="35"/>
      <c r="B867" s="36"/>
      <c r="C867" s="43"/>
      <c r="D867" s="29"/>
      <c r="E867" s="29"/>
      <c r="F867" s="255"/>
      <c r="G867" s="256"/>
      <c r="H867" s="256"/>
      <c r="I867" s="200"/>
      <c r="J867" s="203"/>
      <c r="K867" s="200"/>
      <c r="L867" s="200"/>
      <c r="M867" s="37"/>
      <c r="N867" s="37"/>
      <c r="O867" s="153"/>
      <c r="P867" s="45"/>
      <c r="Q867" s="54"/>
      <c r="R867" s="257"/>
      <c r="S867" s="258"/>
      <c r="T867" s="258"/>
      <c r="U867" s="38"/>
      <c r="V867" s="259"/>
      <c r="W867" s="256"/>
      <c r="X867" s="256"/>
      <c r="Y867" s="256"/>
      <c r="Z867" s="256"/>
      <c r="AA867" s="54"/>
      <c r="AB867" s="200"/>
      <c r="AC867" s="31"/>
      <c r="AD867" s="184"/>
      <c r="AE867" s="51"/>
      <c r="AF867" s="52"/>
      <c r="AG867" s="41"/>
      <c r="AH867" s="45"/>
      <c r="AI867" s="28"/>
      <c r="AJ867" s="28"/>
      <c r="AK867" s="28"/>
      <c r="AL867" s="28"/>
      <c r="AM867" s="12"/>
      <c r="AN867" s="12"/>
      <c r="AO867" s="12"/>
      <c r="AP867" s="12"/>
      <c r="AQ867" s="12"/>
      <c r="AR867" s="13"/>
      <c r="AS867" s="14"/>
    </row>
    <row r="868" spans="1:45" s="16" customFormat="1" ht="30.95" hidden="1" customHeight="1" x14ac:dyDescent="0.2">
      <c r="A868" s="35"/>
      <c r="B868" s="36"/>
      <c r="C868" s="43"/>
      <c r="D868" s="29">
        <v>3721210</v>
      </c>
      <c r="E868" s="29">
        <v>4161996</v>
      </c>
      <c r="F868" s="255" t="str">
        <f>IF(D868="","",VLOOKUP(D868,契約台帳!$A$3:$K$4986,6,FALSE)&amp;VLOOKUP(D868,契約台帳!$A$3:$K$4986,7,FALSE)&amp;VLOOKUP(D868,契約台帳!$A$3:$K$4986,8,FALSE)&amp;VLOOKUP(D868,契約台帳!$A$3:$K$4986,9,FALSE)&amp;VLOOKUP(D868,契約台帳!$A$3:$K$4986,11,FALSE))</f>
        <v>3SNMLBMNGKBF</v>
      </c>
      <c r="G868" s="256" t="str">
        <f>IF(D868="","",VLOOKUP(F868,製品マスタ!$G$5:$H$4999,2,FALSE))</f>
        <v>S</v>
      </c>
      <c r="H868" s="256" t="str">
        <f>IF(D868="","",VLOOKUP(F868,製品マスタ!$G$5:$K$4999,5,FALSE))</f>
        <v>MNGKBF</v>
      </c>
      <c r="I868" s="200" t="str">
        <f>IF(D868="","",VLOOKUP(F868,製品マスタ!$G$5:$L$4999,6,FALSE))</f>
        <v>メタルミー　ネーマー銀消　Ｂ</v>
      </c>
      <c r="J868" s="203" t="s">
        <v>935</v>
      </c>
      <c r="K868" s="200">
        <f>IF(D868="","",VLOOKUP(D868,契約台帳!$A$3:$L$4986,12,FALSE))</f>
        <v>75</v>
      </c>
      <c r="L868" s="200" t="str">
        <f>IF(D868="","",INDEX(製品マスタ!$Q$5:$Q$4999,MATCH('S4'!F868&amp;'S4'!K868,製品マスタ!$AO$5:$AO$4999,0)))</f>
        <v>MAT</v>
      </c>
      <c r="M868" s="37">
        <v>1050</v>
      </c>
      <c r="N868" s="37">
        <v>2000</v>
      </c>
      <c r="O868" s="153">
        <v>2</v>
      </c>
      <c r="P868" s="45">
        <v>2</v>
      </c>
      <c r="Q868" s="206">
        <v>45133</v>
      </c>
      <c r="R868" s="257">
        <f ca="1">IF(D868="","",IF(OFFSET(D868,-1,0)&lt;&gt;"","",IF(OR(J868="リード付け",J868="巻足し",J868="巻返しリード付け"),M868,VLOOKUP(D868,契約台帳!$A$3:$N$4986,14,FALSE))))</f>
        <v>1050</v>
      </c>
      <c r="S868" s="258">
        <f ca="1">IF(D868="","",IF(OFFSET(D868,-1,0)&lt;&gt;"","",IF(OR(J868="リード付け",J868="巻足し",J868="巻返しリード付け"),M868,VLOOKUP(D868,契約台帳!$A$3:$O$4986,15,FALSE))))</f>
        <v>1050</v>
      </c>
      <c r="T868" s="258">
        <f ca="1">IF(D868="","",IF(J868="リード付け",N868,IF(J868="巻返しリード付け",N868,IF(J868="巻足し",N868*P868+OFFSET(N868,1,0)*OFFSET(P868,1,0),VLOOKUP(D868,契約台帳!$A$3:$P$4986,16,FALSE)))))</f>
        <v>4000</v>
      </c>
      <c r="U868" s="38">
        <v>1</v>
      </c>
      <c r="V868" s="259">
        <f ca="1">IF(D868="","",IF(OFFSET(D868,-2,0)=D868,"",VLOOKUP(D868,契約台帳!$A$3:$R$4986,18,FALSE)))</f>
        <v>2</v>
      </c>
      <c r="W868" s="256" t="str">
        <f ca="1">IF(D868="","",IF(T868="","",IF(OR(J868="巻足し",J868="巻返しリード付け"),"",IF(J868="巻返し",VLOOKUP(F868&amp;K868&amp;M868,製品マスタ!$M$5:$AD$4999,18,FALSE),IF(OR(J868="リード付け",J868="巻返しリード付け"),"原反コア",IF(J868="スリット",VLOOKUP(F868&amp;K868&amp;R868,製品マスタ!$N$5:$AD$4999,17,FALSE),""))))))</f>
        <v/>
      </c>
      <c r="X868" s="256" t="str">
        <f ca="1">IF(D868="","",IF(T868="","",IF(J868="巻足し","",IF(J868="巻返し",VLOOKUP(F868&amp;K868&amp;M868,製品マスタ!$M$5:$AE$4999,19,FALSE),IF(OR(J868="リード付け",J868="巻返しリード付け"),"",IF(J868="スリット",VLOOKUP(F868&amp;K868&amp;R868,製品マスタ!$N$5:$AE$4999,18,FALSE),""))))))</f>
        <v/>
      </c>
      <c r="Y868" s="256">
        <f ca="1">IF(D868="","",IF(T868="","",VLOOKUP(D868,契約台帳!$A$3:$Q$4986,17,FALSE)))</f>
        <v>2</v>
      </c>
      <c r="Z868" s="256" t="str">
        <f ca="1">IF(D868="","",IF(T868="","",VLOOKUP(D868,契約台帳!$A$3:$E$4986,5,FALSE)))</f>
        <v>リンテック㈱</v>
      </c>
      <c r="AA868" s="54"/>
      <c r="AB868" s="200">
        <f>IFERROR((VLOOKUP(F868&amp;K868&amp;M868,製品マスタ!$M$5:$AM$4999,27,FALSE)),"")</f>
        <v>0</v>
      </c>
      <c r="AC868" s="31"/>
      <c r="AD868" s="184"/>
      <c r="AE868" s="51"/>
      <c r="AF868" s="52"/>
      <c r="AG868" s="41"/>
      <c r="AH868" s="45"/>
      <c r="AI868" s="28"/>
      <c r="AJ868" s="28"/>
      <c r="AK868" s="28"/>
      <c r="AL868" s="28"/>
      <c r="AM868" s="12"/>
      <c r="AN868" s="12"/>
      <c r="AO868" s="12"/>
      <c r="AP868" s="12"/>
      <c r="AQ868" s="12"/>
      <c r="AR868" s="13"/>
      <c r="AS868" s="14"/>
    </row>
    <row r="869" spans="1:45" s="16" customFormat="1" ht="30.95" hidden="1" customHeight="1" x14ac:dyDescent="0.2">
      <c r="A869" s="35"/>
      <c r="B869" s="36"/>
      <c r="C869" s="43"/>
      <c r="D869" s="29"/>
      <c r="E869" s="29"/>
      <c r="F869" s="255"/>
      <c r="G869" s="256"/>
      <c r="H869" s="256"/>
      <c r="I869" s="200"/>
      <c r="J869" s="203"/>
      <c r="K869" s="200"/>
      <c r="L869" s="200"/>
      <c r="M869" s="37"/>
      <c r="N869" s="37"/>
      <c r="O869" s="153"/>
      <c r="P869" s="45"/>
      <c r="Q869" s="54"/>
      <c r="R869" s="257"/>
      <c r="S869" s="258"/>
      <c r="T869" s="258"/>
      <c r="U869" s="38"/>
      <c r="V869" s="259"/>
      <c r="W869" s="256"/>
      <c r="X869" s="256"/>
      <c r="Y869" s="256"/>
      <c r="Z869" s="256"/>
      <c r="AA869" s="54"/>
      <c r="AB869" s="200"/>
      <c r="AC869" s="31"/>
      <c r="AD869" s="184"/>
      <c r="AE869" s="51"/>
      <c r="AF869" s="52"/>
      <c r="AG869" s="41"/>
      <c r="AH869" s="45"/>
      <c r="AI869" s="28"/>
      <c r="AJ869" s="28"/>
      <c r="AK869" s="28"/>
      <c r="AL869" s="28"/>
      <c r="AM869" s="12"/>
      <c r="AN869" s="12"/>
      <c r="AO869" s="12"/>
      <c r="AP869" s="12"/>
      <c r="AQ869" s="12"/>
      <c r="AR869" s="13"/>
      <c r="AS869" s="14"/>
    </row>
    <row r="870" spans="1:45" s="16" customFormat="1" ht="30.95" hidden="1" customHeight="1" x14ac:dyDescent="0.2">
      <c r="A870" s="35"/>
      <c r="B870" s="36"/>
      <c r="C870" s="43"/>
      <c r="D870" s="29">
        <v>3721224</v>
      </c>
      <c r="E870" s="29">
        <v>4162018</v>
      </c>
      <c r="F870" s="255" t="str">
        <f>IF(D870="","",VLOOKUP(D870,契約台帳!$A$3:$K$4986,6,FALSE)&amp;VLOOKUP(D870,契約台帳!$A$3:$K$4986,7,FALSE)&amp;VLOOKUP(D870,契約台帳!$A$3:$K$4986,8,FALSE)&amp;VLOOKUP(D870,契約台帳!$A$3:$K$4986,9,FALSE)&amp;VLOOKUP(D870,契約台帳!$A$3:$K$4986,11,FALSE))</f>
        <v>3SNMLBMNQR66F</v>
      </c>
      <c r="G870" s="256" t="str">
        <f>IF(D870="","",VLOOKUP(F870,製品マスタ!$G$5:$H$4999,2,FALSE))</f>
        <v>S</v>
      </c>
      <c r="H870" s="256" t="str">
        <f>IF(D870="","",VLOOKUP(F870,製品マスタ!$G$5:$K$4999,5,FALSE))</f>
        <v>MNQR66F</v>
      </c>
      <c r="I870" s="200" t="str">
        <f>IF(D870="","",VLOOKUP(F870,製品マスタ!$G$5:$L$4999,6,FALSE))</f>
        <v>ＱＲ６６蒸着品</v>
      </c>
      <c r="J870" s="203" t="s">
        <v>935</v>
      </c>
      <c r="K870" s="200">
        <f>IF(D870="","",VLOOKUP(D870,契約台帳!$A$3:$L$4986,12,FALSE))</f>
        <v>25</v>
      </c>
      <c r="L870" s="200" t="str">
        <f>IF(D870="","",INDEX(製品マスタ!$Q$5:$Q$4999,MATCH('S4'!F870&amp;'S4'!K870,製品マスタ!$AO$5:$AO$4999,0)))</f>
        <v>E315</v>
      </c>
      <c r="M870" s="37">
        <v>1000</v>
      </c>
      <c r="N870" s="37">
        <v>6000</v>
      </c>
      <c r="O870" s="153">
        <v>4</v>
      </c>
      <c r="P870" s="45">
        <v>4</v>
      </c>
      <c r="Q870" s="206">
        <v>45135</v>
      </c>
      <c r="R870" s="257">
        <f ca="1">IF(D870="","",IF(OFFSET(D870,-1,0)&lt;&gt;"","",IF(OR(J870="リード付け",J870="巻足し",J870="巻返しリード付け"),M870,VLOOKUP(D870,契約台帳!$A$3:$N$4986,14,FALSE))))</f>
        <v>1000</v>
      </c>
      <c r="S870" s="258">
        <f ca="1">IF(D870="","",IF(OFFSET(D870,-1,0)&lt;&gt;"","",IF(OR(J870="リード付け",J870="巻足し",J870="巻返しリード付け"),M870,VLOOKUP(D870,契約台帳!$A$3:$O$4986,15,FALSE))))</f>
        <v>1000</v>
      </c>
      <c r="T870" s="258">
        <f ca="1">IF(D870="","",IF(J870="リード付け",N870,IF(J870="巻返しリード付け",N870,IF(J870="巻足し",N870*P870+OFFSET(N870,1,0)*OFFSET(P870,1,0),VLOOKUP(D870,契約台帳!$A$3:$P$4986,16,FALSE)))))</f>
        <v>24000</v>
      </c>
      <c r="U870" s="38">
        <v>1</v>
      </c>
      <c r="V870" s="259">
        <f ca="1">IF(D870="","",IF(OFFSET(D870,-2,0)=D870,"",VLOOKUP(D870,契約台帳!$A$3:$R$4986,18,FALSE)))</f>
        <v>4</v>
      </c>
      <c r="W870" s="256" t="str">
        <f ca="1">IF(D870="","",IF(T870="","",IF(OR(J870="巻足し",J870="巻返しリード付け"),"",IF(J870="巻返し",VLOOKUP(F870&amp;K870&amp;M870,製品マスタ!$M$5:$AD$4999,18,FALSE),IF(OR(J870="リード付け",J870="巻返しリード付け"),"原反コア",IF(J870="スリット",VLOOKUP(F870&amp;K870&amp;R870,製品マスタ!$N$5:$AD$4999,17,FALSE),""))))))</f>
        <v/>
      </c>
      <c r="X870" s="256" t="str">
        <f ca="1">IF(D870="","",IF(T870="","",IF(J870="巻足し","",IF(J870="巻返し",VLOOKUP(F870&amp;K870&amp;M870,製品マスタ!$M$5:$AE$4999,19,FALSE),IF(OR(J870="リード付け",J870="巻返しリード付け"),"",IF(J870="スリット",VLOOKUP(F870&amp;K870&amp;R870,製品マスタ!$N$5:$AE$4999,18,FALSE),""))))))</f>
        <v/>
      </c>
      <c r="Y870" s="256">
        <f ca="1">IF(D870="","",IF(T870="","",VLOOKUP(D870,契約台帳!$A$3:$Q$4986,17,FALSE)))</f>
        <v>2</v>
      </c>
      <c r="Z870" s="256" t="str">
        <f ca="1">IF(D870="","",IF(T870="","",VLOOKUP(D870,契約台帳!$A$3:$E$4986,5,FALSE)))</f>
        <v>リンテック㈱</v>
      </c>
      <c r="AA870" s="54"/>
      <c r="AB870" s="200" t="str">
        <f>IFERROR((VLOOKUP(F870&amp;K870&amp;M870,製品マスタ!$M$5:$AM$4999,27,FALSE)),"")</f>
        <v>原反ケース再利用</v>
      </c>
      <c r="AC870" s="31"/>
      <c r="AD870" s="184"/>
      <c r="AE870" s="51"/>
      <c r="AF870" s="52"/>
      <c r="AG870" s="41"/>
      <c r="AH870" s="207"/>
      <c r="AI870" s="28"/>
      <c r="AJ870" s="28"/>
      <c r="AK870" s="28"/>
      <c r="AL870" s="28"/>
      <c r="AM870" s="12"/>
      <c r="AN870" s="12"/>
      <c r="AO870" s="12"/>
      <c r="AP870" s="12"/>
      <c r="AQ870" s="12"/>
      <c r="AR870" s="13"/>
      <c r="AS870" s="14"/>
    </row>
    <row r="871" spans="1:45" s="16" customFormat="1" ht="30.95" hidden="1" customHeight="1" x14ac:dyDescent="0.2">
      <c r="A871" s="35"/>
      <c r="B871" s="36"/>
      <c r="C871" s="43"/>
      <c r="D871" s="29"/>
      <c r="E871" s="29"/>
      <c r="F871" s="255"/>
      <c r="G871" s="256"/>
      <c r="H871" s="256"/>
      <c r="I871" s="200"/>
      <c r="J871" s="203"/>
      <c r="K871" s="200"/>
      <c r="L871" s="200"/>
      <c r="M871" s="37"/>
      <c r="N871" s="37"/>
      <c r="O871" s="153"/>
      <c r="P871" s="45"/>
      <c r="Q871" s="54"/>
      <c r="R871" s="257"/>
      <c r="S871" s="258"/>
      <c r="T871" s="258"/>
      <c r="U871" s="38"/>
      <c r="V871" s="259"/>
      <c r="W871" s="256"/>
      <c r="X871" s="256"/>
      <c r="Y871" s="256"/>
      <c r="Z871" s="256"/>
      <c r="AA871" s="54"/>
      <c r="AB871" s="200"/>
      <c r="AC871" s="31"/>
      <c r="AD871" s="184"/>
      <c r="AE871" s="51"/>
      <c r="AF871" s="52"/>
      <c r="AG871" s="41"/>
      <c r="AH871" s="207"/>
      <c r="AI871" s="28"/>
      <c r="AJ871" s="28"/>
      <c r="AK871" s="28"/>
      <c r="AL871" s="28"/>
      <c r="AM871" s="12"/>
      <c r="AN871" s="12"/>
      <c r="AO871" s="12"/>
      <c r="AP871" s="12"/>
      <c r="AQ871" s="12"/>
      <c r="AR871" s="13"/>
      <c r="AS871" s="14"/>
    </row>
    <row r="872" spans="1:45" s="16" customFormat="1" ht="30.95" hidden="1" customHeight="1" x14ac:dyDescent="0.2">
      <c r="A872" s="35" t="s">
        <v>1345</v>
      </c>
      <c r="B872" s="36" t="s">
        <v>1338</v>
      </c>
      <c r="C872" s="43"/>
      <c r="D872" s="29">
        <v>3721200</v>
      </c>
      <c r="E872" s="29">
        <v>4161994</v>
      </c>
      <c r="F872" s="255" t="str">
        <f>IF(D872="","",VLOOKUP(D872,契約台帳!$A$3:$K$4986,6,FALSE)&amp;VLOOKUP(D872,契約台帳!$A$3:$K$4986,7,FALSE)&amp;VLOOKUP(D872,契約台帳!$A$3:$K$4986,8,FALSE)&amp;VLOOKUP(D872,契約台帳!$A$3:$K$4986,9,FALSE)&amp;VLOOKUP(D872,契約台帳!$A$3:$K$4986,11,FALSE))</f>
        <v>3HSNMCLBEYK</v>
      </c>
      <c r="G872" s="256" t="str">
        <f>IF(D872="","",VLOOKUP(F872,製品マスタ!$G$5:$H$4999,2,FALSE))</f>
        <v>S</v>
      </c>
      <c r="H872" s="256" t="str">
        <f>IF(D872="","",VLOOKUP(F872,製品マスタ!$G$5:$K$4999,5,FALSE))</f>
        <v>EYK</v>
      </c>
      <c r="I872" s="200" t="str">
        <f>IF(D872="","",VLOOKUP(F872,製品マスタ!$G$5:$L$4999,6,FALSE))</f>
        <v>メタルミー　ＥＹＫ</v>
      </c>
      <c r="J872" s="203" t="s">
        <v>935</v>
      </c>
      <c r="K872" s="200">
        <f>IF(D872="","",VLOOKUP(D872,契約台帳!$A$3:$L$4986,12,FALSE))</f>
        <v>50</v>
      </c>
      <c r="L872" s="200" t="str">
        <f>IF(D872="","",INDEX(製品マスタ!$Q$5:$Q$4999,MATCH('S4'!F872&amp;'S4'!K872,製品マスタ!$AO$5:$AO$4999,0)))</f>
        <v>T62M</v>
      </c>
      <c r="M872" s="37">
        <v>1195</v>
      </c>
      <c r="N872" s="37">
        <v>6100</v>
      </c>
      <c r="O872" s="153">
        <v>6</v>
      </c>
      <c r="P872" s="45">
        <v>2</v>
      </c>
      <c r="Q872" s="206">
        <v>45135</v>
      </c>
      <c r="R872" s="257">
        <f ca="1">IF(D872="","",IF(OFFSET(D872,-1,0)&lt;&gt;"","",IF(OR(J872="リード付け",J872="巻足し",J872="巻返しリード付け"),M872,VLOOKUP(D872,契約台帳!$A$3:$N$4986,14,FALSE))))</f>
        <v>1195</v>
      </c>
      <c r="S872" s="258">
        <f ca="1">IF(D872="","",IF(OFFSET(D872,-1,0)&lt;&gt;"","",IF(OR(J872="リード付け",J872="巻足し",J872="巻返しリード付け"),M872,VLOOKUP(D872,契約台帳!$A$3:$O$4986,15,FALSE))))</f>
        <v>1195</v>
      </c>
      <c r="T872" s="258">
        <f ca="1">IF(D872="","",IF(J872="リード付け",N872,IF(J872="巻返しリード付け",N872,IF(J872="巻足し",N872*P872+OFFSET(N872,1,0)*OFFSET(P872,1,0),VLOOKUP(D872,契約台帳!$A$3:$P$4986,16,FALSE)))))</f>
        <v>12200</v>
      </c>
      <c r="U872" s="38">
        <v>3</v>
      </c>
      <c r="V872" s="259">
        <f ca="1">IF(D872="","",IF(OFFSET(D872,-2,0)=D872,"",VLOOKUP(D872,契約台帳!$A$3:$R$4986,18,FALSE)))</f>
        <v>6</v>
      </c>
      <c r="W872" s="256" t="str">
        <f ca="1">IF(D872="","",IF(T872="","",IF(OR(J872="巻足し",J872="巻返しリード付け"),"",IF(J872="巻返し",VLOOKUP(F872&amp;K872&amp;M872,製品マスタ!$M$5:$AD$4999,18,FALSE),IF(OR(J872="リード付け",J872="巻返しリード付け"),"原反コア",IF(J872="スリット",VLOOKUP(F872&amp;K872&amp;R872,製品マスタ!$N$5:$AD$4999,17,FALSE),""))))))</f>
        <v/>
      </c>
      <c r="X872" s="256" t="str">
        <f ca="1">IF(D872="","",IF(T872="","",IF(J872="巻足し","",IF(J872="巻返し",VLOOKUP(F872&amp;K872&amp;M872,製品マスタ!$M$5:$AE$4999,19,FALSE),IF(OR(J872="リード付け",J872="巻返しリード付け"),"",IF(J872="スリット",VLOOKUP(F872&amp;K872&amp;R872,製品マスタ!$N$5:$AE$4999,18,FALSE),""))))))</f>
        <v/>
      </c>
      <c r="Y872" s="256">
        <f ca="1">IF(D872="","",IF(T872="","",VLOOKUP(D872,契約台帳!$A$3:$Q$4986,17,FALSE)))</f>
        <v>2</v>
      </c>
      <c r="Z872" s="256" t="str">
        <f ca="1">IF(D872="","",IF(T872="","",VLOOKUP(D872,契約台帳!$A$3:$E$4986,5,FALSE)))</f>
        <v>大阪シーリング印刷㈱</v>
      </c>
      <c r="AA872" s="54"/>
      <c r="AB872" s="200" t="str">
        <f>IFERROR((VLOOKUP(F872&amp;K872&amp;M872,製品マスタ!$M$5:$AM$4999,27,FALSE)),"")</f>
        <v>原反ケース再利用</v>
      </c>
      <c r="AC872" s="31"/>
      <c r="AD872" s="184"/>
      <c r="AE872" s="51"/>
      <c r="AF872" s="52"/>
      <c r="AG872" s="41"/>
      <c r="AH872" s="207"/>
      <c r="AI872" s="28"/>
      <c r="AJ872" s="28"/>
      <c r="AK872" s="28"/>
      <c r="AL872" s="28"/>
      <c r="AM872" s="12"/>
      <c r="AN872" s="12"/>
      <c r="AO872" s="12"/>
      <c r="AP872" s="12"/>
      <c r="AQ872" s="12"/>
      <c r="AR872" s="13"/>
      <c r="AS872" s="14"/>
    </row>
    <row r="873" spans="1:45" s="16" customFormat="1" ht="30.95" hidden="1" customHeight="1" x14ac:dyDescent="0.2">
      <c r="A873" s="35"/>
      <c r="B873" s="36"/>
      <c r="C873" s="43"/>
      <c r="D873" s="29"/>
      <c r="E873" s="29"/>
      <c r="F873" s="255"/>
      <c r="G873" s="256"/>
      <c r="H873" s="256"/>
      <c r="I873" s="200"/>
      <c r="J873" s="203"/>
      <c r="K873" s="200"/>
      <c r="L873" s="200"/>
      <c r="M873" s="37"/>
      <c r="N873" s="37"/>
      <c r="O873" s="153"/>
      <c r="P873" s="45"/>
      <c r="Q873" s="54"/>
      <c r="R873" s="260"/>
      <c r="S873" s="258"/>
      <c r="T873" s="258"/>
      <c r="U873" s="38"/>
      <c r="V873" s="261"/>
      <c r="W873" s="256"/>
      <c r="X873" s="256"/>
      <c r="Y873" s="256"/>
      <c r="Z873" s="256"/>
      <c r="AA873" s="54"/>
      <c r="AB873" s="200"/>
      <c r="AC873" s="31"/>
      <c r="AD873" s="184"/>
      <c r="AE873" s="51"/>
      <c r="AF873" s="52"/>
      <c r="AG873" s="41"/>
      <c r="AH873" s="207"/>
      <c r="AI873" s="28"/>
      <c r="AJ873" s="28"/>
      <c r="AK873" s="28"/>
      <c r="AL873" s="28"/>
      <c r="AM873" s="12"/>
      <c r="AN873" s="12"/>
      <c r="AO873" s="12"/>
      <c r="AP873" s="12"/>
      <c r="AQ873" s="12"/>
      <c r="AR873" s="13"/>
      <c r="AS873" s="14"/>
    </row>
    <row r="874" spans="1:45" s="16" customFormat="1" ht="30.95" hidden="1" customHeight="1" x14ac:dyDescent="0.2">
      <c r="A874" s="35"/>
      <c r="B874" s="36"/>
      <c r="C874" s="43"/>
      <c r="D874" s="29">
        <v>3721218</v>
      </c>
      <c r="E874" s="29">
        <v>4162013</v>
      </c>
      <c r="F874" s="255" t="str">
        <f>IF(D874="","",VLOOKUP(D874,契約台帳!$A$3:$K$4986,6,FALSE)&amp;VLOOKUP(D874,契約台帳!$A$3:$K$4986,7,FALSE)&amp;VLOOKUP(D874,契約台帳!$A$3:$K$4986,8,FALSE)&amp;VLOOKUP(D874,契約台帳!$A$3:$K$4986,9,FALSE)&amp;VLOOKUP(D874,契約台帳!$A$3:$K$4986,11,FALSE))</f>
        <v>3SNMCLBNGTVB</v>
      </c>
      <c r="G874" s="256" t="str">
        <f>IF(D874="","",VLOOKUP(F874,製品マスタ!$G$5:$H$4999,2,FALSE))</f>
        <v>S</v>
      </c>
      <c r="H874" s="256" t="str">
        <f>IF(D874="","",VLOOKUP(F874,製品マスタ!$G$5:$K$4999,5,FALSE))</f>
        <v>NGTVB</v>
      </c>
      <c r="I874" s="200" t="str">
        <f>IF(D874="","",VLOOKUP(F874,製品マスタ!$G$5:$L$4999,6,FALSE))</f>
        <v>メタルミー　ネーマー　銀艶ＶＢ</v>
      </c>
      <c r="J874" s="203" t="s">
        <v>574</v>
      </c>
      <c r="K874" s="200">
        <f>IF(D874="","",VLOOKUP(D874,契約台帳!$A$3:$L$4986,12,FALSE))</f>
        <v>50</v>
      </c>
      <c r="L874" s="200" t="str">
        <f>IF(D874="","",INDEX(製品マスタ!$Q$5:$Q$4999,MATCH('S4'!F874&amp;'S4'!K874,製品マスタ!$AO$5:$AO$4999,0)))</f>
        <v>T62</v>
      </c>
      <c r="M874" s="37">
        <v>1040</v>
      </c>
      <c r="N874" s="37">
        <v>6000</v>
      </c>
      <c r="O874" s="153">
        <v>1</v>
      </c>
      <c r="P874" s="45">
        <v>1</v>
      </c>
      <c r="Q874" s="206">
        <v>45139</v>
      </c>
      <c r="R874" s="257">
        <f ca="1">IF(D874="","",IF(OFFSET(D874,-1,0)&lt;&gt;"","",IF(OR(J874="リード付け",J874="巻足し",J874="巻返しリード付け"),M874,VLOOKUP(D874,契約台帳!$A$3:$N$4986,14,FALSE))))</f>
        <v>1040</v>
      </c>
      <c r="S874" s="258">
        <f ca="1">IF(D874="","",IF(OFFSET(D874,-1,0)&lt;&gt;"","",IF(OR(J874="リード付け",J874="巻足し",J874="巻返しリード付け"),M874,VLOOKUP(D874,契約台帳!$A$3:$O$4986,15,FALSE))))</f>
        <v>1040</v>
      </c>
      <c r="T874" s="258">
        <f ca="1">IF(D874="","",IF(J874="リード付け",N874,IF(J874="巻返しリード付け",N874,IF(J874="巻足し",N874*P874+OFFSET(N874,1,0)*OFFSET(P874,1,0),VLOOKUP(D874,契約台帳!$A$3:$P$4986,16,FALSE)))))</f>
        <v>6000</v>
      </c>
      <c r="U874" s="38">
        <v>1</v>
      </c>
      <c r="V874" s="259">
        <f ca="1">IF(D874="","",IF(OFFSET(D874,-2,0)=D874,"",VLOOKUP(D874,契約台帳!$A$3:$R$4986,18,FALSE)))</f>
        <v>2</v>
      </c>
      <c r="W874" s="256" t="str">
        <f ca="1">IF(D874="","",IF(T874="","",IF(OR(J874="巻足し",J874="巻返しリード付け"),"",IF(J874="巻返し",VLOOKUP(F874&amp;K874&amp;M874,製品マスタ!$M$5:$AD$4999,18,FALSE),IF(OR(J874="リード付け",J874="巻返しリード付け"),"原反コア",IF(J874="スリット",VLOOKUP(F874&amp;K874&amp;R874,製品マスタ!$N$5:$AD$4999,17,FALSE),""))))))</f>
        <v/>
      </c>
      <c r="X874" s="256" t="str">
        <f ca="1">IF(D874="","",IF(T874="","",IF(J874="巻足し","",IF(J874="巻返し",VLOOKUP(F874&amp;K874&amp;M874,製品マスタ!$M$5:$AE$4999,19,FALSE),IF(OR(J874="リード付け",J874="巻返しリード付け"),"",IF(J874="スリット",VLOOKUP(F874&amp;K874&amp;R874,製品マスタ!$N$5:$AE$4999,18,FALSE),""))))))</f>
        <v/>
      </c>
      <c r="Y874" s="256">
        <f ca="1">IF(D874="","",IF(T874="","",VLOOKUP(D874,契約台帳!$A$3:$Q$4986,17,FALSE)))</f>
        <v>2</v>
      </c>
      <c r="Z874" s="256" t="str">
        <f ca="1">IF(D874="","",IF(T874="","",VLOOKUP(D874,契約台帳!$A$3:$E$4986,5,FALSE)))</f>
        <v>リンテック㈱</v>
      </c>
      <c r="AA874" s="54"/>
      <c r="AB874" s="200">
        <f>IFERROR((VLOOKUP(F874&amp;K874&amp;M874,製品マスタ!$M$5:$AM$4999,27,FALSE)),"")</f>
        <v>0</v>
      </c>
      <c r="AC874" s="31"/>
      <c r="AD874" s="184"/>
      <c r="AE874" s="51"/>
      <c r="AF874" s="52"/>
      <c r="AG874" s="41"/>
      <c r="AH874" s="45"/>
      <c r="AI874" s="28"/>
      <c r="AJ874" s="28"/>
      <c r="AK874" s="28"/>
      <c r="AL874" s="28"/>
      <c r="AM874" s="12"/>
      <c r="AN874" s="12"/>
      <c r="AO874" s="12"/>
      <c r="AP874" s="12"/>
      <c r="AQ874" s="12"/>
      <c r="AR874" s="13"/>
      <c r="AS874" s="14"/>
    </row>
    <row r="875" spans="1:45" s="16" customFormat="1" ht="30.95" hidden="1" customHeight="1" x14ac:dyDescent="0.2">
      <c r="A875" s="35"/>
      <c r="B875" s="36"/>
      <c r="C875" s="43"/>
      <c r="D875" s="29"/>
      <c r="E875" s="29"/>
      <c r="F875" s="255" t="str">
        <f>IF(D875="","",VLOOKUP(D875,契約台帳!$A$3:$K$4986,6,FALSE)&amp;VLOOKUP(D875,契約台帳!$A$3:$K$4986,7,FALSE)&amp;VLOOKUP(D875,契約台帳!$A$3:$K$4986,8,FALSE)&amp;VLOOKUP(D875,契約台帳!$A$3:$K$4986,9,FALSE)&amp;VLOOKUP(D875,契約台帳!$A$3:$K$4986,11,FALSE))</f>
        <v/>
      </c>
      <c r="G875" s="256" t="str">
        <f>IF(D875="","",VLOOKUP(F875,製品マスタ!$G$5:$H$4999,2,FALSE))</f>
        <v/>
      </c>
      <c r="H875" s="256" t="str">
        <f>IF(D875="","",VLOOKUP(F875,製品マスタ!$G$5:$K$4999,5,FALSE))</f>
        <v/>
      </c>
      <c r="I875" s="200" t="str">
        <f>IF(D875="","",VLOOKUP(F875,製品マスタ!$G$5:$L$4999,6,FALSE))</f>
        <v/>
      </c>
      <c r="J875" s="203"/>
      <c r="K875" s="200" t="str">
        <f>IF(D875="","",VLOOKUP(D875,契約台帳!$A$3:$L$4986,12,FALSE))</f>
        <v/>
      </c>
      <c r="L875" s="200" t="str">
        <f>IF(D875="","",INDEX(製品マスタ!$Q$5:$Q$4999,MATCH('S4'!F875&amp;'S4'!K875,製品マスタ!$AO$5:$AO$4999,0)))</f>
        <v/>
      </c>
      <c r="M875" s="37"/>
      <c r="N875" s="37"/>
      <c r="O875" s="153"/>
      <c r="P875" s="45"/>
      <c r="Q875" s="54"/>
      <c r="R875" s="257" t="str">
        <f ca="1">IF(D875="","",IF(OFFSET(D875,-1,0)&lt;&gt;"","",IF(OR(J875="リード付け",J875="巻足し",J875="巻返しリード付け"),M875,VLOOKUP(D875,契約台帳!$A$3:$N$4986,14,FALSE))))</f>
        <v/>
      </c>
      <c r="S875" s="258" t="str">
        <f ca="1">IF(D875="","",IF(OFFSET(D875,-1,0)&lt;&gt;"","",IF(OR(J875="リード付け",J875="巻足し",J875="巻返しリード付け"),M875,VLOOKUP(D875,契約台帳!$A$3:$O$4986,15,FALSE))))</f>
        <v/>
      </c>
      <c r="T875" s="258" t="str">
        <f ca="1">IF(D875="","",IF(J875="リード付け",N875,IF(J875="巻返しリード付け",N875,IF(J875="巻足し",N875*P875+OFFSET(N875,1,0)*OFFSET(P875,1,0),VLOOKUP(D875,契約台帳!$A$3:$P$4986,16,FALSE)))))</f>
        <v/>
      </c>
      <c r="U875" s="38"/>
      <c r="V875" s="259" t="str">
        <f ca="1">IF(D875="","",IF(OFFSET(D875,-2,0)=D875,"",VLOOKUP(D875,契約台帳!$A$3:$R$4986,18,FALSE)))</f>
        <v/>
      </c>
      <c r="W875" s="256" t="str">
        <f>IF(D875="","",IF(T875="","",IF(OR(J875="巻足し",J875="巻返しリード付け"),"",IF(J875="巻返し",VLOOKUP(F875&amp;K875&amp;M875,製品マスタ!$M$5:$AD$4999,18,FALSE),IF(OR(J875="リード付け",J875="巻返しリード付け"),"原反コア",IF(J875="スリット",VLOOKUP(F875&amp;K875&amp;R875,製品マスタ!$N$5:$AD$4999,17,FALSE),""))))))</f>
        <v/>
      </c>
      <c r="X875" s="256" t="str">
        <f>IF(D875="","",IF(T875="","",IF(J875="巻足し","",IF(J875="巻返し",VLOOKUP(F875&amp;K875&amp;M875,製品マスタ!$M$5:$AE$4999,19,FALSE),IF(OR(J875="リード付け",J875="巻返しリード付け"),"",IF(J875="スリット",VLOOKUP(F875&amp;K875&amp;R875,製品マスタ!$N$5:$AE$4999,18,FALSE),""))))))</f>
        <v/>
      </c>
      <c r="Y875" s="256" t="str">
        <f>IF(D875="","",IF(T875="","",VLOOKUP(D875,契約台帳!$A$3:$Q$4986,17,FALSE)))</f>
        <v/>
      </c>
      <c r="Z875" s="256" t="str">
        <f>IF(D875="","",IF(T875="","",VLOOKUP(D875,契約台帳!$A$3:$E$4986,5,FALSE)))</f>
        <v/>
      </c>
      <c r="AA875" s="54"/>
      <c r="AB875" s="200" t="str">
        <f>IFERROR((VLOOKUP(F875&amp;K875&amp;M875,製品マスタ!$M$5:$AM$4999,27,FALSE)),"")</f>
        <v/>
      </c>
      <c r="AC875" s="31"/>
      <c r="AD875" s="184"/>
      <c r="AE875" s="51"/>
      <c r="AF875" s="52"/>
      <c r="AG875" s="41"/>
      <c r="AH875" s="45"/>
      <c r="AI875" s="28"/>
      <c r="AJ875" s="28"/>
      <c r="AK875" s="28"/>
      <c r="AL875" s="28"/>
      <c r="AM875" s="12"/>
      <c r="AN875" s="12"/>
      <c r="AO875" s="12"/>
      <c r="AP875" s="12"/>
      <c r="AQ875" s="12"/>
      <c r="AR875" s="13"/>
      <c r="AS875" s="14"/>
    </row>
    <row r="876" spans="1:45" s="16" customFormat="1" ht="30.95" hidden="1" customHeight="1" x14ac:dyDescent="0.2">
      <c r="A876" s="35" t="s">
        <v>1346</v>
      </c>
      <c r="B876" s="36" t="s">
        <v>1340</v>
      </c>
      <c r="C876" s="43"/>
      <c r="D876" s="29">
        <v>3721219</v>
      </c>
      <c r="E876" s="29">
        <v>4162006</v>
      </c>
      <c r="F876" s="255" t="str">
        <f>IF(D876="","",VLOOKUP(D876,契約台帳!$A$3:$K$4986,6,FALSE)&amp;VLOOKUP(D876,契約台帳!$A$3:$K$4986,7,FALSE)&amp;VLOOKUP(D876,契約台帳!$A$3:$K$4986,8,FALSE)&amp;VLOOKUP(D876,契約台帳!$A$3:$K$4986,9,FALSE)&amp;VLOOKUP(D876,契約台帳!$A$3:$K$4986,11,FALSE))</f>
        <v>3SNMLBMNNGKBF</v>
      </c>
      <c r="G876" s="256" t="str">
        <f>IF(D876="","",VLOOKUP(F876,製品マスタ!$G$5:$H$4999,2,FALSE))</f>
        <v>S</v>
      </c>
      <c r="H876" s="256" t="str">
        <f>IF(D876="","",VLOOKUP(F876,製品マスタ!$G$5:$K$4999,5,FALSE))</f>
        <v>MNNGKBF</v>
      </c>
      <c r="I876" s="200" t="str">
        <f>IF(D876="","",VLOOKUP(F876,製品マスタ!$G$5:$L$4999,6,FALSE))</f>
        <v>メタルミー　ニューネーマー銀消　Ｂ</v>
      </c>
      <c r="J876" s="203" t="s">
        <v>935</v>
      </c>
      <c r="K876" s="200">
        <f>IF(D876="","",VLOOKUP(D876,契約台帳!$A$3:$L$4986,12,FALSE))</f>
        <v>50</v>
      </c>
      <c r="L876" s="200" t="str">
        <f>IF(D876="","",INDEX(製品マスタ!$Q$5:$Q$4999,MATCH('S4'!F876&amp;'S4'!K876,製品マスタ!$AO$5:$AO$4999,0)))</f>
        <v>X44</v>
      </c>
      <c r="M876" s="37">
        <v>1000</v>
      </c>
      <c r="N876" s="37">
        <v>4000</v>
      </c>
      <c r="O876" s="153">
        <v>15</v>
      </c>
      <c r="P876" s="45">
        <v>3</v>
      </c>
      <c r="Q876" s="206">
        <v>45139</v>
      </c>
      <c r="R876" s="257">
        <f ca="1">IF(D876="","",IF(OFFSET(D876,-1,0)&lt;&gt;"","",IF(OR(J876="リード付け",J876="巻足し",J876="巻返しリード付け"),M876,VLOOKUP(D876,契約台帳!$A$3:$N$4986,14,FALSE))))</f>
        <v>1000</v>
      </c>
      <c r="S876" s="258">
        <f ca="1">IF(D876="","",IF(OFFSET(D876,-1,0)&lt;&gt;"","",IF(OR(J876="リード付け",J876="巻足し",J876="巻返しリード付け"),M876,VLOOKUP(D876,契約台帳!$A$3:$O$4986,15,FALSE))))</f>
        <v>1000</v>
      </c>
      <c r="T876" s="258">
        <f ca="1">IF(D876="","",IF(J876="リード付け",N876,IF(J876="巻返しリード付け",N876,IF(J876="巻足し",N876*P876+OFFSET(N876,1,0)*OFFSET(P876,1,0),VLOOKUP(D876,契約台帳!$A$3:$P$4986,16,FALSE)))))</f>
        <v>12000</v>
      </c>
      <c r="U876" s="38">
        <v>5</v>
      </c>
      <c r="V876" s="259">
        <f ca="1">IF(D876="","",IF(OFFSET(D876,-2,0)=D876,"",VLOOKUP(D876,契約台帳!$A$3:$R$4986,18,FALSE)))</f>
        <v>15</v>
      </c>
      <c r="W876" s="256" t="str">
        <f ca="1">IF(D876="","",IF(T876="","",IF(OR(J876="巻足し",J876="巻返しリード付け"),"",IF(J876="巻返し",VLOOKUP(F876&amp;K876&amp;M876,製品マスタ!$M$5:$AD$4999,18,FALSE),IF(OR(J876="リード付け",J876="巻返しリード付け"),"原反コア",IF(J876="スリット",VLOOKUP(F876&amp;K876&amp;R876,製品マスタ!$N$5:$AD$4999,17,FALSE),""))))))</f>
        <v/>
      </c>
      <c r="X876" s="256" t="str">
        <f ca="1">IF(D876="","",IF(T876="","",IF(J876="巻足し","",IF(J876="巻返し",VLOOKUP(F876&amp;K876&amp;M876,製品マスタ!$M$5:$AE$4999,19,FALSE),IF(OR(J876="リード付け",J876="巻返しリード付け"),"",IF(J876="スリット",VLOOKUP(F876&amp;K876&amp;R876,製品マスタ!$N$5:$AE$4999,18,FALSE),""))))))</f>
        <v/>
      </c>
      <c r="Y876" s="256">
        <f ca="1">IF(D876="","",IF(T876="","",VLOOKUP(D876,契約台帳!$A$3:$Q$4986,17,FALSE)))</f>
        <v>2</v>
      </c>
      <c r="Z876" s="256" t="str">
        <f ca="1">IF(D876="","",IF(T876="","",VLOOKUP(D876,契約台帳!$A$3:$E$4986,5,FALSE)))</f>
        <v>リンテック㈱</v>
      </c>
      <c r="AA876" s="54"/>
      <c r="AB876" s="200" t="str">
        <f>IFERROR((VLOOKUP(F876&amp;K876&amp;M876,製品マスタ!$M$5:$AM$4999,27,FALSE)),"")</f>
        <v>原反ケース再利用</v>
      </c>
      <c r="AC876" s="31"/>
      <c r="AD876" s="184"/>
      <c r="AE876" s="51"/>
      <c r="AF876" s="52"/>
      <c r="AG876" s="41"/>
      <c r="AH876" s="45"/>
      <c r="AI876" s="28"/>
      <c r="AJ876" s="28"/>
      <c r="AK876" s="28"/>
      <c r="AL876" s="28"/>
      <c r="AM876" s="12"/>
      <c r="AN876" s="12"/>
      <c r="AO876" s="12"/>
      <c r="AP876" s="12"/>
      <c r="AQ876" s="12"/>
      <c r="AR876" s="13"/>
      <c r="AS876" s="14"/>
    </row>
    <row r="877" spans="1:45" s="16" customFormat="1" ht="30.95" hidden="1" customHeight="1" x14ac:dyDescent="0.2">
      <c r="A877" s="35"/>
      <c r="B877" s="36"/>
      <c r="C877" s="43"/>
      <c r="D877" s="29"/>
      <c r="E877" s="29"/>
      <c r="F877" s="255"/>
      <c r="G877" s="256"/>
      <c r="H877" s="256"/>
      <c r="I877" s="200"/>
      <c r="J877" s="203"/>
      <c r="K877" s="200"/>
      <c r="L877" s="200"/>
      <c r="M877" s="37"/>
      <c r="N877" s="37"/>
      <c r="O877" s="153"/>
      <c r="P877" s="45"/>
      <c r="Q877" s="54"/>
      <c r="R877" s="260"/>
      <c r="S877" s="258"/>
      <c r="T877" s="258"/>
      <c r="U877" s="38"/>
      <c r="V877" s="261"/>
      <c r="W877" s="256"/>
      <c r="X877" s="256"/>
      <c r="Y877" s="256"/>
      <c r="Z877" s="256"/>
      <c r="AA877" s="54"/>
      <c r="AB877" s="200"/>
      <c r="AC877" s="31"/>
      <c r="AD877" s="184"/>
      <c r="AE877" s="51"/>
      <c r="AF877" s="52"/>
      <c r="AG877" s="41"/>
      <c r="AH877" s="207"/>
      <c r="AI877" s="28"/>
      <c r="AJ877" s="28"/>
      <c r="AK877" s="28"/>
      <c r="AL877" s="28"/>
      <c r="AM877" s="12"/>
      <c r="AN877" s="12"/>
      <c r="AO877" s="12"/>
      <c r="AP877" s="12"/>
      <c r="AQ877" s="12"/>
      <c r="AR877" s="13"/>
      <c r="AS877" s="14"/>
    </row>
    <row r="878" spans="1:45" s="16" customFormat="1" ht="30.95" hidden="1" customHeight="1" x14ac:dyDescent="0.2">
      <c r="A878" s="35" t="s">
        <v>532</v>
      </c>
      <c r="B878" s="36" t="s">
        <v>443</v>
      </c>
      <c r="C878" s="43"/>
      <c r="D878" s="29">
        <v>3721207</v>
      </c>
      <c r="E878" s="29">
        <v>4161999</v>
      </c>
      <c r="F878" s="255" t="str">
        <f>IF(D878="","",VLOOKUP(D878,契約台帳!$A$3:$K$4986,6,FALSE)&amp;VLOOKUP(D878,契約台帳!$A$3:$K$4986,7,FALSE)&amp;VLOOKUP(D878,契約台帳!$A$3:$K$4986,8,FALSE)&amp;VLOOKUP(D878,契約台帳!$A$3:$K$4986,9,FALSE)&amp;VLOOKUP(D878,契約台帳!$A$3:$K$4986,11,FALSE))</f>
        <v>3SNMLBMNGKKBF</v>
      </c>
      <c r="G878" s="256" t="str">
        <f>IF(D878="","",VLOOKUP(F878,製品マスタ!$G$5:$H$4999,2,FALSE))</f>
        <v>S</v>
      </c>
      <c r="H878" s="256" t="str">
        <f>IF(D878="","",VLOOKUP(F878,製品マスタ!$G$5:$K$4999,5,FALSE))</f>
        <v>MNGKKBF</v>
      </c>
      <c r="I878" s="200" t="str">
        <f>IF(D878="","",VLOOKUP(F878,製品マスタ!$G$5:$L$4999,6,FALSE))</f>
        <v>メタルミー　ネーマー銀消改　Ｂ</v>
      </c>
      <c r="J878" s="203" t="s">
        <v>935</v>
      </c>
      <c r="K878" s="200">
        <f>IF(D878="","",VLOOKUP(D878,契約台帳!$A$3:$L$4986,12,FALSE))</f>
        <v>50</v>
      </c>
      <c r="L878" s="200" t="str">
        <f>IF(D878="","",INDEX(製品マスタ!$Q$5:$Q$4999,MATCH('S4'!F878&amp;'S4'!K878,製品マスタ!$AO$5:$AO$4999,0)))</f>
        <v>S99-MAT</v>
      </c>
      <c r="M878" s="37">
        <v>1120</v>
      </c>
      <c r="N878" s="37">
        <v>4000</v>
      </c>
      <c r="O878" s="153">
        <v>15</v>
      </c>
      <c r="P878" s="45">
        <v>3</v>
      </c>
      <c r="Q878" s="206">
        <v>45141</v>
      </c>
      <c r="R878" s="257">
        <f ca="1">IF(D878="","",IF(OFFSET(D878,-1,0)&lt;&gt;"","",IF(OR(J878="リード付け",J878="巻足し",J878="巻返しリード付け"),M878,VLOOKUP(D878,契約台帳!$A$3:$N$4986,14,FALSE))))</f>
        <v>1120</v>
      </c>
      <c r="S878" s="258">
        <f ca="1">IF(D878="","",IF(OFFSET(D878,-1,0)&lt;&gt;"","",IF(OR(J878="リード付け",J878="巻足し",J878="巻返しリード付け"),M878,VLOOKUP(D878,契約台帳!$A$3:$O$4986,15,FALSE))))</f>
        <v>1120</v>
      </c>
      <c r="T878" s="258">
        <f ca="1">IF(D878="","",IF(J878="リード付け",N878,IF(J878="巻返しリード付け",N878,IF(J878="巻足し",N878*P878+OFFSET(N878,1,0)*OFFSET(P878,1,0),VLOOKUP(D878,契約台帳!$A$3:$P$4986,16,FALSE)))))</f>
        <v>12000</v>
      </c>
      <c r="U878" s="38">
        <v>5</v>
      </c>
      <c r="V878" s="259">
        <f ca="1">IF(D878="","",IF(OFFSET(D878,-2,0)=D878,"",VLOOKUP(D878,契約台帳!$A$3:$R$4986,18,FALSE)))</f>
        <v>20</v>
      </c>
      <c r="W878" s="256" t="str">
        <f ca="1">IF(D878="","",IF(T878="","",IF(OR(J878="巻足し",J878="巻返しリード付け"),"",IF(J878="巻返し",VLOOKUP(F878&amp;K878&amp;M878,製品マスタ!$M$5:$AD$4999,18,FALSE),IF(OR(J878="リード付け",J878="巻返しリード付け"),"原反コア",IF(J878="スリット",VLOOKUP(F878&amp;K878&amp;R878,製品マスタ!$N$5:$AD$4999,17,FALSE),""))))))</f>
        <v/>
      </c>
      <c r="X878" s="256" t="str">
        <f ca="1">IF(D878="","",IF(T878="","",IF(J878="巻足し","",IF(J878="巻返し",VLOOKUP(F878&amp;K878&amp;M878,製品マスタ!$M$5:$AE$4999,19,FALSE),IF(OR(J878="リード付け",J878="巻返しリード付け"),"",IF(J878="スリット",VLOOKUP(F878&amp;K878&amp;R878,製品マスタ!$N$5:$AE$4999,18,FALSE),""))))))</f>
        <v/>
      </c>
      <c r="Y878" s="256">
        <f ca="1">IF(D878="","",IF(T878="","",VLOOKUP(D878,契約台帳!$A$3:$Q$4986,17,FALSE)))</f>
        <v>2</v>
      </c>
      <c r="Z878" s="256" t="str">
        <f ca="1">IF(D878="","",IF(T878="","",VLOOKUP(D878,契約台帳!$A$3:$E$4986,5,FALSE)))</f>
        <v>リンテック㈱</v>
      </c>
      <c r="AA878" s="54"/>
      <c r="AB878" s="200">
        <f>IFERROR((VLOOKUP(F878&amp;K878&amp;M878,製品マスタ!$M$5:$AM$4999,27,FALSE)),"")</f>
        <v>0</v>
      </c>
      <c r="AC878" s="31"/>
      <c r="AD878" s="184"/>
      <c r="AE878" s="51"/>
      <c r="AF878" s="52">
        <f>+M878*N878*O878/1000</f>
        <v>67200</v>
      </c>
      <c r="AG878" s="41"/>
      <c r="AH878" s="45"/>
      <c r="AI878" s="28"/>
      <c r="AJ878" s="28"/>
      <c r="AK878" s="28"/>
      <c r="AL878" s="28"/>
      <c r="AM878" s="12"/>
      <c r="AN878" s="12"/>
      <c r="AO878" s="12"/>
      <c r="AP878" s="12"/>
      <c r="AQ878" s="12"/>
      <c r="AR878" s="13"/>
      <c r="AS878" s="14"/>
    </row>
    <row r="879" spans="1:45" s="16" customFormat="1" ht="30.95" hidden="1" customHeight="1" x14ac:dyDescent="0.2">
      <c r="A879" s="35"/>
      <c r="B879" s="36"/>
      <c r="C879" s="43"/>
      <c r="D879" s="29"/>
      <c r="E879" s="29"/>
      <c r="F879" s="255"/>
      <c r="G879" s="256"/>
      <c r="H879" s="256"/>
      <c r="I879" s="200"/>
      <c r="J879" s="203"/>
      <c r="K879" s="200"/>
      <c r="L879" s="200"/>
      <c r="M879" s="37"/>
      <c r="N879" s="37"/>
      <c r="O879" s="153"/>
      <c r="P879" s="45"/>
      <c r="Q879" s="54"/>
      <c r="R879" s="257"/>
      <c r="S879" s="258"/>
      <c r="T879" s="258"/>
      <c r="U879" s="38"/>
      <c r="V879" s="259"/>
      <c r="W879" s="256"/>
      <c r="X879" s="256"/>
      <c r="Y879" s="256"/>
      <c r="Z879" s="256"/>
      <c r="AA879" s="54"/>
      <c r="AB879" s="200"/>
      <c r="AC879" s="31"/>
      <c r="AD879" s="184"/>
      <c r="AE879" s="51"/>
      <c r="AF879" s="52"/>
      <c r="AG879" s="41"/>
      <c r="AH879" s="45"/>
      <c r="AI879" s="28"/>
      <c r="AJ879" s="28"/>
      <c r="AK879" s="28"/>
      <c r="AL879" s="28"/>
      <c r="AM879" s="12"/>
      <c r="AN879" s="12"/>
      <c r="AO879" s="12"/>
      <c r="AP879" s="12"/>
      <c r="AQ879" s="12"/>
      <c r="AR879" s="13"/>
      <c r="AS879" s="14"/>
    </row>
    <row r="880" spans="1:45" s="16" customFormat="1" ht="30.95" hidden="1" customHeight="1" x14ac:dyDescent="0.2">
      <c r="A880" s="35" t="s">
        <v>533</v>
      </c>
      <c r="B880" s="36" t="s">
        <v>444</v>
      </c>
      <c r="C880" s="43"/>
      <c r="D880" s="29">
        <v>3721207</v>
      </c>
      <c r="E880" s="29">
        <v>4161999</v>
      </c>
      <c r="F880" s="255" t="str">
        <f>IF(D880="","",VLOOKUP(D880,契約台帳!$A$3:$K$4986,6,FALSE)&amp;VLOOKUP(D880,契約台帳!$A$3:$K$4986,7,FALSE)&amp;VLOOKUP(D880,契約台帳!$A$3:$K$4986,8,FALSE)&amp;VLOOKUP(D880,契約台帳!$A$3:$K$4986,9,FALSE)&amp;VLOOKUP(D880,契約台帳!$A$3:$K$4986,11,FALSE))</f>
        <v>3SNMLBMNGKKBF</v>
      </c>
      <c r="G880" s="256" t="str">
        <f>IF(D880="","",VLOOKUP(F880,製品マスタ!$G$5:$H$4999,2,FALSE))</f>
        <v>S</v>
      </c>
      <c r="H880" s="256" t="str">
        <f>IF(D880="","",VLOOKUP(F880,製品マスタ!$G$5:$K$4999,5,FALSE))</f>
        <v>MNGKKBF</v>
      </c>
      <c r="I880" s="200" t="str">
        <f>IF(D880="","",VLOOKUP(F880,製品マスタ!$G$5:$L$4999,6,FALSE))</f>
        <v>メタルミー　ネーマー銀消改　Ｂ</v>
      </c>
      <c r="J880" s="203" t="s">
        <v>935</v>
      </c>
      <c r="K880" s="200">
        <f>IF(D880="","",VLOOKUP(D880,契約台帳!$A$3:$L$4986,12,FALSE))</f>
        <v>50</v>
      </c>
      <c r="L880" s="200" t="str">
        <f>IF(D880="","",INDEX(製品マスタ!$Q$5:$Q$4999,MATCH('S4'!F880&amp;'S4'!K880,製品マスタ!$AO$5:$AO$4999,0)))</f>
        <v>S99-MAT</v>
      </c>
      <c r="M880" s="37">
        <v>1120</v>
      </c>
      <c r="N880" s="37">
        <v>4000</v>
      </c>
      <c r="O880" s="153">
        <v>3</v>
      </c>
      <c r="P880" s="45">
        <v>3</v>
      </c>
      <c r="Q880" s="206">
        <v>45141</v>
      </c>
      <c r="R880" s="257">
        <f ca="1">IF(D880="","",IF(OFFSET(D880,-1,0)&lt;&gt;"","",IF(OR(J880="リード付け",J880="巻足し",J880="巻返しリード付け"),M880,VLOOKUP(D880,契約台帳!$A$3:$N$4986,14,FALSE))))</f>
        <v>1120</v>
      </c>
      <c r="S880" s="258">
        <f ca="1">IF(D880="","",IF(OFFSET(D880,-1,0)&lt;&gt;"","",IF(OR(J880="リード付け",J880="巻足し",J880="巻返しリード付け"),M880,VLOOKUP(D880,契約台帳!$A$3:$O$4986,15,FALSE))))</f>
        <v>1120</v>
      </c>
      <c r="T880" s="258">
        <f ca="1">IF(D880="","",IF(J880="リード付け",N880,IF(J880="巻返しリード付け",N880,IF(J880="巻足し",N880*P880+OFFSET(N880,1,0)*OFFSET(P880,1,0),VLOOKUP(D880,契約台帳!$A$3:$P$4986,16,FALSE)))))</f>
        <v>12000</v>
      </c>
      <c r="U880" s="38">
        <v>1</v>
      </c>
      <c r="V880" s="259" t="str">
        <f ca="1">IF(D880="","",IF(OFFSET(D880,-2,0)=D880,"",VLOOKUP(D880,契約台帳!$A$3:$R$4986,18,FALSE)))</f>
        <v/>
      </c>
      <c r="W880" s="256" t="str">
        <f ca="1">IF(D880="","",IF(T880="","",IF(OR(J880="巻足し",J880="巻返しリード付け"),"",IF(J880="巻返し",VLOOKUP(F880&amp;K880&amp;M880,製品マスタ!$M$5:$AD$4999,18,FALSE),IF(OR(J880="リード付け",J880="巻返しリード付け"),"原反コア",IF(J880="スリット",VLOOKUP(F880&amp;K880&amp;R880,製品マスタ!$N$5:$AD$4999,17,FALSE),""))))))</f>
        <v/>
      </c>
      <c r="X880" s="256" t="str">
        <f ca="1">IF(D880="","",IF(T880="","",IF(J880="巻足し","",IF(J880="巻返し",VLOOKUP(F880&amp;K880&amp;M880,製品マスタ!$M$5:$AE$4999,19,FALSE),IF(OR(J880="リード付け",J880="巻返しリード付け"),"",IF(J880="スリット",VLOOKUP(F880&amp;K880&amp;R880,製品マスタ!$N$5:$AE$4999,18,FALSE),""))))))</f>
        <v/>
      </c>
      <c r="Y880" s="256">
        <f ca="1">IF(D880="","",IF(T880="","",VLOOKUP(D880,契約台帳!$A$3:$Q$4986,17,FALSE)))</f>
        <v>2</v>
      </c>
      <c r="Z880" s="256" t="str">
        <f ca="1">IF(D880="","",IF(T880="","",VLOOKUP(D880,契約台帳!$A$3:$E$4986,5,FALSE)))</f>
        <v>リンテック㈱</v>
      </c>
      <c r="AA880" s="54"/>
      <c r="AB880" s="200">
        <f>IFERROR((VLOOKUP(F880&amp;K880&amp;M880,製品マスタ!$M$5:$AM$4999,27,FALSE)),"")</f>
        <v>0</v>
      </c>
      <c r="AC880" s="31"/>
      <c r="AD880" s="184"/>
      <c r="AE880" s="51"/>
      <c r="AF880" s="52">
        <f>+M880*N880*O880/1000</f>
        <v>13440</v>
      </c>
      <c r="AG880" s="41"/>
      <c r="AH880" s="45"/>
      <c r="AI880" s="28"/>
      <c r="AJ880" s="28"/>
      <c r="AK880" s="28"/>
      <c r="AL880" s="28"/>
      <c r="AM880" s="12"/>
      <c r="AN880" s="12"/>
      <c r="AO880" s="12"/>
      <c r="AP880" s="12"/>
      <c r="AQ880" s="12"/>
      <c r="AR880" s="13"/>
      <c r="AS880" s="14"/>
    </row>
    <row r="881" spans="1:45" s="16" customFormat="1" ht="30.95" hidden="1" customHeight="1" x14ac:dyDescent="0.2">
      <c r="A881" s="35"/>
      <c r="B881" s="36"/>
      <c r="C881" s="43"/>
      <c r="D881" s="29"/>
      <c r="E881" s="29"/>
      <c r="F881" s="255"/>
      <c r="G881" s="256"/>
      <c r="H881" s="256"/>
      <c r="I881" s="200"/>
      <c r="J881" s="203"/>
      <c r="K881" s="200"/>
      <c r="L881" s="200"/>
      <c r="M881" s="37"/>
      <c r="N881" s="37"/>
      <c r="O881" s="153"/>
      <c r="P881" s="45"/>
      <c r="Q881" s="54"/>
      <c r="R881" s="257"/>
      <c r="S881" s="258"/>
      <c r="T881" s="258"/>
      <c r="U881" s="38"/>
      <c r="V881" s="259"/>
      <c r="W881" s="256"/>
      <c r="X881" s="256"/>
      <c r="Y881" s="256"/>
      <c r="Z881" s="256"/>
      <c r="AA881" s="54"/>
      <c r="AB881" s="200"/>
      <c r="AC881" s="31"/>
      <c r="AD881" s="184"/>
      <c r="AE881" s="51"/>
      <c r="AF881" s="52"/>
      <c r="AG881" s="41"/>
      <c r="AH881" s="45"/>
      <c r="AI881" s="28"/>
      <c r="AJ881" s="28"/>
      <c r="AK881" s="28"/>
      <c r="AL881" s="28"/>
      <c r="AM881" s="12"/>
      <c r="AN881" s="12"/>
      <c r="AO881" s="12"/>
      <c r="AP881" s="12"/>
      <c r="AQ881" s="12"/>
      <c r="AR881" s="13"/>
      <c r="AS881" s="14"/>
    </row>
    <row r="882" spans="1:45" s="16" customFormat="1" ht="30.95" hidden="1" customHeight="1" x14ac:dyDescent="0.2">
      <c r="A882" s="35"/>
      <c r="B882" s="36"/>
      <c r="C882" s="43"/>
      <c r="D882" s="29">
        <v>3721207</v>
      </c>
      <c r="E882" s="29">
        <v>4161999</v>
      </c>
      <c r="F882" s="255" t="str">
        <f>IF(D882="","",VLOOKUP(D882,契約台帳!$A$3:$K$4986,6,FALSE)&amp;VLOOKUP(D882,契約台帳!$A$3:$K$4986,7,FALSE)&amp;VLOOKUP(D882,契約台帳!$A$3:$K$4986,8,FALSE)&amp;VLOOKUP(D882,契約台帳!$A$3:$K$4986,9,FALSE)&amp;VLOOKUP(D882,契約台帳!$A$3:$K$4986,11,FALSE))</f>
        <v>3SNMLBMNGKKBF</v>
      </c>
      <c r="G882" s="256" t="str">
        <f>IF(D882="","",VLOOKUP(F882,製品マスタ!$G$5:$H$4999,2,FALSE))</f>
        <v>S</v>
      </c>
      <c r="H882" s="256" t="str">
        <f>IF(D882="","",VLOOKUP(F882,製品マスタ!$G$5:$K$4999,5,FALSE))</f>
        <v>MNGKKBF</v>
      </c>
      <c r="I882" s="200" t="str">
        <f>IF(D882="","",VLOOKUP(F882,製品マスタ!$G$5:$L$4999,6,FALSE))</f>
        <v>メタルミー　ネーマー銀消改　Ｂ</v>
      </c>
      <c r="J882" s="203" t="s">
        <v>935</v>
      </c>
      <c r="K882" s="200">
        <f>IF(D882="","",VLOOKUP(D882,契約台帳!$A$3:$L$4986,12,FALSE))</f>
        <v>50</v>
      </c>
      <c r="L882" s="200" t="str">
        <f>IF(D882="","",INDEX(製品マスタ!$Q$5:$Q$4999,MATCH('S4'!F882&amp;'S4'!K882,製品マスタ!$AO$5:$AO$4999,0)))</f>
        <v>S99-MAT</v>
      </c>
      <c r="M882" s="37">
        <v>1120</v>
      </c>
      <c r="N882" s="37">
        <v>4000</v>
      </c>
      <c r="O882" s="153">
        <v>2</v>
      </c>
      <c r="P882" s="45">
        <v>2</v>
      </c>
      <c r="Q882" s="206">
        <v>45141</v>
      </c>
      <c r="R882" s="257">
        <f ca="1">IF(D882="","",IF(OFFSET(D882,-1,0)&lt;&gt;"","",IF(OR(J882="リード付け",J882="巻足し",J882="巻返しリード付け"),M882,VLOOKUP(D882,契約台帳!$A$3:$N$4986,14,FALSE))))</f>
        <v>1120</v>
      </c>
      <c r="S882" s="258">
        <f ca="1">IF(D882="","",IF(OFFSET(D882,-1,0)&lt;&gt;"","",IF(OR(J882="リード付け",J882="巻足し",J882="巻返しリード付け"),M882,VLOOKUP(D882,契約台帳!$A$3:$O$4986,15,FALSE))))</f>
        <v>1120</v>
      </c>
      <c r="T882" s="258">
        <f ca="1">IF(D882="","",IF(J882="リード付け",N882,IF(J882="巻返しリード付け",N882,IF(J882="巻足し",N882*P882+OFFSET(N882,1,0)*OFFSET(P882,1,0),VLOOKUP(D882,契約台帳!$A$3:$P$4986,16,FALSE)))))</f>
        <v>8000</v>
      </c>
      <c r="U882" s="38">
        <v>1</v>
      </c>
      <c r="V882" s="259" t="str">
        <f ca="1">IF(D882="","",IF(OFFSET(D882,-2,0)=D882,"",VLOOKUP(D882,契約台帳!$A$3:$R$4986,18,FALSE)))</f>
        <v/>
      </c>
      <c r="W882" s="256" t="str">
        <f ca="1">IF(D882="","",IF(T882="","",IF(OR(J882="巻足し",J882="巻返しリード付け"),"",IF(J882="巻返し",VLOOKUP(F882&amp;K882&amp;M882,製品マスタ!$M$5:$AD$4999,18,FALSE),IF(OR(J882="リード付け",J882="巻返しリード付け"),"原反コア",IF(J882="スリット",VLOOKUP(F882&amp;K882&amp;R882,製品マスタ!$N$5:$AD$4999,17,FALSE),""))))))</f>
        <v/>
      </c>
      <c r="X882" s="256" t="str">
        <f ca="1">IF(D882="","",IF(T882="","",IF(J882="巻足し","",IF(J882="巻返し",VLOOKUP(F882&amp;K882&amp;M882,製品マスタ!$M$5:$AE$4999,19,FALSE),IF(OR(J882="リード付け",J882="巻返しリード付け"),"",IF(J882="スリット",VLOOKUP(F882&amp;K882&amp;R882,製品マスタ!$N$5:$AE$4999,18,FALSE),""))))))</f>
        <v/>
      </c>
      <c r="Y882" s="256">
        <f ca="1">IF(D882="","",IF(T882="","",VLOOKUP(D882,契約台帳!$A$3:$Q$4986,17,FALSE)))</f>
        <v>2</v>
      </c>
      <c r="Z882" s="256" t="str">
        <f ca="1">IF(D882="","",IF(T882="","",VLOOKUP(D882,契約台帳!$A$3:$E$4986,5,FALSE)))</f>
        <v>リンテック㈱</v>
      </c>
      <c r="AA882" s="54"/>
      <c r="AB882" s="200">
        <f>IFERROR((VLOOKUP(F882&amp;K882&amp;M882,製品マスタ!$M$5:$AM$4999,27,FALSE)),"")</f>
        <v>0</v>
      </c>
      <c r="AC882" s="31"/>
      <c r="AD882" s="184"/>
      <c r="AE882" s="51"/>
      <c r="AF882" s="52">
        <f>+M882*N882*O882/1000</f>
        <v>8960</v>
      </c>
      <c r="AG882" s="41"/>
      <c r="AH882" s="45"/>
      <c r="AI882" s="28"/>
      <c r="AJ882" s="28"/>
      <c r="AK882" s="28"/>
      <c r="AL882" s="28"/>
      <c r="AM882" s="12"/>
      <c r="AN882" s="12"/>
      <c r="AO882" s="12"/>
      <c r="AP882" s="12"/>
      <c r="AQ882" s="12"/>
      <c r="AR882" s="13"/>
      <c r="AS882" s="14"/>
    </row>
    <row r="883" spans="1:45" s="16" customFormat="1" ht="30.95" hidden="1" customHeight="1" x14ac:dyDescent="0.2">
      <c r="A883" s="35"/>
      <c r="B883" s="36"/>
      <c r="C883" s="43"/>
      <c r="D883" s="29"/>
      <c r="E883" s="29"/>
      <c r="F883" s="255"/>
      <c r="G883" s="256"/>
      <c r="H883" s="256"/>
      <c r="I883" s="200"/>
      <c r="J883" s="203"/>
      <c r="K883" s="200"/>
      <c r="L883" s="200"/>
      <c r="M883" s="37"/>
      <c r="N883" s="37"/>
      <c r="O883" s="153"/>
      <c r="P883" s="45"/>
      <c r="Q883" s="54"/>
      <c r="R883" s="257"/>
      <c r="S883" s="258"/>
      <c r="T883" s="258"/>
      <c r="U883" s="38"/>
      <c r="V883" s="259"/>
      <c r="W883" s="256"/>
      <c r="X883" s="256"/>
      <c r="Y883" s="256"/>
      <c r="Z883" s="256"/>
      <c r="AA883" s="54"/>
      <c r="AB883" s="200"/>
      <c r="AC883" s="31"/>
      <c r="AD883" s="184"/>
      <c r="AE883" s="51"/>
      <c r="AF883" s="52"/>
      <c r="AG883" s="41"/>
      <c r="AH883" s="45"/>
      <c r="AI883" s="28"/>
      <c r="AJ883" s="28"/>
      <c r="AK883" s="28"/>
      <c r="AL883" s="28"/>
      <c r="AM883" s="12"/>
      <c r="AN883" s="12"/>
      <c r="AO883" s="12"/>
      <c r="AP883" s="12"/>
      <c r="AQ883" s="12"/>
      <c r="AR883" s="13"/>
      <c r="AS883" s="14"/>
    </row>
    <row r="884" spans="1:45" s="16" customFormat="1" ht="30.95" hidden="1" customHeight="1" x14ac:dyDescent="0.2">
      <c r="A884" s="35"/>
      <c r="B884" s="36"/>
      <c r="C884" s="43"/>
      <c r="D884" s="29">
        <v>3721206</v>
      </c>
      <c r="E884" s="29">
        <v>4161998</v>
      </c>
      <c r="F884" s="255" t="str">
        <f>IF(D884="","",VLOOKUP(D884,契約台帳!$A$3:$K$4986,6,FALSE)&amp;VLOOKUP(D884,契約台帳!$A$3:$K$4986,7,FALSE)&amp;VLOOKUP(D884,契約台帳!$A$3:$K$4986,8,FALSE)&amp;VLOOKUP(D884,契約台帳!$A$3:$K$4986,9,FALSE)&amp;VLOOKUP(D884,契約台帳!$A$3:$K$4986,11,FALSE))</f>
        <v>3SNMLBMNGKKBF</v>
      </c>
      <c r="G884" s="256" t="str">
        <f>IF(D884="","",VLOOKUP(F884,製品マスタ!$G$5:$H$4999,2,FALSE))</f>
        <v>S</v>
      </c>
      <c r="H884" s="256" t="str">
        <f>IF(D884="","",VLOOKUP(F884,製品マスタ!$G$5:$K$4999,5,FALSE))</f>
        <v>MNGKKBF</v>
      </c>
      <c r="I884" s="200" t="str">
        <f>IF(D884="","",VLOOKUP(F884,製品マスタ!$G$5:$L$4999,6,FALSE))</f>
        <v>メタルミー　ネーマー銀消改　Ｂ</v>
      </c>
      <c r="J884" s="203" t="s">
        <v>935</v>
      </c>
      <c r="K884" s="200">
        <f>IF(D884="","",VLOOKUP(D884,契約台帳!$A$3:$L$4986,12,FALSE))</f>
        <v>25</v>
      </c>
      <c r="L884" s="200" t="str">
        <f>IF(D884="","",INDEX(製品マスタ!$Q$5:$Q$4999,MATCH('S4'!F884&amp;'S4'!K884,製品マスタ!$AO$5:$AO$4999,0)))</f>
        <v>FMATS99</v>
      </c>
      <c r="M884" s="37">
        <v>1120</v>
      </c>
      <c r="N884" s="37">
        <v>4000</v>
      </c>
      <c r="O884" s="153">
        <v>3</v>
      </c>
      <c r="P884" s="45">
        <v>3</v>
      </c>
      <c r="Q884" s="206">
        <v>45142</v>
      </c>
      <c r="R884" s="257">
        <f ca="1">IF(D884="","",IF(OFFSET(D884,-1,0)&lt;&gt;"","",IF(OR(J884="リード付け",J884="巻足し",J884="巻返しリード付け"),M884,VLOOKUP(D884,契約台帳!$A$3:$N$4986,14,FALSE))))</f>
        <v>1120</v>
      </c>
      <c r="S884" s="258">
        <f ca="1">IF(D884="","",IF(OFFSET(D884,-1,0)&lt;&gt;"","",IF(OR(J884="リード付け",J884="巻足し",J884="巻返しリード付け"),M884,VLOOKUP(D884,契約台帳!$A$3:$O$4986,15,FALSE))))</f>
        <v>1120</v>
      </c>
      <c r="T884" s="258">
        <f ca="1">IF(D884="","",IF(J884="リード付け",N884,IF(J884="巻返しリード付け",N884,IF(J884="巻足し",N884*P884+OFFSET(N884,1,0)*OFFSET(P884,1,0),VLOOKUP(D884,契約台帳!$A$3:$P$4986,16,FALSE)))))</f>
        <v>12000</v>
      </c>
      <c r="U884" s="38">
        <v>1</v>
      </c>
      <c r="V884" s="259">
        <f ca="1">IF(D884="","",IF(OFFSET(D884,-2,0)=D884,"",VLOOKUP(D884,契約台帳!$A$3:$R$4986,18,FALSE)))</f>
        <v>5</v>
      </c>
      <c r="W884" s="256" t="str">
        <f ca="1">IF(D884="","",IF(T884="","",IF(OR(J884="巻足し",J884="巻返しリード付け"),"",IF(J884="巻返し",VLOOKUP(F884&amp;K884&amp;M884,製品マスタ!$M$5:$AD$4999,18,FALSE),IF(OR(J884="リード付け",J884="巻返しリード付け"),"原反コア",IF(J884="スリット",VLOOKUP(F884&amp;K884&amp;R884,製品マスタ!$N$5:$AD$4999,17,FALSE),""))))))</f>
        <v/>
      </c>
      <c r="X884" s="256" t="str">
        <f ca="1">IF(D884="","",IF(T884="","",IF(J884="巻足し","",IF(J884="巻返し",VLOOKUP(F884&amp;K884&amp;M884,製品マスタ!$M$5:$AE$4999,19,FALSE),IF(OR(J884="リード付け",J884="巻返しリード付け"),"",IF(J884="スリット",VLOOKUP(F884&amp;K884&amp;R884,製品マスタ!$N$5:$AE$4999,18,FALSE),""))))))</f>
        <v/>
      </c>
      <c r="Y884" s="256">
        <f ca="1">IF(D884="","",IF(T884="","",VLOOKUP(D884,契約台帳!$A$3:$Q$4986,17,FALSE)))</f>
        <v>2</v>
      </c>
      <c r="Z884" s="256" t="str">
        <f ca="1">IF(D884="","",IF(T884="","",VLOOKUP(D884,契約台帳!$A$3:$E$4986,5,FALSE)))</f>
        <v>リンテック㈱</v>
      </c>
      <c r="AA884" s="54"/>
      <c r="AB884" s="200">
        <f>IFERROR((VLOOKUP(F884&amp;K884&amp;M884,製品マスタ!$M$5:$AM$4999,27,FALSE)),"")</f>
        <v>0</v>
      </c>
      <c r="AC884" s="31"/>
      <c r="AD884" s="184"/>
      <c r="AE884" s="51"/>
      <c r="AF884" s="52">
        <f>+M884*N884*O884/1000</f>
        <v>13440</v>
      </c>
      <c r="AG884" s="41"/>
      <c r="AH884" s="45"/>
      <c r="AI884" s="28"/>
      <c r="AJ884" s="28"/>
      <c r="AK884" s="28"/>
      <c r="AL884" s="28"/>
      <c r="AM884" s="12"/>
      <c r="AN884" s="12"/>
      <c r="AO884" s="12"/>
      <c r="AP884" s="12"/>
      <c r="AQ884" s="12"/>
      <c r="AR884" s="13"/>
      <c r="AS884" s="14"/>
    </row>
    <row r="885" spans="1:45" s="16" customFormat="1" ht="30.95" hidden="1" customHeight="1" x14ac:dyDescent="0.2">
      <c r="A885" s="35"/>
      <c r="B885" s="36"/>
      <c r="C885" s="43"/>
      <c r="D885" s="29"/>
      <c r="E885" s="29"/>
      <c r="F885" s="255"/>
      <c r="G885" s="256"/>
      <c r="H885" s="256"/>
      <c r="I885" s="200"/>
      <c r="J885" s="203"/>
      <c r="K885" s="200"/>
      <c r="L885" s="200"/>
      <c r="M885" s="37"/>
      <c r="N885" s="37"/>
      <c r="O885" s="153"/>
      <c r="P885" s="45"/>
      <c r="Q885" s="54"/>
      <c r="R885" s="260"/>
      <c r="S885" s="258"/>
      <c r="T885" s="258"/>
      <c r="U885" s="38"/>
      <c r="V885" s="261"/>
      <c r="W885" s="256"/>
      <c r="X885" s="256"/>
      <c r="Y885" s="256"/>
      <c r="Z885" s="256"/>
      <c r="AA885" s="54"/>
      <c r="AB885" s="200"/>
      <c r="AC885" s="31"/>
      <c r="AD885" s="184"/>
      <c r="AE885" s="51"/>
      <c r="AF885" s="52"/>
      <c r="AG885" s="41"/>
      <c r="AH885" s="207"/>
      <c r="AI885" s="28"/>
      <c r="AJ885" s="28"/>
      <c r="AK885" s="28"/>
      <c r="AL885" s="28"/>
      <c r="AM885" s="12"/>
      <c r="AN885" s="12"/>
      <c r="AO885" s="12"/>
      <c r="AP885" s="12"/>
      <c r="AQ885" s="12"/>
      <c r="AR885" s="13"/>
      <c r="AS885" s="14"/>
    </row>
    <row r="886" spans="1:45" s="16" customFormat="1" ht="30.95" hidden="1" customHeight="1" x14ac:dyDescent="0.2">
      <c r="A886" s="35"/>
      <c r="B886" s="36"/>
      <c r="C886" s="43"/>
      <c r="D886" s="29">
        <v>3721206</v>
      </c>
      <c r="E886" s="29">
        <v>4161998</v>
      </c>
      <c r="F886" s="255" t="str">
        <f>IF(D886="","",VLOOKUP(D886,契約台帳!$A$3:$K$4986,6,FALSE)&amp;VLOOKUP(D886,契約台帳!$A$3:$K$4986,7,FALSE)&amp;VLOOKUP(D886,契約台帳!$A$3:$K$4986,8,FALSE)&amp;VLOOKUP(D886,契約台帳!$A$3:$K$4986,9,FALSE)&amp;VLOOKUP(D886,契約台帳!$A$3:$K$4986,11,FALSE))</f>
        <v>3SNMLBMNGKKBF</v>
      </c>
      <c r="G886" s="256" t="str">
        <f>IF(D886="","",VLOOKUP(F886,製品マスタ!$G$5:$H$4999,2,FALSE))</f>
        <v>S</v>
      </c>
      <c r="H886" s="256" t="str">
        <f>IF(D886="","",VLOOKUP(F886,製品マスタ!$G$5:$K$4999,5,FALSE))</f>
        <v>MNGKKBF</v>
      </c>
      <c r="I886" s="200" t="str">
        <f>IF(D886="","",VLOOKUP(F886,製品マスタ!$G$5:$L$4999,6,FALSE))</f>
        <v>メタルミー　ネーマー銀消改　Ｂ</v>
      </c>
      <c r="J886" s="203" t="s">
        <v>935</v>
      </c>
      <c r="K886" s="200">
        <f>IF(D886="","",VLOOKUP(D886,契約台帳!$A$3:$L$4986,12,FALSE))</f>
        <v>25</v>
      </c>
      <c r="L886" s="200" t="str">
        <f>IF(D886="","",INDEX(製品マスタ!$Q$5:$Q$4999,MATCH('S4'!F886&amp;'S4'!K886,製品マスタ!$AO$5:$AO$4999,0)))</f>
        <v>FMATS99</v>
      </c>
      <c r="M886" s="37">
        <v>1120</v>
      </c>
      <c r="N886" s="37">
        <v>4000</v>
      </c>
      <c r="O886" s="153">
        <v>2</v>
      </c>
      <c r="P886" s="45">
        <v>2</v>
      </c>
      <c r="Q886" s="206">
        <v>45142</v>
      </c>
      <c r="R886" s="257">
        <f ca="1">IF(D886="","",IF(OFFSET(D886,-1,0)&lt;&gt;"","",IF(OR(J886="リード付け",J886="巻足し",J886="巻返しリード付け"),M886,VLOOKUP(D886,契約台帳!$A$3:$N$4986,14,FALSE))))</f>
        <v>1120</v>
      </c>
      <c r="S886" s="258">
        <f ca="1">IF(D886="","",IF(OFFSET(D886,-1,0)&lt;&gt;"","",IF(OR(J886="リード付け",J886="巻足し",J886="巻返しリード付け"),M886,VLOOKUP(D886,契約台帳!$A$3:$O$4986,15,FALSE))))</f>
        <v>1120</v>
      </c>
      <c r="T886" s="258">
        <f ca="1">IF(D886="","",IF(J886="リード付け",N886,IF(J886="巻返しリード付け",N886,IF(J886="巻足し",N886*P886+OFFSET(N886,1,0)*OFFSET(P886,1,0),VLOOKUP(D886,契約台帳!$A$3:$P$4986,16,FALSE)))))</f>
        <v>8000</v>
      </c>
      <c r="U886" s="38">
        <v>1</v>
      </c>
      <c r="V886" s="259" t="str">
        <f ca="1">IF(D886="","",IF(OFFSET(D886,-2,0)=D886,"",VLOOKUP(D886,契約台帳!$A$3:$R$4986,18,FALSE)))</f>
        <v/>
      </c>
      <c r="W886" s="256" t="str">
        <f ca="1">IF(D886="","",IF(T886="","",IF(OR(J886="巻足し",J886="巻返しリード付け"),"",IF(J886="巻返し",VLOOKUP(F886&amp;K886&amp;M886,製品マスタ!$M$5:$AD$4999,18,FALSE),IF(OR(J886="リード付け",J886="巻返しリード付け"),"原反コア",IF(J886="スリット",VLOOKUP(F886&amp;K886&amp;R886,製品マスタ!$N$5:$AD$4999,17,FALSE),""))))))</f>
        <v/>
      </c>
      <c r="X886" s="256" t="str">
        <f ca="1">IF(D886="","",IF(T886="","",IF(J886="巻足し","",IF(J886="巻返し",VLOOKUP(F886&amp;K886&amp;M886,製品マスタ!$M$5:$AE$4999,19,FALSE),IF(OR(J886="リード付け",J886="巻返しリード付け"),"",IF(J886="スリット",VLOOKUP(F886&amp;K886&amp;R886,製品マスタ!$N$5:$AE$4999,18,FALSE),""))))))</f>
        <v/>
      </c>
      <c r="Y886" s="256">
        <f ca="1">IF(D886="","",IF(T886="","",VLOOKUP(D886,契約台帳!$A$3:$Q$4986,17,FALSE)))</f>
        <v>2</v>
      </c>
      <c r="Z886" s="256" t="str">
        <f ca="1">IF(D886="","",IF(T886="","",VLOOKUP(D886,契約台帳!$A$3:$E$4986,5,FALSE)))</f>
        <v>リンテック㈱</v>
      </c>
      <c r="AA886" s="54"/>
      <c r="AB886" s="200">
        <f>IFERROR((VLOOKUP(F886&amp;K886&amp;M886,製品マスタ!$M$5:$AM$4999,27,FALSE)),"")</f>
        <v>0</v>
      </c>
      <c r="AC886" s="31"/>
      <c r="AD886" s="184"/>
      <c r="AE886" s="51"/>
      <c r="AF886" s="52">
        <f>+M886*N886*O886/1000</f>
        <v>8960</v>
      </c>
      <c r="AG886" s="41"/>
      <c r="AH886" s="45"/>
      <c r="AI886" s="28"/>
      <c r="AJ886" s="28"/>
      <c r="AK886" s="28"/>
      <c r="AL886" s="28"/>
      <c r="AM886" s="12"/>
      <c r="AN886" s="12"/>
      <c r="AO886" s="12"/>
      <c r="AP886" s="12"/>
      <c r="AQ886" s="12"/>
      <c r="AR886" s="13"/>
      <c r="AS886" s="14"/>
    </row>
    <row r="887" spans="1:45" s="16" customFormat="1" ht="30.95" hidden="1" customHeight="1" x14ac:dyDescent="0.2">
      <c r="A887" s="35"/>
      <c r="B887" s="36"/>
      <c r="C887" s="43"/>
      <c r="D887" s="29"/>
      <c r="E887" s="29"/>
      <c r="F887" s="255"/>
      <c r="G887" s="256"/>
      <c r="H887" s="256"/>
      <c r="I887" s="200"/>
      <c r="J887" s="203"/>
      <c r="K887" s="200"/>
      <c r="L887" s="200"/>
      <c r="M887" s="37"/>
      <c r="N887" s="37"/>
      <c r="O887" s="153"/>
      <c r="P887" s="45"/>
      <c r="Q887" s="54"/>
      <c r="R887" s="260"/>
      <c r="S887" s="258"/>
      <c r="T887" s="258"/>
      <c r="U887" s="38"/>
      <c r="V887" s="261"/>
      <c r="W887" s="256"/>
      <c r="X887" s="256"/>
      <c r="Y887" s="256"/>
      <c r="Z887" s="256"/>
      <c r="AA887" s="54"/>
      <c r="AB887" s="200"/>
      <c r="AC887" s="31"/>
      <c r="AD887" s="184"/>
      <c r="AE887" s="51"/>
      <c r="AF887" s="52"/>
      <c r="AG887" s="41"/>
      <c r="AH887" s="207"/>
      <c r="AI887" s="28"/>
      <c r="AJ887" s="28"/>
      <c r="AK887" s="28"/>
      <c r="AL887" s="28"/>
      <c r="AM887" s="12"/>
      <c r="AN887" s="12"/>
      <c r="AO887" s="12"/>
      <c r="AP887" s="12"/>
      <c r="AQ887" s="12"/>
      <c r="AR887" s="13"/>
      <c r="AS887" s="14"/>
    </row>
    <row r="888" spans="1:45" s="16" customFormat="1" ht="30.95" hidden="1" customHeight="1" x14ac:dyDescent="0.2">
      <c r="A888" s="35"/>
      <c r="B888" s="36"/>
      <c r="C888" s="43"/>
      <c r="D888" s="29">
        <v>3721220</v>
      </c>
      <c r="E888" s="29">
        <v>4161991</v>
      </c>
      <c r="F888" s="255" t="str">
        <f>IF(D888="","",VLOOKUP(D888,契約台帳!$A$3:$K$4986,6,FALSE)&amp;VLOOKUP(D888,契約台帳!$A$3:$K$4986,7,FALSE)&amp;VLOOKUP(D888,契約台帳!$A$3:$K$4986,8,FALSE)&amp;VLOOKUP(D888,契約台帳!$A$3:$K$4986,9,FALSE)&amp;VLOOKUP(D888,契約台帳!$A$3:$K$4986,11,FALSE))</f>
        <v>33SSNMCLBTEKKFV</v>
      </c>
      <c r="G888" s="256" t="str">
        <f>IF(D888="","",VLOOKUP(F888,製品マスタ!$G$5:$H$4999,2,FALSE))</f>
        <v>S</v>
      </c>
      <c r="H888" s="256" t="str">
        <f>IF(D888="","",VLOOKUP(F888,製品マスタ!$G$5:$K$4999,5,FALSE))</f>
        <v>TEKKFV</v>
      </c>
      <c r="I888" s="200" t="str">
        <f>IF(D888="","",VLOOKUP(F888,製品マスタ!$G$5:$L$4999,6,FALSE))</f>
        <v>メタルミー　ＴＥＳ消開封　Ｖ</v>
      </c>
      <c r="J888" s="203" t="s">
        <v>935</v>
      </c>
      <c r="K888" s="200">
        <f>IF(D888="","",VLOOKUP(D888,契約台帳!$A$3:$L$4986,12,FALSE))</f>
        <v>50</v>
      </c>
      <c r="L888" s="200" t="str">
        <f>IF(D888="","",INDEX(製品マスタ!$Q$5:$Q$4999,MATCH('S4'!F888&amp;'S4'!K888,製品マスタ!$AO$5:$AO$4999,0)))</f>
        <v>X44SEPA</v>
      </c>
      <c r="M888" s="37">
        <v>1005</v>
      </c>
      <c r="N888" s="37">
        <v>4000</v>
      </c>
      <c r="O888" s="153">
        <v>3</v>
      </c>
      <c r="P888" s="45">
        <v>3</v>
      </c>
      <c r="Q888" s="206">
        <v>45141</v>
      </c>
      <c r="R888" s="257">
        <f ca="1">IF(D888="","",IF(OFFSET(D888,-1,0)&lt;&gt;"","",IF(OR(J888="リード付け",J888="巻足し",J888="巻返しリード付け"),M888,VLOOKUP(D888,契約台帳!$A$3:$N$4986,14,FALSE))))</f>
        <v>1005</v>
      </c>
      <c r="S888" s="258">
        <f ca="1">IF(D888="","",IF(OFFSET(D888,-1,0)&lt;&gt;"","",IF(OR(J888="リード付け",J888="巻足し",J888="巻返しリード付け"),M888,VLOOKUP(D888,契約台帳!$A$3:$O$4986,15,FALSE))))</f>
        <v>1005</v>
      </c>
      <c r="T888" s="258">
        <f ca="1">IF(D888="","",IF(J888="リード付け",N888,IF(J888="巻返しリード付け",N888,IF(J888="巻足し",N888*P888+OFFSET(N888,1,0)*OFFSET(P888,1,0),VLOOKUP(D888,契約台帳!$A$3:$P$4986,16,FALSE)))))</f>
        <v>12000</v>
      </c>
      <c r="U888" s="38">
        <v>1</v>
      </c>
      <c r="V888" s="259">
        <f ca="1">IF(D888="","",IF(OFFSET(D888,-2,0)=D888,"",VLOOKUP(D888,契約台帳!$A$3:$R$4986,18,FALSE)))</f>
        <v>3</v>
      </c>
      <c r="W888" s="256" t="str">
        <f ca="1">IF(D888="","",IF(T888="","",IF(OR(J888="巻足し",J888="巻返しリード付け"),"",IF(J888="巻返し",VLOOKUP(F888&amp;K888&amp;M888,製品マスタ!$M$5:$AD$4999,18,FALSE),IF(OR(J888="リード付け",J888="巻返しリード付け"),"原反コア",IF(J888="スリット",VLOOKUP(F888&amp;K888&amp;R888,製品マスタ!$N$5:$AD$4999,17,FALSE),""))))))</f>
        <v/>
      </c>
      <c r="X888" s="256" t="str">
        <f ca="1">IF(D888="","",IF(T888="","",IF(J888="巻足し","",IF(J888="巻返し",VLOOKUP(F888&amp;K888&amp;M888,製品マスタ!$M$5:$AE$4999,19,FALSE),IF(OR(J888="リード付け",J888="巻返しリード付け"),"",IF(J888="スリット",VLOOKUP(F888&amp;K888&amp;R888,製品マスタ!$N$5:$AE$4999,18,FALSE),""))))))</f>
        <v/>
      </c>
      <c r="Y888" s="256">
        <f ca="1">IF(D888="","",IF(T888="","",VLOOKUP(D888,契約台帳!$A$3:$Q$4986,17,FALSE)))</f>
        <v>2</v>
      </c>
      <c r="Z888" s="256" t="str">
        <f ca="1">IF(D888="","",IF(T888="","",VLOOKUP(D888,契約台帳!$A$3:$E$4986,5,FALSE)))</f>
        <v>リンテック㈱</v>
      </c>
      <c r="AA888" s="54"/>
      <c r="AB888" s="200">
        <f>IFERROR((VLOOKUP(F888&amp;K888&amp;M888,製品マスタ!$M$5:$AM$4999,27,FALSE)),"")</f>
        <v>0</v>
      </c>
      <c r="AC888" s="31"/>
      <c r="AD888" s="184"/>
      <c r="AE888" s="51"/>
      <c r="AF888" s="52">
        <f>+M888*N888*O888/1000</f>
        <v>12060</v>
      </c>
      <c r="AG888" s="41"/>
      <c r="AH888" s="45"/>
      <c r="AI888" s="28"/>
      <c r="AJ888" s="28"/>
      <c r="AK888" s="28"/>
      <c r="AL888" s="28"/>
      <c r="AM888" s="12"/>
      <c r="AN888" s="12"/>
      <c r="AO888" s="12"/>
      <c r="AP888" s="12"/>
      <c r="AQ888" s="12"/>
      <c r="AR888" s="13"/>
      <c r="AS888" s="14"/>
    </row>
    <row r="889" spans="1:45" s="16" customFormat="1" ht="30.95" hidden="1" customHeight="1" x14ac:dyDescent="0.2">
      <c r="A889" s="35"/>
      <c r="B889" s="36"/>
      <c r="C889" s="43"/>
      <c r="D889" s="29"/>
      <c r="E889" s="29"/>
      <c r="F889" s="255"/>
      <c r="G889" s="256"/>
      <c r="H889" s="256"/>
      <c r="I889" s="200"/>
      <c r="J889" s="203"/>
      <c r="K889" s="200"/>
      <c r="L889" s="200"/>
      <c r="M889" s="37"/>
      <c r="N889" s="37"/>
      <c r="O889" s="153"/>
      <c r="P889" s="45"/>
      <c r="Q889" s="54"/>
      <c r="R889" s="260"/>
      <c r="S889" s="258"/>
      <c r="T889" s="258"/>
      <c r="U889" s="38"/>
      <c r="V889" s="261"/>
      <c r="W889" s="256"/>
      <c r="X889" s="256"/>
      <c r="Y889" s="256"/>
      <c r="Z889" s="256"/>
      <c r="AA889" s="54"/>
      <c r="AB889" s="200"/>
      <c r="AC889" s="31"/>
      <c r="AD889" s="184"/>
      <c r="AE889" s="51"/>
      <c r="AF889" s="52"/>
      <c r="AG889" s="41"/>
      <c r="AH889" s="207"/>
      <c r="AI889" s="28"/>
      <c r="AJ889" s="28"/>
      <c r="AK889" s="28"/>
      <c r="AL889" s="28"/>
      <c r="AM889" s="12"/>
      <c r="AN889" s="12"/>
      <c r="AO889" s="12"/>
      <c r="AP889" s="12"/>
      <c r="AQ889" s="12"/>
      <c r="AR889" s="13"/>
      <c r="AS889" s="14"/>
    </row>
    <row r="890" spans="1:45" s="16" customFormat="1" ht="30.95" hidden="1" customHeight="1" x14ac:dyDescent="0.2">
      <c r="A890" s="35" t="s">
        <v>534</v>
      </c>
      <c r="B890" s="36" t="s">
        <v>445</v>
      </c>
      <c r="C890" s="43"/>
      <c r="D890" s="29"/>
      <c r="E890" s="29"/>
      <c r="F890" s="255"/>
      <c r="G890" s="256"/>
      <c r="H890" s="256"/>
      <c r="I890" s="200"/>
      <c r="J890" s="203" t="s">
        <v>448</v>
      </c>
      <c r="K890" s="200"/>
      <c r="L890" s="200"/>
      <c r="M890" s="37"/>
      <c r="N890" s="37"/>
      <c r="O890" s="153"/>
      <c r="P890" s="45"/>
      <c r="Q890" s="54"/>
      <c r="R890" s="257"/>
      <c r="S890" s="258"/>
      <c r="T890" s="258"/>
      <c r="U890" s="38"/>
      <c r="V890" s="259"/>
      <c r="W890" s="256"/>
      <c r="X890" s="256"/>
      <c r="Y890" s="256"/>
      <c r="Z890" s="256"/>
      <c r="AA890" s="54"/>
      <c r="AB890" s="200"/>
      <c r="AC890" s="31"/>
      <c r="AD890" s="184"/>
      <c r="AE890" s="51"/>
      <c r="AF890" s="52"/>
      <c r="AG890" s="41"/>
      <c r="AH890" s="45"/>
      <c r="AI890" s="28"/>
      <c r="AJ890" s="28"/>
      <c r="AK890" s="28"/>
      <c r="AL890" s="28"/>
      <c r="AM890" s="12"/>
      <c r="AN890" s="12"/>
      <c r="AO890" s="12"/>
      <c r="AP890" s="12"/>
      <c r="AQ890" s="12"/>
      <c r="AR890" s="13"/>
      <c r="AS890" s="14"/>
    </row>
    <row r="891" spans="1:45" s="16" customFormat="1" ht="30.95" hidden="1" customHeight="1" x14ac:dyDescent="0.2">
      <c r="A891" s="35"/>
      <c r="B891" s="36"/>
      <c r="C891" s="43"/>
      <c r="D891" s="29"/>
      <c r="E891" s="29"/>
      <c r="F891" s="255"/>
      <c r="G891" s="256"/>
      <c r="H891" s="256"/>
      <c r="I891" s="200"/>
      <c r="J891" s="203"/>
      <c r="K891" s="200"/>
      <c r="L891" s="200"/>
      <c r="M891" s="37"/>
      <c r="N891" s="37"/>
      <c r="O891" s="153"/>
      <c r="P891" s="45"/>
      <c r="Q891" s="54"/>
      <c r="R891" s="257"/>
      <c r="S891" s="258"/>
      <c r="T891" s="258"/>
      <c r="U891" s="38"/>
      <c r="V891" s="259"/>
      <c r="W891" s="256"/>
      <c r="X891" s="256"/>
      <c r="Y891" s="256"/>
      <c r="Z891" s="256"/>
      <c r="AA891" s="54"/>
      <c r="AB891" s="200"/>
      <c r="AC891" s="31"/>
      <c r="AD891" s="184"/>
      <c r="AE891" s="51"/>
      <c r="AF891" s="52"/>
      <c r="AG891" s="41"/>
      <c r="AH891" s="45"/>
      <c r="AI891" s="28"/>
      <c r="AJ891" s="28"/>
      <c r="AK891" s="28"/>
      <c r="AL891" s="28"/>
      <c r="AM891" s="12"/>
      <c r="AN891" s="12"/>
      <c r="AO891" s="12"/>
      <c r="AP891" s="12"/>
      <c r="AQ891" s="12"/>
      <c r="AR891" s="13"/>
      <c r="AS891" s="14"/>
    </row>
    <row r="892" spans="1:45" s="16" customFormat="1" ht="30.95" hidden="1" customHeight="1" x14ac:dyDescent="0.2">
      <c r="A892" s="35" t="s">
        <v>535</v>
      </c>
      <c r="B892" s="36" t="s">
        <v>446</v>
      </c>
      <c r="C892" s="43"/>
      <c r="D892" s="29"/>
      <c r="E892" s="29"/>
      <c r="F892" s="255"/>
      <c r="G892" s="256"/>
      <c r="H892" s="256"/>
      <c r="I892" s="200"/>
      <c r="J892" s="203" t="s">
        <v>448</v>
      </c>
      <c r="K892" s="200"/>
      <c r="L892" s="200"/>
      <c r="M892" s="37"/>
      <c r="N892" s="37"/>
      <c r="O892" s="153"/>
      <c r="P892" s="45"/>
      <c r="Q892" s="54"/>
      <c r="R892" s="257"/>
      <c r="S892" s="258"/>
      <c r="T892" s="258"/>
      <c r="U892" s="38"/>
      <c r="V892" s="259"/>
      <c r="W892" s="256"/>
      <c r="X892" s="256"/>
      <c r="Y892" s="256"/>
      <c r="Z892" s="256"/>
      <c r="AA892" s="54"/>
      <c r="AB892" s="200"/>
      <c r="AC892" s="31"/>
      <c r="AD892" s="184"/>
      <c r="AE892" s="51"/>
      <c r="AF892" s="52"/>
      <c r="AG892" s="41"/>
      <c r="AH892" s="45"/>
      <c r="AI892" s="28"/>
      <c r="AJ892" s="28"/>
      <c r="AK892" s="28"/>
      <c r="AL892" s="28"/>
      <c r="AM892" s="12"/>
      <c r="AN892" s="12"/>
      <c r="AO892" s="12"/>
      <c r="AP892" s="12"/>
      <c r="AQ892" s="12"/>
      <c r="AR892" s="13"/>
      <c r="AS892" s="14"/>
    </row>
    <row r="893" spans="1:45" s="16" customFormat="1" ht="30.95" hidden="1" customHeight="1" x14ac:dyDescent="0.2">
      <c r="A893" s="35"/>
      <c r="B893" s="36"/>
      <c r="C893" s="43"/>
      <c r="D893" s="29"/>
      <c r="E893" s="29"/>
      <c r="F893" s="255"/>
      <c r="G893" s="256"/>
      <c r="H893" s="256"/>
      <c r="I893" s="200"/>
      <c r="J893" s="203"/>
      <c r="K893" s="200"/>
      <c r="L893" s="200"/>
      <c r="M893" s="37"/>
      <c r="N893" s="37"/>
      <c r="O893" s="153"/>
      <c r="P893" s="45"/>
      <c r="Q893" s="54"/>
      <c r="R893" s="260"/>
      <c r="S893" s="258"/>
      <c r="T893" s="258"/>
      <c r="U893" s="38"/>
      <c r="V893" s="261"/>
      <c r="W893" s="256"/>
      <c r="X893" s="256"/>
      <c r="Y893" s="256"/>
      <c r="Z893" s="256"/>
      <c r="AA893" s="54"/>
      <c r="AB893" s="200"/>
      <c r="AC893" s="31"/>
      <c r="AD893" s="184"/>
      <c r="AE893" s="51"/>
      <c r="AF893" s="52"/>
      <c r="AG893" s="41"/>
      <c r="AH893" s="207"/>
      <c r="AI893" s="28"/>
      <c r="AJ893" s="28"/>
      <c r="AK893" s="28"/>
      <c r="AL893" s="28"/>
      <c r="AM893" s="12"/>
      <c r="AN893" s="12"/>
      <c r="AO893" s="12"/>
      <c r="AP893" s="12"/>
      <c r="AQ893" s="12"/>
      <c r="AR893" s="13"/>
      <c r="AS893" s="14"/>
    </row>
    <row r="894" spans="1:45" s="16" customFormat="1" ht="30.95" hidden="1" customHeight="1" x14ac:dyDescent="0.2">
      <c r="A894" s="35" t="s">
        <v>1347</v>
      </c>
      <c r="B894" s="36" t="s">
        <v>1348</v>
      </c>
      <c r="C894" s="43"/>
      <c r="D894" s="29">
        <v>3721221</v>
      </c>
      <c r="E894" s="29">
        <v>4161992</v>
      </c>
      <c r="F894" s="255" t="str">
        <f>IF(D894="","",VLOOKUP(D894,契約台帳!$A$3:$K$4986,6,FALSE)&amp;VLOOKUP(D894,契約台帳!$A$3:$K$4986,7,FALSE)&amp;VLOOKUP(D894,契約台帳!$A$3:$K$4986,8,FALSE)&amp;VLOOKUP(D894,契約台帳!$A$3:$K$4986,9,FALSE)&amp;VLOOKUP(D894,契約台帳!$A$3:$K$4986,11,FALSE))</f>
        <v>33SSNMCLBTEKV0V</v>
      </c>
      <c r="G894" s="256" t="str">
        <f>IF(D894="","",VLOOKUP(F894,製品マスタ!$G$5:$H$4999,2,FALSE))</f>
        <v>S</v>
      </c>
      <c r="H894" s="256" t="str">
        <f>IF(D894="","",VLOOKUP(F894,製品マスタ!$G$5:$K$4999,5,FALSE))</f>
        <v>TEKV0V</v>
      </c>
      <c r="I894" s="200" t="str">
        <f>IF(D894="","",VLOOKUP(F894,製品マスタ!$G$5:$L$4999,6,FALSE))</f>
        <v>メタルミー　ＴＥ－Ｓ消　ＶＯＩＤ　Ｖ</v>
      </c>
      <c r="J894" s="203" t="s">
        <v>935</v>
      </c>
      <c r="K894" s="200">
        <f>IF(D894="","",VLOOKUP(D894,契約台帳!$A$3:$L$4986,12,FALSE))</f>
        <v>50</v>
      </c>
      <c r="L894" s="200" t="str">
        <f>IF(D894="","",INDEX(製品マスタ!$Q$5:$Q$4999,MATCH('S4'!F894&amp;'S4'!K894,製品マスタ!$AO$5:$AO$4999,0)))</f>
        <v>X44SEPA</v>
      </c>
      <c r="M894" s="37">
        <v>1005</v>
      </c>
      <c r="N894" s="37">
        <v>4000</v>
      </c>
      <c r="O894" s="153">
        <v>12</v>
      </c>
      <c r="P894" s="45">
        <v>3</v>
      </c>
      <c r="Q894" s="206">
        <v>45141</v>
      </c>
      <c r="R894" s="257">
        <f ca="1">IF(D894="","",IF(OFFSET(D894,-1,0)&lt;&gt;"","",IF(OR(J894="リード付け",J894="巻足し",J894="巻返しリード付け"),M894,VLOOKUP(D894,契約台帳!$A$3:$N$4986,14,FALSE))))</f>
        <v>1005</v>
      </c>
      <c r="S894" s="258">
        <f ca="1">IF(D894="","",IF(OFFSET(D894,-1,0)&lt;&gt;"","",IF(OR(J894="リード付け",J894="巻足し",J894="巻返しリード付け"),M894,VLOOKUP(D894,契約台帳!$A$3:$O$4986,15,FALSE))))</f>
        <v>1005</v>
      </c>
      <c r="T894" s="258">
        <f ca="1">IF(D894="","",IF(J894="リード付け",N894,IF(J894="巻返しリード付け",N894,IF(J894="巻足し",N894*P894+OFFSET(N894,1,0)*OFFSET(P894,1,0),VLOOKUP(D894,契約台帳!$A$3:$P$4986,16,FALSE)))))</f>
        <v>12000</v>
      </c>
      <c r="U894" s="38">
        <v>4</v>
      </c>
      <c r="V894" s="259">
        <f ca="1">IF(D894="","",IF(OFFSET(D894,-2,0)=D894,"",VLOOKUP(D894,契約台帳!$A$3:$R$4986,18,FALSE)))</f>
        <v>12</v>
      </c>
      <c r="W894" s="256" t="str">
        <f ca="1">IF(D894="","",IF(T894="","",IF(OR(J894="巻足し",J894="巻返しリード付け"),"",IF(J894="巻返し",VLOOKUP(F894&amp;K894&amp;M894,製品マスタ!$M$5:$AD$4999,18,FALSE),IF(OR(J894="リード付け",J894="巻返しリード付け"),"原反コア",IF(J894="スリット",VLOOKUP(F894&amp;K894&amp;R894,製品マスタ!$N$5:$AD$4999,17,FALSE),""))))))</f>
        <v/>
      </c>
      <c r="X894" s="256" t="str">
        <f ca="1">IF(D894="","",IF(T894="","",IF(J894="巻足し","",IF(J894="巻返し",VLOOKUP(F894&amp;K894&amp;M894,製品マスタ!$M$5:$AE$4999,19,FALSE),IF(OR(J894="リード付け",J894="巻返しリード付け"),"",IF(J894="スリット",VLOOKUP(F894&amp;K894&amp;R894,製品マスタ!$N$5:$AE$4999,18,FALSE),""))))))</f>
        <v/>
      </c>
      <c r="Y894" s="256">
        <f ca="1">IF(D894="","",IF(T894="","",VLOOKUP(D894,契約台帳!$A$3:$Q$4986,17,FALSE)))</f>
        <v>2</v>
      </c>
      <c r="Z894" s="256" t="str">
        <f ca="1">IF(D894="","",IF(T894="","",VLOOKUP(D894,契約台帳!$A$3:$E$4986,5,FALSE)))</f>
        <v>リンテック㈱</v>
      </c>
      <c r="AA894" s="54"/>
      <c r="AB894" s="200">
        <f>IFERROR((VLOOKUP(F894&amp;K894&amp;M894,製品マスタ!$M$5:$AM$4999,27,FALSE)),"")</f>
        <v>0</v>
      </c>
      <c r="AC894" s="31"/>
      <c r="AD894" s="184"/>
      <c r="AE894" s="51"/>
      <c r="AF894" s="52">
        <f>+M894*N894*O894/1000</f>
        <v>48240</v>
      </c>
      <c r="AG894" s="41"/>
      <c r="AH894" s="45"/>
      <c r="AI894" s="28"/>
      <c r="AJ894" s="28"/>
      <c r="AK894" s="28"/>
      <c r="AL894" s="28"/>
      <c r="AM894" s="12"/>
      <c r="AN894" s="12"/>
      <c r="AO894" s="12"/>
      <c r="AP894" s="12"/>
      <c r="AQ894" s="12"/>
      <c r="AR894" s="13"/>
      <c r="AS894" s="14"/>
    </row>
    <row r="895" spans="1:45" s="16" customFormat="1" ht="30.95" hidden="1" customHeight="1" x14ac:dyDescent="0.2">
      <c r="A895" s="35"/>
      <c r="B895" s="36"/>
      <c r="C895" s="43"/>
      <c r="D895" s="29"/>
      <c r="E895" s="29"/>
      <c r="F895" s="255"/>
      <c r="G895" s="256"/>
      <c r="H895" s="256"/>
      <c r="I895" s="200"/>
      <c r="J895" s="203"/>
      <c r="K895" s="200"/>
      <c r="L895" s="200"/>
      <c r="M895" s="37"/>
      <c r="N895" s="37"/>
      <c r="O895" s="153"/>
      <c r="P895" s="45"/>
      <c r="Q895" s="54"/>
      <c r="R895" s="260"/>
      <c r="S895" s="258"/>
      <c r="T895" s="258"/>
      <c r="U895" s="38"/>
      <c r="V895" s="261"/>
      <c r="W895" s="256"/>
      <c r="X895" s="256"/>
      <c r="Y895" s="256"/>
      <c r="Z895" s="256"/>
      <c r="AA895" s="54"/>
      <c r="AB895" s="200"/>
      <c r="AC895" s="31"/>
      <c r="AD895" s="184"/>
      <c r="AE895" s="51"/>
      <c r="AF895" s="52"/>
      <c r="AG895" s="41"/>
      <c r="AH895" s="207"/>
      <c r="AI895" s="28"/>
      <c r="AJ895" s="28"/>
      <c r="AK895" s="28"/>
      <c r="AL895" s="28"/>
      <c r="AM895" s="12"/>
      <c r="AN895" s="12"/>
      <c r="AO895" s="12"/>
      <c r="AP895" s="12"/>
      <c r="AQ895" s="12"/>
      <c r="AR895" s="13"/>
      <c r="AS895" s="14"/>
    </row>
    <row r="896" spans="1:45" s="16" customFormat="1" ht="30.95" hidden="1" customHeight="1" x14ac:dyDescent="0.2">
      <c r="A896" s="35"/>
      <c r="B896" s="36"/>
      <c r="C896" s="43"/>
      <c r="D896" s="29">
        <v>3721222</v>
      </c>
      <c r="E896" s="29">
        <v>4161993</v>
      </c>
      <c r="F896" s="255" t="str">
        <f>IF(D896="","",VLOOKUP(D896,契約台帳!$A$3:$K$4986,6,FALSE)&amp;VLOOKUP(D896,契約台帳!$A$3:$K$4986,7,FALSE)&amp;VLOOKUP(D896,契約台帳!$A$3:$K$4986,8,FALSE)&amp;VLOOKUP(D896,契約台帳!$A$3:$K$4986,9,FALSE)&amp;VLOOKUP(D896,契約台帳!$A$3:$K$4986,11,FALSE))</f>
        <v>33SSNMCLBTETKFV</v>
      </c>
      <c r="G896" s="256" t="str">
        <f>IF(D896="","",VLOOKUP(F896,製品マスタ!$G$5:$H$4999,2,FALSE))</f>
        <v>S</v>
      </c>
      <c r="H896" s="256" t="str">
        <f>IF(D896="","",VLOOKUP(F896,製品マスタ!$G$5:$K$4999,5,FALSE))</f>
        <v>TETKFV</v>
      </c>
      <c r="I896" s="200" t="str">
        <f>IF(D896="","",VLOOKUP(F896,製品マスタ!$G$5:$L$4999,6,FALSE))</f>
        <v>メタルミー　ＴＥＳ艶開封　Ｖ</v>
      </c>
      <c r="J896" s="203" t="s">
        <v>935</v>
      </c>
      <c r="K896" s="200">
        <f>IF(D896="","",VLOOKUP(D896,契約台帳!$A$3:$L$4986,12,FALSE))</f>
        <v>50</v>
      </c>
      <c r="L896" s="200" t="str">
        <f>IF(D896="","",INDEX(製品マスタ!$Q$5:$Q$4999,MATCH('S4'!F896&amp;'S4'!K896,製品マスタ!$AO$5:$AO$4999,0)))</f>
        <v>S28SEPA</v>
      </c>
      <c r="M896" s="37">
        <v>1005</v>
      </c>
      <c r="N896" s="37">
        <v>4100</v>
      </c>
      <c r="O896" s="153">
        <v>6</v>
      </c>
      <c r="P896" s="45">
        <v>3</v>
      </c>
      <c r="Q896" s="206">
        <v>45141</v>
      </c>
      <c r="R896" s="257">
        <f ca="1">IF(D896="","",IF(OFFSET(D896,-1,0)&lt;&gt;"","",IF(OR(J896="リード付け",J896="巻足し",J896="巻返しリード付け"),M896,VLOOKUP(D896,契約台帳!$A$3:$N$4986,14,FALSE))))</f>
        <v>1005</v>
      </c>
      <c r="S896" s="258">
        <f ca="1">IF(D896="","",IF(OFFSET(D896,-1,0)&lt;&gt;"","",IF(OR(J896="リード付け",J896="巻足し",J896="巻返しリード付け"),M896,VLOOKUP(D896,契約台帳!$A$3:$O$4986,15,FALSE))))</f>
        <v>1005</v>
      </c>
      <c r="T896" s="258">
        <f ca="1">IF(D896="","",IF(J896="リード付け",N896,IF(J896="巻返しリード付け",N896,IF(J896="巻足し",N896*P896+OFFSET(N896,1,0)*OFFSET(P896,1,0),VLOOKUP(D896,契約台帳!$A$3:$P$4986,16,FALSE)))))</f>
        <v>12300</v>
      </c>
      <c r="U896" s="38">
        <v>2</v>
      </c>
      <c r="V896" s="259">
        <f ca="1">IF(D896="","",IF(OFFSET(D896,-2,0)=D896,"",VLOOKUP(D896,契約台帳!$A$3:$R$4986,18,FALSE)))</f>
        <v>6</v>
      </c>
      <c r="W896" s="256" t="str">
        <f ca="1">IF(D896="","",IF(T896="","",IF(OR(J896="巻足し",J896="巻返しリード付け"),"",IF(J896="巻返し",VLOOKUP(F896&amp;K896&amp;M896,製品マスタ!$M$5:$AD$4999,18,FALSE),IF(OR(J896="リード付け",J896="巻返しリード付け"),"原反コア",IF(J896="スリット",VLOOKUP(F896&amp;K896&amp;R896,製品マスタ!$N$5:$AD$4999,17,FALSE),""))))))</f>
        <v/>
      </c>
      <c r="X896" s="256" t="str">
        <f ca="1">IF(D896="","",IF(T896="","",IF(J896="巻足し","",IF(J896="巻返し",VLOOKUP(F896&amp;K896&amp;M896,製品マスタ!$M$5:$AE$4999,19,FALSE),IF(OR(J896="リード付け",J896="巻返しリード付け"),"",IF(J896="スリット",VLOOKUP(F896&amp;K896&amp;R896,製品マスタ!$N$5:$AE$4999,18,FALSE),""))))))</f>
        <v/>
      </c>
      <c r="Y896" s="256">
        <f ca="1">IF(D896="","",IF(T896="","",VLOOKUP(D896,契約台帳!$A$3:$Q$4986,17,FALSE)))</f>
        <v>2</v>
      </c>
      <c r="Z896" s="256" t="str">
        <f ca="1">IF(D896="","",IF(T896="","",VLOOKUP(D896,契約台帳!$A$3:$E$4986,5,FALSE)))</f>
        <v>リンテック㈱</v>
      </c>
      <c r="AA896" s="54"/>
      <c r="AB896" s="200">
        <f>IFERROR((VLOOKUP(F896&amp;K896&amp;M896,製品マスタ!$M$5:$AM$4999,27,FALSE)),"")</f>
        <v>0</v>
      </c>
      <c r="AC896" s="31"/>
      <c r="AD896" s="184"/>
      <c r="AE896" s="51"/>
      <c r="AF896" s="52">
        <f>+M896*N896*O896/1000</f>
        <v>24723</v>
      </c>
      <c r="AG896" s="41"/>
      <c r="AH896" s="45"/>
      <c r="AI896" s="28"/>
      <c r="AJ896" s="28"/>
      <c r="AK896" s="28"/>
      <c r="AL896" s="28"/>
      <c r="AM896" s="12"/>
      <c r="AN896" s="12"/>
      <c r="AO896" s="12"/>
      <c r="AP896" s="12"/>
      <c r="AQ896" s="12"/>
      <c r="AR896" s="13"/>
      <c r="AS896" s="14"/>
    </row>
    <row r="897" spans="1:45" s="16" customFormat="1" ht="30.95" hidden="1" customHeight="1" x14ac:dyDescent="0.2">
      <c r="A897" s="35"/>
      <c r="B897" s="36"/>
      <c r="C897" s="43"/>
      <c r="D897" s="29"/>
      <c r="E897" s="29"/>
      <c r="F897" s="255"/>
      <c r="G897" s="256"/>
      <c r="H897" s="256"/>
      <c r="I897" s="200"/>
      <c r="J897" s="203"/>
      <c r="K897" s="200"/>
      <c r="L897" s="200"/>
      <c r="M897" s="37"/>
      <c r="N897" s="37"/>
      <c r="O897" s="153"/>
      <c r="P897" s="45"/>
      <c r="Q897" s="54"/>
      <c r="R897" s="257"/>
      <c r="S897" s="258"/>
      <c r="T897" s="258"/>
      <c r="U897" s="38"/>
      <c r="V897" s="259"/>
      <c r="W897" s="256"/>
      <c r="X897" s="256"/>
      <c r="Y897" s="256"/>
      <c r="Z897" s="256"/>
      <c r="AA897" s="54"/>
      <c r="AB897" s="200"/>
      <c r="AC897" s="31"/>
      <c r="AD897" s="184"/>
      <c r="AE897" s="51"/>
      <c r="AF897" s="52"/>
      <c r="AG897" s="41"/>
      <c r="AH897" s="45"/>
      <c r="AI897" s="28"/>
      <c r="AJ897" s="28"/>
      <c r="AK897" s="28"/>
      <c r="AL897" s="28"/>
      <c r="AM897" s="12"/>
      <c r="AN897" s="12"/>
      <c r="AO897" s="12"/>
      <c r="AP897" s="12"/>
      <c r="AQ897" s="12"/>
      <c r="AR897" s="13"/>
      <c r="AS897" s="14"/>
    </row>
    <row r="898" spans="1:45" s="16" customFormat="1" ht="30.95" hidden="1" customHeight="1" x14ac:dyDescent="0.2">
      <c r="A898" s="35" t="s">
        <v>1349</v>
      </c>
      <c r="B898" s="36" t="s">
        <v>1338</v>
      </c>
      <c r="C898" s="43"/>
      <c r="D898" s="29">
        <v>3721205</v>
      </c>
      <c r="E898" s="29">
        <v>4161997</v>
      </c>
      <c r="F898" s="255" t="str">
        <f>IF(D898="","",VLOOKUP(D898,契約台帳!$A$3:$K$4986,6,FALSE)&amp;VLOOKUP(D898,契約台帳!$A$3:$K$4986,7,FALSE)&amp;VLOOKUP(D898,契約台帳!$A$3:$K$4986,8,FALSE)&amp;VLOOKUP(D898,契約台帳!$A$3:$K$4986,9,FALSE)&amp;VLOOKUP(D898,契約台帳!$A$3:$K$4986,11,FALSE))</f>
        <v>3SNMLBMNGKKBF</v>
      </c>
      <c r="G898" s="256" t="str">
        <f>IF(D898="","",VLOOKUP(F898,製品マスタ!$G$5:$H$4999,2,FALSE))</f>
        <v>S</v>
      </c>
      <c r="H898" s="256" t="str">
        <f>IF(D898="","",VLOOKUP(F898,製品マスタ!$G$5:$K$4999,5,FALSE))</f>
        <v>MNGKKBF</v>
      </c>
      <c r="I898" s="200" t="str">
        <f>IF(D898="","",VLOOKUP(F898,製品マスタ!$G$5:$L$4999,6,FALSE))</f>
        <v>メタルミー　ネーマー銀消改　Ｂ</v>
      </c>
      <c r="J898" s="203" t="s">
        <v>935</v>
      </c>
      <c r="K898" s="200">
        <f>IF(D898="","",VLOOKUP(D898,契約台帳!$A$3:$L$4986,12,FALSE))</f>
        <v>25</v>
      </c>
      <c r="L898" s="200" t="str">
        <f>IF(D898="","",INDEX(製品マスタ!$Q$5:$Q$4999,MATCH('S4'!F898&amp;'S4'!K898,製品マスタ!$AO$5:$AO$4999,0)))</f>
        <v>FMATS99</v>
      </c>
      <c r="M898" s="37">
        <v>1000</v>
      </c>
      <c r="N898" s="37">
        <v>4000</v>
      </c>
      <c r="O898" s="153">
        <v>3</v>
      </c>
      <c r="P898" s="45">
        <v>3</v>
      </c>
      <c r="Q898" s="206">
        <v>45142</v>
      </c>
      <c r="R898" s="257">
        <f ca="1">IF(D898="","",IF(OFFSET(D898,-1,0)&lt;&gt;"","",IF(OR(J898="リード付け",J898="巻足し",J898="巻返しリード付け"),M898,VLOOKUP(D898,契約台帳!$A$3:$N$4986,14,FALSE))))</f>
        <v>1000</v>
      </c>
      <c r="S898" s="258">
        <f ca="1">IF(D898="","",IF(OFFSET(D898,-1,0)&lt;&gt;"","",IF(OR(J898="リード付け",J898="巻足し",J898="巻返しリード付け"),M898,VLOOKUP(D898,契約台帳!$A$3:$O$4986,15,FALSE))))</f>
        <v>1000</v>
      </c>
      <c r="T898" s="258">
        <f ca="1">IF(D898="","",IF(J898="リード付け",N898,IF(J898="巻返しリード付け",N898,IF(J898="巻足し",N898*P898+OFFSET(N898,1,0)*OFFSET(P898,1,0),VLOOKUP(D898,契約台帳!$A$3:$P$4986,16,FALSE)))))</f>
        <v>12000</v>
      </c>
      <c r="U898" s="38">
        <v>1</v>
      </c>
      <c r="V898" s="259">
        <f ca="1">IF(D898="","",IF(OFFSET(D898,-2,0)=D898,"",VLOOKUP(D898,契約台帳!$A$3:$R$4986,18,FALSE)))</f>
        <v>3</v>
      </c>
      <c r="W898" s="256" t="str">
        <f ca="1">IF(D898="","",IF(T898="","",IF(OR(J898="巻足し",J898="巻返しリード付け"),"",IF(J898="巻返し",VLOOKUP(F898&amp;K898&amp;M898,製品マスタ!$M$5:$AD$4999,18,FALSE),IF(OR(J898="リード付け",J898="巻返しリード付け"),"原反コア",IF(J898="スリット",VLOOKUP(F898&amp;K898&amp;R898,製品マスタ!$N$5:$AD$4999,17,FALSE),""))))))</f>
        <v/>
      </c>
      <c r="X898" s="256" t="str">
        <f ca="1">IF(D898="","",IF(T898="","",IF(J898="巻足し","",IF(J898="巻返し",VLOOKUP(F898&amp;K898&amp;M898,製品マスタ!$M$5:$AE$4999,19,FALSE),IF(OR(J898="リード付け",J898="巻返しリード付け"),"",IF(J898="スリット",VLOOKUP(F898&amp;K898&amp;R898,製品マスタ!$N$5:$AE$4999,18,FALSE),""))))))</f>
        <v/>
      </c>
      <c r="Y898" s="256">
        <f ca="1">IF(D898="","",IF(T898="","",VLOOKUP(D898,契約台帳!$A$3:$Q$4986,17,FALSE)))</f>
        <v>2</v>
      </c>
      <c r="Z898" s="256" t="str">
        <f ca="1">IF(D898="","",IF(T898="","",VLOOKUP(D898,契約台帳!$A$3:$E$4986,5,FALSE)))</f>
        <v>リンテック㈱</v>
      </c>
      <c r="AA898" s="54"/>
      <c r="AB898" s="200">
        <f>IFERROR((VLOOKUP(F898&amp;K898&amp;M898,製品マスタ!$M$5:$AM$4999,27,FALSE)),"")</f>
        <v>0</v>
      </c>
      <c r="AC898" s="31"/>
      <c r="AD898" s="184"/>
      <c r="AE898" s="51"/>
      <c r="AF898" s="52"/>
      <c r="AG898" s="41"/>
      <c r="AH898" s="45"/>
      <c r="AI898" s="28"/>
      <c r="AJ898" s="28"/>
      <c r="AK898" s="28"/>
      <c r="AL898" s="28"/>
      <c r="AM898" s="12"/>
      <c r="AN898" s="12"/>
      <c r="AO898" s="12"/>
      <c r="AP898" s="12"/>
      <c r="AQ898" s="12"/>
      <c r="AR898" s="13"/>
      <c r="AS898" s="14"/>
    </row>
    <row r="899" spans="1:45" s="16" customFormat="1" ht="30.95" hidden="1" customHeight="1" x14ac:dyDescent="0.2">
      <c r="A899" s="35"/>
      <c r="B899" s="36"/>
      <c r="C899" s="43"/>
      <c r="D899" s="29"/>
      <c r="E899" s="29"/>
      <c r="F899" s="255"/>
      <c r="G899" s="256"/>
      <c r="H899" s="256"/>
      <c r="I899" s="200"/>
      <c r="J899" s="203"/>
      <c r="K899" s="200"/>
      <c r="L899" s="200"/>
      <c r="M899" s="37"/>
      <c r="N899" s="37"/>
      <c r="O899" s="153"/>
      <c r="P899" s="45"/>
      <c r="Q899" s="54"/>
      <c r="R899" s="260"/>
      <c r="S899" s="258"/>
      <c r="T899" s="258"/>
      <c r="U899" s="38"/>
      <c r="V899" s="261"/>
      <c r="W899" s="256"/>
      <c r="X899" s="256"/>
      <c r="Y899" s="256"/>
      <c r="Z899" s="256"/>
      <c r="AA899" s="54"/>
      <c r="AB899" s="200"/>
      <c r="AC899" s="31"/>
      <c r="AD899" s="184"/>
      <c r="AE899" s="51"/>
      <c r="AF899" s="52"/>
      <c r="AG899" s="41"/>
      <c r="AH899" s="207"/>
      <c r="AI899" s="28"/>
      <c r="AJ899" s="28"/>
      <c r="AK899" s="28"/>
      <c r="AL899" s="28"/>
      <c r="AM899" s="12"/>
      <c r="AN899" s="12"/>
      <c r="AO899" s="12"/>
      <c r="AP899" s="12"/>
      <c r="AQ899" s="12"/>
      <c r="AR899" s="13"/>
      <c r="AS899" s="14"/>
    </row>
    <row r="900" spans="1:45" s="16" customFormat="1" ht="30.95" hidden="1" customHeight="1" x14ac:dyDescent="0.2">
      <c r="A900" s="35"/>
      <c r="B900" s="36"/>
      <c r="C900" s="43"/>
      <c r="D900" s="29">
        <v>3721211</v>
      </c>
      <c r="E900" s="29">
        <v>4162012</v>
      </c>
      <c r="F900" s="255" t="str">
        <f>IF(D900="","",VLOOKUP(D900,契約台帳!$A$3:$K$4986,6,FALSE)&amp;VLOOKUP(D900,契約台帳!$A$3:$K$4986,7,FALSE)&amp;VLOOKUP(D900,契約台帳!$A$3:$K$4986,8,FALSE)&amp;VLOOKUP(D900,契約台帳!$A$3:$K$4986,9,FALSE)&amp;VLOOKUP(D900,契約台帳!$A$3:$K$4986,11,FALSE))</f>
        <v>3SNMCLBNGKVB</v>
      </c>
      <c r="G900" s="256" t="str">
        <f>IF(D900="","",VLOOKUP(F900,製品マスタ!$G$5:$H$4999,2,FALSE))</f>
        <v>S</v>
      </c>
      <c r="H900" s="256" t="str">
        <f>IF(D900="","",VLOOKUP(F900,製品マスタ!$G$5:$K$4999,5,FALSE))</f>
        <v>NGKVB</v>
      </c>
      <c r="I900" s="200" t="str">
        <f>IF(D900="","",VLOOKUP(F900,製品マスタ!$G$5:$L$4999,6,FALSE))</f>
        <v>メタルミー　ネーマー銀消　ＶＢ</v>
      </c>
      <c r="J900" s="203" t="s">
        <v>935</v>
      </c>
      <c r="K900" s="200">
        <f>IF(D900="","",VLOOKUP(D900,契約台帳!$A$3:$L$4986,12,FALSE))</f>
        <v>50</v>
      </c>
      <c r="L900" s="200" t="str">
        <f>IF(D900="","",INDEX(製品マスタ!$Q$5:$Q$4999,MATCH('S4'!F900&amp;'S4'!K900,製品マスタ!$AO$5:$AO$4999,0)))</f>
        <v>MAT</v>
      </c>
      <c r="M900" s="37">
        <v>1005</v>
      </c>
      <c r="N900" s="37">
        <v>4100</v>
      </c>
      <c r="O900" s="153">
        <v>3</v>
      </c>
      <c r="P900" s="45">
        <v>3</v>
      </c>
      <c r="Q900" s="206">
        <v>45145</v>
      </c>
      <c r="R900" s="257">
        <f ca="1">IF(D900="","",IF(OFFSET(D900,-1,0)&lt;&gt;"","",IF(OR(J900="リード付け",J900="巻足し",J900="巻返しリード付け"),M900,VLOOKUP(D900,契約台帳!$A$3:$N$4986,14,FALSE))))</f>
        <v>1005</v>
      </c>
      <c r="S900" s="258">
        <f ca="1">IF(D900="","",IF(OFFSET(D900,-1,0)&lt;&gt;"","",IF(OR(J900="リード付け",J900="巻足し",J900="巻返しリード付け"),M900,VLOOKUP(D900,契約台帳!$A$3:$O$4986,15,FALSE))))</f>
        <v>1005</v>
      </c>
      <c r="T900" s="258">
        <f ca="1">IF(D900="","",IF(J900="リード付け",N900,IF(J900="巻返しリード付け",N900,IF(J900="巻足し",N900*P900+OFFSET(N900,1,0)*OFFSET(P900,1,0),VLOOKUP(D900,契約台帳!$A$3:$P$4986,16,FALSE)))))</f>
        <v>12300</v>
      </c>
      <c r="U900" s="38">
        <v>1</v>
      </c>
      <c r="V900" s="259">
        <f ca="1">IF(D900="","",IF(OFFSET(D900,-2,0)=D900,"",VLOOKUP(D900,契約台帳!$A$3:$R$4986,18,FALSE)))</f>
        <v>3</v>
      </c>
      <c r="W900" s="256" t="str">
        <f ca="1">IF(D900="","",IF(T900="","",IF(OR(J900="巻足し",J900="巻返しリード付け"),"",IF(J900="巻返し",VLOOKUP(F900&amp;K900&amp;M900,製品マスタ!$M$5:$AD$4999,18,FALSE),IF(OR(J900="リード付け",J900="巻返しリード付け"),"原反コア",IF(J900="スリット",VLOOKUP(F900&amp;K900&amp;R900,製品マスタ!$N$5:$AD$4999,17,FALSE),""))))))</f>
        <v/>
      </c>
      <c r="X900" s="256" t="str">
        <f ca="1">IF(D900="","",IF(T900="","",IF(J900="巻足し","",IF(J900="巻返し",VLOOKUP(F900&amp;K900&amp;M900,製品マスタ!$M$5:$AE$4999,19,FALSE),IF(OR(J900="リード付け",J900="巻返しリード付け"),"",IF(J900="スリット",VLOOKUP(F900&amp;K900&amp;R900,製品マスタ!$N$5:$AE$4999,18,FALSE),""))))))</f>
        <v/>
      </c>
      <c r="Y900" s="256">
        <f ca="1">IF(D900="","",IF(T900="","",VLOOKUP(D900,契約台帳!$A$3:$Q$4986,17,FALSE)))</f>
        <v>2</v>
      </c>
      <c r="Z900" s="256" t="str">
        <f ca="1">IF(D900="","",IF(T900="","",VLOOKUP(D900,契約台帳!$A$3:$E$4986,5,FALSE)))</f>
        <v>リンテック㈱</v>
      </c>
      <c r="AA900" s="54"/>
      <c r="AB900" s="200">
        <f>IFERROR((VLOOKUP(F900&amp;K900&amp;M900,製品マスタ!$M$5:$AM$4999,27,FALSE)),"")</f>
        <v>0</v>
      </c>
      <c r="AC900" s="31"/>
      <c r="AD900" s="184"/>
      <c r="AE900" s="51"/>
      <c r="AF900" s="52"/>
      <c r="AG900" s="41"/>
      <c r="AH900" s="45"/>
      <c r="AI900" s="28"/>
      <c r="AJ900" s="28"/>
      <c r="AK900" s="28"/>
      <c r="AL900" s="28"/>
      <c r="AM900" s="12"/>
      <c r="AN900" s="12"/>
      <c r="AO900" s="12"/>
      <c r="AP900" s="12"/>
      <c r="AQ900" s="12"/>
      <c r="AR900" s="13"/>
      <c r="AS900" s="14"/>
    </row>
    <row r="901" spans="1:45" s="16" customFormat="1" ht="30.95" hidden="1" customHeight="1" x14ac:dyDescent="0.2">
      <c r="A901" s="35"/>
      <c r="B901" s="36"/>
      <c r="C901" s="43"/>
      <c r="D901" s="29"/>
      <c r="E901" s="29"/>
      <c r="F901" s="255"/>
      <c r="G901" s="256"/>
      <c r="H901" s="256"/>
      <c r="I901" s="200"/>
      <c r="J901" s="203"/>
      <c r="K901" s="200"/>
      <c r="L901" s="200"/>
      <c r="M901" s="37"/>
      <c r="N901" s="37"/>
      <c r="O901" s="153"/>
      <c r="P901" s="45"/>
      <c r="Q901" s="54"/>
      <c r="R901" s="260"/>
      <c r="S901" s="258"/>
      <c r="T901" s="258"/>
      <c r="U901" s="38"/>
      <c r="V901" s="261"/>
      <c r="W901" s="256"/>
      <c r="X901" s="256"/>
      <c r="Y901" s="256"/>
      <c r="Z901" s="256"/>
      <c r="AA901" s="54"/>
      <c r="AB901" s="200"/>
      <c r="AC901" s="31"/>
      <c r="AD901" s="184"/>
      <c r="AE901" s="51"/>
      <c r="AF901" s="52"/>
      <c r="AG901" s="41"/>
      <c r="AH901" s="207"/>
      <c r="AI901" s="28"/>
      <c r="AJ901" s="28"/>
      <c r="AK901" s="28"/>
      <c r="AL901" s="28"/>
      <c r="AM901" s="12"/>
      <c r="AN901" s="12"/>
      <c r="AO901" s="12"/>
      <c r="AP901" s="12"/>
      <c r="AQ901" s="12"/>
      <c r="AR901" s="13"/>
      <c r="AS901" s="14"/>
    </row>
    <row r="902" spans="1:45" s="16" customFormat="1" ht="30.95" hidden="1" customHeight="1" x14ac:dyDescent="0.2">
      <c r="A902" s="35"/>
      <c r="B902" s="36"/>
      <c r="C902" s="43"/>
      <c r="D902" s="29">
        <v>3721201</v>
      </c>
      <c r="E902" s="29">
        <v>4162010</v>
      </c>
      <c r="F902" s="255" t="str">
        <f>IF(D902="","",VLOOKUP(D902,契約台帳!$A$3:$K$4986,6,FALSE)&amp;VLOOKUP(D902,契約台帳!$A$3:$K$4986,7,FALSE)&amp;VLOOKUP(D902,契約台帳!$A$3:$K$4986,8,FALSE)&amp;VLOOKUP(D902,契約台帳!$A$3:$K$4986,9,FALSE)&amp;VLOOKUP(D902,契約台帳!$A$3:$K$4986,11,FALSE))</f>
        <v>3SNMCLBMSNEYK</v>
      </c>
      <c r="G902" s="256" t="str">
        <f>IF(D902="","",VLOOKUP(F902,製品マスタ!$G$5:$H$4999,2,FALSE))</f>
        <v>S</v>
      </c>
      <c r="H902" s="256" t="str">
        <f>IF(D902="","",VLOOKUP(F902,製品マスタ!$G$5:$K$4999,5,FALSE))</f>
        <v>MSNEYK</v>
      </c>
      <c r="I902" s="200" t="str">
        <f>IF(D902="","",VLOOKUP(F902,製品マスタ!$G$5:$L$4999,6,FALSE))</f>
        <v>ＭＳＮ　ＥＹＫ</v>
      </c>
      <c r="J902" s="203" t="s">
        <v>935</v>
      </c>
      <c r="K902" s="200">
        <f>IF(D902="","",VLOOKUP(D902,契約台帳!$A$3:$L$4986,12,FALSE))</f>
        <v>50</v>
      </c>
      <c r="L902" s="200" t="str">
        <f>IF(D902="","",INDEX(製品マスタ!$Q$5:$Q$4999,MATCH('S4'!F902&amp;'S4'!K902,製品マスタ!$AO$5:$AO$4999,0)))</f>
        <v>N-MAT</v>
      </c>
      <c r="M902" s="37">
        <v>1200</v>
      </c>
      <c r="N902" s="37">
        <v>6000</v>
      </c>
      <c r="O902" s="153">
        <v>4</v>
      </c>
      <c r="P902" s="45">
        <v>2</v>
      </c>
      <c r="Q902" s="206">
        <v>45142</v>
      </c>
      <c r="R902" s="257">
        <f ca="1">IF(D902="","",IF(OFFSET(D902,-1,0)&lt;&gt;"","",IF(OR(J902="リード付け",J902="巻足し",J902="巻返しリード付け"),M902,VLOOKUP(D902,契約台帳!$A$3:$N$4986,14,FALSE))))</f>
        <v>1200</v>
      </c>
      <c r="S902" s="258">
        <f ca="1">IF(D902="","",IF(OFFSET(D902,-1,0)&lt;&gt;"","",IF(OR(J902="リード付け",J902="巻足し",J902="巻返しリード付け"),M902,VLOOKUP(D902,契約台帳!$A$3:$O$4986,15,FALSE))))</f>
        <v>1200</v>
      </c>
      <c r="T902" s="258">
        <f ca="1">IF(D902="","",IF(J902="リード付け",N902,IF(J902="巻返しリード付け",N902,IF(J902="巻足し",N902*P902+OFFSET(N902,1,0)*OFFSET(P902,1,0),VLOOKUP(D902,契約台帳!$A$3:$P$4986,16,FALSE)))))</f>
        <v>12000</v>
      </c>
      <c r="U902" s="38">
        <v>2</v>
      </c>
      <c r="V902" s="259">
        <f ca="1">IF(D902="","",IF(OFFSET(D902,-2,0)=D902,"",VLOOKUP(D902,契約台帳!$A$3:$R$4986,18,FALSE)))</f>
        <v>4</v>
      </c>
      <c r="W902" s="256" t="str">
        <f ca="1">IF(D902="","",IF(T902="","",IF(OR(J902="巻足し",J902="巻返しリード付け"),"",IF(J902="巻返し",VLOOKUP(F902&amp;K902&amp;M902,製品マスタ!$M$5:$AD$4999,18,FALSE),IF(OR(J902="リード付け",J902="巻返しリード付け"),"原反コア",IF(J902="スリット",VLOOKUP(F902&amp;K902&amp;R902,製品マスタ!$N$5:$AD$4999,17,FALSE),""))))))</f>
        <v/>
      </c>
      <c r="X902" s="256" t="str">
        <f ca="1">IF(D902="","",IF(T902="","",IF(J902="巻足し","",IF(J902="巻返し",VLOOKUP(F902&amp;K902&amp;M902,製品マスタ!$M$5:$AE$4999,19,FALSE),IF(OR(J902="リード付け",J902="巻返しリード付け"),"",IF(J902="スリット",VLOOKUP(F902&amp;K902&amp;R902,製品マスタ!$N$5:$AE$4999,18,FALSE),""))))))</f>
        <v/>
      </c>
      <c r="Y902" s="256">
        <f ca="1">IF(D902="","",IF(T902="","",VLOOKUP(D902,契約台帳!$A$3:$Q$4986,17,FALSE)))</f>
        <v>2</v>
      </c>
      <c r="Z902" s="256" t="str">
        <f ca="1">IF(D902="","",IF(T902="","",VLOOKUP(D902,契約台帳!$A$3:$E$4986,5,FALSE)))</f>
        <v>大阪シーリング印刷㈱</v>
      </c>
      <c r="AA902" s="54"/>
      <c r="AB902" s="200" t="str">
        <f>IFERROR((VLOOKUP(F902&amp;K902&amp;M902,製品マスタ!$M$5:$AM$4999,27,FALSE)),"")</f>
        <v>原反ケース再利用</v>
      </c>
      <c r="AC902" s="31"/>
      <c r="AD902" s="184"/>
      <c r="AE902" s="51"/>
      <c r="AF902" s="52"/>
      <c r="AG902" s="41"/>
      <c r="AH902" s="207"/>
      <c r="AI902" s="28"/>
      <c r="AJ902" s="28"/>
      <c r="AK902" s="28"/>
      <c r="AL902" s="28"/>
      <c r="AM902" s="12"/>
      <c r="AN902" s="12"/>
      <c r="AO902" s="12"/>
      <c r="AP902" s="12"/>
      <c r="AQ902" s="12"/>
      <c r="AR902" s="13"/>
      <c r="AS902" s="14"/>
    </row>
    <row r="903" spans="1:45" s="16" customFormat="1" ht="30.95" hidden="1" customHeight="1" x14ac:dyDescent="0.2">
      <c r="A903" s="35"/>
      <c r="B903" s="36"/>
      <c r="C903" s="43"/>
      <c r="D903" s="29"/>
      <c r="E903" s="29"/>
      <c r="F903" s="255"/>
      <c r="G903" s="256"/>
      <c r="H903" s="256"/>
      <c r="I903" s="200"/>
      <c r="J903" s="203"/>
      <c r="K903" s="200"/>
      <c r="L903" s="200"/>
      <c r="M903" s="37"/>
      <c r="N903" s="37"/>
      <c r="O903" s="153"/>
      <c r="P903" s="45"/>
      <c r="Q903" s="54"/>
      <c r="R903" s="260"/>
      <c r="S903" s="258"/>
      <c r="T903" s="258"/>
      <c r="U903" s="38"/>
      <c r="V903" s="261"/>
      <c r="W903" s="256"/>
      <c r="X903" s="256"/>
      <c r="Y903" s="256"/>
      <c r="Z903" s="256"/>
      <c r="AA903" s="54"/>
      <c r="AB903" s="200"/>
      <c r="AC903" s="31"/>
      <c r="AD903" s="184"/>
      <c r="AE903" s="51"/>
      <c r="AF903" s="52"/>
      <c r="AG903" s="41"/>
      <c r="AH903" s="207"/>
      <c r="AI903" s="28"/>
      <c r="AJ903" s="28"/>
      <c r="AK903" s="28"/>
      <c r="AL903" s="28"/>
      <c r="AM903" s="12"/>
      <c r="AN903" s="12"/>
      <c r="AO903" s="12"/>
      <c r="AP903" s="12"/>
      <c r="AQ903" s="12"/>
      <c r="AR903" s="13"/>
      <c r="AS903" s="14"/>
    </row>
    <row r="904" spans="1:45" s="16" customFormat="1" ht="30.95" hidden="1" customHeight="1" x14ac:dyDescent="0.2">
      <c r="A904" s="35" t="s">
        <v>1350</v>
      </c>
      <c r="B904" s="36" t="s">
        <v>1340</v>
      </c>
      <c r="C904" s="43"/>
      <c r="D904" s="29"/>
      <c r="E904" s="29"/>
      <c r="F904" s="255"/>
      <c r="G904" s="256"/>
      <c r="H904" s="256"/>
      <c r="I904" s="200"/>
      <c r="J904" s="203"/>
      <c r="K904" s="200"/>
      <c r="L904" s="200"/>
      <c r="M904" s="37"/>
      <c r="N904" s="37"/>
      <c r="O904" s="153"/>
      <c r="P904" s="45"/>
      <c r="Q904" s="54"/>
      <c r="R904" s="260"/>
      <c r="S904" s="258"/>
      <c r="T904" s="258"/>
      <c r="U904" s="38"/>
      <c r="V904" s="261"/>
      <c r="W904" s="256"/>
      <c r="X904" s="256"/>
      <c r="Y904" s="256"/>
      <c r="Z904" s="256"/>
      <c r="AA904" s="54"/>
      <c r="AB904" s="200"/>
      <c r="AC904" s="31"/>
      <c r="AD904" s="184"/>
      <c r="AE904" s="51"/>
      <c r="AF904" s="52"/>
      <c r="AG904" s="41"/>
      <c r="AH904" s="207"/>
      <c r="AI904" s="28"/>
      <c r="AJ904" s="28"/>
      <c r="AK904" s="28"/>
      <c r="AL904" s="28"/>
      <c r="AM904" s="12"/>
      <c r="AN904" s="12"/>
      <c r="AO904" s="12"/>
      <c r="AP904" s="12"/>
      <c r="AQ904" s="12"/>
      <c r="AR904" s="13"/>
      <c r="AS904" s="14"/>
    </row>
    <row r="905" spans="1:45" s="16" customFormat="1" ht="30.95" hidden="1" customHeight="1" x14ac:dyDescent="0.2">
      <c r="A905" s="35"/>
      <c r="B905" s="36"/>
      <c r="C905" s="43"/>
      <c r="D905" s="29"/>
      <c r="E905" s="29"/>
      <c r="F905" s="255"/>
      <c r="G905" s="256"/>
      <c r="H905" s="256"/>
      <c r="I905" s="200"/>
      <c r="J905" s="203"/>
      <c r="K905" s="200"/>
      <c r="L905" s="200"/>
      <c r="M905" s="37"/>
      <c r="N905" s="37"/>
      <c r="O905" s="153"/>
      <c r="P905" s="45"/>
      <c r="Q905" s="54"/>
      <c r="R905" s="260"/>
      <c r="S905" s="258"/>
      <c r="T905" s="258"/>
      <c r="U905" s="38"/>
      <c r="V905" s="261"/>
      <c r="W905" s="256"/>
      <c r="X905" s="256"/>
      <c r="Y905" s="256"/>
      <c r="Z905" s="256"/>
      <c r="AA905" s="54"/>
      <c r="AB905" s="200"/>
      <c r="AC905" s="31"/>
      <c r="AD905" s="184"/>
      <c r="AE905" s="51"/>
      <c r="AF905" s="52"/>
      <c r="AG905" s="41"/>
      <c r="AH905" s="207"/>
      <c r="AI905" s="28"/>
      <c r="AJ905" s="28"/>
      <c r="AK905" s="28"/>
      <c r="AL905" s="28"/>
      <c r="AM905" s="12"/>
      <c r="AN905" s="12"/>
      <c r="AO905" s="12"/>
      <c r="AP905" s="12"/>
      <c r="AQ905" s="12"/>
      <c r="AR905" s="13"/>
      <c r="AS905" s="14"/>
    </row>
    <row r="906" spans="1:45" s="16" customFormat="1" ht="30.95" hidden="1" customHeight="1" x14ac:dyDescent="0.2">
      <c r="A906" s="35" t="s">
        <v>1351</v>
      </c>
      <c r="B906" s="36" t="s">
        <v>1342</v>
      </c>
      <c r="C906" s="43"/>
      <c r="D906" s="29">
        <v>3721208</v>
      </c>
      <c r="E906" s="29">
        <v>4162000</v>
      </c>
      <c r="F906" s="255" t="str">
        <f>IF(D906="","",VLOOKUP(D906,契約台帳!$A$3:$K$4986,6,FALSE)&amp;VLOOKUP(D906,契約台帳!$A$3:$K$4986,7,FALSE)&amp;VLOOKUP(D906,契約台帳!$A$3:$K$4986,8,FALSE)&amp;VLOOKUP(D906,契約台帳!$A$3:$K$4986,9,FALSE)&amp;VLOOKUP(D906,契約台帳!$A$3:$K$4986,11,FALSE))</f>
        <v>3SNMLBMNGKKBF</v>
      </c>
      <c r="G906" s="256" t="str">
        <f>IF(D906="","",VLOOKUP(F906,製品マスタ!$G$5:$H$4999,2,FALSE))</f>
        <v>S</v>
      </c>
      <c r="H906" s="256" t="str">
        <f>IF(D906="","",VLOOKUP(F906,製品マスタ!$G$5:$K$4999,5,FALSE))</f>
        <v>MNGKKBF</v>
      </c>
      <c r="I906" s="200" t="str">
        <f>IF(D906="","",VLOOKUP(F906,製品マスタ!$G$5:$L$4999,6,FALSE))</f>
        <v>メタルミー　ネーマー銀消改　Ｂ</v>
      </c>
      <c r="J906" s="203" t="s">
        <v>935</v>
      </c>
      <c r="K906" s="200">
        <f>IF(D906="","",VLOOKUP(D906,契約台帳!$A$3:$L$4986,12,FALSE))</f>
        <v>50</v>
      </c>
      <c r="L906" s="200" t="str">
        <f>IF(D906="","",INDEX(製品マスタ!$Q$5:$Q$4999,MATCH('S4'!F906&amp;'S4'!K906,製品マスタ!$AO$5:$AO$4999,0)))</f>
        <v>S99-MAT</v>
      </c>
      <c r="M906" s="37">
        <v>1120</v>
      </c>
      <c r="N906" s="37">
        <v>4000</v>
      </c>
      <c r="O906" s="153">
        <v>15</v>
      </c>
      <c r="P906" s="45">
        <v>3</v>
      </c>
      <c r="Q906" s="206">
        <v>45148</v>
      </c>
      <c r="R906" s="257">
        <f ca="1">IF(D906="","",IF(OFFSET(D906,-1,0)&lt;&gt;"","",IF(OR(J906="リード付け",J906="巻足し",J906="巻返しリード付け"),M906,VLOOKUP(D906,契約台帳!$A$3:$N$4986,14,FALSE))))</f>
        <v>1120</v>
      </c>
      <c r="S906" s="258">
        <f ca="1">IF(D906="","",IF(OFFSET(D906,-1,0)&lt;&gt;"","",IF(OR(J906="リード付け",J906="巻足し",J906="巻返しリード付け"),M906,VLOOKUP(D906,契約台帳!$A$3:$O$4986,15,FALSE))))</f>
        <v>1120</v>
      </c>
      <c r="T906" s="258">
        <f ca="1">IF(D906="","",IF(J906="リード付け",N906,IF(J906="巻返しリード付け",N906,IF(J906="巻足し",N906*P906+OFFSET(N906,1,0)*OFFSET(P906,1,0),VLOOKUP(D906,契約台帳!$A$3:$P$4986,16,FALSE)))))</f>
        <v>12000</v>
      </c>
      <c r="U906" s="38">
        <v>5</v>
      </c>
      <c r="V906" s="259">
        <f ca="1">IF(D906="","",IF(OFFSET(D906,-2,0)=D906,"",VLOOKUP(D906,契約台帳!$A$3:$R$4986,18,FALSE)))</f>
        <v>20</v>
      </c>
      <c r="W906" s="256" t="str">
        <f ca="1">IF(D906="","",IF(T906="","",IF(OR(J906="巻足し",J906="巻返しリード付け"),"",IF(J906="巻返し",VLOOKUP(F906&amp;K906&amp;M906,製品マスタ!$M$5:$AD$4999,18,FALSE),IF(OR(J906="リード付け",J906="巻返しリード付け"),"原反コア",IF(J906="スリット",VLOOKUP(F906&amp;K906&amp;R906,製品マスタ!$N$5:$AD$4999,17,FALSE),""))))))</f>
        <v/>
      </c>
      <c r="X906" s="256" t="str">
        <f ca="1">IF(D906="","",IF(T906="","",IF(J906="巻足し","",IF(J906="巻返し",VLOOKUP(F906&amp;K906&amp;M906,製品マスタ!$M$5:$AE$4999,19,FALSE),IF(OR(J906="リード付け",J906="巻返しリード付け"),"",IF(J906="スリット",VLOOKUP(F906&amp;K906&amp;R906,製品マスタ!$N$5:$AE$4999,18,FALSE),""))))))</f>
        <v/>
      </c>
      <c r="Y906" s="256">
        <f ca="1">IF(D906="","",IF(T906="","",VLOOKUP(D906,契約台帳!$A$3:$Q$4986,17,FALSE)))</f>
        <v>2</v>
      </c>
      <c r="Z906" s="256" t="str">
        <f ca="1">IF(D906="","",IF(T906="","",VLOOKUP(D906,契約台帳!$A$3:$E$4986,5,FALSE)))</f>
        <v>リンテック㈱</v>
      </c>
      <c r="AA906" s="54"/>
      <c r="AB906" s="200"/>
      <c r="AC906" s="31"/>
      <c r="AD906" s="184"/>
      <c r="AE906" s="51"/>
      <c r="AF906" s="52"/>
      <c r="AG906" s="41"/>
      <c r="AH906" s="207"/>
      <c r="AI906" s="28"/>
      <c r="AJ906" s="28"/>
      <c r="AK906" s="28"/>
      <c r="AL906" s="28"/>
      <c r="AM906" s="12"/>
      <c r="AN906" s="12"/>
      <c r="AO906" s="12"/>
      <c r="AP906" s="12"/>
      <c r="AQ906" s="12"/>
      <c r="AR906" s="13"/>
      <c r="AS906" s="14"/>
    </row>
    <row r="907" spans="1:45" s="16" customFormat="1" ht="30.95" hidden="1" customHeight="1" x14ac:dyDescent="0.2">
      <c r="A907" s="35"/>
      <c r="B907" s="36"/>
      <c r="C907" s="43"/>
      <c r="D907" s="29"/>
      <c r="E907" s="29"/>
      <c r="F907" s="255"/>
      <c r="G907" s="256"/>
      <c r="H907" s="256"/>
      <c r="I907" s="200"/>
      <c r="J907" s="203"/>
      <c r="K907" s="200"/>
      <c r="L907" s="200"/>
      <c r="M907" s="37"/>
      <c r="N907" s="37"/>
      <c r="O907" s="153"/>
      <c r="P907" s="45"/>
      <c r="Q907" s="54"/>
      <c r="R907" s="257"/>
      <c r="S907" s="258"/>
      <c r="T907" s="258"/>
      <c r="U907" s="38"/>
      <c r="V907" s="259"/>
      <c r="W907" s="256"/>
      <c r="X907" s="256"/>
      <c r="Y907" s="256"/>
      <c r="Z907" s="256"/>
      <c r="AA907" s="54"/>
      <c r="AB907" s="200"/>
      <c r="AC907" s="31"/>
      <c r="AD907" s="184"/>
      <c r="AE907" s="51"/>
      <c r="AF907" s="52"/>
      <c r="AG907" s="41"/>
      <c r="AH907" s="207"/>
      <c r="AI907" s="28"/>
      <c r="AJ907" s="28"/>
      <c r="AK907" s="28"/>
      <c r="AL907" s="28"/>
      <c r="AM907" s="12"/>
      <c r="AN907" s="12"/>
      <c r="AO907" s="12"/>
      <c r="AP907" s="12"/>
      <c r="AQ907" s="12"/>
      <c r="AR907" s="13"/>
      <c r="AS907" s="14"/>
    </row>
    <row r="908" spans="1:45" s="16" customFormat="1" ht="30.95" hidden="1" customHeight="1" x14ac:dyDescent="0.2">
      <c r="A908" s="35" t="s">
        <v>1352</v>
      </c>
      <c r="B908" s="36" t="s">
        <v>1344</v>
      </c>
      <c r="C908" s="43"/>
      <c r="D908" s="29">
        <v>3721208</v>
      </c>
      <c r="E908" s="29">
        <v>4162000</v>
      </c>
      <c r="F908" s="255" t="str">
        <f>IF(D908="","",VLOOKUP(D908,契約台帳!$A$3:$K$4986,6,FALSE)&amp;VLOOKUP(D908,契約台帳!$A$3:$K$4986,7,FALSE)&amp;VLOOKUP(D908,契約台帳!$A$3:$K$4986,8,FALSE)&amp;VLOOKUP(D908,契約台帳!$A$3:$K$4986,9,FALSE)&amp;VLOOKUP(D908,契約台帳!$A$3:$K$4986,11,FALSE))</f>
        <v>3SNMLBMNGKKBF</v>
      </c>
      <c r="G908" s="256" t="str">
        <f>IF(D908="","",VLOOKUP(F908,製品マスタ!$G$5:$H$4999,2,FALSE))</f>
        <v>S</v>
      </c>
      <c r="H908" s="256" t="str">
        <f>IF(D908="","",VLOOKUP(F908,製品マスタ!$G$5:$K$4999,5,FALSE))</f>
        <v>MNGKKBF</v>
      </c>
      <c r="I908" s="200" t="str">
        <f>IF(D908="","",VLOOKUP(F908,製品マスタ!$G$5:$L$4999,6,FALSE))</f>
        <v>メタルミー　ネーマー銀消改　Ｂ</v>
      </c>
      <c r="J908" s="203" t="s">
        <v>935</v>
      </c>
      <c r="K908" s="200">
        <f>IF(D908="","",VLOOKUP(D908,契約台帳!$A$3:$L$4986,12,FALSE))</f>
        <v>50</v>
      </c>
      <c r="L908" s="200" t="str">
        <f>IF(D908="","",INDEX(製品マスタ!$Q$5:$Q$4999,MATCH('S4'!F908&amp;'S4'!K908,製品マスタ!$AO$5:$AO$4999,0)))</f>
        <v>S99-MAT</v>
      </c>
      <c r="M908" s="37">
        <v>1120</v>
      </c>
      <c r="N908" s="37">
        <v>4000</v>
      </c>
      <c r="O908" s="153">
        <v>3</v>
      </c>
      <c r="P908" s="45">
        <v>3</v>
      </c>
      <c r="Q908" s="206">
        <v>45148</v>
      </c>
      <c r="R908" s="257">
        <f ca="1">IF(D908="","",IF(OFFSET(D908,-1,0)&lt;&gt;"","",IF(OR(J908="リード付け",J908="巻足し",J908="巻返しリード付け"),M908,VLOOKUP(D908,契約台帳!$A$3:$N$4986,14,FALSE))))</f>
        <v>1120</v>
      </c>
      <c r="S908" s="258">
        <f ca="1">IF(D908="","",IF(OFFSET(D908,-1,0)&lt;&gt;"","",IF(OR(J908="リード付け",J908="巻足し",J908="巻返しリード付け"),M908,VLOOKUP(D908,契約台帳!$A$3:$O$4986,15,FALSE))))</f>
        <v>1120</v>
      </c>
      <c r="T908" s="258">
        <f ca="1">IF(D908="","",IF(J908="リード付け",N908,IF(J908="巻返しリード付け",N908,IF(J908="巻足し",N908*P908+OFFSET(N908,1,0)*OFFSET(P908,1,0),VLOOKUP(D908,契約台帳!$A$3:$P$4986,16,FALSE)))))</f>
        <v>12000</v>
      </c>
      <c r="U908" s="38">
        <v>1</v>
      </c>
      <c r="V908" s="259" t="str">
        <f ca="1">IF(D908="","",IF(OFFSET(D908,-2,0)=D908,"",VLOOKUP(D908,契約台帳!$A$3:$R$4986,18,FALSE)))</f>
        <v/>
      </c>
      <c r="W908" s="256" t="str">
        <f ca="1">IF(D908="","",IF(T908="","",IF(OR(J908="巻足し",J908="巻返しリード付け"),"",IF(J908="巻返し",VLOOKUP(F908&amp;K908&amp;M908,製品マスタ!$M$5:$AD$4999,18,FALSE),IF(OR(J908="リード付け",J908="巻返しリード付け"),"原反コア",IF(J908="スリット",VLOOKUP(F908&amp;K908&amp;R908,製品マスタ!$N$5:$AD$4999,17,FALSE),""))))))</f>
        <v/>
      </c>
      <c r="X908" s="256" t="str">
        <f ca="1">IF(D908="","",IF(T908="","",IF(J908="巻足し","",IF(J908="巻返し",VLOOKUP(F908&amp;K908&amp;M908,製品マスタ!$M$5:$AE$4999,19,FALSE),IF(OR(J908="リード付け",J908="巻返しリード付け"),"",IF(J908="スリット",VLOOKUP(F908&amp;K908&amp;R908,製品マスタ!$N$5:$AE$4999,18,FALSE),""))))))</f>
        <v/>
      </c>
      <c r="Y908" s="256">
        <f ca="1">IF(D908="","",IF(T908="","",VLOOKUP(D908,契約台帳!$A$3:$Q$4986,17,FALSE)))</f>
        <v>2</v>
      </c>
      <c r="Z908" s="256" t="str">
        <f ca="1">IF(D908="","",IF(T908="","",VLOOKUP(D908,契約台帳!$A$3:$E$4986,5,FALSE)))</f>
        <v>リンテック㈱</v>
      </c>
      <c r="AA908" s="54"/>
      <c r="AB908" s="200"/>
      <c r="AC908" s="31"/>
      <c r="AD908" s="184"/>
      <c r="AE908" s="51"/>
      <c r="AF908" s="52"/>
      <c r="AG908" s="41"/>
      <c r="AH908" s="207"/>
      <c r="AI908" s="28"/>
      <c r="AJ908" s="28"/>
      <c r="AK908" s="28"/>
      <c r="AL908" s="28"/>
      <c r="AM908" s="12"/>
      <c r="AN908" s="12"/>
      <c r="AO908" s="12"/>
      <c r="AP908" s="12"/>
      <c r="AQ908" s="12"/>
      <c r="AR908" s="13"/>
      <c r="AS908" s="14"/>
    </row>
    <row r="909" spans="1:45" s="16" customFormat="1" ht="30.95" hidden="1" customHeight="1" x14ac:dyDescent="0.2">
      <c r="A909" s="35"/>
      <c r="B909" s="36"/>
      <c r="C909" s="43"/>
      <c r="D909" s="29"/>
      <c r="E909" s="29"/>
      <c r="F909" s="255"/>
      <c r="G909" s="256"/>
      <c r="H909" s="256"/>
      <c r="I909" s="200"/>
      <c r="J909" s="203"/>
      <c r="K909" s="200"/>
      <c r="L909" s="200"/>
      <c r="M909" s="37"/>
      <c r="N909" s="37"/>
      <c r="O909" s="153"/>
      <c r="P909" s="45"/>
      <c r="Q909" s="54"/>
      <c r="R909" s="257"/>
      <c r="S909" s="258"/>
      <c r="T909" s="258"/>
      <c r="U909" s="38"/>
      <c r="V909" s="259"/>
      <c r="W909" s="256"/>
      <c r="X909" s="256"/>
      <c r="Y909" s="256"/>
      <c r="Z909" s="256"/>
      <c r="AA909" s="54"/>
      <c r="AB909" s="200"/>
      <c r="AC909" s="31"/>
      <c r="AD909" s="184"/>
      <c r="AE909" s="51"/>
      <c r="AF909" s="52"/>
      <c r="AG909" s="41"/>
      <c r="AH909" s="207"/>
      <c r="AI909" s="28"/>
      <c r="AJ909" s="28"/>
      <c r="AK909" s="28"/>
      <c r="AL909" s="28"/>
      <c r="AM909" s="12"/>
      <c r="AN909" s="12"/>
      <c r="AO909" s="12"/>
      <c r="AP909" s="12"/>
      <c r="AQ909" s="12"/>
      <c r="AR909" s="13"/>
      <c r="AS909" s="14"/>
    </row>
    <row r="910" spans="1:45" s="16" customFormat="1" ht="30.95" hidden="1" customHeight="1" x14ac:dyDescent="0.2">
      <c r="A910" s="35"/>
      <c r="B910" s="36"/>
      <c r="C910" s="43"/>
      <c r="D910" s="29">
        <v>3721208</v>
      </c>
      <c r="E910" s="29">
        <v>4162000</v>
      </c>
      <c r="F910" s="255" t="str">
        <f>IF(D910="","",VLOOKUP(D910,契約台帳!$A$3:$K$4986,6,FALSE)&amp;VLOOKUP(D910,契約台帳!$A$3:$K$4986,7,FALSE)&amp;VLOOKUP(D910,契約台帳!$A$3:$K$4986,8,FALSE)&amp;VLOOKUP(D910,契約台帳!$A$3:$K$4986,9,FALSE)&amp;VLOOKUP(D910,契約台帳!$A$3:$K$4986,11,FALSE))</f>
        <v>3SNMLBMNGKKBF</v>
      </c>
      <c r="G910" s="256" t="str">
        <f>IF(D910="","",VLOOKUP(F910,製品マスタ!$G$5:$H$4999,2,FALSE))</f>
        <v>S</v>
      </c>
      <c r="H910" s="256" t="str">
        <f>IF(D910="","",VLOOKUP(F910,製品マスタ!$G$5:$K$4999,5,FALSE))</f>
        <v>MNGKKBF</v>
      </c>
      <c r="I910" s="200" t="str">
        <f>IF(D910="","",VLOOKUP(F910,製品マスタ!$G$5:$L$4999,6,FALSE))</f>
        <v>メタルミー　ネーマー銀消改　Ｂ</v>
      </c>
      <c r="J910" s="203" t="s">
        <v>935</v>
      </c>
      <c r="K910" s="200">
        <f>IF(D910="","",VLOOKUP(D910,契約台帳!$A$3:$L$4986,12,FALSE))</f>
        <v>50</v>
      </c>
      <c r="L910" s="200" t="str">
        <f>IF(D910="","",INDEX(製品マスタ!$Q$5:$Q$4999,MATCH('S4'!F910&amp;'S4'!K910,製品マスタ!$AO$5:$AO$4999,0)))</f>
        <v>S99-MAT</v>
      </c>
      <c r="M910" s="37">
        <v>1120</v>
      </c>
      <c r="N910" s="37">
        <v>4000</v>
      </c>
      <c r="O910" s="153">
        <v>2</v>
      </c>
      <c r="P910" s="45">
        <v>2</v>
      </c>
      <c r="Q910" s="206">
        <v>45148</v>
      </c>
      <c r="R910" s="257">
        <f ca="1">IF(D910="","",IF(OFFSET(D910,-1,0)&lt;&gt;"","",IF(OR(J910="リード付け",J910="巻足し",J910="巻返しリード付け"),M910,VLOOKUP(D910,契約台帳!$A$3:$N$4986,14,FALSE))))</f>
        <v>1120</v>
      </c>
      <c r="S910" s="258">
        <f ca="1">IF(D910="","",IF(OFFSET(D910,-1,0)&lt;&gt;"","",IF(OR(J910="リード付け",J910="巻足し",J910="巻返しリード付け"),M910,VLOOKUP(D910,契約台帳!$A$3:$O$4986,15,FALSE))))</f>
        <v>1120</v>
      </c>
      <c r="T910" s="258">
        <f ca="1">IF(D910="","",IF(J910="リード付け",N910,IF(J910="巻返しリード付け",N910,IF(J910="巻足し",N910*P910+OFFSET(N910,1,0)*OFFSET(P910,1,0),VLOOKUP(D910,契約台帳!$A$3:$P$4986,16,FALSE)))))</f>
        <v>8000</v>
      </c>
      <c r="U910" s="38">
        <v>1</v>
      </c>
      <c r="V910" s="259" t="str">
        <f ca="1">IF(D910="","",IF(OFFSET(D910,-2,0)=D910,"",VLOOKUP(D910,契約台帳!$A$3:$R$4986,18,FALSE)))</f>
        <v/>
      </c>
      <c r="W910" s="256" t="str">
        <f ca="1">IF(D910="","",IF(T910="","",IF(OR(J910="巻足し",J910="巻返しリード付け"),"",IF(J910="巻返し",VLOOKUP(F910&amp;K910&amp;M910,製品マスタ!$M$5:$AD$4999,18,FALSE),IF(OR(J910="リード付け",J910="巻返しリード付け"),"原反コア",IF(J910="スリット",VLOOKUP(F910&amp;K910&amp;R910,製品マスタ!$N$5:$AD$4999,17,FALSE),""))))))</f>
        <v/>
      </c>
      <c r="X910" s="256" t="str">
        <f ca="1">IF(D910="","",IF(T910="","",IF(J910="巻足し","",IF(J910="巻返し",VLOOKUP(F910&amp;K910&amp;M910,製品マスタ!$M$5:$AE$4999,19,FALSE),IF(OR(J910="リード付け",J910="巻返しリード付け"),"",IF(J910="スリット",VLOOKUP(F910&amp;K910&amp;R910,製品マスタ!$N$5:$AE$4999,18,FALSE),""))))))</f>
        <v/>
      </c>
      <c r="Y910" s="256">
        <f ca="1">IF(D910="","",IF(T910="","",VLOOKUP(D910,契約台帳!$A$3:$Q$4986,17,FALSE)))</f>
        <v>2</v>
      </c>
      <c r="Z910" s="256" t="str">
        <f ca="1">IF(D910="","",IF(T910="","",VLOOKUP(D910,契約台帳!$A$3:$E$4986,5,FALSE)))</f>
        <v>リンテック㈱</v>
      </c>
      <c r="AA910" s="54"/>
      <c r="AB910" s="200"/>
      <c r="AC910" s="31"/>
      <c r="AD910" s="184"/>
      <c r="AE910" s="51"/>
      <c r="AF910" s="52"/>
      <c r="AG910" s="41"/>
      <c r="AH910" s="207"/>
      <c r="AI910" s="28"/>
      <c r="AJ910" s="28"/>
      <c r="AK910" s="28"/>
      <c r="AL910" s="28"/>
      <c r="AM910" s="12"/>
      <c r="AN910" s="12"/>
      <c r="AO910" s="12"/>
      <c r="AP910" s="12"/>
      <c r="AQ910" s="12"/>
      <c r="AR910" s="13"/>
      <c r="AS910" s="14"/>
    </row>
    <row r="911" spans="1:45" s="16" customFormat="1" ht="30.95" hidden="1" customHeight="1" x14ac:dyDescent="0.2">
      <c r="A911" s="35"/>
      <c r="B911" s="36"/>
      <c r="C911" s="43"/>
      <c r="D911" s="29"/>
      <c r="E911" s="29"/>
      <c r="F911" s="255"/>
      <c r="G911" s="256"/>
      <c r="H911" s="256"/>
      <c r="I911" s="200"/>
      <c r="J911" s="203"/>
      <c r="K911" s="200"/>
      <c r="L911" s="200"/>
      <c r="M911" s="37"/>
      <c r="N911" s="37"/>
      <c r="O911" s="153"/>
      <c r="P911" s="45"/>
      <c r="Q911" s="54"/>
      <c r="R911" s="260"/>
      <c r="S911" s="258"/>
      <c r="T911" s="258"/>
      <c r="U911" s="38"/>
      <c r="V911" s="261"/>
      <c r="W911" s="256"/>
      <c r="X911" s="256"/>
      <c r="Y911" s="256"/>
      <c r="Z911" s="256"/>
      <c r="AA911" s="54"/>
      <c r="AB911" s="200"/>
      <c r="AC911" s="31"/>
      <c r="AD911" s="184"/>
      <c r="AE911" s="51"/>
      <c r="AF911" s="52"/>
      <c r="AG911" s="41"/>
      <c r="AH911" s="207"/>
      <c r="AI911" s="28"/>
      <c r="AJ911" s="28"/>
      <c r="AK911" s="28"/>
      <c r="AL911" s="28"/>
      <c r="AM911" s="12"/>
      <c r="AN911" s="12"/>
      <c r="AO911" s="12"/>
      <c r="AP911" s="12"/>
      <c r="AQ911" s="12"/>
      <c r="AR911" s="13"/>
      <c r="AS911" s="14"/>
    </row>
    <row r="912" spans="1:45" s="16" customFormat="1" ht="30.95" hidden="1" customHeight="1" x14ac:dyDescent="0.2">
      <c r="A912" s="35" t="s">
        <v>1396</v>
      </c>
      <c r="B912" s="36" t="s">
        <v>1398</v>
      </c>
      <c r="C912" s="43"/>
      <c r="D912" s="29"/>
      <c r="E912" s="29"/>
      <c r="F912" s="255"/>
      <c r="G912" s="256"/>
      <c r="H912" s="256"/>
      <c r="I912" s="200"/>
      <c r="J912" s="203" t="s">
        <v>1428</v>
      </c>
      <c r="K912" s="200"/>
      <c r="L912" s="200"/>
      <c r="M912" s="37"/>
      <c r="N912" s="37"/>
      <c r="O912" s="153"/>
      <c r="P912" s="45"/>
      <c r="Q912" s="54"/>
      <c r="R912" s="260"/>
      <c r="S912" s="258"/>
      <c r="T912" s="258"/>
      <c r="U912" s="38"/>
      <c r="V912" s="261"/>
      <c r="W912" s="256"/>
      <c r="X912" s="256"/>
      <c r="Y912" s="256"/>
      <c r="Z912" s="256"/>
      <c r="AA912" s="54"/>
      <c r="AB912" s="200"/>
      <c r="AC912" s="31"/>
      <c r="AD912" s="184"/>
      <c r="AE912" s="51"/>
      <c r="AF912" s="52"/>
      <c r="AG912" s="41"/>
      <c r="AH912" s="207"/>
      <c r="AI912" s="28"/>
      <c r="AJ912" s="28"/>
      <c r="AK912" s="28"/>
      <c r="AL912" s="28"/>
      <c r="AM912" s="12"/>
      <c r="AN912" s="12"/>
      <c r="AO912" s="12"/>
      <c r="AP912" s="12"/>
      <c r="AQ912" s="12"/>
      <c r="AR912" s="13"/>
      <c r="AS912" s="14"/>
    </row>
    <row r="913" spans="1:45" s="16" customFormat="1" ht="30.95" hidden="1" customHeight="1" x14ac:dyDescent="0.2">
      <c r="A913" s="35"/>
      <c r="B913" s="36"/>
      <c r="C913" s="43"/>
      <c r="D913" s="29"/>
      <c r="E913" s="29"/>
      <c r="F913" s="255"/>
      <c r="G913" s="256"/>
      <c r="H913" s="256"/>
      <c r="I913" s="200"/>
      <c r="J913" s="203"/>
      <c r="K913" s="200"/>
      <c r="L913" s="200"/>
      <c r="M913" s="37"/>
      <c r="N913" s="37"/>
      <c r="O913" s="153"/>
      <c r="P913" s="45"/>
      <c r="Q913" s="54"/>
      <c r="R913" s="260"/>
      <c r="S913" s="258"/>
      <c r="T913" s="258"/>
      <c r="U913" s="38"/>
      <c r="V913" s="261"/>
      <c r="W913" s="256"/>
      <c r="X913" s="256"/>
      <c r="Y913" s="256"/>
      <c r="Z913" s="256"/>
      <c r="AA913" s="54"/>
      <c r="AB913" s="200"/>
      <c r="AC913" s="31"/>
      <c r="AD913" s="184"/>
      <c r="AE913" s="51"/>
      <c r="AF913" s="52"/>
      <c r="AG913" s="41"/>
      <c r="AH913" s="207"/>
      <c r="AI913" s="28"/>
      <c r="AJ913" s="28"/>
      <c r="AK913" s="28"/>
      <c r="AL913" s="28"/>
      <c r="AM913" s="12"/>
      <c r="AN913" s="12"/>
      <c r="AO913" s="12"/>
      <c r="AP913" s="12"/>
      <c r="AQ913" s="12"/>
      <c r="AR913" s="13"/>
      <c r="AS913" s="14"/>
    </row>
    <row r="914" spans="1:45" s="16" customFormat="1" ht="30.95" hidden="1" customHeight="1" x14ac:dyDescent="0.2">
      <c r="A914" s="35" t="s">
        <v>1399</v>
      </c>
      <c r="B914" s="36" t="s">
        <v>1400</v>
      </c>
      <c r="C914" s="43"/>
      <c r="D914" s="29"/>
      <c r="E914" s="29"/>
      <c r="F914" s="255"/>
      <c r="G914" s="256"/>
      <c r="H914" s="256"/>
      <c r="I914" s="200"/>
      <c r="J914" s="203" t="s">
        <v>1428</v>
      </c>
      <c r="K914" s="200"/>
      <c r="L914" s="200"/>
      <c r="M914" s="37"/>
      <c r="N914" s="37"/>
      <c r="O914" s="153"/>
      <c r="P914" s="45"/>
      <c r="Q914" s="54"/>
      <c r="R914" s="260"/>
      <c r="S914" s="258"/>
      <c r="T914" s="258"/>
      <c r="U914" s="38"/>
      <c r="V914" s="261"/>
      <c r="W914" s="256"/>
      <c r="X914" s="256"/>
      <c r="Y914" s="256"/>
      <c r="Z914" s="256"/>
      <c r="AA914" s="54"/>
      <c r="AB914" s="200"/>
      <c r="AC914" s="31"/>
      <c r="AD914" s="184"/>
      <c r="AE914" s="51"/>
      <c r="AF914" s="52"/>
      <c r="AG914" s="41"/>
      <c r="AH914" s="207"/>
      <c r="AI914" s="28"/>
      <c r="AJ914" s="28"/>
      <c r="AK914" s="28"/>
      <c r="AL914" s="28"/>
      <c r="AM914" s="12"/>
      <c r="AN914" s="12"/>
      <c r="AO914" s="12"/>
      <c r="AP914" s="12"/>
      <c r="AQ914" s="12"/>
      <c r="AR914" s="13"/>
      <c r="AS914" s="14"/>
    </row>
    <row r="915" spans="1:45" s="16" customFormat="1" ht="30.95" hidden="1" customHeight="1" x14ac:dyDescent="0.2">
      <c r="A915" s="35"/>
      <c r="B915" s="36"/>
      <c r="C915" s="43"/>
      <c r="D915" s="29"/>
      <c r="E915" s="29"/>
      <c r="F915" s="255"/>
      <c r="G915" s="256"/>
      <c r="H915" s="256"/>
      <c r="I915" s="200"/>
      <c r="J915" s="203"/>
      <c r="K915" s="200"/>
      <c r="L915" s="200"/>
      <c r="M915" s="37"/>
      <c r="N915" s="37"/>
      <c r="O915" s="153"/>
      <c r="P915" s="45"/>
      <c r="Q915" s="54"/>
      <c r="R915" s="260"/>
      <c r="S915" s="258"/>
      <c r="T915" s="258"/>
      <c r="U915" s="38"/>
      <c r="V915" s="261"/>
      <c r="W915" s="256"/>
      <c r="X915" s="256"/>
      <c r="Y915" s="256"/>
      <c r="Z915" s="256"/>
      <c r="AA915" s="54"/>
      <c r="AB915" s="200"/>
      <c r="AC915" s="31"/>
      <c r="AD915" s="184"/>
      <c r="AE915" s="51"/>
      <c r="AF915" s="52"/>
      <c r="AG915" s="41"/>
      <c r="AH915" s="207"/>
      <c r="AI915" s="28"/>
      <c r="AJ915" s="28"/>
      <c r="AK915" s="28"/>
      <c r="AL915" s="28"/>
      <c r="AM915" s="12"/>
      <c r="AN915" s="12"/>
      <c r="AO915" s="12"/>
      <c r="AP915" s="12"/>
      <c r="AQ915" s="12"/>
      <c r="AR915" s="13"/>
      <c r="AS915" s="14"/>
    </row>
    <row r="916" spans="1:45" s="16" customFormat="1" ht="30.95" hidden="1" customHeight="1" x14ac:dyDescent="0.2">
      <c r="A916" s="35" t="s">
        <v>1401</v>
      </c>
      <c r="B916" s="36" t="s">
        <v>1403</v>
      </c>
      <c r="C916" s="43"/>
      <c r="D916" s="29"/>
      <c r="E916" s="29"/>
      <c r="F916" s="255"/>
      <c r="G916" s="256"/>
      <c r="H916" s="256"/>
      <c r="I916" s="200"/>
      <c r="J916" s="203" t="s">
        <v>1428</v>
      </c>
      <c r="K916" s="200"/>
      <c r="L916" s="200"/>
      <c r="M916" s="37"/>
      <c r="N916" s="37"/>
      <c r="O916" s="153"/>
      <c r="P916" s="45"/>
      <c r="Q916" s="54"/>
      <c r="R916" s="260"/>
      <c r="S916" s="258"/>
      <c r="T916" s="258"/>
      <c r="U916" s="38"/>
      <c r="V916" s="261"/>
      <c r="W916" s="256"/>
      <c r="X916" s="256"/>
      <c r="Y916" s="256"/>
      <c r="Z916" s="256"/>
      <c r="AA916" s="54"/>
      <c r="AB916" s="200"/>
      <c r="AC916" s="31"/>
      <c r="AD916" s="184"/>
      <c r="AE916" s="51"/>
      <c r="AF916" s="52"/>
      <c r="AG916" s="41"/>
      <c r="AH916" s="207"/>
      <c r="AI916" s="28"/>
      <c r="AJ916" s="28"/>
      <c r="AK916" s="28"/>
      <c r="AL916" s="28"/>
      <c r="AM916" s="12"/>
      <c r="AN916" s="12"/>
      <c r="AO916" s="12"/>
      <c r="AP916" s="12"/>
      <c r="AQ916" s="12"/>
      <c r="AR916" s="13"/>
      <c r="AS916" s="14"/>
    </row>
    <row r="917" spans="1:45" s="16" customFormat="1" ht="30.95" hidden="1" customHeight="1" x14ac:dyDescent="0.2">
      <c r="A917" s="35"/>
      <c r="B917" s="36"/>
      <c r="C917" s="43"/>
      <c r="D917" s="29"/>
      <c r="E917" s="29"/>
      <c r="F917" s="255"/>
      <c r="G917" s="256"/>
      <c r="H917" s="256"/>
      <c r="I917" s="200"/>
      <c r="J917" s="203"/>
      <c r="K917" s="200"/>
      <c r="L917" s="200"/>
      <c r="M917" s="37"/>
      <c r="N917" s="37"/>
      <c r="O917" s="153"/>
      <c r="P917" s="45"/>
      <c r="Q917" s="54"/>
      <c r="R917" s="260"/>
      <c r="S917" s="258"/>
      <c r="T917" s="258"/>
      <c r="U917" s="38"/>
      <c r="V917" s="261"/>
      <c r="W917" s="256"/>
      <c r="X917" s="256"/>
      <c r="Y917" s="256"/>
      <c r="Z917" s="256"/>
      <c r="AA917" s="54"/>
      <c r="AB917" s="200"/>
      <c r="AC917" s="31"/>
      <c r="AD917" s="184"/>
      <c r="AE917" s="51"/>
      <c r="AF917" s="52"/>
      <c r="AG917" s="41"/>
      <c r="AH917" s="207"/>
      <c r="AI917" s="28"/>
      <c r="AJ917" s="28"/>
      <c r="AK917" s="28"/>
      <c r="AL917" s="28"/>
      <c r="AM917" s="12"/>
      <c r="AN917" s="12"/>
      <c r="AO917" s="12"/>
      <c r="AP917" s="12"/>
      <c r="AQ917" s="12"/>
      <c r="AR917" s="13"/>
      <c r="AS917" s="14"/>
    </row>
    <row r="918" spans="1:45" s="16" customFormat="1" ht="30.95" hidden="1" customHeight="1" x14ac:dyDescent="0.2">
      <c r="A918" s="35" t="s">
        <v>1404</v>
      </c>
      <c r="B918" s="36" t="s">
        <v>1406</v>
      </c>
      <c r="C918" s="43"/>
      <c r="D918" s="29"/>
      <c r="E918" s="29"/>
      <c r="F918" s="255"/>
      <c r="G918" s="256"/>
      <c r="H918" s="256"/>
      <c r="I918" s="200"/>
      <c r="J918" s="203" t="s">
        <v>1428</v>
      </c>
      <c r="K918" s="200"/>
      <c r="L918" s="200"/>
      <c r="M918" s="37"/>
      <c r="N918" s="37"/>
      <c r="O918" s="153"/>
      <c r="P918" s="45"/>
      <c r="Q918" s="54"/>
      <c r="R918" s="260"/>
      <c r="S918" s="258"/>
      <c r="T918" s="258"/>
      <c r="U918" s="38"/>
      <c r="V918" s="261"/>
      <c r="W918" s="256"/>
      <c r="X918" s="256"/>
      <c r="Y918" s="256"/>
      <c r="Z918" s="256"/>
      <c r="AA918" s="54"/>
      <c r="AB918" s="200"/>
      <c r="AC918" s="31"/>
      <c r="AD918" s="184"/>
      <c r="AE918" s="51"/>
      <c r="AF918" s="52"/>
      <c r="AG918" s="41"/>
      <c r="AH918" s="207"/>
      <c r="AI918" s="28"/>
      <c r="AJ918" s="28"/>
      <c r="AK918" s="28"/>
      <c r="AL918" s="28"/>
      <c r="AM918" s="12"/>
      <c r="AN918" s="12"/>
      <c r="AO918" s="12"/>
      <c r="AP918" s="12"/>
      <c r="AQ918" s="12"/>
      <c r="AR918" s="13"/>
      <c r="AS918" s="14"/>
    </row>
    <row r="919" spans="1:45" s="16" customFormat="1" ht="30.95" hidden="1" customHeight="1" x14ac:dyDescent="0.2">
      <c r="A919" s="35"/>
      <c r="B919" s="36"/>
      <c r="C919" s="43"/>
      <c r="D919" s="29"/>
      <c r="E919" s="29"/>
      <c r="F919" s="255"/>
      <c r="G919" s="256"/>
      <c r="H919" s="256"/>
      <c r="I919" s="200"/>
      <c r="J919" s="203"/>
      <c r="K919" s="200"/>
      <c r="L919" s="200"/>
      <c r="M919" s="37"/>
      <c r="N919" s="37"/>
      <c r="O919" s="153"/>
      <c r="P919" s="45"/>
      <c r="Q919" s="54"/>
      <c r="R919" s="260"/>
      <c r="S919" s="258"/>
      <c r="T919" s="258"/>
      <c r="U919" s="38"/>
      <c r="V919" s="261"/>
      <c r="W919" s="256"/>
      <c r="X919" s="256"/>
      <c r="Y919" s="256"/>
      <c r="Z919" s="256"/>
      <c r="AA919" s="54"/>
      <c r="AB919" s="200"/>
      <c r="AC919" s="31"/>
      <c r="AD919" s="184"/>
      <c r="AE919" s="51"/>
      <c r="AF919" s="52"/>
      <c r="AG919" s="41"/>
      <c r="AH919" s="207"/>
      <c r="AI919" s="28"/>
      <c r="AJ919" s="28"/>
      <c r="AK919" s="28"/>
      <c r="AL919" s="28"/>
      <c r="AM919" s="12"/>
      <c r="AN919" s="12"/>
      <c r="AO919" s="12"/>
      <c r="AP919" s="12"/>
      <c r="AQ919" s="12"/>
      <c r="AR919" s="13"/>
      <c r="AS919" s="14"/>
    </row>
    <row r="920" spans="1:45" s="16" customFormat="1" ht="30.95" hidden="1" customHeight="1" x14ac:dyDescent="0.2">
      <c r="A920" s="35" t="s">
        <v>1407</v>
      </c>
      <c r="B920" s="36" t="s">
        <v>1413</v>
      </c>
      <c r="C920" s="43"/>
      <c r="D920" s="29"/>
      <c r="E920" s="29"/>
      <c r="F920" s="255"/>
      <c r="G920" s="256"/>
      <c r="H920" s="256"/>
      <c r="I920" s="200"/>
      <c r="J920" s="203" t="s">
        <v>1428</v>
      </c>
      <c r="K920" s="200"/>
      <c r="L920" s="200"/>
      <c r="M920" s="37"/>
      <c r="N920" s="37"/>
      <c r="O920" s="153"/>
      <c r="P920" s="45"/>
      <c r="Q920" s="54"/>
      <c r="R920" s="260"/>
      <c r="S920" s="258"/>
      <c r="T920" s="258"/>
      <c r="U920" s="38"/>
      <c r="V920" s="261"/>
      <c r="W920" s="256"/>
      <c r="X920" s="256"/>
      <c r="Y920" s="256"/>
      <c r="Z920" s="256"/>
      <c r="AA920" s="54"/>
      <c r="AB920" s="200"/>
      <c r="AC920" s="31"/>
      <c r="AD920" s="184"/>
      <c r="AE920" s="51"/>
      <c r="AF920" s="52"/>
      <c r="AG920" s="41"/>
      <c r="AH920" s="207"/>
      <c r="AI920" s="28"/>
      <c r="AJ920" s="28"/>
      <c r="AK920" s="28"/>
      <c r="AL920" s="28"/>
      <c r="AM920" s="12"/>
      <c r="AN920" s="12"/>
      <c r="AO920" s="12"/>
      <c r="AP920" s="12"/>
      <c r="AQ920" s="12"/>
      <c r="AR920" s="13"/>
      <c r="AS920" s="14"/>
    </row>
    <row r="921" spans="1:45" s="16" customFormat="1" ht="30.95" hidden="1" customHeight="1" x14ac:dyDescent="0.2">
      <c r="A921" s="35"/>
      <c r="B921" s="36"/>
      <c r="C921" s="43"/>
      <c r="D921" s="29"/>
      <c r="E921" s="29"/>
      <c r="F921" s="255"/>
      <c r="G921" s="256"/>
      <c r="H921" s="256"/>
      <c r="I921" s="200"/>
      <c r="J921" s="203"/>
      <c r="K921" s="200"/>
      <c r="L921" s="200"/>
      <c r="M921" s="37"/>
      <c r="N921" s="37"/>
      <c r="O921" s="153"/>
      <c r="P921" s="45"/>
      <c r="Q921" s="54"/>
      <c r="R921" s="260"/>
      <c r="S921" s="258"/>
      <c r="T921" s="258"/>
      <c r="U921" s="38"/>
      <c r="V921" s="261"/>
      <c r="W921" s="256"/>
      <c r="X921" s="256"/>
      <c r="Y921" s="256"/>
      <c r="Z921" s="256"/>
      <c r="AA921" s="54"/>
      <c r="AB921" s="200"/>
      <c r="AC921" s="31"/>
      <c r="AD921" s="184"/>
      <c r="AE921" s="51"/>
      <c r="AF921" s="52"/>
      <c r="AG921" s="41"/>
      <c r="AH921" s="207"/>
      <c r="AI921" s="28"/>
      <c r="AJ921" s="28"/>
      <c r="AK921" s="28"/>
      <c r="AL921" s="28"/>
      <c r="AM921" s="12"/>
      <c r="AN921" s="12"/>
      <c r="AO921" s="12"/>
      <c r="AP921" s="12"/>
      <c r="AQ921" s="12"/>
      <c r="AR921" s="13"/>
      <c r="AS921" s="14"/>
    </row>
    <row r="922" spans="1:45" s="16" customFormat="1" ht="30.95" hidden="1" customHeight="1" x14ac:dyDescent="0.2">
      <c r="A922" s="35" t="s">
        <v>539</v>
      </c>
      <c r="B922" s="36" t="s">
        <v>443</v>
      </c>
      <c r="C922" s="43"/>
      <c r="D922" s="29">
        <v>5358084</v>
      </c>
      <c r="E922" s="29">
        <v>4140995</v>
      </c>
      <c r="F922" s="255"/>
      <c r="G922" s="256" t="s">
        <v>19</v>
      </c>
      <c r="H922" s="256" t="s">
        <v>1433</v>
      </c>
      <c r="I922" s="200" t="s">
        <v>1434</v>
      </c>
      <c r="J922" s="283" t="s">
        <v>580</v>
      </c>
      <c r="K922" s="200">
        <v>25</v>
      </c>
      <c r="L922" s="200" t="s">
        <v>1433</v>
      </c>
      <c r="M922" s="37">
        <v>1000</v>
      </c>
      <c r="N922" s="37">
        <v>4000</v>
      </c>
      <c r="O922" s="153">
        <v>3</v>
      </c>
      <c r="P922" s="45">
        <v>3</v>
      </c>
      <c r="Q922" s="206">
        <v>45139</v>
      </c>
      <c r="R922" s="260">
        <v>1005</v>
      </c>
      <c r="S922" s="258">
        <v>1000</v>
      </c>
      <c r="T922" s="258">
        <v>4000</v>
      </c>
      <c r="U922" s="38">
        <v>1</v>
      </c>
      <c r="V922" s="261">
        <v>1</v>
      </c>
      <c r="W922" s="256" t="s">
        <v>1435</v>
      </c>
      <c r="X922" s="256">
        <v>1015</v>
      </c>
      <c r="Y922" s="256">
        <v>2</v>
      </c>
      <c r="Z922" s="256" t="s">
        <v>116</v>
      </c>
      <c r="AA922" s="54"/>
      <c r="AB922" s="200"/>
      <c r="AC922" s="31"/>
      <c r="AD922" s="184"/>
      <c r="AE922" s="51"/>
      <c r="AF922" s="52"/>
      <c r="AG922" s="41"/>
      <c r="AH922" s="207"/>
      <c r="AI922" s="28"/>
      <c r="AJ922" s="28"/>
      <c r="AK922" s="28"/>
      <c r="AL922" s="28"/>
      <c r="AM922" s="12"/>
      <c r="AN922" s="12"/>
      <c r="AO922" s="12"/>
      <c r="AP922" s="12"/>
      <c r="AQ922" s="12"/>
      <c r="AR922" s="13"/>
      <c r="AS922" s="14"/>
    </row>
    <row r="923" spans="1:45" s="16" customFormat="1" ht="30.95" hidden="1" customHeight="1" x14ac:dyDescent="0.2">
      <c r="A923" s="35"/>
      <c r="B923" s="36"/>
      <c r="C923" s="43"/>
      <c r="D923" s="278" t="s">
        <v>1432</v>
      </c>
      <c r="E923" s="29"/>
      <c r="F923" s="255"/>
      <c r="G923" s="256"/>
      <c r="H923" s="256"/>
      <c r="I923" s="200"/>
      <c r="J923" s="203"/>
      <c r="K923" s="200"/>
      <c r="L923" s="200"/>
      <c r="M923" s="37"/>
      <c r="N923" s="37"/>
      <c r="O923" s="153"/>
      <c r="P923" s="45"/>
      <c r="Q923" s="54"/>
      <c r="R923" s="260"/>
      <c r="S923" s="258"/>
      <c r="T923" s="258"/>
      <c r="U923" s="38"/>
      <c r="V923" s="261"/>
      <c r="W923" s="256"/>
      <c r="X923" s="256"/>
      <c r="Y923" s="256"/>
      <c r="Z923" s="256"/>
      <c r="AA923" s="54"/>
      <c r="AB923" s="200"/>
      <c r="AC923" s="31"/>
      <c r="AD923" s="184"/>
      <c r="AE923" s="51"/>
      <c r="AF923" s="52"/>
      <c r="AG923" s="41"/>
      <c r="AH923" s="207"/>
      <c r="AI923" s="28"/>
      <c r="AJ923" s="28"/>
      <c r="AK923" s="28"/>
      <c r="AL923" s="28"/>
      <c r="AM923" s="12"/>
      <c r="AN923" s="12"/>
      <c r="AO923" s="12"/>
      <c r="AP923" s="12"/>
      <c r="AQ923" s="12"/>
      <c r="AR923" s="13"/>
      <c r="AS923" s="14"/>
    </row>
    <row r="924" spans="1:45" s="16" customFormat="1" ht="30.95" hidden="1" customHeight="1" x14ac:dyDescent="0.2">
      <c r="A924" s="35"/>
      <c r="B924" s="36"/>
      <c r="C924" s="43"/>
      <c r="D924" s="29">
        <v>5358134</v>
      </c>
      <c r="E924" s="29">
        <v>4140996</v>
      </c>
      <c r="F924" s="255"/>
      <c r="G924" s="256" t="s">
        <v>19</v>
      </c>
      <c r="H924" s="256" t="s">
        <v>176</v>
      </c>
      <c r="I924" s="200" t="s">
        <v>177</v>
      </c>
      <c r="J924" s="283" t="s">
        <v>580</v>
      </c>
      <c r="K924" s="200">
        <v>50</v>
      </c>
      <c r="L924" s="200" t="s">
        <v>1431</v>
      </c>
      <c r="M924" s="37">
        <v>1000</v>
      </c>
      <c r="N924" s="37">
        <v>2000</v>
      </c>
      <c r="O924" s="153">
        <v>1</v>
      </c>
      <c r="P924" s="45">
        <v>1</v>
      </c>
      <c r="Q924" s="206">
        <v>45139</v>
      </c>
      <c r="R924" s="260">
        <v>1005</v>
      </c>
      <c r="S924" s="258">
        <v>1000</v>
      </c>
      <c r="T924" s="258">
        <v>2000</v>
      </c>
      <c r="U924" s="38">
        <v>1</v>
      </c>
      <c r="V924" s="261">
        <v>1</v>
      </c>
      <c r="W924" s="256" t="s">
        <v>806</v>
      </c>
      <c r="X924" s="256">
        <v>1015</v>
      </c>
      <c r="Y924" s="256">
        <v>2</v>
      </c>
      <c r="Z924" s="256" t="s">
        <v>116</v>
      </c>
      <c r="AA924" s="54"/>
      <c r="AB924" s="200"/>
      <c r="AC924" s="31"/>
      <c r="AD924" s="184"/>
      <c r="AE924" s="51"/>
      <c r="AF924" s="52"/>
      <c r="AG924" s="41"/>
      <c r="AH924" s="207"/>
      <c r="AI924" s="28"/>
      <c r="AJ924" s="28"/>
      <c r="AK924" s="28"/>
      <c r="AL924" s="28"/>
      <c r="AM924" s="12"/>
      <c r="AN924" s="12"/>
      <c r="AO924" s="12"/>
      <c r="AP924" s="12"/>
      <c r="AQ924" s="12"/>
      <c r="AR924" s="13"/>
      <c r="AS924" s="14"/>
    </row>
    <row r="925" spans="1:45" s="16" customFormat="1" ht="30.95" hidden="1" customHeight="1" x14ac:dyDescent="0.2">
      <c r="A925" s="35"/>
      <c r="B925" s="36"/>
      <c r="C925" s="43"/>
      <c r="D925" s="278" t="s">
        <v>1432</v>
      </c>
      <c r="E925" s="29"/>
      <c r="F925" s="255"/>
      <c r="G925" s="256"/>
      <c r="H925" s="256"/>
      <c r="I925" s="200"/>
      <c r="J925" s="203"/>
      <c r="K925" s="200"/>
      <c r="L925" s="200"/>
      <c r="M925" s="37"/>
      <c r="N925" s="37"/>
      <c r="O925" s="153"/>
      <c r="P925" s="45"/>
      <c r="Q925" s="54"/>
      <c r="R925" s="260"/>
      <c r="S925" s="258"/>
      <c r="T925" s="258"/>
      <c r="U925" s="38"/>
      <c r="V925" s="261"/>
      <c r="W925" s="256"/>
      <c r="X925" s="256"/>
      <c r="Y925" s="256"/>
      <c r="Z925" s="256"/>
      <c r="AA925" s="54"/>
      <c r="AB925" s="200"/>
      <c r="AC925" s="31"/>
      <c r="AD925" s="184"/>
      <c r="AE925" s="51"/>
      <c r="AF925" s="52"/>
      <c r="AG925" s="41"/>
      <c r="AH925" s="207"/>
      <c r="AI925" s="28"/>
      <c r="AJ925" s="28"/>
      <c r="AK925" s="28"/>
      <c r="AL925" s="28"/>
      <c r="AM925" s="12"/>
      <c r="AN925" s="12"/>
      <c r="AO925" s="12"/>
      <c r="AP925" s="12"/>
      <c r="AQ925" s="12"/>
      <c r="AR925" s="13"/>
      <c r="AS925" s="14"/>
    </row>
    <row r="926" spans="1:45" s="16" customFormat="1" ht="30.95" hidden="1" customHeight="1" x14ac:dyDescent="0.2">
      <c r="A926" s="35" t="s">
        <v>1411</v>
      </c>
      <c r="B926" s="36" t="s">
        <v>1410</v>
      </c>
      <c r="C926" s="43"/>
      <c r="D926" s="29"/>
      <c r="E926" s="29"/>
      <c r="F926" s="255"/>
      <c r="G926" s="256"/>
      <c r="H926" s="256"/>
      <c r="I926" s="200"/>
      <c r="J926" s="203"/>
      <c r="K926" s="200"/>
      <c r="L926" s="200"/>
      <c r="M926" s="37"/>
      <c r="N926" s="37"/>
      <c r="O926" s="153"/>
      <c r="P926" s="45"/>
      <c r="Q926" s="54"/>
      <c r="R926" s="260"/>
      <c r="S926" s="258"/>
      <c r="T926" s="258"/>
      <c r="U926" s="38"/>
      <c r="V926" s="261"/>
      <c r="W926" s="256"/>
      <c r="X926" s="256"/>
      <c r="Y926" s="256"/>
      <c r="Z926" s="256"/>
      <c r="AA926" s="54"/>
      <c r="AB926" s="200"/>
      <c r="AC926" s="31"/>
      <c r="AD926" s="184"/>
      <c r="AE926" s="51"/>
      <c r="AF926" s="52"/>
      <c r="AG926" s="41"/>
      <c r="AH926" s="207"/>
      <c r="AI926" s="28"/>
      <c r="AJ926" s="28"/>
      <c r="AK926" s="28"/>
      <c r="AL926" s="28"/>
      <c r="AM926" s="12"/>
      <c r="AN926" s="12"/>
      <c r="AO926" s="12"/>
      <c r="AP926" s="12"/>
      <c r="AQ926" s="12"/>
      <c r="AR926" s="13"/>
      <c r="AS926" s="14"/>
    </row>
    <row r="927" spans="1:45" s="16" customFormat="1" ht="30.95" hidden="1" customHeight="1" x14ac:dyDescent="0.2">
      <c r="A927" s="35"/>
      <c r="B927" s="36"/>
      <c r="C927" s="43"/>
      <c r="D927" s="29"/>
      <c r="E927" s="29"/>
      <c r="F927" s="255"/>
      <c r="G927" s="256"/>
      <c r="H927" s="256"/>
      <c r="I927" s="200"/>
      <c r="J927" s="203"/>
      <c r="K927" s="200"/>
      <c r="L927" s="200"/>
      <c r="M927" s="37"/>
      <c r="N927" s="37"/>
      <c r="O927" s="153"/>
      <c r="P927" s="45"/>
      <c r="Q927" s="54"/>
      <c r="R927" s="260"/>
      <c r="S927" s="258"/>
      <c r="T927" s="258"/>
      <c r="U927" s="38"/>
      <c r="V927" s="261"/>
      <c r="W927" s="256"/>
      <c r="X927" s="256"/>
      <c r="Y927" s="256"/>
      <c r="Z927" s="256"/>
      <c r="AA927" s="54"/>
      <c r="AB927" s="200"/>
      <c r="AC927" s="31"/>
      <c r="AD927" s="184"/>
      <c r="AE927" s="51"/>
      <c r="AF927" s="52"/>
      <c r="AG927" s="41"/>
      <c r="AH927" s="207"/>
      <c r="AI927" s="28"/>
      <c r="AJ927" s="28"/>
      <c r="AK927" s="28"/>
      <c r="AL927" s="28"/>
      <c r="AM927" s="12"/>
      <c r="AN927" s="12"/>
      <c r="AO927" s="12"/>
      <c r="AP927" s="12"/>
      <c r="AQ927" s="12"/>
      <c r="AR927" s="13"/>
      <c r="AS927" s="14"/>
    </row>
    <row r="928" spans="1:45" s="16" customFormat="1" ht="30.95" hidden="1" customHeight="1" x14ac:dyDescent="0.2">
      <c r="A928" s="35" t="s">
        <v>1414</v>
      </c>
      <c r="B928" s="36" t="s">
        <v>1398</v>
      </c>
      <c r="C928" s="43"/>
      <c r="D928" s="29"/>
      <c r="E928" s="29"/>
      <c r="F928" s="255"/>
      <c r="G928" s="256"/>
      <c r="H928" s="256"/>
      <c r="I928" s="200"/>
      <c r="J928" s="203"/>
      <c r="K928" s="200"/>
      <c r="L928" s="200"/>
      <c r="M928" s="37"/>
      <c r="N928" s="37"/>
      <c r="O928" s="153"/>
      <c r="P928" s="45"/>
      <c r="Q928" s="54"/>
      <c r="R928" s="260"/>
      <c r="S928" s="258"/>
      <c r="T928" s="258"/>
      <c r="U928" s="38"/>
      <c r="V928" s="261"/>
      <c r="W928" s="256"/>
      <c r="X928" s="256"/>
      <c r="Y928" s="256"/>
      <c r="Z928" s="256"/>
      <c r="AA928" s="54"/>
      <c r="AB928" s="200"/>
      <c r="AC928" s="31"/>
      <c r="AD928" s="184"/>
      <c r="AE928" s="51"/>
      <c r="AF928" s="52"/>
      <c r="AG928" s="41"/>
      <c r="AH928" s="207"/>
      <c r="AI928" s="28"/>
      <c r="AJ928" s="28"/>
      <c r="AK928" s="28"/>
      <c r="AL928" s="28"/>
      <c r="AM928" s="12"/>
      <c r="AN928" s="12"/>
      <c r="AO928" s="12"/>
      <c r="AP928" s="12"/>
      <c r="AQ928" s="12"/>
      <c r="AR928" s="13"/>
      <c r="AS928" s="14"/>
    </row>
    <row r="929" spans="1:45" s="16" customFormat="1" ht="30.95" hidden="1" customHeight="1" x14ac:dyDescent="0.2">
      <c r="A929" s="35"/>
      <c r="B929" s="36"/>
      <c r="C929" s="43"/>
      <c r="D929" s="29"/>
      <c r="E929" s="29"/>
      <c r="F929" s="255"/>
      <c r="G929" s="256"/>
      <c r="H929" s="256"/>
      <c r="I929" s="200"/>
      <c r="J929" s="203"/>
      <c r="K929" s="200"/>
      <c r="L929" s="200"/>
      <c r="M929" s="37"/>
      <c r="N929" s="37"/>
      <c r="O929" s="153"/>
      <c r="P929" s="45"/>
      <c r="Q929" s="54"/>
      <c r="R929" s="260"/>
      <c r="S929" s="258"/>
      <c r="T929" s="258"/>
      <c r="U929" s="38"/>
      <c r="V929" s="261"/>
      <c r="W929" s="256"/>
      <c r="X929" s="256"/>
      <c r="Y929" s="256"/>
      <c r="Z929" s="256"/>
      <c r="AA929" s="54"/>
      <c r="AB929" s="200"/>
      <c r="AC929" s="31"/>
      <c r="AD929" s="184"/>
      <c r="AE929" s="51"/>
      <c r="AF929" s="52"/>
      <c r="AG929" s="41"/>
      <c r="AH929" s="207"/>
      <c r="AI929" s="28"/>
      <c r="AJ929" s="28"/>
      <c r="AK929" s="28"/>
      <c r="AL929" s="28"/>
      <c r="AM929" s="12"/>
      <c r="AN929" s="12"/>
      <c r="AO929" s="12"/>
      <c r="AP929" s="12"/>
      <c r="AQ929" s="12"/>
      <c r="AR929" s="13"/>
      <c r="AS929" s="14"/>
    </row>
    <row r="930" spans="1:45" s="16" customFormat="1" ht="30.95" hidden="1" customHeight="1" x14ac:dyDescent="0.2">
      <c r="A930" s="35" t="s">
        <v>1415</v>
      </c>
      <c r="B930" s="36" t="s">
        <v>392</v>
      </c>
      <c r="C930" s="43"/>
      <c r="D930" s="29"/>
      <c r="E930" s="29"/>
      <c r="F930" s="255"/>
      <c r="G930" s="256"/>
      <c r="H930" s="256"/>
      <c r="I930" s="200"/>
      <c r="J930" s="203" t="s">
        <v>1428</v>
      </c>
      <c r="K930" s="200"/>
      <c r="L930" s="200"/>
      <c r="M930" s="37"/>
      <c r="N930" s="37"/>
      <c r="O930" s="153"/>
      <c r="P930" s="45"/>
      <c r="Q930" s="54"/>
      <c r="R930" s="260"/>
      <c r="S930" s="258"/>
      <c r="T930" s="258"/>
      <c r="U930" s="38"/>
      <c r="V930" s="261"/>
      <c r="W930" s="256"/>
      <c r="X930" s="256"/>
      <c r="Y930" s="256"/>
      <c r="Z930" s="256"/>
      <c r="AA930" s="54"/>
      <c r="AB930" s="200"/>
      <c r="AC930" s="31"/>
      <c r="AD930" s="184"/>
      <c r="AE930" s="51"/>
      <c r="AF930" s="52"/>
      <c r="AG930" s="41"/>
      <c r="AH930" s="207"/>
      <c r="AI930" s="28"/>
      <c r="AJ930" s="28"/>
      <c r="AK930" s="28"/>
      <c r="AL930" s="28"/>
      <c r="AM930" s="12"/>
      <c r="AN930" s="12"/>
      <c r="AO930" s="12"/>
      <c r="AP930" s="12"/>
      <c r="AQ930" s="12"/>
      <c r="AR930" s="13"/>
      <c r="AS930" s="14"/>
    </row>
    <row r="931" spans="1:45" s="16" customFormat="1" ht="30.95" hidden="1" customHeight="1" x14ac:dyDescent="0.2">
      <c r="A931" s="35"/>
      <c r="B931" s="36"/>
      <c r="C931" s="43"/>
      <c r="D931" s="29"/>
      <c r="E931" s="29"/>
      <c r="F931" s="255"/>
      <c r="G931" s="256"/>
      <c r="H931" s="256"/>
      <c r="I931" s="200"/>
      <c r="J931" s="203"/>
      <c r="K931" s="200"/>
      <c r="L931" s="200"/>
      <c r="M931" s="37"/>
      <c r="N931" s="37"/>
      <c r="O931" s="153"/>
      <c r="P931" s="45"/>
      <c r="Q931" s="54"/>
      <c r="R931" s="260"/>
      <c r="S931" s="258"/>
      <c r="T931" s="258"/>
      <c r="U931" s="38"/>
      <c r="V931" s="261"/>
      <c r="W931" s="256"/>
      <c r="X931" s="256"/>
      <c r="Y931" s="256"/>
      <c r="Z931" s="256"/>
      <c r="AA931" s="54"/>
      <c r="AB931" s="200"/>
      <c r="AC931" s="31"/>
      <c r="AD931" s="184"/>
      <c r="AE931" s="51"/>
      <c r="AF931" s="52"/>
      <c r="AG931" s="41"/>
      <c r="AH931" s="207"/>
      <c r="AI931" s="28"/>
      <c r="AJ931" s="28"/>
      <c r="AK931" s="28"/>
      <c r="AL931" s="28"/>
      <c r="AM931" s="12"/>
      <c r="AN931" s="12"/>
      <c r="AO931" s="12"/>
      <c r="AP931" s="12"/>
      <c r="AQ931" s="12"/>
      <c r="AR931" s="13"/>
      <c r="AS931" s="14"/>
    </row>
    <row r="932" spans="1:45" s="16" customFormat="1" ht="30.95" hidden="1" customHeight="1" x14ac:dyDescent="0.2">
      <c r="A932" s="35" t="s">
        <v>1416</v>
      </c>
      <c r="B932" s="36" t="s">
        <v>1402</v>
      </c>
      <c r="C932" s="43"/>
      <c r="D932" s="29">
        <v>3721204</v>
      </c>
      <c r="E932" s="29">
        <v>4140993</v>
      </c>
      <c r="F932" s="255" t="str">
        <f>IF(D932="","",VLOOKUP(D932,契約台帳!$A$3:$K$4986,6,FALSE)&amp;VLOOKUP(D932,契約台帳!$A$3:$K$4986,7,FALSE)&amp;VLOOKUP(D932,契約台帳!$A$3:$K$4986,8,FALSE)&amp;VLOOKUP(D932,契約台帳!$A$3:$K$4986,9,FALSE)&amp;VLOOKUP(D932,契約台帳!$A$3:$K$4986,11,FALSE))</f>
        <v>3SNCLBLEYK</v>
      </c>
      <c r="G932" s="256" t="str">
        <f>IF(D932="","",VLOOKUP(F932,製品マスタ!$G$5:$H$4999,2,FALSE))</f>
        <v>S</v>
      </c>
      <c r="H932" s="256" t="str">
        <f>IF(D932="","",VLOOKUP(F932,製品マスタ!$G$5:$K$4999,5,FALSE))</f>
        <v>LEYK</v>
      </c>
      <c r="I932" s="200" t="str">
        <f>IF(D932="","",VLOOKUP(F932,製品マスタ!$G$5:$L$4999,6,FALSE))</f>
        <v>ルミラー　ＥＹＫ</v>
      </c>
      <c r="J932" s="203" t="s">
        <v>447</v>
      </c>
      <c r="K932" s="200">
        <f>IF(D932="","",VLOOKUP(D932,契約台帳!$A$3:$L$4986,12,FALSE))</f>
        <v>50</v>
      </c>
      <c r="L932" s="200" t="str">
        <f>IF(D932="","",INDEX(製品マスタ!$Q$5:$Q$4999,MATCH('S4'!F932&amp;'S4'!K932,製品マスタ!$AO$5:$AO$4999,0)))</f>
        <v>T62M</v>
      </c>
      <c r="M932" s="37">
        <v>1125</v>
      </c>
      <c r="N932" s="37">
        <v>6100</v>
      </c>
      <c r="O932" s="153">
        <v>6</v>
      </c>
      <c r="P932" s="45">
        <v>6</v>
      </c>
      <c r="Q932" s="54"/>
      <c r="R932" s="257">
        <f ca="1">IF(D932="","",IF(OFFSET(D932,-1,0)&lt;&gt;"","",IF(OR(J932="リード付け",J932="巻足し",J932="巻返しリード付け"),M932,VLOOKUP(D932,契約台帳!$A$3:$N$4986,14,FALSE))))</f>
        <v>1120</v>
      </c>
      <c r="S932" s="258">
        <f ca="1">IF(D932="","",IF(OFFSET(D932,-1,0)&lt;&gt;"","",IF(OR(J932="リード付け",J932="巻足し",J932="巻返しリード付け"),M932,VLOOKUP(D932,契約台帳!$A$3:$O$4986,15,FALSE))))</f>
        <v>1120</v>
      </c>
      <c r="T932" s="258">
        <f ca="1">IF(D932="","",IF(J932="リード付け",N932,IF(J932="巻返しリード付け",N932,IF(J932="巻足し",N932*P932+OFFSET(N932,1,0)*OFFSET(P932,1,0),VLOOKUP(D932,契約台帳!$A$3:$P$4986,16,FALSE)))))</f>
        <v>6000</v>
      </c>
      <c r="U932" s="38">
        <v>6</v>
      </c>
      <c r="V932" s="259">
        <f ca="1">IF(D932="","",IF(OFFSET(D932,-2,0)=D932,"",VLOOKUP(D932,契約台帳!$A$3:$R$4986,18,FALSE)))</f>
        <v>6</v>
      </c>
      <c r="W932" s="256" t="str">
        <f ca="1">IF(D932="","",IF(T932="","",IF(OR(J932="巻足し",J932="巻返しリード付け"),"",IF(J932="巻返し",VLOOKUP(F932&amp;K932&amp;M932,製品マスタ!$M$5:$AD$4999,18,FALSE),IF(OR(J932="リード付け",J932="巻返しリード付け"),"原反コア",IF(J932="スリット",VLOOKUP(F932&amp;K932&amp;R932,製品マスタ!$N$5:$AD$4999,17,FALSE),""))))))</f>
        <v>6ｲﾝﾁMｺｱ</v>
      </c>
      <c r="X932" s="256">
        <f ca="1">IF(D932="","",IF(T932="","",IF(J932="巻足し","",IF(J932="巻返し",VLOOKUP(F932&amp;K932&amp;M932,製品マスタ!$M$5:$AE$4999,19,FALSE),IF(OR(J932="リード付け",J932="巻返しリード付け"),"",IF(J932="スリット",VLOOKUP(F932&amp;K932&amp;R932,製品マスタ!$N$5:$AE$4999,18,FALSE),""))))))</f>
        <v>1140</v>
      </c>
      <c r="Y932" s="256">
        <f ca="1">IF(D932="","",IF(T932="","",VLOOKUP(D932,契約台帳!$A$3:$Q$4986,17,FALSE)))</f>
        <v>2</v>
      </c>
      <c r="Z932" s="256" t="str">
        <f ca="1">IF(D932="","",IF(T932="","",VLOOKUP(D932,契約台帳!$A$3:$E$4986,5,FALSE)))</f>
        <v>新タック化成㈱</v>
      </c>
      <c r="AA932" s="54"/>
      <c r="AB932" s="200" t="str">
        <f>IFERROR((VLOOKUP(F932&amp;K932&amp;M932,製品マスタ!$M$5:$AM$4999,27,FALSE)),"")</f>
        <v>原反ケース再利用</v>
      </c>
      <c r="AC932" s="31"/>
      <c r="AD932" s="184"/>
      <c r="AE932" s="51"/>
      <c r="AF932" s="52"/>
      <c r="AG932" s="41"/>
      <c r="AH932" s="207"/>
      <c r="AI932" s="28"/>
      <c r="AJ932" s="28"/>
      <c r="AK932" s="28"/>
      <c r="AL932" s="28"/>
      <c r="AM932" s="12"/>
      <c r="AN932" s="12"/>
      <c r="AO932" s="12"/>
      <c r="AP932" s="12"/>
      <c r="AQ932" s="12"/>
      <c r="AR932" s="13"/>
      <c r="AS932" s="14"/>
    </row>
    <row r="933" spans="1:45" s="16" customFormat="1" ht="30.95" hidden="1" customHeight="1" x14ac:dyDescent="0.2">
      <c r="A933" s="35"/>
      <c r="B933" s="36"/>
      <c r="C933" s="43"/>
      <c r="D933" s="29"/>
      <c r="E933" s="29"/>
      <c r="F933" s="255"/>
      <c r="G933" s="256"/>
      <c r="H933" s="256"/>
      <c r="I933" s="200"/>
      <c r="J933" s="203"/>
      <c r="K933" s="200"/>
      <c r="L933" s="200"/>
      <c r="M933" s="37"/>
      <c r="N933" s="37"/>
      <c r="O933" s="153"/>
      <c r="P933" s="45"/>
      <c r="Q933" s="54"/>
      <c r="R933" s="257"/>
      <c r="S933" s="258"/>
      <c r="T933" s="258"/>
      <c r="U933" s="38"/>
      <c r="V933" s="259"/>
      <c r="W933" s="256"/>
      <c r="X933" s="256"/>
      <c r="Y933" s="256"/>
      <c r="Z933" s="256"/>
      <c r="AA933" s="54"/>
      <c r="AB933" s="200"/>
      <c r="AC933" s="31"/>
      <c r="AD933" s="184"/>
      <c r="AE933" s="51"/>
      <c r="AF933" s="52"/>
      <c r="AG933" s="41"/>
      <c r="AH933" s="207"/>
      <c r="AI933" s="28"/>
      <c r="AJ933" s="28"/>
      <c r="AK933" s="28"/>
      <c r="AL933" s="28"/>
      <c r="AM933" s="12"/>
      <c r="AN933" s="12"/>
      <c r="AO933" s="12"/>
      <c r="AP933" s="12"/>
      <c r="AQ933" s="12"/>
      <c r="AR933" s="13"/>
      <c r="AS933" s="14"/>
    </row>
    <row r="934" spans="1:45" s="16" customFormat="1" ht="30.95" hidden="1" customHeight="1" x14ac:dyDescent="0.2">
      <c r="A934" s="35" t="s">
        <v>1417</v>
      </c>
      <c r="B934" s="36" t="s">
        <v>1405</v>
      </c>
      <c r="C934" s="43"/>
      <c r="D934" s="29">
        <v>3721203</v>
      </c>
      <c r="E934" s="29">
        <v>4140997</v>
      </c>
      <c r="F934" s="255" t="str">
        <f>IF(D934="","",VLOOKUP(D934,契約台帳!$A$3:$K$4986,6,FALSE)&amp;VLOOKUP(D934,契約台帳!$A$3:$K$4986,7,FALSE)&amp;VLOOKUP(D934,契約台帳!$A$3:$K$4986,8,FALSE)&amp;VLOOKUP(D934,契約台帳!$A$3:$K$4986,9,FALSE)&amp;VLOOKUP(D934,契約台帳!$A$3:$K$4986,11,FALSE))</f>
        <v>3SNCLBLEYK</v>
      </c>
      <c r="G934" s="256" t="str">
        <f>IF(D934="","",VLOOKUP(F934,製品マスタ!$G$5:$H$4999,2,FALSE))</f>
        <v>S</v>
      </c>
      <c r="H934" s="256" t="str">
        <f>IF(D934="","",VLOOKUP(F934,製品マスタ!$G$5:$K$4999,5,FALSE))</f>
        <v>LEYK</v>
      </c>
      <c r="I934" s="200" t="str">
        <f>IF(D934="","",VLOOKUP(F934,製品マスタ!$G$5:$L$4999,6,FALSE))</f>
        <v>ルミラー　ＥＹＫ</v>
      </c>
      <c r="J934" s="203" t="s">
        <v>447</v>
      </c>
      <c r="K934" s="200">
        <f>IF(D934="","",VLOOKUP(D934,契約台帳!$A$3:$L$4986,12,FALSE))</f>
        <v>25</v>
      </c>
      <c r="L934" s="200" t="str">
        <f>IF(D934="","",INDEX(製品マスタ!$Q$5:$Q$4999,MATCH('S4'!F934&amp;'S4'!K934,製品マスタ!$AO$5:$AO$4999,0)))</f>
        <v>T62M</v>
      </c>
      <c r="M934" s="37">
        <v>1120</v>
      </c>
      <c r="N934" s="37">
        <v>12100</v>
      </c>
      <c r="O934" s="153">
        <v>4</v>
      </c>
      <c r="P934" s="45">
        <v>4</v>
      </c>
      <c r="Q934" s="54"/>
      <c r="R934" s="257">
        <f ca="1">IF(D934="","",IF(OFFSET(D934,-1,0)&lt;&gt;"","",IF(OR(J934="リード付け",J934="巻足し",J934="巻返しリード付け"),M934,VLOOKUP(D934,契約台帳!$A$3:$N$4986,14,FALSE))))</f>
        <v>1120</v>
      </c>
      <c r="S934" s="258">
        <f ca="1">IF(D934="","",IF(OFFSET(D934,-1,0)&lt;&gt;"","",IF(OR(J934="リード付け",J934="巻足し",J934="巻返しリード付け"),M934,VLOOKUP(D934,契約台帳!$A$3:$O$4986,15,FALSE))))</f>
        <v>1120</v>
      </c>
      <c r="T934" s="258">
        <f ca="1">IF(D934="","",IF(J934="リード付け",N934,IF(J934="巻返しリード付け",N934,IF(J934="巻足し",N934*P934+OFFSET(N934,1,0)*OFFSET(P934,1,0),VLOOKUP(D934,契約台帳!$A$3:$P$4986,16,FALSE)))))</f>
        <v>6000</v>
      </c>
      <c r="U934" s="38">
        <v>8</v>
      </c>
      <c r="V934" s="259">
        <f ca="1">IF(D934="","",IF(OFFSET(D934,-2,0)=D934,"",VLOOKUP(D934,契約台帳!$A$3:$R$4986,18,FALSE)))</f>
        <v>8</v>
      </c>
      <c r="W934" s="256" t="str">
        <f ca="1">IF(D934="","",IF(T934="","",IF(OR(J934="巻足し",J934="巻返しリード付け"),"",IF(J934="巻返し",VLOOKUP(F934&amp;K934&amp;M934,製品マスタ!$M$5:$AD$4999,18,FALSE),IF(OR(J934="リード付け",J934="巻返しリード付け"),"原反コア",IF(J934="スリット",VLOOKUP(F934&amp;K934&amp;R934,製品マスタ!$N$5:$AD$4999,17,FALSE),""))))))</f>
        <v>6ｲﾝﾁMｺｱ</v>
      </c>
      <c r="X934" s="256">
        <f ca="1">IF(D934="","",IF(T934="","",IF(J934="巻足し","",IF(J934="巻返し",VLOOKUP(F934&amp;K934&amp;M934,製品マスタ!$M$5:$AE$4999,19,FALSE),IF(OR(J934="リード付け",J934="巻返しリード付け"),"",IF(J934="スリット",VLOOKUP(F934&amp;K934&amp;R934,製品マスタ!$N$5:$AE$4999,18,FALSE),""))))))</f>
        <v>1140</v>
      </c>
      <c r="Y934" s="256">
        <f ca="1">IF(D934="","",IF(T934="","",VLOOKUP(D934,契約台帳!$A$3:$Q$4986,17,FALSE)))</f>
        <v>2</v>
      </c>
      <c r="Z934" s="256" t="str">
        <f ca="1">IF(D934="","",IF(T934="","",VLOOKUP(D934,契約台帳!$A$3:$E$4986,5,FALSE)))</f>
        <v>新タック化成㈱</v>
      </c>
      <c r="AA934" s="54"/>
      <c r="AB934" s="200">
        <f>IFERROR((VLOOKUP(F934&amp;K934&amp;M934,製品マスタ!$M$5:$AM$4999,27,FALSE)),"")</f>
        <v>0</v>
      </c>
      <c r="AC934" s="31"/>
      <c r="AD934" s="184"/>
      <c r="AE934" s="51"/>
      <c r="AF934" s="52"/>
      <c r="AG934" s="41"/>
      <c r="AH934" s="207"/>
      <c r="AI934" s="28"/>
      <c r="AJ934" s="28"/>
      <c r="AK934" s="28"/>
      <c r="AL934" s="28"/>
      <c r="AM934" s="12"/>
      <c r="AN934" s="12"/>
      <c r="AO934" s="12"/>
      <c r="AP934" s="12"/>
      <c r="AQ934" s="12"/>
      <c r="AR934" s="13"/>
      <c r="AS934" s="14"/>
    </row>
    <row r="935" spans="1:45" s="16" customFormat="1" ht="30.95" hidden="1" customHeight="1" x14ac:dyDescent="0.2">
      <c r="A935" s="35"/>
      <c r="B935" s="36"/>
      <c r="C935" s="43"/>
      <c r="D935" s="29"/>
      <c r="E935" s="29"/>
      <c r="F935" s="255"/>
      <c r="G935" s="256"/>
      <c r="H935" s="256"/>
      <c r="I935" s="200"/>
      <c r="J935" s="203"/>
      <c r="K935" s="200"/>
      <c r="L935" s="200"/>
      <c r="M935" s="37"/>
      <c r="N935" s="37"/>
      <c r="O935" s="153"/>
      <c r="P935" s="45"/>
      <c r="Q935" s="54"/>
      <c r="R935" s="260"/>
      <c r="S935" s="258"/>
      <c r="T935" s="258"/>
      <c r="U935" s="38"/>
      <c r="V935" s="261"/>
      <c r="W935" s="256"/>
      <c r="X935" s="256"/>
      <c r="Y935" s="256"/>
      <c r="Z935" s="256"/>
      <c r="AA935" s="54"/>
      <c r="AB935" s="200"/>
      <c r="AC935" s="31"/>
      <c r="AD935" s="184"/>
      <c r="AE935" s="51"/>
      <c r="AF935" s="52"/>
      <c r="AG935" s="41"/>
      <c r="AH935" s="207"/>
      <c r="AI935" s="28"/>
      <c r="AJ935" s="28"/>
      <c r="AK935" s="28"/>
      <c r="AL935" s="28"/>
      <c r="AM935" s="12"/>
      <c r="AN935" s="12"/>
      <c r="AO935" s="12"/>
      <c r="AP935" s="12"/>
      <c r="AQ935" s="12"/>
      <c r="AR935" s="13"/>
      <c r="AS935" s="14"/>
    </row>
    <row r="936" spans="1:45" s="16" customFormat="1" ht="30.95" hidden="1" customHeight="1" x14ac:dyDescent="0.2">
      <c r="A936" s="35" t="s">
        <v>1418</v>
      </c>
      <c r="B936" s="36" t="s">
        <v>1412</v>
      </c>
      <c r="C936" s="43"/>
      <c r="D936" s="29">
        <v>3721200</v>
      </c>
      <c r="E936" s="29">
        <v>4140986</v>
      </c>
      <c r="F936" s="255" t="str">
        <f>IF(D936="","",VLOOKUP(D936,契約台帳!$A$3:$K$4986,6,FALSE)&amp;VLOOKUP(D936,契約台帳!$A$3:$K$4986,7,FALSE)&amp;VLOOKUP(D936,契約台帳!$A$3:$K$4986,8,FALSE)&amp;VLOOKUP(D936,契約台帳!$A$3:$K$4986,9,FALSE)&amp;VLOOKUP(D936,契約台帳!$A$3:$K$4986,11,FALSE))</f>
        <v>3HSNMCLBEYK</v>
      </c>
      <c r="G936" s="256" t="str">
        <f>IF(D936="","",VLOOKUP(F936,製品マスタ!$G$5:$H$4999,2,FALSE))</f>
        <v>S</v>
      </c>
      <c r="H936" s="256" t="str">
        <f>IF(D936="","",VLOOKUP(F936,製品マスタ!$G$5:$K$4999,5,FALSE))</f>
        <v>EYK</v>
      </c>
      <c r="I936" s="200" t="str">
        <f>IF(D936="","",VLOOKUP(F936,製品マスタ!$G$5:$L$4999,6,FALSE))</f>
        <v>メタルミー　ＥＹＫ</v>
      </c>
      <c r="J936" s="203" t="s">
        <v>447</v>
      </c>
      <c r="K936" s="200">
        <f>IF(D936="","",VLOOKUP(D936,契約台帳!$A$3:$L$4986,12,FALSE))</f>
        <v>50</v>
      </c>
      <c r="L936" s="200" t="str">
        <f>IF(D936="","",INDEX(製品マスタ!$Q$5:$Q$4999,MATCH('S4'!F936&amp;'S4'!K936,製品マスタ!$AO$5:$AO$4999,0)))</f>
        <v>T62M</v>
      </c>
      <c r="M936" s="37">
        <v>1195</v>
      </c>
      <c r="N936" s="37">
        <v>12200</v>
      </c>
      <c r="O936" s="153">
        <v>3</v>
      </c>
      <c r="P936" s="45">
        <v>3</v>
      </c>
      <c r="Q936" s="54"/>
      <c r="R936" s="257">
        <f ca="1">IF(D936="","",IF(OFFSET(D936,-1,0)&lt;&gt;"","",IF(OR(J936="リード付け",J936="巻足し",J936="巻返しリード付け"),M936,VLOOKUP(D936,契約台帳!$A$3:$N$4986,14,FALSE))))</f>
        <v>1190</v>
      </c>
      <c r="S936" s="258">
        <f ca="1">IF(D936="","",IF(OFFSET(D936,-1,0)&lt;&gt;"","",IF(OR(J936="リード付け",J936="巻足し",J936="巻返しリード付け"),M936,VLOOKUP(D936,契約台帳!$A$3:$O$4986,15,FALSE))))</f>
        <v>1190</v>
      </c>
      <c r="T936" s="258">
        <f ca="1">IF(D936="","",IF(J936="リード付け",N936,IF(J936="巻返しリード付け",N936,IF(J936="巻足し",N936*P936+OFFSET(N936,1,0)*OFFSET(P936,1,0),VLOOKUP(D936,契約台帳!$A$3:$P$4986,16,FALSE)))))</f>
        <v>6000</v>
      </c>
      <c r="U936" s="38">
        <v>6</v>
      </c>
      <c r="V936" s="259">
        <f ca="1">IF(D936="","",IF(OFFSET(D936,-2,0)=D936,"",VLOOKUP(D936,契約台帳!$A$3:$R$4986,18,FALSE)))</f>
        <v>6</v>
      </c>
      <c r="W936" s="256" t="str">
        <f ca="1">IF(D936="","",IF(T936="","",IF(OR(J936="巻足し",J936="巻返しリード付け"),"",IF(J936="巻返し",VLOOKUP(F936&amp;K936&amp;M936,製品マスタ!$M$5:$AD$4999,18,FALSE),IF(OR(J936="リード付け",J936="巻返しリード付け"),"原反コア",IF(J936="スリット",VLOOKUP(F936&amp;K936&amp;R936,製品マスタ!$N$5:$AD$4999,17,FALSE),""))))))</f>
        <v>6ｲﾝﾁMｺｱ</v>
      </c>
      <c r="X936" s="256">
        <f ca="1">IF(D936="","",IF(T936="","",IF(J936="巻足し","",IF(J936="巻返し",VLOOKUP(F936&amp;K936&amp;M936,製品マスタ!$M$5:$AE$4999,19,FALSE),IF(OR(J936="リード付け",J936="巻返しリード付け"),"",IF(J936="スリット",VLOOKUP(F936&amp;K936&amp;R936,製品マスタ!$N$5:$AE$4999,18,FALSE),""))))))</f>
        <v>1220</v>
      </c>
      <c r="Y936" s="256">
        <f ca="1">IF(D936="","",IF(T936="","",VLOOKUP(D936,契約台帳!$A$3:$Q$4986,17,FALSE)))</f>
        <v>2</v>
      </c>
      <c r="Z936" s="256" t="str">
        <f ca="1">IF(D936="","",IF(T936="","",VLOOKUP(D936,契約台帳!$A$3:$E$4986,5,FALSE)))</f>
        <v>大阪シーリング印刷㈱</v>
      </c>
      <c r="AA936" s="54"/>
      <c r="AB936" s="200" t="str">
        <f>IFERROR((VLOOKUP(F936&amp;K936&amp;M936,製品マスタ!$M$5:$AM$4999,27,FALSE)),"")</f>
        <v>原反ケース再利用</v>
      </c>
      <c r="AC936" s="31"/>
      <c r="AD936" s="184"/>
      <c r="AE936" s="51"/>
      <c r="AF936" s="52"/>
      <c r="AG936" s="41"/>
      <c r="AH936" s="207"/>
      <c r="AI936" s="28"/>
      <c r="AJ936" s="28"/>
      <c r="AK936" s="28"/>
      <c r="AL936" s="28"/>
      <c r="AM936" s="12"/>
      <c r="AN936" s="12"/>
      <c r="AO936" s="12"/>
      <c r="AP936" s="12"/>
      <c r="AQ936" s="12"/>
      <c r="AR936" s="13"/>
      <c r="AS936" s="14"/>
    </row>
    <row r="937" spans="1:45" s="16" customFormat="1" ht="30.95" hidden="1" customHeight="1" x14ac:dyDescent="0.2">
      <c r="A937" s="35"/>
      <c r="B937" s="36"/>
      <c r="C937" s="43"/>
      <c r="D937" s="29"/>
      <c r="E937" s="29"/>
      <c r="F937" s="255"/>
      <c r="G937" s="256"/>
      <c r="H937" s="256"/>
      <c r="I937" s="200"/>
      <c r="J937" s="203"/>
      <c r="K937" s="200"/>
      <c r="L937" s="200"/>
      <c r="M937" s="37"/>
      <c r="N937" s="37"/>
      <c r="O937" s="153"/>
      <c r="P937" s="45"/>
      <c r="Q937" s="54"/>
      <c r="R937" s="260"/>
      <c r="S937" s="258"/>
      <c r="T937" s="258"/>
      <c r="U937" s="38"/>
      <c r="V937" s="261"/>
      <c r="W937" s="256"/>
      <c r="X937" s="256"/>
      <c r="Y937" s="256"/>
      <c r="Z937" s="256"/>
      <c r="AA937" s="54"/>
      <c r="AB937" s="200"/>
      <c r="AC937" s="31"/>
      <c r="AD937" s="184"/>
      <c r="AE937" s="51"/>
      <c r="AF937" s="52"/>
      <c r="AG937" s="41"/>
      <c r="AH937" s="207"/>
      <c r="AI937" s="28"/>
      <c r="AJ937" s="28"/>
      <c r="AK937" s="28"/>
      <c r="AL937" s="28"/>
      <c r="AM937" s="12"/>
      <c r="AN937" s="12"/>
      <c r="AO937" s="12"/>
      <c r="AP937" s="12"/>
      <c r="AQ937" s="12"/>
      <c r="AR937" s="13"/>
      <c r="AS937" s="14"/>
    </row>
    <row r="938" spans="1:45" s="16" customFormat="1" ht="30.95" hidden="1" customHeight="1" x14ac:dyDescent="0.2">
      <c r="A938" s="35"/>
      <c r="B938" s="36"/>
      <c r="C938" s="43"/>
      <c r="D938" s="29">
        <v>3721201</v>
      </c>
      <c r="E938" s="29">
        <v>4140989</v>
      </c>
      <c r="F938" s="255" t="str">
        <f>IF(D938="","",VLOOKUP(D938,契約台帳!$A$3:$K$4986,6,FALSE)&amp;VLOOKUP(D938,契約台帳!$A$3:$K$4986,7,FALSE)&amp;VLOOKUP(D938,契約台帳!$A$3:$K$4986,8,FALSE)&amp;VLOOKUP(D938,契約台帳!$A$3:$K$4986,9,FALSE)&amp;VLOOKUP(D938,契約台帳!$A$3:$K$4986,11,FALSE))</f>
        <v>3SNMCLBMSNEYK</v>
      </c>
      <c r="G938" s="256" t="str">
        <f>IF(D938="","",VLOOKUP(F938,製品マスタ!$G$5:$H$4999,2,FALSE))</f>
        <v>S</v>
      </c>
      <c r="H938" s="256" t="str">
        <f>IF(D938="","",VLOOKUP(F938,製品マスタ!$G$5:$K$4999,5,FALSE))</f>
        <v>MSNEYK</v>
      </c>
      <c r="I938" s="200" t="str">
        <f>IF(D938="","",VLOOKUP(F938,製品マスタ!$G$5:$L$4999,6,FALSE))</f>
        <v>ＭＳＮ　ＥＹＫ</v>
      </c>
      <c r="J938" s="203" t="s">
        <v>447</v>
      </c>
      <c r="K938" s="200">
        <f>IF(D938="","",VLOOKUP(D938,契約台帳!$A$3:$L$4986,12,FALSE))</f>
        <v>50</v>
      </c>
      <c r="L938" s="200" t="str">
        <f>IF(D938="","",INDEX(製品マスタ!$Q$5:$Q$4999,MATCH('S4'!F938&amp;'S4'!K938,製品マスタ!$AO$5:$AO$4999,0)))</f>
        <v>N-MAT</v>
      </c>
      <c r="M938" s="37">
        <v>1200</v>
      </c>
      <c r="N938" s="37">
        <v>12000</v>
      </c>
      <c r="O938" s="153">
        <v>2</v>
      </c>
      <c r="P938" s="45">
        <v>2</v>
      </c>
      <c r="Q938" s="54"/>
      <c r="R938" s="257">
        <f ca="1">IF(D938="","",IF(OFFSET(D938,-1,0)&lt;&gt;"","",IF(OR(J938="リード付け",J938="巻足し",J938="巻返しリード付け"),M938,VLOOKUP(D938,契約台帳!$A$3:$N$4986,14,FALSE))))</f>
        <v>1200</v>
      </c>
      <c r="S938" s="258">
        <f ca="1">IF(D938="","",IF(OFFSET(D938,-1,0)&lt;&gt;"","",IF(OR(J938="リード付け",J938="巻足し",J938="巻返しリード付け"),M938,VLOOKUP(D938,契約台帳!$A$3:$O$4986,15,FALSE))))</f>
        <v>1190</v>
      </c>
      <c r="T938" s="258">
        <f ca="1">IF(D938="","",IF(J938="リード付け",N938,IF(J938="巻返しリード付け",N938,IF(J938="巻足し",N938*P938+OFFSET(N938,1,0)*OFFSET(P938,1,0),VLOOKUP(D938,契約台帳!$A$3:$P$4986,16,FALSE)))))</f>
        <v>6000</v>
      </c>
      <c r="U938" s="38">
        <v>4</v>
      </c>
      <c r="V938" s="259">
        <f ca="1">IF(D938="","",IF(OFFSET(D938,-2,0)=D938,"",VLOOKUP(D938,契約台帳!$A$3:$R$4986,18,FALSE)))</f>
        <v>4</v>
      </c>
      <c r="W938" s="256" t="str">
        <f ca="1">IF(D938="","",IF(T938="","",IF(OR(J938="巻足し",J938="巻返しリード付け"),"",IF(J938="巻返し",VLOOKUP(F938&amp;K938&amp;M938,製品マスタ!$M$5:$AD$4999,18,FALSE),IF(OR(J938="リード付け",J938="巻返しリード付け"),"原反コア",IF(J938="スリット",VLOOKUP(F938&amp;K938&amp;R938,製品マスタ!$N$5:$AD$4999,17,FALSE),""))))))</f>
        <v>6ｲﾝﾁMｺｱ</v>
      </c>
      <c r="X938" s="256">
        <f ca="1">IF(D938="","",IF(T938="","",IF(J938="巻足し","",IF(J938="巻返し",VLOOKUP(F938&amp;K938&amp;M938,製品マスタ!$M$5:$AE$4999,19,FALSE),IF(OR(J938="リード付け",J938="巻返しリード付け"),"",IF(J938="スリット",VLOOKUP(F938&amp;K938&amp;R938,製品マスタ!$N$5:$AE$4999,18,FALSE),""))))))</f>
        <v>1220</v>
      </c>
      <c r="Y938" s="256">
        <f ca="1">IF(D938="","",IF(T938="","",VLOOKUP(D938,契約台帳!$A$3:$Q$4986,17,FALSE)))</f>
        <v>2</v>
      </c>
      <c r="Z938" s="256" t="str">
        <f ca="1">IF(D938="","",IF(T938="","",VLOOKUP(D938,契約台帳!$A$3:$E$4986,5,FALSE)))</f>
        <v>大阪シーリング印刷㈱</v>
      </c>
      <c r="AA938" s="54"/>
      <c r="AB938" s="200" t="str">
        <f>IFERROR((VLOOKUP(F938&amp;K938&amp;M938,製品マスタ!$M$5:$AM$4999,27,FALSE)),"")</f>
        <v>原反ケース再利用</v>
      </c>
      <c r="AC938" s="31"/>
      <c r="AD938" s="184"/>
      <c r="AE938" s="51"/>
      <c r="AF938" s="52"/>
      <c r="AG938" s="41"/>
      <c r="AH938" s="207"/>
      <c r="AI938" s="28"/>
      <c r="AJ938" s="28"/>
      <c r="AK938" s="28"/>
      <c r="AL938" s="28"/>
      <c r="AM938" s="12"/>
      <c r="AN938" s="12"/>
      <c r="AO938" s="12"/>
      <c r="AP938" s="12"/>
      <c r="AQ938" s="12"/>
      <c r="AR938" s="13"/>
      <c r="AS938" s="14"/>
    </row>
    <row r="939" spans="1:45" s="16" customFormat="1" ht="30.95" hidden="1" customHeight="1" x14ac:dyDescent="0.2">
      <c r="A939" s="35"/>
      <c r="B939" s="36"/>
      <c r="C939" s="43"/>
      <c r="D939" s="29"/>
      <c r="E939" s="29"/>
      <c r="F939" s="255"/>
      <c r="G939" s="256"/>
      <c r="H939" s="256"/>
      <c r="I939" s="200"/>
      <c r="J939" s="203"/>
      <c r="K939" s="200"/>
      <c r="L939" s="200"/>
      <c r="M939" s="37"/>
      <c r="N939" s="37"/>
      <c r="O939" s="153"/>
      <c r="P939" s="45"/>
      <c r="Q939" s="54"/>
      <c r="R939" s="260"/>
      <c r="S939" s="258"/>
      <c r="T939" s="258"/>
      <c r="U939" s="38"/>
      <c r="V939" s="261"/>
      <c r="W939" s="256"/>
      <c r="X939" s="256"/>
      <c r="Y939" s="256"/>
      <c r="Z939" s="256"/>
      <c r="AA939" s="54"/>
      <c r="AB939" s="200"/>
      <c r="AC939" s="31"/>
      <c r="AD939" s="184"/>
      <c r="AE939" s="51"/>
      <c r="AF939" s="52"/>
      <c r="AG939" s="41"/>
      <c r="AH939" s="207"/>
      <c r="AI939" s="28"/>
      <c r="AJ939" s="28"/>
      <c r="AK939" s="28"/>
      <c r="AL939" s="28"/>
      <c r="AM939" s="12"/>
      <c r="AN939" s="12"/>
      <c r="AO939" s="12"/>
      <c r="AP939" s="12"/>
      <c r="AQ939" s="12"/>
      <c r="AR939" s="13"/>
      <c r="AS939" s="14"/>
    </row>
    <row r="940" spans="1:45" s="16" customFormat="1" ht="30.95" hidden="1" customHeight="1" x14ac:dyDescent="0.2">
      <c r="A940" s="35"/>
      <c r="B940" s="36"/>
      <c r="C940" s="43"/>
      <c r="D940" s="29">
        <v>3717577</v>
      </c>
      <c r="E940" s="29">
        <v>4140971</v>
      </c>
      <c r="F940" s="255" t="str">
        <f>IF(D940="","",VLOOKUP(D940,契約台帳!$A$3:$K$4986,6,FALSE)&amp;VLOOKUP(D940,契約台帳!$A$3:$K$4986,7,FALSE)&amp;VLOOKUP(D940,契約台帳!$A$3:$K$4986,8,FALSE)&amp;VLOOKUP(D940,契約台帳!$A$3:$K$4986,9,FALSE)&amp;VLOOKUP(D940,契約台帳!$A$3:$K$4986,11,FALSE))</f>
        <v>3SNMCLBMSNEYK</v>
      </c>
      <c r="G940" s="256" t="str">
        <f>IF(D940="","",VLOOKUP(F940,製品マスタ!$G$5:$H$4999,2,FALSE))</f>
        <v>S</v>
      </c>
      <c r="H940" s="256" t="str">
        <f>IF(D940="","",VLOOKUP(F940,製品マスタ!$G$5:$K$4999,5,FALSE))</f>
        <v>MSNEYK</v>
      </c>
      <c r="I940" s="200" t="str">
        <f>IF(D940="","",VLOOKUP(F940,製品マスタ!$G$5:$L$4999,6,FALSE))</f>
        <v>ＭＳＮ　ＥＹＫ</v>
      </c>
      <c r="J940" s="203" t="s">
        <v>447</v>
      </c>
      <c r="K940" s="200">
        <f>IF(D940="","",VLOOKUP(D940,契約台帳!$A$3:$L$4986,12,FALSE))</f>
        <v>50</v>
      </c>
      <c r="L940" s="200" t="str">
        <f>IF(D940="","",INDEX(製品マスタ!$Q$5:$Q$4999,MATCH('S4'!F940&amp;'S4'!K940,製品マスタ!$AO$5:$AO$4999,0)))</f>
        <v>N-MAT</v>
      </c>
      <c r="M940" s="37">
        <v>1120</v>
      </c>
      <c r="N940" s="37">
        <v>8000</v>
      </c>
      <c r="O940" s="153">
        <v>1</v>
      </c>
      <c r="P940" s="45">
        <v>1</v>
      </c>
      <c r="Q940" s="54"/>
      <c r="R940" s="257">
        <f ca="1">IF(D940="","",IF(OFFSET(D940,-1,0)&lt;&gt;"","",IF(OR(J940="リード付け",J940="巻足し",J940="巻返しリード付け"),M940,VLOOKUP(D940,契約台帳!$A$3:$N$4986,14,FALSE))))</f>
        <v>1120</v>
      </c>
      <c r="S940" s="258">
        <f ca="1">IF(D940="","",IF(OFFSET(D940,-1,0)&lt;&gt;"","",IF(OR(J940="リード付け",J940="巻足し",J940="巻返しリード付け"),M940,VLOOKUP(D940,契約台帳!$A$3:$O$4986,15,FALSE))))</f>
        <v>1120</v>
      </c>
      <c r="T940" s="258">
        <f ca="1">IF(D940="","",IF(J940="リード付け",N940,IF(J940="巻返しリード付け",N940,IF(J940="巻足し",N940*P940+OFFSET(N940,1,0)*OFFSET(P940,1,0),VLOOKUP(D940,契約台帳!$A$3:$P$4986,16,FALSE)))))</f>
        <v>4000</v>
      </c>
      <c r="U940" s="38">
        <v>2</v>
      </c>
      <c r="V940" s="259">
        <f ca="1">IF(D940="","",IF(OFFSET(D940,-2,0)=D940,"",VLOOKUP(D940,契約台帳!$A$3:$R$4986,18,FALSE)))</f>
        <v>2</v>
      </c>
      <c r="W940" s="256" t="str">
        <f ca="1">IF(D940="","",IF(T940="","",IF(OR(J940="巻足し",J940="巻返しリード付け"),"",IF(J940="巻返し",VLOOKUP(F940&amp;K940&amp;M940,製品マスタ!$M$5:$AD$4999,18,FALSE),IF(OR(J940="リード付け",J940="巻返しリード付け"),"原反コア",IF(J940="スリット",VLOOKUP(F940&amp;K940&amp;R940,製品マスタ!$N$5:$AD$4999,17,FALSE),""))))))</f>
        <v>6ｲﾝﾁMｺｱ</v>
      </c>
      <c r="X940" s="256">
        <f ca="1">IF(D940="","",IF(T940="","",IF(J940="巻足し","",IF(J940="巻返し",VLOOKUP(F940&amp;K940&amp;M940,製品マスタ!$M$5:$AE$4999,19,FALSE),IF(OR(J940="リード付け",J940="巻返しリード付け"),"",IF(J940="スリット",VLOOKUP(F940&amp;K940&amp;R940,製品マスタ!$N$5:$AE$4999,18,FALSE),""))))))</f>
        <v>1140</v>
      </c>
      <c r="Y940" s="256">
        <f ca="1">IF(D940="","",IF(T940="","",VLOOKUP(D940,契約台帳!$A$3:$Q$4986,17,FALSE)))</f>
        <v>2</v>
      </c>
      <c r="Z940" s="256" t="str">
        <f ca="1">IF(D940="","",IF(T940="","",VLOOKUP(D940,契約台帳!$A$3:$E$4986,5,FALSE)))</f>
        <v>新タック化成㈱</v>
      </c>
      <c r="AA940" s="54"/>
      <c r="AB940" s="200" t="str">
        <f>IFERROR((VLOOKUP(F940&amp;K940&amp;M940,製品マスタ!$M$5:$AM$4999,27,FALSE)),"")</f>
        <v>原反ケース再利用</v>
      </c>
      <c r="AC940" s="31"/>
      <c r="AD940" s="184"/>
      <c r="AE940" s="51"/>
      <c r="AF940" s="52"/>
      <c r="AG940" s="41"/>
      <c r="AH940" s="207"/>
      <c r="AI940" s="28"/>
      <c r="AJ940" s="28"/>
      <c r="AK940" s="28"/>
      <c r="AL940" s="28"/>
      <c r="AM940" s="12"/>
      <c r="AN940" s="12"/>
      <c r="AO940" s="12"/>
      <c r="AP940" s="12"/>
      <c r="AQ940" s="12"/>
      <c r="AR940" s="13"/>
      <c r="AS940" s="14"/>
    </row>
    <row r="941" spans="1:45" s="16" customFormat="1" ht="30.95" hidden="1" customHeight="1" x14ac:dyDescent="0.2">
      <c r="A941" s="35"/>
      <c r="B941" s="36"/>
      <c r="C941" s="43"/>
      <c r="D941" s="29"/>
      <c r="E941" s="29"/>
      <c r="F941" s="255"/>
      <c r="G941" s="256"/>
      <c r="H941" s="256"/>
      <c r="I941" s="200"/>
      <c r="J941" s="203"/>
      <c r="K941" s="200"/>
      <c r="L941" s="200"/>
      <c r="M941" s="37"/>
      <c r="N941" s="37"/>
      <c r="O941" s="153"/>
      <c r="P941" s="45"/>
      <c r="Q941" s="54"/>
      <c r="R941" s="260"/>
      <c r="S941" s="258"/>
      <c r="T941" s="258"/>
      <c r="U941" s="38"/>
      <c r="V941" s="261"/>
      <c r="W941" s="256"/>
      <c r="X941" s="256"/>
      <c r="Y941" s="256"/>
      <c r="Z941" s="256"/>
      <c r="AA941" s="54"/>
      <c r="AB941" s="200"/>
      <c r="AC941" s="31"/>
      <c r="AD941" s="184"/>
      <c r="AE941" s="51"/>
      <c r="AF941" s="52"/>
      <c r="AG941" s="41"/>
      <c r="AH941" s="207"/>
      <c r="AI941" s="28"/>
      <c r="AJ941" s="28"/>
      <c r="AK941" s="28"/>
      <c r="AL941" s="28"/>
      <c r="AM941" s="12"/>
      <c r="AN941" s="12"/>
      <c r="AO941" s="12"/>
      <c r="AP941" s="12"/>
      <c r="AQ941" s="12"/>
      <c r="AR941" s="13"/>
      <c r="AS941" s="14"/>
    </row>
    <row r="942" spans="1:45" s="16" customFormat="1" ht="30.95" hidden="1" customHeight="1" x14ac:dyDescent="0.2">
      <c r="A942" s="35" t="s">
        <v>1419</v>
      </c>
      <c r="B942" s="36" t="s">
        <v>1408</v>
      </c>
      <c r="C942" s="43"/>
      <c r="D942" s="29">
        <v>3721218</v>
      </c>
      <c r="E942" s="29">
        <v>4140991</v>
      </c>
      <c r="F942" s="255" t="str">
        <f>IF(D942="","",VLOOKUP(D942,契約台帳!$A$3:$K$4986,6,FALSE)&amp;VLOOKUP(D942,契約台帳!$A$3:$K$4986,7,FALSE)&amp;VLOOKUP(D942,契約台帳!$A$3:$K$4986,8,FALSE)&amp;VLOOKUP(D942,契約台帳!$A$3:$K$4986,9,FALSE)&amp;VLOOKUP(D942,契約台帳!$A$3:$K$4986,11,FALSE))</f>
        <v>3SNMCLBNGTVB</v>
      </c>
      <c r="G942" s="256" t="str">
        <f>IF(D942="","",VLOOKUP(F942,製品マスタ!$G$5:$H$4999,2,FALSE))</f>
        <v>S</v>
      </c>
      <c r="H942" s="256" t="str">
        <f>IF(D942="","",VLOOKUP(F942,製品マスタ!$G$5:$K$4999,5,FALSE))</f>
        <v>NGTVB</v>
      </c>
      <c r="I942" s="200" t="str">
        <f>IF(D942="","",VLOOKUP(F942,製品マスタ!$G$5:$L$4999,6,FALSE))</f>
        <v>メタルミー　ネーマー　銀艶ＶＢ</v>
      </c>
      <c r="J942" s="203" t="s">
        <v>463</v>
      </c>
      <c r="K942" s="200">
        <f>IF(D942="","",VLOOKUP(D942,契約台帳!$A$3:$L$4986,12,FALSE))</f>
        <v>50</v>
      </c>
      <c r="L942" s="200" t="str">
        <f>IF(D942="","",INDEX(製品マスタ!$Q$5:$Q$4999,MATCH('S4'!F942&amp;'S4'!K942,製品マスタ!$AO$5:$AO$4999,0)))</f>
        <v>T62</v>
      </c>
      <c r="M942" s="37">
        <v>1040</v>
      </c>
      <c r="N942" s="37">
        <v>6000</v>
      </c>
      <c r="O942" s="153">
        <v>1</v>
      </c>
      <c r="P942" s="45">
        <v>1</v>
      </c>
      <c r="Q942" s="54"/>
      <c r="R942" s="257">
        <f ca="1">IF(D942="","",IF(OFFSET(D942,-1,0)&lt;&gt;"","",IF(OR(J942="リード付け",J942="巻足し",J942="巻返しリード付け"),M942,VLOOKUP(D942,契約台帳!$A$3:$N$4986,14,FALSE))))</f>
        <v>1000</v>
      </c>
      <c r="S942" s="258">
        <f ca="1">IF(D942="","",IF(OFFSET(D942,-1,0)&lt;&gt;"","",IF(OR(J942="リード付け",J942="巻足し",J942="巻返しリード付け"),M942,VLOOKUP(D942,契約台帳!$A$3:$O$4986,15,FALSE))))</f>
        <v>1000</v>
      </c>
      <c r="T942" s="258">
        <f ca="1">IF(D942="","",IF(J942="リード付け",N942,IF(J942="巻返しリード付け",N942,IF(J942="巻足し",N942*P942+OFFSET(N942,1,0)*OFFSET(P942,1,0),VLOOKUP(D942,契約台帳!$A$3:$P$4986,16,FALSE)))))</f>
        <v>3000</v>
      </c>
      <c r="U942" s="38">
        <v>2</v>
      </c>
      <c r="V942" s="259">
        <f ca="1">IF(D942="","",IF(OFFSET(D942,-2,0)=D942,"",VLOOKUP(D942,契約台帳!$A$3:$R$4986,18,FALSE)))</f>
        <v>2</v>
      </c>
      <c r="W942" s="256" t="str">
        <f ca="1">IF(D942="","",IF(T942="","",IF(OR(J942="巻足し",J942="巻返しリード付け"),"",IF(J942="巻返し",VLOOKUP(F942&amp;K942&amp;M942,製品マスタ!$M$5:$AD$4999,18,FALSE),IF(OR(J942="リード付け",J942="巻返しリード付け"),"原反コア",IF(J942="スリット",VLOOKUP(F942&amp;K942&amp;R942,製品マスタ!$N$5:$AD$4999,17,FALSE),""))))))</f>
        <v>6ｲﾝﾁMｺｱ</v>
      </c>
      <c r="X942" s="256">
        <f ca="1">IF(D942="","",IF(T942="","",IF(J942="巻足し","",IF(J942="巻返し",VLOOKUP(F942&amp;K942&amp;M942,製品マスタ!$M$5:$AE$4999,19,FALSE),IF(OR(J942="リード付け",J942="巻返しリード付け"),"",IF(J942="スリット",VLOOKUP(F942&amp;K942&amp;R942,製品マスタ!$N$5:$AE$4999,18,FALSE),""))))))</f>
        <v>1020</v>
      </c>
      <c r="Y942" s="256">
        <f ca="1">IF(D942="","",IF(T942="","",VLOOKUP(D942,契約台帳!$A$3:$Q$4986,17,FALSE)))</f>
        <v>2</v>
      </c>
      <c r="Z942" s="256" t="str">
        <f ca="1">IF(D942="","",IF(T942="","",VLOOKUP(D942,契約台帳!$A$3:$E$4986,5,FALSE)))</f>
        <v>リンテック㈱</v>
      </c>
      <c r="AA942" s="54"/>
      <c r="AB942" s="200"/>
      <c r="AC942" s="31"/>
      <c r="AD942" s="184"/>
      <c r="AE942" s="51"/>
      <c r="AF942" s="52"/>
      <c r="AG942" s="41"/>
      <c r="AH942" s="207"/>
      <c r="AI942" s="28"/>
      <c r="AJ942" s="28"/>
      <c r="AK942" s="28"/>
      <c r="AL942" s="28"/>
      <c r="AM942" s="12"/>
      <c r="AN942" s="12"/>
      <c r="AO942" s="12"/>
      <c r="AP942" s="12"/>
      <c r="AQ942" s="12"/>
      <c r="AR942" s="13"/>
      <c r="AS942" s="14"/>
    </row>
    <row r="943" spans="1:45" s="16" customFormat="1" ht="30.95" hidden="1" customHeight="1" x14ac:dyDescent="0.2">
      <c r="A943" s="35"/>
      <c r="B943" s="36"/>
      <c r="C943" s="43"/>
      <c r="D943" s="29"/>
      <c r="E943" s="29"/>
      <c r="F943" s="255"/>
      <c r="G943" s="256"/>
      <c r="H943" s="256"/>
      <c r="I943" s="200"/>
      <c r="J943" s="203"/>
      <c r="K943" s="200"/>
      <c r="L943" s="200"/>
      <c r="M943" s="37"/>
      <c r="N943" s="37"/>
      <c r="O943" s="153"/>
      <c r="P943" s="45"/>
      <c r="Q943" s="54"/>
      <c r="R943" s="260"/>
      <c r="S943" s="258"/>
      <c r="T943" s="258"/>
      <c r="U943" s="38"/>
      <c r="V943" s="261"/>
      <c r="W943" s="256"/>
      <c r="X943" s="256"/>
      <c r="Y943" s="256"/>
      <c r="Z943" s="256"/>
      <c r="AA943" s="54"/>
      <c r="AB943" s="200"/>
      <c r="AC943" s="31"/>
      <c r="AD943" s="184"/>
      <c r="AE943" s="51"/>
      <c r="AF943" s="52"/>
      <c r="AG943" s="41"/>
      <c r="AH943" s="207"/>
      <c r="AI943" s="28"/>
      <c r="AJ943" s="28"/>
      <c r="AK943" s="28"/>
      <c r="AL943" s="28"/>
      <c r="AM943" s="12"/>
      <c r="AN943" s="12"/>
      <c r="AO943" s="12"/>
      <c r="AP943" s="12"/>
      <c r="AQ943" s="12"/>
      <c r="AR943" s="13"/>
      <c r="AS943" s="14"/>
    </row>
    <row r="944" spans="1:45" s="16" customFormat="1" ht="30.95" hidden="1" customHeight="1" x14ac:dyDescent="0.2">
      <c r="A944" s="35"/>
      <c r="B944" s="36"/>
      <c r="C944" s="43"/>
      <c r="D944" s="29">
        <v>3721222</v>
      </c>
      <c r="E944" s="29">
        <v>4140985</v>
      </c>
      <c r="F944" s="255" t="str">
        <f>IF(D944="","",VLOOKUP(D944,契約台帳!$A$3:$K$4986,6,FALSE)&amp;VLOOKUP(D944,契約台帳!$A$3:$K$4986,7,FALSE)&amp;VLOOKUP(D944,契約台帳!$A$3:$K$4986,8,FALSE)&amp;VLOOKUP(D944,契約台帳!$A$3:$K$4986,9,FALSE)&amp;VLOOKUP(D944,契約台帳!$A$3:$K$4986,11,FALSE))</f>
        <v>33SSNMCLBTETKFV</v>
      </c>
      <c r="G944" s="256" t="str">
        <f>IF(D944="","",VLOOKUP(F944,製品マスタ!$G$5:$H$4999,2,FALSE))</f>
        <v>S</v>
      </c>
      <c r="H944" s="256" t="str">
        <f>IF(D944="","",VLOOKUP(F944,製品マスタ!$G$5:$K$4999,5,FALSE))</f>
        <v>TETKFV</v>
      </c>
      <c r="I944" s="200" t="str">
        <f>IF(D944="","",VLOOKUP(F944,製品マスタ!$G$5:$L$4999,6,FALSE))</f>
        <v>メタルミー　ＴＥＳ艶開封　Ｖ</v>
      </c>
      <c r="J944" s="203" t="s">
        <v>447</v>
      </c>
      <c r="K944" s="200">
        <f>IF(D944="","",VLOOKUP(D944,契約台帳!$A$3:$L$4986,12,FALSE))</f>
        <v>50</v>
      </c>
      <c r="L944" s="200" t="str">
        <f>IF(D944="","",INDEX(製品マスタ!$Q$5:$Q$4999,MATCH('S4'!F944&amp;'S4'!K944,製品マスタ!$AO$5:$AO$4999,0)))</f>
        <v>S28SEPA</v>
      </c>
      <c r="M944" s="37">
        <v>1005</v>
      </c>
      <c r="N944" s="37">
        <v>12300</v>
      </c>
      <c r="O944" s="153">
        <v>2</v>
      </c>
      <c r="P944" s="45">
        <v>2</v>
      </c>
      <c r="Q944" s="54"/>
      <c r="R944" s="257">
        <f ca="1">IF(D944="","",IF(OFFSET(D944,-1,0)&lt;&gt;"","",IF(OR(J944="リード付け",J944="巻足し",J944="巻返しリード付け"),M944,VLOOKUP(D944,契約台帳!$A$3:$N$4986,14,FALSE))))</f>
        <v>1005</v>
      </c>
      <c r="S944" s="258">
        <f ca="1">IF(D944="","",IF(OFFSET(D944,-1,0)&lt;&gt;"","",IF(OR(J944="リード付け",J944="巻足し",J944="巻返しリード付け"),M944,VLOOKUP(D944,契約台帳!$A$3:$O$4986,15,FALSE))))</f>
        <v>1000</v>
      </c>
      <c r="T944" s="258">
        <f ca="1">IF(D944="","",IF(J944="リード付け",N944,IF(J944="巻返しリード付け",N944,IF(J944="巻足し",N944*P944+OFFSET(N944,1,0)*OFFSET(P944,1,0),VLOOKUP(D944,契約台帳!$A$3:$P$4986,16,FALSE)))))</f>
        <v>4100</v>
      </c>
      <c r="U944" s="38">
        <v>6</v>
      </c>
      <c r="V944" s="259">
        <f ca="1">IF(D944="","",IF(OFFSET(D944,-2,0)=D944,"",VLOOKUP(D944,契約台帳!$A$3:$R$4986,18,FALSE)))</f>
        <v>6</v>
      </c>
      <c r="W944" s="256" t="str">
        <f ca="1">IF(D944="","",IF(T944="","",IF(OR(J944="巻足し",J944="巻返しリード付け"),"",IF(J944="巻返し",VLOOKUP(F944&amp;K944&amp;M944,製品マスタ!$M$5:$AD$4999,18,FALSE),IF(OR(J944="リード付け",J944="巻返しリード付け"),"原反コア",IF(J944="スリット",VLOOKUP(F944&amp;K944&amp;R944,製品マスタ!$N$5:$AD$4999,17,FALSE),""))))))</f>
        <v>6ｲﾝﾁSｺｱ</v>
      </c>
      <c r="X944" s="256">
        <f ca="1">IF(D944="","",IF(T944="","",IF(J944="巻足し","",IF(J944="巻返し",VLOOKUP(F944&amp;K944&amp;M944,製品マスタ!$M$5:$AE$4999,19,FALSE),IF(OR(J944="リード付け",J944="巻返しリード付け"),"",IF(J944="スリット",VLOOKUP(F944&amp;K944&amp;R944,製品マスタ!$N$5:$AE$4999,18,FALSE),""))))))</f>
        <v>1015</v>
      </c>
      <c r="Y944" s="256">
        <f ca="1">IF(D944="","",IF(T944="","",VLOOKUP(D944,契約台帳!$A$3:$Q$4986,17,FALSE)))</f>
        <v>2</v>
      </c>
      <c r="Z944" s="256" t="str">
        <f ca="1">IF(D944="","",IF(T944="","",VLOOKUP(D944,契約台帳!$A$3:$E$4986,5,FALSE)))</f>
        <v>リンテック㈱</v>
      </c>
      <c r="AA944" s="54"/>
      <c r="AB944" s="200"/>
      <c r="AC944" s="31"/>
      <c r="AD944" s="184"/>
      <c r="AE944" s="51"/>
      <c r="AF944" s="52"/>
      <c r="AG944" s="41"/>
      <c r="AH944" s="207"/>
      <c r="AI944" s="28"/>
      <c r="AJ944" s="28"/>
      <c r="AK944" s="28"/>
      <c r="AL944" s="28"/>
      <c r="AM944" s="12"/>
      <c r="AN944" s="12"/>
      <c r="AO944" s="12"/>
      <c r="AP944" s="12"/>
      <c r="AQ944" s="12"/>
      <c r="AR944" s="13"/>
      <c r="AS944" s="14"/>
    </row>
    <row r="945" spans="1:45" s="16" customFormat="1" ht="30.95" hidden="1" customHeight="1" x14ac:dyDescent="0.2">
      <c r="A945" s="35"/>
      <c r="B945" s="36"/>
      <c r="C945" s="43"/>
      <c r="D945" s="29"/>
      <c r="E945" s="29"/>
      <c r="F945" s="255"/>
      <c r="G945" s="256"/>
      <c r="H945" s="256"/>
      <c r="I945" s="200"/>
      <c r="J945" s="203"/>
      <c r="K945" s="200"/>
      <c r="L945" s="200"/>
      <c r="M945" s="37"/>
      <c r="N945" s="37"/>
      <c r="O945" s="153"/>
      <c r="P945" s="45"/>
      <c r="Q945" s="54"/>
      <c r="R945" s="260"/>
      <c r="S945" s="258"/>
      <c r="T945" s="258"/>
      <c r="U945" s="38"/>
      <c r="V945" s="261"/>
      <c r="W945" s="256"/>
      <c r="X945" s="256"/>
      <c r="Y945" s="256"/>
      <c r="Z945" s="256"/>
      <c r="AA945" s="54"/>
      <c r="AB945" s="200"/>
      <c r="AC945" s="31"/>
      <c r="AD945" s="184"/>
      <c r="AE945" s="51"/>
      <c r="AF945" s="52"/>
      <c r="AG945" s="41"/>
      <c r="AH945" s="207"/>
      <c r="AI945" s="28"/>
      <c r="AJ945" s="28"/>
      <c r="AK945" s="28"/>
      <c r="AL945" s="28"/>
      <c r="AM945" s="12"/>
      <c r="AN945" s="12"/>
      <c r="AO945" s="12"/>
      <c r="AP945" s="12"/>
      <c r="AQ945" s="12"/>
      <c r="AR945" s="13"/>
      <c r="AS945" s="14"/>
    </row>
    <row r="946" spans="1:45" s="16" customFormat="1" ht="30.95" hidden="1" customHeight="1" x14ac:dyDescent="0.2">
      <c r="A946" s="35"/>
      <c r="B946" s="36"/>
      <c r="C946" s="43"/>
      <c r="D946" s="29">
        <v>3721220</v>
      </c>
      <c r="E946" s="29">
        <v>4140983</v>
      </c>
      <c r="F946" s="255" t="str">
        <f>IF(D946="","",VLOOKUP(D946,契約台帳!$A$3:$K$4986,6,FALSE)&amp;VLOOKUP(D946,契約台帳!$A$3:$K$4986,7,FALSE)&amp;VLOOKUP(D946,契約台帳!$A$3:$K$4986,8,FALSE)&amp;VLOOKUP(D946,契約台帳!$A$3:$K$4986,9,FALSE)&amp;VLOOKUP(D946,契約台帳!$A$3:$K$4986,11,FALSE))</f>
        <v>33SSNMCLBTEKKFV</v>
      </c>
      <c r="G946" s="256" t="str">
        <f>IF(D946="","",VLOOKUP(F946,製品マスタ!$G$5:$H$4999,2,FALSE))</f>
        <v>S</v>
      </c>
      <c r="H946" s="256" t="str">
        <f>IF(D946="","",VLOOKUP(F946,製品マスタ!$G$5:$K$4999,5,FALSE))</f>
        <v>TEKKFV</v>
      </c>
      <c r="I946" s="200" t="str">
        <f>IF(D946="","",VLOOKUP(F946,製品マスタ!$G$5:$L$4999,6,FALSE))</f>
        <v>メタルミー　ＴＥＳ消開封　Ｖ</v>
      </c>
      <c r="J946" s="203" t="s">
        <v>447</v>
      </c>
      <c r="K946" s="200">
        <f>IF(D946="","",VLOOKUP(D946,契約台帳!$A$3:$L$4986,12,FALSE))</f>
        <v>50</v>
      </c>
      <c r="L946" s="200" t="str">
        <f>IF(D946="","",INDEX(製品マスタ!$Q$5:$Q$4999,MATCH('S4'!F946&amp;'S4'!K946,製品マスタ!$AO$5:$AO$4999,0)))</f>
        <v>X44SEPA</v>
      </c>
      <c r="M946" s="37">
        <v>1005</v>
      </c>
      <c r="N946" s="37">
        <v>12000</v>
      </c>
      <c r="O946" s="153">
        <v>1</v>
      </c>
      <c r="P946" s="45">
        <v>1</v>
      </c>
      <c r="Q946" s="54"/>
      <c r="R946" s="257">
        <f ca="1">IF(D946="","",IF(OFFSET(D946,-1,0)&lt;&gt;"","",IF(OR(J946="リード付け",J946="巻足し",J946="巻返しリード付け"),M946,VLOOKUP(D946,契約台帳!$A$3:$N$4986,14,FALSE))))</f>
        <v>1005</v>
      </c>
      <c r="S946" s="258">
        <f ca="1">IF(D946="","",IF(OFFSET(D946,-1,0)&lt;&gt;"","",IF(OR(J946="リード付け",J946="巻足し",J946="巻返しリード付け"),M946,VLOOKUP(D946,契約台帳!$A$3:$O$4986,15,FALSE))))</f>
        <v>1000</v>
      </c>
      <c r="T946" s="258">
        <f ca="1">IF(D946="","",IF(J946="リード付け",N946,IF(J946="巻返しリード付け",N946,IF(J946="巻足し",N946*P946+OFFSET(N946,1,0)*OFFSET(P946,1,0),VLOOKUP(D946,契約台帳!$A$3:$P$4986,16,FALSE)))))</f>
        <v>4000</v>
      </c>
      <c r="U946" s="38">
        <v>3</v>
      </c>
      <c r="V946" s="259">
        <f ca="1">IF(D946="","",IF(OFFSET(D946,-2,0)=D946,"",VLOOKUP(D946,契約台帳!$A$3:$R$4986,18,FALSE)))</f>
        <v>3</v>
      </c>
      <c r="W946" s="256" t="str">
        <f ca="1">IF(D946="","",IF(T946="","",IF(OR(J946="巻足し",J946="巻返しリード付け"),"",IF(J946="巻返し",VLOOKUP(F946&amp;K946&amp;M946,製品マスタ!$M$5:$AD$4999,18,FALSE),IF(OR(J946="リード付け",J946="巻返しリード付け"),"原反コア",IF(J946="スリット",VLOOKUP(F946&amp;K946&amp;R946,製品マスタ!$N$5:$AD$4999,17,FALSE),""))))))</f>
        <v>6ｲﾝﾁSｺｱ</v>
      </c>
      <c r="X946" s="256">
        <f ca="1">IF(D946="","",IF(T946="","",IF(J946="巻足し","",IF(J946="巻返し",VLOOKUP(F946&amp;K946&amp;M946,製品マスタ!$M$5:$AE$4999,19,FALSE),IF(OR(J946="リード付け",J946="巻返しリード付け"),"",IF(J946="スリット",VLOOKUP(F946&amp;K946&amp;R946,製品マスタ!$N$5:$AE$4999,18,FALSE),""))))))</f>
        <v>1015</v>
      </c>
      <c r="Y946" s="256">
        <f ca="1">IF(D946="","",IF(T946="","",VLOOKUP(D946,契約台帳!$A$3:$Q$4986,17,FALSE)))</f>
        <v>2</v>
      </c>
      <c r="Z946" s="256" t="str">
        <f ca="1">IF(D946="","",IF(T946="","",VLOOKUP(D946,契約台帳!$A$3:$E$4986,5,FALSE)))</f>
        <v>リンテック㈱</v>
      </c>
      <c r="AA946" s="54"/>
      <c r="AB946" s="200"/>
      <c r="AC946" s="31"/>
      <c r="AD946" s="184"/>
      <c r="AE946" s="51"/>
      <c r="AF946" s="52"/>
      <c r="AG946" s="41"/>
      <c r="AH946" s="207"/>
      <c r="AI946" s="28"/>
      <c r="AJ946" s="28"/>
      <c r="AK946" s="28"/>
      <c r="AL946" s="28"/>
      <c r="AM946" s="12"/>
      <c r="AN946" s="12"/>
      <c r="AO946" s="12"/>
      <c r="AP946" s="12"/>
      <c r="AQ946" s="12"/>
      <c r="AR946" s="13"/>
      <c r="AS946" s="14"/>
    </row>
    <row r="947" spans="1:45" s="16" customFormat="1" ht="30.95" hidden="1" customHeight="1" x14ac:dyDescent="0.2">
      <c r="A947" s="35"/>
      <c r="B947" s="36"/>
      <c r="C947" s="43"/>
      <c r="D947" s="29"/>
      <c r="E947" s="29"/>
      <c r="F947" s="255"/>
      <c r="G947" s="256"/>
      <c r="H947" s="256"/>
      <c r="I947" s="200"/>
      <c r="J947" s="203"/>
      <c r="K947" s="200"/>
      <c r="L947" s="200"/>
      <c r="M947" s="37"/>
      <c r="N947" s="37"/>
      <c r="O947" s="153"/>
      <c r="P947" s="45"/>
      <c r="Q947" s="54"/>
      <c r="R947" s="260"/>
      <c r="S947" s="258"/>
      <c r="T947" s="258"/>
      <c r="U947" s="38"/>
      <c r="V947" s="261"/>
      <c r="W947" s="256"/>
      <c r="X947" s="256"/>
      <c r="Y947" s="256"/>
      <c r="Z947" s="256"/>
      <c r="AA947" s="54"/>
      <c r="AB947" s="200"/>
      <c r="AC947" s="31"/>
      <c r="AD947" s="184"/>
      <c r="AE947" s="51"/>
      <c r="AF947" s="52"/>
      <c r="AG947" s="41"/>
      <c r="AH947" s="207"/>
      <c r="AI947" s="28"/>
      <c r="AJ947" s="28"/>
      <c r="AK947" s="28"/>
      <c r="AL947" s="28"/>
      <c r="AM947" s="12"/>
      <c r="AN947" s="12"/>
      <c r="AO947" s="12"/>
      <c r="AP947" s="12"/>
      <c r="AQ947" s="12"/>
      <c r="AR947" s="13"/>
      <c r="AS947" s="14"/>
    </row>
    <row r="948" spans="1:45" s="16" customFormat="1" ht="30.95" hidden="1" customHeight="1" x14ac:dyDescent="0.2">
      <c r="A948" s="35" t="s">
        <v>1420</v>
      </c>
      <c r="B948" s="36" t="s">
        <v>1409</v>
      </c>
      <c r="C948" s="43"/>
      <c r="D948" s="29">
        <v>3721221</v>
      </c>
      <c r="E948" s="29">
        <v>4140984</v>
      </c>
      <c r="F948" s="255" t="str">
        <f>IF(D948="","",VLOOKUP(D948,契約台帳!$A$3:$K$4986,6,FALSE)&amp;VLOOKUP(D948,契約台帳!$A$3:$K$4986,7,FALSE)&amp;VLOOKUP(D948,契約台帳!$A$3:$K$4986,8,FALSE)&amp;VLOOKUP(D948,契約台帳!$A$3:$K$4986,9,FALSE)&amp;VLOOKUP(D948,契約台帳!$A$3:$K$4986,11,FALSE))</f>
        <v>33SSNMCLBTEKV0V</v>
      </c>
      <c r="G948" s="256" t="str">
        <f>IF(D948="","",VLOOKUP(F948,製品マスタ!$G$5:$H$4999,2,FALSE))</f>
        <v>S</v>
      </c>
      <c r="H948" s="256" t="str">
        <f>IF(D948="","",VLOOKUP(F948,製品マスタ!$G$5:$K$4999,5,FALSE))</f>
        <v>TEKV0V</v>
      </c>
      <c r="I948" s="200" t="str">
        <f>IF(D948="","",VLOOKUP(F948,製品マスタ!$G$5:$L$4999,6,FALSE))</f>
        <v>メタルミー　ＴＥ－Ｓ消　ＶＯＩＤ　Ｖ</v>
      </c>
      <c r="J948" s="203" t="s">
        <v>447</v>
      </c>
      <c r="K948" s="200">
        <f>IF(D948="","",VLOOKUP(D948,契約台帳!$A$3:$L$4986,12,FALSE))</f>
        <v>50</v>
      </c>
      <c r="L948" s="200" t="str">
        <f>IF(D948="","",INDEX(製品マスタ!$Q$5:$Q$4999,MATCH('S4'!F948&amp;'S4'!K948,製品マスタ!$AO$5:$AO$4999,0)))</f>
        <v>X44SEPA</v>
      </c>
      <c r="M948" s="37">
        <v>1005</v>
      </c>
      <c r="N948" s="37">
        <v>12000</v>
      </c>
      <c r="O948" s="153">
        <v>4</v>
      </c>
      <c r="P948" s="45">
        <v>4</v>
      </c>
      <c r="Q948" s="54"/>
      <c r="R948" s="257">
        <f ca="1">IF(D948="","",IF(OFFSET(D948,-1,0)&lt;&gt;"","",IF(OR(J948="リード付け",J948="巻足し",J948="巻返しリード付け"),M948,VLOOKUP(D948,契約台帳!$A$3:$N$4986,14,FALSE))))</f>
        <v>1005</v>
      </c>
      <c r="S948" s="258">
        <f ca="1">IF(D948="","",IF(OFFSET(D948,-1,0)&lt;&gt;"","",IF(OR(J948="リード付け",J948="巻足し",J948="巻返しリード付け"),M948,VLOOKUP(D948,契約台帳!$A$3:$O$4986,15,FALSE))))</f>
        <v>1000</v>
      </c>
      <c r="T948" s="258">
        <f ca="1">IF(D948="","",IF(J948="リード付け",N948,IF(J948="巻返しリード付け",N948,IF(J948="巻足し",N948*P948+OFFSET(N948,1,0)*OFFSET(P948,1,0),VLOOKUP(D948,契約台帳!$A$3:$P$4986,16,FALSE)))))</f>
        <v>4000</v>
      </c>
      <c r="U948" s="38">
        <v>12</v>
      </c>
      <c r="V948" s="259">
        <f ca="1">IF(D948="","",IF(OFFSET(D948,-2,0)=D948,"",VLOOKUP(D948,契約台帳!$A$3:$R$4986,18,FALSE)))</f>
        <v>12</v>
      </c>
      <c r="W948" s="256" t="str">
        <f ca="1">IF(D948="","",IF(T948="","",IF(OR(J948="巻足し",J948="巻返しリード付け"),"",IF(J948="巻返し",VLOOKUP(F948&amp;K948&amp;M948,製品マスタ!$M$5:$AD$4999,18,FALSE),IF(OR(J948="リード付け",J948="巻返しリード付け"),"原反コア",IF(J948="スリット",VLOOKUP(F948&amp;K948&amp;R948,製品マスタ!$N$5:$AD$4999,17,FALSE),""))))))</f>
        <v>6ｲﾝﾁSｺｱ</v>
      </c>
      <c r="X948" s="256">
        <f ca="1">IF(D948="","",IF(T948="","",IF(J948="巻足し","",IF(J948="巻返し",VLOOKUP(F948&amp;K948&amp;M948,製品マスタ!$M$5:$AE$4999,19,FALSE),IF(OR(J948="リード付け",J948="巻返しリード付け"),"",IF(J948="スリット",VLOOKUP(F948&amp;K948&amp;R948,製品マスタ!$N$5:$AE$4999,18,FALSE),""))))))</f>
        <v>1015</v>
      </c>
      <c r="Y948" s="256">
        <f ca="1">IF(D948="","",IF(T948="","",VLOOKUP(D948,契約台帳!$A$3:$Q$4986,17,FALSE)))</f>
        <v>2</v>
      </c>
      <c r="Z948" s="256" t="str">
        <f ca="1">IF(D948="","",IF(T948="","",VLOOKUP(D948,契約台帳!$A$3:$E$4986,5,FALSE)))</f>
        <v>リンテック㈱</v>
      </c>
      <c r="AA948" s="54"/>
      <c r="AB948" s="200"/>
      <c r="AC948" s="31"/>
      <c r="AD948" s="184"/>
      <c r="AE948" s="51"/>
      <c r="AF948" s="52"/>
      <c r="AG948" s="41"/>
      <c r="AH948" s="207"/>
      <c r="AI948" s="28"/>
      <c r="AJ948" s="28"/>
      <c r="AK948" s="28"/>
      <c r="AL948" s="28"/>
      <c r="AM948" s="12"/>
      <c r="AN948" s="12"/>
      <c r="AO948" s="12"/>
      <c r="AP948" s="12"/>
      <c r="AQ948" s="12"/>
      <c r="AR948" s="13"/>
      <c r="AS948" s="14"/>
    </row>
    <row r="949" spans="1:45" s="16" customFormat="1" ht="30.95" hidden="1" customHeight="1" x14ac:dyDescent="0.2">
      <c r="A949" s="35"/>
      <c r="B949" s="36"/>
      <c r="C949" s="43"/>
      <c r="D949" s="29"/>
      <c r="E949" s="29"/>
      <c r="F949" s="255"/>
      <c r="G949" s="256"/>
      <c r="H949" s="256"/>
      <c r="I949" s="200"/>
      <c r="J949" s="203"/>
      <c r="K949" s="200"/>
      <c r="L949" s="200"/>
      <c r="M949" s="37"/>
      <c r="N949" s="37"/>
      <c r="O949" s="153"/>
      <c r="P949" s="45"/>
      <c r="Q949" s="54"/>
      <c r="R949" s="260"/>
      <c r="S949" s="258"/>
      <c r="T949" s="258"/>
      <c r="U949" s="38"/>
      <c r="V949" s="261"/>
      <c r="W949" s="256"/>
      <c r="X949" s="256"/>
      <c r="Y949" s="256"/>
      <c r="Z949" s="256"/>
      <c r="AA949" s="54"/>
      <c r="AB949" s="200"/>
      <c r="AC949" s="31"/>
      <c r="AD949" s="184"/>
      <c r="AE949" s="51"/>
      <c r="AF949" s="52"/>
      <c r="AG949" s="41"/>
      <c r="AH949" s="207"/>
      <c r="AI949" s="28"/>
      <c r="AJ949" s="28"/>
      <c r="AK949" s="28"/>
      <c r="AL949" s="28"/>
      <c r="AM949" s="12"/>
      <c r="AN949" s="12"/>
      <c r="AO949" s="12"/>
      <c r="AP949" s="12"/>
      <c r="AQ949" s="12"/>
      <c r="AR949" s="13"/>
      <c r="AS949" s="14"/>
    </row>
    <row r="950" spans="1:45" s="16" customFormat="1" ht="30.95" hidden="1" customHeight="1" x14ac:dyDescent="0.2">
      <c r="A950" s="35" t="s">
        <v>1421</v>
      </c>
      <c r="B950" s="36" t="s">
        <v>1397</v>
      </c>
      <c r="C950" s="43"/>
      <c r="D950" s="29"/>
      <c r="E950" s="29"/>
      <c r="F950" s="255"/>
      <c r="G950" s="256"/>
      <c r="H950" s="256"/>
      <c r="I950" s="200"/>
      <c r="J950" s="203" t="s">
        <v>1428</v>
      </c>
      <c r="K950" s="200"/>
      <c r="L950" s="200"/>
      <c r="M950" s="37"/>
      <c r="N950" s="37"/>
      <c r="O950" s="153"/>
      <c r="P950" s="45"/>
      <c r="Q950" s="54"/>
      <c r="R950" s="260"/>
      <c r="S950" s="258"/>
      <c r="T950" s="258"/>
      <c r="U950" s="38"/>
      <c r="V950" s="261"/>
      <c r="W950" s="256"/>
      <c r="X950" s="256"/>
      <c r="Y950" s="256"/>
      <c r="Z950" s="256"/>
      <c r="AA950" s="54"/>
      <c r="AB950" s="200"/>
      <c r="AC950" s="31"/>
      <c r="AD950" s="184"/>
      <c r="AE950" s="51"/>
      <c r="AF950" s="52"/>
      <c r="AG950" s="41"/>
      <c r="AH950" s="207"/>
      <c r="AI950" s="28"/>
      <c r="AJ950" s="28"/>
      <c r="AK950" s="28"/>
      <c r="AL950" s="28"/>
      <c r="AM950" s="12"/>
      <c r="AN950" s="12"/>
      <c r="AO950" s="12"/>
      <c r="AP950" s="12"/>
      <c r="AQ950" s="12"/>
      <c r="AR950" s="13"/>
      <c r="AS950" s="14"/>
    </row>
    <row r="951" spans="1:45" s="16" customFormat="1" ht="30.95" hidden="1" customHeight="1" x14ac:dyDescent="0.2">
      <c r="A951" s="35"/>
      <c r="B951" s="36"/>
      <c r="C951" s="43"/>
      <c r="D951" s="29"/>
      <c r="E951" s="29"/>
      <c r="F951" s="255"/>
      <c r="G951" s="256"/>
      <c r="H951" s="256"/>
      <c r="I951" s="200"/>
      <c r="J951" s="203"/>
      <c r="K951" s="200"/>
      <c r="L951" s="200"/>
      <c r="M951" s="37"/>
      <c r="N951" s="37"/>
      <c r="O951" s="153"/>
      <c r="P951" s="45"/>
      <c r="Q951" s="54"/>
      <c r="R951" s="260"/>
      <c r="S951" s="258"/>
      <c r="T951" s="258"/>
      <c r="U951" s="38"/>
      <c r="V951" s="261"/>
      <c r="W951" s="256"/>
      <c r="X951" s="256"/>
      <c r="Y951" s="256"/>
      <c r="Z951" s="256"/>
      <c r="AA951" s="54"/>
      <c r="AB951" s="200"/>
      <c r="AC951" s="31"/>
      <c r="AD951" s="184"/>
      <c r="AE951" s="51"/>
      <c r="AF951" s="52"/>
      <c r="AG951" s="41"/>
      <c r="AH951" s="207"/>
      <c r="AI951" s="28"/>
      <c r="AJ951" s="28"/>
      <c r="AK951" s="28"/>
      <c r="AL951" s="28"/>
      <c r="AM951" s="12"/>
      <c r="AN951" s="12"/>
      <c r="AO951" s="12"/>
      <c r="AP951" s="12"/>
      <c r="AQ951" s="12"/>
      <c r="AR951" s="13"/>
      <c r="AS951" s="14"/>
    </row>
    <row r="952" spans="1:45" s="16" customFormat="1" ht="30.95" hidden="1" customHeight="1" x14ac:dyDescent="0.2">
      <c r="A952" s="35" t="s">
        <v>1422</v>
      </c>
      <c r="B952" s="36" t="s">
        <v>392</v>
      </c>
      <c r="C952" s="43"/>
      <c r="D952" s="29"/>
      <c r="E952" s="29"/>
      <c r="F952" s="255"/>
      <c r="G952" s="256"/>
      <c r="H952" s="256"/>
      <c r="I952" s="200"/>
      <c r="J952" s="203" t="s">
        <v>1428</v>
      </c>
      <c r="K952" s="200"/>
      <c r="L952" s="200"/>
      <c r="M952" s="37"/>
      <c r="N952" s="37"/>
      <c r="O952" s="153"/>
      <c r="P952" s="45"/>
      <c r="Q952" s="54"/>
      <c r="R952" s="260"/>
      <c r="S952" s="258"/>
      <c r="T952" s="258"/>
      <c r="U952" s="38"/>
      <c r="V952" s="261"/>
      <c r="W952" s="256"/>
      <c r="X952" s="256"/>
      <c r="Y952" s="256"/>
      <c r="Z952" s="256"/>
      <c r="AA952" s="54"/>
      <c r="AB952" s="200"/>
      <c r="AC952" s="31"/>
      <c r="AD952" s="184"/>
      <c r="AE952" s="51"/>
      <c r="AF952" s="52"/>
      <c r="AG952" s="41"/>
      <c r="AH952" s="207"/>
      <c r="AI952" s="28"/>
      <c r="AJ952" s="28"/>
      <c r="AK952" s="28"/>
      <c r="AL952" s="28"/>
      <c r="AM952" s="12"/>
      <c r="AN952" s="12"/>
      <c r="AO952" s="12"/>
      <c r="AP952" s="12"/>
      <c r="AQ952" s="12"/>
      <c r="AR952" s="13"/>
      <c r="AS952" s="14"/>
    </row>
    <row r="953" spans="1:45" s="16" customFormat="1" ht="30.95" hidden="1" customHeight="1" x14ac:dyDescent="0.2">
      <c r="A953" s="35"/>
      <c r="B953" s="36"/>
      <c r="C953" s="43"/>
      <c r="D953" s="29"/>
      <c r="E953" s="29"/>
      <c r="F953" s="255"/>
      <c r="G953" s="256"/>
      <c r="H953" s="256"/>
      <c r="I953" s="200"/>
      <c r="J953" s="203"/>
      <c r="K953" s="200"/>
      <c r="L953" s="200"/>
      <c r="M953" s="37"/>
      <c r="N953" s="37"/>
      <c r="O953" s="153"/>
      <c r="P953" s="45"/>
      <c r="Q953" s="54"/>
      <c r="R953" s="260"/>
      <c r="S953" s="258"/>
      <c r="T953" s="258"/>
      <c r="U953" s="38"/>
      <c r="V953" s="261"/>
      <c r="W953" s="256"/>
      <c r="X953" s="256"/>
      <c r="Y953" s="256"/>
      <c r="Z953" s="256"/>
      <c r="AA953" s="54"/>
      <c r="AB953" s="200"/>
      <c r="AC953" s="31"/>
      <c r="AD953" s="184"/>
      <c r="AE953" s="51"/>
      <c r="AF953" s="52"/>
      <c r="AG953" s="41"/>
      <c r="AH953" s="207"/>
      <c r="AI953" s="28"/>
      <c r="AJ953" s="28"/>
      <c r="AK953" s="28"/>
      <c r="AL953" s="28"/>
      <c r="AM953" s="12"/>
      <c r="AN953" s="12"/>
      <c r="AO953" s="12"/>
      <c r="AP953" s="12"/>
      <c r="AQ953" s="12"/>
      <c r="AR953" s="13"/>
      <c r="AS953" s="14"/>
    </row>
    <row r="954" spans="1:45" s="16" customFormat="1" ht="30.75" hidden="1" customHeight="1" x14ac:dyDescent="0.2">
      <c r="A954" s="35" t="s">
        <v>1423</v>
      </c>
      <c r="B954" s="36" t="s">
        <v>1402</v>
      </c>
      <c r="C954" s="43"/>
      <c r="D954" s="29"/>
      <c r="E954" s="29"/>
      <c r="F954" s="255"/>
      <c r="G954" s="256"/>
      <c r="H954" s="256"/>
      <c r="I954" s="200"/>
      <c r="J954" s="203" t="s">
        <v>1429</v>
      </c>
      <c r="K954" s="200"/>
      <c r="L954" s="200"/>
      <c r="M954" s="37"/>
      <c r="N954" s="37"/>
      <c r="O954" s="153"/>
      <c r="P954" s="45"/>
      <c r="Q954" s="54"/>
      <c r="R954" s="260"/>
      <c r="S954" s="258"/>
      <c r="T954" s="258"/>
      <c r="U954" s="38"/>
      <c r="V954" s="261"/>
      <c r="W954" s="256"/>
      <c r="X954" s="256"/>
      <c r="Y954" s="256"/>
      <c r="Z954" s="256"/>
      <c r="AA954" s="54"/>
      <c r="AB954" s="200"/>
      <c r="AC954" s="31"/>
      <c r="AD954" s="184"/>
      <c r="AE954" s="51"/>
      <c r="AF954" s="52"/>
      <c r="AG954" s="41"/>
      <c r="AH954" s="207"/>
      <c r="AI954" s="28"/>
      <c r="AJ954" s="28"/>
      <c r="AK954" s="28"/>
      <c r="AL954" s="28"/>
      <c r="AM954" s="12"/>
      <c r="AN954" s="12"/>
      <c r="AO954" s="12"/>
      <c r="AP954" s="12"/>
      <c r="AQ954" s="12"/>
      <c r="AR954" s="13"/>
      <c r="AS954" s="14"/>
    </row>
    <row r="955" spans="1:45" s="16" customFormat="1" ht="30.75" hidden="1" customHeight="1" x14ac:dyDescent="0.2">
      <c r="A955" s="35"/>
      <c r="B955" s="36"/>
      <c r="C955" s="43"/>
      <c r="D955" s="29"/>
      <c r="E955" s="29"/>
      <c r="F955" s="255"/>
      <c r="G955" s="256"/>
      <c r="H955" s="256"/>
      <c r="I955" s="200"/>
      <c r="J955" s="203"/>
      <c r="K955" s="200"/>
      <c r="L955" s="200"/>
      <c r="M955" s="37"/>
      <c r="N955" s="37"/>
      <c r="O955" s="153"/>
      <c r="P955" s="45"/>
      <c r="Q955" s="54"/>
      <c r="R955" s="260"/>
      <c r="S955" s="258"/>
      <c r="T955" s="258"/>
      <c r="U955" s="38"/>
      <c r="V955" s="261"/>
      <c r="W955" s="256"/>
      <c r="X955" s="256"/>
      <c r="Y955" s="256"/>
      <c r="Z955" s="256"/>
      <c r="AA955" s="54"/>
      <c r="AB955" s="200"/>
      <c r="AC955" s="31"/>
      <c r="AD955" s="184"/>
      <c r="AE955" s="51"/>
      <c r="AF955" s="52"/>
      <c r="AG955" s="41"/>
      <c r="AH955" s="207"/>
      <c r="AI955" s="28"/>
      <c r="AJ955" s="28"/>
      <c r="AK955" s="28"/>
      <c r="AL955" s="28"/>
      <c r="AM955" s="12"/>
      <c r="AN955" s="12"/>
      <c r="AO955" s="12"/>
      <c r="AP955" s="12"/>
      <c r="AQ955" s="12"/>
      <c r="AR955" s="13"/>
      <c r="AS955" s="14"/>
    </row>
    <row r="956" spans="1:45" s="16" customFormat="1" ht="30.95" hidden="1" customHeight="1" x14ac:dyDescent="0.2">
      <c r="A956" s="35" t="s">
        <v>1424</v>
      </c>
      <c r="B956" s="36" t="s">
        <v>1405</v>
      </c>
      <c r="C956" s="43"/>
      <c r="D956" s="29"/>
      <c r="E956" s="29"/>
      <c r="F956" s="255"/>
      <c r="G956" s="256"/>
      <c r="H956" s="256"/>
      <c r="I956" s="200"/>
      <c r="J956" s="203" t="s">
        <v>1429</v>
      </c>
      <c r="K956" s="200"/>
      <c r="L956" s="200"/>
      <c r="M956" s="37"/>
      <c r="N956" s="37"/>
      <c r="O956" s="153"/>
      <c r="P956" s="45"/>
      <c r="Q956" s="54"/>
      <c r="R956" s="260"/>
      <c r="S956" s="258"/>
      <c r="T956" s="258"/>
      <c r="U956" s="38"/>
      <c r="V956" s="261"/>
      <c r="W956" s="256"/>
      <c r="X956" s="256"/>
      <c r="Y956" s="256"/>
      <c r="Z956" s="256"/>
      <c r="AA956" s="54"/>
      <c r="AB956" s="200"/>
      <c r="AC956" s="31"/>
      <c r="AD956" s="184"/>
      <c r="AE956" s="51"/>
      <c r="AF956" s="52"/>
      <c r="AG956" s="41"/>
      <c r="AH956" s="207"/>
      <c r="AI956" s="28"/>
      <c r="AJ956" s="28"/>
      <c r="AK956" s="28"/>
      <c r="AL956" s="28"/>
      <c r="AM956" s="12"/>
      <c r="AN956" s="12"/>
      <c r="AO956" s="12"/>
      <c r="AP956" s="12"/>
      <c r="AQ956" s="12"/>
      <c r="AR956" s="13"/>
      <c r="AS956" s="14"/>
    </row>
    <row r="957" spans="1:45" s="16" customFormat="1" ht="30.95" hidden="1" customHeight="1" x14ac:dyDescent="0.2">
      <c r="A957" s="35"/>
      <c r="B957" s="36"/>
      <c r="C957" s="43"/>
      <c r="D957" s="29"/>
      <c r="E957" s="29"/>
      <c r="F957" s="255"/>
      <c r="G957" s="256"/>
      <c r="H957" s="256"/>
      <c r="I957" s="200"/>
      <c r="J957" s="203"/>
      <c r="K957" s="200"/>
      <c r="L957" s="200"/>
      <c r="M957" s="37"/>
      <c r="N957" s="37"/>
      <c r="O957" s="153"/>
      <c r="P957" s="45"/>
      <c r="Q957" s="54"/>
      <c r="R957" s="260"/>
      <c r="S957" s="258"/>
      <c r="T957" s="258"/>
      <c r="U957" s="38"/>
      <c r="V957" s="261"/>
      <c r="W957" s="256"/>
      <c r="X957" s="256"/>
      <c r="Y957" s="256"/>
      <c r="Z957" s="256"/>
      <c r="AA957" s="54"/>
      <c r="AB957" s="200"/>
      <c r="AC957" s="31"/>
      <c r="AD957" s="184"/>
      <c r="AE957" s="51"/>
      <c r="AF957" s="52"/>
      <c r="AG957" s="41"/>
      <c r="AH957" s="207"/>
      <c r="AI957" s="28"/>
      <c r="AJ957" s="28"/>
      <c r="AK957" s="28"/>
      <c r="AL957" s="28"/>
      <c r="AM957" s="12"/>
      <c r="AN957" s="12"/>
      <c r="AO957" s="12"/>
      <c r="AP957" s="12"/>
      <c r="AQ957" s="12"/>
      <c r="AR957" s="13"/>
      <c r="AS957" s="14"/>
    </row>
    <row r="958" spans="1:45" s="16" customFormat="1" ht="30.95" hidden="1" customHeight="1" x14ac:dyDescent="0.2">
      <c r="A958" s="35" t="s">
        <v>1425</v>
      </c>
      <c r="B958" s="36" t="s">
        <v>1412</v>
      </c>
      <c r="C958" s="43"/>
      <c r="D958" s="29"/>
      <c r="E958" s="29"/>
      <c r="F958" s="255"/>
      <c r="G958" s="256"/>
      <c r="H958" s="256"/>
      <c r="I958" s="200"/>
      <c r="J958" s="203" t="s">
        <v>1430</v>
      </c>
      <c r="K958" s="200"/>
      <c r="L958" s="200"/>
      <c r="M958" s="37"/>
      <c r="N958" s="37"/>
      <c r="O958" s="153"/>
      <c r="P958" s="45"/>
      <c r="Q958" s="54"/>
      <c r="R958" s="260"/>
      <c r="S958" s="258"/>
      <c r="T958" s="258"/>
      <c r="U958" s="38"/>
      <c r="V958" s="261"/>
      <c r="W958" s="256"/>
      <c r="X958" s="256"/>
      <c r="Y958" s="256"/>
      <c r="Z958" s="256"/>
      <c r="AA958" s="54"/>
      <c r="AB958" s="200"/>
      <c r="AC958" s="31"/>
      <c r="AD958" s="184"/>
      <c r="AE958" s="51"/>
      <c r="AF958" s="52"/>
      <c r="AG958" s="41"/>
      <c r="AH958" s="207"/>
      <c r="AI958" s="28"/>
      <c r="AJ958" s="28"/>
      <c r="AK958" s="28"/>
      <c r="AL958" s="28"/>
      <c r="AM958" s="12"/>
      <c r="AN958" s="12"/>
      <c r="AO958" s="12"/>
      <c r="AP958" s="12"/>
      <c r="AQ958" s="12"/>
      <c r="AR958" s="13"/>
      <c r="AS958" s="14"/>
    </row>
    <row r="959" spans="1:45" s="16" customFormat="1" ht="30.95" hidden="1" customHeight="1" x14ac:dyDescent="0.2">
      <c r="A959" s="35"/>
      <c r="B959" s="36"/>
      <c r="C959" s="43"/>
      <c r="D959" s="29"/>
      <c r="E959" s="29"/>
      <c r="F959" s="255"/>
      <c r="G959" s="256"/>
      <c r="H959" s="256"/>
      <c r="I959" s="200"/>
      <c r="J959" s="203"/>
      <c r="K959" s="200"/>
      <c r="L959" s="200"/>
      <c r="M959" s="37"/>
      <c r="N959" s="37"/>
      <c r="O959" s="153"/>
      <c r="P959" s="45"/>
      <c r="Q959" s="54"/>
      <c r="R959" s="260"/>
      <c r="S959" s="258"/>
      <c r="T959" s="258"/>
      <c r="U959" s="38"/>
      <c r="V959" s="261"/>
      <c r="W959" s="256"/>
      <c r="X959" s="256"/>
      <c r="Y959" s="256"/>
      <c r="Z959" s="256"/>
      <c r="AA959" s="54"/>
      <c r="AB959" s="200"/>
      <c r="AC959" s="31"/>
      <c r="AD959" s="184"/>
      <c r="AE959" s="51"/>
      <c r="AF959" s="52"/>
      <c r="AG959" s="41"/>
      <c r="AH959" s="207"/>
      <c r="AI959" s="28"/>
      <c r="AJ959" s="28"/>
      <c r="AK959" s="28"/>
      <c r="AL959" s="28"/>
      <c r="AM959" s="12"/>
      <c r="AN959" s="12"/>
      <c r="AO959" s="12"/>
      <c r="AP959" s="12"/>
      <c r="AQ959" s="12"/>
      <c r="AR959" s="13"/>
      <c r="AS959" s="14"/>
    </row>
    <row r="960" spans="1:45" s="16" customFormat="1" ht="30.95" hidden="1" customHeight="1" x14ac:dyDescent="0.2">
      <c r="A960" s="35" t="s">
        <v>1426</v>
      </c>
      <c r="B960" s="36" t="s">
        <v>1408</v>
      </c>
      <c r="C960" s="43"/>
      <c r="D960" s="29"/>
      <c r="E960" s="29"/>
      <c r="F960" s="255"/>
      <c r="G960" s="256"/>
      <c r="H960" s="256"/>
      <c r="I960" s="200"/>
      <c r="J960" s="203" t="s">
        <v>1430</v>
      </c>
      <c r="K960" s="200"/>
      <c r="L960" s="200"/>
      <c r="M960" s="37"/>
      <c r="N960" s="37"/>
      <c r="O960" s="153"/>
      <c r="P960" s="45"/>
      <c r="Q960" s="54"/>
      <c r="R960" s="260"/>
      <c r="S960" s="258"/>
      <c r="T960" s="258"/>
      <c r="U960" s="38"/>
      <c r="V960" s="261"/>
      <c r="W960" s="256"/>
      <c r="X960" s="256"/>
      <c r="Y960" s="256"/>
      <c r="Z960" s="256"/>
      <c r="AA960" s="54"/>
      <c r="AB960" s="200"/>
      <c r="AC960" s="31"/>
      <c r="AD960" s="184"/>
      <c r="AE960" s="51"/>
      <c r="AF960" s="52"/>
      <c r="AG960" s="41"/>
      <c r="AH960" s="207"/>
      <c r="AI960" s="28"/>
      <c r="AJ960" s="28"/>
      <c r="AK960" s="28"/>
      <c r="AL960" s="28"/>
      <c r="AM960" s="12"/>
      <c r="AN960" s="12"/>
      <c r="AO960" s="12"/>
      <c r="AP960" s="12"/>
      <c r="AQ960" s="12"/>
      <c r="AR960" s="13"/>
      <c r="AS960" s="14"/>
    </row>
    <row r="961" spans="1:45" s="16" customFormat="1" ht="30.95" hidden="1" customHeight="1" x14ac:dyDescent="0.2">
      <c r="A961" s="35"/>
      <c r="B961" s="36"/>
      <c r="C961" s="43"/>
      <c r="D961" s="29"/>
      <c r="E961" s="29"/>
      <c r="F961" s="255"/>
      <c r="G961" s="256"/>
      <c r="H961" s="256"/>
      <c r="I961" s="200"/>
      <c r="J961" s="203"/>
      <c r="K961" s="200"/>
      <c r="L961" s="200"/>
      <c r="M961" s="37"/>
      <c r="N961" s="37"/>
      <c r="O961" s="153"/>
      <c r="P961" s="45"/>
      <c r="Q961" s="54"/>
      <c r="R961" s="260"/>
      <c r="S961" s="258"/>
      <c r="T961" s="258"/>
      <c r="U961" s="38"/>
      <c r="V961" s="261"/>
      <c r="W961" s="256"/>
      <c r="X961" s="256"/>
      <c r="Y961" s="256"/>
      <c r="Z961" s="256"/>
      <c r="AA961" s="54"/>
      <c r="AB961" s="200"/>
      <c r="AC961" s="31"/>
      <c r="AD961" s="184"/>
      <c r="AE961" s="51"/>
      <c r="AF961" s="52"/>
      <c r="AG961" s="41"/>
      <c r="AH961" s="207"/>
      <c r="AI961" s="28"/>
      <c r="AJ961" s="28"/>
      <c r="AK961" s="28"/>
      <c r="AL961" s="28"/>
      <c r="AM961" s="12"/>
      <c r="AN961" s="12"/>
      <c r="AO961" s="12"/>
      <c r="AP961" s="12"/>
      <c r="AQ961" s="12"/>
      <c r="AR961" s="13"/>
      <c r="AS961" s="14"/>
    </row>
    <row r="962" spans="1:45" s="16" customFormat="1" ht="30.95" hidden="1" customHeight="1" x14ac:dyDescent="0.2">
      <c r="A962" s="35" t="s">
        <v>546</v>
      </c>
      <c r="B962" s="36" t="s">
        <v>444</v>
      </c>
      <c r="C962" s="43"/>
      <c r="D962" s="29">
        <v>3723644</v>
      </c>
      <c r="E962" s="29">
        <v>4162054</v>
      </c>
      <c r="F962" s="255" t="str">
        <f>IF(D962="","",VLOOKUP(D962,契約台帳!$A$3:$K$4986,6,FALSE)&amp;VLOOKUP(D962,契約台帳!$A$3:$K$4986,7,FALSE)&amp;VLOOKUP(D962,契約台帳!$A$3:$K$4986,8,FALSE)&amp;VLOOKUP(D962,契約台帳!$A$3:$K$4986,9,FALSE)&amp;VLOOKUP(D962,契約台帳!$A$3:$K$4986,11,FALSE))</f>
        <v>3SNMLBMNQR66F</v>
      </c>
      <c r="G962" s="256" t="str">
        <f>IF(D962="","",VLOOKUP(F962,製品マスタ!$G$5:$H$4999,2,FALSE))</f>
        <v>S</v>
      </c>
      <c r="H962" s="256" t="str">
        <f>IF(D962="","",VLOOKUP(F962,製品マスタ!$G$5:$K$4999,5,FALSE))</f>
        <v>MNQR66F</v>
      </c>
      <c r="I962" s="200" t="str">
        <f>IF(D962="","",VLOOKUP(F962,製品マスタ!$G$5:$L$4999,6,FALSE))</f>
        <v>ＱＲ６６蒸着品</v>
      </c>
      <c r="J962" s="203" t="s">
        <v>935</v>
      </c>
      <c r="K962" s="200">
        <f>IF(D962="","",VLOOKUP(D962,契約台帳!$A$3:$L$4986,12,FALSE))</f>
        <v>25</v>
      </c>
      <c r="L962" s="200" t="str">
        <f>IF(D962="","",INDEX(製品マスタ!$Q$5:$Q$4999,MATCH('S4'!F962&amp;'S4'!K962,製品マスタ!$AO$5:$AO$4999,0)))</f>
        <v>E315</v>
      </c>
      <c r="M962" s="37">
        <v>1100</v>
      </c>
      <c r="N962" s="37">
        <v>6000</v>
      </c>
      <c r="O962" s="153">
        <v>6</v>
      </c>
      <c r="P962" s="45">
        <v>3</v>
      </c>
      <c r="Q962" s="206">
        <v>45170</v>
      </c>
      <c r="R962" s="257">
        <f ca="1">IF(D962="","",IF(OFFSET(D962,-1,0)&lt;&gt;"","",IF(OR(J962="リード付け",J962="巻足し",J962="巻返しリード付け"),M962,VLOOKUP(D962,契約台帳!$A$3:$N$4986,14,FALSE))))</f>
        <v>1100</v>
      </c>
      <c r="S962" s="258">
        <f ca="1">IF(D962="","",IF(OFFSET(D962,-1,0)&lt;&gt;"","",IF(OR(J962="リード付け",J962="巻足し",J962="巻返しリード付け"),M962,VLOOKUP(D962,契約台帳!$A$3:$O$4986,15,FALSE))))</f>
        <v>1100</v>
      </c>
      <c r="T962" s="258">
        <f ca="1">IF(D962="","",IF(J962="リード付け",N962,IF(J962="巻返しリード付け",N962,IF(J962="巻足し",N962*P962+OFFSET(N962,1,0)*OFFSET(P962,1,0),VLOOKUP(D962,契約台帳!$A$3:$P$4986,16,FALSE)))))</f>
        <v>18000</v>
      </c>
      <c r="U962" s="38">
        <v>2</v>
      </c>
      <c r="V962" s="259">
        <f ca="1">IF(D962="","",IF(OFFSET(D962,-2,0)=D962,"",VLOOKUP(D962,契約台帳!$A$3:$R$4986,18,FALSE)))</f>
        <v>6</v>
      </c>
      <c r="W962" s="256" t="str">
        <f ca="1">IF(D962="","",IF(T962="","",IF(OR(J962="巻足し",J962="巻返しリード付け"),"",IF(J962="巻返し",VLOOKUP(F962&amp;K962&amp;M962,製品マスタ!$M$5:$AD$4999,18,FALSE),IF(OR(J962="リード付け",J962="巻返しリード付け"),"原反コア",IF(J962="スリット",VLOOKUP(F962&amp;K962&amp;R962,製品マスタ!$N$5:$AD$4999,17,FALSE),""))))))</f>
        <v/>
      </c>
      <c r="X962" s="256" t="str">
        <f ca="1">IF(D962="","",IF(T962="","",IF(J962="巻足し","",IF(J962="巻返し",VLOOKUP(F962&amp;K962&amp;M962,製品マスタ!$M$5:$AE$4999,19,FALSE),IF(OR(J962="リード付け",J962="巻返しリード付け"),"",IF(J962="スリット",VLOOKUP(F962&amp;K962&amp;R962,製品マスタ!$N$5:$AE$4999,18,FALSE),""))))))</f>
        <v/>
      </c>
      <c r="Y962" s="256">
        <f ca="1">IF(D962="","",IF(T962="","",VLOOKUP(D962,契約台帳!$A$3:$Q$4986,17,FALSE)))</f>
        <v>2</v>
      </c>
      <c r="Z962" s="256" t="str">
        <f ca="1">IF(D962="","",IF(T962="","",VLOOKUP(D962,契約台帳!$A$3:$E$4986,5,FALSE)))</f>
        <v>リンテック㈱</v>
      </c>
      <c r="AA962" s="54"/>
      <c r="AB962" s="200" t="str">
        <f>IFERROR((VLOOKUP(F962&amp;K962&amp;M962,製品マスタ!$M$5:$AM$4999,27,FALSE)),"")</f>
        <v>原反ケース再利用</v>
      </c>
      <c r="AC962" s="31"/>
      <c r="AD962" s="184"/>
      <c r="AE962" s="51"/>
      <c r="AF962" s="52">
        <f>+M962*N962*O962/1000</f>
        <v>39600</v>
      </c>
      <c r="AG962" s="41"/>
      <c r="AH962" s="45"/>
      <c r="AI962" s="28"/>
      <c r="AJ962" s="28"/>
      <c r="AK962" s="28"/>
      <c r="AL962" s="28"/>
      <c r="AM962" s="12"/>
      <c r="AN962" s="12"/>
      <c r="AO962" s="12"/>
      <c r="AP962" s="12"/>
      <c r="AQ962" s="12"/>
      <c r="AR962" s="13"/>
      <c r="AS962" s="14"/>
    </row>
    <row r="963" spans="1:45" s="16" customFormat="1" ht="30.95" hidden="1" customHeight="1" x14ac:dyDescent="0.2">
      <c r="A963" s="35"/>
      <c r="B963" s="36"/>
      <c r="C963" s="43"/>
      <c r="D963" s="29"/>
      <c r="E963" s="29"/>
      <c r="F963" s="255"/>
      <c r="G963" s="256"/>
      <c r="H963" s="256"/>
      <c r="I963" s="200"/>
      <c r="J963" s="203"/>
      <c r="K963" s="200"/>
      <c r="L963" s="200"/>
      <c r="M963" s="37"/>
      <c r="N963" s="37"/>
      <c r="O963" s="153"/>
      <c r="P963" s="45"/>
      <c r="Q963" s="54"/>
      <c r="R963" s="260"/>
      <c r="S963" s="258"/>
      <c r="T963" s="258"/>
      <c r="U963" s="38"/>
      <c r="V963" s="261"/>
      <c r="W963" s="256"/>
      <c r="X963" s="256"/>
      <c r="Y963" s="256"/>
      <c r="Z963" s="256"/>
      <c r="AA963" s="54"/>
      <c r="AB963" s="200"/>
      <c r="AC963" s="31"/>
      <c r="AD963" s="184"/>
      <c r="AE963" s="51"/>
      <c r="AF963" s="52"/>
      <c r="AG963" s="41"/>
      <c r="AH963" s="207"/>
      <c r="AI963" s="28"/>
      <c r="AJ963" s="28"/>
      <c r="AK963" s="28"/>
      <c r="AL963" s="28"/>
      <c r="AM963" s="12"/>
      <c r="AN963" s="12"/>
      <c r="AO963" s="12"/>
      <c r="AP963" s="12"/>
      <c r="AQ963" s="12"/>
      <c r="AR963" s="13"/>
      <c r="AS963" s="14"/>
    </row>
    <row r="964" spans="1:45" s="16" customFormat="1" ht="30.95" hidden="1" customHeight="1" x14ac:dyDescent="0.2">
      <c r="A964" s="35"/>
      <c r="B964" s="36"/>
      <c r="C964" s="43"/>
      <c r="D964" s="29">
        <v>3723643</v>
      </c>
      <c r="E964" s="29">
        <v>4162053</v>
      </c>
      <c r="F964" s="255" t="str">
        <f>IF(D964="","",VLOOKUP(D964,契約台帳!$A$3:$K$4986,6,FALSE)&amp;VLOOKUP(D964,契約台帳!$A$3:$K$4986,7,FALSE)&amp;VLOOKUP(D964,契約台帳!$A$3:$K$4986,8,FALSE)&amp;VLOOKUP(D964,契約台帳!$A$3:$K$4986,9,FALSE)&amp;VLOOKUP(D964,契約台帳!$A$3:$K$4986,11,FALSE))</f>
        <v>3SNMLBMNQR66F</v>
      </c>
      <c r="G964" s="256" t="str">
        <f>IF(D964="","",VLOOKUP(F964,製品マスタ!$G$5:$H$4999,2,FALSE))</f>
        <v>S</v>
      </c>
      <c r="H964" s="256" t="str">
        <f>IF(D964="","",VLOOKUP(F964,製品マスタ!$G$5:$K$4999,5,FALSE))</f>
        <v>MNQR66F</v>
      </c>
      <c r="I964" s="200" t="str">
        <f>IF(D964="","",VLOOKUP(F964,製品マスタ!$G$5:$L$4999,6,FALSE))</f>
        <v>ＱＲ６６蒸着品</v>
      </c>
      <c r="J964" s="203" t="s">
        <v>935</v>
      </c>
      <c r="K964" s="200">
        <f>IF(D964="","",VLOOKUP(D964,契約台帳!$A$3:$L$4986,12,FALSE))</f>
        <v>25</v>
      </c>
      <c r="L964" s="200" t="str">
        <f>IF(D964="","",INDEX(製品マスタ!$Q$5:$Q$4999,MATCH('S4'!F964&amp;'S4'!K964,製品マスタ!$AO$5:$AO$4999,0)))</f>
        <v>E315</v>
      </c>
      <c r="M964" s="37">
        <v>1000</v>
      </c>
      <c r="N964" s="37">
        <v>6000</v>
      </c>
      <c r="O964" s="153">
        <v>6</v>
      </c>
      <c r="P964" s="45">
        <v>3</v>
      </c>
      <c r="Q964" s="206">
        <v>45170</v>
      </c>
      <c r="R964" s="257">
        <f ca="1">IF(D964="","",IF(OFFSET(D964,-1,0)&lt;&gt;"","",IF(OR(J964="リード付け",J964="巻足し",J964="巻返しリード付け"),M964,VLOOKUP(D964,契約台帳!$A$3:$N$4986,14,FALSE))))</f>
        <v>1000</v>
      </c>
      <c r="S964" s="258">
        <f ca="1">IF(D964="","",IF(OFFSET(D964,-1,0)&lt;&gt;"","",IF(OR(J964="リード付け",J964="巻足し",J964="巻返しリード付け"),M964,VLOOKUP(D964,契約台帳!$A$3:$O$4986,15,FALSE))))</f>
        <v>1000</v>
      </c>
      <c r="T964" s="258">
        <f ca="1">IF(D964="","",IF(J964="リード付け",N964,IF(J964="巻返しリード付け",N964,IF(J964="巻足し",N964*P964+OFFSET(N964,1,0)*OFFSET(P964,1,0),VLOOKUP(D964,契約台帳!$A$3:$P$4986,16,FALSE)))))</f>
        <v>18000</v>
      </c>
      <c r="U964" s="38">
        <v>2</v>
      </c>
      <c r="V964" s="259">
        <f ca="1">IF(D964="","",IF(OFFSET(D964,-2,0)=D964,"",VLOOKUP(D964,契約台帳!$A$3:$R$4986,18,FALSE)))</f>
        <v>6</v>
      </c>
      <c r="W964" s="256" t="str">
        <f ca="1">IF(D964="","",IF(T964="","",IF(OR(J964="巻足し",J964="巻返しリード付け"),"",IF(J964="巻返し",VLOOKUP(F964&amp;K964&amp;M964,製品マスタ!$M$5:$AD$4999,18,FALSE),IF(OR(J964="リード付け",J964="巻返しリード付け"),"原反コア",IF(J964="スリット",VLOOKUP(F964&amp;K964&amp;R964,製品マスタ!$N$5:$AD$4999,17,FALSE),""))))))</f>
        <v/>
      </c>
      <c r="X964" s="256" t="str">
        <f ca="1">IF(D964="","",IF(T964="","",IF(J964="巻足し","",IF(J964="巻返し",VLOOKUP(F964&amp;K964&amp;M964,製品マスタ!$M$5:$AE$4999,19,FALSE),IF(OR(J964="リード付け",J964="巻返しリード付け"),"",IF(J964="スリット",VLOOKUP(F964&amp;K964&amp;R964,製品マスタ!$N$5:$AE$4999,18,FALSE),""))))))</f>
        <v/>
      </c>
      <c r="Y964" s="256">
        <f ca="1">IF(D964="","",IF(T964="","",VLOOKUP(D964,契約台帳!$A$3:$Q$4986,17,FALSE)))</f>
        <v>2</v>
      </c>
      <c r="Z964" s="256" t="str">
        <f ca="1">IF(D964="","",IF(T964="","",VLOOKUP(D964,契約台帳!$A$3:$E$4986,5,FALSE)))</f>
        <v>リンテック㈱</v>
      </c>
      <c r="AA964" s="54"/>
      <c r="AB964" s="200" t="str">
        <f>IFERROR((VLOOKUP(F964&amp;K964&amp;M964,製品マスタ!$M$5:$AM$4999,27,FALSE)),"")</f>
        <v>原反ケース再利用</v>
      </c>
      <c r="AC964" s="31"/>
      <c r="AD964" s="184"/>
      <c r="AE964" s="51"/>
      <c r="AF964" s="52">
        <f>+M964*N964*O964/1000</f>
        <v>36000</v>
      </c>
      <c r="AG964" s="41"/>
      <c r="AH964" s="45"/>
      <c r="AI964" s="28"/>
      <c r="AJ964" s="28"/>
      <c r="AK964" s="28"/>
      <c r="AL964" s="28"/>
      <c r="AM964" s="12"/>
      <c r="AN964" s="12"/>
      <c r="AO964" s="12"/>
      <c r="AP964" s="12"/>
      <c r="AQ964" s="12"/>
      <c r="AR964" s="13"/>
      <c r="AS964" s="14"/>
    </row>
    <row r="965" spans="1:45" s="16" customFormat="1" ht="30.95" hidden="1" customHeight="1" x14ac:dyDescent="0.2">
      <c r="A965" s="35"/>
      <c r="B965" s="36"/>
      <c r="C965" s="43"/>
      <c r="D965" s="29"/>
      <c r="E965" s="29"/>
      <c r="F965" s="255"/>
      <c r="G965" s="256"/>
      <c r="H965" s="256"/>
      <c r="I965" s="200"/>
      <c r="J965" s="203"/>
      <c r="K965" s="200"/>
      <c r="L965" s="200"/>
      <c r="M965" s="37"/>
      <c r="N965" s="37"/>
      <c r="O965" s="153"/>
      <c r="P965" s="45"/>
      <c r="Q965" s="54"/>
      <c r="R965" s="260"/>
      <c r="S965" s="258"/>
      <c r="T965" s="258"/>
      <c r="U965" s="38"/>
      <c r="V965" s="261"/>
      <c r="W965" s="256"/>
      <c r="X965" s="256"/>
      <c r="Y965" s="256"/>
      <c r="Z965" s="256"/>
      <c r="AA965" s="54"/>
      <c r="AB965" s="200"/>
      <c r="AC965" s="31"/>
      <c r="AD965" s="184"/>
      <c r="AE965" s="51"/>
      <c r="AF965" s="52"/>
      <c r="AG965" s="41"/>
      <c r="AH965" s="207"/>
      <c r="AI965" s="28"/>
      <c r="AJ965" s="28"/>
      <c r="AK965" s="28"/>
      <c r="AL965" s="28"/>
      <c r="AM965" s="12"/>
      <c r="AN965" s="12"/>
      <c r="AO965" s="12"/>
      <c r="AP965" s="12"/>
      <c r="AQ965" s="12"/>
      <c r="AR965" s="13"/>
      <c r="AS965" s="14"/>
    </row>
    <row r="966" spans="1:45" s="16" customFormat="1" ht="30.95" hidden="1" customHeight="1" x14ac:dyDescent="0.2">
      <c r="A966" s="35" t="s">
        <v>547</v>
      </c>
      <c r="B966" s="36" t="s">
        <v>445</v>
      </c>
      <c r="C966" s="43"/>
      <c r="D966" s="29"/>
      <c r="E966" s="29"/>
      <c r="F966" s="255"/>
      <c r="G966" s="256"/>
      <c r="H966" s="256"/>
      <c r="I966" s="200"/>
      <c r="J966" s="203" t="s">
        <v>448</v>
      </c>
      <c r="K966" s="200"/>
      <c r="L966" s="200"/>
      <c r="M966" s="37"/>
      <c r="N966" s="37"/>
      <c r="O966" s="153"/>
      <c r="P966" s="45"/>
      <c r="Q966" s="54"/>
      <c r="R966" s="260"/>
      <c r="S966" s="258"/>
      <c r="T966" s="258"/>
      <c r="U966" s="38"/>
      <c r="V966" s="261"/>
      <c r="W966" s="256"/>
      <c r="X966" s="256"/>
      <c r="Y966" s="256"/>
      <c r="Z966" s="256"/>
      <c r="AA966" s="54"/>
      <c r="AB966" s="200"/>
      <c r="AC966" s="31"/>
      <c r="AD966" s="184"/>
      <c r="AE966" s="51"/>
      <c r="AF966" s="52"/>
      <c r="AG966" s="41"/>
      <c r="AH966" s="207"/>
      <c r="AI966" s="28"/>
      <c r="AJ966" s="28"/>
      <c r="AK966" s="28"/>
      <c r="AL966" s="28"/>
      <c r="AM966" s="12"/>
      <c r="AN966" s="12"/>
      <c r="AO966" s="12"/>
      <c r="AP966" s="12"/>
      <c r="AQ966" s="12"/>
      <c r="AR966" s="13"/>
      <c r="AS966" s="14"/>
    </row>
    <row r="967" spans="1:45" s="16" customFormat="1" ht="30.95" hidden="1" customHeight="1" x14ac:dyDescent="0.2">
      <c r="A967" s="35"/>
      <c r="B967" s="36"/>
      <c r="C967" s="43"/>
      <c r="D967" s="29"/>
      <c r="E967" s="29"/>
      <c r="F967" s="255"/>
      <c r="G967" s="256"/>
      <c r="H967" s="256"/>
      <c r="I967" s="200"/>
      <c r="J967" s="203"/>
      <c r="K967" s="200"/>
      <c r="L967" s="200"/>
      <c r="M967" s="37"/>
      <c r="N967" s="37"/>
      <c r="O967" s="153"/>
      <c r="P967" s="45"/>
      <c r="Q967" s="54"/>
      <c r="R967" s="260"/>
      <c r="S967" s="258"/>
      <c r="T967" s="258"/>
      <c r="U967" s="38"/>
      <c r="V967" s="261"/>
      <c r="W967" s="256"/>
      <c r="X967" s="256"/>
      <c r="Y967" s="256"/>
      <c r="Z967" s="256"/>
      <c r="AA967" s="54"/>
      <c r="AB967" s="200"/>
      <c r="AC967" s="31"/>
      <c r="AD967" s="184"/>
      <c r="AE967" s="51"/>
      <c r="AF967" s="52"/>
      <c r="AG967" s="41"/>
      <c r="AH967" s="207"/>
      <c r="AI967" s="28"/>
      <c r="AJ967" s="28"/>
      <c r="AK967" s="28"/>
      <c r="AL967" s="28"/>
      <c r="AM967" s="12"/>
      <c r="AN967" s="12"/>
      <c r="AO967" s="12"/>
      <c r="AP967" s="12"/>
      <c r="AQ967" s="12"/>
      <c r="AR967" s="13"/>
      <c r="AS967" s="14"/>
    </row>
    <row r="968" spans="1:45" s="16" customFormat="1" ht="30.95" hidden="1" customHeight="1" x14ac:dyDescent="0.2">
      <c r="A968" s="35" t="s">
        <v>548</v>
      </c>
      <c r="B968" s="36" t="s">
        <v>1427</v>
      </c>
      <c r="C968" s="43"/>
      <c r="D968" s="29"/>
      <c r="E968" s="29"/>
      <c r="F968" s="255"/>
      <c r="G968" s="256"/>
      <c r="H968" s="256"/>
      <c r="I968" s="200"/>
      <c r="J968" s="203" t="s">
        <v>448</v>
      </c>
      <c r="K968" s="200"/>
      <c r="L968" s="200"/>
      <c r="M968" s="37"/>
      <c r="N968" s="37"/>
      <c r="O968" s="153"/>
      <c r="P968" s="45"/>
      <c r="Q968" s="54"/>
      <c r="R968" s="260"/>
      <c r="S968" s="258"/>
      <c r="T968" s="258"/>
      <c r="U968" s="38"/>
      <c r="V968" s="261"/>
      <c r="W968" s="256"/>
      <c r="X968" s="256"/>
      <c r="Y968" s="256"/>
      <c r="Z968" s="256"/>
      <c r="AA968" s="54"/>
      <c r="AB968" s="200"/>
      <c r="AC968" s="31"/>
      <c r="AD968" s="184"/>
      <c r="AE968" s="51"/>
      <c r="AF968" s="52"/>
      <c r="AG968" s="41"/>
      <c r="AH968" s="207"/>
      <c r="AI968" s="28"/>
      <c r="AJ968" s="28"/>
      <c r="AK968" s="28"/>
      <c r="AL968" s="28"/>
      <c r="AM968" s="12"/>
      <c r="AN968" s="12"/>
      <c r="AO968" s="12"/>
      <c r="AP968" s="12"/>
      <c r="AQ968" s="12"/>
      <c r="AR968" s="13"/>
      <c r="AS968" s="14"/>
    </row>
    <row r="969" spans="1:45" s="16" customFormat="1" ht="30.95" hidden="1" customHeight="1" x14ac:dyDescent="0.2">
      <c r="A969" s="35"/>
      <c r="B969" s="36"/>
      <c r="C969" s="43"/>
      <c r="D969" s="29"/>
      <c r="E969" s="29"/>
      <c r="F969" s="255"/>
      <c r="G969" s="256"/>
      <c r="H969" s="256"/>
      <c r="I969" s="200"/>
      <c r="J969" s="203"/>
      <c r="K969" s="200"/>
      <c r="L969" s="200"/>
      <c r="M969" s="37"/>
      <c r="N969" s="37"/>
      <c r="O969" s="153"/>
      <c r="P969" s="45"/>
      <c r="Q969" s="54"/>
      <c r="R969" s="260"/>
      <c r="S969" s="258"/>
      <c r="T969" s="258"/>
      <c r="U969" s="38"/>
      <c r="V969" s="261"/>
      <c r="W969" s="256"/>
      <c r="X969" s="256"/>
      <c r="Y969" s="256"/>
      <c r="Z969" s="256"/>
      <c r="AA969" s="54"/>
      <c r="AB969" s="200"/>
      <c r="AC969" s="31"/>
      <c r="AD969" s="184"/>
      <c r="AE969" s="51"/>
      <c r="AF969" s="52"/>
      <c r="AG969" s="41"/>
      <c r="AH969" s="207"/>
      <c r="AI969" s="28"/>
      <c r="AJ969" s="28"/>
      <c r="AK969" s="28"/>
      <c r="AL969" s="28"/>
      <c r="AM969" s="12"/>
      <c r="AN969" s="12"/>
      <c r="AO969" s="12"/>
      <c r="AP969" s="12"/>
      <c r="AQ969" s="12"/>
      <c r="AR969" s="13"/>
      <c r="AS969" s="14"/>
    </row>
    <row r="970" spans="1:45" s="16" customFormat="1" ht="30.95" hidden="1" customHeight="1" x14ac:dyDescent="0.2">
      <c r="A970" s="35" t="s">
        <v>1447</v>
      </c>
      <c r="B970" s="36" t="s">
        <v>1448</v>
      </c>
      <c r="C970" s="43"/>
      <c r="D970" s="29">
        <v>3723624</v>
      </c>
      <c r="E970" s="29">
        <v>4162025</v>
      </c>
      <c r="F970" s="255" t="str">
        <f>IF(D970="","",VLOOKUP(D970,契約台帳!$A$3:$K$4986,6,FALSE)&amp;VLOOKUP(D970,契約台帳!$A$3:$K$4986,7,FALSE)&amp;VLOOKUP(D970,契約台帳!$A$3:$K$4986,8,FALSE)&amp;VLOOKUP(D970,契約台帳!$A$3:$K$4986,9,FALSE)&amp;VLOOKUP(D970,契約台帳!$A$3:$K$4986,11,FALSE))</f>
        <v>3SNMCLBEYK</v>
      </c>
      <c r="G970" s="256" t="str">
        <f>IF(D970="","",VLOOKUP(F970,製品マスタ!$G$5:$H$4999,2,FALSE))</f>
        <v>S</v>
      </c>
      <c r="H970" s="256" t="str">
        <f>IF(D970="","",VLOOKUP(F970,製品マスタ!$G$5:$K$4999,5,FALSE))</f>
        <v>EYK</v>
      </c>
      <c r="I970" s="200" t="str">
        <f>IF(D970="","",VLOOKUP(F970,製品マスタ!$G$5:$L$4999,6,FALSE))</f>
        <v>メタルミー　ＥＹＫ</v>
      </c>
      <c r="J970" s="203" t="s">
        <v>1164</v>
      </c>
      <c r="K970" s="200">
        <f>IF(D970="","",VLOOKUP(D970,契約台帳!$A$3:$L$4986,12,FALSE))</f>
        <v>50</v>
      </c>
      <c r="L970" s="200" t="str">
        <f>IF(D970="","",INDEX(製品マスタ!$Q$5:$Q$4999,MATCH('S4'!F970&amp;'S4'!K970,製品マスタ!$AO$5:$AO$4999,0)))</f>
        <v>T62M</v>
      </c>
      <c r="M970" s="37">
        <v>1125</v>
      </c>
      <c r="N970" s="37">
        <v>6100</v>
      </c>
      <c r="O970" s="153">
        <v>4</v>
      </c>
      <c r="P970" s="45">
        <v>2</v>
      </c>
      <c r="Q970" s="206">
        <v>45170</v>
      </c>
      <c r="R970" s="257">
        <f ca="1">IF(D970="","",IF(OFFSET(D970,-1,0)&lt;&gt;"","",IF(OR(J970="リード付け",J970="巻足し",J970="巻返しリード付け"),M970,VLOOKUP(D970,契約台帳!$A$3:$N$4986,14,FALSE))))</f>
        <v>1125</v>
      </c>
      <c r="S970" s="258">
        <f ca="1">IF(D970="","",IF(OFFSET(D970,-1,0)&lt;&gt;"","",IF(OR(J970="リード付け",J970="巻足し",J970="巻返しリード付け"),M970,VLOOKUP(D970,契約台帳!$A$3:$O$4986,15,FALSE))))</f>
        <v>1125</v>
      </c>
      <c r="T970" s="258">
        <f ca="1">IF(D970="","",IF(J970="リード付け",N970,IF(J970="巻返しリード付け",N970,IF(J970="巻足し",N970*P970+OFFSET(N970,1,0)*OFFSET(P970,1,0),VLOOKUP(D970,契約台帳!$A$3:$P$4986,16,FALSE)))))</f>
        <v>12200</v>
      </c>
      <c r="U970" s="38">
        <v>2</v>
      </c>
      <c r="V970" s="259">
        <f ca="1">IF(D970="","",IF(OFFSET(D970,-2,0)=D970,"",VLOOKUP(D970,契約台帳!$A$3:$R$4986,18,FALSE)))</f>
        <v>4</v>
      </c>
      <c r="W970" s="256" t="str">
        <f ca="1">IF(D970="","",IF(T970="","",IF(OR(J970="巻足し",J970="巻返しリード付け"),"",IF(J970="巻返し",VLOOKUP(F970&amp;K970&amp;M970,製品マスタ!$M$5:$AD$4999,18,FALSE),IF(OR(J970="リード付け",J970="巻返しリード付け"),"原反コア",IF(J970="スリット",VLOOKUP(F970&amp;K970&amp;R970,製品マスタ!$N$5:$AD$4999,17,FALSE),""))))))</f>
        <v/>
      </c>
      <c r="X970" s="256" t="str">
        <f ca="1">IF(D970="","",IF(T970="","",IF(J970="巻足し","",IF(J970="巻返し",VLOOKUP(F970&amp;K970&amp;M970,製品マスタ!$M$5:$AE$4999,19,FALSE),IF(OR(J970="リード付け",J970="巻返しリード付け"),"",IF(J970="スリット",VLOOKUP(F970&amp;K970&amp;R970,製品マスタ!$N$5:$AE$4999,18,FALSE),""))))))</f>
        <v/>
      </c>
      <c r="Y970" s="256">
        <f ca="1">IF(D970="","",IF(T970="","",VLOOKUP(D970,契約台帳!$A$3:$Q$4986,17,FALSE)))</f>
        <v>2</v>
      </c>
      <c r="Z970" s="256" t="str">
        <f ca="1">IF(D970="","",IF(T970="","",VLOOKUP(D970,契約台帳!$A$3:$E$4986,5,FALSE)))</f>
        <v>新タック化成㈱</v>
      </c>
      <c r="AA970" s="54"/>
      <c r="AB970" s="200" t="str">
        <f>IFERROR((VLOOKUP(F970&amp;K970&amp;M970,製品マスタ!$M$5:$AM$4999,27,FALSE)),"")</f>
        <v>原反ケース再利用</v>
      </c>
      <c r="AC970" s="31"/>
      <c r="AD970" s="184"/>
      <c r="AE970" s="51"/>
      <c r="AF970" s="52">
        <f>+M970*N970*O970/1000</f>
        <v>27450</v>
      </c>
      <c r="AG970" s="41"/>
      <c r="AH970" s="45"/>
      <c r="AI970" s="28"/>
      <c r="AJ970" s="28"/>
      <c r="AK970" s="28"/>
      <c r="AL970" s="28"/>
      <c r="AM970" s="12"/>
      <c r="AN970" s="12"/>
      <c r="AO970" s="12"/>
      <c r="AP970" s="12"/>
      <c r="AQ970" s="12"/>
      <c r="AR970" s="13"/>
      <c r="AS970" s="14"/>
    </row>
    <row r="971" spans="1:45" s="16" customFormat="1" ht="30.95" hidden="1" customHeight="1" x14ac:dyDescent="0.2">
      <c r="A971" s="35"/>
      <c r="B971" s="36"/>
      <c r="C971" s="43"/>
      <c r="D971" s="29"/>
      <c r="E971" s="29"/>
      <c r="F971" s="255"/>
      <c r="G971" s="256"/>
      <c r="H971" s="256"/>
      <c r="I971" s="200"/>
      <c r="J971" s="203"/>
      <c r="K971" s="200"/>
      <c r="L971" s="200"/>
      <c r="M971" s="37"/>
      <c r="N971" s="37"/>
      <c r="O971" s="153"/>
      <c r="P971" s="45"/>
      <c r="Q971" s="54"/>
      <c r="R971" s="260"/>
      <c r="S971" s="258"/>
      <c r="T971" s="258"/>
      <c r="U971" s="38"/>
      <c r="V971" s="261"/>
      <c r="W971" s="256"/>
      <c r="X971" s="256"/>
      <c r="Y971" s="256"/>
      <c r="Z971" s="256"/>
      <c r="AA971" s="54"/>
      <c r="AB971" s="200"/>
      <c r="AC971" s="31"/>
      <c r="AD971" s="184"/>
      <c r="AE971" s="51"/>
      <c r="AF971" s="52"/>
      <c r="AG971" s="41"/>
      <c r="AH971" s="207"/>
      <c r="AI971" s="28"/>
      <c r="AJ971" s="28"/>
      <c r="AK971" s="28"/>
      <c r="AL971" s="28"/>
      <c r="AM971" s="12"/>
      <c r="AN971" s="12"/>
      <c r="AO971" s="12"/>
      <c r="AP971" s="12"/>
      <c r="AQ971" s="12"/>
      <c r="AR971" s="13"/>
      <c r="AS971" s="14"/>
    </row>
    <row r="972" spans="1:45" s="16" customFormat="1" ht="30.95" hidden="1" customHeight="1" x14ac:dyDescent="0.2">
      <c r="A972" s="35"/>
      <c r="B972" s="36"/>
      <c r="C972" s="43"/>
      <c r="D972" s="29">
        <v>3723648</v>
      </c>
      <c r="E972" s="29">
        <v>4162043</v>
      </c>
      <c r="F972" s="255" t="str">
        <f>IF(D972="","",VLOOKUP(D972,契約台帳!$A$3:$K$4986,6,FALSE)&amp;VLOOKUP(D972,契約台帳!$A$3:$K$4986,7,FALSE)&amp;VLOOKUP(D972,契約台帳!$A$3:$K$4986,8,FALSE)&amp;VLOOKUP(D972,契約台帳!$A$3:$K$4986,9,FALSE)&amp;VLOOKUP(D972,契約台帳!$A$3:$K$4986,11,FALSE))</f>
        <v>3SYMLBMSNMBF</v>
      </c>
      <c r="G972" s="256" t="str">
        <f>IF(D972="","",VLOOKUP(F972,製品マスタ!$G$5:$H$4999,2,FALSE))</f>
        <v>S</v>
      </c>
      <c r="H972" s="256" t="str">
        <f>IF(D972="","",VLOOKUP(F972,製品マスタ!$G$5:$K$4999,5,FALSE))</f>
        <v>MSNMBF</v>
      </c>
      <c r="I972" s="200" t="str">
        <f>IF(D972="","",VLOOKUP(F972,製品マスタ!$G$5:$L$4999,6,FALSE))</f>
        <v>ＭＥＴＡＬＵＭＹ　ＳＩＬＶＥＲ　Ｎ－ＭＡＴＴＥ　Ｘ４４Ｍ　Ｂ</v>
      </c>
      <c r="J972" s="203" t="s">
        <v>935</v>
      </c>
      <c r="K972" s="200">
        <f>IF(D972="","",VLOOKUP(D972,契約台帳!$A$3:$L$4986,12,FALSE))</f>
        <v>50</v>
      </c>
      <c r="L972" s="200" t="str">
        <f>IF(D972="","",INDEX(製品マスタ!$Q$5:$Q$4999,MATCH('S4'!F972&amp;'S4'!K972,製品マスタ!$AO$5:$AO$4999,0)))</f>
        <v>X44</v>
      </c>
      <c r="M972" s="37">
        <v>1120</v>
      </c>
      <c r="N972" s="37">
        <v>4000</v>
      </c>
      <c r="O972" s="153">
        <v>3</v>
      </c>
      <c r="P972" s="45">
        <v>3</v>
      </c>
      <c r="Q972" s="206">
        <v>45173</v>
      </c>
      <c r="R972" s="257">
        <f ca="1">IF(D972="","",IF(OFFSET(D972,-1,0)&lt;&gt;"","",IF(OR(J972="リード付け",J972="巻足し",J972="巻返しリード付け"),M972,VLOOKUP(D972,契約台帳!$A$3:$N$4986,14,FALSE))))</f>
        <v>1120</v>
      </c>
      <c r="S972" s="258">
        <f ca="1">IF(D972="","",IF(OFFSET(D972,-1,0)&lt;&gt;"","",IF(OR(J972="リード付け",J972="巻足し",J972="巻返しリード付け"),M972,VLOOKUP(D972,契約台帳!$A$3:$O$4986,15,FALSE))))</f>
        <v>1120</v>
      </c>
      <c r="T972" s="258">
        <f ca="1">IF(D972="","",IF(J972="リード付け",N972,IF(J972="巻返しリード付け",N972,IF(J972="巻足し",N972*P972+OFFSET(N972,1,0)*OFFSET(P972,1,0),VLOOKUP(D972,契約台帳!$A$3:$P$4986,16,FALSE)))))</f>
        <v>12000</v>
      </c>
      <c r="U972" s="38">
        <v>1</v>
      </c>
      <c r="V972" s="259">
        <f ca="1">IF(D972="","",IF(OFFSET(D972,-2,0)=D972,"",VLOOKUP(D972,契約台帳!$A$3:$R$4986,18,FALSE)))</f>
        <v>4</v>
      </c>
      <c r="W972" s="256" t="str">
        <f ca="1">IF(D972="","",IF(T972="","",IF(OR(J972="巻足し",J972="巻返しリード付け"),"",IF(J972="巻返し",VLOOKUP(F972&amp;K972&amp;M972,製品マスタ!$M$5:$AD$4999,18,FALSE),IF(OR(J972="リード付け",J972="巻返しリード付け"),"原反コア",IF(J972="スリット",VLOOKUP(F972&amp;K972&amp;R972,製品マスタ!$N$5:$AD$4999,17,FALSE),""))))))</f>
        <v/>
      </c>
      <c r="X972" s="256" t="str">
        <f ca="1">IF(D972="","",IF(T972="","",IF(J972="巻足し","",IF(J972="巻返し",VLOOKUP(F972&amp;K972&amp;M972,製品マスタ!$M$5:$AE$4999,19,FALSE),IF(OR(J972="リード付け",J972="巻返しリード付け"),"",IF(J972="スリット",VLOOKUP(F972&amp;K972&amp;R972,製品マスタ!$N$5:$AE$4999,18,FALSE),""))))))</f>
        <v/>
      </c>
      <c r="Y972" s="256">
        <f ca="1">IF(D972="","",IF(T972="","",VLOOKUP(D972,契約台帳!$A$3:$Q$4986,17,FALSE)))</f>
        <v>2</v>
      </c>
      <c r="Z972" s="256" t="str">
        <f ca="1">IF(D972="","",IF(T972="","",VLOOKUP(D972,契約台帳!$A$3:$E$4986,5,FALSE)))</f>
        <v>リンテック㈱</v>
      </c>
      <c r="AA972" s="54"/>
      <c r="AB972" s="200">
        <f>IFERROR((VLOOKUP(F972&amp;K972&amp;M972,製品マスタ!$M$5:$AM$4999,27,FALSE)),"")</f>
        <v>0</v>
      </c>
      <c r="AC972" s="31"/>
      <c r="AD972" s="184"/>
      <c r="AE972" s="51"/>
      <c r="AF972" s="52">
        <f>+M972*N972*O972/1000</f>
        <v>13440</v>
      </c>
      <c r="AG972" s="41"/>
      <c r="AH972" s="45"/>
      <c r="AI972" s="28"/>
      <c r="AJ972" s="28"/>
      <c r="AK972" s="28"/>
      <c r="AL972" s="28"/>
      <c r="AM972" s="12"/>
      <c r="AN972" s="12"/>
      <c r="AO972" s="12"/>
      <c r="AP972" s="12"/>
      <c r="AQ972" s="12"/>
      <c r="AR972" s="13"/>
      <c r="AS972" s="14"/>
    </row>
    <row r="973" spans="1:45" s="16" customFormat="1" ht="30.95" hidden="1" customHeight="1" x14ac:dyDescent="0.2">
      <c r="A973" s="35"/>
      <c r="B973" s="36"/>
      <c r="C973" s="43"/>
      <c r="D973" s="29"/>
      <c r="E973" s="29"/>
      <c r="F973" s="255"/>
      <c r="G973" s="256"/>
      <c r="H973" s="256"/>
      <c r="I973" s="200"/>
      <c r="J973" s="203"/>
      <c r="K973" s="200"/>
      <c r="L973" s="200"/>
      <c r="M973" s="37"/>
      <c r="N973" s="37"/>
      <c r="O973" s="153"/>
      <c r="P973" s="45"/>
      <c r="Q973" s="54"/>
      <c r="R973" s="260"/>
      <c r="S973" s="258"/>
      <c r="T973" s="258"/>
      <c r="U973" s="38"/>
      <c r="V973" s="261"/>
      <c r="W973" s="256"/>
      <c r="X973" s="256"/>
      <c r="Y973" s="256"/>
      <c r="Z973" s="256"/>
      <c r="AA973" s="54"/>
      <c r="AB973" s="200"/>
      <c r="AC973" s="31"/>
      <c r="AD973" s="184"/>
      <c r="AE973" s="51"/>
      <c r="AF973" s="52"/>
      <c r="AG973" s="41"/>
      <c r="AH973" s="207"/>
      <c r="AI973" s="28"/>
      <c r="AJ973" s="28"/>
      <c r="AK973" s="28"/>
      <c r="AL973" s="28"/>
      <c r="AM973" s="12"/>
      <c r="AN973" s="12"/>
      <c r="AO973" s="12"/>
      <c r="AP973" s="12"/>
      <c r="AQ973" s="12"/>
      <c r="AR973" s="13"/>
      <c r="AS973" s="14"/>
    </row>
    <row r="974" spans="1:45" s="16" customFormat="1" ht="30.95" hidden="1" customHeight="1" x14ac:dyDescent="0.2">
      <c r="A974" s="35"/>
      <c r="B974" s="36"/>
      <c r="C974" s="43"/>
      <c r="D974" s="29">
        <v>3723648</v>
      </c>
      <c r="E974" s="29">
        <v>4162043</v>
      </c>
      <c r="F974" s="255" t="str">
        <f>IF(D974="","",VLOOKUP(D974,契約台帳!$A$3:$K$4986,6,FALSE)&amp;VLOOKUP(D974,契約台帳!$A$3:$K$4986,7,FALSE)&amp;VLOOKUP(D974,契約台帳!$A$3:$K$4986,8,FALSE)&amp;VLOOKUP(D974,契約台帳!$A$3:$K$4986,9,FALSE)&amp;VLOOKUP(D974,契約台帳!$A$3:$K$4986,11,FALSE))</f>
        <v>3SYMLBMSNMBF</v>
      </c>
      <c r="G974" s="256" t="str">
        <f>IF(D974="","",VLOOKUP(F974,製品マスタ!$G$5:$H$4999,2,FALSE))</f>
        <v>S</v>
      </c>
      <c r="H974" s="256" t="str">
        <f>IF(D974="","",VLOOKUP(F974,製品マスタ!$G$5:$K$4999,5,FALSE))</f>
        <v>MSNMBF</v>
      </c>
      <c r="I974" s="200" t="str">
        <f>IF(D974="","",VLOOKUP(F974,製品マスタ!$G$5:$L$4999,6,FALSE))</f>
        <v>ＭＥＴＡＬＵＭＹ　ＳＩＬＶＥＲ　Ｎ－ＭＡＴＴＥ　Ｘ４４Ｍ　Ｂ</v>
      </c>
      <c r="J974" s="203" t="s">
        <v>935</v>
      </c>
      <c r="K974" s="200">
        <f>IF(D974="","",VLOOKUP(D974,契約台帳!$A$3:$L$4986,12,FALSE))</f>
        <v>50</v>
      </c>
      <c r="L974" s="200" t="str">
        <f>IF(D974="","",INDEX(製品マスタ!$Q$5:$Q$4999,MATCH('S4'!F974&amp;'S4'!K974,製品マスタ!$AO$5:$AO$4999,0)))</f>
        <v>X44</v>
      </c>
      <c r="M974" s="37">
        <v>1120</v>
      </c>
      <c r="N974" s="37">
        <v>4000</v>
      </c>
      <c r="O974" s="153">
        <v>1</v>
      </c>
      <c r="P974" s="45">
        <v>3</v>
      </c>
      <c r="Q974" s="206">
        <v>45173</v>
      </c>
      <c r="R974" s="257">
        <f ca="1">IF(D974="","",IF(OFFSET(D974,-1,0)&lt;&gt;"","",IF(OR(J974="リード付け",J974="巻足し",J974="巻返しリード付け"),M974,VLOOKUP(D974,契約台帳!$A$3:$N$4986,14,FALSE))))</f>
        <v>1120</v>
      </c>
      <c r="S974" s="258">
        <f ca="1">IF(D974="","",IF(OFFSET(D974,-1,0)&lt;&gt;"","",IF(OR(J974="リード付け",J974="巻足し",J974="巻返しリード付け"),M974,VLOOKUP(D974,契約台帳!$A$3:$O$4986,15,FALSE))))</f>
        <v>1120</v>
      </c>
      <c r="T974" s="258">
        <f ca="1">IF(D974="","",IF(J974="リード付け",N974,IF(J974="巻返しリード付け",N974,IF(J974="巻足し",N974*P974+OFFSET(N974,1,0)*OFFSET(P974,1,0),VLOOKUP(D974,契約台帳!$A$3:$P$4986,16,FALSE)))))</f>
        <v>12000</v>
      </c>
      <c r="U974" s="38">
        <v>1</v>
      </c>
      <c r="V974" s="259" t="str">
        <f ca="1">IF(D974="","",IF(OFFSET(D974,-2,0)=D974,"",VLOOKUP(D974,契約台帳!$A$3:$R$4986,18,FALSE)))</f>
        <v/>
      </c>
      <c r="W974" s="256" t="str">
        <f ca="1">IF(D974="","",IF(T974="","",IF(OR(J974="巻足し",J974="巻返しリード付け"),"",IF(J974="巻返し",VLOOKUP(F974&amp;K974&amp;M974,製品マスタ!$M$5:$AD$4999,18,FALSE),IF(OR(J974="リード付け",J974="巻返しリード付け"),"原反コア",IF(J974="スリット",VLOOKUP(F974&amp;K974&amp;R974,製品マスタ!$N$5:$AD$4999,17,FALSE),""))))))</f>
        <v/>
      </c>
      <c r="X974" s="256" t="str">
        <f ca="1">IF(D974="","",IF(T974="","",IF(J974="巻足し","",IF(J974="巻返し",VLOOKUP(F974&amp;K974&amp;M974,製品マスタ!$M$5:$AE$4999,19,FALSE),IF(OR(J974="リード付け",J974="巻返しリード付け"),"",IF(J974="スリット",VLOOKUP(F974&amp;K974&amp;R974,製品マスタ!$N$5:$AE$4999,18,FALSE),""))))))</f>
        <v/>
      </c>
      <c r="Y974" s="256">
        <f ca="1">IF(D974="","",IF(T974="","",VLOOKUP(D974,契約台帳!$A$3:$Q$4986,17,FALSE)))</f>
        <v>2</v>
      </c>
      <c r="Z974" s="256" t="str">
        <f ca="1">IF(D974="","",IF(T974="","",VLOOKUP(D974,契約台帳!$A$3:$E$4986,5,FALSE)))</f>
        <v>リンテック㈱</v>
      </c>
      <c r="AA974" s="54"/>
      <c r="AB974" s="200">
        <f>IFERROR((VLOOKUP(F974&amp;K974&amp;M974,製品マスタ!$M$5:$AM$4999,27,FALSE)),"")</f>
        <v>0</v>
      </c>
      <c r="AC974" s="31"/>
      <c r="AD974" s="184"/>
      <c r="AE974" s="51"/>
      <c r="AF974" s="52">
        <f>+M974*N974*O974/1000</f>
        <v>4480</v>
      </c>
      <c r="AG974" s="41"/>
      <c r="AH974" s="45"/>
      <c r="AI974" s="28"/>
      <c r="AJ974" s="28"/>
      <c r="AK974" s="28"/>
      <c r="AL974" s="28"/>
      <c r="AM974" s="12"/>
      <c r="AN974" s="12"/>
      <c r="AO974" s="12"/>
      <c r="AP974" s="12"/>
      <c r="AQ974" s="12"/>
      <c r="AR974" s="13"/>
      <c r="AS974" s="14"/>
    </row>
    <row r="975" spans="1:45" s="16" customFormat="1" ht="30.95" hidden="1" customHeight="1" x14ac:dyDescent="0.2">
      <c r="A975" s="35"/>
      <c r="B975" s="36"/>
      <c r="C975" s="43"/>
      <c r="D975" s="29">
        <v>3723649</v>
      </c>
      <c r="E975" s="29"/>
      <c r="F975" s="255" t="str">
        <f>IF(D975="","",VLOOKUP(D975,契約台帳!$A$3:$K$4986,6,FALSE)&amp;VLOOKUP(D975,契約台帳!$A$3:$K$4986,7,FALSE)&amp;VLOOKUP(D975,契約台帳!$A$3:$K$4986,8,FALSE)&amp;VLOOKUP(D975,契約台帳!$A$3:$K$4986,9,FALSE)&amp;VLOOKUP(D975,契約台帳!$A$3:$K$4986,11,FALSE))</f>
        <v>3SYMLBMSNMBF</v>
      </c>
      <c r="G975" s="256" t="str">
        <f>IF(D975="","",VLOOKUP(F975,製品マスタ!$G$5:$H$4999,2,FALSE))</f>
        <v>S</v>
      </c>
      <c r="H975" s="256" t="str">
        <f>IF(D975="","",VLOOKUP(F975,製品マスタ!$G$5:$K$4999,5,FALSE))</f>
        <v>MSNMBF</v>
      </c>
      <c r="I975" s="200" t="str">
        <f>IF(D975="","",VLOOKUP(F975,製品マスタ!$G$5:$L$4999,6,FALSE))</f>
        <v>ＭＥＴＡＬＵＭＹ　ＳＩＬＶＥＲ　Ｎ－ＭＡＴＴＥ　Ｘ４４Ｍ　Ｂ</v>
      </c>
      <c r="J975" s="203" t="s">
        <v>935</v>
      </c>
      <c r="K975" s="200">
        <f>IF(D975="","",VLOOKUP(D975,契約台帳!$A$3:$L$4986,12,FALSE))</f>
        <v>50</v>
      </c>
      <c r="L975" s="200" t="str">
        <f>IF(D975="","",INDEX(製品マスタ!$Q$5:$Q$4999,MATCH('S4'!F975&amp;'S4'!K975,製品マスタ!$AO$5:$AO$4999,0)))</f>
        <v>X44</v>
      </c>
      <c r="M975" s="37">
        <v>1120</v>
      </c>
      <c r="N975" s="37">
        <v>4000</v>
      </c>
      <c r="O975" s="153">
        <v>2</v>
      </c>
      <c r="P975" s="45"/>
      <c r="Q975" s="206">
        <v>45173</v>
      </c>
      <c r="R975" s="257" t="str">
        <f ca="1">IF(D975="","",IF(OFFSET(D975,-1,0)&lt;&gt;"","",IF(OR(J975="リード付け",J975="巻足し",J975="巻返しリード付け"),M975,VLOOKUP(D975,契約台帳!$A$3:$N$4986,14,FALSE))))</f>
        <v/>
      </c>
      <c r="S975" s="258" t="str">
        <f ca="1">IF(D975="","",IF(OFFSET(D975,-1,0)&lt;&gt;"","",IF(OR(J975="リード付け",J975="巻足し",J975="巻返しリード付け"),M975,VLOOKUP(D975,契約台帳!$A$3:$O$4986,15,FALSE))))</f>
        <v/>
      </c>
      <c r="T975" s="258">
        <f ca="1">IF(D975="","",IF(J975="リード付け",N975,IF(J975="巻返しリード付け",N975,IF(J975="巻足し",N975*P975+OFFSET(N975,1,0)*OFFSET(P975,1,0),VLOOKUP(D975,契約台帳!$A$3:$P$4986,16,FALSE)))))</f>
        <v>0</v>
      </c>
      <c r="U975" s="38"/>
      <c r="V975" s="259">
        <f ca="1">IF(D975="","",IF(OFFSET(D975,-2,0)=D975,"",VLOOKUP(D975,契約台帳!$A$3:$R$4986,18,FALSE)))</f>
        <v>4</v>
      </c>
      <c r="W975" s="256" t="str">
        <f ca="1">IF(D975="","",IF(T975="","",IF(OR(J975="巻足し",J975="巻返しリード付け"),"",IF(J975="巻返し",VLOOKUP(F975&amp;K975&amp;M975,製品マスタ!$M$5:$AD$4999,18,FALSE),IF(OR(J975="リード付け",J975="巻返しリード付け"),"原反コア",IF(J975="スリット",VLOOKUP(F975&amp;K975&amp;R975,製品マスタ!$N$5:$AD$4999,17,FALSE),""))))))</f>
        <v/>
      </c>
      <c r="X975" s="256" t="str">
        <f ca="1">IF(D975="","",IF(T975="","",IF(J975="巻足し","",IF(J975="巻返し",VLOOKUP(F975&amp;K975&amp;M975,製品マスタ!$M$5:$AE$4999,19,FALSE),IF(OR(J975="リード付け",J975="巻返しリード付け"),"",IF(J975="スリット",VLOOKUP(F975&amp;K975&amp;R975,製品マスタ!$N$5:$AE$4999,18,FALSE),""))))))</f>
        <v/>
      </c>
      <c r="Y975" s="256">
        <f ca="1">IF(D975="","",IF(T975="","",VLOOKUP(D975,契約台帳!$A$3:$Q$4986,17,FALSE)))</f>
        <v>2</v>
      </c>
      <c r="Z975" s="256" t="str">
        <f ca="1">IF(D975="","",IF(T975="","",VLOOKUP(D975,契約台帳!$A$3:$E$4986,5,FALSE)))</f>
        <v>リンテック㈱</v>
      </c>
      <c r="AA975" s="54"/>
      <c r="AB975" s="200">
        <f>IFERROR((VLOOKUP(F975&amp;K975&amp;M975,製品マスタ!$M$5:$AM$4999,27,FALSE)),"")</f>
        <v>0</v>
      </c>
      <c r="AC975" s="31"/>
      <c r="AD975" s="184"/>
      <c r="AE975" s="51"/>
      <c r="AF975" s="52">
        <f>+M975*N975*O975/1000</f>
        <v>8960</v>
      </c>
      <c r="AG975" s="41"/>
      <c r="AH975" s="45"/>
      <c r="AI975" s="28"/>
      <c r="AJ975" s="28"/>
      <c r="AK975" s="28"/>
      <c r="AL975" s="28"/>
      <c r="AM975" s="12"/>
      <c r="AN975" s="12"/>
      <c r="AO975" s="12"/>
      <c r="AP975" s="12"/>
      <c r="AQ975" s="12"/>
      <c r="AR975" s="13"/>
      <c r="AS975" s="14"/>
    </row>
    <row r="976" spans="1:45" s="16" customFormat="1" ht="30.95" hidden="1" customHeight="1" x14ac:dyDescent="0.2">
      <c r="A976" s="35"/>
      <c r="B976" s="36"/>
      <c r="C976" s="43"/>
      <c r="D976" s="29"/>
      <c r="E976" s="29"/>
      <c r="F976" s="255"/>
      <c r="G976" s="256"/>
      <c r="H976" s="256"/>
      <c r="I976" s="200"/>
      <c r="J976" s="203"/>
      <c r="K976" s="200"/>
      <c r="L976" s="200"/>
      <c r="M976" s="37"/>
      <c r="N976" s="37"/>
      <c r="O976" s="153"/>
      <c r="P976" s="45"/>
      <c r="Q976" s="54"/>
      <c r="R976" s="260"/>
      <c r="S976" s="258"/>
      <c r="T976" s="258"/>
      <c r="U976" s="38"/>
      <c r="V976" s="261"/>
      <c r="W976" s="256"/>
      <c r="X976" s="256"/>
      <c r="Y976" s="256"/>
      <c r="Z976" s="256"/>
      <c r="AA976" s="54"/>
      <c r="AB976" s="200"/>
      <c r="AC976" s="31"/>
      <c r="AD976" s="184"/>
      <c r="AE976" s="51"/>
      <c r="AF976" s="52"/>
      <c r="AG976" s="41"/>
      <c r="AH976" s="207"/>
      <c r="AI976" s="28"/>
      <c r="AJ976" s="28"/>
      <c r="AK976" s="28"/>
      <c r="AL976" s="28"/>
      <c r="AM976" s="12"/>
      <c r="AN976" s="12"/>
      <c r="AO976" s="12"/>
      <c r="AP976" s="12"/>
      <c r="AQ976" s="12"/>
      <c r="AR976" s="13"/>
      <c r="AS976" s="14"/>
    </row>
    <row r="977" spans="1:45" s="16" customFormat="1" ht="30.95" hidden="1" customHeight="1" x14ac:dyDescent="0.2">
      <c r="A977" s="35"/>
      <c r="B977" s="36"/>
      <c r="C977" s="43"/>
      <c r="D977" s="29">
        <v>3723649</v>
      </c>
      <c r="E977" s="29">
        <v>4162044</v>
      </c>
      <c r="F977" s="255" t="str">
        <f>IF(D977="","",VLOOKUP(D977,契約台帳!$A$3:$K$4986,6,FALSE)&amp;VLOOKUP(D977,契約台帳!$A$3:$K$4986,7,FALSE)&amp;VLOOKUP(D977,契約台帳!$A$3:$K$4986,8,FALSE)&amp;VLOOKUP(D977,契約台帳!$A$3:$K$4986,9,FALSE)&amp;VLOOKUP(D977,契約台帳!$A$3:$K$4986,11,FALSE))</f>
        <v>3SYMLBMSNMBF</v>
      </c>
      <c r="G977" s="256" t="str">
        <f>IF(D977="","",VLOOKUP(F977,製品マスタ!$G$5:$H$4999,2,FALSE))</f>
        <v>S</v>
      </c>
      <c r="H977" s="256" t="str">
        <f>IF(D977="","",VLOOKUP(F977,製品マスタ!$G$5:$K$4999,5,FALSE))</f>
        <v>MSNMBF</v>
      </c>
      <c r="I977" s="200" t="str">
        <f>IF(D977="","",VLOOKUP(F977,製品マスタ!$G$5:$L$4999,6,FALSE))</f>
        <v>ＭＥＴＡＬＵＭＹ　ＳＩＬＶＥＲ　Ｎ－ＭＡＴＴＥ　Ｘ４４Ｍ　Ｂ</v>
      </c>
      <c r="J977" s="203" t="s">
        <v>935</v>
      </c>
      <c r="K977" s="200">
        <f>IF(D977="","",VLOOKUP(D977,契約台帳!$A$3:$L$4986,12,FALSE))</f>
        <v>50</v>
      </c>
      <c r="L977" s="200" t="str">
        <f>IF(D977="","",INDEX(製品マスタ!$Q$5:$Q$4999,MATCH('S4'!F977&amp;'S4'!K977,製品マスタ!$AO$5:$AO$4999,0)))</f>
        <v>X44</v>
      </c>
      <c r="M977" s="37">
        <v>1120</v>
      </c>
      <c r="N977" s="37">
        <v>4000</v>
      </c>
      <c r="O977" s="153">
        <v>2</v>
      </c>
      <c r="P977" s="45">
        <v>2</v>
      </c>
      <c r="Q977" s="206">
        <v>45173</v>
      </c>
      <c r="R977" s="257">
        <f ca="1">IF(D977="","",IF(OFFSET(D977,-1,0)&lt;&gt;"","",IF(OR(J977="リード付け",J977="巻足し",J977="巻返しリード付け"),M977,VLOOKUP(D977,契約台帳!$A$3:$N$4986,14,FALSE))))</f>
        <v>1120</v>
      </c>
      <c r="S977" s="258">
        <f ca="1">IF(D977="","",IF(OFFSET(D977,-1,0)&lt;&gt;"","",IF(OR(J977="リード付け",J977="巻足し",J977="巻返しリード付け"),M977,VLOOKUP(D977,契約台帳!$A$3:$O$4986,15,FALSE))))</f>
        <v>1120</v>
      </c>
      <c r="T977" s="258">
        <f ca="1">IF(D977="","",IF(J977="リード付け",N977,IF(J977="巻返しリード付け",N977,IF(J977="巻足し",N977*P977+OFFSET(N977,1,0)*OFFSET(P977,1,0),VLOOKUP(D977,契約台帳!$A$3:$P$4986,16,FALSE)))))</f>
        <v>8000</v>
      </c>
      <c r="U977" s="38">
        <v>1</v>
      </c>
      <c r="V977" s="259" t="str">
        <f ca="1">IF(D977="","",IF(OFFSET(D977,-2,0)=D977,"",VLOOKUP(D977,契約台帳!$A$3:$R$4986,18,FALSE)))</f>
        <v/>
      </c>
      <c r="W977" s="256" t="str">
        <f ca="1">IF(D977="","",IF(T977="","",IF(OR(J977="巻足し",J977="巻返しリード付け"),"",IF(J977="巻返し",VLOOKUP(F977&amp;K977&amp;M977,製品マスタ!$M$5:$AD$4999,18,FALSE),IF(OR(J977="リード付け",J977="巻返しリード付け"),"原反コア",IF(J977="スリット",VLOOKUP(F977&amp;K977&amp;R977,製品マスタ!$N$5:$AD$4999,17,FALSE),""))))))</f>
        <v/>
      </c>
      <c r="X977" s="256" t="str">
        <f ca="1">IF(D977="","",IF(T977="","",IF(J977="巻足し","",IF(J977="巻返し",VLOOKUP(F977&amp;K977&amp;M977,製品マスタ!$M$5:$AE$4999,19,FALSE),IF(OR(J977="リード付け",J977="巻返しリード付け"),"",IF(J977="スリット",VLOOKUP(F977&amp;K977&amp;R977,製品マスタ!$N$5:$AE$4999,18,FALSE),""))))))</f>
        <v/>
      </c>
      <c r="Y977" s="256">
        <f ca="1">IF(D977="","",IF(T977="","",VLOOKUP(D977,契約台帳!$A$3:$Q$4986,17,FALSE)))</f>
        <v>2</v>
      </c>
      <c r="Z977" s="256" t="str">
        <f ca="1">IF(D977="","",IF(T977="","",VLOOKUP(D977,契約台帳!$A$3:$E$4986,5,FALSE)))</f>
        <v>リンテック㈱</v>
      </c>
      <c r="AA977" s="54"/>
      <c r="AB977" s="200">
        <f>IFERROR((VLOOKUP(F977&amp;K977&amp;M977,製品マスタ!$M$5:$AM$4999,27,FALSE)),"")</f>
        <v>0</v>
      </c>
      <c r="AC977" s="31"/>
      <c r="AD977" s="184"/>
      <c r="AE977" s="51"/>
      <c r="AF977" s="52">
        <f>+M977*N977*O977/1000</f>
        <v>8960</v>
      </c>
      <c r="AG977" s="41"/>
      <c r="AH977" s="45"/>
      <c r="AI977" s="28"/>
      <c r="AJ977" s="28"/>
      <c r="AK977" s="28"/>
      <c r="AL977" s="28"/>
      <c r="AM977" s="12"/>
      <c r="AN977" s="12"/>
      <c r="AO977" s="12"/>
      <c r="AP977" s="12"/>
      <c r="AQ977" s="12"/>
      <c r="AR977" s="13"/>
      <c r="AS977" s="14"/>
    </row>
    <row r="978" spans="1:45" s="16" customFormat="1" ht="30.95" hidden="1" customHeight="1" x14ac:dyDescent="0.2">
      <c r="A978" s="35"/>
      <c r="B978" s="36"/>
      <c r="C978" s="43"/>
      <c r="D978" s="29"/>
      <c r="E978" s="29"/>
      <c r="F978" s="255"/>
      <c r="G978" s="256"/>
      <c r="H978" s="256"/>
      <c r="I978" s="200"/>
      <c r="J978" s="203"/>
      <c r="K978" s="200"/>
      <c r="L978" s="200"/>
      <c r="M978" s="37"/>
      <c r="N978" s="37"/>
      <c r="O978" s="153"/>
      <c r="P978" s="45"/>
      <c r="Q978" s="54"/>
      <c r="R978" s="260"/>
      <c r="S978" s="258"/>
      <c r="T978" s="258"/>
      <c r="U978" s="38"/>
      <c r="V978" s="261"/>
      <c r="W978" s="256"/>
      <c r="X978" s="256"/>
      <c r="Y978" s="256"/>
      <c r="Z978" s="256"/>
      <c r="AA978" s="54"/>
      <c r="AB978" s="200"/>
      <c r="AC978" s="31"/>
      <c r="AD978" s="184"/>
      <c r="AE978" s="51"/>
      <c r="AF978" s="52"/>
      <c r="AG978" s="41"/>
      <c r="AH978" s="207"/>
      <c r="AI978" s="28"/>
      <c r="AJ978" s="28"/>
      <c r="AK978" s="28"/>
      <c r="AL978" s="28"/>
      <c r="AM978" s="12"/>
      <c r="AN978" s="12"/>
      <c r="AO978" s="12"/>
      <c r="AP978" s="12"/>
      <c r="AQ978" s="12"/>
      <c r="AR978" s="13"/>
      <c r="AS978" s="14"/>
    </row>
    <row r="979" spans="1:45" s="16" customFormat="1" ht="30.95" hidden="1" customHeight="1" x14ac:dyDescent="0.2">
      <c r="A979" s="35"/>
      <c r="B979" s="36"/>
      <c r="C979" s="43"/>
      <c r="D979" s="29">
        <v>3723640</v>
      </c>
      <c r="E979" s="29">
        <v>4162021</v>
      </c>
      <c r="F979" s="255" t="str">
        <f>IF(D979="","",VLOOKUP(D979,契約台帳!$A$3:$K$4986,6,FALSE)&amp;VLOOKUP(D979,契約台帳!$A$3:$K$4986,7,FALSE)&amp;VLOOKUP(D979,契約台帳!$A$3:$K$4986,8,FALSE)&amp;VLOOKUP(D979,契約台帳!$A$3:$K$4986,9,FALSE)&amp;VLOOKUP(D979,契約台帳!$A$3:$K$4986,11,FALSE))</f>
        <v>33SSNMCLBTEKKFV</v>
      </c>
      <c r="G979" s="256" t="str">
        <f>IF(D979="","",VLOOKUP(F979,製品マスタ!$G$5:$H$4999,2,FALSE))</f>
        <v>S</v>
      </c>
      <c r="H979" s="256" t="str">
        <f>IF(D979="","",VLOOKUP(F979,製品マスタ!$G$5:$K$4999,5,FALSE))</f>
        <v>TEKKFV</v>
      </c>
      <c r="I979" s="200" t="str">
        <f>IF(D979="","",VLOOKUP(F979,製品マスタ!$G$5:$L$4999,6,FALSE))</f>
        <v>メタルミー　ＴＥＳ消開封　Ｖ</v>
      </c>
      <c r="J979" s="203" t="s">
        <v>935</v>
      </c>
      <c r="K979" s="200">
        <f>IF(D979="","",VLOOKUP(D979,契約台帳!$A$3:$L$4986,12,FALSE))</f>
        <v>50</v>
      </c>
      <c r="L979" s="200" t="str">
        <f>IF(D979="","",INDEX(製品マスタ!$Q$5:$Q$4999,MATCH('S4'!F979&amp;'S4'!K979,製品マスタ!$AO$5:$AO$4999,0)))</f>
        <v>X44SEPA</v>
      </c>
      <c r="M979" s="37">
        <v>1005</v>
      </c>
      <c r="N979" s="37">
        <v>4100</v>
      </c>
      <c r="O979" s="153">
        <v>3</v>
      </c>
      <c r="P979" s="45">
        <v>3</v>
      </c>
      <c r="Q979" s="206">
        <v>45173</v>
      </c>
      <c r="R979" s="257">
        <f ca="1">IF(D979="","",IF(OFFSET(D979,-1,0)&lt;&gt;"","",IF(OR(J979="リード付け",J979="巻足し",J979="巻返しリード付け"),M979,VLOOKUP(D979,契約台帳!$A$3:$N$4986,14,FALSE))))</f>
        <v>1005</v>
      </c>
      <c r="S979" s="258">
        <f ca="1">IF(D979="","",IF(OFFSET(D979,-1,0)&lt;&gt;"","",IF(OR(J979="リード付け",J979="巻足し",J979="巻返しリード付け"),M979,VLOOKUP(D979,契約台帳!$A$3:$O$4986,15,FALSE))))</f>
        <v>1005</v>
      </c>
      <c r="T979" s="258">
        <f ca="1">IF(D979="","",IF(J979="リード付け",N979,IF(J979="巻返しリード付け",N979,IF(J979="巻足し",N979*P979+OFFSET(N979,1,0)*OFFSET(P979,1,0),VLOOKUP(D979,契約台帳!$A$3:$P$4986,16,FALSE)))))</f>
        <v>12300</v>
      </c>
      <c r="U979" s="38">
        <v>1</v>
      </c>
      <c r="V979" s="259">
        <f ca="1">IF(D979="","",IF(OFFSET(D979,-2,0)=D979,"",VLOOKUP(D979,契約台帳!$A$3:$R$4986,18,FALSE)))</f>
        <v>3</v>
      </c>
      <c r="W979" s="256" t="str">
        <f ca="1">IF(D979="","",IF(T979="","",IF(OR(J979="巻足し",J979="巻返しリード付け"),"",IF(J979="巻返し",VLOOKUP(F979&amp;K979&amp;M979,製品マスタ!$M$5:$AD$4999,18,FALSE),IF(OR(J979="リード付け",J979="巻返しリード付け"),"原反コア",IF(J979="スリット",VLOOKUP(F979&amp;K979&amp;R979,製品マスタ!$N$5:$AD$4999,17,FALSE),""))))))</f>
        <v/>
      </c>
      <c r="X979" s="256" t="str">
        <f ca="1">IF(D979="","",IF(T979="","",IF(J979="巻足し","",IF(J979="巻返し",VLOOKUP(F979&amp;K979&amp;M979,製品マスタ!$M$5:$AE$4999,19,FALSE),IF(OR(J979="リード付け",J979="巻返しリード付け"),"",IF(J979="スリット",VLOOKUP(F979&amp;K979&amp;R979,製品マスタ!$N$5:$AE$4999,18,FALSE),""))))))</f>
        <v/>
      </c>
      <c r="Y979" s="256">
        <f ca="1">IF(D979="","",IF(T979="","",VLOOKUP(D979,契約台帳!$A$3:$Q$4986,17,FALSE)))</f>
        <v>2</v>
      </c>
      <c r="Z979" s="256" t="str">
        <f ca="1">IF(D979="","",IF(T979="","",VLOOKUP(D979,契約台帳!$A$3:$E$4986,5,FALSE)))</f>
        <v>リンテック㈱</v>
      </c>
      <c r="AA979" s="54"/>
      <c r="AB979" s="200">
        <f>IFERROR((VLOOKUP(F979&amp;K979&amp;M979,製品マスタ!$M$5:$AM$4999,27,FALSE)),"")</f>
        <v>0</v>
      </c>
      <c r="AC979" s="31"/>
      <c r="AD979" s="184"/>
      <c r="AE979" s="51"/>
      <c r="AF979" s="52">
        <f>+M979*N979*O979/1000</f>
        <v>12361.5</v>
      </c>
      <c r="AG979" s="41"/>
      <c r="AH979" s="45"/>
      <c r="AI979" s="28"/>
      <c r="AJ979" s="28"/>
      <c r="AK979" s="28"/>
      <c r="AL979" s="28"/>
      <c r="AM979" s="12"/>
      <c r="AN979" s="12"/>
      <c r="AO979" s="12"/>
      <c r="AP979" s="12"/>
      <c r="AQ979" s="12"/>
      <c r="AR979" s="13"/>
      <c r="AS979" s="14"/>
    </row>
    <row r="980" spans="1:45" s="16" customFormat="1" ht="30.95" hidden="1" customHeight="1" x14ac:dyDescent="0.2">
      <c r="A980" s="35"/>
      <c r="B980" s="36"/>
      <c r="C980" s="43"/>
      <c r="D980" s="29"/>
      <c r="E980" s="29"/>
      <c r="F980" s="255"/>
      <c r="G980" s="256"/>
      <c r="H980" s="256"/>
      <c r="I980" s="200"/>
      <c r="J980" s="203"/>
      <c r="K980" s="200"/>
      <c r="L980" s="200"/>
      <c r="M980" s="37"/>
      <c r="N980" s="37"/>
      <c r="O980" s="153"/>
      <c r="P980" s="45"/>
      <c r="Q980" s="54"/>
      <c r="R980" s="260"/>
      <c r="S980" s="258"/>
      <c r="T980" s="258"/>
      <c r="U980" s="38"/>
      <c r="V980" s="261"/>
      <c r="W980" s="256"/>
      <c r="X980" s="256"/>
      <c r="Y980" s="256"/>
      <c r="Z980" s="256"/>
      <c r="AA980" s="54"/>
      <c r="AB980" s="200"/>
      <c r="AC980" s="31"/>
      <c r="AD980" s="184"/>
      <c r="AE980" s="51"/>
      <c r="AF980" s="52"/>
      <c r="AG980" s="41"/>
      <c r="AH980" s="207"/>
      <c r="AI980" s="28"/>
      <c r="AJ980" s="28"/>
      <c r="AK980" s="28"/>
      <c r="AL980" s="28"/>
      <c r="AM980" s="12"/>
      <c r="AN980" s="12"/>
      <c r="AO980" s="12"/>
      <c r="AP980" s="12"/>
      <c r="AQ980" s="12"/>
      <c r="AR980" s="13"/>
      <c r="AS980" s="14"/>
    </row>
    <row r="981" spans="1:45" s="16" customFormat="1" ht="30.95" hidden="1" customHeight="1" x14ac:dyDescent="0.2">
      <c r="A981" s="35"/>
      <c r="B981" s="36"/>
      <c r="C981" s="43"/>
      <c r="D981" s="29">
        <v>3723641</v>
      </c>
      <c r="E981" s="29">
        <v>4162022</v>
      </c>
      <c r="F981" s="255" t="str">
        <f>IF(D981="","",VLOOKUP(D981,契約台帳!$A$3:$K$4986,6,FALSE)&amp;VLOOKUP(D981,契約台帳!$A$3:$K$4986,7,FALSE)&amp;VLOOKUP(D981,契約台帳!$A$3:$K$4986,8,FALSE)&amp;VLOOKUP(D981,契約台帳!$A$3:$K$4986,9,FALSE)&amp;VLOOKUP(D981,契約台帳!$A$3:$K$4986,11,FALSE))</f>
        <v>33SSNMCLBTEKV0V</v>
      </c>
      <c r="G981" s="256" t="str">
        <f>IF(D981="","",VLOOKUP(F981,製品マスタ!$G$5:$H$4999,2,FALSE))</f>
        <v>S</v>
      </c>
      <c r="H981" s="256" t="str">
        <f>IF(D981="","",VLOOKUP(F981,製品マスタ!$G$5:$K$4999,5,FALSE))</f>
        <v>TEKV0V</v>
      </c>
      <c r="I981" s="200" t="str">
        <f>IF(D981="","",VLOOKUP(F981,製品マスタ!$G$5:$L$4999,6,FALSE))</f>
        <v>メタルミー　ＴＥ－Ｓ消　ＶＯＩＤ　Ｖ</v>
      </c>
      <c r="J981" s="203" t="s">
        <v>935</v>
      </c>
      <c r="K981" s="200">
        <f>IF(D981="","",VLOOKUP(D981,契約台帳!$A$3:$L$4986,12,FALSE))</f>
        <v>50</v>
      </c>
      <c r="L981" s="200" t="str">
        <f>IF(D981="","",INDEX(製品マスタ!$Q$5:$Q$4999,MATCH('S4'!F981&amp;'S4'!K981,製品マスタ!$AO$5:$AO$4999,0)))</f>
        <v>X44SEPA</v>
      </c>
      <c r="M981" s="37">
        <v>1005</v>
      </c>
      <c r="N981" s="37">
        <v>4000</v>
      </c>
      <c r="O981" s="153">
        <v>3</v>
      </c>
      <c r="P981" s="45">
        <v>3</v>
      </c>
      <c r="Q981" s="206">
        <v>45173</v>
      </c>
      <c r="R981" s="257">
        <f ca="1">IF(D981="","",IF(OFFSET(D981,-1,0)&lt;&gt;"","",IF(OR(J981="リード付け",J981="巻足し",J981="巻返しリード付け"),M981,VLOOKUP(D981,契約台帳!$A$3:$N$4986,14,FALSE))))</f>
        <v>1005</v>
      </c>
      <c r="S981" s="258">
        <f ca="1">IF(D981="","",IF(OFFSET(D981,-1,0)&lt;&gt;"","",IF(OR(J981="リード付け",J981="巻足し",J981="巻返しリード付け"),M981,VLOOKUP(D981,契約台帳!$A$3:$O$4986,15,FALSE))))</f>
        <v>1005</v>
      </c>
      <c r="T981" s="258">
        <f ca="1">IF(D981="","",IF(J981="リード付け",N981,IF(J981="巻返しリード付け",N981,IF(J981="巻足し",N981*P981+OFFSET(N981,1,0)*OFFSET(P981,1,0),VLOOKUP(D981,契約台帳!$A$3:$P$4986,16,FALSE)))))</f>
        <v>12000</v>
      </c>
      <c r="U981" s="38">
        <v>1</v>
      </c>
      <c r="V981" s="259">
        <f ca="1">IF(D981="","",IF(OFFSET(D981,-2,0)=D981,"",VLOOKUP(D981,契約台帳!$A$3:$R$4986,18,FALSE)))</f>
        <v>3</v>
      </c>
      <c r="W981" s="256" t="str">
        <f ca="1">IF(D981="","",IF(T981="","",IF(OR(J981="巻足し",J981="巻返しリード付け"),"",IF(J981="巻返し",VLOOKUP(F981&amp;K981&amp;M981,製品マスタ!$M$5:$AD$4999,18,FALSE),IF(OR(J981="リード付け",J981="巻返しリード付け"),"原反コア",IF(J981="スリット",VLOOKUP(F981&amp;K981&amp;R981,製品マスタ!$N$5:$AD$4999,17,FALSE),""))))))</f>
        <v/>
      </c>
      <c r="X981" s="256" t="str">
        <f ca="1">IF(D981="","",IF(T981="","",IF(J981="巻足し","",IF(J981="巻返し",VLOOKUP(F981&amp;K981&amp;M981,製品マスタ!$M$5:$AE$4999,19,FALSE),IF(OR(J981="リード付け",J981="巻返しリード付け"),"",IF(J981="スリット",VLOOKUP(F981&amp;K981&amp;R981,製品マスタ!$N$5:$AE$4999,18,FALSE),""))))))</f>
        <v/>
      </c>
      <c r="Y981" s="256">
        <f ca="1">IF(D981="","",IF(T981="","",VLOOKUP(D981,契約台帳!$A$3:$Q$4986,17,FALSE)))</f>
        <v>2</v>
      </c>
      <c r="Z981" s="256" t="str">
        <f ca="1">IF(D981="","",IF(T981="","",VLOOKUP(D981,契約台帳!$A$3:$E$4986,5,FALSE)))</f>
        <v>リンテック㈱</v>
      </c>
      <c r="AA981" s="54"/>
      <c r="AB981" s="200">
        <f>IFERROR((VLOOKUP(F981&amp;K981&amp;M981,製品マスタ!$M$5:$AM$4999,27,FALSE)),"")</f>
        <v>0</v>
      </c>
      <c r="AC981" s="31"/>
      <c r="AD981" s="184"/>
      <c r="AE981" s="51"/>
      <c r="AF981" s="52">
        <f>+M981*N981*O981/1000</f>
        <v>12060</v>
      </c>
      <c r="AG981" s="41"/>
      <c r="AH981" s="45"/>
      <c r="AI981" s="28"/>
      <c r="AJ981" s="28"/>
      <c r="AK981" s="28"/>
      <c r="AL981" s="28"/>
      <c r="AM981" s="12"/>
      <c r="AN981" s="12"/>
      <c r="AO981" s="12"/>
      <c r="AP981" s="12"/>
      <c r="AQ981" s="12"/>
      <c r="AR981" s="13"/>
      <c r="AS981" s="14"/>
    </row>
    <row r="982" spans="1:45" s="16" customFormat="1" ht="30.95" hidden="1" customHeight="1" x14ac:dyDescent="0.2">
      <c r="A982" s="35"/>
      <c r="B982" s="36"/>
      <c r="C982" s="43"/>
      <c r="D982" s="29"/>
      <c r="E982" s="29"/>
      <c r="F982" s="255"/>
      <c r="G982" s="256"/>
      <c r="H982" s="256"/>
      <c r="I982" s="200"/>
      <c r="J982" s="203"/>
      <c r="K982" s="200"/>
      <c r="L982" s="200"/>
      <c r="M982" s="37"/>
      <c r="N982" s="37"/>
      <c r="O982" s="153"/>
      <c r="P982" s="45"/>
      <c r="Q982" s="54"/>
      <c r="R982" s="260"/>
      <c r="S982" s="258"/>
      <c r="T982" s="258"/>
      <c r="U982" s="38"/>
      <c r="V982" s="261"/>
      <c r="W982" s="256"/>
      <c r="X982" s="256"/>
      <c r="Y982" s="256"/>
      <c r="Z982" s="256"/>
      <c r="AA982" s="54"/>
      <c r="AB982" s="200"/>
      <c r="AC982" s="31"/>
      <c r="AD982" s="184"/>
      <c r="AE982" s="51"/>
      <c r="AF982" s="52"/>
      <c r="AG982" s="41"/>
      <c r="AH982" s="207"/>
      <c r="AI982" s="28"/>
      <c r="AJ982" s="28"/>
      <c r="AK982" s="28"/>
      <c r="AL982" s="28"/>
      <c r="AM982" s="12"/>
      <c r="AN982" s="12"/>
      <c r="AO982" s="12"/>
      <c r="AP982" s="12"/>
      <c r="AQ982" s="12"/>
      <c r="AR982" s="13"/>
      <c r="AS982" s="14"/>
    </row>
    <row r="983" spans="1:45" s="16" customFormat="1" ht="30.95" hidden="1" customHeight="1" x14ac:dyDescent="0.2">
      <c r="A983" s="35"/>
      <c r="B983" s="36"/>
      <c r="C983" s="43"/>
      <c r="D983" s="29">
        <v>3723642</v>
      </c>
      <c r="E983" s="29">
        <v>4162023</v>
      </c>
      <c r="F983" s="255" t="str">
        <f>IF(D983="","",VLOOKUP(D983,契約台帳!$A$3:$K$4986,6,FALSE)&amp;VLOOKUP(D983,契約台帳!$A$3:$K$4986,7,FALSE)&amp;VLOOKUP(D983,契約台帳!$A$3:$K$4986,8,FALSE)&amp;VLOOKUP(D983,契約台帳!$A$3:$K$4986,9,FALSE)&amp;VLOOKUP(D983,契約台帳!$A$3:$K$4986,11,FALSE))</f>
        <v>33SSNMCLBTEKV0V</v>
      </c>
      <c r="G983" s="256" t="str">
        <f>IF(D983="","",VLOOKUP(F983,製品マスタ!$G$5:$H$4999,2,FALSE))</f>
        <v>S</v>
      </c>
      <c r="H983" s="256" t="str">
        <f>IF(D983="","",VLOOKUP(F983,製品マスタ!$G$5:$K$4999,5,FALSE))</f>
        <v>TEKV0V</v>
      </c>
      <c r="I983" s="200" t="str">
        <f>IF(D983="","",VLOOKUP(F983,製品マスタ!$G$5:$L$4999,6,FALSE))</f>
        <v>メタルミー　ＴＥ－Ｓ消　ＶＯＩＤ　Ｖ</v>
      </c>
      <c r="J983" s="203" t="s">
        <v>935</v>
      </c>
      <c r="K983" s="200">
        <f>IF(D983="","",VLOOKUP(D983,契約台帳!$A$3:$L$4986,12,FALSE))</f>
        <v>50</v>
      </c>
      <c r="L983" s="200" t="str">
        <f>IF(D983="","",INDEX(製品マスタ!$Q$5:$Q$4999,MATCH('S4'!F983&amp;'S4'!K983,製品マスタ!$AO$5:$AO$4999,0)))</f>
        <v>X44SEPA</v>
      </c>
      <c r="M983" s="37">
        <v>1005</v>
      </c>
      <c r="N983" s="37">
        <v>4100</v>
      </c>
      <c r="O983" s="153">
        <v>3</v>
      </c>
      <c r="P983" s="45">
        <v>3</v>
      </c>
      <c r="Q983" s="206">
        <v>45173</v>
      </c>
      <c r="R983" s="257">
        <f ca="1">IF(D983="","",IF(OFFSET(D983,-1,0)&lt;&gt;"","",IF(OR(J983="リード付け",J983="巻足し",J983="巻返しリード付け"),M983,VLOOKUP(D983,契約台帳!$A$3:$N$4986,14,FALSE))))</f>
        <v>1005</v>
      </c>
      <c r="S983" s="258">
        <f ca="1">IF(D983="","",IF(OFFSET(D983,-1,0)&lt;&gt;"","",IF(OR(J983="リード付け",J983="巻足し",J983="巻返しリード付け"),M983,VLOOKUP(D983,契約台帳!$A$3:$O$4986,15,FALSE))))</f>
        <v>1005</v>
      </c>
      <c r="T983" s="258">
        <f ca="1">IF(D983="","",IF(J983="リード付け",N983,IF(J983="巻返しリード付け",N983,IF(J983="巻足し",N983*P983+OFFSET(N983,1,0)*OFFSET(P983,1,0),VLOOKUP(D983,契約台帳!$A$3:$P$4986,16,FALSE)))))</f>
        <v>12300</v>
      </c>
      <c r="U983" s="38">
        <v>1</v>
      </c>
      <c r="V983" s="259">
        <f ca="1">IF(D983="","",IF(OFFSET(D983,-2,0)=D983,"",VLOOKUP(D983,契約台帳!$A$3:$R$4986,18,FALSE)))</f>
        <v>3</v>
      </c>
      <c r="W983" s="256" t="str">
        <f ca="1">IF(D983="","",IF(T983="","",IF(OR(J983="巻足し",J983="巻返しリード付け"),"",IF(J983="巻返し",VLOOKUP(F983&amp;K983&amp;M983,製品マスタ!$M$5:$AD$4999,18,FALSE),IF(OR(J983="リード付け",J983="巻返しリード付け"),"原反コア",IF(J983="スリット",VLOOKUP(F983&amp;K983&amp;R983,製品マスタ!$N$5:$AD$4999,17,FALSE),""))))))</f>
        <v/>
      </c>
      <c r="X983" s="256" t="str">
        <f ca="1">IF(D983="","",IF(T983="","",IF(J983="巻足し","",IF(J983="巻返し",VLOOKUP(F983&amp;K983&amp;M983,製品マスタ!$M$5:$AE$4999,19,FALSE),IF(OR(J983="リード付け",J983="巻返しリード付け"),"",IF(J983="スリット",VLOOKUP(F983&amp;K983&amp;R983,製品マスタ!$N$5:$AE$4999,18,FALSE),""))))))</f>
        <v/>
      </c>
      <c r="Y983" s="256">
        <f ca="1">IF(D983="","",IF(T983="","",VLOOKUP(D983,契約台帳!$A$3:$Q$4986,17,FALSE)))</f>
        <v>2</v>
      </c>
      <c r="Z983" s="256" t="str">
        <f ca="1">IF(D983="","",IF(T983="","",VLOOKUP(D983,契約台帳!$A$3:$E$4986,5,FALSE)))</f>
        <v>リンテック㈱</v>
      </c>
      <c r="AA983" s="54"/>
      <c r="AB983" s="200">
        <f>IFERROR((VLOOKUP(F983&amp;K983&amp;M983,製品マスタ!$M$5:$AM$4999,27,FALSE)),"")</f>
        <v>0</v>
      </c>
      <c r="AC983" s="31"/>
      <c r="AD983" s="184"/>
      <c r="AE983" s="51"/>
      <c r="AF983" s="52">
        <f>+M983*N983*O983/1000</f>
        <v>12361.5</v>
      </c>
      <c r="AG983" s="41"/>
      <c r="AH983" s="45"/>
      <c r="AI983" s="28"/>
      <c r="AJ983" s="28"/>
      <c r="AK983" s="28"/>
      <c r="AL983" s="28"/>
      <c r="AM983" s="12"/>
      <c r="AN983" s="12"/>
      <c r="AO983" s="12"/>
      <c r="AP983" s="12"/>
      <c r="AQ983" s="12"/>
      <c r="AR983" s="13"/>
      <c r="AS983" s="14"/>
    </row>
    <row r="984" spans="1:45" s="16" customFormat="1" ht="30.95" hidden="1" customHeight="1" x14ac:dyDescent="0.2">
      <c r="A984" s="35"/>
      <c r="B984" s="36"/>
      <c r="C984" s="43"/>
      <c r="D984" s="29"/>
      <c r="E984" s="29"/>
      <c r="F984" s="255"/>
      <c r="G984" s="256"/>
      <c r="H984" s="256"/>
      <c r="I984" s="200"/>
      <c r="J984" s="203"/>
      <c r="K984" s="200"/>
      <c r="L984" s="200"/>
      <c r="M984" s="37"/>
      <c r="N984" s="37"/>
      <c r="O984" s="153"/>
      <c r="P984" s="45"/>
      <c r="Q984" s="54"/>
      <c r="R984" s="260"/>
      <c r="S984" s="258"/>
      <c r="T984" s="258"/>
      <c r="U984" s="38"/>
      <c r="V984" s="261"/>
      <c r="W984" s="256"/>
      <c r="X984" s="256"/>
      <c r="Y984" s="256"/>
      <c r="Z984" s="256"/>
      <c r="AA984" s="54"/>
      <c r="AB984" s="200"/>
      <c r="AC984" s="31"/>
      <c r="AD984" s="184"/>
      <c r="AE984" s="51"/>
      <c r="AF984" s="52"/>
      <c r="AG984" s="41"/>
      <c r="AH984" s="207"/>
      <c r="AI984" s="28"/>
      <c r="AJ984" s="28"/>
      <c r="AK984" s="28"/>
      <c r="AL984" s="28"/>
      <c r="AM984" s="12"/>
      <c r="AN984" s="12"/>
      <c r="AO984" s="12"/>
      <c r="AP984" s="12"/>
      <c r="AQ984" s="12"/>
      <c r="AR984" s="13"/>
      <c r="AS984" s="14"/>
    </row>
    <row r="985" spans="1:45" s="16" customFormat="1" ht="30.95" hidden="1" customHeight="1" x14ac:dyDescent="0.2">
      <c r="A985" s="35" t="s">
        <v>1463</v>
      </c>
      <c r="B985" s="36" t="s">
        <v>1464</v>
      </c>
      <c r="C985" s="43"/>
      <c r="D985" s="29">
        <v>3723629</v>
      </c>
      <c r="E985" s="29">
        <v>4162030</v>
      </c>
      <c r="F985" s="255" t="str">
        <f>IF(D985="","",VLOOKUP(D985,契約台帳!$A$3:$K$4986,6,FALSE)&amp;VLOOKUP(D985,契約台帳!$A$3:$K$4986,7,FALSE)&amp;VLOOKUP(D985,契約台帳!$A$3:$K$4986,8,FALSE)&amp;VLOOKUP(D985,契約台帳!$A$3:$K$4986,9,FALSE)&amp;VLOOKUP(D985,契約台帳!$A$3:$K$4986,11,FALSE))</f>
        <v>3SNMLBMNGKKBF</v>
      </c>
      <c r="G985" s="256" t="str">
        <f>IF(D985="","",VLOOKUP(F985,製品マスタ!$G$5:$H$4999,2,FALSE))</f>
        <v>S</v>
      </c>
      <c r="H985" s="256" t="str">
        <f>IF(D985="","",VLOOKUP(F985,製品マスタ!$G$5:$K$4999,5,FALSE))</f>
        <v>MNGKKBF</v>
      </c>
      <c r="I985" s="200" t="str">
        <f>IF(D985="","",VLOOKUP(F985,製品マスタ!$G$5:$L$4999,6,FALSE))</f>
        <v>メタルミー　ネーマー銀消改　Ｂ</v>
      </c>
      <c r="J985" s="203" t="s">
        <v>935</v>
      </c>
      <c r="K985" s="200">
        <f>IF(D985="","",VLOOKUP(D985,契約台帳!$A$3:$L$4986,12,FALSE))</f>
        <v>50</v>
      </c>
      <c r="L985" s="200" t="str">
        <f>IF(D985="","",INDEX(製品マスタ!$Q$5:$Q$4999,MATCH('S4'!F985&amp;'S4'!K985,製品マスタ!$AO$5:$AO$4999,0)))</f>
        <v>S99-MAT</v>
      </c>
      <c r="M985" s="37">
        <v>1120</v>
      </c>
      <c r="N985" s="37">
        <v>4000</v>
      </c>
      <c r="O985" s="153">
        <v>18</v>
      </c>
      <c r="P985" s="45">
        <v>3</v>
      </c>
      <c r="Q985" s="206">
        <v>45174</v>
      </c>
      <c r="R985" s="257">
        <f ca="1">IF(D985="","",IF(OFFSET(D985,-1,0)&lt;&gt;"","",IF(OR(J985="リード付け",J985="巻足し",J985="巻返しリード付け"),M985,VLOOKUP(D985,契約台帳!$A$3:$N$4986,14,FALSE))))</f>
        <v>1120</v>
      </c>
      <c r="S985" s="258">
        <f ca="1">IF(D985="","",IF(OFFSET(D985,-1,0)&lt;&gt;"","",IF(OR(J985="リード付け",J985="巻足し",J985="巻返しリード付け"),M985,VLOOKUP(D985,契約台帳!$A$3:$O$4986,15,FALSE))))</f>
        <v>1120</v>
      </c>
      <c r="T985" s="258">
        <f ca="1">IF(D985="","",IF(J985="リード付け",N985,IF(J985="巻返しリード付け",N985,IF(J985="巻足し",N985*P985+OFFSET(N985,1,0)*OFFSET(P985,1,0),VLOOKUP(D985,契約台帳!$A$3:$P$4986,16,FALSE)))))</f>
        <v>12000</v>
      </c>
      <c r="U985" s="38">
        <v>6</v>
      </c>
      <c r="V985" s="259">
        <f ca="1">IF(D985="","",IF(OFFSET(D985,-2,0)=D985,"",VLOOKUP(D985,契約台帳!$A$3:$R$4986,18,FALSE)))</f>
        <v>18</v>
      </c>
      <c r="W985" s="256" t="str">
        <f ca="1">IF(D985="","",IF(T985="","",IF(OR(J985="巻足し",J985="巻返しリード付け"),"",IF(J985="巻返し",VLOOKUP(F985&amp;K985&amp;M985,製品マスタ!$M$5:$AD$4999,18,FALSE),IF(OR(J985="リード付け",J985="巻返しリード付け"),"原反コア",IF(J985="スリット",VLOOKUP(F985&amp;K985&amp;R985,製品マスタ!$N$5:$AD$4999,17,FALSE),""))))))</f>
        <v/>
      </c>
      <c r="X985" s="256" t="str">
        <f ca="1">IF(D985="","",IF(T985="","",IF(J985="巻足し","",IF(J985="巻返し",VLOOKUP(F985&amp;K985&amp;M985,製品マスタ!$M$5:$AE$4999,19,FALSE),IF(OR(J985="リード付け",J985="巻返しリード付け"),"",IF(J985="スリット",VLOOKUP(F985&amp;K985&amp;R985,製品マスタ!$N$5:$AE$4999,18,FALSE),""))))))</f>
        <v/>
      </c>
      <c r="Y985" s="256">
        <f ca="1">IF(D985="","",IF(T985="","",VLOOKUP(D985,契約台帳!$A$3:$Q$4986,17,FALSE)))</f>
        <v>2</v>
      </c>
      <c r="Z985" s="256" t="str">
        <f ca="1">IF(D985="","",IF(T985="","",VLOOKUP(D985,契約台帳!$A$3:$E$4986,5,FALSE)))</f>
        <v>リンテック㈱</v>
      </c>
      <c r="AA985" s="54"/>
      <c r="AB985" s="200">
        <f>IFERROR((VLOOKUP(F985&amp;K985&amp;M985,製品マスタ!$M$5:$AM$4999,27,FALSE)),"")</f>
        <v>0</v>
      </c>
      <c r="AC985" s="31"/>
      <c r="AD985" s="184"/>
      <c r="AE985" s="51"/>
      <c r="AF985" s="52">
        <f>+M985*N985*O985/1000</f>
        <v>80640</v>
      </c>
      <c r="AG985" s="41"/>
      <c r="AH985" s="45"/>
      <c r="AI985" s="28"/>
      <c r="AJ985" s="28"/>
      <c r="AK985" s="28"/>
      <c r="AL985" s="28"/>
      <c r="AM985" s="12"/>
      <c r="AN985" s="12"/>
      <c r="AO985" s="12"/>
      <c r="AP985" s="12"/>
      <c r="AQ985" s="12"/>
      <c r="AR985" s="13"/>
      <c r="AS985" s="14"/>
    </row>
    <row r="986" spans="1:45" s="16" customFormat="1" ht="30.95" hidden="1" customHeight="1" x14ac:dyDescent="0.2">
      <c r="A986" s="35"/>
      <c r="B986" s="36"/>
      <c r="C986" s="43"/>
      <c r="D986" s="29"/>
      <c r="E986" s="29"/>
      <c r="F986" s="255"/>
      <c r="G986" s="256"/>
      <c r="H986" s="256"/>
      <c r="I986" s="200"/>
      <c r="J986" s="203"/>
      <c r="K986" s="200"/>
      <c r="L986" s="200"/>
      <c r="M986" s="37"/>
      <c r="N986" s="37"/>
      <c r="O986" s="153"/>
      <c r="P986" s="45"/>
      <c r="Q986" s="54"/>
      <c r="R986" s="260"/>
      <c r="S986" s="258"/>
      <c r="T986" s="258"/>
      <c r="U986" s="38"/>
      <c r="V986" s="261"/>
      <c r="W986" s="256"/>
      <c r="X986" s="256"/>
      <c r="Y986" s="256"/>
      <c r="Z986" s="256"/>
      <c r="AA986" s="54"/>
      <c r="AB986" s="200"/>
      <c r="AC986" s="31"/>
      <c r="AD986" s="184"/>
      <c r="AE986" s="51"/>
      <c r="AF986" s="52"/>
      <c r="AG986" s="41"/>
      <c r="AH986" s="207"/>
      <c r="AI986" s="28"/>
      <c r="AJ986" s="28"/>
      <c r="AK986" s="28"/>
      <c r="AL986" s="28"/>
      <c r="AM986" s="12"/>
      <c r="AN986" s="12"/>
      <c r="AO986" s="12"/>
      <c r="AP986" s="12"/>
      <c r="AQ986" s="12"/>
      <c r="AR986" s="13"/>
      <c r="AS986" s="14"/>
    </row>
    <row r="987" spans="1:45" s="16" customFormat="1" ht="30.95" hidden="1" customHeight="1" x14ac:dyDescent="0.2">
      <c r="A987" s="35" t="s">
        <v>1465</v>
      </c>
      <c r="B987" s="36" t="s">
        <v>1466</v>
      </c>
      <c r="C987" s="43"/>
      <c r="D987" s="29">
        <v>3723632</v>
      </c>
      <c r="E987" s="29">
        <v>4162027</v>
      </c>
      <c r="F987" s="255" t="str">
        <f>IF(D987="","",VLOOKUP(D987,契約台帳!$A$3:$K$4986,6,FALSE)&amp;VLOOKUP(D987,契約台帳!$A$3:$K$4986,7,FALSE)&amp;VLOOKUP(D987,契約台帳!$A$3:$K$4986,8,FALSE)&amp;VLOOKUP(D987,契約台帳!$A$3:$K$4986,9,FALSE)&amp;VLOOKUP(D987,契約台帳!$A$3:$K$4986,11,FALSE))</f>
        <v>3SNMLBMNGKBF</v>
      </c>
      <c r="G987" s="256" t="str">
        <f>IF(D987="","",VLOOKUP(F987,製品マスタ!$G$5:$H$4999,2,FALSE))</f>
        <v>S</v>
      </c>
      <c r="H987" s="256" t="str">
        <f>IF(D987="","",VLOOKUP(F987,製品マスタ!$G$5:$K$4999,5,FALSE))</f>
        <v>MNGKBF</v>
      </c>
      <c r="I987" s="200" t="str">
        <f>IF(D987="","",VLOOKUP(F987,製品マスタ!$G$5:$L$4999,6,FALSE))</f>
        <v>メタルミー　ネーマー銀消　Ｂ</v>
      </c>
      <c r="J987" s="203" t="s">
        <v>935</v>
      </c>
      <c r="K987" s="200">
        <f>IF(D987="","",VLOOKUP(D987,契約台帳!$A$3:$L$4986,12,FALSE))</f>
        <v>50</v>
      </c>
      <c r="L987" s="200" t="str">
        <f>IF(D987="","",INDEX(製品マスタ!$Q$5:$Q$4999,MATCH('S4'!F987&amp;'S4'!K987,製品マスタ!$AO$5:$AO$4999,0)))</f>
        <v>MAT</v>
      </c>
      <c r="M987" s="37">
        <v>1050</v>
      </c>
      <c r="N987" s="37">
        <v>4100</v>
      </c>
      <c r="O987" s="153">
        <v>3</v>
      </c>
      <c r="P987" s="45">
        <v>3</v>
      </c>
      <c r="Q987" s="206">
        <v>45174</v>
      </c>
      <c r="R987" s="257">
        <f ca="1">IF(D987="","",IF(OFFSET(D987,-1,0)&lt;&gt;"","",IF(OR(J987="リード付け",J987="巻足し",J987="巻返しリード付け"),M987,VLOOKUP(D987,契約台帳!$A$3:$N$4986,14,FALSE))))</f>
        <v>1050</v>
      </c>
      <c r="S987" s="258">
        <f ca="1">IF(D987="","",IF(OFFSET(D987,-1,0)&lt;&gt;"","",IF(OR(J987="リード付け",J987="巻足し",J987="巻返しリード付け"),M987,VLOOKUP(D987,契約台帳!$A$3:$O$4986,15,FALSE))))</f>
        <v>1050</v>
      </c>
      <c r="T987" s="258">
        <f ca="1">IF(D987="","",IF(J987="リード付け",N987,IF(J987="巻返しリード付け",N987,IF(J987="巻足し",N987*P987+OFFSET(N987,1,0)*OFFSET(P987,1,0),VLOOKUP(D987,契約台帳!$A$3:$P$4986,16,FALSE)))))</f>
        <v>12300</v>
      </c>
      <c r="U987" s="38">
        <v>1</v>
      </c>
      <c r="V987" s="259">
        <f ca="1">IF(D987="","",IF(OFFSET(D987,-2,0)=D987,"",VLOOKUP(D987,契約台帳!$A$3:$R$4986,18,FALSE)))</f>
        <v>3</v>
      </c>
      <c r="W987" s="256" t="str">
        <f ca="1">IF(D987="","",IF(T987="","",IF(OR(J987="巻足し",J987="巻返しリード付け"),"",IF(J987="巻返し",VLOOKUP(F987&amp;K987&amp;M987,製品マスタ!$M$5:$AD$4999,18,FALSE),IF(OR(J987="リード付け",J987="巻返しリード付け"),"原反コア",IF(J987="スリット",VLOOKUP(F987&amp;K987&amp;R987,製品マスタ!$N$5:$AD$4999,17,FALSE),""))))))</f>
        <v/>
      </c>
      <c r="X987" s="256" t="str">
        <f ca="1">IF(D987="","",IF(T987="","",IF(J987="巻足し","",IF(J987="巻返し",VLOOKUP(F987&amp;K987&amp;M987,製品マスタ!$M$5:$AE$4999,19,FALSE),IF(OR(J987="リード付け",J987="巻返しリード付け"),"",IF(J987="スリット",VLOOKUP(F987&amp;K987&amp;R987,製品マスタ!$N$5:$AE$4999,18,FALSE),""))))))</f>
        <v/>
      </c>
      <c r="Y987" s="256">
        <f ca="1">IF(D987="","",IF(T987="","",VLOOKUP(D987,契約台帳!$A$3:$Q$4986,17,FALSE)))</f>
        <v>2</v>
      </c>
      <c r="Z987" s="256" t="str">
        <f ca="1">IF(D987="","",IF(T987="","",VLOOKUP(D987,契約台帳!$A$3:$E$4986,5,FALSE)))</f>
        <v>リンテック㈱</v>
      </c>
      <c r="AA987" s="54"/>
      <c r="AB987" s="200">
        <f>IFERROR((VLOOKUP(F987&amp;K987&amp;M987,製品マスタ!$M$5:$AM$4999,27,FALSE)),"")</f>
        <v>0</v>
      </c>
      <c r="AC987" s="31"/>
      <c r="AD987" s="184"/>
      <c r="AE987" s="51"/>
      <c r="AF987" s="52">
        <f>+M987*N987*O987/1000</f>
        <v>12915</v>
      </c>
      <c r="AG987" s="41"/>
      <c r="AH987" s="45"/>
      <c r="AI987" s="28"/>
      <c r="AJ987" s="28"/>
      <c r="AK987" s="28"/>
      <c r="AL987" s="28"/>
      <c r="AM987" s="12"/>
      <c r="AN987" s="12"/>
      <c r="AO987" s="12"/>
      <c r="AP987" s="12"/>
      <c r="AQ987" s="12"/>
      <c r="AR987" s="13"/>
      <c r="AS987" s="14"/>
    </row>
    <row r="988" spans="1:45" s="16" customFormat="1" ht="30.95" hidden="1" customHeight="1" x14ac:dyDescent="0.2">
      <c r="A988" s="35"/>
      <c r="B988" s="36"/>
      <c r="C988" s="43"/>
      <c r="D988" s="29"/>
      <c r="E988" s="29"/>
      <c r="F988" s="255"/>
      <c r="G988" s="256"/>
      <c r="H988" s="256"/>
      <c r="I988" s="200"/>
      <c r="J988" s="203"/>
      <c r="K988" s="200"/>
      <c r="L988" s="200"/>
      <c r="M988" s="37"/>
      <c r="N988" s="37"/>
      <c r="O988" s="153"/>
      <c r="P988" s="45"/>
      <c r="Q988" s="54"/>
      <c r="R988" s="260"/>
      <c r="S988" s="258"/>
      <c r="T988" s="258"/>
      <c r="U988" s="38"/>
      <c r="V988" s="261"/>
      <c r="W988" s="256"/>
      <c r="X988" s="256"/>
      <c r="Y988" s="256"/>
      <c r="Z988" s="256"/>
      <c r="AA988" s="54"/>
      <c r="AB988" s="200"/>
      <c r="AC988" s="31"/>
      <c r="AD988" s="184"/>
      <c r="AE988" s="51"/>
      <c r="AF988" s="52"/>
      <c r="AG988" s="41"/>
      <c r="AH988" s="207"/>
      <c r="AI988" s="28"/>
      <c r="AJ988" s="28"/>
      <c r="AK988" s="28"/>
      <c r="AL988" s="28"/>
      <c r="AM988" s="12"/>
      <c r="AN988" s="12"/>
      <c r="AO988" s="12"/>
      <c r="AP988" s="12"/>
      <c r="AQ988" s="12"/>
      <c r="AR988" s="13"/>
      <c r="AS988" s="14"/>
    </row>
    <row r="989" spans="1:45" s="16" customFormat="1" ht="30.95" hidden="1" customHeight="1" x14ac:dyDescent="0.2">
      <c r="A989" s="35"/>
      <c r="B989" s="36"/>
      <c r="C989" s="43"/>
      <c r="D989" s="29">
        <v>3723634</v>
      </c>
      <c r="E989" s="29">
        <v>4162047</v>
      </c>
      <c r="F989" s="255" t="str">
        <f>IF(D989="","",VLOOKUP(D989,契約台帳!$A$3:$K$4986,6,FALSE)&amp;VLOOKUP(D989,契約台帳!$A$3:$K$4986,7,FALSE)&amp;VLOOKUP(D989,契約台帳!$A$3:$K$4986,8,FALSE)&amp;VLOOKUP(D989,契約台帳!$A$3:$K$4986,9,FALSE)&amp;VLOOKUP(D989,契約台帳!$A$3:$K$4986,11,FALSE))</f>
        <v>3SNMCLBNGKVB</v>
      </c>
      <c r="G989" s="256" t="str">
        <f>IF(D989="","",VLOOKUP(F989,製品マスタ!$G$5:$H$4999,2,FALSE))</f>
        <v>S</v>
      </c>
      <c r="H989" s="256" t="str">
        <f>IF(D989="","",VLOOKUP(F989,製品マスタ!$G$5:$K$4999,5,FALSE))</f>
        <v>NGKVB</v>
      </c>
      <c r="I989" s="200" t="str">
        <f>IF(D989="","",VLOOKUP(F989,製品マスタ!$G$5:$L$4999,6,FALSE))</f>
        <v>メタルミー　ネーマー銀消　ＶＢ</v>
      </c>
      <c r="J989" s="203" t="s">
        <v>935</v>
      </c>
      <c r="K989" s="200">
        <f>IF(D989="","",VLOOKUP(D989,契約台帳!$A$3:$L$4986,12,FALSE))</f>
        <v>50</v>
      </c>
      <c r="L989" s="200" t="str">
        <f>IF(D989="","",INDEX(製品マスタ!$Q$5:$Q$4999,MATCH('S4'!F989&amp;'S4'!K989,製品マスタ!$AO$5:$AO$4999,0)))</f>
        <v>MAT</v>
      </c>
      <c r="M989" s="37">
        <v>1005</v>
      </c>
      <c r="N989" s="37">
        <v>4100</v>
      </c>
      <c r="O989" s="153">
        <v>3</v>
      </c>
      <c r="P989" s="45">
        <v>3</v>
      </c>
      <c r="Q989" s="206">
        <v>45174</v>
      </c>
      <c r="R989" s="257">
        <f ca="1">IF(D989="","",IF(OFFSET(D989,-1,0)&lt;&gt;"","",IF(OR(J989="リード付け",J989="巻足し",J989="巻返しリード付け"),M989,VLOOKUP(D989,契約台帳!$A$3:$N$4986,14,FALSE))))</f>
        <v>1005</v>
      </c>
      <c r="S989" s="258">
        <f ca="1">IF(D989="","",IF(OFFSET(D989,-1,0)&lt;&gt;"","",IF(OR(J989="リード付け",J989="巻足し",J989="巻返しリード付け"),M989,VLOOKUP(D989,契約台帳!$A$3:$O$4986,15,FALSE))))</f>
        <v>1005</v>
      </c>
      <c r="T989" s="258">
        <f ca="1">IF(D989="","",IF(J989="リード付け",N989,IF(J989="巻返しリード付け",N989,IF(J989="巻足し",N989*P989+OFFSET(N989,1,0)*OFFSET(P989,1,0),VLOOKUP(D989,契約台帳!$A$3:$P$4986,16,FALSE)))))</f>
        <v>12300</v>
      </c>
      <c r="U989" s="38">
        <v>1</v>
      </c>
      <c r="V989" s="259">
        <f ca="1">IF(D989="","",IF(OFFSET(D989,-2,0)=D989,"",VLOOKUP(D989,契約台帳!$A$3:$R$4986,18,FALSE)))</f>
        <v>3</v>
      </c>
      <c r="W989" s="256" t="str">
        <f ca="1">IF(D989="","",IF(T989="","",IF(OR(J989="巻足し",J989="巻返しリード付け"),"",IF(J989="巻返し",VLOOKUP(F989&amp;K989&amp;M989,製品マスタ!$M$5:$AD$4999,18,FALSE),IF(OR(J989="リード付け",J989="巻返しリード付け"),"原反コア",IF(J989="スリット",VLOOKUP(F989&amp;K989&amp;R989,製品マスタ!$N$5:$AD$4999,17,FALSE),""))))))</f>
        <v/>
      </c>
      <c r="X989" s="256" t="str">
        <f ca="1">IF(D989="","",IF(T989="","",IF(J989="巻足し","",IF(J989="巻返し",VLOOKUP(F989&amp;K989&amp;M989,製品マスタ!$M$5:$AE$4999,19,FALSE),IF(OR(J989="リード付け",J989="巻返しリード付け"),"",IF(J989="スリット",VLOOKUP(F989&amp;K989&amp;R989,製品マスタ!$N$5:$AE$4999,18,FALSE),""))))))</f>
        <v/>
      </c>
      <c r="Y989" s="256">
        <f ca="1">IF(D989="","",IF(T989="","",VLOOKUP(D989,契約台帳!$A$3:$Q$4986,17,FALSE)))</f>
        <v>2</v>
      </c>
      <c r="Z989" s="256" t="str">
        <f ca="1">IF(D989="","",IF(T989="","",VLOOKUP(D989,契約台帳!$A$3:$E$4986,5,FALSE)))</f>
        <v>リンテック㈱</v>
      </c>
      <c r="AA989" s="54"/>
      <c r="AB989" s="200">
        <f>IFERROR((VLOOKUP(F989&amp;K989&amp;M989,製品マスタ!$M$5:$AM$4999,27,FALSE)),"")</f>
        <v>0</v>
      </c>
      <c r="AC989" s="31"/>
      <c r="AD989" s="184"/>
      <c r="AE989" s="51"/>
      <c r="AF989" s="52">
        <f>+M989*N989*O989/1000</f>
        <v>12361.5</v>
      </c>
      <c r="AG989" s="41"/>
      <c r="AH989" s="45"/>
      <c r="AI989" s="28"/>
      <c r="AJ989" s="28"/>
      <c r="AK989" s="28"/>
      <c r="AL989" s="28"/>
      <c r="AM989" s="12"/>
      <c r="AN989" s="12"/>
      <c r="AO989" s="12"/>
      <c r="AP989" s="12"/>
      <c r="AQ989" s="12"/>
      <c r="AR989" s="13"/>
      <c r="AS989" s="14"/>
    </row>
    <row r="990" spans="1:45" s="16" customFormat="1" ht="30.95" hidden="1" customHeight="1" x14ac:dyDescent="0.2">
      <c r="A990" s="35"/>
      <c r="B990" s="36"/>
      <c r="C990" s="43"/>
      <c r="D990" s="29"/>
      <c r="E990" s="29"/>
      <c r="F990" s="255"/>
      <c r="G990" s="256"/>
      <c r="H990" s="256"/>
      <c r="I990" s="200"/>
      <c r="J990" s="203"/>
      <c r="K990" s="200"/>
      <c r="L990" s="200"/>
      <c r="M990" s="37"/>
      <c r="N990" s="37"/>
      <c r="O990" s="153"/>
      <c r="P990" s="45"/>
      <c r="Q990" s="54"/>
      <c r="R990" s="260"/>
      <c r="S990" s="258"/>
      <c r="T990" s="258"/>
      <c r="U990" s="38"/>
      <c r="V990" s="261"/>
      <c r="W990" s="256"/>
      <c r="X990" s="256"/>
      <c r="Y990" s="256"/>
      <c r="Z990" s="256"/>
      <c r="AA990" s="54"/>
      <c r="AB990" s="200"/>
      <c r="AC990" s="31"/>
      <c r="AD990" s="184"/>
      <c r="AE990" s="51"/>
      <c r="AF990" s="52"/>
      <c r="AG990" s="41"/>
      <c r="AH990" s="207"/>
      <c r="AI990" s="28"/>
      <c r="AJ990" s="28"/>
      <c r="AK990" s="28"/>
      <c r="AL990" s="28"/>
      <c r="AM990" s="12"/>
      <c r="AN990" s="12"/>
      <c r="AO990" s="12"/>
      <c r="AP990" s="12"/>
      <c r="AQ990" s="12"/>
      <c r="AR990" s="13"/>
      <c r="AS990" s="14"/>
    </row>
    <row r="991" spans="1:45" s="16" customFormat="1" ht="30.95" hidden="1" customHeight="1" x14ac:dyDescent="0.2">
      <c r="A991" s="35"/>
      <c r="B991" s="36"/>
      <c r="C991" s="43"/>
      <c r="D991" s="29">
        <v>3724504</v>
      </c>
      <c r="E991" s="29">
        <v>4162051</v>
      </c>
      <c r="F991" s="255" t="str">
        <f>IF(D991="","",VLOOKUP(D991,契約台帳!$A$3:$K$4986,6,FALSE)&amp;VLOOKUP(D991,契約台帳!$A$3:$K$4986,7,FALSE)&amp;VLOOKUP(D991,契約台帳!$A$3:$K$4986,8,FALSE)&amp;VLOOKUP(D991,契約台帳!$A$3:$K$4986,9,FALSE)&amp;VLOOKUP(D991,契約台帳!$A$3:$K$4986,11,FALSE))</f>
        <v>3TNMCLBHLGKJV</v>
      </c>
      <c r="G991" s="256" t="str">
        <f>IF(D991="","",VLOOKUP(F991,製品マスタ!$G$5:$H$4999,2,FALSE))</f>
        <v>T</v>
      </c>
      <c r="H991" s="256" t="str">
        <f>IF(D991="","",VLOOKUP(F991,製品マスタ!$G$5:$K$4999,5,FALSE))</f>
        <v>HLGKJV</v>
      </c>
      <c r="I991" s="200" t="str">
        <f>IF(D991="","",VLOOKUP(F991,製品マスタ!$G$5:$L$4999,6,FALSE))</f>
        <v>メタルミー　ヘヤライン　銀消Ｖ</v>
      </c>
      <c r="J991" s="203" t="s">
        <v>935</v>
      </c>
      <c r="K991" s="200">
        <f>IF(D991="","",VLOOKUP(D991,契約台帳!$A$3:$L$4986,12,FALSE))</f>
        <v>50</v>
      </c>
      <c r="L991" s="200" t="str">
        <f>IF(D991="","",INDEX(製品マスタ!$Q$5:$Q$4999,MATCH('S4'!F991&amp;'S4'!K991,製品マスタ!$AO$5:$AO$4999,0)))</f>
        <v>HL-MAT</v>
      </c>
      <c r="M991" s="37">
        <v>1005</v>
      </c>
      <c r="N991" s="37">
        <v>4000</v>
      </c>
      <c r="O991" s="153">
        <v>2</v>
      </c>
      <c r="P991" s="45">
        <v>2</v>
      </c>
      <c r="Q991" s="206">
        <v>45174</v>
      </c>
      <c r="R991" s="257">
        <f ca="1">IF(D991="","",IF(OFFSET(D991,-1,0)&lt;&gt;"","",IF(OR(J991="リード付け",J991="巻足し",J991="巻返しリード付け"),M991,VLOOKUP(D991,契約台帳!$A$3:$N$4986,14,FALSE))))</f>
        <v>1005</v>
      </c>
      <c r="S991" s="258">
        <f ca="1">IF(D991="","",IF(OFFSET(D991,-1,0)&lt;&gt;"","",IF(OR(J991="リード付け",J991="巻足し",J991="巻返しリード付け"),M991,VLOOKUP(D991,契約台帳!$A$3:$O$4986,15,FALSE))))</f>
        <v>1005</v>
      </c>
      <c r="T991" s="258">
        <f ca="1">IF(D991="","",IF(J991="リード付け",N991,IF(J991="巻返しリード付け",N991,IF(J991="巻足し",N991*P991+OFFSET(N991,1,0)*OFFSET(P991,1,0),VLOOKUP(D991,契約台帳!$A$3:$P$4986,16,FALSE)))))</f>
        <v>8000</v>
      </c>
      <c r="U991" s="38">
        <v>1</v>
      </c>
      <c r="V991" s="259">
        <f ca="1">IF(D991="","",IF(OFFSET(D991,-2,0)=D991,"",VLOOKUP(D991,契約台帳!$A$3:$R$4986,18,FALSE)))</f>
        <v>4</v>
      </c>
      <c r="W991" s="256" t="str">
        <f ca="1">IF(D991="","",IF(T991="","",IF(OR(J991="巻足し",J991="巻返しリード付け"),"",IF(J991="巻返し",VLOOKUP(F991&amp;K991&amp;M991,製品マスタ!$M$5:$AD$4999,18,FALSE),IF(OR(J991="リード付け",J991="巻返しリード付け"),"原反コア",IF(J991="スリット",VLOOKUP(F991&amp;K991&amp;R991,製品マスタ!$N$5:$AD$4999,17,FALSE),""))))))</f>
        <v/>
      </c>
      <c r="X991" s="256" t="str">
        <f ca="1">IF(D991="","",IF(T991="","",IF(J991="巻足し","",IF(J991="巻返し",VLOOKUP(F991&amp;K991&amp;M991,製品マスタ!$M$5:$AE$4999,19,FALSE),IF(OR(J991="リード付け",J991="巻返しリード付け"),"",IF(J991="スリット",VLOOKUP(F991&amp;K991&amp;R991,製品マスタ!$N$5:$AE$4999,18,FALSE),""))))))</f>
        <v/>
      </c>
      <c r="Y991" s="256">
        <f ca="1">IF(D991="","",IF(T991="","",VLOOKUP(D991,契約台帳!$A$3:$Q$4986,17,FALSE)))</f>
        <v>2</v>
      </c>
      <c r="Z991" s="256" t="str">
        <f ca="1">IF(D991="","",IF(T991="","",VLOOKUP(D991,契約台帳!$A$3:$E$4986,5,FALSE)))</f>
        <v>リンテック㈱</v>
      </c>
      <c r="AA991" s="54"/>
      <c r="AB991" s="200" t="s">
        <v>774</v>
      </c>
      <c r="AC991" s="31"/>
      <c r="AD991" s="184"/>
      <c r="AE991" s="51"/>
      <c r="AF991" s="52">
        <f>+M991*N991*O991/1000</f>
        <v>8040</v>
      </c>
      <c r="AG991" s="41"/>
      <c r="AH991" s="45"/>
      <c r="AI991" s="28"/>
      <c r="AJ991" s="28"/>
      <c r="AK991" s="28"/>
      <c r="AL991" s="28"/>
      <c r="AM991" s="12"/>
      <c r="AN991" s="12"/>
      <c r="AO991" s="12"/>
      <c r="AP991" s="12"/>
      <c r="AQ991" s="12"/>
      <c r="AR991" s="13"/>
      <c r="AS991" s="14"/>
    </row>
    <row r="992" spans="1:45" s="16" customFormat="1" ht="30.95" hidden="1" customHeight="1" x14ac:dyDescent="0.2">
      <c r="A992" s="35"/>
      <c r="B992" s="36"/>
      <c r="C992" s="43"/>
      <c r="D992" s="29"/>
      <c r="E992" s="29"/>
      <c r="F992" s="255"/>
      <c r="G992" s="256"/>
      <c r="H992" s="256"/>
      <c r="I992" s="200"/>
      <c r="J992" s="203"/>
      <c r="K992" s="200"/>
      <c r="L992" s="200"/>
      <c r="M992" s="37"/>
      <c r="N992" s="37"/>
      <c r="O992" s="153"/>
      <c r="P992" s="45"/>
      <c r="Q992" s="54"/>
      <c r="R992" s="260"/>
      <c r="S992" s="258"/>
      <c r="T992" s="258"/>
      <c r="U992" s="38"/>
      <c r="V992" s="261"/>
      <c r="W992" s="256"/>
      <c r="X992" s="256"/>
      <c r="Y992" s="256"/>
      <c r="Z992" s="256"/>
      <c r="AA992" s="54"/>
      <c r="AB992" s="200"/>
      <c r="AC992" s="31"/>
      <c r="AD992" s="184"/>
      <c r="AE992" s="51"/>
      <c r="AF992" s="52"/>
      <c r="AG992" s="41"/>
      <c r="AH992" s="207"/>
      <c r="AI992" s="28"/>
      <c r="AJ992" s="28"/>
      <c r="AK992" s="28"/>
      <c r="AL992" s="28"/>
      <c r="AM992" s="12"/>
      <c r="AN992" s="12"/>
      <c r="AO992" s="12"/>
      <c r="AP992" s="12"/>
      <c r="AQ992" s="12"/>
      <c r="AR992" s="13"/>
      <c r="AS992" s="14"/>
    </row>
    <row r="993" spans="1:45" s="16" customFormat="1" ht="30.95" hidden="1" customHeight="1" x14ac:dyDescent="0.2">
      <c r="A993" s="35"/>
      <c r="B993" s="36"/>
      <c r="C993" s="43"/>
      <c r="D993" s="29">
        <v>3723645</v>
      </c>
      <c r="E993" s="29">
        <v>4162024</v>
      </c>
      <c r="F993" s="255" t="str">
        <f>IF(D993="","",VLOOKUP(D993,契約台帳!$A$3:$K$4986,6,FALSE)&amp;VLOOKUP(D993,契約台帳!$A$3:$K$4986,7,FALSE)&amp;VLOOKUP(D993,契約台帳!$A$3:$K$4986,8,FALSE)&amp;VLOOKUP(D993,契約台帳!$A$3:$K$4986,9,FALSE)&amp;VLOOKUP(D993,契約台帳!$A$3:$K$4986,11,FALSE))</f>
        <v>3SNMCLBHLGTV</v>
      </c>
      <c r="G993" s="256" t="str">
        <f>IF(D993="","",VLOOKUP(F993,製品マスタ!$G$5:$H$4999,2,FALSE))</f>
        <v>S</v>
      </c>
      <c r="H993" s="256" t="str">
        <f>IF(D993="","",VLOOKUP(F993,製品マスタ!$G$5:$K$4999,5,FALSE))</f>
        <v>HLGTV</v>
      </c>
      <c r="I993" s="200" t="str">
        <f>IF(D993="","",VLOOKUP(F993,製品マスタ!$G$5:$L$4999,6,FALSE))</f>
        <v>メタルミー　ヘヤライン　銀艶Ｖ</v>
      </c>
      <c r="J993" s="203" t="s">
        <v>935</v>
      </c>
      <c r="K993" s="200">
        <f>IF(D993="","",VLOOKUP(D993,契約台帳!$A$3:$L$4986,12,FALSE))</f>
        <v>50</v>
      </c>
      <c r="L993" s="200" t="str">
        <f>IF(D993="","",INDEX(製品マスタ!$Q$5:$Q$4999,MATCH('S4'!F993&amp;'S4'!K993,製品マスタ!$AO$5:$AO$4999,0)))</f>
        <v>BRIGHT</v>
      </c>
      <c r="M993" s="37">
        <v>1005</v>
      </c>
      <c r="N993" s="37">
        <v>4100</v>
      </c>
      <c r="O993" s="153">
        <v>1</v>
      </c>
      <c r="P993" s="45">
        <v>3</v>
      </c>
      <c r="Q993" s="206">
        <v>45174</v>
      </c>
      <c r="R993" s="257">
        <f ca="1">IF(D993="","",IF(OFFSET(D993,-1,0)&lt;&gt;"","",IF(OR(J993="リード付け",J993="巻足し",J993="巻返しリード付け"),M993,VLOOKUP(D993,契約台帳!$A$3:$N$4986,14,FALSE))))</f>
        <v>1005</v>
      </c>
      <c r="S993" s="258">
        <f ca="1">IF(D993="","",IF(OFFSET(D993,-1,0)&lt;&gt;"","",IF(OR(J993="リード付け",J993="巻足し",J993="巻返しリード付け"),M993,VLOOKUP(D993,契約台帳!$A$3:$O$4986,15,FALSE))))</f>
        <v>1005</v>
      </c>
      <c r="T993" s="258">
        <f ca="1">IF(D993="","",IF(J993="リード付け",N993,IF(J993="巻返しリード付け",N993,IF(J993="巻足し",N993*P993+OFFSET(N993,1,0)*OFFSET(P993,1,0),VLOOKUP(D993,契約台帳!$A$3:$P$4986,16,FALSE)))))</f>
        <v>12300</v>
      </c>
      <c r="U993" s="38">
        <v>1</v>
      </c>
      <c r="V993" s="259">
        <f ca="1">IF(D993="","",IF(OFFSET(D993,-2,0)=D993,"",VLOOKUP(D993,契約台帳!$A$3:$R$4986,18,FALSE)))</f>
        <v>1</v>
      </c>
      <c r="W993" s="256" t="str">
        <f ca="1">IF(D993="","",IF(T993="","",IF(OR(J993="巻足し",J993="巻返しリード付け"),"",IF(J993="巻返し",VLOOKUP(F993&amp;K993&amp;M993,製品マスタ!$M$5:$AD$4999,18,FALSE),IF(OR(J993="リード付け",J993="巻返しリード付け"),"原反コア",IF(J993="スリット",VLOOKUP(F993&amp;K993&amp;R993,製品マスタ!$N$5:$AD$4999,17,FALSE),""))))))</f>
        <v/>
      </c>
      <c r="X993" s="256" t="str">
        <f ca="1">IF(D993="","",IF(T993="","",IF(J993="巻足し","",IF(J993="巻返し",VLOOKUP(F993&amp;K993&amp;M993,製品マスタ!$M$5:$AE$4999,19,FALSE),IF(OR(J993="リード付け",J993="巻返しリード付け"),"",IF(J993="スリット",VLOOKUP(F993&amp;K993&amp;R993,製品マスタ!$N$5:$AE$4999,18,FALSE),""))))))</f>
        <v/>
      </c>
      <c r="Y993" s="256">
        <f ca="1">IF(D993="","",IF(T993="","",VLOOKUP(D993,契約台帳!$A$3:$Q$4986,17,FALSE)))</f>
        <v>2</v>
      </c>
      <c r="Z993" s="256" t="str">
        <f ca="1">IF(D993="","",IF(T993="","",VLOOKUP(D993,契約台帳!$A$3:$E$4986,5,FALSE)))</f>
        <v>リンテック㈱</v>
      </c>
      <c r="AA993" s="54"/>
      <c r="AB993" s="200">
        <f>IFERROR((VLOOKUP(F993&amp;K993&amp;M993,製品マスタ!$M$5:$AM$4999,27,FALSE)),"")</f>
        <v>0</v>
      </c>
      <c r="AC993" s="31"/>
      <c r="AD993" s="184"/>
      <c r="AE993" s="51"/>
      <c r="AF993" s="52">
        <f>+M993*N993*O993/1000</f>
        <v>4120.5</v>
      </c>
      <c r="AG993" s="41"/>
      <c r="AH993" s="45"/>
      <c r="AI993" s="28"/>
      <c r="AJ993" s="28"/>
      <c r="AK993" s="28"/>
      <c r="AL993" s="28"/>
      <c r="AM993" s="12"/>
      <c r="AN993" s="12"/>
      <c r="AO993" s="12"/>
      <c r="AP993" s="12"/>
      <c r="AQ993" s="12"/>
      <c r="AR993" s="13"/>
      <c r="AS993" s="14"/>
    </row>
    <row r="994" spans="1:45" s="16" customFormat="1" ht="30.95" hidden="1" customHeight="1" x14ac:dyDescent="0.2">
      <c r="A994" s="35"/>
      <c r="B994" s="36"/>
      <c r="C994" s="43"/>
      <c r="D994" s="29">
        <v>3725778</v>
      </c>
      <c r="E994" s="29"/>
      <c r="F994" s="255" t="str">
        <f>IF(D994="","",VLOOKUP(D994,契約台帳!$A$3:$K$4986,6,FALSE)&amp;VLOOKUP(D994,契約台帳!$A$3:$K$4986,7,FALSE)&amp;VLOOKUP(D994,契約台帳!$A$3:$K$4986,8,FALSE)&amp;VLOOKUP(D994,契約台帳!$A$3:$K$4986,9,FALSE)&amp;VLOOKUP(D994,契約台帳!$A$3:$K$4986,11,FALSE))</f>
        <v>3TNMCLBHLGTV</v>
      </c>
      <c r="G994" s="256" t="str">
        <f>IF(D994="","",VLOOKUP(F994,製品マスタ!$G$5:$H$4999,2,FALSE))</f>
        <v>T</v>
      </c>
      <c r="H994" s="256" t="str">
        <f>IF(D994="","",VLOOKUP(F994,製品マスタ!$G$5:$K$4999,5,FALSE))</f>
        <v>HLGTV</v>
      </c>
      <c r="I994" s="200" t="str">
        <f>IF(D994="","",VLOOKUP(F994,製品マスタ!$G$5:$L$4999,6,FALSE))</f>
        <v>メタルミー　ヘヤライン　銀艶Ｖ</v>
      </c>
      <c r="J994" s="203" t="s">
        <v>935</v>
      </c>
      <c r="K994" s="200">
        <f>IF(D994="","",VLOOKUP(D994,契約台帳!$A$3:$L$4986,12,FALSE))</f>
        <v>50</v>
      </c>
      <c r="L994" s="200" t="str">
        <f>IF(D994="","",INDEX(製品マスタ!$Q$5:$Q$4999,MATCH('S4'!F994&amp;'S4'!K994,製品マスタ!$AO$5:$AO$4999,0)))</f>
        <v>BRIGHT</v>
      </c>
      <c r="M994" s="37">
        <v>1005</v>
      </c>
      <c r="N994" s="37">
        <v>4100</v>
      </c>
      <c r="O994" s="153">
        <v>2</v>
      </c>
      <c r="P994" s="45"/>
      <c r="Q994" s="206">
        <v>45174</v>
      </c>
      <c r="R994" s="257" t="str">
        <f ca="1">IF(D994="","",IF(OFFSET(D994,-1,0)&lt;&gt;"","",IF(OR(J994="リード付け",J994="巻足し",J994="巻返しリード付け"),M994,VLOOKUP(D994,契約台帳!$A$3:$N$4986,14,FALSE))))</f>
        <v/>
      </c>
      <c r="S994" s="258" t="str">
        <f ca="1">IF(D994="","",IF(OFFSET(D994,-1,0)&lt;&gt;"","",IF(OR(J994="リード付け",J994="巻足し",J994="巻返しリード付け"),M994,VLOOKUP(D994,契約台帳!$A$3:$O$4986,15,FALSE))))</f>
        <v/>
      </c>
      <c r="T994" s="258">
        <f ca="1">IF(D994="","",IF(J994="リード付け",N994,IF(J994="巻返しリード付け",N994,IF(J994="巻足し",N994*P994+OFFSET(N994,1,0)*OFFSET(P994,1,0),VLOOKUP(D994,契約台帳!$A$3:$P$4986,16,FALSE)))))</f>
        <v>0</v>
      </c>
      <c r="U994" s="38"/>
      <c r="V994" s="259">
        <f ca="1">IF(D994="","",IF(OFFSET(D994,-2,0)=D994,"",VLOOKUP(D994,契約台帳!$A$3:$R$4986,18,FALSE)))</f>
        <v>5</v>
      </c>
      <c r="W994" s="256" t="str">
        <f ca="1">IF(D994="","",IF(T994="","",IF(OR(J994="巻足し",J994="巻返しリード付け"),"",IF(J994="巻返し",VLOOKUP(F994&amp;K994&amp;M994,製品マスタ!$M$5:$AD$4999,18,FALSE),IF(OR(J994="リード付け",J994="巻返しリード付け"),"原反コア",IF(J994="スリット",VLOOKUP(F994&amp;K994&amp;R994,製品マスタ!$N$5:$AD$4999,17,FALSE),""))))))</f>
        <v/>
      </c>
      <c r="X994" s="256" t="str">
        <f ca="1">IF(D994="","",IF(T994="","",IF(J994="巻足し","",IF(J994="巻返し",VLOOKUP(F994&amp;K994&amp;M994,製品マスタ!$M$5:$AE$4999,19,FALSE),IF(OR(J994="リード付け",J994="巻返しリード付け"),"",IF(J994="スリット",VLOOKUP(F994&amp;K994&amp;R994,製品マスタ!$N$5:$AE$4999,18,FALSE),""))))))</f>
        <v/>
      </c>
      <c r="Y994" s="256">
        <f ca="1">IF(D994="","",IF(T994="","",VLOOKUP(D994,契約台帳!$A$3:$Q$4986,17,FALSE)))</f>
        <v>2</v>
      </c>
      <c r="Z994" s="256" t="str">
        <f ca="1">IF(D994="","",IF(T994="","",VLOOKUP(D994,契約台帳!$A$3:$E$4986,5,FALSE)))</f>
        <v>リンテック㈱</v>
      </c>
      <c r="AA994" s="54"/>
      <c r="AB994" s="200" t="s">
        <v>774</v>
      </c>
      <c r="AC994" s="31"/>
      <c r="AD994" s="184"/>
      <c r="AE994" s="51"/>
      <c r="AF994" s="52">
        <f>+M994*N994*O994/1000</f>
        <v>8241</v>
      </c>
      <c r="AG994" s="41"/>
      <c r="AH994" s="45"/>
      <c r="AI994" s="28"/>
      <c r="AJ994" s="28"/>
      <c r="AK994" s="28"/>
      <c r="AL994" s="28"/>
      <c r="AM994" s="12"/>
      <c r="AN994" s="12"/>
      <c r="AO994" s="12"/>
      <c r="AP994" s="12"/>
      <c r="AQ994" s="12"/>
      <c r="AR994" s="13"/>
      <c r="AS994" s="14"/>
    </row>
    <row r="995" spans="1:45" s="16" customFormat="1" ht="30.95" hidden="1" customHeight="1" x14ac:dyDescent="0.2">
      <c r="A995" s="35"/>
      <c r="B995" s="36"/>
      <c r="C995" s="43"/>
      <c r="D995" s="29"/>
      <c r="E995" s="29"/>
      <c r="F995" s="255"/>
      <c r="G995" s="256"/>
      <c r="H995" s="256"/>
      <c r="I995" s="200"/>
      <c r="J995" s="203"/>
      <c r="K995" s="200"/>
      <c r="L995" s="200"/>
      <c r="M995" s="37"/>
      <c r="N995" s="37"/>
      <c r="O995" s="153"/>
      <c r="P995" s="45"/>
      <c r="Q995" s="54"/>
      <c r="R995" s="260"/>
      <c r="S995" s="258"/>
      <c r="T995" s="258"/>
      <c r="U995" s="38"/>
      <c r="V995" s="261"/>
      <c r="W995" s="256"/>
      <c r="X995" s="256"/>
      <c r="Y995" s="256"/>
      <c r="Z995" s="256"/>
      <c r="AA995" s="54"/>
      <c r="AB995" s="200"/>
      <c r="AC995" s="31"/>
      <c r="AD995" s="184"/>
      <c r="AE995" s="51"/>
      <c r="AF995" s="52"/>
      <c r="AG995" s="41"/>
      <c r="AH995" s="207"/>
      <c r="AI995" s="28"/>
      <c r="AJ995" s="28"/>
      <c r="AK995" s="28"/>
      <c r="AL995" s="28"/>
      <c r="AM995" s="12"/>
      <c r="AN995" s="12"/>
      <c r="AO995" s="12"/>
      <c r="AP995" s="12"/>
      <c r="AQ995" s="12"/>
      <c r="AR995" s="13"/>
      <c r="AS995" s="14"/>
    </row>
    <row r="996" spans="1:45" s="16" customFormat="1" ht="30.95" hidden="1" customHeight="1" x14ac:dyDescent="0.2">
      <c r="A996" s="35"/>
      <c r="B996" s="36"/>
      <c r="C996" s="43"/>
      <c r="D996" s="29">
        <v>3725778</v>
      </c>
      <c r="E996" s="29">
        <v>4162063</v>
      </c>
      <c r="F996" s="255" t="str">
        <f>IF(D996="","",VLOOKUP(D996,契約台帳!$A$3:$K$4986,6,FALSE)&amp;VLOOKUP(D996,契約台帳!$A$3:$K$4986,7,FALSE)&amp;VLOOKUP(D996,契約台帳!$A$3:$K$4986,8,FALSE)&amp;VLOOKUP(D996,契約台帳!$A$3:$K$4986,9,FALSE)&amp;VLOOKUP(D996,契約台帳!$A$3:$K$4986,11,FALSE))</f>
        <v>3TNMCLBHLGTV</v>
      </c>
      <c r="G996" s="256" t="str">
        <f>IF(D996="","",VLOOKUP(F996,製品マスタ!$G$5:$H$4999,2,FALSE))</f>
        <v>T</v>
      </c>
      <c r="H996" s="256" t="str">
        <f>IF(D996="","",VLOOKUP(F996,製品マスタ!$G$5:$K$4999,5,FALSE))</f>
        <v>HLGTV</v>
      </c>
      <c r="I996" s="200" t="str">
        <f>IF(D996="","",VLOOKUP(F996,製品マスタ!$G$5:$L$4999,6,FALSE))</f>
        <v>メタルミー　ヘヤライン　銀艶Ｖ</v>
      </c>
      <c r="J996" s="203" t="s">
        <v>935</v>
      </c>
      <c r="K996" s="200">
        <f>IF(D996="","",VLOOKUP(D996,契約台帳!$A$3:$L$4986,12,FALSE))</f>
        <v>50</v>
      </c>
      <c r="L996" s="200" t="str">
        <f>IF(D996="","",INDEX(製品マスタ!$Q$5:$Q$4999,MATCH('S4'!F996&amp;'S4'!K996,製品マスタ!$AO$5:$AO$4999,0)))</f>
        <v>BRIGHT</v>
      </c>
      <c r="M996" s="37">
        <v>1005</v>
      </c>
      <c r="N996" s="37">
        <v>4100</v>
      </c>
      <c r="O996" s="153">
        <v>3</v>
      </c>
      <c r="P996" s="45">
        <v>3</v>
      </c>
      <c r="Q996" s="206">
        <v>45174</v>
      </c>
      <c r="R996" s="257">
        <f ca="1">IF(D996="","",IF(OFFSET(D996,-1,0)&lt;&gt;"","",IF(OR(J996="リード付け",J996="巻足し",J996="巻返しリード付け"),M996,VLOOKUP(D996,契約台帳!$A$3:$N$4986,14,FALSE))))</f>
        <v>1005</v>
      </c>
      <c r="S996" s="258">
        <f ca="1">IF(D996="","",IF(OFFSET(D996,-1,0)&lt;&gt;"","",IF(OR(J996="リード付け",J996="巻足し",J996="巻返しリード付け"),M996,VLOOKUP(D996,契約台帳!$A$3:$O$4986,15,FALSE))))</f>
        <v>1005</v>
      </c>
      <c r="T996" s="258">
        <f ca="1">IF(D996="","",IF(J996="リード付け",N996,IF(J996="巻返しリード付け",N996,IF(J996="巻足し",N996*P996+OFFSET(N996,1,0)*OFFSET(P996,1,0),VLOOKUP(D996,契約台帳!$A$3:$P$4986,16,FALSE)))))</f>
        <v>12300</v>
      </c>
      <c r="U996" s="38">
        <v>1</v>
      </c>
      <c r="V996" s="259" t="str">
        <f ca="1">IF(D996="","",IF(OFFSET(D996,-2,0)=D996,"",VLOOKUP(D996,契約台帳!$A$3:$R$4986,18,FALSE)))</f>
        <v/>
      </c>
      <c r="W996" s="256" t="str">
        <f ca="1">IF(D996="","",IF(T996="","",IF(OR(J996="巻足し",J996="巻返しリード付け"),"",IF(J996="巻返し",VLOOKUP(F996&amp;K996&amp;M996,製品マスタ!$M$5:$AD$4999,18,FALSE),IF(OR(J996="リード付け",J996="巻返しリード付け"),"原反コア",IF(J996="スリット",VLOOKUP(F996&amp;K996&amp;R996,製品マスタ!$N$5:$AD$4999,17,FALSE),""))))))</f>
        <v/>
      </c>
      <c r="X996" s="256" t="str">
        <f ca="1">IF(D996="","",IF(T996="","",IF(J996="巻足し","",IF(J996="巻返し",VLOOKUP(F996&amp;K996&amp;M996,製品マスタ!$M$5:$AE$4999,19,FALSE),IF(OR(J996="リード付け",J996="巻返しリード付け"),"",IF(J996="スリット",VLOOKUP(F996&amp;K996&amp;R996,製品マスタ!$N$5:$AE$4999,18,FALSE),""))))))</f>
        <v/>
      </c>
      <c r="Y996" s="256">
        <f ca="1">IF(D996="","",IF(T996="","",VLOOKUP(D996,契約台帳!$A$3:$Q$4986,17,FALSE)))</f>
        <v>2</v>
      </c>
      <c r="Z996" s="256" t="str">
        <f ca="1">IF(D996="","",IF(T996="","",VLOOKUP(D996,契約台帳!$A$3:$E$4986,5,FALSE)))</f>
        <v>リンテック㈱</v>
      </c>
      <c r="AA996" s="54"/>
      <c r="AB996" s="200" t="s">
        <v>774</v>
      </c>
      <c r="AC996" s="31"/>
      <c r="AD996" s="184"/>
      <c r="AE996" s="51"/>
      <c r="AF996" s="52">
        <f>+M996*N996*O996/1000</f>
        <v>12361.5</v>
      </c>
      <c r="AG996" s="41"/>
      <c r="AH996" s="45"/>
      <c r="AI996" s="28"/>
      <c r="AJ996" s="28"/>
      <c r="AK996" s="28"/>
      <c r="AL996" s="28"/>
      <c r="AM996" s="12"/>
      <c r="AN996" s="12"/>
      <c r="AO996" s="12"/>
      <c r="AP996" s="12"/>
      <c r="AQ996" s="12"/>
      <c r="AR996" s="13"/>
      <c r="AS996" s="14"/>
    </row>
    <row r="997" spans="1:45" s="16" customFormat="1" ht="30.95" hidden="1" customHeight="1" x14ac:dyDescent="0.2">
      <c r="A997" s="35"/>
      <c r="B997" s="36"/>
      <c r="C997" s="43"/>
      <c r="D997" s="29"/>
      <c r="E997" s="29"/>
      <c r="F997" s="255"/>
      <c r="G997" s="256"/>
      <c r="H997" s="256"/>
      <c r="I997" s="200"/>
      <c r="J997" s="203"/>
      <c r="K997" s="200"/>
      <c r="L997" s="200"/>
      <c r="M997" s="37"/>
      <c r="N997" s="37"/>
      <c r="O997" s="153"/>
      <c r="P997" s="45"/>
      <c r="Q997" s="54"/>
      <c r="R997" s="260"/>
      <c r="S997" s="258"/>
      <c r="T997" s="258"/>
      <c r="U997" s="38"/>
      <c r="V997" s="261"/>
      <c r="W997" s="256"/>
      <c r="X997" s="256"/>
      <c r="Y997" s="256"/>
      <c r="Z997" s="256"/>
      <c r="AA997" s="54"/>
      <c r="AB997" s="200"/>
      <c r="AC997" s="31"/>
      <c r="AD997" s="184"/>
      <c r="AE997" s="51"/>
      <c r="AF997" s="52"/>
      <c r="AG997" s="41"/>
      <c r="AH997" s="207"/>
      <c r="AI997" s="28"/>
      <c r="AJ997" s="28"/>
      <c r="AK997" s="28"/>
      <c r="AL997" s="28"/>
      <c r="AM997" s="12"/>
      <c r="AN997" s="12"/>
      <c r="AO997" s="12"/>
      <c r="AP997" s="12"/>
      <c r="AQ997" s="12"/>
      <c r="AR997" s="13"/>
      <c r="AS997" s="14"/>
    </row>
    <row r="998" spans="1:45" s="16" customFormat="1" ht="30.95" hidden="1" customHeight="1" x14ac:dyDescent="0.2">
      <c r="A998" s="35"/>
      <c r="B998" s="36"/>
      <c r="C998" s="43"/>
      <c r="D998" s="29">
        <v>3723638</v>
      </c>
      <c r="E998" s="29">
        <v>4162055</v>
      </c>
      <c r="F998" s="255" t="str">
        <f>IF(D998="","",VLOOKUP(D998,契約台帳!$A$3:$K$4986,6,FALSE)&amp;VLOOKUP(D998,契約台帳!$A$3:$K$4986,7,FALSE)&amp;VLOOKUP(D998,契約台帳!$A$3:$K$4986,8,FALSE)&amp;VLOOKUP(D998,契約台帳!$A$3:$K$4986,9,FALSE)&amp;VLOOKUP(D998,契約台帳!$A$3:$K$4986,11,FALSE))</f>
        <v>3SNMLBMNNGKBF</v>
      </c>
      <c r="G998" s="256" t="str">
        <f>IF(D998="","",VLOOKUP(F998,製品マスタ!$G$5:$H$4999,2,FALSE))</f>
        <v>S</v>
      </c>
      <c r="H998" s="256" t="str">
        <f>IF(D998="","",VLOOKUP(F998,製品マスタ!$G$5:$K$4999,5,FALSE))</f>
        <v>MNNGKBF</v>
      </c>
      <c r="I998" s="200" t="str">
        <f>IF(D998="","",VLOOKUP(F998,製品マスタ!$G$5:$L$4999,6,FALSE))</f>
        <v>メタルミー　ニューネーマー銀消　Ｂ</v>
      </c>
      <c r="J998" s="203" t="s">
        <v>935</v>
      </c>
      <c r="K998" s="200">
        <f>IF(D998="","",VLOOKUP(D998,契約台帳!$A$3:$L$4986,12,FALSE))</f>
        <v>25</v>
      </c>
      <c r="L998" s="200" t="str">
        <f>IF(D998="","",INDEX(製品マスタ!$Q$5:$Q$4999,MATCH('S4'!F998&amp;'S4'!K998,製品マスタ!$AO$5:$AO$4999,0)))</f>
        <v>X44C</v>
      </c>
      <c r="M998" s="37">
        <v>1005</v>
      </c>
      <c r="N998" s="37">
        <v>8000</v>
      </c>
      <c r="O998" s="153">
        <v>2</v>
      </c>
      <c r="P998" s="45">
        <v>2</v>
      </c>
      <c r="Q998" s="206">
        <v>45175</v>
      </c>
      <c r="R998" s="257">
        <f ca="1">IF(D998="","",IF(OFFSET(D998,-1,0)&lt;&gt;"","",IF(OR(J998="リード付け",J998="巻足し",J998="巻返しリード付け"),M998,VLOOKUP(D998,契約台帳!$A$3:$N$4986,14,FALSE))))</f>
        <v>1005</v>
      </c>
      <c r="S998" s="258">
        <f ca="1">IF(D998="","",IF(OFFSET(D998,-1,0)&lt;&gt;"","",IF(OR(J998="リード付け",J998="巻足し",J998="巻返しリード付け"),M998,VLOOKUP(D998,契約台帳!$A$3:$O$4986,15,FALSE))))</f>
        <v>1005</v>
      </c>
      <c r="T998" s="258">
        <f ca="1">IF(D998="","",IF(J998="リード付け",N998,IF(J998="巻返しリード付け",N998,IF(J998="巻足し",N998*P998+OFFSET(N998,1,0)*OFFSET(P998,1,0),VLOOKUP(D998,契約台帳!$A$3:$P$4986,16,FALSE)))))</f>
        <v>16000</v>
      </c>
      <c r="U998" s="38">
        <v>1</v>
      </c>
      <c r="V998" s="259">
        <f ca="1">IF(D998="","",IF(OFFSET(D998,-2,0)=D998,"",VLOOKUP(D998,契約台帳!$A$3:$R$4986,18,FALSE)))</f>
        <v>8</v>
      </c>
      <c r="W998" s="256" t="str">
        <f ca="1">IF(D998="","",IF(T998="","",IF(OR(J998="巻足し",J998="巻返しリード付け"),"",IF(J998="巻返し",VLOOKUP(F998&amp;K998&amp;M998,製品マスタ!$M$5:$AD$4999,18,FALSE),IF(OR(J998="リード付け",J998="巻返しリード付け"),"原反コア",IF(J998="スリット",VLOOKUP(F998&amp;K998&amp;R998,製品マスタ!$N$5:$AD$4999,17,FALSE),""))))))</f>
        <v/>
      </c>
      <c r="X998" s="256" t="str">
        <f ca="1">IF(D998="","",IF(T998="","",IF(J998="巻足し","",IF(J998="巻返し",VLOOKUP(F998&amp;K998&amp;M998,製品マスタ!$M$5:$AE$4999,19,FALSE),IF(OR(J998="リード付け",J998="巻返しリード付け"),"",IF(J998="スリット",VLOOKUP(F998&amp;K998&amp;R998,製品マスタ!$N$5:$AE$4999,18,FALSE),""))))))</f>
        <v/>
      </c>
      <c r="Y998" s="256">
        <f ca="1">IF(D998="","",IF(T998="","",VLOOKUP(D998,契約台帳!$A$3:$Q$4986,17,FALSE)))</f>
        <v>2</v>
      </c>
      <c r="Z998" s="256" t="str">
        <f ca="1">IF(D998="","",IF(T998="","",VLOOKUP(D998,契約台帳!$A$3:$E$4986,5,FALSE)))</f>
        <v>リンテック㈱</v>
      </c>
      <c r="AA998" s="54"/>
      <c r="AB998" s="200">
        <f>IFERROR((VLOOKUP(F998&amp;K998&amp;M998,製品マスタ!$M$5:$AM$4999,27,FALSE)),"")</f>
        <v>0</v>
      </c>
      <c r="AC998" s="31"/>
      <c r="AD998" s="184"/>
      <c r="AE998" s="51"/>
      <c r="AF998" s="52">
        <f>+M998*N998*O998/1000</f>
        <v>16080</v>
      </c>
      <c r="AG998" s="41"/>
      <c r="AH998" s="45"/>
      <c r="AI998" s="28"/>
      <c r="AJ998" s="28"/>
      <c r="AK998" s="28"/>
      <c r="AL998" s="28"/>
      <c r="AM998" s="12"/>
      <c r="AN998" s="12"/>
      <c r="AO998" s="12"/>
      <c r="AP998" s="12"/>
      <c r="AQ998" s="12"/>
      <c r="AR998" s="13"/>
      <c r="AS998" s="14"/>
    </row>
    <row r="999" spans="1:45" s="16" customFormat="1" ht="30.95" hidden="1" customHeight="1" x14ac:dyDescent="0.2">
      <c r="A999" s="35"/>
      <c r="B999" s="36"/>
      <c r="C999" s="43"/>
      <c r="D999" s="29"/>
      <c r="E999" s="29"/>
      <c r="F999" s="255"/>
      <c r="G999" s="256"/>
      <c r="H999" s="256"/>
      <c r="I999" s="200"/>
      <c r="J999" s="203"/>
      <c r="K999" s="200"/>
      <c r="L999" s="200"/>
      <c r="M999" s="37"/>
      <c r="N999" s="37"/>
      <c r="O999" s="153"/>
      <c r="P999" s="45"/>
      <c r="Q999" s="54"/>
      <c r="R999" s="260"/>
      <c r="S999" s="258"/>
      <c r="T999" s="258"/>
      <c r="U999" s="38"/>
      <c r="V999" s="261"/>
      <c r="W999" s="256"/>
      <c r="X999" s="256"/>
      <c r="Y999" s="256"/>
      <c r="Z999" s="256"/>
      <c r="AA999" s="54"/>
      <c r="AB999" s="200"/>
      <c r="AC999" s="31"/>
      <c r="AD999" s="184"/>
      <c r="AE999" s="51"/>
      <c r="AF999" s="52"/>
      <c r="AG999" s="41"/>
      <c r="AH999" s="207"/>
      <c r="AI999" s="28"/>
      <c r="AJ999" s="28"/>
      <c r="AK999" s="28"/>
      <c r="AL999" s="28"/>
      <c r="AM999" s="12"/>
      <c r="AN999" s="12"/>
      <c r="AO999" s="12"/>
      <c r="AP999" s="12"/>
      <c r="AQ999" s="12"/>
      <c r="AR999" s="13"/>
      <c r="AS999" s="14"/>
    </row>
    <row r="1000" spans="1:45" s="16" customFormat="1" ht="30.95" hidden="1" customHeight="1" x14ac:dyDescent="0.2">
      <c r="A1000" s="35"/>
      <c r="B1000" s="36"/>
      <c r="C1000" s="43"/>
      <c r="D1000" s="29">
        <v>3723638</v>
      </c>
      <c r="E1000" s="29">
        <v>4162055</v>
      </c>
      <c r="F1000" s="255" t="str">
        <f>IF(D1000="","",VLOOKUP(D1000,契約台帳!$A$3:$K$4986,6,FALSE)&amp;VLOOKUP(D1000,契約台帳!$A$3:$K$4986,7,FALSE)&amp;VLOOKUP(D1000,契約台帳!$A$3:$K$4986,8,FALSE)&amp;VLOOKUP(D1000,契約台帳!$A$3:$K$4986,9,FALSE)&amp;VLOOKUP(D1000,契約台帳!$A$3:$K$4986,11,FALSE))</f>
        <v>3SNMLBMNNGKBF</v>
      </c>
      <c r="G1000" s="256" t="str">
        <f>IF(D1000="","",VLOOKUP(F1000,製品マスタ!$G$5:$H$4999,2,FALSE))</f>
        <v>S</v>
      </c>
      <c r="H1000" s="256" t="str">
        <f>IF(D1000="","",VLOOKUP(F1000,製品マスタ!$G$5:$K$4999,5,FALSE))</f>
        <v>MNNGKBF</v>
      </c>
      <c r="I1000" s="200" t="str">
        <f>IF(D1000="","",VLOOKUP(F1000,製品マスタ!$G$5:$L$4999,6,FALSE))</f>
        <v>メタルミー　ニューネーマー銀消　Ｂ</v>
      </c>
      <c r="J1000" s="203" t="s">
        <v>464</v>
      </c>
      <c r="K1000" s="200">
        <f>IF(D1000="","",VLOOKUP(D1000,契約台帳!$A$3:$L$4986,12,FALSE))</f>
        <v>25</v>
      </c>
      <c r="L1000" s="200" t="str">
        <f>IF(D1000="","",INDEX(製品マスタ!$Q$5:$Q$4999,MATCH('S4'!F1000&amp;'S4'!K1000,製品マスタ!$AO$5:$AO$4999,0)))</f>
        <v>X44C</v>
      </c>
      <c r="M1000" s="37">
        <v>1005</v>
      </c>
      <c r="N1000" s="37">
        <v>8000</v>
      </c>
      <c r="O1000" s="153">
        <v>2</v>
      </c>
      <c r="P1000" s="45">
        <v>1</v>
      </c>
      <c r="Q1000" s="206">
        <v>45175</v>
      </c>
      <c r="R1000" s="257">
        <f ca="1">IF(D1000="","",IF(OFFSET(D1000,-1,0)&lt;&gt;"","",IF(OR(J1000="リード付け",J1000="巻足し",J1000="巻返しリード付け"),M1000,VLOOKUP(D1000,契約台帳!$A$3:$N$4986,14,FALSE))))</f>
        <v>1005</v>
      </c>
      <c r="S1000" s="258">
        <f ca="1">IF(D1000="","",IF(OFFSET(D1000,-1,0)&lt;&gt;"","",IF(OR(J1000="リード付け",J1000="巻足し",J1000="巻返しリード付け"),M1000,VLOOKUP(D1000,契約台帳!$A$3:$O$4986,15,FALSE))))</f>
        <v>1005</v>
      </c>
      <c r="T1000" s="258">
        <f ca="1">IF(D1000="","",IF(J1000="リード付け",N1000,IF(J1000="巻返しリード付け",N1000,IF(J1000="巻足し",N1000*P1000+OFFSET(N1000,1,0)*OFFSET(P1000,1,0),VLOOKUP(D1000,契約台帳!$A$3:$P$4986,16,FALSE)))))</f>
        <v>8000</v>
      </c>
      <c r="U1000" s="38">
        <v>2</v>
      </c>
      <c r="V1000" s="259" t="str">
        <f ca="1">IF(D1000="","",IF(OFFSET(D1000,-2,0)=D1000,"",VLOOKUP(D1000,契約台帳!$A$3:$R$4986,18,FALSE)))</f>
        <v/>
      </c>
      <c r="W1000" s="256" t="str">
        <f ca="1">IF(D1000="","",IF(T1000="","",IF(OR(J1000="巻足し",J1000="巻返しリード付け"),"",IF(J1000="巻返し",VLOOKUP(F1000&amp;K1000&amp;M1000,製品マスタ!$M$5:$AD$4999,18,FALSE),IF(OR(J1000="リード付け",J1000="巻返しリード付け"),"原反コア",IF(J1000="スリット",VLOOKUP(F1000&amp;K1000&amp;R1000,製品マスタ!$N$5:$AD$4999,17,FALSE),""))))))</f>
        <v>原反コア</v>
      </c>
      <c r="X1000" s="256" t="str">
        <f ca="1">IF(D1000="","",IF(T1000="","",IF(J1000="巻足し","",IF(J1000="巻返し",VLOOKUP(F1000&amp;K1000&amp;M1000,製品マスタ!$M$5:$AE$4999,19,FALSE),IF(OR(J1000="リード付け",J1000="巻返しリード付け"),"",IF(J1000="スリット",VLOOKUP(F1000&amp;K1000&amp;R1000,製品マスタ!$N$5:$AE$4999,18,FALSE),""))))))</f>
        <v/>
      </c>
      <c r="Y1000" s="256">
        <f ca="1">IF(D1000="","",IF(T1000="","",VLOOKUP(D1000,契約台帳!$A$3:$Q$4986,17,FALSE)))</f>
        <v>2</v>
      </c>
      <c r="Z1000" s="256" t="str">
        <f ca="1">IF(D1000="","",IF(T1000="","",VLOOKUP(D1000,契約台帳!$A$3:$E$4986,5,FALSE)))</f>
        <v>リンテック㈱</v>
      </c>
      <c r="AA1000" s="54"/>
      <c r="AB1000" s="200">
        <f>IFERROR((VLOOKUP(F1000&amp;K1000&amp;M1000,製品マスタ!$M$5:$AM$4999,27,FALSE)),"")</f>
        <v>0</v>
      </c>
      <c r="AC1000" s="31"/>
      <c r="AD1000" s="184"/>
      <c r="AE1000" s="51"/>
      <c r="AF1000" s="52">
        <f>+M1000*N1000*O1000/1000</f>
        <v>16080</v>
      </c>
      <c r="AG1000" s="41"/>
      <c r="AH1000" s="45"/>
      <c r="AI1000" s="28"/>
      <c r="AJ1000" s="28"/>
      <c r="AK1000" s="28"/>
      <c r="AL1000" s="28"/>
      <c r="AM1000" s="12"/>
      <c r="AN1000" s="12"/>
      <c r="AO1000" s="12"/>
      <c r="AP1000" s="12"/>
      <c r="AQ1000" s="12"/>
      <c r="AR1000" s="13"/>
      <c r="AS1000" s="14"/>
    </row>
    <row r="1001" spans="1:45" s="16" customFormat="1" ht="30.95" hidden="1" customHeight="1" x14ac:dyDescent="0.2">
      <c r="A1001" s="35"/>
      <c r="B1001" s="36"/>
      <c r="C1001" s="43"/>
      <c r="D1001" s="29"/>
      <c r="E1001" s="29"/>
      <c r="F1001" s="255"/>
      <c r="G1001" s="256"/>
      <c r="H1001" s="256"/>
      <c r="I1001" s="200"/>
      <c r="J1001" s="203"/>
      <c r="K1001" s="200"/>
      <c r="L1001" s="200"/>
      <c r="M1001" s="37"/>
      <c r="N1001" s="37"/>
      <c r="O1001" s="153"/>
      <c r="P1001" s="45"/>
      <c r="Q1001" s="54"/>
      <c r="R1001" s="260"/>
      <c r="S1001" s="258"/>
      <c r="T1001" s="258"/>
      <c r="U1001" s="38"/>
      <c r="V1001" s="261"/>
      <c r="W1001" s="256"/>
      <c r="X1001" s="256"/>
      <c r="Y1001" s="256"/>
      <c r="Z1001" s="256"/>
      <c r="AA1001" s="54"/>
      <c r="AB1001" s="200"/>
      <c r="AC1001" s="31"/>
      <c r="AD1001" s="184"/>
      <c r="AE1001" s="51"/>
      <c r="AF1001" s="52"/>
      <c r="AG1001" s="41"/>
      <c r="AH1001" s="207"/>
      <c r="AI1001" s="28"/>
      <c r="AJ1001" s="28"/>
      <c r="AK1001" s="28"/>
      <c r="AL1001" s="28"/>
      <c r="AM1001" s="12"/>
      <c r="AN1001" s="12"/>
      <c r="AO1001" s="12"/>
      <c r="AP1001" s="12"/>
      <c r="AQ1001" s="12"/>
      <c r="AR1001" s="13"/>
      <c r="AS1001" s="14"/>
    </row>
    <row r="1002" spans="1:45" s="16" customFormat="1" ht="30.95" hidden="1" customHeight="1" x14ac:dyDescent="0.2">
      <c r="A1002" s="35"/>
      <c r="B1002" s="36"/>
      <c r="C1002" s="43"/>
      <c r="D1002" s="29">
        <v>3723639</v>
      </c>
      <c r="E1002" s="29">
        <v>4162061</v>
      </c>
      <c r="F1002" s="255" t="str">
        <f>IF(D1002="","",VLOOKUP(D1002,契約台帳!$A$3:$K$4986,6,FALSE)&amp;VLOOKUP(D1002,契約台帳!$A$3:$K$4986,7,FALSE)&amp;VLOOKUP(D1002,契約台帳!$A$3:$K$4986,8,FALSE)&amp;VLOOKUP(D1002,契約台帳!$A$3:$K$4986,9,FALSE)&amp;VLOOKUP(D1002,契約台帳!$A$3:$K$4986,11,FALSE))</f>
        <v>3SNMLBMNNGKBF</v>
      </c>
      <c r="G1002" s="256" t="str">
        <f>IF(D1002="","",VLOOKUP(F1002,製品マスタ!$G$5:$H$4999,2,FALSE))</f>
        <v>S</v>
      </c>
      <c r="H1002" s="256" t="str">
        <f>IF(D1002="","",VLOOKUP(F1002,製品マスタ!$G$5:$K$4999,5,FALSE))</f>
        <v>MNNGKBF</v>
      </c>
      <c r="I1002" s="200" t="str">
        <f>IF(D1002="","",VLOOKUP(F1002,製品マスタ!$G$5:$L$4999,6,FALSE))</f>
        <v>メタルミー　ニューネーマー銀消　Ｂ</v>
      </c>
      <c r="J1002" s="203" t="s">
        <v>935</v>
      </c>
      <c r="K1002" s="200">
        <f>IF(D1002="","",VLOOKUP(D1002,契約台帳!$A$3:$L$4986,12,FALSE))</f>
        <v>50</v>
      </c>
      <c r="L1002" s="200" t="str">
        <f>IF(D1002="","",INDEX(製品マスタ!$Q$5:$Q$4999,MATCH('S4'!F1002&amp;'S4'!K1002,製品マスタ!$AO$5:$AO$4999,0)))</f>
        <v>X44</v>
      </c>
      <c r="M1002" s="37">
        <v>1000</v>
      </c>
      <c r="N1002" s="37">
        <v>4000</v>
      </c>
      <c r="O1002" s="153">
        <v>6</v>
      </c>
      <c r="P1002" s="45">
        <v>3</v>
      </c>
      <c r="Q1002" s="206">
        <v>45175</v>
      </c>
      <c r="R1002" s="257">
        <f ca="1">IF(D1002="","",IF(OFFSET(D1002,-1,0)&lt;&gt;"","",IF(OR(J1002="リード付け",J1002="巻足し",J1002="巻返しリード付け"),M1002,VLOOKUP(D1002,契約台帳!$A$3:$N$4986,14,FALSE))))</f>
        <v>1000</v>
      </c>
      <c r="S1002" s="258">
        <f ca="1">IF(D1002="","",IF(OFFSET(D1002,-1,0)&lt;&gt;"","",IF(OR(J1002="リード付け",J1002="巻足し",J1002="巻返しリード付け"),M1002,VLOOKUP(D1002,契約台帳!$A$3:$O$4986,15,FALSE))))</f>
        <v>1000</v>
      </c>
      <c r="T1002" s="258">
        <f ca="1">IF(D1002="","",IF(J1002="リード付け",N1002,IF(J1002="巻返しリード付け",N1002,IF(J1002="巻足し",N1002*P1002+OFFSET(N1002,1,0)*OFFSET(P1002,1,0),VLOOKUP(D1002,契約台帳!$A$3:$P$4986,16,FALSE)))))</f>
        <v>12000</v>
      </c>
      <c r="U1002" s="38">
        <v>2</v>
      </c>
      <c r="V1002" s="259">
        <f ca="1">IF(D1002="","",IF(OFFSET(D1002,-2,0)=D1002,"",VLOOKUP(D1002,契約台帳!$A$3:$R$4986,18,FALSE)))</f>
        <v>12</v>
      </c>
      <c r="W1002" s="256" t="str">
        <f ca="1">IF(D1002="","",IF(T1002="","",IF(OR(J1002="巻足し",J1002="巻返しリード付け"),"",IF(J1002="巻返し",VLOOKUP(F1002&amp;K1002&amp;M1002,製品マスタ!$M$5:$AD$4999,18,FALSE),IF(OR(J1002="リード付け",J1002="巻返しリード付け"),"原反コア",IF(J1002="スリット",VLOOKUP(F1002&amp;K1002&amp;R1002,製品マスタ!$N$5:$AD$4999,17,FALSE),""))))))</f>
        <v/>
      </c>
      <c r="X1002" s="256" t="str">
        <f ca="1">IF(D1002="","",IF(T1002="","",IF(J1002="巻足し","",IF(J1002="巻返し",VLOOKUP(F1002&amp;K1002&amp;M1002,製品マスタ!$M$5:$AE$4999,19,FALSE),IF(OR(J1002="リード付け",J1002="巻返しリード付け"),"",IF(J1002="スリット",VLOOKUP(F1002&amp;K1002&amp;R1002,製品マスタ!$N$5:$AE$4999,18,FALSE),""))))))</f>
        <v/>
      </c>
      <c r="Y1002" s="256">
        <f ca="1">IF(D1002="","",IF(T1002="","",VLOOKUP(D1002,契約台帳!$A$3:$Q$4986,17,FALSE)))</f>
        <v>2</v>
      </c>
      <c r="Z1002" s="256" t="str">
        <f ca="1">IF(D1002="","",IF(T1002="","",VLOOKUP(D1002,契約台帳!$A$3:$E$4986,5,FALSE)))</f>
        <v>リンテック㈱</v>
      </c>
      <c r="AA1002" s="54"/>
      <c r="AB1002" s="200" t="str">
        <f>IFERROR((VLOOKUP(F1002&amp;K1002&amp;M1002,製品マスタ!$M$5:$AM$4999,27,FALSE)),"")</f>
        <v>原反ケース再利用</v>
      </c>
      <c r="AC1002" s="31"/>
      <c r="AD1002" s="184"/>
      <c r="AE1002" s="51"/>
      <c r="AF1002" s="52">
        <f>+M1002*N1002*O1002/1000</f>
        <v>24000</v>
      </c>
      <c r="AG1002" s="41"/>
      <c r="AH1002" s="45"/>
      <c r="AI1002" s="28"/>
      <c r="AJ1002" s="28"/>
      <c r="AK1002" s="28"/>
      <c r="AL1002" s="28"/>
      <c r="AM1002" s="12"/>
      <c r="AN1002" s="12"/>
      <c r="AO1002" s="12"/>
      <c r="AP1002" s="12"/>
      <c r="AQ1002" s="12"/>
      <c r="AR1002" s="13"/>
      <c r="AS1002" s="14"/>
    </row>
    <row r="1003" spans="1:45" s="16" customFormat="1" ht="30.95" hidden="1" customHeight="1" x14ac:dyDescent="0.2">
      <c r="A1003" s="35"/>
      <c r="B1003" s="36"/>
      <c r="C1003" s="43"/>
      <c r="D1003" s="29"/>
      <c r="E1003" s="29"/>
      <c r="F1003" s="255"/>
      <c r="G1003" s="256"/>
      <c r="H1003" s="256"/>
      <c r="I1003" s="200"/>
      <c r="J1003" s="203"/>
      <c r="K1003" s="200"/>
      <c r="L1003" s="200"/>
      <c r="M1003" s="37"/>
      <c r="N1003" s="37"/>
      <c r="O1003" s="153"/>
      <c r="P1003" s="45"/>
      <c r="Q1003" s="54"/>
      <c r="R1003" s="260"/>
      <c r="S1003" s="258"/>
      <c r="T1003" s="258"/>
      <c r="U1003" s="38"/>
      <c r="V1003" s="261"/>
      <c r="W1003" s="256"/>
      <c r="X1003" s="256"/>
      <c r="Y1003" s="256"/>
      <c r="Z1003" s="256"/>
      <c r="AA1003" s="54"/>
      <c r="AB1003" s="200"/>
      <c r="AC1003" s="31"/>
      <c r="AD1003" s="184"/>
      <c r="AE1003" s="51"/>
      <c r="AF1003" s="52"/>
      <c r="AG1003" s="41"/>
      <c r="AH1003" s="207"/>
      <c r="AI1003" s="28"/>
      <c r="AJ1003" s="28"/>
      <c r="AK1003" s="28"/>
      <c r="AL1003" s="28"/>
      <c r="AM1003" s="12"/>
      <c r="AN1003" s="12"/>
      <c r="AO1003" s="12"/>
      <c r="AP1003" s="12"/>
      <c r="AQ1003" s="12"/>
      <c r="AR1003" s="13"/>
      <c r="AS1003" s="14"/>
    </row>
    <row r="1004" spans="1:45" s="16" customFormat="1" ht="30.95" hidden="1" customHeight="1" x14ac:dyDescent="0.2">
      <c r="A1004" s="35" t="s">
        <v>552</v>
      </c>
      <c r="B1004" s="36" t="s">
        <v>443</v>
      </c>
      <c r="C1004" s="43"/>
      <c r="D1004" s="29">
        <v>3723637</v>
      </c>
      <c r="E1004" s="29">
        <v>4162034</v>
      </c>
      <c r="F1004" s="255" t="str">
        <f>IF(D1004="","",VLOOKUP(D1004,契約台帳!$A$3:$K$4986,6,FALSE)&amp;VLOOKUP(D1004,契約台帳!$A$3:$K$4986,7,FALSE)&amp;VLOOKUP(D1004,契約台帳!$A$3:$K$4986,8,FALSE)&amp;VLOOKUP(D1004,契約台帳!$A$3:$K$4986,9,FALSE)&amp;VLOOKUP(D1004,契約台帳!$A$3:$K$4986,11,FALSE))</f>
        <v>3SNMLBMNGTBF</v>
      </c>
      <c r="G1004" s="256" t="str">
        <f>IF(D1004="","",VLOOKUP(F1004,製品マスタ!$G$5:$H$4999,2,FALSE))</f>
        <v>S</v>
      </c>
      <c r="H1004" s="256" t="str">
        <f>IF(D1004="","",VLOOKUP(F1004,製品マスタ!$G$5:$K$4999,5,FALSE))</f>
        <v>MNGTBF</v>
      </c>
      <c r="I1004" s="200" t="str">
        <f>IF(D1004="","",VLOOKUP(F1004,製品マスタ!$G$5:$L$4999,6,FALSE))</f>
        <v>メタルミー　ネーマー　銀艶　Ｂ</v>
      </c>
      <c r="J1004" s="203" t="s">
        <v>935</v>
      </c>
      <c r="K1004" s="200">
        <f>IF(D1004="","",VLOOKUP(D1004,契約台帳!$A$3:$L$4986,12,FALSE))</f>
        <v>50</v>
      </c>
      <c r="L1004" s="200" t="str">
        <f>IF(D1004="","",INDEX(製品マスタ!$Q$5:$Q$4999,MATCH('S4'!F1004&amp;'S4'!K1004,製品マスタ!$AO$5:$AO$4999,0)))</f>
        <v>T62</v>
      </c>
      <c r="M1004" s="37">
        <v>1120</v>
      </c>
      <c r="N1004" s="37">
        <v>5000</v>
      </c>
      <c r="O1004" s="153">
        <v>16</v>
      </c>
      <c r="P1004" s="45">
        <v>2</v>
      </c>
      <c r="Q1004" s="206">
        <v>45170</v>
      </c>
      <c r="R1004" s="257">
        <f ca="1">IF(D1004="","",IF(OFFSET(D1004,-1,0)&lt;&gt;"","",IF(OR(J1004="リード付け",J1004="巻足し",J1004="巻返しリード付け"),M1004,VLOOKUP(D1004,契約台帳!$A$3:$N$4986,14,FALSE))))</f>
        <v>1120</v>
      </c>
      <c r="S1004" s="258">
        <f ca="1">IF(D1004="","",IF(OFFSET(D1004,-1,0)&lt;&gt;"","",IF(OR(J1004="リード付け",J1004="巻足し",J1004="巻返しリード付け"),M1004,VLOOKUP(D1004,契約台帳!$A$3:$O$4986,15,FALSE))))</f>
        <v>1120</v>
      </c>
      <c r="T1004" s="258">
        <f ca="1">IF(D1004="","",IF(J1004="リード付け",N1004,IF(J1004="巻返しリード付け",N1004,IF(J1004="巻足し",N1004*P1004+OFFSET(N1004,1,0)*OFFSET(P1004,1,0),VLOOKUP(D1004,契約台帳!$A$3:$P$4986,16,FALSE)))))</f>
        <v>10000</v>
      </c>
      <c r="U1004" s="38">
        <v>8</v>
      </c>
      <c r="V1004" s="259">
        <f ca="1">IF(D1004="","",IF(OFFSET(D1004,-2,0)=D1004,"",VLOOKUP(D1004,契約台帳!$A$3:$R$4986,18,FALSE)))</f>
        <v>34</v>
      </c>
      <c r="W1004" s="256" t="str">
        <f ca="1">IF(D1004="","",IF(T1004="","",IF(OR(J1004="巻足し",J1004="巻返しリード付け"),"",IF(J1004="巻返し",VLOOKUP(F1004&amp;K1004&amp;M1004,製品マスタ!$M$5:$AD$4999,18,FALSE),IF(OR(J1004="リード付け",J1004="巻返しリード付け"),"原反コア",IF(J1004="スリット",VLOOKUP(F1004&amp;K1004&amp;R1004,製品マスタ!$N$5:$AD$4999,17,FALSE),""))))))</f>
        <v/>
      </c>
      <c r="X1004" s="256" t="str">
        <f ca="1">IF(D1004="","",IF(T1004="","",IF(J1004="巻足し","",IF(J1004="巻返し",VLOOKUP(F1004&amp;K1004&amp;M1004,製品マスタ!$M$5:$AE$4999,19,FALSE),IF(OR(J1004="リード付け",J1004="巻返しリード付け"),"",IF(J1004="スリット",VLOOKUP(F1004&amp;K1004&amp;R1004,製品マスタ!$N$5:$AE$4999,18,FALSE),""))))))</f>
        <v/>
      </c>
      <c r="Y1004" s="256">
        <f ca="1">IF(D1004="","",IF(T1004="","",VLOOKUP(D1004,契約台帳!$A$3:$Q$4986,17,FALSE)))</f>
        <v>2</v>
      </c>
      <c r="Z1004" s="256" t="str">
        <f ca="1">IF(D1004="","",IF(T1004="","",VLOOKUP(D1004,契約台帳!$A$3:$E$4986,5,FALSE)))</f>
        <v>リンテック㈱</v>
      </c>
      <c r="AA1004" s="54"/>
      <c r="AB1004" s="200" t="str">
        <f>IFERROR((VLOOKUP(F1004&amp;K1004&amp;M1004,製品マスタ!$M$5:$AM$4999,27,FALSE)),"")</f>
        <v>原反ケース再利用</v>
      </c>
      <c r="AC1004" s="31"/>
      <c r="AD1004" s="184"/>
      <c r="AE1004" s="51"/>
      <c r="AF1004" s="52">
        <f>+M1004*N1004*O1004/1000</f>
        <v>89600</v>
      </c>
      <c r="AG1004" s="41"/>
      <c r="AH1004" s="45"/>
      <c r="AI1004" s="28"/>
      <c r="AJ1004" s="28"/>
      <c r="AK1004" s="28"/>
      <c r="AL1004" s="28"/>
      <c r="AM1004" s="12"/>
      <c r="AN1004" s="12"/>
      <c r="AO1004" s="12"/>
      <c r="AP1004" s="12"/>
      <c r="AQ1004" s="12"/>
      <c r="AR1004" s="13"/>
      <c r="AS1004" s="14"/>
    </row>
    <row r="1005" spans="1:45" s="16" customFormat="1" ht="30.95" hidden="1" customHeight="1" x14ac:dyDescent="0.2">
      <c r="A1005" s="35"/>
      <c r="B1005" s="36"/>
      <c r="C1005" s="43"/>
      <c r="D1005" s="29"/>
      <c r="E1005" s="29"/>
      <c r="F1005" s="255"/>
      <c r="G1005" s="256"/>
      <c r="H1005" s="256"/>
      <c r="I1005" s="200"/>
      <c r="J1005" s="203"/>
      <c r="K1005" s="200"/>
      <c r="L1005" s="200"/>
      <c r="M1005" s="37"/>
      <c r="N1005" s="37"/>
      <c r="O1005" s="153"/>
      <c r="P1005" s="45"/>
      <c r="Q1005" s="54"/>
      <c r="R1005" s="260"/>
      <c r="S1005" s="258"/>
      <c r="T1005" s="258"/>
      <c r="U1005" s="38"/>
      <c r="V1005" s="261"/>
      <c r="W1005" s="256"/>
      <c r="X1005" s="256"/>
      <c r="Y1005" s="256"/>
      <c r="Z1005" s="256"/>
      <c r="AA1005" s="54"/>
      <c r="AB1005" s="200"/>
      <c r="AC1005" s="31"/>
      <c r="AD1005" s="184"/>
      <c r="AE1005" s="51"/>
      <c r="AF1005" s="52"/>
      <c r="AG1005" s="41"/>
      <c r="AH1005" s="207"/>
      <c r="AI1005" s="28"/>
      <c r="AJ1005" s="28"/>
      <c r="AK1005" s="28"/>
      <c r="AL1005" s="28"/>
      <c r="AM1005" s="12"/>
      <c r="AN1005" s="12"/>
      <c r="AO1005" s="12"/>
      <c r="AP1005" s="12"/>
      <c r="AQ1005" s="12"/>
      <c r="AR1005" s="13"/>
      <c r="AS1005" s="14"/>
    </row>
    <row r="1006" spans="1:45" s="16" customFormat="1" ht="30.95" hidden="1" customHeight="1" x14ac:dyDescent="0.2">
      <c r="A1006" s="35" t="s">
        <v>553</v>
      </c>
      <c r="B1006" s="36" t="s">
        <v>444</v>
      </c>
      <c r="C1006" s="43"/>
      <c r="D1006" s="29">
        <v>3723637</v>
      </c>
      <c r="E1006" s="29">
        <v>4162034</v>
      </c>
      <c r="F1006" s="255" t="str">
        <f>IF(D1006="","",VLOOKUP(D1006,契約台帳!$A$3:$K$4986,6,FALSE)&amp;VLOOKUP(D1006,契約台帳!$A$3:$K$4986,7,FALSE)&amp;VLOOKUP(D1006,契約台帳!$A$3:$K$4986,8,FALSE)&amp;VLOOKUP(D1006,契約台帳!$A$3:$K$4986,9,FALSE)&amp;VLOOKUP(D1006,契約台帳!$A$3:$K$4986,11,FALSE))</f>
        <v>3SNMLBMNGTBF</v>
      </c>
      <c r="G1006" s="256" t="str">
        <f>IF(D1006="","",VLOOKUP(F1006,製品マスタ!$G$5:$H$4999,2,FALSE))</f>
        <v>S</v>
      </c>
      <c r="H1006" s="256" t="str">
        <f>IF(D1006="","",VLOOKUP(F1006,製品マスタ!$G$5:$K$4999,5,FALSE))</f>
        <v>MNGTBF</v>
      </c>
      <c r="I1006" s="200" t="str">
        <f>IF(D1006="","",VLOOKUP(F1006,製品マスタ!$G$5:$L$4999,6,FALSE))</f>
        <v>メタルミー　ネーマー　銀艶　Ｂ</v>
      </c>
      <c r="J1006" s="203" t="s">
        <v>935</v>
      </c>
      <c r="K1006" s="200">
        <f>IF(D1006="","",VLOOKUP(D1006,契約台帳!$A$3:$L$4986,12,FALSE))</f>
        <v>50</v>
      </c>
      <c r="L1006" s="200" t="str">
        <f>IF(D1006="","",INDEX(製品マスタ!$Q$5:$Q$4999,MATCH('S4'!F1006&amp;'S4'!K1006,製品マスタ!$AO$5:$AO$4999,0)))</f>
        <v>T62</v>
      </c>
      <c r="M1006" s="37">
        <v>1120</v>
      </c>
      <c r="N1006" s="37">
        <v>5000</v>
      </c>
      <c r="O1006" s="153">
        <v>18</v>
      </c>
      <c r="P1006" s="45">
        <v>2</v>
      </c>
      <c r="Q1006" s="206">
        <v>45170</v>
      </c>
      <c r="R1006" s="257">
        <f ca="1">IF(D1006="","",IF(OFFSET(D1006,-1,0)&lt;&gt;"","",IF(OR(J1006="リード付け",J1006="巻足し",J1006="巻返しリード付け"),M1006,VLOOKUP(D1006,契約台帳!$A$3:$N$4986,14,FALSE))))</f>
        <v>1120</v>
      </c>
      <c r="S1006" s="258">
        <f ca="1">IF(D1006="","",IF(OFFSET(D1006,-1,0)&lt;&gt;"","",IF(OR(J1006="リード付け",J1006="巻足し",J1006="巻返しリード付け"),M1006,VLOOKUP(D1006,契約台帳!$A$3:$O$4986,15,FALSE))))</f>
        <v>1120</v>
      </c>
      <c r="T1006" s="258">
        <f ca="1">IF(D1006="","",IF(J1006="リード付け",N1006,IF(J1006="巻返しリード付け",N1006,IF(J1006="巻足し",N1006*P1006+OFFSET(N1006,1,0)*OFFSET(P1006,1,0),VLOOKUP(D1006,契約台帳!$A$3:$P$4986,16,FALSE)))))</f>
        <v>10000</v>
      </c>
      <c r="U1006" s="38">
        <v>9</v>
      </c>
      <c r="V1006" s="259" t="str">
        <f ca="1">IF(D1006="","",IF(OFFSET(D1006,-2,0)=D1006,"",VLOOKUP(D1006,契約台帳!$A$3:$R$4986,18,FALSE)))</f>
        <v/>
      </c>
      <c r="W1006" s="256" t="str">
        <f ca="1">IF(D1006="","",IF(T1006="","",IF(OR(J1006="巻足し",J1006="巻返しリード付け"),"",IF(J1006="巻返し",VLOOKUP(F1006&amp;K1006&amp;M1006,製品マスタ!$M$5:$AD$4999,18,FALSE),IF(OR(J1006="リード付け",J1006="巻返しリード付け"),"原反コア",IF(J1006="スリット",VLOOKUP(F1006&amp;K1006&amp;R1006,製品マスタ!$N$5:$AD$4999,17,FALSE),""))))))</f>
        <v/>
      </c>
      <c r="X1006" s="256" t="str">
        <f ca="1">IF(D1006="","",IF(T1006="","",IF(J1006="巻足し","",IF(J1006="巻返し",VLOOKUP(F1006&amp;K1006&amp;M1006,製品マスタ!$M$5:$AE$4999,19,FALSE),IF(OR(J1006="リード付け",J1006="巻返しリード付け"),"",IF(J1006="スリット",VLOOKUP(F1006&amp;K1006&amp;R1006,製品マスタ!$N$5:$AE$4999,18,FALSE),""))))))</f>
        <v/>
      </c>
      <c r="Y1006" s="256">
        <f ca="1">IF(D1006="","",IF(T1006="","",VLOOKUP(D1006,契約台帳!$A$3:$Q$4986,17,FALSE)))</f>
        <v>2</v>
      </c>
      <c r="Z1006" s="256" t="str">
        <f ca="1">IF(D1006="","",IF(T1006="","",VLOOKUP(D1006,契約台帳!$A$3:$E$4986,5,FALSE)))</f>
        <v>リンテック㈱</v>
      </c>
      <c r="AA1006" s="54"/>
      <c r="AB1006" s="200" t="str">
        <f>IFERROR((VLOOKUP(F1006&amp;K1006&amp;M1006,製品マスタ!$M$5:$AM$4999,27,FALSE)),"")</f>
        <v>原反ケース再利用</v>
      </c>
      <c r="AC1006" s="31"/>
      <c r="AD1006" s="184"/>
      <c r="AE1006" s="51"/>
      <c r="AF1006" s="52">
        <f>+M1006*N1006*O1006/1000</f>
        <v>100800</v>
      </c>
      <c r="AG1006" s="41"/>
      <c r="AH1006" s="45"/>
      <c r="AI1006" s="28"/>
      <c r="AJ1006" s="28"/>
      <c r="AK1006" s="28"/>
      <c r="AL1006" s="28"/>
      <c r="AM1006" s="12"/>
      <c r="AN1006" s="12"/>
      <c r="AO1006" s="12"/>
      <c r="AP1006" s="12"/>
      <c r="AQ1006" s="12"/>
      <c r="AR1006" s="13"/>
      <c r="AS1006" s="14"/>
    </row>
    <row r="1007" spans="1:45" s="16" customFormat="1" ht="30.95" hidden="1" customHeight="1" x14ac:dyDescent="0.2">
      <c r="A1007" s="35"/>
      <c r="B1007" s="36"/>
      <c r="C1007" s="43"/>
      <c r="D1007" s="29"/>
      <c r="E1007" s="29"/>
      <c r="F1007" s="255"/>
      <c r="G1007" s="256"/>
      <c r="H1007" s="256"/>
      <c r="I1007" s="200"/>
      <c r="J1007" s="203"/>
      <c r="K1007" s="200"/>
      <c r="L1007" s="200"/>
      <c r="M1007" s="37"/>
      <c r="N1007" s="37"/>
      <c r="O1007" s="153"/>
      <c r="P1007" s="45"/>
      <c r="Q1007" s="54"/>
      <c r="R1007" s="260"/>
      <c r="S1007" s="258"/>
      <c r="T1007" s="258"/>
      <c r="U1007" s="38"/>
      <c r="V1007" s="261"/>
      <c r="W1007" s="256"/>
      <c r="X1007" s="256"/>
      <c r="Y1007" s="256"/>
      <c r="Z1007" s="256"/>
      <c r="AA1007" s="54"/>
      <c r="AB1007" s="200"/>
      <c r="AC1007" s="31"/>
      <c r="AD1007" s="184"/>
      <c r="AE1007" s="51"/>
      <c r="AF1007" s="52"/>
      <c r="AG1007" s="41"/>
      <c r="AH1007" s="207"/>
      <c r="AI1007" s="28"/>
      <c r="AJ1007" s="28"/>
      <c r="AK1007" s="28"/>
      <c r="AL1007" s="28"/>
      <c r="AM1007" s="12"/>
      <c r="AN1007" s="12"/>
      <c r="AO1007" s="12"/>
      <c r="AP1007" s="12"/>
      <c r="AQ1007" s="12"/>
      <c r="AR1007" s="13"/>
      <c r="AS1007" s="14"/>
    </row>
    <row r="1008" spans="1:45" s="16" customFormat="1" ht="30.95" hidden="1" customHeight="1" x14ac:dyDescent="0.2">
      <c r="A1008" s="35" t="s">
        <v>554</v>
      </c>
      <c r="B1008" s="36" t="s">
        <v>445</v>
      </c>
      <c r="C1008" s="43"/>
      <c r="D1008" s="29"/>
      <c r="E1008" s="29"/>
      <c r="F1008" s="255"/>
      <c r="G1008" s="256"/>
      <c r="H1008" s="256"/>
      <c r="I1008" s="200"/>
      <c r="J1008" s="203" t="s">
        <v>448</v>
      </c>
      <c r="K1008" s="200"/>
      <c r="L1008" s="200"/>
      <c r="M1008" s="37"/>
      <c r="N1008" s="37"/>
      <c r="O1008" s="153"/>
      <c r="P1008" s="45"/>
      <c r="Q1008" s="54"/>
      <c r="R1008" s="260"/>
      <c r="S1008" s="258"/>
      <c r="T1008" s="258"/>
      <c r="U1008" s="38"/>
      <c r="V1008" s="261"/>
      <c r="W1008" s="256"/>
      <c r="X1008" s="256"/>
      <c r="Y1008" s="256"/>
      <c r="Z1008" s="256"/>
      <c r="AA1008" s="54"/>
      <c r="AB1008" s="200"/>
      <c r="AC1008" s="31"/>
      <c r="AD1008" s="184"/>
      <c r="AE1008" s="51"/>
      <c r="AF1008" s="52"/>
      <c r="AG1008" s="41"/>
      <c r="AH1008" s="207"/>
      <c r="AI1008" s="28"/>
      <c r="AJ1008" s="28"/>
      <c r="AK1008" s="28"/>
      <c r="AL1008" s="28"/>
      <c r="AM1008" s="12"/>
      <c r="AN1008" s="12"/>
      <c r="AO1008" s="12"/>
      <c r="AP1008" s="12"/>
      <c r="AQ1008" s="12"/>
      <c r="AR1008" s="13"/>
      <c r="AS1008" s="14"/>
    </row>
    <row r="1009" spans="1:45" s="16" customFormat="1" ht="30.95" hidden="1" customHeight="1" x14ac:dyDescent="0.2">
      <c r="A1009" s="35"/>
      <c r="B1009" s="36"/>
      <c r="C1009" s="43"/>
      <c r="D1009" s="29"/>
      <c r="E1009" s="29"/>
      <c r="F1009" s="255"/>
      <c r="G1009" s="256"/>
      <c r="H1009" s="256"/>
      <c r="I1009" s="200"/>
      <c r="J1009" s="203"/>
      <c r="K1009" s="200"/>
      <c r="L1009" s="200"/>
      <c r="M1009" s="37"/>
      <c r="N1009" s="37"/>
      <c r="O1009" s="153"/>
      <c r="P1009" s="45"/>
      <c r="Q1009" s="54"/>
      <c r="R1009" s="260"/>
      <c r="S1009" s="258"/>
      <c r="T1009" s="258"/>
      <c r="U1009" s="38"/>
      <c r="V1009" s="261"/>
      <c r="W1009" s="256"/>
      <c r="X1009" s="256"/>
      <c r="Y1009" s="256"/>
      <c r="Z1009" s="256"/>
      <c r="AA1009" s="54"/>
      <c r="AB1009" s="200"/>
      <c r="AC1009" s="31"/>
      <c r="AD1009" s="184"/>
      <c r="AE1009" s="51"/>
      <c r="AF1009" s="52"/>
      <c r="AG1009" s="41"/>
      <c r="AH1009" s="207"/>
      <c r="AI1009" s="28"/>
      <c r="AJ1009" s="28"/>
      <c r="AK1009" s="28"/>
      <c r="AL1009" s="28"/>
      <c r="AM1009" s="12"/>
      <c r="AN1009" s="12"/>
      <c r="AO1009" s="12"/>
      <c r="AP1009" s="12"/>
      <c r="AQ1009" s="12"/>
      <c r="AR1009" s="13"/>
      <c r="AS1009" s="14"/>
    </row>
    <row r="1010" spans="1:45" s="16" customFormat="1" ht="30.95" hidden="1" customHeight="1" x14ac:dyDescent="0.2">
      <c r="A1010" s="35" t="s">
        <v>555</v>
      </c>
      <c r="B1010" s="36" t="s">
        <v>1427</v>
      </c>
      <c r="C1010" s="43"/>
      <c r="D1010" s="29"/>
      <c r="E1010" s="29"/>
      <c r="F1010" s="255"/>
      <c r="G1010" s="256"/>
      <c r="H1010" s="256"/>
      <c r="I1010" s="200"/>
      <c r="J1010" s="203" t="s">
        <v>448</v>
      </c>
      <c r="K1010" s="200"/>
      <c r="L1010" s="200"/>
      <c r="M1010" s="37"/>
      <c r="N1010" s="37"/>
      <c r="O1010" s="153"/>
      <c r="P1010" s="45"/>
      <c r="Q1010" s="54"/>
      <c r="R1010" s="260"/>
      <c r="S1010" s="258"/>
      <c r="T1010" s="258"/>
      <c r="U1010" s="38"/>
      <c r="V1010" s="261"/>
      <c r="W1010" s="256"/>
      <c r="X1010" s="256"/>
      <c r="Y1010" s="256"/>
      <c r="Z1010" s="256"/>
      <c r="AA1010" s="54"/>
      <c r="AB1010" s="200"/>
      <c r="AC1010" s="31"/>
      <c r="AD1010" s="184"/>
      <c r="AE1010" s="51"/>
      <c r="AF1010" s="52"/>
      <c r="AG1010" s="41"/>
      <c r="AH1010" s="207"/>
      <c r="AI1010" s="28"/>
      <c r="AJ1010" s="28"/>
      <c r="AK1010" s="28"/>
      <c r="AL1010" s="28"/>
      <c r="AM1010" s="12"/>
      <c r="AN1010" s="12"/>
      <c r="AO1010" s="12"/>
      <c r="AP1010" s="12"/>
      <c r="AQ1010" s="12"/>
      <c r="AR1010" s="13"/>
      <c r="AS1010" s="14"/>
    </row>
    <row r="1011" spans="1:45" s="16" customFormat="1" ht="30.95" hidden="1" customHeight="1" x14ac:dyDescent="0.2">
      <c r="A1011" s="35"/>
      <c r="B1011" s="36"/>
      <c r="C1011" s="43"/>
      <c r="D1011" s="29"/>
      <c r="E1011" s="29"/>
      <c r="F1011" s="255"/>
      <c r="G1011" s="256"/>
      <c r="H1011" s="256"/>
      <c r="I1011" s="200"/>
      <c r="J1011" s="203"/>
      <c r="K1011" s="200"/>
      <c r="L1011" s="200"/>
      <c r="M1011" s="37"/>
      <c r="N1011" s="37"/>
      <c r="O1011" s="153"/>
      <c r="P1011" s="45"/>
      <c r="Q1011" s="54"/>
      <c r="R1011" s="260"/>
      <c r="S1011" s="258"/>
      <c r="T1011" s="258"/>
      <c r="U1011" s="38"/>
      <c r="V1011" s="261"/>
      <c r="W1011" s="256"/>
      <c r="X1011" s="256"/>
      <c r="Y1011" s="256"/>
      <c r="Z1011" s="256"/>
      <c r="AA1011" s="54"/>
      <c r="AB1011" s="200"/>
      <c r="AC1011" s="31"/>
      <c r="AD1011" s="184"/>
      <c r="AE1011" s="51"/>
      <c r="AF1011" s="52"/>
      <c r="AG1011" s="41"/>
      <c r="AH1011" s="207"/>
      <c r="AI1011" s="28"/>
      <c r="AJ1011" s="28"/>
      <c r="AK1011" s="28"/>
      <c r="AL1011" s="28"/>
      <c r="AM1011" s="12"/>
      <c r="AN1011" s="12"/>
      <c r="AO1011" s="12"/>
      <c r="AP1011" s="12"/>
      <c r="AQ1011" s="12"/>
      <c r="AR1011" s="13"/>
      <c r="AS1011" s="14"/>
    </row>
    <row r="1012" spans="1:45" s="16" customFormat="1" ht="30.95" hidden="1" customHeight="1" x14ac:dyDescent="0.2">
      <c r="A1012" s="35" t="s">
        <v>556</v>
      </c>
      <c r="B1012" s="36" t="s">
        <v>462</v>
      </c>
      <c r="C1012" s="43"/>
      <c r="D1012" s="29">
        <v>3723647</v>
      </c>
      <c r="E1012" s="29">
        <v>4162039</v>
      </c>
      <c r="F1012" s="255" t="str">
        <f>IF(D1012="","",VLOOKUP(D1012,契約台帳!$A$3:$K$4986,6,FALSE)&amp;VLOOKUP(D1012,契約台帳!$A$3:$K$4986,7,FALSE)&amp;VLOOKUP(D1012,契約台帳!$A$3:$K$4986,8,FALSE)&amp;VLOOKUP(D1012,契約台帳!$A$3:$K$4986,9,FALSE)&amp;VLOOKUP(D1012,契約台帳!$A$3:$K$4986,11,FALSE))</f>
        <v>3SYMLBMSBBF</v>
      </c>
      <c r="G1012" s="256" t="str">
        <f>IF(D1012="","",VLOOKUP(F1012,製品マスタ!$G$5:$H$4999,2,FALSE))</f>
        <v>S</v>
      </c>
      <c r="H1012" s="256" t="str">
        <f>IF(D1012="","",VLOOKUP(F1012,製品マスタ!$G$5:$K$4999,5,FALSE))</f>
        <v>MSBBF</v>
      </c>
      <c r="I1012" s="200" t="str">
        <f>IF(D1012="","",VLOOKUP(F1012,製品マスタ!$G$5:$L$4999,6,FALSE))</f>
        <v>ＭＥＴＡＬＵＭＹ　ＳＩＬＶＥＲ　ＢＲＩＧＨＴ　Ｔ６２Ｍ　Ｂ</v>
      </c>
      <c r="J1012" s="203" t="s">
        <v>935</v>
      </c>
      <c r="K1012" s="200">
        <f>IF(D1012="","",VLOOKUP(D1012,契約台帳!$A$3:$L$4986,12,FALSE))</f>
        <v>50</v>
      </c>
      <c r="L1012" s="200" t="str">
        <f>IF(D1012="","",INDEX(製品マスタ!$Q$5:$Q$4999,MATCH('S4'!F1012&amp;'S4'!K1012,製品マスタ!$AO$5:$AO$4999,0)))</f>
        <v>T62</v>
      </c>
      <c r="M1012" s="37">
        <v>1120</v>
      </c>
      <c r="N1012" s="37">
        <v>5000</v>
      </c>
      <c r="O1012" s="153">
        <v>2</v>
      </c>
      <c r="P1012" s="45">
        <v>2</v>
      </c>
      <c r="Q1012" s="206">
        <v>45173</v>
      </c>
      <c r="R1012" s="257">
        <f ca="1">IF(D1012="","",IF(OFFSET(D1012,-1,0)&lt;&gt;"","",IF(OR(J1012="リード付け",J1012="巻足し",J1012="巻返しリード付け"),M1012,VLOOKUP(D1012,契約台帳!$A$3:$N$4986,14,FALSE))))</f>
        <v>1120</v>
      </c>
      <c r="S1012" s="258">
        <f ca="1">IF(D1012="","",IF(OFFSET(D1012,-1,0)&lt;&gt;"","",IF(OR(J1012="リード付け",J1012="巻足し",J1012="巻返しリード付け"),M1012,VLOOKUP(D1012,契約台帳!$A$3:$O$4986,15,FALSE))))</f>
        <v>1120</v>
      </c>
      <c r="T1012" s="258">
        <f ca="1">IF(D1012="","",IF(J1012="リード付け",N1012,IF(J1012="巻返しリード付け",N1012,IF(J1012="巻足し",N1012*P1012+OFFSET(N1012,1,0)*OFFSET(P1012,1,0),VLOOKUP(D1012,契約台帳!$A$3:$P$4986,16,FALSE)))))</f>
        <v>10000</v>
      </c>
      <c r="U1012" s="38">
        <v>1</v>
      </c>
      <c r="V1012" s="259">
        <f ca="1">IF(D1012="","",IF(OFFSET(D1012,-2,0)=D1012,"",VLOOKUP(D1012,契約台帳!$A$3:$R$4986,18,FALSE)))</f>
        <v>2</v>
      </c>
      <c r="W1012" s="256" t="str">
        <f ca="1">IF(D1012="","",IF(T1012="","",IF(OR(J1012="巻足し",J1012="巻返しリード付け"),"",IF(J1012="巻返し",VLOOKUP(F1012&amp;K1012&amp;M1012,製品マスタ!$M$5:$AD$4999,18,FALSE),IF(OR(J1012="リード付け",J1012="巻返しリード付け"),"原反コア",IF(J1012="スリット",VLOOKUP(F1012&amp;K1012&amp;R1012,製品マスタ!$N$5:$AD$4999,17,FALSE),""))))))</f>
        <v/>
      </c>
      <c r="X1012" s="256" t="str">
        <f ca="1">IF(D1012="","",IF(T1012="","",IF(J1012="巻足し","",IF(J1012="巻返し",VLOOKUP(F1012&amp;K1012&amp;M1012,製品マスタ!$M$5:$AE$4999,19,FALSE),IF(OR(J1012="リード付け",J1012="巻返しリード付け"),"",IF(J1012="スリット",VLOOKUP(F1012&amp;K1012&amp;R1012,製品マスタ!$N$5:$AE$4999,18,FALSE),""))))))</f>
        <v/>
      </c>
      <c r="Y1012" s="256">
        <f ca="1">IF(D1012="","",IF(T1012="","",VLOOKUP(D1012,契約台帳!$A$3:$Q$4986,17,FALSE)))</f>
        <v>2</v>
      </c>
      <c r="Z1012" s="256" t="str">
        <f ca="1">IF(D1012="","",IF(T1012="","",VLOOKUP(D1012,契約台帳!$A$3:$E$4986,5,FALSE)))</f>
        <v>リンテック㈱</v>
      </c>
      <c r="AA1012" s="54"/>
      <c r="AB1012" s="200" t="str">
        <f>IFERROR((VLOOKUP(F1012&amp;K1012&amp;M1012,製品マスタ!$M$5:$AM$4999,27,FALSE)),"")</f>
        <v>原反ケース再利用</v>
      </c>
      <c r="AC1012" s="31"/>
      <c r="AD1012" s="184"/>
      <c r="AE1012" s="51"/>
      <c r="AF1012" s="52">
        <f>+M1012*N1012*O1012/1000</f>
        <v>11200</v>
      </c>
      <c r="AG1012" s="41"/>
      <c r="AH1012" s="45"/>
      <c r="AI1012" s="28"/>
      <c r="AJ1012" s="28"/>
      <c r="AK1012" s="28"/>
      <c r="AL1012" s="28"/>
      <c r="AM1012" s="12"/>
      <c r="AN1012" s="12"/>
      <c r="AO1012" s="12"/>
      <c r="AP1012" s="12"/>
      <c r="AQ1012" s="12"/>
      <c r="AR1012" s="13"/>
      <c r="AS1012" s="14"/>
    </row>
    <row r="1013" spans="1:45" s="16" customFormat="1" ht="30.95" hidden="1" customHeight="1" x14ac:dyDescent="0.2">
      <c r="A1013" s="35"/>
      <c r="B1013" s="36"/>
      <c r="C1013" s="43"/>
      <c r="D1013" s="29"/>
      <c r="E1013" s="29"/>
      <c r="F1013" s="255"/>
      <c r="G1013" s="256"/>
      <c r="H1013" s="256"/>
      <c r="I1013" s="200"/>
      <c r="J1013" s="203"/>
      <c r="K1013" s="200"/>
      <c r="L1013" s="200"/>
      <c r="M1013" s="37"/>
      <c r="N1013" s="37"/>
      <c r="O1013" s="153"/>
      <c r="P1013" s="45"/>
      <c r="Q1013" s="54"/>
      <c r="R1013" s="260"/>
      <c r="S1013" s="258"/>
      <c r="T1013" s="258"/>
      <c r="U1013" s="38"/>
      <c r="V1013" s="261"/>
      <c r="W1013" s="256"/>
      <c r="X1013" s="256"/>
      <c r="Y1013" s="256"/>
      <c r="Z1013" s="256"/>
      <c r="AA1013" s="54"/>
      <c r="AB1013" s="200"/>
      <c r="AC1013" s="31"/>
      <c r="AD1013" s="184"/>
      <c r="AE1013" s="51"/>
      <c r="AF1013" s="52"/>
      <c r="AG1013" s="41"/>
      <c r="AH1013" s="207"/>
      <c r="AI1013" s="28"/>
      <c r="AJ1013" s="28"/>
      <c r="AK1013" s="28"/>
      <c r="AL1013" s="28"/>
      <c r="AM1013" s="12"/>
      <c r="AN1013" s="12"/>
      <c r="AO1013" s="12"/>
      <c r="AP1013" s="12"/>
      <c r="AQ1013" s="12"/>
      <c r="AR1013" s="13"/>
      <c r="AS1013" s="14"/>
    </row>
    <row r="1014" spans="1:45" s="16" customFormat="1" ht="30.95" hidden="1" customHeight="1" x14ac:dyDescent="0.2">
      <c r="A1014" s="35"/>
      <c r="B1014" s="36"/>
      <c r="C1014" s="43"/>
      <c r="D1014" s="29">
        <v>3723650</v>
      </c>
      <c r="E1014" s="29">
        <v>4162040</v>
      </c>
      <c r="F1014" s="255" t="str">
        <f>IF(D1014="","",VLOOKUP(D1014,契約台帳!$A$3:$K$4986,6,FALSE)&amp;VLOOKUP(D1014,契約台帳!$A$3:$K$4986,7,FALSE)&amp;VLOOKUP(D1014,契約台帳!$A$3:$K$4986,8,FALSE)&amp;VLOOKUP(D1014,契約台帳!$A$3:$K$4986,9,FALSE)&amp;VLOOKUP(D1014,契約台帳!$A$3:$K$4986,11,FALSE))</f>
        <v>3SYMLBMSBBF</v>
      </c>
      <c r="G1014" s="256" t="str">
        <f>IF(D1014="","",VLOOKUP(F1014,製品マスタ!$G$5:$H$4999,2,FALSE))</f>
        <v>S</v>
      </c>
      <c r="H1014" s="256" t="str">
        <f>IF(D1014="","",VLOOKUP(F1014,製品マスタ!$G$5:$K$4999,5,FALSE))</f>
        <v>MSBBF</v>
      </c>
      <c r="I1014" s="200" t="str">
        <f>IF(D1014="","",VLOOKUP(F1014,製品マスタ!$G$5:$L$4999,6,FALSE))</f>
        <v>ＭＥＴＡＬＵＭＹ　ＳＩＬＶＥＲ　ＢＲＩＧＨＴ　Ｔ６２Ｍ　Ｂ</v>
      </c>
      <c r="J1014" s="203" t="s">
        <v>935</v>
      </c>
      <c r="K1014" s="200">
        <f>IF(D1014="","",VLOOKUP(D1014,契約台帳!$A$3:$L$4986,12,FALSE))</f>
        <v>50</v>
      </c>
      <c r="L1014" s="200" t="str">
        <f>IF(D1014="","",INDEX(製品マスタ!$Q$5:$Q$4999,MATCH('S4'!F1014&amp;'S4'!K1014,製品マスタ!$AO$5:$AO$4999,0)))</f>
        <v>T62</v>
      </c>
      <c r="M1014" s="37">
        <v>1120</v>
      </c>
      <c r="N1014" s="37">
        <v>5000</v>
      </c>
      <c r="O1014" s="153">
        <v>2</v>
      </c>
      <c r="P1014" s="45">
        <v>2</v>
      </c>
      <c r="Q1014" s="206">
        <v>45173</v>
      </c>
      <c r="R1014" s="257">
        <f ca="1">IF(D1014="","",IF(OFFSET(D1014,-1,0)&lt;&gt;"","",IF(OR(J1014="リード付け",J1014="巻足し",J1014="巻返しリード付け"),M1014,VLOOKUP(D1014,契約台帳!$A$3:$N$4986,14,FALSE))))</f>
        <v>1120</v>
      </c>
      <c r="S1014" s="258">
        <f ca="1">IF(D1014="","",IF(OFFSET(D1014,-1,0)&lt;&gt;"","",IF(OR(J1014="リード付け",J1014="巻足し",J1014="巻返しリード付け"),M1014,VLOOKUP(D1014,契約台帳!$A$3:$O$4986,15,FALSE))))</f>
        <v>1120</v>
      </c>
      <c r="T1014" s="258">
        <f ca="1">IF(D1014="","",IF(J1014="リード付け",N1014,IF(J1014="巻返しリード付け",N1014,IF(J1014="巻足し",N1014*P1014+OFFSET(N1014,1,0)*OFFSET(P1014,1,0),VLOOKUP(D1014,契約台帳!$A$3:$P$4986,16,FALSE)))))</f>
        <v>10000</v>
      </c>
      <c r="U1014" s="38">
        <v>1</v>
      </c>
      <c r="V1014" s="259">
        <f ca="1">IF(D1014="","",IF(OFFSET(D1014,-2,0)=D1014,"",VLOOKUP(D1014,契約台帳!$A$3:$R$4986,18,FALSE)))</f>
        <v>2</v>
      </c>
      <c r="W1014" s="256" t="str">
        <f ca="1">IF(D1014="","",IF(T1014="","",IF(OR(J1014="巻足し",J1014="巻返しリード付け"),"",IF(J1014="巻返し",VLOOKUP(F1014&amp;K1014&amp;M1014,製品マスタ!$M$5:$AD$4999,18,FALSE),IF(OR(J1014="リード付け",J1014="巻返しリード付け"),"原反コア",IF(J1014="スリット",VLOOKUP(F1014&amp;K1014&amp;R1014,製品マスタ!$N$5:$AD$4999,17,FALSE),""))))))</f>
        <v/>
      </c>
      <c r="X1014" s="256" t="str">
        <f ca="1">IF(D1014="","",IF(T1014="","",IF(J1014="巻足し","",IF(J1014="巻返し",VLOOKUP(F1014&amp;K1014&amp;M1014,製品マスタ!$M$5:$AE$4999,19,FALSE),IF(OR(J1014="リード付け",J1014="巻返しリード付け"),"",IF(J1014="スリット",VLOOKUP(F1014&amp;K1014&amp;R1014,製品マスタ!$N$5:$AE$4999,18,FALSE),""))))))</f>
        <v/>
      </c>
      <c r="Y1014" s="256">
        <f ca="1">IF(D1014="","",IF(T1014="","",VLOOKUP(D1014,契約台帳!$A$3:$Q$4986,17,FALSE)))</f>
        <v>2</v>
      </c>
      <c r="Z1014" s="256" t="str">
        <f ca="1">IF(D1014="","",IF(T1014="","",VLOOKUP(D1014,契約台帳!$A$3:$E$4986,5,FALSE)))</f>
        <v>リンテック㈱</v>
      </c>
      <c r="AA1014" s="54"/>
      <c r="AB1014" s="200" t="str">
        <f>IFERROR((VLOOKUP(F1014&amp;K1014&amp;M1014,製品マスタ!$M$5:$AM$4999,27,FALSE)),"")</f>
        <v>原反ケース再利用</v>
      </c>
      <c r="AC1014" s="31"/>
      <c r="AD1014" s="184"/>
      <c r="AE1014" s="51"/>
      <c r="AF1014" s="52">
        <f>+M1014*N1014*O1014/1000</f>
        <v>11200</v>
      </c>
      <c r="AG1014" s="41"/>
      <c r="AH1014" s="45"/>
      <c r="AI1014" s="28"/>
      <c r="AJ1014" s="28"/>
      <c r="AK1014" s="28"/>
      <c r="AL1014" s="28"/>
      <c r="AM1014" s="12"/>
      <c r="AN1014" s="12"/>
      <c r="AO1014" s="12"/>
      <c r="AP1014" s="12"/>
      <c r="AQ1014" s="12"/>
      <c r="AR1014" s="13"/>
      <c r="AS1014" s="14"/>
    </row>
    <row r="1015" spans="1:45" s="16" customFormat="1" ht="30.95" hidden="1" customHeight="1" x14ac:dyDescent="0.2">
      <c r="A1015" s="35"/>
      <c r="B1015" s="36"/>
      <c r="C1015" s="43"/>
      <c r="D1015" s="29"/>
      <c r="E1015" s="29"/>
      <c r="F1015" s="255"/>
      <c r="G1015" s="256"/>
      <c r="H1015" s="256"/>
      <c r="I1015" s="200"/>
      <c r="J1015" s="203"/>
      <c r="K1015" s="200"/>
      <c r="L1015" s="200"/>
      <c r="M1015" s="37"/>
      <c r="N1015" s="37"/>
      <c r="O1015" s="153"/>
      <c r="P1015" s="45"/>
      <c r="Q1015" s="54"/>
      <c r="R1015" s="260"/>
      <c r="S1015" s="258"/>
      <c r="T1015" s="258"/>
      <c r="U1015" s="38"/>
      <c r="V1015" s="261"/>
      <c r="W1015" s="256"/>
      <c r="X1015" s="256"/>
      <c r="Y1015" s="256"/>
      <c r="Z1015" s="256"/>
      <c r="AA1015" s="54"/>
      <c r="AB1015" s="200"/>
      <c r="AC1015" s="31"/>
      <c r="AD1015" s="184"/>
      <c r="AE1015" s="51"/>
      <c r="AF1015" s="52"/>
      <c r="AG1015" s="41"/>
      <c r="AH1015" s="207"/>
      <c r="AI1015" s="28"/>
      <c r="AJ1015" s="28"/>
      <c r="AK1015" s="28"/>
      <c r="AL1015" s="28"/>
      <c r="AM1015" s="12"/>
      <c r="AN1015" s="12"/>
      <c r="AO1015" s="12"/>
      <c r="AP1015" s="12"/>
      <c r="AQ1015" s="12"/>
      <c r="AR1015" s="13"/>
      <c r="AS1015" s="14"/>
    </row>
    <row r="1016" spans="1:45" s="16" customFormat="1" ht="30.95" hidden="1" customHeight="1" x14ac:dyDescent="0.2">
      <c r="A1016" s="35"/>
      <c r="B1016" s="36"/>
      <c r="C1016" s="43"/>
      <c r="D1016" s="29">
        <v>3723630</v>
      </c>
      <c r="E1016" s="29">
        <v>4162031</v>
      </c>
      <c r="F1016" s="255" t="str">
        <f>IF(D1016="","",VLOOKUP(D1016,契約台帳!$A$3:$K$4986,6,FALSE)&amp;VLOOKUP(D1016,契約台帳!$A$3:$K$4986,7,FALSE)&amp;VLOOKUP(D1016,契約台帳!$A$3:$K$4986,8,FALSE)&amp;VLOOKUP(D1016,契約台帳!$A$3:$K$4986,9,FALSE)&amp;VLOOKUP(D1016,契約台帳!$A$3:$K$4986,11,FALSE))</f>
        <v>3SNMLBMNGKKBF</v>
      </c>
      <c r="G1016" s="256" t="str">
        <f>IF(D1016="","",VLOOKUP(F1016,製品マスタ!$G$5:$H$4999,2,FALSE))</f>
        <v>S</v>
      </c>
      <c r="H1016" s="256" t="str">
        <f>IF(D1016="","",VLOOKUP(F1016,製品マスタ!$G$5:$K$4999,5,FALSE))</f>
        <v>MNGKKBF</v>
      </c>
      <c r="I1016" s="200" t="str">
        <f>IF(D1016="","",VLOOKUP(F1016,製品マスタ!$G$5:$L$4999,6,FALSE))</f>
        <v>メタルミー　ネーマー銀消改　Ｂ</v>
      </c>
      <c r="J1016" s="203" t="s">
        <v>935</v>
      </c>
      <c r="K1016" s="200">
        <f>IF(D1016="","",VLOOKUP(D1016,契約台帳!$A$3:$L$4986,12,FALSE))</f>
        <v>50</v>
      </c>
      <c r="L1016" s="200" t="str">
        <f>IF(D1016="","",INDEX(製品マスタ!$Q$5:$Q$4999,MATCH('S4'!F1016&amp;'S4'!K1016,製品マスタ!$AO$5:$AO$4999,0)))</f>
        <v>S99-MAT</v>
      </c>
      <c r="M1016" s="37">
        <v>1120</v>
      </c>
      <c r="N1016" s="37">
        <v>4000</v>
      </c>
      <c r="O1016" s="153">
        <v>9</v>
      </c>
      <c r="P1016" s="45">
        <v>3</v>
      </c>
      <c r="Q1016" s="206">
        <v>45177</v>
      </c>
      <c r="R1016" s="257">
        <f ca="1">IF(D1016="","",IF(OFFSET(D1016,-1,0)&lt;&gt;"","",IF(OR(J1016="リード付け",J1016="巻足し",J1016="巻返しリード付け"),M1016,VLOOKUP(D1016,契約台帳!$A$3:$N$4986,14,FALSE))))</f>
        <v>1120</v>
      </c>
      <c r="S1016" s="258">
        <f ca="1">IF(D1016="","",IF(OFFSET(D1016,-1,0)&lt;&gt;"","",IF(OR(J1016="リード付け",J1016="巻足し",J1016="巻返しリード付け"),M1016,VLOOKUP(D1016,契約台帳!$A$3:$O$4986,15,FALSE))))</f>
        <v>1120</v>
      </c>
      <c r="T1016" s="258">
        <f ca="1">IF(D1016="","",IF(J1016="リード付け",N1016,IF(J1016="巻返しリード付け",N1016,IF(J1016="巻足し",N1016*P1016+OFFSET(N1016,1,0)*OFFSET(P1016,1,0),VLOOKUP(D1016,契約台帳!$A$3:$P$4986,16,FALSE)))))</f>
        <v>12000</v>
      </c>
      <c r="U1016" s="38">
        <v>3</v>
      </c>
      <c r="V1016" s="259">
        <f ca="1">IF(D1016="","",IF(OFFSET(D1016,-2,0)=D1016,"",VLOOKUP(D1016,契約台帳!$A$3:$R$4986,18,FALSE)))</f>
        <v>9</v>
      </c>
      <c r="W1016" s="256" t="str">
        <f ca="1">IF(D1016="","",IF(T1016="","",IF(OR(J1016="巻足し",J1016="巻返しリード付け"),"",IF(J1016="巻返し",VLOOKUP(F1016&amp;K1016&amp;M1016,製品マスタ!$M$5:$AD$4999,18,FALSE),IF(OR(J1016="リード付け",J1016="巻返しリード付け"),"原反コア",IF(J1016="スリット",VLOOKUP(F1016&amp;K1016&amp;R1016,製品マスタ!$N$5:$AD$4999,17,FALSE),""))))))</f>
        <v/>
      </c>
      <c r="X1016" s="256" t="str">
        <f ca="1">IF(D1016="","",IF(T1016="","",IF(J1016="巻足し","",IF(J1016="巻返し",VLOOKUP(F1016&amp;K1016&amp;M1016,製品マスタ!$M$5:$AE$4999,19,FALSE),IF(OR(J1016="リード付け",J1016="巻返しリード付け"),"",IF(J1016="スリット",VLOOKUP(F1016&amp;K1016&amp;R1016,製品マスタ!$N$5:$AE$4999,18,FALSE),""))))))</f>
        <v/>
      </c>
      <c r="Y1016" s="256">
        <f ca="1">IF(D1016="","",IF(T1016="","",VLOOKUP(D1016,契約台帳!$A$3:$Q$4986,17,FALSE)))</f>
        <v>2</v>
      </c>
      <c r="Z1016" s="256" t="str">
        <f ca="1">IF(D1016="","",IF(T1016="","",VLOOKUP(D1016,契約台帳!$A$3:$E$4986,5,FALSE)))</f>
        <v>リンテック㈱</v>
      </c>
      <c r="AA1016" s="54"/>
      <c r="AB1016" s="200">
        <f>IFERROR((VLOOKUP(F1016&amp;K1016&amp;M1016,製品マスタ!$M$5:$AM$4999,27,FALSE)),"")</f>
        <v>0</v>
      </c>
      <c r="AC1016" s="31"/>
      <c r="AD1016" s="184"/>
      <c r="AE1016" s="51"/>
      <c r="AF1016" s="52">
        <f>+M1016*N1016*O1016/1000</f>
        <v>40320</v>
      </c>
      <c r="AG1016" s="41"/>
      <c r="AH1016" s="45"/>
      <c r="AI1016" s="28"/>
      <c r="AJ1016" s="28"/>
      <c r="AK1016" s="28"/>
      <c r="AL1016" s="28"/>
      <c r="AM1016" s="12"/>
      <c r="AN1016" s="12"/>
      <c r="AO1016" s="12"/>
      <c r="AP1016" s="12"/>
      <c r="AQ1016" s="12"/>
      <c r="AR1016" s="13"/>
      <c r="AS1016" s="14"/>
    </row>
    <row r="1017" spans="1:45" s="16" customFormat="1" ht="30.95" hidden="1" customHeight="1" x14ac:dyDescent="0.2">
      <c r="A1017" s="35"/>
      <c r="B1017" s="36"/>
      <c r="C1017" s="43"/>
      <c r="D1017" s="29"/>
      <c r="E1017" s="29"/>
      <c r="F1017" s="255"/>
      <c r="G1017" s="256"/>
      <c r="H1017" s="256"/>
      <c r="I1017" s="200"/>
      <c r="J1017" s="203"/>
      <c r="K1017" s="200"/>
      <c r="L1017" s="200"/>
      <c r="M1017" s="37"/>
      <c r="N1017" s="37"/>
      <c r="O1017" s="153"/>
      <c r="P1017" s="45"/>
      <c r="Q1017" s="54"/>
      <c r="R1017" s="260"/>
      <c r="S1017" s="258"/>
      <c r="T1017" s="258"/>
      <c r="U1017" s="38"/>
      <c r="V1017" s="261"/>
      <c r="W1017" s="256"/>
      <c r="X1017" s="256"/>
      <c r="Y1017" s="256"/>
      <c r="Z1017" s="256"/>
      <c r="AA1017" s="54"/>
      <c r="AB1017" s="200"/>
      <c r="AC1017" s="31"/>
      <c r="AD1017" s="184"/>
      <c r="AE1017" s="51"/>
      <c r="AF1017" s="52"/>
      <c r="AG1017" s="41"/>
      <c r="AH1017" s="207"/>
      <c r="AI1017" s="28"/>
      <c r="AJ1017" s="28"/>
      <c r="AK1017" s="28"/>
      <c r="AL1017" s="28"/>
      <c r="AM1017" s="12"/>
      <c r="AN1017" s="12"/>
      <c r="AO1017" s="12"/>
      <c r="AP1017" s="12"/>
      <c r="AQ1017" s="12"/>
      <c r="AR1017" s="13"/>
      <c r="AS1017" s="14"/>
    </row>
    <row r="1018" spans="1:45" s="16" customFormat="1" ht="30.95" hidden="1" customHeight="1" x14ac:dyDescent="0.2">
      <c r="A1018" s="35"/>
      <c r="B1018" s="36"/>
      <c r="C1018" s="43"/>
      <c r="D1018" s="29">
        <v>3723627</v>
      </c>
      <c r="E1018" s="29">
        <v>4162058</v>
      </c>
      <c r="F1018" s="255" t="str">
        <f>IF(D1018="","",VLOOKUP(D1018,契約台帳!$A$3:$K$4986,6,FALSE)&amp;VLOOKUP(D1018,契約台帳!$A$3:$K$4986,7,FALSE)&amp;VLOOKUP(D1018,契約台帳!$A$3:$K$4986,8,FALSE)&amp;VLOOKUP(D1018,契約台帳!$A$3:$K$4986,9,FALSE)&amp;VLOOKUP(D1018,契約台帳!$A$3:$K$4986,11,FALSE))</f>
        <v>3SNMLBMNGKKBF</v>
      </c>
      <c r="G1018" s="256" t="str">
        <f>IF(D1018="","",VLOOKUP(F1018,製品マスタ!$G$5:$H$4999,2,FALSE))</f>
        <v>S</v>
      </c>
      <c r="H1018" s="256" t="str">
        <f>IF(D1018="","",VLOOKUP(F1018,製品マスタ!$G$5:$K$4999,5,FALSE))</f>
        <v>MNGKKBF</v>
      </c>
      <c r="I1018" s="200" t="str">
        <f>IF(D1018="","",VLOOKUP(F1018,製品マスタ!$G$5:$L$4999,6,FALSE))</f>
        <v>メタルミー　ネーマー銀消改　Ｂ</v>
      </c>
      <c r="J1018" s="203" t="s">
        <v>935</v>
      </c>
      <c r="K1018" s="200">
        <f>IF(D1018="","",VLOOKUP(D1018,契約台帳!$A$3:$L$4986,12,FALSE))</f>
        <v>25</v>
      </c>
      <c r="L1018" s="200" t="str">
        <f>IF(D1018="","",INDEX(製品マスタ!$Q$5:$Q$4999,MATCH('S4'!F1018&amp;'S4'!K1018,製品マスタ!$AO$5:$AO$4999,0)))</f>
        <v>FMATS99</v>
      </c>
      <c r="M1018" s="37">
        <v>1120</v>
      </c>
      <c r="N1018" s="37">
        <v>4000</v>
      </c>
      <c r="O1018" s="153">
        <v>4</v>
      </c>
      <c r="P1018" s="45">
        <v>2</v>
      </c>
      <c r="Q1018" s="206">
        <v>45177</v>
      </c>
      <c r="R1018" s="257">
        <f ca="1">IF(D1018="","",IF(OFFSET(D1018,-1,0)&lt;&gt;"","",IF(OR(J1018="リード付け",J1018="巻足し",J1018="巻返しリード付け"),M1018,VLOOKUP(D1018,契約台帳!$A$3:$N$4986,14,FALSE))))</f>
        <v>1120</v>
      </c>
      <c r="S1018" s="258">
        <f ca="1">IF(D1018="","",IF(OFFSET(D1018,-1,0)&lt;&gt;"","",IF(OR(J1018="リード付け",J1018="巻足し",J1018="巻返しリード付け"),M1018,VLOOKUP(D1018,契約台帳!$A$3:$O$4986,15,FALSE))))</f>
        <v>1120</v>
      </c>
      <c r="T1018" s="258">
        <f ca="1">IF(D1018="","",IF(J1018="リード付け",N1018,IF(J1018="巻返しリード付け",N1018,IF(J1018="巻足し",N1018*P1018+OFFSET(N1018,1,0)*OFFSET(P1018,1,0),VLOOKUP(D1018,契約台帳!$A$3:$P$4986,16,FALSE)))))</f>
        <v>8000</v>
      </c>
      <c r="U1018" s="38">
        <v>2</v>
      </c>
      <c r="V1018" s="259">
        <f ca="1">IF(D1018="","",IF(OFFSET(D1018,-2,0)=D1018,"",VLOOKUP(D1018,契約台帳!$A$3:$R$4986,18,FALSE)))</f>
        <v>4</v>
      </c>
      <c r="W1018" s="256" t="str">
        <f ca="1">IF(D1018="","",IF(T1018="","",IF(OR(J1018="巻足し",J1018="巻返しリード付け"),"",IF(J1018="巻返し",VLOOKUP(F1018&amp;K1018&amp;M1018,製品マスタ!$M$5:$AD$4999,18,FALSE),IF(OR(J1018="リード付け",J1018="巻返しリード付け"),"原反コア",IF(J1018="スリット",VLOOKUP(F1018&amp;K1018&amp;R1018,製品マスタ!$N$5:$AD$4999,17,FALSE),""))))))</f>
        <v/>
      </c>
      <c r="X1018" s="256" t="str">
        <f ca="1">IF(D1018="","",IF(T1018="","",IF(J1018="巻足し","",IF(J1018="巻返し",VLOOKUP(F1018&amp;K1018&amp;M1018,製品マスタ!$M$5:$AE$4999,19,FALSE),IF(OR(J1018="リード付け",J1018="巻返しリード付け"),"",IF(J1018="スリット",VLOOKUP(F1018&amp;K1018&amp;R1018,製品マスタ!$N$5:$AE$4999,18,FALSE),""))))))</f>
        <v/>
      </c>
      <c r="Y1018" s="256">
        <f ca="1">IF(D1018="","",IF(T1018="","",VLOOKUP(D1018,契約台帳!$A$3:$Q$4986,17,FALSE)))</f>
        <v>2</v>
      </c>
      <c r="Z1018" s="256" t="str">
        <f ca="1">IF(D1018="","",IF(T1018="","",VLOOKUP(D1018,契約台帳!$A$3:$E$4986,5,FALSE)))</f>
        <v>リンテック㈱</v>
      </c>
      <c r="AA1018" s="54"/>
      <c r="AB1018" s="200">
        <f>IFERROR((VLOOKUP(F1018&amp;K1018&amp;M1018,製品マスタ!$M$5:$AM$4999,27,FALSE)),"")</f>
        <v>0</v>
      </c>
      <c r="AC1018" s="31"/>
      <c r="AD1018" s="184"/>
      <c r="AE1018" s="51"/>
      <c r="AF1018" s="52">
        <f>+M1018*N1018*O1018/1000</f>
        <v>17920</v>
      </c>
      <c r="AG1018" s="41"/>
      <c r="AH1018" s="45"/>
      <c r="AI1018" s="28"/>
      <c r="AJ1018" s="28"/>
      <c r="AK1018" s="28"/>
      <c r="AL1018" s="28"/>
      <c r="AM1018" s="12"/>
      <c r="AN1018" s="12"/>
      <c r="AO1018" s="12"/>
      <c r="AP1018" s="12"/>
      <c r="AQ1018" s="12"/>
      <c r="AR1018" s="13"/>
      <c r="AS1018" s="14"/>
    </row>
    <row r="1019" spans="1:45" s="16" customFormat="1" ht="30.95" hidden="1" customHeight="1" x14ac:dyDescent="0.2">
      <c r="A1019" s="35"/>
      <c r="B1019" s="36"/>
      <c r="C1019" s="43"/>
      <c r="D1019" s="29"/>
      <c r="E1019" s="29"/>
      <c r="F1019" s="255"/>
      <c r="G1019" s="256"/>
      <c r="H1019" s="256"/>
      <c r="I1019" s="200"/>
      <c r="J1019" s="203"/>
      <c r="K1019" s="200"/>
      <c r="L1019" s="200"/>
      <c r="M1019" s="37"/>
      <c r="N1019" s="37"/>
      <c r="O1019" s="153"/>
      <c r="P1019" s="45"/>
      <c r="Q1019" s="54"/>
      <c r="R1019" s="260"/>
      <c r="S1019" s="258"/>
      <c r="T1019" s="258"/>
      <c r="U1019" s="38"/>
      <c r="V1019" s="261"/>
      <c r="W1019" s="256"/>
      <c r="X1019" s="256"/>
      <c r="Y1019" s="256"/>
      <c r="Z1019" s="256"/>
      <c r="AA1019" s="54"/>
      <c r="AB1019" s="200"/>
      <c r="AC1019" s="31"/>
      <c r="AD1019" s="184"/>
      <c r="AE1019" s="51"/>
      <c r="AF1019" s="52"/>
      <c r="AG1019" s="41"/>
      <c r="AH1019" s="207"/>
      <c r="AI1019" s="28"/>
      <c r="AJ1019" s="28"/>
      <c r="AK1019" s="28"/>
      <c r="AL1019" s="28"/>
      <c r="AM1019" s="12"/>
      <c r="AN1019" s="12"/>
      <c r="AO1019" s="12"/>
      <c r="AP1019" s="12"/>
      <c r="AQ1019" s="12"/>
      <c r="AR1019" s="13"/>
      <c r="AS1019" s="14"/>
    </row>
    <row r="1020" spans="1:45" s="16" customFormat="1" ht="30.95" hidden="1" customHeight="1" x14ac:dyDescent="0.2">
      <c r="A1020" s="35" t="s">
        <v>557</v>
      </c>
      <c r="B1020" s="36" t="s">
        <v>688</v>
      </c>
      <c r="C1020" s="43"/>
      <c r="D1020" s="29">
        <v>3724503</v>
      </c>
      <c r="E1020" s="29">
        <v>4162050</v>
      </c>
      <c r="F1020" s="255" t="str">
        <f>IF(D1020="","",VLOOKUP(D1020,契約台帳!$A$3:$K$4986,6,FALSE)&amp;VLOOKUP(D1020,契約台帳!$A$3:$K$4986,7,FALSE)&amp;VLOOKUP(D1020,契約台帳!$A$3:$K$4986,8,FALSE)&amp;VLOOKUP(D1020,契約台帳!$A$3:$K$4986,9,FALSE)&amp;VLOOKUP(D1020,契約台帳!$A$3:$K$4986,11,FALSE))</f>
        <v>3SNMCLBNGKEYKB</v>
      </c>
      <c r="G1020" s="256" t="str">
        <f>IF(D1020="","",VLOOKUP(F1020,製品マスタ!$G$5:$H$4999,2,FALSE))</f>
        <v>S</v>
      </c>
      <c r="H1020" s="256" t="str">
        <f>IF(D1020="","",VLOOKUP(F1020,製品マスタ!$G$5:$K$4999,5,FALSE))</f>
        <v>NGKEYKB</v>
      </c>
      <c r="I1020" s="200" t="str">
        <f>IF(D1020="","",VLOOKUP(F1020,製品マスタ!$G$5:$L$4999,6,FALSE))</f>
        <v>メタルミー　ネーマー銀消ＥＹＫ　Ｂ</v>
      </c>
      <c r="J1020" s="203" t="s">
        <v>464</v>
      </c>
      <c r="K1020" s="200">
        <f>IF(D1020="","",VLOOKUP(D1020,契約台帳!$A$3:$L$4986,12,FALSE))</f>
        <v>16</v>
      </c>
      <c r="L1020" s="200" t="str">
        <f>IF(D1020="","",INDEX(製品マスタ!$Q$5:$Q$4999,MATCH('S4'!F1020&amp;'S4'!K1020,製品マスタ!$AO$5:$AO$4999,0)))</f>
        <v>LUMIMAT</v>
      </c>
      <c r="M1020" s="37">
        <v>1005</v>
      </c>
      <c r="N1020" s="37">
        <v>3200</v>
      </c>
      <c r="O1020" s="153">
        <v>1</v>
      </c>
      <c r="P1020" s="45">
        <v>1</v>
      </c>
      <c r="Q1020" s="206">
        <v>45177</v>
      </c>
      <c r="R1020" s="257">
        <f ca="1">IF(D1020="","",IF(OFFSET(D1020,-1,0)&lt;&gt;"","",IF(OR(J1020="リード付け",J1020="巻足し",J1020="巻返しリード付け"),M1020,VLOOKUP(D1020,契約台帳!$A$3:$N$4986,14,FALSE))))</f>
        <v>1005</v>
      </c>
      <c r="S1020" s="258">
        <f ca="1">IF(D1020="","",IF(OFFSET(D1020,-1,0)&lt;&gt;"","",IF(OR(J1020="リード付け",J1020="巻足し",J1020="巻返しリード付け"),M1020,VLOOKUP(D1020,契約台帳!$A$3:$O$4986,15,FALSE))))</f>
        <v>1005</v>
      </c>
      <c r="T1020" s="258">
        <f ca="1">IF(D1020="","",IF(J1020="リード付け",N1020,IF(J1020="巻返しリード付け",N1020,IF(J1020="巻足し",N1020*P1020+OFFSET(N1020,1,0)*OFFSET(P1020,1,0),VLOOKUP(D1020,契約台帳!$A$3:$P$4986,16,FALSE)))))</f>
        <v>3200</v>
      </c>
      <c r="U1020" s="38">
        <v>1</v>
      </c>
      <c r="V1020" s="259">
        <f ca="1">IF(D1020="","",IF(OFFSET(D1020,-2,0)=D1020,"",VLOOKUP(D1020,契約台帳!$A$3:$R$4986,18,FALSE)))</f>
        <v>1</v>
      </c>
      <c r="W1020" s="256" t="str">
        <f ca="1">IF(D1020="","",IF(T1020="","",IF(OR(J1020="巻足し",J1020="巻返しリード付け"),"",IF(J1020="巻返し",VLOOKUP(F1020&amp;K1020&amp;M1020,製品マスタ!$M$5:$AD$4999,18,FALSE),IF(OR(J1020="リード付け",J1020="巻返しリード付け"),"原反コア",IF(J1020="スリット",VLOOKUP(F1020&amp;K1020&amp;R1020,製品マスタ!$N$5:$AD$4999,17,FALSE),""))))))</f>
        <v>原反コア</v>
      </c>
      <c r="X1020" s="256" t="str">
        <f ca="1">IF(D1020="","",IF(T1020="","",IF(J1020="巻足し","",IF(J1020="巻返し",VLOOKUP(F1020&amp;K1020&amp;M1020,製品マスタ!$M$5:$AE$4999,19,FALSE),IF(OR(J1020="リード付け",J1020="巻返しリード付け"),"",IF(J1020="スリット",VLOOKUP(F1020&amp;K1020&amp;R1020,製品マスタ!$N$5:$AE$4999,18,FALSE),""))))))</f>
        <v/>
      </c>
      <c r="Y1020" s="256">
        <f ca="1">IF(D1020="","",IF(T1020="","",VLOOKUP(D1020,契約台帳!$A$3:$Q$4986,17,FALSE)))</f>
        <v>2</v>
      </c>
      <c r="Z1020" s="256" t="str">
        <f ca="1">IF(D1020="","",IF(T1020="","",VLOOKUP(D1020,契約台帳!$A$3:$E$4986,5,FALSE)))</f>
        <v>リンテック㈱</v>
      </c>
      <c r="AA1020" s="54"/>
      <c r="AB1020" s="200">
        <f>IFERROR((VLOOKUP(F1020&amp;K1020&amp;M1020,製品マスタ!$M$5:$AM$4999,27,FALSE)),"")</f>
        <v>0</v>
      </c>
      <c r="AC1020" s="31"/>
      <c r="AD1020" s="184"/>
      <c r="AE1020" s="51"/>
      <c r="AF1020" s="52">
        <f>+M1020*N1020*O1020/1000</f>
        <v>3216</v>
      </c>
      <c r="AG1020" s="41"/>
      <c r="AH1020" s="45"/>
      <c r="AI1020" s="28"/>
      <c r="AJ1020" s="28"/>
      <c r="AK1020" s="28"/>
      <c r="AL1020" s="28"/>
      <c r="AM1020" s="12"/>
      <c r="AN1020" s="12"/>
      <c r="AO1020" s="12"/>
      <c r="AP1020" s="12"/>
      <c r="AQ1020" s="12"/>
      <c r="AR1020" s="13"/>
      <c r="AS1020" s="14"/>
    </row>
    <row r="1021" spans="1:45" s="16" customFormat="1" ht="30.95" hidden="1" customHeight="1" x14ac:dyDescent="0.2">
      <c r="A1021" s="35"/>
      <c r="B1021" s="36"/>
      <c r="C1021" s="43"/>
      <c r="D1021" s="29"/>
      <c r="E1021" s="29"/>
      <c r="F1021" s="255"/>
      <c r="G1021" s="256"/>
      <c r="H1021" s="256"/>
      <c r="I1021" s="200"/>
      <c r="J1021" s="203"/>
      <c r="K1021" s="200"/>
      <c r="L1021" s="200"/>
      <c r="M1021" s="37"/>
      <c r="N1021" s="37"/>
      <c r="O1021" s="153"/>
      <c r="P1021" s="45"/>
      <c r="Q1021" s="54"/>
      <c r="R1021" s="260"/>
      <c r="S1021" s="258"/>
      <c r="T1021" s="258"/>
      <c r="U1021" s="38"/>
      <c r="V1021" s="261"/>
      <c r="W1021" s="256"/>
      <c r="X1021" s="256"/>
      <c r="Y1021" s="256"/>
      <c r="Z1021" s="256"/>
      <c r="AA1021" s="54"/>
      <c r="AB1021" s="200"/>
      <c r="AC1021" s="31"/>
      <c r="AD1021" s="184"/>
      <c r="AE1021" s="51"/>
      <c r="AF1021" s="52"/>
      <c r="AG1021" s="41"/>
      <c r="AH1021" s="207"/>
      <c r="AI1021" s="28"/>
      <c r="AJ1021" s="28"/>
      <c r="AK1021" s="28"/>
      <c r="AL1021" s="28"/>
      <c r="AM1021" s="12"/>
      <c r="AN1021" s="12"/>
      <c r="AO1021" s="12"/>
      <c r="AP1021" s="12"/>
      <c r="AQ1021" s="12"/>
      <c r="AR1021" s="13"/>
      <c r="AS1021" s="14"/>
    </row>
    <row r="1022" spans="1:45" s="16" customFormat="1" ht="30.95" hidden="1" customHeight="1" x14ac:dyDescent="0.2">
      <c r="A1022" s="35"/>
      <c r="B1022" s="36"/>
      <c r="C1022" s="43"/>
      <c r="D1022" s="29">
        <v>3723631</v>
      </c>
      <c r="E1022" s="29">
        <v>4162026</v>
      </c>
      <c r="F1022" s="255" t="str">
        <f>IF(D1022="","",VLOOKUP(D1022,契約台帳!$A$3:$K$4986,6,FALSE)&amp;VLOOKUP(D1022,契約台帳!$A$3:$K$4986,7,FALSE)&amp;VLOOKUP(D1022,契約台帳!$A$3:$K$4986,8,FALSE)&amp;VLOOKUP(D1022,契約台帳!$A$3:$K$4986,9,FALSE)&amp;VLOOKUP(D1022,契約台帳!$A$3:$K$4986,11,FALSE))</f>
        <v>3SNMLBMNGKBF</v>
      </c>
      <c r="G1022" s="256" t="str">
        <f>IF(D1022="","",VLOOKUP(F1022,製品マスタ!$G$5:$H$4999,2,FALSE))</f>
        <v>S</v>
      </c>
      <c r="H1022" s="256" t="str">
        <f>IF(D1022="","",VLOOKUP(F1022,製品マスタ!$G$5:$K$4999,5,FALSE))</f>
        <v>MNGKBF</v>
      </c>
      <c r="I1022" s="200" t="str">
        <f>IF(D1022="","",VLOOKUP(F1022,製品マスタ!$G$5:$L$4999,6,FALSE))</f>
        <v>メタルミー　ネーマー銀消　Ｂ</v>
      </c>
      <c r="J1022" s="203" t="s">
        <v>935</v>
      </c>
      <c r="K1022" s="200">
        <f>IF(D1022="","",VLOOKUP(D1022,契約台帳!$A$3:$L$4986,12,FALSE))</f>
        <v>38</v>
      </c>
      <c r="L1022" s="200" t="str">
        <f>IF(D1022="","",INDEX(製品マスタ!$Q$5:$Q$4999,MATCH('S4'!F1022&amp;'S4'!K1022,製品マスタ!$AO$5:$AO$4999,0)))</f>
        <v>LUMIMAT</v>
      </c>
      <c r="M1022" s="37">
        <v>1005</v>
      </c>
      <c r="N1022" s="37">
        <v>4100</v>
      </c>
      <c r="O1022" s="153">
        <v>2</v>
      </c>
      <c r="P1022" s="45">
        <v>2</v>
      </c>
      <c r="Q1022" s="206">
        <v>45177</v>
      </c>
      <c r="R1022" s="257">
        <f ca="1">IF(D1022="","",IF(OFFSET(D1022,-1,0)&lt;&gt;"","",IF(OR(J1022="リード付け",J1022="巻足し",J1022="巻返しリード付け"),M1022,VLOOKUP(D1022,契約台帳!$A$3:$N$4986,14,FALSE))))</f>
        <v>1005</v>
      </c>
      <c r="S1022" s="258">
        <f ca="1">IF(D1022="","",IF(OFFSET(D1022,-1,0)&lt;&gt;"","",IF(OR(J1022="リード付け",J1022="巻足し",J1022="巻返しリード付け"),M1022,VLOOKUP(D1022,契約台帳!$A$3:$O$4986,15,FALSE))))</f>
        <v>1005</v>
      </c>
      <c r="T1022" s="258">
        <f ca="1">IF(D1022="","",IF(J1022="リード付け",N1022,IF(J1022="巻返しリード付け",N1022,IF(J1022="巻足し",N1022*P1022+OFFSET(N1022,1,0)*OFFSET(P1022,1,0),VLOOKUP(D1022,契約台帳!$A$3:$P$4986,16,FALSE)))))</f>
        <v>8200</v>
      </c>
      <c r="U1022" s="38">
        <v>1</v>
      </c>
      <c r="V1022" s="259">
        <f ca="1">IF(D1022="","",IF(OFFSET(D1022,-2,0)=D1022,"",VLOOKUP(D1022,契約台帳!$A$3:$R$4986,18,FALSE)))</f>
        <v>2</v>
      </c>
      <c r="W1022" s="256" t="str">
        <f ca="1">IF(D1022="","",IF(T1022="","",IF(OR(J1022="巻足し",J1022="巻返しリード付け"),"",IF(J1022="巻返し",VLOOKUP(F1022&amp;K1022&amp;M1022,製品マスタ!$M$5:$AD$4999,18,FALSE),IF(OR(J1022="リード付け",J1022="巻返しリード付け"),"原反コア",IF(J1022="スリット",VLOOKUP(F1022&amp;K1022&amp;R1022,製品マスタ!$N$5:$AD$4999,17,FALSE),""))))))</f>
        <v/>
      </c>
      <c r="X1022" s="256" t="str">
        <f ca="1">IF(D1022="","",IF(T1022="","",IF(J1022="巻足し","",IF(J1022="巻返し",VLOOKUP(F1022&amp;K1022&amp;M1022,製品マスタ!$M$5:$AE$4999,19,FALSE),IF(OR(J1022="リード付け",J1022="巻返しリード付け"),"",IF(J1022="スリット",VLOOKUP(F1022&amp;K1022&amp;R1022,製品マスタ!$N$5:$AE$4999,18,FALSE),""))))))</f>
        <v/>
      </c>
      <c r="Y1022" s="256">
        <f ca="1">IF(D1022="","",IF(T1022="","",VLOOKUP(D1022,契約台帳!$A$3:$Q$4986,17,FALSE)))</f>
        <v>2</v>
      </c>
      <c r="Z1022" s="256" t="str">
        <f ca="1">IF(D1022="","",IF(T1022="","",VLOOKUP(D1022,契約台帳!$A$3:$E$4986,5,FALSE)))</f>
        <v>リンテック㈱</v>
      </c>
      <c r="AA1022" s="54"/>
      <c r="AB1022" s="200">
        <f>IFERROR((VLOOKUP(F1022&amp;K1022&amp;M1022,製品マスタ!$M$5:$AM$4999,27,FALSE)),"")</f>
        <v>0</v>
      </c>
      <c r="AC1022" s="31"/>
      <c r="AD1022" s="184"/>
      <c r="AE1022" s="51"/>
      <c r="AF1022" s="52">
        <f>+M1022*N1022*O1022/1000</f>
        <v>8241</v>
      </c>
      <c r="AG1022" s="41"/>
      <c r="AH1022" s="45"/>
      <c r="AI1022" s="28"/>
      <c r="AJ1022" s="28"/>
      <c r="AK1022" s="28"/>
      <c r="AL1022" s="28"/>
      <c r="AM1022" s="12"/>
      <c r="AN1022" s="12"/>
      <c r="AO1022" s="12"/>
      <c r="AP1022" s="12"/>
      <c r="AQ1022" s="12"/>
      <c r="AR1022" s="13"/>
      <c r="AS1022" s="14"/>
    </row>
    <row r="1023" spans="1:45" s="16" customFormat="1" ht="30.95" hidden="1" customHeight="1" x14ac:dyDescent="0.2">
      <c r="A1023" s="35"/>
      <c r="B1023" s="36"/>
      <c r="C1023" s="43"/>
      <c r="D1023" s="29"/>
      <c r="E1023" s="29"/>
      <c r="F1023" s="255"/>
      <c r="G1023" s="256"/>
      <c r="H1023" s="256"/>
      <c r="I1023" s="200"/>
      <c r="J1023" s="203"/>
      <c r="K1023" s="200"/>
      <c r="L1023" s="200"/>
      <c r="M1023" s="37"/>
      <c r="N1023" s="37"/>
      <c r="O1023" s="153"/>
      <c r="P1023" s="45"/>
      <c r="Q1023" s="54"/>
      <c r="R1023" s="260"/>
      <c r="S1023" s="258"/>
      <c r="T1023" s="258"/>
      <c r="U1023" s="38"/>
      <c r="V1023" s="261"/>
      <c r="W1023" s="256"/>
      <c r="X1023" s="256"/>
      <c r="Y1023" s="256"/>
      <c r="Z1023" s="256"/>
      <c r="AA1023" s="54"/>
      <c r="AB1023" s="200"/>
      <c r="AC1023" s="31"/>
      <c r="AD1023" s="184"/>
      <c r="AE1023" s="51"/>
      <c r="AF1023" s="52"/>
      <c r="AG1023" s="41"/>
      <c r="AH1023" s="207"/>
      <c r="AI1023" s="28"/>
      <c r="AJ1023" s="28"/>
      <c r="AK1023" s="28"/>
      <c r="AL1023" s="28"/>
      <c r="AM1023" s="12"/>
      <c r="AN1023" s="12"/>
      <c r="AO1023" s="12"/>
      <c r="AP1023" s="12"/>
      <c r="AQ1023" s="12"/>
      <c r="AR1023" s="13"/>
      <c r="AS1023" s="14"/>
    </row>
    <row r="1024" spans="1:45" s="16" customFormat="1" ht="30.95" hidden="1" customHeight="1" x14ac:dyDescent="0.2">
      <c r="A1024" s="35"/>
      <c r="B1024" s="36"/>
      <c r="C1024" s="43"/>
      <c r="D1024" s="29">
        <v>3723628</v>
      </c>
      <c r="E1024" s="29">
        <v>4162029</v>
      </c>
      <c r="F1024" s="255" t="str">
        <f>IF(D1024="","",VLOOKUP(D1024,契約台帳!$A$3:$K$4986,6,FALSE)&amp;VLOOKUP(D1024,契約台帳!$A$3:$K$4986,7,FALSE)&amp;VLOOKUP(D1024,契約台帳!$A$3:$K$4986,8,FALSE)&amp;VLOOKUP(D1024,契約台帳!$A$3:$K$4986,9,FALSE)&amp;VLOOKUP(D1024,契約台帳!$A$3:$K$4986,11,FALSE))</f>
        <v>3SNMLBMNGKKBF</v>
      </c>
      <c r="G1024" s="256" t="str">
        <f>IF(D1024="","",VLOOKUP(F1024,製品マスタ!$G$5:$H$4999,2,FALSE))</f>
        <v>S</v>
      </c>
      <c r="H1024" s="256" t="str">
        <f>IF(D1024="","",VLOOKUP(F1024,製品マスタ!$G$5:$K$4999,5,FALSE))</f>
        <v>MNGKKBF</v>
      </c>
      <c r="I1024" s="200" t="str">
        <f>IF(D1024="","",VLOOKUP(F1024,製品マスタ!$G$5:$L$4999,6,FALSE))</f>
        <v>メタルミー　ネーマー銀消改　Ｂ</v>
      </c>
      <c r="J1024" s="203" t="s">
        <v>935</v>
      </c>
      <c r="K1024" s="200">
        <f>IF(D1024="","",VLOOKUP(D1024,契約台帳!$A$3:$L$4986,12,FALSE))</f>
        <v>50</v>
      </c>
      <c r="L1024" s="200" t="str">
        <f>IF(D1024="","",INDEX(製品マスタ!$Q$5:$Q$4999,MATCH('S4'!F1024&amp;'S4'!K1024,製品マスタ!$AO$5:$AO$4999,0)))</f>
        <v>S99-MAT</v>
      </c>
      <c r="M1024" s="37">
        <v>1000</v>
      </c>
      <c r="N1024" s="37">
        <v>4000</v>
      </c>
      <c r="O1024" s="153">
        <v>2</v>
      </c>
      <c r="P1024" s="45">
        <v>2</v>
      </c>
      <c r="Q1024" s="206">
        <v>45177</v>
      </c>
      <c r="R1024" s="257">
        <f ca="1">IF(D1024="","",IF(OFFSET(D1024,-1,0)&lt;&gt;"","",IF(OR(J1024="リード付け",J1024="巻足し",J1024="巻返しリード付け"),M1024,VLOOKUP(D1024,契約台帳!$A$3:$N$4986,14,FALSE))))</f>
        <v>1000</v>
      </c>
      <c r="S1024" s="258">
        <f ca="1">IF(D1024="","",IF(OFFSET(D1024,-1,0)&lt;&gt;"","",IF(OR(J1024="リード付け",J1024="巻足し",J1024="巻返しリード付け"),M1024,VLOOKUP(D1024,契約台帳!$A$3:$O$4986,15,FALSE))))</f>
        <v>1000</v>
      </c>
      <c r="T1024" s="258">
        <f ca="1">IF(D1024="","",IF(J1024="リード付け",N1024,IF(J1024="巻返しリード付け",N1024,IF(J1024="巻足し",N1024*P1024+OFFSET(N1024,1,0)*OFFSET(P1024,1,0),VLOOKUP(D1024,契約台帳!$A$3:$P$4986,16,FALSE)))))</f>
        <v>8000</v>
      </c>
      <c r="U1024" s="38">
        <v>1</v>
      </c>
      <c r="V1024" s="259">
        <f ca="1">IF(D1024="","",IF(OFFSET(D1024,-2,0)=D1024,"",VLOOKUP(D1024,契約台帳!$A$3:$R$4986,18,FALSE)))</f>
        <v>2</v>
      </c>
      <c r="W1024" s="256" t="str">
        <f ca="1">IF(D1024="","",IF(T1024="","",IF(OR(J1024="巻足し",J1024="巻返しリード付け"),"",IF(J1024="巻返し",VLOOKUP(F1024&amp;K1024&amp;M1024,製品マスタ!$M$5:$AD$4999,18,FALSE),IF(OR(J1024="リード付け",J1024="巻返しリード付け"),"原反コア",IF(J1024="スリット",VLOOKUP(F1024&amp;K1024&amp;R1024,製品マスタ!$N$5:$AD$4999,17,FALSE),""))))))</f>
        <v/>
      </c>
      <c r="X1024" s="256" t="str">
        <f ca="1">IF(D1024="","",IF(T1024="","",IF(J1024="巻足し","",IF(J1024="巻返し",VLOOKUP(F1024&amp;K1024&amp;M1024,製品マスタ!$M$5:$AE$4999,19,FALSE),IF(OR(J1024="リード付け",J1024="巻返しリード付け"),"",IF(J1024="スリット",VLOOKUP(F1024&amp;K1024&amp;R1024,製品マスタ!$N$5:$AE$4999,18,FALSE),""))))))</f>
        <v/>
      </c>
      <c r="Y1024" s="256">
        <f ca="1">IF(D1024="","",IF(T1024="","",VLOOKUP(D1024,契約台帳!$A$3:$Q$4986,17,FALSE)))</f>
        <v>2</v>
      </c>
      <c r="Z1024" s="256" t="str">
        <f ca="1">IF(D1024="","",IF(T1024="","",VLOOKUP(D1024,契約台帳!$A$3:$E$4986,5,FALSE)))</f>
        <v>リンテック㈱</v>
      </c>
      <c r="AA1024" s="54"/>
      <c r="AB1024" s="200">
        <f>IFERROR((VLOOKUP(F1024&amp;K1024&amp;M1024,製品マスタ!$M$5:$AM$4999,27,FALSE)),"")</f>
        <v>0</v>
      </c>
      <c r="AC1024" s="31"/>
      <c r="AD1024" s="184"/>
      <c r="AE1024" s="51"/>
      <c r="AF1024" s="52">
        <f>+M1024*N1024*O1024/1000</f>
        <v>8000</v>
      </c>
      <c r="AG1024" s="41"/>
      <c r="AH1024" s="45"/>
      <c r="AI1024" s="28"/>
      <c r="AJ1024" s="28"/>
      <c r="AK1024" s="28"/>
      <c r="AL1024" s="28"/>
      <c r="AM1024" s="12"/>
      <c r="AN1024" s="12"/>
      <c r="AO1024" s="12"/>
      <c r="AP1024" s="12"/>
      <c r="AQ1024" s="12"/>
      <c r="AR1024" s="13"/>
      <c r="AS1024" s="14"/>
    </row>
    <row r="1025" spans="1:45" s="16" customFormat="1" ht="30.95" hidden="1" customHeight="1" x14ac:dyDescent="0.2">
      <c r="A1025" s="35"/>
      <c r="B1025" s="36"/>
      <c r="C1025" s="43"/>
      <c r="D1025" s="29"/>
      <c r="E1025" s="29"/>
      <c r="F1025" s="255"/>
      <c r="G1025" s="256"/>
      <c r="H1025" s="256"/>
      <c r="I1025" s="200"/>
      <c r="J1025" s="203"/>
      <c r="K1025" s="200"/>
      <c r="L1025" s="200"/>
      <c r="M1025" s="37"/>
      <c r="N1025" s="37"/>
      <c r="O1025" s="153"/>
      <c r="P1025" s="45"/>
      <c r="Q1025" s="54"/>
      <c r="R1025" s="260"/>
      <c r="S1025" s="258"/>
      <c r="T1025" s="258"/>
      <c r="U1025" s="38"/>
      <c r="V1025" s="261"/>
      <c r="W1025" s="256"/>
      <c r="X1025" s="256"/>
      <c r="Y1025" s="256"/>
      <c r="Z1025" s="256"/>
      <c r="AA1025" s="54"/>
      <c r="AB1025" s="200"/>
      <c r="AC1025" s="31"/>
      <c r="AD1025" s="184"/>
      <c r="AE1025" s="51"/>
      <c r="AF1025" s="52"/>
      <c r="AG1025" s="41"/>
      <c r="AH1025" s="207"/>
      <c r="AI1025" s="28"/>
      <c r="AJ1025" s="28"/>
      <c r="AK1025" s="28"/>
      <c r="AL1025" s="28"/>
      <c r="AM1025" s="12"/>
      <c r="AN1025" s="12"/>
      <c r="AO1025" s="12"/>
      <c r="AP1025" s="12"/>
      <c r="AQ1025" s="12"/>
      <c r="AR1025" s="13"/>
      <c r="AS1025" s="14"/>
    </row>
    <row r="1026" spans="1:45" s="16" customFormat="1" ht="30.95" hidden="1" customHeight="1" x14ac:dyDescent="0.2">
      <c r="A1026" s="35"/>
      <c r="B1026" s="36"/>
      <c r="C1026" s="43"/>
      <c r="D1026" s="29">
        <v>3723639</v>
      </c>
      <c r="E1026" s="29">
        <v>4162061</v>
      </c>
      <c r="F1026" s="255" t="str">
        <f>IF(D1026="","",VLOOKUP(D1026,契約台帳!$A$3:$K$4986,6,FALSE)&amp;VLOOKUP(D1026,契約台帳!$A$3:$K$4986,7,FALSE)&amp;VLOOKUP(D1026,契約台帳!$A$3:$K$4986,8,FALSE)&amp;VLOOKUP(D1026,契約台帳!$A$3:$K$4986,9,FALSE)&amp;VLOOKUP(D1026,契約台帳!$A$3:$K$4986,11,FALSE))</f>
        <v>3SNMLBMNNGKBF</v>
      </c>
      <c r="G1026" s="256" t="str">
        <f>IF(D1026="","",VLOOKUP(F1026,製品マスタ!$G$5:$H$4999,2,FALSE))</f>
        <v>S</v>
      </c>
      <c r="H1026" s="256" t="str">
        <f>IF(D1026="","",VLOOKUP(F1026,製品マスタ!$G$5:$K$4999,5,FALSE))</f>
        <v>MNNGKBF</v>
      </c>
      <c r="I1026" s="200" t="str">
        <f>IF(D1026="","",VLOOKUP(F1026,製品マスタ!$G$5:$L$4999,6,FALSE))</f>
        <v>メタルミー　ニューネーマー銀消　Ｂ</v>
      </c>
      <c r="J1026" s="203" t="s">
        <v>935</v>
      </c>
      <c r="K1026" s="200">
        <f>IF(D1026="","",VLOOKUP(D1026,契約台帳!$A$3:$L$4986,12,FALSE))</f>
        <v>50</v>
      </c>
      <c r="L1026" s="200" t="str">
        <f>IF(D1026="","",INDEX(製品マスタ!$Q$5:$Q$4999,MATCH('S4'!F1026&amp;'S4'!K1026,製品マスタ!$AO$5:$AO$4999,0)))</f>
        <v>X44</v>
      </c>
      <c r="M1026" s="37">
        <v>1000</v>
      </c>
      <c r="N1026" s="37">
        <v>4000</v>
      </c>
      <c r="O1026" s="153">
        <v>6</v>
      </c>
      <c r="P1026" s="45">
        <v>3</v>
      </c>
      <c r="Q1026" s="206">
        <v>45175</v>
      </c>
      <c r="R1026" s="257">
        <f ca="1">IF(D1026="","",IF(OFFSET(D1026,-1,0)&lt;&gt;"","",IF(OR(J1026="リード付け",J1026="巻足し",J1026="巻返しリード付け"),M1026,VLOOKUP(D1026,契約台帳!$A$3:$N$4986,14,FALSE))))</f>
        <v>1000</v>
      </c>
      <c r="S1026" s="258">
        <f ca="1">IF(D1026="","",IF(OFFSET(D1026,-1,0)&lt;&gt;"","",IF(OR(J1026="リード付け",J1026="巻足し",J1026="巻返しリード付け"),M1026,VLOOKUP(D1026,契約台帳!$A$3:$O$4986,15,FALSE))))</f>
        <v>1000</v>
      </c>
      <c r="T1026" s="258">
        <f ca="1">IF(D1026="","",IF(J1026="リード付け",N1026,IF(J1026="巻返しリード付け",N1026,IF(J1026="巻足し",N1026*P1026+OFFSET(N1026,1,0)*OFFSET(P1026,1,0),VLOOKUP(D1026,契約台帳!$A$3:$P$4986,16,FALSE)))))</f>
        <v>12000</v>
      </c>
      <c r="U1026" s="38">
        <v>2</v>
      </c>
      <c r="V1026" s="259">
        <f ca="1">IF(D1026="","",IF(OFFSET(D1026,-2,0)=D1026,"",VLOOKUP(D1026,契約台帳!$A$3:$R$4986,18,FALSE)))</f>
        <v>12</v>
      </c>
      <c r="W1026" s="256" t="str">
        <f ca="1">IF(D1026="","",IF(T1026="","",IF(OR(J1026="巻足し",J1026="巻返しリード付け"),"",IF(J1026="巻返し",VLOOKUP(F1026&amp;K1026&amp;M1026,製品マスタ!$M$5:$AD$4999,18,FALSE),IF(OR(J1026="リード付け",J1026="巻返しリード付け"),"原反コア",IF(J1026="スリット",VLOOKUP(F1026&amp;K1026&amp;R1026,製品マスタ!$N$5:$AD$4999,17,FALSE),""))))))</f>
        <v/>
      </c>
      <c r="X1026" s="256" t="str">
        <f ca="1">IF(D1026="","",IF(T1026="","",IF(J1026="巻足し","",IF(J1026="巻返し",VLOOKUP(F1026&amp;K1026&amp;M1026,製品マスタ!$M$5:$AE$4999,19,FALSE),IF(OR(J1026="リード付け",J1026="巻返しリード付け"),"",IF(J1026="スリット",VLOOKUP(F1026&amp;K1026&amp;R1026,製品マスタ!$N$5:$AE$4999,18,FALSE),""))))))</f>
        <v/>
      </c>
      <c r="Y1026" s="256">
        <f ca="1">IF(D1026="","",IF(T1026="","",VLOOKUP(D1026,契約台帳!$A$3:$Q$4986,17,FALSE)))</f>
        <v>2</v>
      </c>
      <c r="Z1026" s="256" t="str">
        <f ca="1">IF(D1026="","",IF(T1026="","",VLOOKUP(D1026,契約台帳!$A$3:$E$4986,5,FALSE)))</f>
        <v>リンテック㈱</v>
      </c>
      <c r="AA1026" s="54"/>
      <c r="AB1026" s="200" t="str">
        <f>IFERROR((VLOOKUP(F1026&amp;K1026&amp;M1026,製品マスタ!$M$5:$AM$4999,27,FALSE)),"")</f>
        <v>原反ケース再利用</v>
      </c>
      <c r="AC1026" s="31"/>
      <c r="AD1026" s="184"/>
      <c r="AE1026" s="51"/>
      <c r="AF1026" s="52">
        <f>+M1026*N1026*O1026/1000</f>
        <v>24000</v>
      </c>
      <c r="AG1026" s="41"/>
      <c r="AH1026" s="45"/>
      <c r="AI1026" s="28"/>
      <c r="AJ1026" s="28"/>
      <c r="AK1026" s="28"/>
      <c r="AL1026" s="28"/>
      <c r="AM1026" s="12"/>
      <c r="AN1026" s="12"/>
      <c r="AO1026" s="12"/>
      <c r="AP1026" s="12"/>
      <c r="AQ1026" s="12"/>
      <c r="AR1026" s="13"/>
      <c r="AS1026" s="14"/>
    </row>
    <row r="1027" spans="1:45" s="16" customFormat="1" ht="30.95" hidden="1" customHeight="1" x14ac:dyDescent="0.2">
      <c r="A1027" s="35"/>
      <c r="B1027" s="36"/>
      <c r="C1027" s="43"/>
      <c r="D1027" s="29"/>
      <c r="E1027" s="29"/>
      <c r="F1027" s="255"/>
      <c r="G1027" s="256"/>
      <c r="H1027" s="256"/>
      <c r="I1027" s="200"/>
      <c r="J1027" s="203"/>
      <c r="K1027" s="200"/>
      <c r="L1027" s="200"/>
      <c r="M1027" s="37"/>
      <c r="N1027" s="37"/>
      <c r="O1027" s="153"/>
      <c r="P1027" s="45"/>
      <c r="Q1027" s="54"/>
      <c r="R1027" s="260"/>
      <c r="S1027" s="258"/>
      <c r="T1027" s="258"/>
      <c r="U1027" s="38"/>
      <c r="V1027" s="261"/>
      <c r="W1027" s="256"/>
      <c r="X1027" s="256"/>
      <c r="Y1027" s="256"/>
      <c r="Z1027" s="256"/>
      <c r="AA1027" s="54"/>
      <c r="AB1027" s="200"/>
      <c r="AC1027" s="31"/>
      <c r="AD1027" s="184"/>
      <c r="AE1027" s="51"/>
      <c r="AF1027" s="52"/>
      <c r="AG1027" s="41"/>
      <c r="AH1027" s="207"/>
      <c r="AI1027" s="28"/>
      <c r="AJ1027" s="28"/>
      <c r="AK1027" s="28"/>
      <c r="AL1027" s="28"/>
      <c r="AM1027" s="12"/>
      <c r="AN1027" s="12"/>
      <c r="AO1027" s="12"/>
      <c r="AP1027" s="12"/>
      <c r="AQ1027" s="12"/>
      <c r="AR1027" s="13"/>
      <c r="AS1027" s="14"/>
    </row>
    <row r="1028" spans="1:45" s="16" customFormat="1" ht="30.95" hidden="1" customHeight="1" x14ac:dyDescent="0.2">
      <c r="A1028" s="35"/>
      <c r="B1028" s="36"/>
      <c r="C1028" s="43"/>
      <c r="D1028" s="29">
        <v>3725014</v>
      </c>
      <c r="E1028" s="29">
        <v>4162064</v>
      </c>
      <c r="F1028" s="255" t="str">
        <f>IF(D1028="","",VLOOKUP(D1028,契約台帳!$A$3:$K$4986,6,FALSE)&amp;VLOOKUP(D1028,契約台帳!$A$3:$K$4986,7,FALSE)&amp;VLOOKUP(D1028,契約台帳!$A$3:$K$4986,8,FALSE)&amp;VLOOKUP(D1028,契約台帳!$A$3:$K$4986,9,FALSE)&amp;VLOOKUP(D1028,契約台帳!$A$3:$K$4986,11,FALSE))</f>
        <v>3SNMLBMNNGKBF</v>
      </c>
      <c r="G1028" s="256" t="str">
        <f>IF(D1028="","",VLOOKUP(F1028,製品マスタ!$G$5:$H$4999,2,FALSE))</f>
        <v>S</v>
      </c>
      <c r="H1028" s="256" t="str">
        <f>IF(D1028="","",VLOOKUP(F1028,製品マスタ!$G$5:$K$4999,5,FALSE))</f>
        <v>MNNGKBF</v>
      </c>
      <c r="I1028" s="200" t="str">
        <f>IF(D1028="","",VLOOKUP(F1028,製品マスタ!$G$5:$L$4999,6,FALSE))</f>
        <v>メタルミー　ニューネーマー銀消　Ｂ</v>
      </c>
      <c r="J1028" s="203" t="s">
        <v>935</v>
      </c>
      <c r="K1028" s="200">
        <f>IF(D1028="","",VLOOKUP(D1028,契約台帳!$A$3:$L$4986,12,FALSE))</f>
        <v>50</v>
      </c>
      <c r="L1028" s="200" t="str">
        <f>IF(D1028="","",INDEX(製品マスタ!$Q$5:$Q$4999,MATCH('S4'!F1028&amp;'S4'!K1028,製品マスタ!$AO$5:$AO$4999,0)))</f>
        <v>X44</v>
      </c>
      <c r="M1028" s="37">
        <v>1000</v>
      </c>
      <c r="N1028" s="37">
        <v>4000</v>
      </c>
      <c r="O1028" s="153">
        <v>6</v>
      </c>
      <c r="P1028" s="45">
        <v>3</v>
      </c>
      <c r="Q1028" s="206">
        <v>45180</v>
      </c>
      <c r="R1028" s="257">
        <f ca="1">IF(D1028="","",IF(OFFSET(D1028,-1,0)&lt;&gt;"","",IF(OR(J1028="リード付け",J1028="巻足し",J1028="巻返しリード付け"),M1028,VLOOKUP(D1028,契約台帳!$A$3:$N$4986,14,FALSE))))</f>
        <v>1000</v>
      </c>
      <c r="S1028" s="258">
        <f ca="1">IF(D1028="","",IF(OFFSET(D1028,-1,0)&lt;&gt;"","",IF(OR(J1028="リード付け",J1028="巻足し",J1028="巻返しリード付け"),M1028,VLOOKUP(D1028,契約台帳!$A$3:$O$4986,15,FALSE))))</f>
        <v>1000</v>
      </c>
      <c r="T1028" s="258">
        <f ca="1">IF(D1028="","",IF(J1028="リード付け",N1028,IF(J1028="巻返しリード付け",N1028,IF(J1028="巻足し",N1028*P1028+OFFSET(N1028,1,0)*OFFSET(P1028,1,0),VLOOKUP(D1028,契約台帳!$A$3:$P$4986,16,FALSE)))))</f>
        <v>12000</v>
      </c>
      <c r="U1028" s="38">
        <v>2</v>
      </c>
      <c r="V1028" s="259">
        <f ca="1">IF(D1028="","",IF(OFFSET(D1028,-2,0)=D1028,"",VLOOKUP(D1028,契約台帳!$A$3:$R$4986,18,FALSE)))</f>
        <v>6</v>
      </c>
      <c r="W1028" s="256" t="str">
        <f ca="1">IF(D1028="","",IF(T1028="","",IF(OR(J1028="巻足し",J1028="巻返しリード付け"),"",IF(J1028="巻返し",VLOOKUP(F1028&amp;K1028&amp;M1028,製品マスタ!$M$5:$AD$4999,18,FALSE),IF(OR(J1028="リード付け",J1028="巻返しリード付け"),"原反コア",IF(J1028="スリット",VLOOKUP(F1028&amp;K1028&amp;R1028,製品マスタ!$N$5:$AD$4999,17,FALSE),""))))))</f>
        <v/>
      </c>
      <c r="X1028" s="256" t="str">
        <f ca="1">IF(D1028="","",IF(T1028="","",IF(J1028="巻足し","",IF(J1028="巻返し",VLOOKUP(F1028&amp;K1028&amp;M1028,製品マスタ!$M$5:$AE$4999,19,FALSE),IF(OR(J1028="リード付け",J1028="巻返しリード付け"),"",IF(J1028="スリット",VLOOKUP(F1028&amp;K1028&amp;R1028,製品マスタ!$N$5:$AE$4999,18,FALSE),""))))))</f>
        <v/>
      </c>
      <c r="Y1028" s="256">
        <f ca="1">IF(D1028="","",IF(T1028="","",VLOOKUP(D1028,契約台帳!$A$3:$Q$4986,17,FALSE)))</f>
        <v>2</v>
      </c>
      <c r="Z1028" s="256" t="str">
        <f ca="1">IF(D1028="","",IF(T1028="","",VLOOKUP(D1028,契約台帳!$A$3:$E$4986,5,FALSE)))</f>
        <v>リンテック㈱</v>
      </c>
      <c r="AA1028" s="54"/>
      <c r="AB1028" s="200" t="str">
        <f>IFERROR((VLOOKUP(F1028&amp;K1028&amp;M1028,製品マスタ!$M$5:$AM$4999,27,FALSE)),"")</f>
        <v>原反ケース再利用</v>
      </c>
      <c r="AC1028" s="31"/>
      <c r="AD1028" s="184"/>
      <c r="AE1028" s="51"/>
      <c r="AF1028" s="52">
        <f>+M1028*N1028*O1028/1000</f>
        <v>24000</v>
      </c>
      <c r="AG1028" s="41"/>
      <c r="AH1028" s="45"/>
      <c r="AI1028" s="28"/>
      <c r="AJ1028" s="28"/>
      <c r="AK1028" s="28"/>
      <c r="AL1028" s="28"/>
      <c r="AM1028" s="12"/>
      <c r="AN1028" s="12"/>
      <c r="AO1028" s="12"/>
      <c r="AP1028" s="12"/>
      <c r="AQ1028" s="12"/>
      <c r="AR1028" s="13"/>
      <c r="AS1028" s="14"/>
    </row>
    <row r="1029" spans="1:45" s="16" customFormat="1" ht="30.95" hidden="1" customHeight="1" x14ac:dyDescent="0.2">
      <c r="A1029" s="35"/>
      <c r="B1029" s="36"/>
      <c r="C1029" s="43"/>
      <c r="D1029" s="29"/>
      <c r="E1029" s="29"/>
      <c r="F1029" s="255"/>
      <c r="G1029" s="256"/>
      <c r="H1029" s="256"/>
      <c r="I1029" s="200"/>
      <c r="J1029" s="203"/>
      <c r="K1029" s="200"/>
      <c r="L1029" s="200"/>
      <c r="M1029" s="37"/>
      <c r="N1029" s="37"/>
      <c r="O1029" s="153"/>
      <c r="P1029" s="45"/>
      <c r="Q1029" s="54"/>
      <c r="R1029" s="260"/>
      <c r="S1029" s="258"/>
      <c r="T1029" s="258"/>
      <c r="U1029" s="38"/>
      <c r="V1029" s="261"/>
      <c r="W1029" s="256"/>
      <c r="X1029" s="256"/>
      <c r="Y1029" s="256"/>
      <c r="Z1029" s="256"/>
      <c r="AA1029" s="54"/>
      <c r="AB1029" s="200"/>
      <c r="AC1029" s="31"/>
      <c r="AD1029" s="184"/>
      <c r="AE1029" s="51"/>
      <c r="AF1029" s="52"/>
      <c r="AG1029" s="41"/>
      <c r="AH1029" s="207"/>
      <c r="AI1029" s="28"/>
      <c r="AJ1029" s="28"/>
      <c r="AK1029" s="28"/>
      <c r="AL1029" s="28"/>
      <c r="AM1029" s="12"/>
      <c r="AN1029" s="12"/>
      <c r="AO1029" s="12"/>
      <c r="AP1029" s="12"/>
      <c r="AQ1029" s="12"/>
      <c r="AR1029" s="13"/>
      <c r="AS1029" s="14"/>
    </row>
    <row r="1030" spans="1:45" s="16" customFormat="1" ht="30.95" hidden="1" customHeight="1" x14ac:dyDescent="0.2">
      <c r="A1030" s="35" t="s">
        <v>561</v>
      </c>
      <c r="B1030" s="36" t="s">
        <v>442</v>
      </c>
      <c r="C1030" s="43"/>
      <c r="D1030" s="29">
        <v>3725012</v>
      </c>
      <c r="E1030" s="29">
        <v>4162059</v>
      </c>
      <c r="F1030" s="255" t="str">
        <f>IF(D1030="","",VLOOKUP(D1030,契約台帳!$A$3:$K$4986,6,FALSE)&amp;VLOOKUP(D1030,契約台帳!$A$3:$K$4986,7,FALSE)&amp;VLOOKUP(D1030,契約台帳!$A$3:$K$4986,8,FALSE)&amp;VLOOKUP(D1030,契約台帳!$A$3:$K$4986,9,FALSE)&amp;VLOOKUP(D1030,契約台帳!$A$3:$K$4986,11,FALSE))</f>
        <v>3SNMLBMNGKKBF</v>
      </c>
      <c r="G1030" s="256" t="str">
        <f>IF(D1030="","",VLOOKUP(F1030,製品マスタ!$G$5:$H$4999,2,FALSE))</f>
        <v>S</v>
      </c>
      <c r="H1030" s="256" t="str">
        <f>IF(D1030="","",VLOOKUP(F1030,製品マスタ!$G$5:$K$4999,5,FALSE))</f>
        <v>MNGKKBF</v>
      </c>
      <c r="I1030" s="200" t="str">
        <f>IF(D1030="","",VLOOKUP(F1030,製品マスタ!$G$5:$L$4999,6,FALSE))</f>
        <v>メタルミー　ネーマー銀消改　Ｂ</v>
      </c>
      <c r="J1030" s="203" t="s">
        <v>935</v>
      </c>
      <c r="K1030" s="200">
        <f>IF(D1030="","",VLOOKUP(D1030,契約台帳!$A$3:$L$4986,12,FALSE))</f>
        <v>25</v>
      </c>
      <c r="L1030" s="200" t="str">
        <f>IF(D1030="","",INDEX(製品マスタ!$Q$5:$Q$4999,MATCH('S4'!F1030&amp;'S4'!K1030,製品マスタ!$AO$5:$AO$4999,0)))</f>
        <v>FMATS99</v>
      </c>
      <c r="M1030" s="37">
        <v>1120</v>
      </c>
      <c r="N1030" s="37">
        <v>4000</v>
      </c>
      <c r="O1030" s="153">
        <v>3</v>
      </c>
      <c r="P1030" s="45">
        <v>3</v>
      </c>
      <c r="Q1030" s="206">
        <v>45181</v>
      </c>
      <c r="R1030" s="257">
        <f ca="1">IF(D1030="","",IF(OFFSET(D1030,-1,0)&lt;&gt;"","",IF(OR(J1030="リード付け",J1030="巻足し",J1030="巻返しリード付け"),M1030,VLOOKUP(D1030,契約台帳!$A$3:$N$4986,14,FALSE))))</f>
        <v>1120</v>
      </c>
      <c r="S1030" s="258">
        <f ca="1">IF(D1030="","",IF(OFFSET(D1030,-1,0)&lt;&gt;"","",IF(OR(J1030="リード付け",J1030="巻足し",J1030="巻返しリード付け"),M1030,VLOOKUP(D1030,契約台帳!$A$3:$O$4986,15,FALSE))))</f>
        <v>1120</v>
      </c>
      <c r="T1030" s="258">
        <f ca="1">IF(D1030="","",IF(J1030="リード付け",N1030,IF(J1030="巻返しリード付け",N1030,IF(J1030="巻足し",N1030*P1030+OFFSET(N1030,1,0)*OFFSET(P1030,1,0),VLOOKUP(D1030,契約台帳!$A$3:$P$4986,16,FALSE)))))</f>
        <v>12000</v>
      </c>
      <c r="U1030" s="38">
        <v>1</v>
      </c>
      <c r="V1030" s="259">
        <f ca="1">IF(D1030="","",IF(OFFSET(D1030,-2,0)=D1030,"",VLOOKUP(D1030,契約台帳!$A$3:$R$4986,18,FALSE)))</f>
        <v>7</v>
      </c>
      <c r="W1030" s="256" t="str">
        <f ca="1">IF(D1030="","",IF(T1030="","",IF(OR(J1030="巻足し",J1030="巻返しリード付け"),"",IF(J1030="巻返し",VLOOKUP(F1030&amp;K1030&amp;M1030,製品マスタ!$M$5:$AD$4999,18,FALSE),IF(OR(J1030="リード付け",J1030="巻返しリード付け"),"原反コア",IF(J1030="スリット",VLOOKUP(F1030&amp;K1030&amp;R1030,製品マスタ!$N$5:$AD$4999,17,FALSE),""))))))</f>
        <v/>
      </c>
      <c r="X1030" s="256" t="str">
        <f ca="1">IF(D1030="","",IF(T1030="","",IF(J1030="巻足し","",IF(J1030="巻返し",VLOOKUP(F1030&amp;K1030&amp;M1030,製品マスタ!$M$5:$AE$4999,19,FALSE),IF(OR(J1030="リード付け",J1030="巻返しリード付け"),"",IF(J1030="スリット",VLOOKUP(F1030&amp;K1030&amp;R1030,製品マスタ!$N$5:$AE$4999,18,FALSE),""))))))</f>
        <v/>
      </c>
      <c r="Y1030" s="256">
        <f ca="1">IF(D1030="","",IF(T1030="","",VLOOKUP(D1030,契約台帳!$A$3:$Q$4986,17,FALSE)))</f>
        <v>2</v>
      </c>
      <c r="Z1030" s="256" t="str">
        <f ca="1">IF(D1030="","",IF(T1030="","",VLOOKUP(D1030,契約台帳!$A$3:$E$4986,5,FALSE)))</f>
        <v>リンテック㈱</v>
      </c>
      <c r="AA1030" s="54"/>
      <c r="AB1030" s="200">
        <f>IFERROR((VLOOKUP(F1030&amp;K1030&amp;M1030,製品マスタ!$M$5:$AM$4999,27,FALSE)),"")</f>
        <v>0</v>
      </c>
      <c r="AC1030" s="31"/>
      <c r="AD1030" s="184"/>
      <c r="AE1030" s="51"/>
      <c r="AF1030" s="52">
        <f>+M1030*N1030*O1030/1000</f>
        <v>13440</v>
      </c>
      <c r="AG1030" s="41"/>
      <c r="AH1030" s="45"/>
      <c r="AI1030" s="28"/>
      <c r="AJ1030" s="28"/>
      <c r="AK1030" s="28"/>
      <c r="AL1030" s="28"/>
      <c r="AM1030" s="12"/>
      <c r="AN1030" s="12"/>
      <c r="AO1030" s="12"/>
      <c r="AP1030" s="12"/>
      <c r="AQ1030" s="12"/>
      <c r="AR1030" s="13"/>
      <c r="AS1030" s="14"/>
    </row>
    <row r="1031" spans="1:45" s="16" customFormat="1" ht="30.95" hidden="1" customHeight="1" x14ac:dyDescent="0.2">
      <c r="A1031" s="35"/>
      <c r="B1031" s="36"/>
      <c r="C1031" s="43"/>
      <c r="D1031" s="29"/>
      <c r="E1031" s="29"/>
      <c r="F1031" s="255"/>
      <c r="G1031" s="256"/>
      <c r="H1031" s="256"/>
      <c r="I1031" s="200"/>
      <c r="J1031" s="203"/>
      <c r="K1031" s="200"/>
      <c r="L1031" s="200"/>
      <c r="M1031" s="37"/>
      <c r="N1031" s="37"/>
      <c r="O1031" s="153"/>
      <c r="P1031" s="45"/>
      <c r="Q1031" s="54"/>
      <c r="R1031" s="260"/>
      <c r="S1031" s="258"/>
      <c r="T1031" s="258"/>
      <c r="U1031" s="38"/>
      <c r="V1031" s="261"/>
      <c r="W1031" s="256"/>
      <c r="X1031" s="256"/>
      <c r="Y1031" s="256"/>
      <c r="Z1031" s="256"/>
      <c r="AA1031" s="54"/>
      <c r="AB1031" s="200"/>
      <c r="AC1031" s="31"/>
      <c r="AD1031" s="184"/>
      <c r="AE1031" s="51"/>
      <c r="AF1031" s="52"/>
      <c r="AG1031" s="41"/>
      <c r="AH1031" s="207"/>
      <c r="AI1031" s="28"/>
      <c r="AJ1031" s="28"/>
      <c r="AK1031" s="28"/>
      <c r="AL1031" s="28"/>
      <c r="AM1031" s="12"/>
      <c r="AN1031" s="12"/>
      <c r="AO1031" s="12"/>
      <c r="AP1031" s="12"/>
      <c r="AQ1031" s="12"/>
      <c r="AR1031" s="13"/>
      <c r="AS1031" s="14"/>
    </row>
    <row r="1032" spans="1:45" s="16" customFormat="1" ht="30.95" hidden="1" customHeight="1" x14ac:dyDescent="0.2">
      <c r="A1032" s="35"/>
      <c r="B1032" s="36"/>
      <c r="C1032" s="43"/>
      <c r="D1032" s="29">
        <v>3725012</v>
      </c>
      <c r="E1032" s="29">
        <v>4162059</v>
      </c>
      <c r="F1032" s="255" t="str">
        <f>IF(D1032="","",VLOOKUP(D1032,契約台帳!$A$3:$K$4986,6,FALSE)&amp;VLOOKUP(D1032,契約台帳!$A$3:$K$4986,7,FALSE)&amp;VLOOKUP(D1032,契約台帳!$A$3:$K$4986,8,FALSE)&amp;VLOOKUP(D1032,契約台帳!$A$3:$K$4986,9,FALSE)&amp;VLOOKUP(D1032,契約台帳!$A$3:$K$4986,11,FALSE))</f>
        <v>3SNMLBMNGKKBF</v>
      </c>
      <c r="G1032" s="256" t="str">
        <f>IF(D1032="","",VLOOKUP(F1032,製品マスタ!$G$5:$H$4999,2,FALSE))</f>
        <v>S</v>
      </c>
      <c r="H1032" s="256" t="str">
        <f>IF(D1032="","",VLOOKUP(F1032,製品マスタ!$G$5:$K$4999,5,FALSE))</f>
        <v>MNGKKBF</v>
      </c>
      <c r="I1032" s="200" t="str">
        <f>IF(D1032="","",VLOOKUP(F1032,製品マスタ!$G$5:$L$4999,6,FALSE))</f>
        <v>メタルミー　ネーマー銀消改　Ｂ</v>
      </c>
      <c r="J1032" s="203" t="s">
        <v>935</v>
      </c>
      <c r="K1032" s="200">
        <f>IF(D1032="","",VLOOKUP(D1032,契約台帳!$A$3:$L$4986,12,FALSE))</f>
        <v>25</v>
      </c>
      <c r="L1032" s="200" t="str">
        <f>IF(D1032="","",INDEX(製品マスタ!$Q$5:$Q$4999,MATCH('S4'!F1032&amp;'S4'!K1032,製品マスタ!$AO$5:$AO$4999,0)))</f>
        <v>FMATS99</v>
      </c>
      <c r="M1032" s="37">
        <v>1120</v>
      </c>
      <c r="N1032" s="37">
        <v>4000</v>
      </c>
      <c r="O1032" s="153">
        <v>4</v>
      </c>
      <c r="P1032" s="45">
        <v>2</v>
      </c>
      <c r="Q1032" s="206">
        <v>45181</v>
      </c>
      <c r="R1032" s="257">
        <f ca="1">IF(D1032="","",IF(OFFSET(D1032,-1,0)&lt;&gt;"","",IF(OR(J1032="リード付け",J1032="巻足し",J1032="巻返しリード付け"),M1032,VLOOKUP(D1032,契約台帳!$A$3:$N$4986,14,FALSE))))</f>
        <v>1120</v>
      </c>
      <c r="S1032" s="258">
        <f ca="1">IF(D1032="","",IF(OFFSET(D1032,-1,0)&lt;&gt;"","",IF(OR(J1032="リード付け",J1032="巻足し",J1032="巻返しリード付け"),M1032,VLOOKUP(D1032,契約台帳!$A$3:$O$4986,15,FALSE))))</f>
        <v>1120</v>
      </c>
      <c r="T1032" s="258">
        <f ca="1">IF(D1032="","",IF(J1032="リード付け",N1032,IF(J1032="巻返しリード付け",N1032,IF(J1032="巻足し",N1032*P1032+OFFSET(N1032,1,0)*OFFSET(P1032,1,0),VLOOKUP(D1032,契約台帳!$A$3:$P$4986,16,FALSE)))))</f>
        <v>8000</v>
      </c>
      <c r="U1032" s="38">
        <v>2</v>
      </c>
      <c r="V1032" s="259" t="str">
        <f ca="1">IF(D1032="","",IF(OFFSET(D1032,-2,0)=D1032,"",VLOOKUP(D1032,契約台帳!$A$3:$R$4986,18,FALSE)))</f>
        <v/>
      </c>
      <c r="W1032" s="256" t="str">
        <f ca="1">IF(D1032="","",IF(T1032="","",IF(OR(J1032="巻足し",J1032="巻返しリード付け"),"",IF(J1032="巻返し",VLOOKUP(F1032&amp;K1032&amp;M1032,製品マスタ!$M$5:$AD$4999,18,FALSE),IF(OR(J1032="リード付け",J1032="巻返しリード付け"),"原反コア",IF(J1032="スリット",VLOOKUP(F1032&amp;K1032&amp;R1032,製品マスタ!$N$5:$AD$4999,17,FALSE),""))))))</f>
        <v/>
      </c>
      <c r="X1032" s="256" t="str">
        <f ca="1">IF(D1032="","",IF(T1032="","",IF(J1032="巻足し","",IF(J1032="巻返し",VLOOKUP(F1032&amp;K1032&amp;M1032,製品マスタ!$M$5:$AE$4999,19,FALSE),IF(OR(J1032="リード付け",J1032="巻返しリード付け"),"",IF(J1032="スリット",VLOOKUP(F1032&amp;K1032&amp;R1032,製品マスタ!$N$5:$AE$4999,18,FALSE),""))))))</f>
        <v/>
      </c>
      <c r="Y1032" s="256">
        <f ca="1">IF(D1032="","",IF(T1032="","",VLOOKUP(D1032,契約台帳!$A$3:$Q$4986,17,FALSE)))</f>
        <v>2</v>
      </c>
      <c r="Z1032" s="256" t="str">
        <f ca="1">IF(D1032="","",IF(T1032="","",VLOOKUP(D1032,契約台帳!$A$3:$E$4986,5,FALSE)))</f>
        <v>リンテック㈱</v>
      </c>
      <c r="AA1032" s="54"/>
      <c r="AB1032" s="200">
        <f>IFERROR((VLOOKUP(F1032&amp;K1032&amp;M1032,製品マスタ!$M$5:$AM$4999,27,FALSE)),"")</f>
        <v>0</v>
      </c>
      <c r="AC1032" s="31"/>
      <c r="AD1032" s="184"/>
      <c r="AE1032" s="51"/>
      <c r="AF1032" s="52">
        <f>+M1032*N1032*O1032/1000</f>
        <v>17920</v>
      </c>
      <c r="AG1032" s="41"/>
      <c r="AH1032" s="45"/>
      <c r="AI1032" s="28"/>
      <c r="AJ1032" s="28"/>
      <c r="AK1032" s="28"/>
      <c r="AL1032" s="28"/>
      <c r="AM1032" s="12"/>
      <c r="AN1032" s="12"/>
      <c r="AO1032" s="12"/>
      <c r="AP1032" s="12"/>
      <c r="AQ1032" s="12"/>
      <c r="AR1032" s="13"/>
      <c r="AS1032" s="14"/>
    </row>
    <row r="1033" spans="1:45" s="16" customFormat="1" ht="30.95" hidden="1" customHeight="1" x14ac:dyDescent="0.2">
      <c r="A1033" s="35"/>
      <c r="B1033" s="36"/>
      <c r="C1033" s="43"/>
      <c r="D1033" s="29"/>
      <c r="E1033" s="29"/>
      <c r="F1033" s="255"/>
      <c r="G1033" s="256"/>
      <c r="H1033" s="256"/>
      <c r="I1033" s="200"/>
      <c r="J1033" s="203"/>
      <c r="K1033" s="200"/>
      <c r="L1033" s="200"/>
      <c r="M1033" s="37"/>
      <c r="N1033" s="37"/>
      <c r="O1033" s="153"/>
      <c r="P1033" s="45"/>
      <c r="Q1033" s="54"/>
      <c r="R1033" s="260"/>
      <c r="S1033" s="258"/>
      <c r="T1033" s="258"/>
      <c r="U1033" s="38"/>
      <c r="V1033" s="261"/>
      <c r="W1033" s="256"/>
      <c r="X1033" s="256"/>
      <c r="Y1033" s="256"/>
      <c r="Z1033" s="256"/>
      <c r="AA1033" s="54"/>
      <c r="AB1033" s="200"/>
      <c r="AC1033" s="31"/>
      <c r="AD1033" s="184"/>
      <c r="AE1033" s="51"/>
      <c r="AF1033" s="52"/>
      <c r="AG1033" s="41"/>
      <c r="AH1033" s="207"/>
      <c r="AI1033" s="28"/>
      <c r="AJ1033" s="28"/>
      <c r="AK1033" s="28"/>
      <c r="AL1033" s="28"/>
      <c r="AM1033" s="12"/>
      <c r="AN1033" s="12"/>
      <c r="AO1033" s="12"/>
      <c r="AP1033" s="12"/>
      <c r="AQ1033" s="12"/>
      <c r="AR1033" s="13"/>
      <c r="AS1033" s="14"/>
    </row>
    <row r="1034" spans="1:45" s="16" customFormat="1" ht="30.95" hidden="1" customHeight="1" x14ac:dyDescent="0.2">
      <c r="A1034" s="35" t="s">
        <v>562</v>
      </c>
      <c r="B1034" s="36" t="s">
        <v>443</v>
      </c>
      <c r="C1034" s="43"/>
      <c r="D1034" s="29">
        <v>3725013</v>
      </c>
      <c r="E1034" s="29">
        <v>4162060</v>
      </c>
      <c r="F1034" s="255" t="str">
        <f>IF(D1034="","",VLOOKUP(D1034,契約台帳!$A$3:$K$4986,6,FALSE)&amp;VLOOKUP(D1034,契約台帳!$A$3:$K$4986,7,FALSE)&amp;VLOOKUP(D1034,契約台帳!$A$3:$K$4986,8,FALSE)&amp;VLOOKUP(D1034,契約台帳!$A$3:$K$4986,9,FALSE)&amp;VLOOKUP(D1034,契約台帳!$A$3:$K$4986,11,FALSE))</f>
        <v>3SNMLBMNGTBF</v>
      </c>
      <c r="G1034" s="256" t="str">
        <f>IF(D1034="","",VLOOKUP(F1034,製品マスタ!$G$5:$H$4999,2,FALSE))</f>
        <v>S</v>
      </c>
      <c r="H1034" s="256" t="str">
        <f>IF(D1034="","",VLOOKUP(F1034,製品マスタ!$G$5:$K$4999,5,FALSE))</f>
        <v>MNGTBF</v>
      </c>
      <c r="I1034" s="200" t="str">
        <f>IF(D1034="","",VLOOKUP(F1034,製品マスタ!$G$5:$L$4999,6,FALSE))</f>
        <v>メタルミー　ネーマー　銀艶　Ｂ</v>
      </c>
      <c r="J1034" s="203" t="s">
        <v>935</v>
      </c>
      <c r="K1034" s="200">
        <f>IF(D1034="","",VLOOKUP(D1034,契約台帳!$A$3:$L$4986,12,FALSE))</f>
        <v>50</v>
      </c>
      <c r="L1034" s="200" t="str">
        <f>IF(D1034="","",INDEX(製品マスタ!$Q$5:$Q$4999,MATCH('S4'!F1034&amp;'S4'!K1034,製品マスタ!$AO$5:$AO$4999,0)))</f>
        <v>T62</v>
      </c>
      <c r="M1034" s="37">
        <v>1120</v>
      </c>
      <c r="N1034" s="37">
        <v>5000</v>
      </c>
      <c r="O1034" s="153">
        <v>10</v>
      </c>
      <c r="P1034" s="45">
        <v>2</v>
      </c>
      <c r="Q1034" s="206">
        <v>45181</v>
      </c>
      <c r="R1034" s="257">
        <f ca="1">IF(D1034="","",IF(OFFSET(D1034,-1,0)&lt;&gt;"","",IF(OR(J1034="リード付け",J1034="巻足し",J1034="巻返しリード付け"),M1034,VLOOKUP(D1034,契約台帳!$A$3:$N$4986,14,FALSE))))</f>
        <v>1120</v>
      </c>
      <c r="S1034" s="258">
        <f ca="1">IF(D1034="","",IF(OFFSET(D1034,-1,0)&lt;&gt;"","",IF(OR(J1034="リード付け",J1034="巻足し",J1034="巻返しリード付け"),M1034,VLOOKUP(D1034,契約台帳!$A$3:$O$4986,15,FALSE))))</f>
        <v>1120</v>
      </c>
      <c r="T1034" s="258">
        <f ca="1">IF(D1034="","",IF(J1034="リード付け",N1034,IF(J1034="巻返しリード付け",N1034,IF(J1034="巻足し",N1034*P1034+OFFSET(N1034,1,0)*OFFSET(P1034,1,0),VLOOKUP(D1034,契約台帳!$A$3:$P$4986,16,FALSE)))))</f>
        <v>10000</v>
      </c>
      <c r="U1034" s="38">
        <v>5</v>
      </c>
      <c r="V1034" s="259">
        <f ca="1">IF(D1034="","",IF(OFFSET(D1034,-2,0)=D1034,"",VLOOKUP(D1034,契約台帳!$A$3:$R$4986,18,FALSE)))</f>
        <v>28</v>
      </c>
      <c r="W1034" s="256" t="str">
        <f ca="1">IF(D1034="","",IF(T1034="","",IF(OR(J1034="巻足し",J1034="巻返しリード付け"),"",IF(J1034="巻返し",VLOOKUP(F1034&amp;K1034&amp;M1034,製品マスタ!$M$5:$AD$4999,18,FALSE),IF(OR(J1034="リード付け",J1034="巻返しリード付け"),"原反コア",IF(J1034="スリット",VLOOKUP(F1034&amp;K1034&amp;R1034,製品マスタ!$N$5:$AD$4999,17,FALSE),""))))))</f>
        <v/>
      </c>
      <c r="X1034" s="256" t="str">
        <f ca="1">IF(D1034="","",IF(T1034="","",IF(J1034="巻足し","",IF(J1034="巻返し",VLOOKUP(F1034&amp;K1034&amp;M1034,製品マスタ!$M$5:$AE$4999,19,FALSE),IF(OR(J1034="リード付け",J1034="巻返しリード付け"),"",IF(J1034="スリット",VLOOKUP(F1034&amp;K1034&amp;R1034,製品マスタ!$N$5:$AE$4999,18,FALSE),""))))))</f>
        <v/>
      </c>
      <c r="Y1034" s="256">
        <f ca="1">IF(D1034="","",IF(T1034="","",VLOOKUP(D1034,契約台帳!$A$3:$Q$4986,17,FALSE)))</f>
        <v>2</v>
      </c>
      <c r="Z1034" s="256" t="str">
        <f ca="1">IF(D1034="","",IF(T1034="","",VLOOKUP(D1034,契約台帳!$A$3:$E$4986,5,FALSE)))</f>
        <v>リンテック㈱</v>
      </c>
      <c r="AA1034" s="54"/>
      <c r="AB1034" s="200" t="str">
        <f>IFERROR((VLOOKUP(F1034&amp;K1034&amp;M1034,製品マスタ!$M$5:$AM$4999,27,FALSE)),"")</f>
        <v>原反ケース再利用</v>
      </c>
      <c r="AC1034" s="31"/>
      <c r="AD1034" s="184"/>
      <c r="AE1034" s="51"/>
      <c r="AF1034" s="52">
        <f>+M1034*N1034*O1034/1000</f>
        <v>56000</v>
      </c>
      <c r="AG1034" s="41"/>
      <c r="AH1034" s="45"/>
      <c r="AI1034" s="28"/>
      <c r="AJ1034" s="28"/>
      <c r="AK1034" s="28"/>
      <c r="AL1034" s="28"/>
      <c r="AM1034" s="12"/>
      <c r="AN1034" s="12"/>
      <c r="AO1034" s="12"/>
      <c r="AP1034" s="12"/>
      <c r="AQ1034" s="12"/>
      <c r="AR1034" s="13"/>
      <c r="AS1034" s="14"/>
    </row>
    <row r="1035" spans="1:45" s="16" customFormat="1" ht="30.95" hidden="1" customHeight="1" x14ac:dyDescent="0.2">
      <c r="A1035" s="35"/>
      <c r="B1035" s="36"/>
      <c r="C1035" s="43"/>
      <c r="D1035" s="29"/>
      <c r="E1035" s="29"/>
      <c r="F1035" s="255"/>
      <c r="G1035" s="256"/>
      <c r="H1035" s="256"/>
      <c r="I1035" s="200"/>
      <c r="J1035" s="203"/>
      <c r="K1035" s="200"/>
      <c r="L1035" s="200"/>
      <c r="M1035" s="37"/>
      <c r="N1035" s="37"/>
      <c r="O1035" s="153"/>
      <c r="P1035" s="45"/>
      <c r="Q1035" s="54"/>
      <c r="R1035" s="260"/>
      <c r="S1035" s="258"/>
      <c r="T1035" s="258"/>
      <c r="U1035" s="38"/>
      <c r="V1035" s="261"/>
      <c r="W1035" s="256"/>
      <c r="X1035" s="256"/>
      <c r="Y1035" s="256"/>
      <c r="Z1035" s="256"/>
      <c r="AA1035" s="54"/>
      <c r="AB1035" s="200"/>
      <c r="AC1035" s="31"/>
      <c r="AD1035" s="184"/>
      <c r="AE1035" s="51"/>
      <c r="AF1035" s="52"/>
      <c r="AG1035" s="41"/>
      <c r="AH1035" s="207"/>
      <c r="AI1035" s="28"/>
      <c r="AJ1035" s="28"/>
      <c r="AK1035" s="28"/>
      <c r="AL1035" s="28"/>
      <c r="AM1035" s="12"/>
      <c r="AN1035" s="12"/>
      <c r="AO1035" s="12"/>
      <c r="AP1035" s="12"/>
      <c r="AQ1035" s="12"/>
      <c r="AR1035" s="13"/>
      <c r="AS1035" s="14"/>
    </row>
    <row r="1036" spans="1:45" s="16" customFormat="1" ht="30.95" hidden="1" customHeight="1" x14ac:dyDescent="0.2">
      <c r="A1036" s="35" t="s">
        <v>563</v>
      </c>
      <c r="B1036" s="36" t="s">
        <v>444</v>
      </c>
      <c r="C1036" s="43"/>
      <c r="D1036" s="29">
        <v>3725013</v>
      </c>
      <c r="E1036" s="29">
        <v>4162060</v>
      </c>
      <c r="F1036" s="255" t="str">
        <f>IF(D1036="","",VLOOKUP(D1036,契約台帳!$A$3:$K$4986,6,FALSE)&amp;VLOOKUP(D1036,契約台帳!$A$3:$K$4986,7,FALSE)&amp;VLOOKUP(D1036,契約台帳!$A$3:$K$4986,8,FALSE)&amp;VLOOKUP(D1036,契約台帳!$A$3:$K$4986,9,FALSE)&amp;VLOOKUP(D1036,契約台帳!$A$3:$K$4986,11,FALSE))</f>
        <v>3SNMLBMNGTBF</v>
      </c>
      <c r="G1036" s="256" t="str">
        <f>IF(D1036="","",VLOOKUP(F1036,製品マスタ!$G$5:$H$4999,2,FALSE))</f>
        <v>S</v>
      </c>
      <c r="H1036" s="256" t="str">
        <f>IF(D1036="","",VLOOKUP(F1036,製品マスタ!$G$5:$K$4999,5,FALSE))</f>
        <v>MNGTBF</v>
      </c>
      <c r="I1036" s="200" t="str">
        <f>IF(D1036="","",VLOOKUP(F1036,製品マスタ!$G$5:$L$4999,6,FALSE))</f>
        <v>メタルミー　ネーマー　銀艶　Ｂ</v>
      </c>
      <c r="J1036" s="203" t="s">
        <v>935</v>
      </c>
      <c r="K1036" s="200">
        <f>IF(D1036="","",VLOOKUP(D1036,契約台帳!$A$3:$L$4986,12,FALSE))</f>
        <v>50</v>
      </c>
      <c r="L1036" s="200" t="str">
        <f>IF(D1036="","",INDEX(製品マスタ!$Q$5:$Q$4999,MATCH('S4'!F1036&amp;'S4'!K1036,製品マスタ!$AO$5:$AO$4999,0)))</f>
        <v>T62</v>
      </c>
      <c r="M1036" s="37">
        <v>1120</v>
      </c>
      <c r="N1036" s="37">
        <v>5000</v>
      </c>
      <c r="O1036" s="153">
        <v>12</v>
      </c>
      <c r="P1036" s="45">
        <v>2</v>
      </c>
      <c r="Q1036" s="206">
        <v>45181</v>
      </c>
      <c r="R1036" s="257">
        <f ca="1">IF(D1036="","",IF(OFFSET(D1036,-1,0)&lt;&gt;"","",IF(OR(J1036="リード付け",J1036="巻足し",J1036="巻返しリード付け"),M1036,VLOOKUP(D1036,契約台帳!$A$3:$N$4986,14,FALSE))))</f>
        <v>1120</v>
      </c>
      <c r="S1036" s="258">
        <f ca="1">IF(D1036="","",IF(OFFSET(D1036,-1,0)&lt;&gt;"","",IF(OR(J1036="リード付け",J1036="巻足し",J1036="巻返しリード付け"),M1036,VLOOKUP(D1036,契約台帳!$A$3:$O$4986,15,FALSE))))</f>
        <v>1120</v>
      </c>
      <c r="T1036" s="258">
        <f ca="1">IF(D1036="","",IF(J1036="リード付け",N1036,IF(J1036="巻返しリード付け",N1036,IF(J1036="巻足し",N1036*P1036+OFFSET(N1036,1,0)*OFFSET(P1036,1,0),VLOOKUP(D1036,契約台帳!$A$3:$P$4986,16,FALSE)))))</f>
        <v>10000</v>
      </c>
      <c r="U1036" s="38">
        <v>6</v>
      </c>
      <c r="V1036" s="259" t="str">
        <f ca="1">IF(D1036="","",IF(OFFSET(D1036,-2,0)=D1036,"",VLOOKUP(D1036,契約台帳!$A$3:$R$4986,18,FALSE)))</f>
        <v/>
      </c>
      <c r="W1036" s="256" t="str">
        <f ca="1">IF(D1036="","",IF(T1036="","",IF(OR(J1036="巻足し",J1036="巻返しリード付け"),"",IF(J1036="巻返し",VLOOKUP(F1036&amp;K1036&amp;M1036,製品マスタ!$M$5:$AD$4999,18,FALSE),IF(OR(J1036="リード付け",J1036="巻返しリード付け"),"原反コア",IF(J1036="スリット",VLOOKUP(F1036&amp;K1036&amp;R1036,製品マスタ!$N$5:$AD$4999,17,FALSE),""))))))</f>
        <v/>
      </c>
      <c r="X1036" s="256" t="str">
        <f ca="1">IF(D1036="","",IF(T1036="","",IF(J1036="巻足し","",IF(J1036="巻返し",VLOOKUP(F1036&amp;K1036&amp;M1036,製品マスタ!$M$5:$AE$4999,19,FALSE),IF(OR(J1036="リード付け",J1036="巻返しリード付け"),"",IF(J1036="スリット",VLOOKUP(F1036&amp;K1036&amp;R1036,製品マスタ!$N$5:$AE$4999,18,FALSE),""))))))</f>
        <v/>
      </c>
      <c r="Y1036" s="256">
        <f ca="1">IF(D1036="","",IF(T1036="","",VLOOKUP(D1036,契約台帳!$A$3:$Q$4986,17,FALSE)))</f>
        <v>2</v>
      </c>
      <c r="Z1036" s="256" t="str">
        <f ca="1">IF(D1036="","",IF(T1036="","",VLOOKUP(D1036,契約台帳!$A$3:$E$4986,5,FALSE)))</f>
        <v>リンテック㈱</v>
      </c>
      <c r="AA1036" s="54"/>
      <c r="AB1036" s="200" t="str">
        <f>IFERROR((VLOOKUP(F1036&amp;K1036&amp;M1036,製品マスタ!$M$5:$AM$4999,27,FALSE)),"")</f>
        <v>原反ケース再利用</v>
      </c>
      <c r="AC1036" s="31"/>
      <c r="AD1036" s="184"/>
      <c r="AE1036" s="51"/>
      <c r="AF1036" s="52">
        <f>+M1036*N1036*O1036/1000</f>
        <v>67200</v>
      </c>
      <c r="AG1036" s="41"/>
      <c r="AH1036" s="45"/>
      <c r="AI1036" s="28"/>
      <c r="AJ1036" s="28"/>
      <c r="AK1036" s="28"/>
      <c r="AL1036" s="28"/>
      <c r="AM1036" s="12"/>
      <c r="AN1036" s="12"/>
      <c r="AO1036" s="12"/>
      <c r="AP1036" s="12"/>
      <c r="AQ1036" s="12"/>
      <c r="AR1036" s="13"/>
      <c r="AS1036" s="14"/>
    </row>
    <row r="1037" spans="1:45" s="16" customFormat="1" ht="30.95" hidden="1" customHeight="1" x14ac:dyDescent="0.2">
      <c r="A1037" s="35"/>
      <c r="B1037" s="36"/>
      <c r="C1037" s="43"/>
      <c r="D1037" s="29"/>
      <c r="E1037" s="29"/>
      <c r="F1037" s="255"/>
      <c r="G1037" s="256"/>
      <c r="H1037" s="256"/>
      <c r="I1037" s="200"/>
      <c r="J1037" s="203"/>
      <c r="K1037" s="200"/>
      <c r="L1037" s="200"/>
      <c r="M1037" s="37"/>
      <c r="N1037" s="37"/>
      <c r="O1037" s="153"/>
      <c r="P1037" s="45"/>
      <c r="Q1037" s="54"/>
      <c r="R1037" s="260"/>
      <c r="S1037" s="258"/>
      <c r="T1037" s="258"/>
      <c r="U1037" s="38"/>
      <c r="V1037" s="261"/>
      <c r="W1037" s="256"/>
      <c r="X1037" s="256"/>
      <c r="Y1037" s="256"/>
      <c r="Z1037" s="256"/>
      <c r="AA1037" s="54"/>
      <c r="AB1037" s="200"/>
      <c r="AC1037" s="31"/>
      <c r="AD1037" s="184"/>
      <c r="AE1037" s="51"/>
      <c r="AF1037" s="52"/>
      <c r="AG1037" s="41"/>
      <c r="AH1037" s="207"/>
      <c r="AI1037" s="28"/>
      <c r="AJ1037" s="28"/>
      <c r="AK1037" s="28"/>
      <c r="AL1037" s="28"/>
      <c r="AM1037" s="12"/>
      <c r="AN1037" s="12"/>
      <c r="AO1037" s="12"/>
      <c r="AP1037" s="12"/>
      <c r="AQ1037" s="12"/>
      <c r="AR1037" s="13"/>
      <c r="AS1037" s="14"/>
    </row>
    <row r="1038" spans="1:45" s="16" customFormat="1" ht="30.95" hidden="1" customHeight="1" x14ac:dyDescent="0.2">
      <c r="A1038" s="35" t="s">
        <v>1450</v>
      </c>
      <c r="B1038" s="36" t="s">
        <v>1449</v>
      </c>
      <c r="C1038" s="43"/>
      <c r="D1038" s="29"/>
      <c r="E1038" s="29"/>
      <c r="F1038" s="255"/>
      <c r="G1038" s="256"/>
      <c r="H1038" s="256"/>
      <c r="I1038" s="200"/>
      <c r="J1038" s="203" t="s">
        <v>448</v>
      </c>
      <c r="K1038" s="200"/>
      <c r="L1038" s="200"/>
      <c r="M1038" s="37"/>
      <c r="N1038" s="37"/>
      <c r="O1038" s="153"/>
      <c r="P1038" s="45"/>
      <c r="Q1038" s="54"/>
      <c r="R1038" s="260"/>
      <c r="S1038" s="258"/>
      <c r="T1038" s="258"/>
      <c r="U1038" s="38"/>
      <c r="V1038" s="261"/>
      <c r="W1038" s="256"/>
      <c r="X1038" s="256"/>
      <c r="Y1038" s="256"/>
      <c r="Z1038" s="256"/>
      <c r="AA1038" s="54"/>
      <c r="AB1038" s="200"/>
      <c r="AC1038" s="31"/>
      <c r="AD1038" s="184"/>
      <c r="AE1038" s="51"/>
      <c r="AF1038" s="52"/>
      <c r="AG1038" s="41"/>
      <c r="AH1038" s="207"/>
      <c r="AI1038" s="28"/>
      <c r="AJ1038" s="28"/>
      <c r="AK1038" s="28"/>
      <c r="AL1038" s="28"/>
      <c r="AM1038" s="12"/>
      <c r="AN1038" s="12"/>
      <c r="AO1038" s="12"/>
      <c r="AP1038" s="12"/>
      <c r="AQ1038" s="12"/>
      <c r="AR1038" s="13"/>
      <c r="AS1038" s="14"/>
    </row>
    <row r="1039" spans="1:45" s="16" customFormat="1" ht="30.95" hidden="1" customHeight="1" x14ac:dyDescent="0.2">
      <c r="A1039" s="35"/>
      <c r="B1039" s="36"/>
      <c r="C1039" s="43"/>
      <c r="D1039" s="29"/>
      <c r="E1039" s="29"/>
      <c r="F1039" s="255"/>
      <c r="G1039" s="256"/>
      <c r="H1039" s="256"/>
      <c r="I1039" s="200"/>
      <c r="J1039" s="203"/>
      <c r="K1039" s="200"/>
      <c r="L1039" s="200"/>
      <c r="M1039" s="37"/>
      <c r="N1039" s="37"/>
      <c r="O1039" s="153"/>
      <c r="P1039" s="45"/>
      <c r="Q1039" s="54"/>
      <c r="R1039" s="260"/>
      <c r="S1039" s="258"/>
      <c r="T1039" s="258"/>
      <c r="U1039" s="38"/>
      <c r="V1039" s="261"/>
      <c r="W1039" s="256"/>
      <c r="X1039" s="256"/>
      <c r="Y1039" s="256"/>
      <c r="Z1039" s="256"/>
      <c r="AA1039" s="54"/>
      <c r="AB1039" s="200"/>
      <c r="AC1039" s="31"/>
      <c r="AD1039" s="184"/>
      <c r="AE1039" s="51"/>
      <c r="AF1039" s="52"/>
      <c r="AG1039" s="41"/>
      <c r="AH1039" s="207"/>
      <c r="AI1039" s="28"/>
      <c r="AJ1039" s="28"/>
      <c r="AK1039" s="28"/>
      <c r="AL1039" s="28"/>
      <c r="AM1039" s="12"/>
      <c r="AN1039" s="12"/>
      <c r="AO1039" s="12"/>
      <c r="AP1039" s="12"/>
      <c r="AQ1039" s="12"/>
      <c r="AR1039" s="13"/>
      <c r="AS1039" s="14"/>
    </row>
    <row r="1040" spans="1:45" s="16" customFormat="1" ht="30.95" hidden="1" customHeight="1" x14ac:dyDescent="0.2">
      <c r="A1040" s="35" t="s">
        <v>1451</v>
      </c>
      <c r="B1040" s="36" t="s">
        <v>1452</v>
      </c>
      <c r="C1040" s="43"/>
      <c r="D1040" s="29"/>
      <c r="E1040" s="29"/>
      <c r="F1040" s="255"/>
      <c r="G1040" s="256"/>
      <c r="H1040" s="256"/>
      <c r="I1040" s="200"/>
      <c r="J1040" s="203" t="s">
        <v>448</v>
      </c>
      <c r="K1040" s="200"/>
      <c r="L1040" s="200"/>
      <c r="M1040" s="37"/>
      <c r="N1040" s="37"/>
      <c r="O1040" s="153"/>
      <c r="P1040" s="45"/>
      <c r="Q1040" s="54"/>
      <c r="R1040" s="260"/>
      <c r="S1040" s="258"/>
      <c r="T1040" s="258"/>
      <c r="U1040" s="38"/>
      <c r="V1040" s="261"/>
      <c r="W1040" s="256"/>
      <c r="X1040" s="256"/>
      <c r="Y1040" s="256"/>
      <c r="Z1040" s="256"/>
      <c r="AA1040" s="54"/>
      <c r="AB1040" s="200"/>
      <c r="AC1040" s="31"/>
      <c r="AD1040" s="184"/>
      <c r="AE1040" s="51"/>
      <c r="AF1040" s="52"/>
      <c r="AG1040" s="41"/>
      <c r="AH1040" s="207"/>
      <c r="AI1040" s="28"/>
      <c r="AJ1040" s="28"/>
      <c r="AK1040" s="28"/>
      <c r="AL1040" s="28"/>
      <c r="AM1040" s="12"/>
      <c r="AN1040" s="12"/>
      <c r="AO1040" s="12"/>
      <c r="AP1040" s="12"/>
      <c r="AQ1040" s="12"/>
      <c r="AR1040" s="13"/>
      <c r="AS1040" s="14"/>
    </row>
    <row r="1041" spans="1:45" s="16" customFormat="1" ht="30.95" hidden="1" customHeight="1" x14ac:dyDescent="0.2">
      <c r="A1041" s="35"/>
      <c r="B1041" s="36"/>
      <c r="C1041" s="43"/>
      <c r="D1041" s="29"/>
      <c r="E1041" s="29"/>
      <c r="F1041" s="255"/>
      <c r="G1041" s="256"/>
      <c r="H1041" s="256"/>
      <c r="I1041" s="200"/>
      <c r="J1041" s="203"/>
      <c r="K1041" s="200"/>
      <c r="L1041" s="200"/>
      <c r="M1041" s="37"/>
      <c r="N1041" s="37"/>
      <c r="O1041" s="153"/>
      <c r="P1041" s="45"/>
      <c r="Q1041" s="54"/>
      <c r="R1041" s="260"/>
      <c r="S1041" s="258"/>
      <c r="T1041" s="258"/>
      <c r="U1041" s="38"/>
      <c r="V1041" s="261"/>
      <c r="W1041" s="256"/>
      <c r="X1041" s="256"/>
      <c r="Y1041" s="256"/>
      <c r="Z1041" s="256"/>
      <c r="AA1041" s="54"/>
      <c r="AB1041" s="200"/>
      <c r="AC1041" s="31"/>
      <c r="AD1041" s="184"/>
      <c r="AE1041" s="51"/>
      <c r="AF1041" s="52"/>
      <c r="AG1041" s="41"/>
      <c r="AH1041" s="207"/>
      <c r="AI1041" s="28"/>
      <c r="AJ1041" s="28"/>
      <c r="AK1041" s="28"/>
      <c r="AL1041" s="28"/>
      <c r="AM1041" s="12"/>
      <c r="AN1041" s="12"/>
      <c r="AO1041" s="12"/>
      <c r="AP1041" s="12"/>
      <c r="AQ1041" s="12"/>
      <c r="AR1041" s="13"/>
      <c r="AS1041" s="14"/>
    </row>
    <row r="1042" spans="1:45" s="16" customFormat="1" ht="30.95" hidden="1" customHeight="1" x14ac:dyDescent="0.2">
      <c r="A1042" s="35" t="s">
        <v>1453</v>
      </c>
      <c r="B1042" s="36" t="s">
        <v>1448</v>
      </c>
      <c r="C1042" s="43"/>
      <c r="D1042" s="29"/>
      <c r="E1042" s="29"/>
      <c r="F1042" s="255"/>
      <c r="G1042" s="256"/>
      <c r="H1042" s="256"/>
      <c r="I1042" s="200"/>
      <c r="J1042" s="203" t="s">
        <v>1454</v>
      </c>
      <c r="K1042" s="200"/>
      <c r="L1042" s="200"/>
      <c r="M1042" s="37"/>
      <c r="N1042" s="37"/>
      <c r="O1042" s="153"/>
      <c r="P1042" s="45"/>
      <c r="Q1042" s="54"/>
      <c r="R1042" s="260"/>
      <c r="S1042" s="258"/>
      <c r="T1042" s="258"/>
      <c r="U1042" s="38"/>
      <c r="V1042" s="261"/>
      <c r="W1042" s="256"/>
      <c r="X1042" s="256"/>
      <c r="Y1042" s="256"/>
      <c r="Z1042" s="256"/>
      <c r="AA1042" s="54"/>
      <c r="AB1042" s="200"/>
      <c r="AC1042" s="31"/>
      <c r="AD1042" s="184"/>
      <c r="AE1042" s="51"/>
      <c r="AF1042" s="52"/>
      <c r="AG1042" s="41"/>
      <c r="AH1042" s="207"/>
      <c r="AI1042" s="28"/>
      <c r="AJ1042" s="28"/>
      <c r="AK1042" s="28"/>
      <c r="AL1042" s="28"/>
      <c r="AM1042" s="12"/>
      <c r="AN1042" s="12"/>
      <c r="AO1042" s="12"/>
      <c r="AP1042" s="12"/>
      <c r="AQ1042" s="12"/>
      <c r="AR1042" s="13"/>
      <c r="AS1042" s="14"/>
    </row>
    <row r="1043" spans="1:45" s="16" customFormat="1" ht="30.95" hidden="1" customHeight="1" x14ac:dyDescent="0.2">
      <c r="A1043" s="35"/>
      <c r="B1043" s="36"/>
      <c r="C1043" s="43"/>
      <c r="D1043" s="29"/>
      <c r="E1043" s="29"/>
      <c r="F1043" s="255"/>
      <c r="G1043" s="256"/>
      <c r="H1043" s="256"/>
      <c r="I1043" s="200"/>
      <c r="J1043" s="203"/>
      <c r="K1043" s="200"/>
      <c r="L1043" s="200"/>
      <c r="M1043" s="37"/>
      <c r="N1043" s="37"/>
      <c r="O1043" s="153"/>
      <c r="P1043" s="45"/>
      <c r="Q1043" s="54"/>
      <c r="R1043" s="260"/>
      <c r="S1043" s="258"/>
      <c r="T1043" s="258"/>
      <c r="U1043" s="38"/>
      <c r="V1043" s="261"/>
      <c r="W1043" s="256"/>
      <c r="X1043" s="256"/>
      <c r="Y1043" s="256"/>
      <c r="Z1043" s="256"/>
      <c r="AA1043" s="54"/>
      <c r="AB1043" s="200"/>
      <c r="AC1043" s="31"/>
      <c r="AD1043" s="184"/>
      <c r="AE1043" s="51"/>
      <c r="AF1043" s="52"/>
      <c r="AG1043" s="41"/>
      <c r="AH1043" s="207"/>
      <c r="AI1043" s="28"/>
      <c r="AJ1043" s="28"/>
      <c r="AK1043" s="28"/>
      <c r="AL1043" s="28"/>
      <c r="AM1043" s="12"/>
      <c r="AN1043" s="12"/>
      <c r="AO1043" s="12"/>
      <c r="AP1043" s="12"/>
      <c r="AQ1043" s="12"/>
      <c r="AR1043" s="13"/>
      <c r="AS1043" s="14"/>
    </row>
    <row r="1044" spans="1:45" s="16" customFormat="1" ht="30.95" hidden="1" customHeight="1" x14ac:dyDescent="0.2">
      <c r="A1044" s="35" t="s">
        <v>567</v>
      </c>
      <c r="B1044" s="36" t="s">
        <v>688</v>
      </c>
      <c r="C1044" s="43"/>
      <c r="D1044" s="29"/>
      <c r="E1044" s="29"/>
      <c r="F1044" s="255"/>
      <c r="G1044" s="256"/>
      <c r="H1044" s="256"/>
      <c r="I1044" s="200"/>
      <c r="J1044" s="203"/>
      <c r="K1044" s="200"/>
      <c r="L1044" s="200"/>
      <c r="M1044" s="37"/>
      <c r="N1044" s="37"/>
      <c r="O1044" s="153"/>
      <c r="P1044" s="45"/>
      <c r="Q1044" s="54"/>
      <c r="R1044" s="257"/>
      <c r="S1044" s="258"/>
      <c r="T1044" s="258"/>
      <c r="U1044" s="38"/>
      <c r="V1044" s="259"/>
      <c r="W1044" s="256"/>
      <c r="X1044" s="256"/>
      <c r="Y1044" s="256"/>
      <c r="Z1044" s="256"/>
      <c r="AA1044" s="54"/>
      <c r="AB1044" s="200"/>
      <c r="AC1044" s="31"/>
      <c r="AD1044" s="184"/>
      <c r="AE1044" s="51"/>
      <c r="AF1044" s="52"/>
      <c r="AG1044" s="41"/>
      <c r="AH1044" s="45"/>
      <c r="AI1044" s="28"/>
      <c r="AJ1044" s="28"/>
      <c r="AK1044" s="28"/>
      <c r="AL1044" s="28"/>
      <c r="AM1044" s="12"/>
      <c r="AN1044" s="12"/>
      <c r="AO1044" s="12"/>
      <c r="AP1044" s="12"/>
      <c r="AQ1044" s="12"/>
      <c r="AR1044" s="13"/>
      <c r="AS1044" s="14"/>
    </row>
    <row r="1045" spans="1:45" s="16" customFormat="1" ht="30.95" hidden="1" customHeight="1" x14ac:dyDescent="0.2">
      <c r="A1045" s="35"/>
      <c r="B1045" s="36"/>
      <c r="C1045" s="43"/>
      <c r="D1045" s="29"/>
      <c r="E1045" s="29"/>
      <c r="F1045" s="255"/>
      <c r="G1045" s="256"/>
      <c r="H1045" s="256"/>
      <c r="I1045" s="200"/>
      <c r="J1045" s="203"/>
      <c r="K1045" s="200"/>
      <c r="L1045" s="200"/>
      <c r="M1045" s="37"/>
      <c r="N1045" s="37"/>
      <c r="O1045" s="153"/>
      <c r="P1045" s="45"/>
      <c r="Q1045" s="54"/>
      <c r="R1045" s="260"/>
      <c r="S1045" s="258"/>
      <c r="T1045" s="258"/>
      <c r="U1045" s="38"/>
      <c r="V1045" s="261"/>
      <c r="W1045" s="256"/>
      <c r="X1045" s="256"/>
      <c r="Y1045" s="256"/>
      <c r="Z1045" s="256"/>
      <c r="AA1045" s="54"/>
      <c r="AB1045" s="200"/>
      <c r="AC1045" s="31"/>
      <c r="AD1045" s="184"/>
      <c r="AE1045" s="51"/>
      <c r="AF1045" s="52"/>
      <c r="AG1045" s="41"/>
      <c r="AH1045" s="207"/>
      <c r="AI1045" s="28"/>
      <c r="AJ1045" s="28"/>
      <c r="AK1045" s="28"/>
      <c r="AL1045" s="28"/>
      <c r="AM1045" s="12"/>
      <c r="AN1045" s="12"/>
      <c r="AO1045" s="12"/>
      <c r="AP1045" s="12"/>
      <c r="AQ1045" s="12"/>
      <c r="AR1045" s="13"/>
      <c r="AS1045" s="14"/>
    </row>
    <row r="1046" spans="1:45" s="16" customFormat="1" ht="30.95" hidden="1" customHeight="1" x14ac:dyDescent="0.2">
      <c r="A1046" s="35" t="s">
        <v>568</v>
      </c>
      <c r="B1046" s="36" t="s">
        <v>442</v>
      </c>
      <c r="C1046" s="43"/>
      <c r="D1046" s="29">
        <v>3723623</v>
      </c>
      <c r="E1046" s="29">
        <v>4141016</v>
      </c>
      <c r="F1046" s="255" t="str">
        <f>IF(D1046="","",VLOOKUP(D1046,契約台帳!$A$3:$K$4986,6,FALSE)&amp;VLOOKUP(D1046,契約台帳!$A$3:$K$4986,7,FALSE)&amp;VLOOKUP(D1046,契約台帳!$A$3:$K$4986,8,FALSE)&amp;VLOOKUP(D1046,契約台帳!$A$3:$K$4986,9,FALSE)&amp;VLOOKUP(D1046,契約台帳!$A$3:$K$4986,11,FALSE))</f>
        <v>3SNCLBLEYK</v>
      </c>
      <c r="G1046" s="256" t="str">
        <f>IF(D1046="","",VLOOKUP(F1046,製品マスタ!$G$5:$H$4999,2,FALSE))</f>
        <v>S</v>
      </c>
      <c r="H1046" s="256" t="str">
        <f>IF(D1046="","",VLOOKUP(F1046,製品マスタ!$G$5:$K$4999,5,FALSE))</f>
        <v>LEYK</v>
      </c>
      <c r="I1046" s="200" t="str">
        <f>IF(D1046="","",VLOOKUP(F1046,製品マスタ!$G$5:$L$4999,6,FALSE))</f>
        <v>ルミラー　ＥＹＫ</v>
      </c>
      <c r="J1046" s="203" t="s">
        <v>447</v>
      </c>
      <c r="K1046" s="200">
        <f>IF(D1046="","",VLOOKUP(D1046,契約台帳!$A$3:$L$4986,12,FALSE))</f>
        <v>50</v>
      </c>
      <c r="L1046" s="200" t="str">
        <f>IF(D1046="","",INDEX(製品マスタ!$Q$5:$Q$4999,MATCH('S4'!F1046&amp;'S4'!K1046,製品マスタ!$AO$5:$AO$4999,0)))</f>
        <v>T62M</v>
      </c>
      <c r="M1046" s="37">
        <v>1125</v>
      </c>
      <c r="N1046" s="37">
        <v>6100</v>
      </c>
      <c r="O1046" s="153">
        <v>4</v>
      </c>
      <c r="P1046" s="45">
        <v>4</v>
      </c>
      <c r="Q1046" s="54"/>
      <c r="R1046" s="257">
        <f ca="1">IF(D1046="","",IF(OFFSET(D1046,-1,0)&lt;&gt;"","",IF(OR(J1046="リード付け",J1046="巻足し",J1046="巻返しリード付け"),M1046,VLOOKUP(D1046,契約台帳!$A$3:$N$4986,14,FALSE))))</f>
        <v>1120</v>
      </c>
      <c r="S1046" s="258">
        <f ca="1">IF(D1046="","",IF(OFFSET(D1046,-1,0)&lt;&gt;"","",IF(OR(J1046="リード付け",J1046="巻足し",J1046="巻返しリード付け"),M1046,VLOOKUP(D1046,契約台帳!$A$3:$O$4986,15,FALSE))))</f>
        <v>1120</v>
      </c>
      <c r="T1046" s="258">
        <f ca="1">IF(D1046="","",IF(J1046="リード付け",N1046,IF(J1046="巻返しリード付け",N1046,IF(J1046="巻足し",N1046*P1046+OFFSET(N1046,1,0)*OFFSET(P1046,1,0),VLOOKUP(D1046,契約台帳!$A$3:$P$4986,16,FALSE)))))</f>
        <v>6000</v>
      </c>
      <c r="U1046" s="38">
        <v>4</v>
      </c>
      <c r="V1046" s="259">
        <f ca="1">IF(D1046="","",IF(OFFSET(D1046,-2,0)=D1046,"",VLOOKUP(D1046,契約台帳!$A$3:$R$4986,18,FALSE)))</f>
        <v>4</v>
      </c>
      <c r="W1046" s="256" t="str">
        <f ca="1">IF(D1046="","",IF(T1046="","",IF(OR(J1046="巻足し",J1046="巻返しリード付け"),"",IF(J1046="巻返し",VLOOKUP(F1046&amp;K1046&amp;M1046,製品マスタ!$M$5:$AD$4999,18,FALSE),IF(OR(J1046="リード付け",J1046="巻返しリード付け"),"原反コア",IF(J1046="スリット",VLOOKUP(F1046&amp;K1046&amp;R1046,製品マスタ!$N$5:$AD$4999,17,FALSE),""))))))</f>
        <v>6ｲﾝﾁMｺｱ</v>
      </c>
      <c r="X1046" s="256">
        <f ca="1">IF(D1046="","",IF(T1046="","",IF(J1046="巻足し","",IF(J1046="巻返し",VLOOKUP(F1046&amp;K1046&amp;M1046,製品マスタ!$M$5:$AE$4999,19,FALSE),IF(OR(J1046="リード付け",J1046="巻返しリード付け"),"",IF(J1046="スリット",VLOOKUP(F1046&amp;K1046&amp;R1046,製品マスタ!$N$5:$AE$4999,18,FALSE),""))))))</f>
        <v>1140</v>
      </c>
      <c r="Y1046" s="256">
        <f ca="1">IF(D1046="","",IF(T1046="","",VLOOKUP(D1046,契約台帳!$A$3:$Q$4986,17,FALSE)))</f>
        <v>2</v>
      </c>
      <c r="Z1046" s="256" t="str">
        <f ca="1">IF(D1046="","",IF(T1046="","",VLOOKUP(D1046,契約台帳!$A$3:$E$4986,5,FALSE)))</f>
        <v>新タック化成㈱</v>
      </c>
      <c r="AA1046" s="54"/>
      <c r="AB1046" s="200" t="str">
        <f>IFERROR((VLOOKUP(F1046&amp;K1046&amp;M1046,製品マスタ!$M$5:$AM$4999,27,FALSE)),"")</f>
        <v>原反ケース再利用</v>
      </c>
      <c r="AC1046" s="31"/>
      <c r="AD1046" s="184"/>
      <c r="AE1046" s="51"/>
      <c r="AF1046" s="52"/>
      <c r="AG1046" s="41"/>
      <c r="AH1046" s="207"/>
      <c r="AI1046" s="28"/>
      <c r="AJ1046" s="28"/>
      <c r="AK1046" s="28"/>
      <c r="AL1046" s="28"/>
      <c r="AM1046" s="12"/>
      <c r="AN1046" s="12"/>
      <c r="AO1046" s="12"/>
      <c r="AP1046" s="12"/>
      <c r="AQ1046" s="12"/>
      <c r="AR1046" s="13"/>
      <c r="AS1046" s="14"/>
    </row>
    <row r="1047" spans="1:45" s="16" customFormat="1" ht="30.95" hidden="1" customHeight="1" x14ac:dyDescent="0.2">
      <c r="A1047" s="35"/>
      <c r="B1047" s="36"/>
      <c r="C1047" s="43"/>
      <c r="D1047" s="29"/>
      <c r="E1047" s="29"/>
      <c r="F1047" s="255"/>
      <c r="G1047" s="256"/>
      <c r="H1047" s="256"/>
      <c r="I1047" s="200"/>
      <c r="J1047" s="203"/>
      <c r="K1047" s="200"/>
      <c r="L1047" s="200"/>
      <c r="M1047" s="37"/>
      <c r="N1047" s="37"/>
      <c r="O1047" s="153"/>
      <c r="P1047" s="45"/>
      <c r="Q1047" s="54"/>
      <c r="R1047" s="260"/>
      <c r="S1047" s="258"/>
      <c r="T1047" s="258"/>
      <c r="U1047" s="38"/>
      <c r="V1047" s="261"/>
      <c r="W1047" s="256"/>
      <c r="X1047" s="256"/>
      <c r="Y1047" s="256"/>
      <c r="Z1047" s="256"/>
      <c r="AA1047" s="54"/>
      <c r="AB1047" s="200"/>
      <c r="AC1047" s="31"/>
      <c r="AD1047" s="184"/>
      <c r="AE1047" s="51"/>
      <c r="AF1047" s="52"/>
      <c r="AG1047" s="41"/>
      <c r="AH1047" s="207"/>
      <c r="AI1047" s="28"/>
      <c r="AJ1047" s="28"/>
      <c r="AK1047" s="28"/>
      <c r="AL1047" s="28"/>
      <c r="AM1047" s="12"/>
      <c r="AN1047" s="12"/>
      <c r="AO1047" s="12"/>
      <c r="AP1047" s="12"/>
      <c r="AQ1047" s="12"/>
      <c r="AR1047" s="13"/>
      <c r="AS1047" s="14"/>
    </row>
    <row r="1048" spans="1:45" s="16" customFormat="1" ht="30.95" hidden="1" customHeight="1" x14ac:dyDescent="0.2">
      <c r="A1048" s="35"/>
      <c r="B1048" s="36"/>
      <c r="C1048" s="43"/>
      <c r="D1048" s="29">
        <v>3723624</v>
      </c>
      <c r="E1048" s="29">
        <v>4141002</v>
      </c>
      <c r="F1048" s="255" t="str">
        <f>IF(D1048="","",VLOOKUP(D1048,契約台帳!$A$3:$K$4986,6,FALSE)&amp;VLOOKUP(D1048,契約台帳!$A$3:$K$4986,7,FALSE)&amp;VLOOKUP(D1048,契約台帳!$A$3:$K$4986,8,FALSE)&amp;VLOOKUP(D1048,契約台帳!$A$3:$K$4986,9,FALSE)&amp;VLOOKUP(D1048,契約台帳!$A$3:$K$4986,11,FALSE))</f>
        <v>3SNMCLBEYK</v>
      </c>
      <c r="G1048" s="256" t="str">
        <f>IF(D1048="","",VLOOKUP(F1048,製品マスタ!$G$5:$H$4999,2,FALSE))</f>
        <v>S</v>
      </c>
      <c r="H1048" s="256" t="str">
        <f>IF(D1048="","",VLOOKUP(F1048,製品マスタ!$G$5:$K$4999,5,FALSE))</f>
        <v>EYK</v>
      </c>
      <c r="I1048" s="200" t="str">
        <f>IF(D1048="","",VLOOKUP(F1048,製品マスタ!$G$5:$L$4999,6,FALSE))</f>
        <v>メタルミー　ＥＹＫ</v>
      </c>
      <c r="J1048" s="203" t="s">
        <v>447</v>
      </c>
      <c r="K1048" s="200">
        <f>IF(D1048="","",VLOOKUP(D1048,契約台帳!$A$3:$L$4986,12,FALSE))</f>
        <v>50</v>
      </c>
      <c r="L1048" s="200" t="str">
        <f>IF(D1048="","",INDEX(製品マスタ!$Q$5:$Q$4999,MATCH('S4'!F1048&amp;'S4'!K1048,製品マスタ!$AO$5:$AO$4999,0)))</f>
        <v>T62M</v>
      </c>
      <c r="M1048" s="37">
        <v>1125</v>
      </c>
      <c r="N1048" s="37">
        <v>12200</v>
      </c>
      <c r="O1048" s="153">
        <v>2</v>
      </c>
      <c r="P1048" s="45">
        <v>2</v>
      </c>
      <c r="Q1048" s="54"/>
      <c r="R1048" s="257">
        <f ca="1">IF(D1048="","",IF(OFFSET(D1048,-1,0)&lt;&gt;"","",IF(OR(J1048="リード付け",J1048="巻足し",J1048="巻返しリード付け"),M1048,VLOOKUP(D1048,契約台帳!$A$3:$N$4986,14,FALSE))))</f>
        <v>1120</v>
      </c>
      <c r="S1048" s="258">
        <f ca="1">IF(D1048="","",IF(OFFSET(D1048,-1,0)&lt;&gt;"","",IF(OR(J1048="リード付け",J1048="巻足し",J1048="巻返しリード付け"),M1048,VLOOKUP(D1048,契約台帳!$A$3:$O$4986,15,FALSE))))</f>
        <v>1120</v>
      </c>
      <c r="T1048" s="258">
        <f ca="1">IF(D1048="","",IF(J1048="リード付け",N1048,IF(J1048="巻返しリード付け",N1048,IF(J1048="巻足し",N1048*P1048+OFFSET(N1048,1,0)*OFFSET(P1048,1,0),VLOOKUP(D1048,契約台帳!$A$3:$P$4986,16,FALSE)))))</f>
        <v>6000</v>
      </c>
      <c r="U1048" s="38">
        <v>4</v>
      </c>
      <c r="V1048" s="259">
        <f ca="1">IF(D1048="","",IF(OFFSET(D1048,-2,0)=D1048,"",VLOOKUP(D1048,契約台帳!$A$3:$R$4986,18,FALSE)))</f>
        <v>4</v>
      </c>
      <c r="W1048" s="256" t="str">
        <f ca="1">IF(D1048="","",IF(T1048="","",IF(OR(J1048="巻足し",J1048="巻返しリード付け"),"",IF(J1048="巻返し",VLOOKUP(F1048&amp;K1048&amp;M1048,製品マスタ!$M$5:$AD$4999,18,FALSE),IF(OR(J1048="リード付け",J1048="巻返しリード付け"),"原反コア",IF(J1048="スリット",VLOOKUP(F1048&amp;K1048&amp;R1048,製品マスタ!$N$5:$AD$4999,17,FALSE),""))))))</f>
        <v>6ｲﾝﾁMｺｱ</v>
      </c>
      <c r="X1048" s="256">
        <f ca="1">IF(D1048="","",IF(T1048="","",IF(J1048="巻足し","",IF(J1048="巻返し",VLOOKUP(F1048&amp;K1048&amp;M1048,製品マスタ!$M$5:$AE$4999,19,FALSE),IF(OR(J1048="リード付け",J1048="巻返しリード付け"),"",IF(J1048="スリット",VLOOKUP(F1048&amp;K1048&amp;R1048,製品マスタ!$N$5:$AE$4999,18,FALSE),""))))))</f>
        <v>1140</v>
      </c>
      <c r="Y1048" s="256">
        <f ca="1">IF(D1048="","",IF(T1048="","",VLOOKUP(D1048,契約台帳!$A$3:$Q$4986,17,FALSE)))</f>
        <v>2</v>
      </c>
      <c r="Z1048" s="256" t="str">
        <f ca="1">IF(D1048="","",IF(T1048="","",VLOOKUP(D1048,契約台帳!$A$3:$E$4986,5,FALSE)))</f>
        <v>新タック化成㈱</v>
      </c>
      <c r="AA1048" s="54"/>
      <c r="AB1048" s="200" t="str">
        <f>IFERROR((VLOOKUP(F1048&amp;K1048&amp;M1048,製品マスタ!$M$5:$AM$4999,27,FALSE)),"")</f>
        <v>原反ケース再利用</v>
      </c>
      <c r="AC1048" s="31"/>
      <c r="AD1048" s="184"/>
      <c r="AE1048" s="51"/>
      <c r="AF1048" s="52"/>
      <c r="AG1048" s="41"/>
      <c r="AH1048" s="45"/>
      <c r="AI1048" s="28"/>
      <c r="AJ1048" s="28"/>
      <c r="AK1048" s="28"/>
      <c r="AL1048" s="28"/>
      <c r="AM1048" s="12"/>
      <c r="AN1048" s="12"/>
      <c r="AO1048" s="12"/>
      <c r="AP1048" s="12"/>
      <c r="AQ1048" s="12"/>
      <c r="AR1048" s="13"/>
      <c r="AS1048" s="14"/>
    </row>
    <row r="1049" spans="1:45" s="16" customFormat="1" ht="30.95" hidden="1" customHeight="1" x14ac:dyDescent="0.2">
      <c r="A1049" s="35"/>
      <c r="B1049" s="36"/>
      <c r="C1049" s="43"/>
      <c r="D1049" s="29"/>
      <c r="E1049" s="29"/>
      <c r="F1049" s="255"/>
      <c r="G1049" s="256"/>
      <c r="H1049" s="256"/>
      <c r="I1049" s="200"/>
      <c r="J1049" s="203"/>
      <c r="K1049" s="200"/>
      <c r="L1049" s="200"/>
      <c r="M1049" s="37"/>
      <c r="N1049" s="37"/>
      <c r="O1049" s="153"/>
      <c r="P1049" s="45"/>
      <c r="Q1049" s="54"/>
      <c r="R1049" s="260"/>
      <c r="S1049" s="258"/>
      <c r="T1049" s="258"/>
      <c r="U1049" s="38"/>
      <c r="V1049" s="261"/>
      <c r="W1049" s="256"/>
      <c r="X1049" s="256"/>
      <c r="Y1049" s="256"/>
      <c r="Z1049" s="256"/>
      <c r="AA1049" s="54"/>
      <c r="AB1049" s="200"/>
      <c r="AC1049" s="31"/>
      <c r="AD1049" s="184"/>
      <c r="AE1049" s="51"/>
      <c r="AF1049" s="52"/>
      <c r="AG1049" s="41"/>
      <c r="AH1049" s="207"/>
      <c r="AI1049" s="28"/>
      <c r="AJ1049" s="28"/>
      <c r="AK1049" s="28"/>
      <c r="AL1049" s="28"/>
      <c r="AM1049" s="12"/>
      <c r="AN1049" s="12"/>
      <c r="AO1049" s="12"/>
      <c r="AP1049" s="12"/>
      <c r="AQ1049" s="12"/>
      <c r="AR1049" s="13"/>
      <c r="AS1049" s="14"/>
    </row>
    <row r="1050" spans="1:45" s="16" customFormat="1" ht="30.95" hidden="1" customHeight="1" x14ac:dyDescent="0.2">
      <c r="A1050" s="35" t="s">
        <v>569</v>
      </c>
      <c r="B1050" s="36" t="s">
        <v>443</v>
      </c>
      <c r="C1050" s="43"/>
      <c r="D1050" s="29">
        <v>3724503</v>
      </c>
      <c r="E1050" s="29">
        <v>4141012</v>
      </c>
      <c r="F1050" s="255" t="str">
        <f>IF(D1050="","",VLOOKUP(D1050,契約台帳!$A$3:$K$4986,6,FALSE)&amp;VLOOKUP(D1050,契約台帳!$A$3:$K$4986,7,FALSE)&amp;VLOOKUP(D1050,契約台帳!$A$3:$K$4986,8,FALSE)&amp;VLOOKUP(D1050,契約台帳!$A$3:$K$4986,9,FALSE)&amp;VLOOKUP(D1050,契約台帳!$A$3:$K$4986,11,FALSE))</f>
        <v>3SNMCLBNGKEYKB</v>
      </c>
      <c r="G1050" s="256" t="str">
        <f>IF(D1050="","",VLOOKUP(F1050,製品マスタ!$G$5:$H$4999,2,FALSE))</f>
        <v>S</v>
      </c>
      <c r="H1050" s="256" t="str">
        <f>IF(D1050="","",VLOOKUP(F1050,製品マスタ!$G$5:$K$4999,5,FALSE))</f>
        <v>NGKEYKB</v>
      </c>
      <c r="I1050" s="200" t="str">
        <f>IF(D1050="","",VLOOKUP(F1050,製品マスタ!$G$5:$L$4999,6,FALSE))</f>
        <v>メタルミー　ネーマー銀消ＥＹＫ　Ｂ</v>
      </c>
      <c r="J1050" s="203" t="s">
        <v>447</v>
      </c>
      <c r="K1050" s="200">
        <f>IF(D1050="","",VLOOKUP(D1050,契約台帳!$A$3:$L$4986,12,FALSE))</f>
        <v>16</v>
      </c>
      <c r="L1050" s="200" t="str">
        <f>IF(D1050="","",INDEX(製品マスタ!$Q$5:$Q$4999,MATCH('S4'!F1050&amp;'S4'!K1050,製品マスタ!$AO$5:$AO$4999,0)))</f>
        <v>LUMIMAT</v>
      </c>
      <c r="M1050" s="37">
        <v>1005</v>
      </c>
      <c r="N1050" s="37">
        <v>3200</v>
      </c>
      <c r="O1050" s="153">
        <v>1</v>
      </c>
      <c r="P1050" s="45">
        <v>1</v>
      </c>
      <c r="Q1050" s="54"/>
      <c r="R1050" s="257">
        <f ca="1">IF(D1050="","",IF(OFFSET(D1050,-1,0)&lt;&gt;"","",IF(OR(J1050="リード付け",J1050="巻足し",J1050="巻返しリード付け"),M1050,VLOOKUP(D1050,契約台帳!$A$3:$N$4986,14,FALSE))))</f>
        <v>1000</v>
      </c>
      <c r="S1050" s="258">
        <f ca="1">IF(D1050="","",IF(OFFSET(D1050,-1,0)&lt;&gt;"","",IF(OR(J1050="リード付け",J1050="巻足し",J1050="巻返しリード付け"),M1050,VLOOKUP(D1050,契約台帳!$A$3:$O$4986,15,FALSE))))</f>
        <v>1000</v>
      </c>
      <c r="T1050" s="258">
        <f ca="1">IF(D1050="","",IF(J1050="リード付け",N1050,IF(J1050="巻返しリード付け",N1050,IF(J1050="巻足し",N1050*P1050+OFFSET(N1050,1,0)*OFFSET(P1050,1,0),VLOOKUP(D1050,契約台帳!$A$3:$P$4986,16,FALSE)))))</f>
        <v>3200</v>
      </c>
      <c r="U1050" s="38">
        <v>1</v>
      </c>
      <c r="V1050" s="259">
        <f ca="1">IF(D1050="","",IF(OFFSET(D1050,-2,0)=D1050,"",VLOOKUP(D1050,契約台帳!$A$3:$R$4986,18,FALSE)))</f>
        <v>1</v>
      </c>
      <c r="W1050" s="256" t="str">
        <f ca="1">IF(D1050="","",IF(T1050="","",IF(OR(J1050="巻足し",J1050="巻返しリード付け"),"",IF(J1050="巻返し",VLOOKUP(F1050&amp;K1050&amp;M1050,製品マスタ!$M$5:$AD$4999,18,FALSE),IF(OR(J1050="リード付け",J1050="巻返しリード付け"),"原反コア",IF(J1050="スリット",VLOOKUP(F1050&amp;K1050&amp;R1050,製品マスタ!$N$5:$AD$4999,17,FALSE),""))))))</f>
        <v>6ｲﾝﾁMｺｱ</v>
      </c>
      <c r="X1050" s="256">
        <f ca="1">IF(D1050="","",IF(T1050="","",IF(J1050="巻足し","",IF(J1050="巻返し",VLOOKUP(F1050&amp;K1050&amp;M1050,製品マスタ!$M$5:$AE$4999,19,FALSE),IF(OR(J1050="リード付け",J1050="巻返しリード付け"),"",IF(J1050="スリット",VLOOKUP(F1050&amp;K1050&amp;R1050,製品マスタ!$N$5:$AE$4999,18,FALSE),""))))))</f>
        <v>1020</v>
      </c>
      <c r="Y1050" s="256">
        <f ca="1">IF(D1050="","",IF(T1050="","",VLOOKUP(D1050,契約台帳!$A$3:$Q$4986,17,FALSE)))</f>
        <v>2</v>
      </c>
      <c r="Z1050" s="256" t="str">
        <f ca="1">IF(D1050="","",IF(T1050="","",VLOOKUP(D1050,契約台帳!$A$3:$E$4986,5,FALSE)))</f>
        <v>リンテック㈱</v>
      </c>
      <c r="AA1050" s="54"/>
      <c r="AB1050" s="200">
        <f>IFERROR((VLOOKUP(F1050&amp;K1050&amp;M1050,製品マスタ!$M$5:$AM$4999,27,FALSE)),"")</f>
        <v>0</v>
      </c>
      <c r="AC1050" s="31"/>
      <c r="AD1050" s="184"/>
      <c r="AE1050" s="51"/>
      <c r="AF1050" s="52"/>
      <c r="AG1050" s="41"/>
      <c r="AH1050" s="45"/>
      <c r="AI1050" s="28"/>
      <c r="AJ1050" s="28"/>
      <c r="AK1050" s="28"/>
      <c r="AL1050" s="28"/>
      <c r="AM1050" s="12"/>
      <c r="AN1050" s="12"/>
      <c r="AO1050" s="12"/>
      <c r="AP1050" s="12"/>
      <c r="AQ1050" s="12"/>
      <c r="AR1050" s="13"/>
      <c r="AS1050" s="14"/>
    </row>
    <row r="1051" spans="1:45" s="16" customFormat="1" ht="30.95" hidden="1" customHeight="1" x14ac:dyDescent="0.2">
      <c r="A1051" s="35"/>
      <c r="B1051" s="36"/>
      <c r="C1051" s="43"/>
      <c r="D1051" s="29"/>
      <c r="E1051" s="29"/>
      <c r="F1051" s="255"/>
      <c r="G1051" s="256"/>
      <c r="H1051" s="256"/>
      <c r="I1051" s="200"/>
      <c r="J1051" s="203"/>
      <c r="K1051" s="200"/>
      <c r="L1051" s="200"/>
      <c r="M1051" s="37"/>
      <c r="N1051" s="37"/>
      <c r="O1051" s="153"/>
      <c r="P1051" s="45"/>
      <c r="Q1051" s="54"/>
      <c r="R1051" s="260"/>
      <c r="S1051" s="258"/>
      <c r="T1051" s="258"/>
      <c r="U1051" s="38"/>
      <c r="V1051" s="261"/>
      <c r="W1051" s="256"/>
      <c r="X1051" s="256"/>
      <c r="Y1051" s="256"/>
      <c r="Z1051" s="256"/>
      <c r="AA1051" s="54"/>
      <c r="AB1051" s="200"/>
      <c r="AC1051" s="31"/>
      <c r="AD1051" s="184"/>
      <c r="AE1051" s="51"/>
      <c r="AF1051" s="52"/>
      <c r="AG1051" s="41"/>
      <c r="AH1051" s="207"/>
      <c r="AI1051" s="28"/>
      <c r="AJ1051" s="28"/>
      <c r="AK1051" s="28"/>
      <c r="AL1051" s="28"/>
      <c r="AM1051" s="12"/>
      <c r="AN1051" s="12"/>
      <c r="AO1051" s="12"/>
      <c r="AP1051" s="12"/>
      <c r="AQ1051" s="12"/>
      <c r="AR1051" s="13"/>
      <c r="AS1051" s="14"/>
    </row>
    <row r="1052" spans="1:45" s="16" customFormat="1" ht="30.95" hidden="1" customHeight="1" x14ac:dyDescent="0.2">
      <c r="A1052" s="35"/>
      <c r="B1052" s="36"/>
      <c r="C1052" s="43"/>
      <c r="D1052" s="29">
        <v>3723634</v>
      </c>
      <c r="E1052" s="29">
        <v>4141009</v>
      </c>
      <c r="F1052" s="255" t="str">
        <f>IF(D1052="","",VLOOKUP(D1052,契約台帳!$A$3:$K$4986,6,FALSE)&amp;VLOOKUP(D1052,契約台帳!$A$3:$K$4986,7,FALSE)&amp;VLOOKUP(D1052,契約台帳!$A$3:$K$4986,8,FALSE)&amp;VLOOKUP(D1052,契約台帳!$A$3:$K$4986,9,FALSE)&amp;VLOOKUP(D1052,契約台帳!$A$3:$K$4986,11,FALSE))</f>
        <v>3SNMCLBNGKVB</v>
      </c>
      <c r="G1052" s="256" t="str">
        <f>IF(D1052="","",VLOOKUP(F1052,製品マスタ!$G$5:$H$4999,2,FALSE))</f>
        <v>S</v>
      </c>
      <c r="H1052" s="256" t="str">
        <f>IF(D1052="","",VLOOKUP(F1052,製品マスタ!$G$5:$K$4999,5,FALSE))</f>
        <v>NGKVB</v>
      </c>
      <c r="I1052" s="200" t="str">
        <f>IF(D1052="","",VLOOKUP(F1052,製品マスタ!$G$5:$L$4999,6,FALSE))</f>
        <v>メタルミー　ネーマー銀消　ＶＢ</v>
      </c>
      <c r="J1052" s="203" t="s">
        <v>447</v>
      </c>
      <c r="K1052" s="200">
        <f>IF(D1052="","",VLOOKUP(D1052,契約台帳!$A$3:$L$4986,12,FALSE))</f>
        <v>50</v>
      </c>
      <c r="L1052" s="200" t="str">
        <f>IF(D1052="","",INDEX(製品マスタ!$Q$5:$Q$4999,MATCH('S4'!F1052&amp;'S4'!K1052,製品マスタ!$AO$5:$AO$4999,0)))</f>
        <v>MAT</v>
      </c>
      <c r="M1052" s="37">
        <v>1005</v>
      </c>
      <c r="N1052" s="37">
        <v>12300</v>
      </c>
      <c r="O1052" s="153">
        <v>1</v>
      </c>
      <c r="P1052" s="45">
        <v>1</v>
      </c>
      <c r="Q1052" s="54"/>
      <c r="R1052" s="257">
        <f ca="1">IF(D1052="","",IF(OFFSET(D1052,-1,0)&lt;&gt;"","",IF(OR(J1052="リード付け",J1052="巻足し",J1052="巻返しリード付け"),M1052,VLOOKUP(D1052,契約台帳!$A$3:$N$4986,14,FALSE))))</f>
        <v>1005</v>
      </c>
      <c r="S1052" s="258">
        <f ca="1">IF(D1052="","",IF(OFFSET(D1052,-1,0)&lt;&gt;"","",IF(OR(J1052="リード付け",J1052="巻足し",J1052="巻返しリード付け"),M1052,VLOOKUP(D1052,契約台帳!$A$3:$O$4986,15,FALSE))))</f>
        <v>1000</v>
      </c>
      <c r="T1052" s="258">
        <f ca="1">IF(D1052="","",IF(J1052="リード付け",N1052,IF(J1052="巻返しリード付け",N1052,IF(J1052="巻足し",N1052*P1052+OFFSET(N1052,1,0)*OFFSET(P1052,1,0),VLOOKUP(D1052,契約台帳!$A$3:$P$4986,16,FALSE)))))</f>
        <v>4100</v>
      </c>
      <c r="U1052" s="38">
        <v>3</v>
      </c>
      <c r="V1052" s="259">
        <f ca="1">IF(D1052="","",IF(OFFSET(D1052,-2,0)=D1052,"",VLOOKUP(D1052,契約台帳!$A$3:$R$4986,18,FALSE)))</f>
        <v>3</v>
      </c>
      <c r="W1052" s="256" t="str">
        <f ca="1">IF(D1052="","",IF(T1052="","",IF(OR(J1052="巻足し",J1052="巻返しリード付け"),"",IF(J1052="巻返し",VLOOKUP(F1052&amp;K1052&amp;M1052,製品マスタ!$M$5:$AD$4999,18,FALSE),IF(OR(J1052="リード付け",J1052="巻返しリード付け"),"原反コア",IF(J1052="スリット",VLOOKUP(F1052&amp;K1052&amp;R1052,製品マスタ!$N$5:$AD$4999,17,FALSE),""))))))</f>
        <v>6ｲﾝﾁMｺｱ</v>
      </c>
      <c r="X1052" s="256">
        <f ca="1">IF(D1052="","",IF(T1052="","",IF(J1052="巻足し","",IF(J1052="巻返し",VLOOKUP(F1052&amp;K1052&amp;M1052,製品マスタ!$M$5:$AE$4999,19,FALSE),IF(OR(J1052="リード付け",J1052="巻返しリード付け"),"",IF(J1052="スリット",VLOOKUP(F1052&amp;K1052&amp;R1052,製品マスタ!$N$5:$AE$4999,18,FALSE),""))))))</f>
        <v>1020</v>
      </c>
      <c r="Y1052" s="256">
        <f ca="1">IF(D1052="","",IF(T1052="","",VLOOKUP(D1052,契約台帳!$A$3:$Q$4986,17,FALSE)))</f>
        <v>2</v>
      </c>
      <c r="Z1052" s="256" t="str">
        <f ca="1">IF(D1052="","",IF(T1052="","",VLOOKUP(D1052,契約台帳!$A$3:$E$4986,5,FALSE)))</f>
        <v>リンテック㈱</v>
      </c>
      <c r="AA1052" s="54"/>
      <c r="AB1052" s="200">
        <f>IFERROR((VLOOKUP(F1052&amp;K1052&amp;M1052,製品マスタ!$M$5:$AM$4999,27,FALSE)),"")</f>
        <v>0</v>
      </c>
      <c r="AC1052" s="31"/>
      <c r="AD1052" s="184"/>
      <c r="AE1052" s="51"/>
      <c r="AF1052" s="52"/>
      <c r="AG1052" s="41"/>
      <c r="AH1052" s="45"/>
      <c r="AI1052" s="28"/>
      <c r="AJ1052" s="28"/>
      <c r="AK1052" s="28"/>
      <c r="AL1052" s="28"/>
      <c r="AM1052" s="12"/>
      <c r="AN1052" s="12"/>
      <c r="AO1052" s="12"/>
      <c r="AP1052" s="12"/>
      <c r="AQ1052" s="12"/>
      <c r="AR1052" s="13"/>
      <c r="AS1052" s="14"/>
    </row>
    <row r="1053" spans="1:45" s="16" customFormat="1" ht="30.95" hidden="1" customHeight="1" x14ac:dyDescent="0.2">
      <c r="A1053" s="35"/>
      <c r="B1053" s="36"/>
      <c r="C1053" s="43"/>
      <c r="D1053" s="29"/>
      <c r="E1053" s="29"/>
      <c r="F1053" s="255"/>
      <c r="G1053" s="256"/>
      <c r="H1053" s="256"/>
      <c r="I1053" s="200"/>
      <c r="J1053" s="203"/>
      <c r="K1053" s="200"/>
      <c r="L1053" s="200"/>
      <c r="M1053" s="37"/>
      <c r="N1053" s="37"/>
      <c r="O1053" s="153"/>
      <c r="P1053" s="45"/>
      <c r="Q1053" s="54"/>
      <c r="R1053" s="260"/>
      <c r="S1053" s="258"/>
      <c r="T1053" s="258"/>
      <c r="U1053" s="38"/>
      <c r="V1053" s="261"/>
      <c r="W1053" s="256"/>
      <c r="X1053" s="256"/>
      <c r="Y1053" s="256"/>
      <c r="Z1053" s="256"/>
      <c r="AA1053" s="54"/>
      <c r="AB1053" s="200"/>
      <c r="AC1053" s="31"/>
      <c r="AD1053" s="184"/>
      <c r="AE1053" s="51"/>
      <c r="AF1053" s="52"/>
      <c r="AG1053" s="41"/>
      <c r="AH1053" s="207"/>
      <c r="AI1053" s="28"/>
      <c r="AJ1053" s="28"/>
      <c r="AK1053" s="28"/>
      <c r="AL1053" s="28"/>
      <c r="AM1053" s="12"/>
      <c r="AN1053" s="12"/>
      <c r="AO1053" s="12"/>
      <c r="AP1053" s="12"/>
      <c r="AQ1053" s="12"/>
      <c r="AR1053" s="13"/>
      <c r="AS1053" s="14"/>
    </row>
    <row r="1054" spans="1:45" s="16" customFormat="1" ht="30.95" hidden="1" customHeight="1" x14ac:dyDescent="0.2">
      <c r="A1054" s="35"/>
      <c r="B1054" s="36"/>
      <c r="C1054" s="43"/>
      <c r="D1054" s="29">
        <v>3723640</v>
      </c>
      <c r="E1054" s="29">
        <v>4140998</v>
      </c>
      <c r="F1054" s="255" t="str">
        <f>IF(D1054="","",VLOOKUP(D1054,契約台帳!$A$3:$K$4986,6,FALSE)&amp;VLOOKUP(D1054,契約台帳!$A$3:$K$4986,7,FALSE)&amp;VLOOKUP(D1054,契約台帳!$A$3:$K$4986,8,FALSE)&amp;VLOOKUP(D1054,契約台帳!$A$3:$K$4986,9,FALSE)&amp;VLOOKUP(D1054,契約台帳!$A$3:$K$4986,11,FALSE))</f>
        <v>33SSNMCLBTEKKFV</v>
      </c>
      <c r="G1054" s="256" t="str">
        <f>IF(D1054="","",VLOOKUP(F1054,製品マスタ!$G$5:$H$4999,2,FALSE))</f>
        <v>S</v>
      </c>
      <c r="H1054" s="256" t="str">
        <f>IF(D1054="","",VLOOKUP(F1054,製品マスタ!$G$5:$K$4999,5,FALSE))</f>
        <v>TEKKFV</v>
      </c>
      <c r="I1054" s="200" t="str">
        <f>IF(D1054="","",VLOOKUP(F1054,製品マスタ!$G$5:$L$4999,6,FALSE))</f>
        <v>メタルミー　ＴＥＳ消開封　Ｖ</v>
      </c>
      <c r="J1054" s="203" t="s">
        <v>447</v>
      </c>
      <c r="K1054" s="200">
        <f>IF(D1054="","",VLOOKUP(D1054,契約台帳!$A$3:$L$4986,12,FALSE))</f>
        <v>50</v>
      </c>
      <c r="L1054" s="200" t="str">
        <f>IF(D1054="","",INDEX(製品マスタ!$Q$5:$Q$4999,MATCH('S4'!F1054&amp;'S4'!K1054,製品マスタ!$AO$5:$AO$4999,0)))</f>
        <v>X44SEPA</v>
      </c>
      <c r="M1054" s="37">
        <v>1005</v>
      </c>
      <c r="N1054" s="37">
        <v>12000</v>
      </c>
      <c r="O1054" s="153">
        <v>1</v>
      </c>
      <c r="P1054" s="45">
        <v>1</v>
      </c>
      <c r="Q1054" s="54"/>
      <c r="R1054" s="257">
        <f ca="1">IF(D1054="","",IF(OFFSET(D1054,-1,0)&lt;&gt;"","",IF(OR(J1054="リード付け",J1054="巻足し",J1054="巻返しリード付け"),M1054,VLOOKUP(D1054,契約台帳!$A$3:$N$4986,14,FALSE))))</f>
        <v>1005</v>
      </c>
      <c r="S1054" s="258">
        <f ca="1">IF(D1054="","",IF(OFFSET(D1054,-1,0)&lt;&gt;"","",IF(OR(J1054="リード付け",J1054="巻足し",J1054="巻返しリード付け"),M1054,VLOOKUP(D1054,契約台帳!$A$3:$O$4986,15,FALSE))))</f>
        <v>1000</v>
      </c>
      <c r="T1054" s="258">
        <f ca="1">IF(D1054="","",IF(J1054="リード付け",N1054,IF(J1054="巻返しリード付け",N1054,IF(J1054="巻足し",N1054*P1054+OFFSET(N1054,1,0)*OFFSET(P1054,1,0),VLOOKUP(D1054,契約台帳!$A$3:$P$4986,16,FALSE)))))</f>
        <v>4000</v>
      </c>
      <c r="U1054" s="38">
        <v>3</v>
      </c>
      <c r="V1054" s="259">
        <f ca="1">IF(D1054="","",IF(OFFSET(D1054,-2,0)=D1054,"",VLOOKUP(D1054,契約台帳!$A$3:$R$4986,18,FALSE)))</f>
        <v>3</v>
      </c>
      <c r="W1054" s="256" t="str">
        <f ca="1">IF(D1054="","",IF(T1054="","",IF(OR(J1054="巻足し",J1054="巻返しリード付け"),"",IF(J1054="巻返し",VLOOKUP(F1054&amp;K1054&amp;M1054,製品マスタ!$M$5:$AD$4999,18,FALSE),IF(OR(J1054="リード付け",J1054="巻返しリード付け"),"原反コア",IF(J1054="スリット",VLOOKUP(F1054&amp;K1054&amp;R1054,製品マスタ!$N$5:$AD$4999,17,FALSE),""))))))</f>
        <v>6ｲﾝﾁSｺｱ</v>
      </c>
      <c r="X1054" s="256">
        <f ca="1">IF(D1054="","",IF(T1054="","",IF(J1054="巻足し","",IF(J1054="巻返し",VLOOKUP(F1054&amp;K1054&amp;M1054,製品マスタ!$M$5:$AE$4999,19,FALSE),IF(OR(J1054="リード付け",J1054="巻返しリード付け"),"",IF(J1054="スリット",VLOOKUP(F1054&amp;K1054&amp;R1054,製品マスタ!$N$5:$AE$4999,18,FALSE),""))))))</f>
        <v>1015</v>
      </c>
      <c r="Y1054" s="256">
        <f ca="1">IF(D1054="","",IF(T1054="","",VLOOKUP(D1054,契約台帳!$A$3:$Q$4986,17,FALSE)))</f>
        <v>2</v>
      </c>
      <c r="Z1054" s="256" t="str">
        <f ca="1">IF(D1054="","",IF(T1054="","",VLOOKUP(D1054,契約台帳!$A$3:$E$4986,5,FALSE)))</f>
        <v>リンテック㈱</v>
      </c>
      <c r="AA1054" s="54"/>
      <c r="AB1054" s="200"/>
      <c r="AC1054" s="31"/>
      <c r="AD1054" s="184"/>
      <c r="AE1054" s="51"/>
      <c r="AF1054" s="52"/>
      <c r="AG1054" s="41"/>
      <c r="AH1054" s="207"/>
      <c r="AI1054" s="28"/>
      <c r="AJ1054" s="28"/>
      <c r="AK1054" s="28"/>
      <c r="AL1054" s="28"/>
      <c r="AM1054" s="12"/>
      <c r="AN1054" s="12"/>
      <c r="AO1054" s="12"/>
      <c r="AP1054" s="12"/>
      <c r="AQ1054" s="12"/>
      <c r="AR1054" s="13"/>
      <c r="AS1054" s="14"/>
    </row>
    <row r="1055" spans="1:45" s="16" customFormat="1" ht="30.95" hidden="1" customHeight="1" x14ac:dyDescent="0.2">
      <c r="A1055" s="35"/>
      <c r="B1055" s="36"/>
      <c r="C1055" s="43"/>
      <c r="D1055" s="29"/>
      <c r="E1055" s="29"/>
      <c r="F1055" s="255"/>
      <c r="G1055" s="256"/>
      <c r="H1055" s="256"/>
      <c r="I1055" s="200"/>
      <c r="J1055" s="203"/>
      <c r="K1055" s="200"/>
      <c r="L1055" s="200"/>
      <c r="M1055" s="37"/>
      <c r="N1055" s="37"/>
      <c r="O1055" s="153"/>
      <c r="P1055" s="45"/>
      <c r="Q1055" s="54"/>
      <c r="R1055" s="260"/>
      <c r="S1055" s="258"/>
      <c r="T1055" s="258"/>
      <c r="U1055" s="38"/>
      <c r="V1055" s="261"/>
      <c r="W1055" s="256"/>
      <c r="X1055" s="256"/>
      <c r="Y1055" s="256"/>
      <c r="Z1055" s="256"/>
      <c r="AA1055" s="54"/>
      <c r="AB1055" s="200"/>
      <c r="AC1055" s="31"/>
      <c r="AD1055" s="184"/>
      <c r="AE1055" s="51"/>
      <c r="AF1055" s="52"/>
      <c r="AG1055" s="41"/>
      <c r="AH1055" s="207"/>
      <c r="AI1055" s="28"/>
      <c r="AJ1055" s="28"/>
      <c r="AK1055" s="28"/>
      <c r="AL1055" s="28"/>
      <c r="AM1055" s="12"/>
      <c r="AN1055" s="12"/>
      <c r="AO1055" s="12"/>
      <c r="AP1055" s="12"/>
      <c r="AQ1055" s="12"/>
      <c r="AR1055" s="13"/>
      <c r="AS1055" s="14"/>
    </row>
    <row r="1056" spans="1:45" s="16" customFormat="1" ht="30.95" hidden="1" customHeight="1" x14ac:dyDescent="0.2">
      <c r="A1056" s="35"/>
      <c r="B1056" s="36"/>
      <c r="C1056" s="43"/>
      <c r="D1056" s="29">
        <v>3723641</v>
      </c>
      <c r="E1056" s="29">
        <v>4140999</v>
      </c>
      <c r="F1056" s="255" t="str">
        <f>IF(D1056="","",VLOOKUP(D1056,契約台帳!$A$3:$K$4986,6,FALSE)&amp;VLOOKUP(D1056,契約台帳!$A$3:$K$4986,7,FALSE)&amp;VLOOKUP(D1056,契約台帳!$A$3:$K$4986,8,FALSE)&amp;VLOOKUP(D1056,契約台帳!$A$3:$K$4986,9,FALSE)&amp;VLOOKUP(D1056,契約台帳!$A$3:$K$4986,11,FALSE))</f>
        <v>33SSNMCLBTEKV0V</v>
      </c>
      <c r="G1056" s="256" t="str">
        <f>IF(D1056="","",VLOOKUP(F1056,製品マスタ!$G$5:$H$4999,2,FALSE))</f>
        <v>S</v>
      </c>
      <c r="H1056" s="256" t="str">
        <f>IF(D1056="","",VLOOKUP(F1056,製品マスタ!$G$5:$K$4999,5,FALSE))</f>
        <v>TEKV0V</v>
      </c>
      <c r="I1056" s="200" t="str">
        <f>IF(D1056="","",VLOOKUP(F1056,製品マスタ!$G$5:$L$4999,6,FALSE))</f>
        <v>メタルミー　ＴＥ－Ｓ消　ＶＯＩＤ　Ｖ</v>
      </c>
      <c r="J1056" s="203" t="s">
        <v>447</v>
      </c>
      <c r="K1056" s="200">
        <f>IF(D1056="","",VLOOKUP(D1056,契約台帳!$A$3:$L$4986,12,FALSE))</f>
        <v>50</v>
      </c>
      <c r="L1056" s="200" t="str">
        <f>IF(D1056="","",INDEX(製品マスタ!$Q$5:$Q$4999,MATCH('S4'!F1056&amp;'S4'!K1056,製品マスタ!$AO$5:$AO$4999,0)))</f>
        <v>X44SEPA</v>
      </c>
      <c r="M1056" s="37">
        <v>1005</v>
      </c>
      <c r="N1056" s="37">
        <v>12000</v>
      </c>
      <c r="O1056" s="153">
        <v>1</v>
      </c>
      <c r="P1056" s="45">
        <v>1</v>
      </c>
      <c r="Q1056" s="54"/>
      <c r="R1056" s="257">
        <f ca="1">IF(D1056="","",IF(OFFSET(D1056,-1,0)&lt;&gt;"","",IF(OR(J1056="リード付け",J1056="巻足し",J1056="巻返しリード付け"),M1056,VLOOKUP(D1056,契約台帳!$A$3:$N$4986,14,FALSE))))</f>
        <v>1005</v>
      </c>
      <c r="S1056" s="258">
        <f ca="1">IF(D1056="","",IF(OFFSET(D1056,-1,0)&lt;&gt;"","",IF(OR(J1056="リード付け",J1056="巻足し",J1056="巻返しリード付け"),M1056,VLOOKUP(D1056,契約台帳!$A$3:$O$4986,15,FALSE))))</f>
        <v>1000</v>
      </c>
      <c r="T1056" s="258">
        <f ca="1">IF(D1056="","",IF(J1056="リード付け",N1056,IF(J1056="巻返しリード付け",N1056,IF(J1056="巻足し",N1056*P1056+OFFSET(N1056,1,0)*OFFSET(P1056,1,0),VLOOKUP(D1056,契約台帳!$A$3:$P$4986,16,FALSE)))))</f>
        <v>4000</v>
      </c>
      <c r="U1056" s="38">
        <v>3</v>
      </c>
      <c r="V1056" s="259">
        <f ca="1">IF(D1056="","",IF(OFFSET(D1056,-2,0)=D1056,"",VLOOKUP(D1056,契約台帳!$A$3:$R$4986,18,FALSE)))</f>
        <v>3</v>
      </c>
      <c r="W1056" s="256" t="str">
        <f ca="1">IF(D1056="","",IF(T1056="","",IF(OR(J1056="巻足し",J1056="巻返しリード付け"),"",IF(J1056="巻返し",VLOOKUP(F1056&amp;K1056&amp;M1056,製品マスタ!$M$5:$AD$4999,18,FALSE),IF(OR(J1056="リード付け",J1056="巻返しリード付け"),"原反コア",IF(J1056="スリット",VLOOKUP(F1056&amp;K1056&amp;R1056,製品マスタ!$N$5:$AD$4999,17,FALSE),""))))))</f>
        <v>6ｲﾝﾁSｺｱ</v>
      </c>
      <c r="X1056" s="256">
        <f ca="1">IF(D1056="","",IF(T1056="","",IF(J1056="巻足し","",IF(J1056="巻返し",VLOOKUP(F1056&amp;K1056&amp;M1056,製品マスタ!$M$5:$AE$4999,19,FALSE),IF(OR(J1056="リード付け",J1056="巻返しリード付け"),"",IF(J1056="スリット",VLOOKUP(F1056&amp;K1056&amp;R1056,製品マスタ!$N$5:$AE$4999,18,FALSE),""))))))</f>
        <v>1015</v>
      </c>
      <c r="Y1056" s="256">
        <f ca="1">IF(D1056="","",IF(T1056="","",VLOOKUP(D1056,契約台帳!$A$3:$Q$4986,17,FALSE)))</f>
        <v>2</v>
      </c>
      <c r="Z1056" s="256" t="str">
        <f ca="1">IF(D1056="","",IF(T1056="","",VLOOKUP(D1056,契約台帳!$A$3:$E$4986,5,FALSE)))</f>
        <v>リンテック㈱</v>
      </c>
      <c r="AA1056" s="54"/>
      <c r="AB1056" s="200"/>
      <c r="AC1056" s="31"/>
      <c r="AD1056" s="184"/>
      <c r="AE1056" s="51"/>
      <c r="AF1056" s="52"/>
      <c r="AG1056" s="41"/>
      <c r="AH1056" s="207"/>
      <c r="AI1056" s="28"/>
      <c r="AJ1056" s="28"/>
      <c r="AK1056" s="28"/>
      <c r="AL1056" s="28"/>
      <c r="AM1056" s="12"/>
      <c r="AN1056" s="12"/>
      <c r="AO1056" s="12"/>
      <c r="AP1056" s="12"/>
      <c r="AQ1056" s="12"/>
      <c r="AR1056" s="13"/>
      <c r="AS1056" s="14"/>
    </row>
    <row r="1057" spans="1:45" s="16" customFormat="1" ht="30.95" hidden="1" customHeight="1" x14ac:dyDescent="0.2">
      <c r="A1057" s="35"/>
      <c r="B1057" s="36"/>
      <c r="C1057" s="43"/>
      <c r="D1057" s="29"/>
      <c r="E1057" s="29"/>
      <c r="F1057" s="255"/>
      <c r="G1057" s="256"/>
      <c r="H1057" s="256"/>
      <c r="I1057" s="200"/>
      <c r="J1057" s="203"/>
      <c r="K1057" s="200"/>
      <c r="L1057" s="200"/>
      <c r="M1057" s="37"/>
      <c r="N1057" s="37"/>
      <c r="O1057" s="153"/>
      <c r="P1057" s="45"/>
      <c r="Q1057" s="54"/>
      <c r="R1057" s="260"/>
      <c r="S1057" s="258"/>
      <c r="T1057" s="258"/>
      <c r="U1057" s="38"/>
      <c r="V1057" s="261"/>
      <c r="W1057" s="256"/>
      <c r="X1057" s="256"/>
      <c r="Y1057" s="256"/>
      <c r="Z1057" s="256"/>
      <c r="AA1057" s="54"/>
      <c r="AB1057" s="200"/>
      <c r="AC1057" s="31"/>
      <c r="AD1057" s="184"/>
      <c r="AE1057" s="51"/>
      <c r="AF1057" s="52"/>
      <c r="AG1057" s="41"/>
      <c r="AH1057" s="207"/>
      <c r="AI1057" s="28"/>
      <c r="AJ1057" s="28"/>
      <c r="AK1057" s="28"/>
      <c r="AL1057" s="28"/>
      <c r="AM1057" s="12"/>
      <c r="AN1057" s="12"/>
      <c r="AO1057" s="12"/>
      <c r="AP1057" s="12"/>
      <c r="AQ1057" s="12"/>
      <c r="AR1057" s="13"/>
      <c r="AS1057" s="14"/>
    </row>
    <row r="1058" spans="1:45" s="16" customFormat="1" ht="30.95" hidden="1" customHeight="1" x14ac:dyDescent="0.2">
      <c r="A1058" s="35"/>
      <c r="B1058" s="36"/>
      <c r="C1058" s="43"/>
      <c r="D1058" s="29">
        <v>3723642</v>
      </c>
      <c r="E1058" s="29">
        <v>4141000</v>
      </c>
      <c r="F1058" s="255" t="str">
        <f>IF(D1058="","",VLOOKUP(D1058,契約台帳!$A$3:$K$4986,6,FALSE)&amp;VLOOKUP(D1058,契約台帳!$A$3:$K$4986,7,FALSE)&amp;VLOOKUP(D1058,契約台帳!$A$3:$K$4986,8,FALSE)&amp;VLOOKUP(D1058,契約台帳!$A$3:$K$4986,9,FALSE)&amp;VLOOKUP(D1058,契約台帳!$A$3:$K$4986,11,FALSE))</f>
        <v>33SSNMCLBTEKV0V</v>
      </c>
      <c r="G1058" s="256" t="str">
        <f>IF(D1058="","",VLOOKUP(F1058,製品マスタ!$G$5:$H$4999,2,FALSE))</f>
        <v>S</v>
      </c>
      <c r="H1058" s="256" t="str">
        <f>IF(D1058="","",VLOOKUP(F1058,製品マスタ!$G$5:$K$4999,5,FALSE))</f>
        <v>TEKV0V</v>
      </c>
      <c r="I1058" s="200" t="str">
        <f>IF(D1058="","",VLOOKUP(F1058,製品マスタ!$G$5:$L$4999,6,FALSE))</f>
        <v>メタルミー　ＴＥ－Ｓ消　ＶＯＩＤ　Ｖ</v>
      </c>
      <c r="J1058" s="203" t="s">
        <v>447</v>
      </c>
      <c r="K1058" s="200">
        <f>IF(D1058="","",VLOOKUP(D1058,契約台帳!$A$3:$L$4986,12,FALSE))</f>
        <v>50</v>
      </c>
      <c r="L1058" s="200" t="str">
        <f>IF(D1058="","",INDEX(製品マスタ!$Q$5:$Q$4999,MATCH('S4'!F1058&amp;'S4'!K1058,製品マスタ!$AO$5:$AO$4999,0)))</f>
        <v>X44SEPA</v>
      </c>
      <c r="M1058" s="37">
        <v>1005</v>
      </c>
      <c r="N1058" s="37">
        <v>12300</v>
      </c>
      <c r="O1058" s="153">
        <v>1</v>
      </c>
      <c r="P1058" s="45">
        <v>1</v>
      </c>
      <c r="Q1058" s="54"/>
      <c r="R1058" s="257">
        <f ca="1">IF(D1058="","",IF(OFFSET(D1058,-1,0)&lt;&gt;"","",IF(OR(J1058="リード付け",J1058="巻足し",J1058="巻返しリード付け"),M1058,VLOOKUP(D1058,契約台帳!$A$3:$N$4986,14,FALSE))))</f>
        <v>1005</v>
      </c>
      <c r="S1058" s="258">
        <f ca="1">IF(D1058="","",IF(OFFSET(D1058,-1,0)&lt;&gt;"","",IF(OR(J1058="リード付け",J1058="巻足し",J1058="巻返しリード付け"),M1058,VLOOKUP(D1058,契約台帳!$A$3:$O$4986,15,FALSE))))</f>
        <v>1000</v>
      </c>
      <c r="T1058" s="258">
        <f ca="1">IF(D1058="","",IF(J1058="リード付け",N1058,IF(J1058="巻返しリード付け",N1058,IF(J1058="巻足し",N1058*P1058+OFFSET(N1058,1,0)*OFFSET(P1058,1,0),VLOOKUP(D1058,契約台帳!$A$3:$P$4986,16,FALSE)))))</f>
        <v>4100</v>
      </c>
      <c r="U1058" s="38">
        <v>3</v>
      </c>
      <c r="V1058" s="259">
        <f ca="1">IF(D1058="","",IF(OFFSET(D1058,-2,0)=D1058,"",VLOOKUP(D1058,契約台帳!$A$3:$R$4986,18,FALSE)))</f>
        <v>3</v>
      </c>
      <c r="W1058" s="256" t="str">
        <f ca="1">IF(D1058="","",IF(T1058="","",IF(OR(J1058="巻足し",J1058="巻返しリード付け"),"",IF(J1058="巻返し",VLOOKUP(F1058&amp;K1058&amp;M1058,製品マスタ!$M$5:$AD$4999,18,FALSE),IF(OR(J1058="リード付け",J1058="巻返しリード付け"),"原反コア",IF(J1058="スリット",VLOOKUP(F1058&amp;K1058&amp;R1058,製品マスタ!$N$5:$AD$4999,17,FALSE),""))))))</f>
        <v>6ｲﾝﾁSｺｱ</v>
      </c>
      <c r="X1058" s="256">
        <f ca="1">IF(D1058="","",IF(T1058="","",IF(J1058="巻足し","",IF(J1058="巻返し",VLOOKUP(F1058&amp;K1058&amp;M1058,製品マスタ!$M$5:$AE$4999,19,FALSE),IF(OR(J1058="リード付け",J1058="巻返しリード付け"),"",IF(J1058="スリット",VLOOKUP(F1058&amp;K1058&amp;R1058,製品マスタ!$N$5:$AE$4999,18,FALSE),""))))))</f>
        <v>1015</v>
      </c>
      <c r="Y1058" s="256">
        <f ca="1">IF(D1058="","",IF(T1058="","",VLOOKUP(D1058,契約台帳!$A$3:$Q$4986,17,FALSE)))</f>
        <v>2</v>
      </c>
      <c r="Z1058" s="256" t="str">
        <f ca="1">IF(D1058="","",IF(T1058="","",VLOOKUP(D1058,契約台帳!$A$3:$E$4986,5,FALSE)))</f>
        <v>リンテック㈱</v>
      </c>
      <c r="AA1058" s="54"/>
      <c r="AB1058" s="200"/>
      <c r="AC1058" s="31"/>
      <c r="AD1058" s="184"/>
      <c r="AE1058" s="51"/>
      <c r="AF1058" s="52"/>
      <c r="AG1058" s="41"/>
      <c r="AH1058" s="207"/>
      <c r="AI1058" s="28"/>
      <c r="AJ1058" s="28"/>
      <c r="AK1058" s="28"/>
      <c r="AL1058" s="28"/>
      <c r="AM1058" s="12"/>
      <c r="AN1058" s="12"/>
      <c r="AO1058" s="12"/>
      <c r="AP1058" s="12"/>
      <c r="AQ1058" s="12"/>
      <c r="AR1058" s="13"/>
      <c r="AS1058" s="14"/>
    </row>
    <row r="1059" spans="1:45" s="16" customFormat="1" ht="30.95" hidden="1" customHeight="1" x14ac:dyDescent="0.2">
      <c r="A1059" s="35"/>
      <c r="B1059" s="36"/>
      <c r="C1059" s="43"/>
      <c r="D1059" s="29"/>
      <c r="E1059" s="29"/>
      <c r="F1059" s="255"/>
      <c r="G1059" s="256"/>
      <c r="H1059" s="256"/>
      <c r="I1059" s="200"/>
      <c r="J1059" s="203"/>
      <c r="K1059" s="200"/>
      <c r="L1059" s="200"/>
      <c r="M1059" s="37"/>
      <c r="N1059" s="37"/>
      <c r="O1059" s="153"/>
      <c r="P1059" s="45"/>
      <c r="Q1059" s="54"/>
      <c r="R1059" s="260"/>
      <c r="S1059" s="258"/>
      <c r="T1059" s="258"/>
      <c r="U1059" s="38"/>
      <c r="V1059" s="261"/>
      <c r="W1059" s="256"/>
      <c r="X1059" s="256"/>
      <c r="Y1059" s="256"/>
      <c r="Z1059" s="256"/>
      <c r="AA1059" s="54"/>
      <c r="AB1059" s="200"/>
      <c r="AC1059" s="31"/>
      <c r="AD1059" s="184"/>
      <c r="AE1059" s="51"/>
      <c r="AF1059" s="52"/>
      <c r="AG1059" s="41"/>
      <c r="AH1059" s="207"/>
      <c r="AI1059" s="28"/>
      <c r="AJ1059" s="28"/>
      <c r="AK1059" s="28"/>
      <c r="AL1059" s="28"/>
      <c r="AM1059" s="12"/>
      <c r="AN1059" s="12"/>
      <c r="AO1059" s="12"/>
      <c r="AP1059" s="12"/>
      <c r="AQ1059" s="12"/>
      <c r="AR1059" s="13"/>
      <c r="AS1059" s="14"/>
    </row>
    <row r="1060" spans="1:45" s="16" customFormat="1" ht="30.95" hidden="1" customHeight="1" x14ac:dyDescent="0.2">
      <c r="A1060" s="35" t="s">
        <v>570</v>
      </c>
      <c r="B1060" s="36" t="s">
        <v>444</v>
      </c>
      <c r="C1060" s="43"/>
      <c r="D1060" s="29">
        <v>3723645</v>
      </c>
      <c r="E1060" s="29">
        <v>4141001</v>
      </c>
      <c r="F1060" s="255" t="str">
        <f>IF(D1060="","",VLOOKUP(D1060,契約台帳!$A$3:$K$4986,6,FALSE)&amp;VLOOKUP(D1060,契約台帳!$A$3:$K$4986,7,FALSE)&amp;VLOOKUP(D1060,契約台帳!$A$3:$K$4986,8,FALSE)&amp;VLOOKUP(D1060,契約台帳!$A$3:$K$4986,9,FALSE)&amp;VLOOKUP(D1060,契約台帳!$A$3:$K$4986,11,FALSE))</f>
        <v>3SNMCLBHLGTV</v>
      </c>
      <c r="G1060" s="256" t="str">
        <f>IF(D1060="","",VLOOKUP(F1060,製品マスタ!$G$5:$H$4999,2,FALSE))</f>
        <v>S</v>
      </c>
      <c r="H1060" s="256" t="str">
        <f>IF(D1060="","",VLOOKUP(F1060,製品マスタ!$G$5:$K$4999,5,FALSE))</f>
        <v>HLGTV</v>
      </c>
      <c r="I1060" s="200" t="str">
        <f>IF(D1060="","",VLOOKUP(F1060,製品マスタ!$G$5:$L$4999,6,FALSE))</f>
        <v>メタルミー　ヘヤライン　銀艶Ｖ</v>
      </c>
      <c r="J1060" s="203" t="s">
        <v>447</v>
      </c>
      <c r="K1060" s="200">
        <f>IF(D1060="","",VLOOKUP(D1060,契約台帳!$A$3:$L$4986,12,FALSE))</f>
        <v>50</v>
      </c>
      <c r="L1060" s="200" t="str">
        <f>IF(D1060="","",INDEX(製品マスタ!$Q$5:$Q$4999,MATCH('S4'!F1060&amp;'S4'!K1060,製品マスタ!$AO$5:$AO$4999,0)))</f>
        <v>BRIGHT</v>
      </c>
      <c r="M1060" s="37">
        <v>1005</v>
      </c>
      <c r="N1060" s="37">
        <v>12300</v>
      </c>
      <c r="O1060" s="153">
        <v>1</v>
      </c>
      <c r="P1060" s="45">
        <v>1</v>
      </c>
      <c r="Q1060" s="54"/>
      <c r="R1060" s="257">
        <f ca="1">IF(D1060="","",IF(OFFSET(D1060,-1,0)&lt;&gt;"","",IF(OR(J1060="リード付け",J1060="巻足し",J1060="巻返しリード付け"),M1060,VLOOKUP(D1060,契約台帳!$A$3:$N$4986,14,FALSE))))</f>
        <v>1005</v>
      </c>
      <c r="S1060" s="258">
        <f ca="1">IF(D1060="","",IF(OFFSET(D1060,-1,0)&lt;&gt;"","",IF(OR(J1060="リード付け",J1060="巻足し",J1060="巻返しリード付け"),M1060,VLOOKUP(D1060,契約台帳!$A$3:$O$4986,15,FALSE))))</f>
        <v>1000</v>
      </c>
      <c r="T1060" s="258">
        <f ca="1">IF(D1060="","",IF(J1060="リード付け",N1060,IF(J1060="巻返しリード付け",N1060,IF(J1060="巻足し",N1060*P1060+OFFSET(N1060,1,0)*OFFSET(P1060,1,0),VLOOKUP(D1060,契約台帳!$A$3:$P$4986,16,FALSE)))))</f>
        <v>4100</v>
      </c>
      <c r="U1060" s="38">
        <v>1</v>
      </c>
      <c r="V1060" s="259">
        <f ca="1">IF(D1060="","",IF(OFFSET(D1060,-2,0)=D1060,"",VLOOKUP(D1060,契約台帳!$A$3:$R$4986,18,FALSE)))</f>
        <v>1</v>
      </c>
      <c r="W1060" s="256" t="str">
        <f ca="1">IF(D1060="","",IF(T1060="","",IF(OR(J1060="巻足し",J1060="巻返しリード付け"),"",IF(J1060="巻返し",VLOOKUP(F1060&amp;K1060&amp;M1060,製品マスタ!$M$5:$AD$4999,18,FALSE),IF(OR(J1060="リード付け",J1060="巻返しリード付け"),"原反コア",IF(J1060="スリット",VLOOKUP(F1060&amp;K1060&amp;R1060,製品マスタ!$N$5:$AD$4999,17,FALSE),""))))))</f>
        <v>6ｲﾝﾁSｺｱ</v>
      </c>
      <c r="X1060" s="256">
        <f ca="1">IF(D1060="","",IF(T1060="","",IF(J1060="巻足し","",IF(J1060="巻返し",VLOOKUP(F1060&amp;K1060&amp;M1060,製品マスタ!$M$5:$AE$4999,19,FALSE),IF(OR(J1060="リード付け",J1060="巻返しリード付け"),"",IF(J1060="スリット",VLOOKUP(F1060&amp;K1060&amp;R1060,製品マスタ!$N$5:$AE$4999,18,FALSE),""))))))</f>
        <v>1015</v>
      </c>
      <c r="Y1060" s="256">
        <f ca="1">IF(D1060="","",IF(T1060="","",VLOOKUP(D1060,契約台帳!$A$3:$Q$4986,17,FALSE)))</f>
        <v>2</v>
      </c>
      <c r="Z1060" s="256" t="str">
        <f ca="1">IF(D1060="","",IF(T1060="","",VLOOKUP(D1060,契約台帳!$A$3:$E$4986,5,FALSE)))</f>
        <v>リンテック㈱</v>
      </c>
      <c r="AA1060" s="54"/>
      <c r="AB1060" s="200">
        <f>IFERROR((VLOOKUP(F1060&amp;K1060&amp;M1060,製品マスタ!$M$5:$AM$4999,27,FALSE)),"")</f>
        <v>0</v>
      </c>
      <c r="AC1060" s="31"/>
      <c r="AD1060" s="184"/>
      <c r="AE1060" s="51"/>
      <c r="AF1060" s="52"/>
      <c r="AG1060" s="41"/>
      <c r="AH1060" s="45"/>
      <c r="AI1060" s="28"/>
      <c r="AJ1060" s="28"/>
      <c r="AK1060" s="28"/>
      <c r="AL1060" s="28"/>
      <c r="AM1060" s="12"/>
      <c r="AN1060" s="12"/>
      <c r="AO1060" s="12"/>
      <c r="AP1060" s="12"/>
      <c r="AQ1060" s="12"/>
      <c r="AR1060" s="13"/>
      <c r="AS1060" s="14"/>
    </row>
    <row r="1061" spans="1:45" s="16" customFormat="1" ht="30.95" hidden="1" customHeight="1" x14ac:dyDescent="0.2">
      <c r="A1061" s="35"/>
      <c r="B1061" s="36"/>
      <c r="C1061" s="43"/>
      <c r="D1061" s="29">
        <v>3725778</v>
      </c>
      <c r="E1061" s="29"/>
      <c r="F1061" s="255" t="str">
        <f>IF(D1061="","",VLOOKUP(D1061,契約台帳!$A$3:$K$4986,6,FALSE)&amp;VLOOKUP(D1061,契約台帳!$A$3:$K$4986,7,FALSE)&amp;VLOOKUP(D1061,契約台帳!$A$3:$K$4986,8,FALSE)&amp;VLOOKUP(D1061,契約台帳!$A$3:$K$4986,9,FALSE)&amp;VLOOKUP(D1061,契約台帳!$A$3:$K$4986,11,FALSE))</f>
        <v>3TNMCLBHLGTV</v>
      </c>
      <c r="G1061" s="256" t="str">
        <f>IF(D1061="","",VLOOKUP(F1061,製品マスタ!$G$5:$H$4999,2,FALSE))</f>
        <v>T</v>
      </c>
      <c r="H1061" s="256" t="str">
        <f>IF(D1061="","",VLOOKUP(F1061,製品マスタ!$G$5:$K$4999,5,FALSE))</f>
        <v>HLGTV</v>
      </c>
      <c r="I1061" s="200" t="str">
        <f>IF(D1061="","",VLOOKUP(F1061,製品マスタ!$G$5:$L$4999,6,FALSE))</f>
        <v>メタルミー　ヘヤライン　銀艶Ｖ</v>
      </c>
      <c r="J1061" s="203" t="s">
        <v>447</v>
      </c>
      <c r="K1061" s="200">
        <f>IF(D1061="","",VLOOKUP(D1061,契約台帳!$A$3:$L$4986,12,FALSE))</f>
        <v>50</v>
      </c>
      <c r="L1061" s="200" t="str">
        <f>IF(D1061="","",INDEX(製品マスタ!$Q$5:$Q$4999,MATCH('S4'!F1061&amp;'S4'!K1061,製品マスタ!$AO$5:$AO$4999,0)))</f>
        <v>BRIGHT</v>
      </c>
      <c r="M1061" s="37">
        <v>1005</v>
      </c>
      <c r="N1061" s="37"/>
      <c r="O1061" s="153"/>
      <c r="P1061" s="45"/>
      <c r="Q1061" s="54"/>
      <c r="R1061" s="257" t="str">
        <f ca="1">IF(D1061="","",IF(OFFSET(D1061,-1,0)&lt;&gt;"","",IF(OR(J1061="リード付け",J1061="巻足し",J1061="巻返しリード付け"),M1061,VLOOKUP(D1061,契約台帳!$A$3:$N$4986,14,FALSE))))</f>
        <v/>
      </c>
      <c r="S1061" s="258" t="str">
        <f ca="1">IF(D1061="","",IF(OFFSET(D1061,-1,0)&lt;&gt;"","",IF(OR(J1061="リード付け",J1061="巻足し",J1061="巻返しリード付け"),M1061,VLOOKUP(D1061,契約台帳!$A$3:$O$4986,15,FALSE))))</f>
        <v/>
      </c>
      <c r="T1061" s="258">
        <f ca="1">IF(D1061="","",IF(J1061="リード付け",N1061,IF(J1061="巻返しリード付け",N1061,IF(J1061="巻足し",N1061*P1061+OFFSET(N1061,1,0)*OFFSET(P1061,1,0),VLOOKUP(D1061,契約台帳!$A$3:$P$4986,16,FALSE)))))</f>
        <v>4100</v>
      </c>
      <c r="U1061" s="38">
        <v>2</v>
      </c>
      <c r="V1061" s="259">
        <f ca="1">IF(D1061="","",IF(OFFSET(D1061,-2,0)=D1061,"",VLOOKUP(D1061,契約台帳!$A$3:$R$4986,18,FALSE)))</f>
        <v>5</v>
      </c>
      <c r="W1061" s="256" t="str">
        <f ca="1">IF(D1061="","",IF(T1061="","",IF(OR(J1061="巻足し",J1061="巻返しリード付け"),"",IF(J1061="巻返し",VLOOKUP(F1061&amp;K1061&amp;M1061,製品マスタ!$M$5:$AD$4999,18,FALSE),IF(OR(J1061="リード付け",J1061="巻返しリード付け"),"原反コア",IF(J1061="スリット",VLOOKUP(F1061&amp;K1061&amp;R1061,製品マスタ!$N$5:$AD$4999,17,FALSE),""))))))</f>
        <v>6ｲﾝﾁSｺｱ</v>
      </c>
      <c r="X1061" s="256">
        <f ca="1">IF(D1061="","",IF(T1061="","",IF(J1061="巻足し","",IF(J1061="巻返し",VLOOKUP(F1061&amp;K1061&amp;M1061,製品マスタ!$M$5:$AE$4999,19,FALSE),IF(OR(J1061="リード付け",J1061="巻返しリード付け"),"",IF(J1061="スリット",VLOOKUP(F1061&amp;K1061&amp;R1061,製品マスタ!$N$5:$AE$4999,18,FALSE),""))))))</f>
        <v>1015</v>
      </c>
      <c r="Y1061" s="256">
        <f ca="1">IF(D1061="","",IF(T1061="","",VLOOKUP(D1061,契約台帳!$A$3:$Q$4986,17,FALSE)))</f>
        <v>2</v>
      </c>
      <c r="Z1061" s="256" t="str">
        <f ca="1">IF(D1061="","",IF(T1061="","",VLOOKUP(D1061,契約台帳!$A$3:$E$4986,5,FALSE)))</f>
        <v>リンテック㈱</v>
      </c>
      <c r="AA1061" s="54"/>
      <c r="AB1061" s="200" t="s">
        <v>774</v>
      </c>
      <c r="AC1061" s="31"/>
      <c r="AD1061" s="184"/>
      <c r="AE1061" s="51"/>
      <c r="AF1061" s="52"/>
      <c r="AG1061" s="41"/>
      <c r="AH1061" s="45"/>
      <c r="AI1061" s="28"/>
      <c r="AJ1061" s="28"/>
      <c r="AK1061" s="28"/>
      <c r="AL1061" s="28"/>
      <c r="AM1061" s="12"/>
      <c r="AN1061" s="12"/>
      <c r="AO1061" s="12"/>
      <c r="AP1061" s="12"/>
      <c r="AQ1061" s="12"/>
      <c r="AR1061" s="13"/>
      <c r="AS1061" s="14"/>
    </row>
    <row r="1062" spans="1:45" s="16" customFormat="1" ht="30.95" hidden="1" customHeight="1" x14ac:dyDescent="0.2">
      <c r="A1062" s="35"/>
      <c r="B1062" s="36"/>
      <c r="C1062" s="43"/>
      <c r="D1062" s="29"/>
      <c r="E1062" s="29"/>
      <c r="F1062" s="255"/>
      <c r="G1062" s="256"/>
      <c r="H1062" s="256"/>
      <c r="I1062" s="200"/>
      <c r="J1062" s="203"/>
      <c r="K1062" s="200"/>
      <c r="L1062" s="200"/>
      <c r="M1062" s="37"/>
      <c r="N1062" s="37"/>
      <c r="O1062" s="153"/>
      <c r="P1062" s="45"/>
      <c r="Q1062" s="54"/>
      <c r="R1062" s="257"/>
      <c r="S1062" s="258"/>
      <c r="T1062" s="258"/>
      <c r="U1062" s="38"/>
      <c r="V1062" s="259"/>
      <c r="W1062" s="256"/>
      <c r="X1062" s="256"/>
      <c r="Y1062" s="256"/>
      <c r="Z1062" s="256"/>
      <c r="AA1062" s="54"/>
      <c r="AB1062" s="200"/>
      <c r="AC1062" s="31"/>
      <c r="AD1062" s="184"/>
      <c r="AE1062" s="51"/>
      <c r="AF1062" s="52"/>
      <c r="AG1062" s="41"/>
      <c r="AH1062" s="45"/>
      <c r="AI1062" s="28"/>
      <c r="AJ1062" s="28"/>
      <c r="AK1062" s="28"/>
      <c r="AL1062" s="28"/>
      <c r="AM1062" s="12"/>
      <c r="AN1062" s="12"/>
      <c r="AO1062" s="12"/>
      <c r="AP1062" s="12"/>
      <c r="AQ1062" s="12"/>
      <c r="AR1062" s="13"/>
      <c r="AS1062" s="14"/>
    </row>
    <row r="1063" spans="1:45" s="16" customFormat="1" ht="30.95" hidden="1" customHeight="1" x14ac:dyDescent="0.2">
      <c r="A1063" s="35"/>
      <c r="B1063" s="36"/>
      <c r="C1063" s="43"/>
      <c r="D1063" s="29">
        <v>3724504</v>
      </c>
      <c r="E1063" s="29">
        <v>4141013</v>
      </c>
      <c r="F1063" s="255" t="str">
        <f>IF(D1063="","",VLOOKUP(D1063,契約台帳!$A$3:$K$4986,6,FALSE)&amp;VLOOKUP(D1063,契約台帳!$A$3:$K$4986,7,FALSE)&amp;VLOOKUP(D1063,契約台帳!$A$3:$K$4986,8,FALSE)&amp;VLOOKUP(D1063,契約台帳!$A$3:$K$4986,9,FALSE)&amp;VLOOKUP(D1063,契約台帳!$A$3:$K$4986,11,FALSE))</f>
        <v>3TNMCLBHLGKJV</v>
      </c>
      <c r="G1063" s="256" t="str">
        <f>IF(D1063="","",VLOOKUP(F1063,製品マスタ!$G$5:$H$4999,2,FALSE))</f>
        <v>T</v>
      </c>
      <c r="H1063" s="256" t="str">
        <f>IF(D1063="","",VLOOKUP(F1063,製品マスタ!$G$5:$K$4999,5,FALSE))</f>
        <v>HLGKJV</v>
      </c>
      <c r="I1063" s="200" t="str">
        <f>IF(D1063="","",VLOOKUP(F1063,製品マスタ!$G$5:$L$4999,6,FALSE))</f>
        <v>メタルミー　ヘヤライン　銀消Ｖ</v>
      </c>
      <c r="J1063" s="203" t="s">
        <v>447</v>
      </c>
      <c r="K1063" s="200">
        <f>IF(D1063="","",VLOOKUP(D1063,契約台帳!$A$3:$L$4986,12,FALSE))</f>
        <v>50</v>
      </c>
      <c r="L1063" s="200" t="str">
        <f>IF(D1063="","",INDEX(製品マスタ!$Q$5:$Q$4999,MATCH('S4'!F1063&amp;'S4'!K1063,製品マスタ!$AO$5:$AO$4999,0)))</f>
        <v>HL-MAT</v>
      </c>
      <c r="M1063" s="37">
        <v>1005</v>
      </c>
      <c r="N1063" s="37">
        <v>8000</v>
      </c>
      <c r="O1063" s="153">
        <v>1</v>
      </c>
      <c r="P1063" s="45">
        <v>1</v>
      </c>
      <c r="Q1063" s="54"/>
      <c r="R1063" s="257">
        <f ca="1">IF(D1063="","",IF(OFFSET(D1063,-1,0)&lt;&gt;"","",IF(OR(J1063="リード付け",J1063="巻足し",J1063="巻返しリード付け"),M1063,VLOOKUP(D1063,契約台帳!$A$3:$N$4986,14,FALSE))))</f>
        <v>1005</v>
      </c>
      <c r="S1063" s="258">
        <f ca="1">IF(D1063="","",IF(OFFSET(D1063,-1,0)&lt;&gt;"","",IF(OR(J1063="リード付け",J1063="巻足し",J1063="巻返しリード付け"),M1063,VLOOKUP(D1063,契約台帳!$A$3:$O$4986,15,FALSE))))</f>
        <v>1000</v>
      </c>
      <c r="T1063" s="258">
        <f ca="1">IF(D1063="","",IF(J1063="リード付け",N1063,IF(J1063="巻返しリード付け",N1063,IF(J1063="巻足し",N1063*P1063+OFFSET(N1063,1,0)*OFFSET(P1063,1,0),VLOOKUP(D1063,契約台帳!$A$3:$P$4986,16,FALSE)))))</f>
        <v>2000</v>
      </c>
      <c r="U1063" s="38">
        <v>4</v>
      </c>
      <c r="V1063" s="259">
        <f ca="1">IF(D1063="","",IF(OFFSET(D1063,-2,0)=D1063,"",VLOOKUP(D1063,契約台帳!$A$3:$R$4986,18,FALSE)))</f>
        <v>4</v>
      </c>
      <c r="W1063" s="256" t="str">
        <f ca="1">IF(D1063="","",IF(T1063="","",IF(OR(J1063="巻足し",J1063="巻返しリード付け"),"",IF(J1063="巻返し",VLOOKUP(F1063&amp;K1063&amp;M1063,製品マスタ!$M$5:$AD$4999,18,FALSE),IF(OR(J1063="リード付け",J1063="巻返しリード付け"),"原反コア",IF(J1063="スリット",VLOOKUP(F1063&amp;K1063&amp;R1063,製品マスタ!$N$5:$AD$4999,17,FALSE),""))))))</f>
        <v>6ｲﾝﾁSｺｱ</v>
      </c>
      <c r="X1063" s="256">
        <f ca="1">IF(D1063="","",IF(T1063="","",IF(J1063="巻足し","",IF(J1063="巻返し",VLOOKUP(F1063&amp;K1063&amp;M1063,製品マスタ!$M$5:$AE$4999,19,FALSE),IF(OR(J1063="リード付け",J1063="巻返しリード付け"),"",IF(J1063="スリット",VLOOKUP(F1063&amp;K1063&amp;R1063,製品マスタ!$N$5:$AE$4999,18,FALSE),""))))))</f>
        <v>1015</v>
      </c>
      <c r="Y1063" s="256">
        <f ca="1">IF(D1063="","",IF(T1063="","",VLOOKUP(D1063,契約台帳!$A$3:$Q$4986,17,FALSE)))</f>
        <v>2</v>
      </c>
      <c r="Z1063" s="256" t="str">
        <f ca="1">IF(D1063="","",IF(T1063="","",VLOOKUP(D1063,契約台帳!$A$3:$E$4986,5,FALSE)))</f>
        <v>リンテック㈱</v>
      </c>
      <c r="AA1063" s="54"/>
      <c r="AB1063" s="200" t="s">
        <v>774</v>
      </c>
      <c r="AC1063" s="31"/>
      <c r="AD1063" s="184"/>
      <c r="AE1063" s="51"/>
      <c r="AF1063" s="52"/>
      <c r="AG1063" s="41"/>
      <c r="AH1063" s="45"/>
      <c r="AI1063" s="28"/>
      <c r="AJ1063" s="28"/>
      <c r="AK1063" s="28"/>
      <c r="AL1063" s="28"/>
      <c r="AM1063" s="12"/>
      <c r="AN1063" s="12"/>
      <c r="AO1063" s="12"/>
      <c r="AP1063" s="12"/>
      <c r="AQ1063" s="12"/>
      <c r="AR1063" s="13"/>
      <c r="AS1063" s="14"/>
    </row>
    <row r="1064" spans="1:45" s="16" customFormat="1" ht="30.95" hidden="1" customHeight="1" x14ac:dyDescent="0.2">
      <c r="A1064" s="35"/>
      <c r="B1064" s="36"/>
      <c r="C1064" s="43"/>
      <c r="D1064" s="29"/>
      <c r="E1064" s="29"/>
      <c r="F1064" s="255"/>
      <c r="G1064" s="256"/>
      <c r="H1064" s="256"/>
      <c r="I1064" s="200"/>
      <c r="J1064" s="203"/>
      <c r="K1064" s="200"/>
      <c r="L1064" s="200"/>
      <c r="M1064" s="37"/>
      <c r="N1064" s="37"/>
      <c r="O1064" s="153"/>
      <c r="P1064" s="45"/>
      <c r="Q1064" s="54"/>
      <c r="R1064" s="260"/>
      <c r="S1064" s="258"/>
      <c r="T1064" s="258"/>
      <c r="U1064" s="38"/>
      <c r="V1064" s="261"/>
      <c r="W1064" s="256"/>
      <c r="X1064" s="256"/>
      <c r="Y1064" s="256"/>
      <c r="Z1064" s="256"/>
      <c r="AA1064" s="54"/>
      <c r="AB1064" s="200"/>
      <c r="AC1064" s="31"/>
      <c r="AD1064" s="184"/>
      <c r="AE1064" s="51"/>
      <c r="AF1064" s="52"/>
      <c r="AG1064" s="41"/>
      <c r="AH1064" s="45"/>
      <c r="AI1064" s="28"/>
      <c r="AJ1064" s="28"/>
      <c r="AK1064" s="28"/>
      <c r="AL1064" s="28"/>
      <c r="AM1064" s="12"/>
      <c r="AN1064" s="12"/>
      <c r="AO1064" s="12"/>
      <c r="AP1064" s="12"/>
      <c r="AQ1064" s="12"/>
      <c r="AR1064" s="13"/>
      <c r="AS1064" s="14"/>
    </row>
    <row r="1065" spans="1:45" s="16" customFormat="1" ht="30.95" hidden="1" customHeight="1" x14ac:dyDescent="0.2">
      <c r="A1065" s="35" t="s">
        <v>1455</v>
      </c>
      <c r="B1065" s="36" t="s">
        <v>1456</v>
      </c>
      <c r="C1065" s="43"/>
      <c r="D1065" s="29"/>
      <c r="E1065" s="29"/>
      <c r="F1065" s="255"/>
      <c r="G1065" s="256"/>
      <c r="H1065" s="256"/>
      <c r="I1065" s="200"/>
      <c r="J1065" s="203" t="s">
        <v>490</v>
      </c>
      <c r="K1065" s="200"/>
      <c r="L1065" s="200"/>
      <c r="M1065" s="37"/>
      <c r="N1065" s="37"/>
      <c r="O1065" s="153"/>
      <c r="P1065" s="45"/>
      <c r="Q1065" s="54"/>
      <c r="R1065" s="260"/>
      <c r="S1065" s="258"/>
      <c r="T1065" s="258"/>
      <c r="U1065" s="38"/>
      <c r="V1065" s="261"/>
      <c r="W1065" s="256"/>
      <c r="X1065" s="256"/>
      <c r="Y1065" s="256"/>
      <c r="Z1065" s="256"/>
      <c r="AA1065" s="54"/>
      <c r="AB1065" s="200"/>
      <c r="AC1065" s="31"/>
      <c r="AD1065" s="184"/>
      <c r="AE1065" s="51"/>
      <c r="AF1065" s="52"/>
      <c r="AG1065" s="41"/>
      <c r="AH1065" s="45"/>
      <c r="AI1065" s="28"/>
      <c r="AJ1065" s="28"/>
      <c r="AK1065" s="28"/>
      <c r="AL1065" s="28"/>
      <c r="AM1065" s="12"/>
      <c r="AN1065" s="12"/>
      <c r="AO1065" s="12"/>
      <c r="AP1065" s="12"/>
      <c r="AQ1065" s="12"/>
      <c r="AR1065" s="13"/>
      <c r="AS1065" s="14"/>
    </row>
    <row r="1066" spans="1:45" s="16" customFormat="1" ht="30.95" hidden="1" customHeight="1" x14ac:dyDescent="0.2">
      <c r="A1066" s="35"/>
      <c r="B1066" s="36"/>
      <c r="C1066" s="43"/>
      <c r="D1066" s="29"/>
      <c r="E1066" s="29"/>
      <c r="F1066" s="255"/>
      <c r="G1066" s="256"/>
      <c r="H1066" s="256"/>
      <c r="I1066" s="200"/>
      <c r="J1066" s="203"/>
      <c r="K1066" s="200"/>
      <c r="L1066" s="200"/>
      <c r="M1066" s="37"/>
      <c r="N1066" s="37"/>
      <c r="O1066" s="153"/>
      <c r="P1066" s="45"/>
      <c r="Q1066" s="54"/>
      <c r="R1066" s="260"/>
      <c r="S1066" s="258"/>
      <c r="T1066" s="258"/>
      <c r="U1066" s="38"/>
      <c r="V1066" s="261"/>
      <c r="W1066" s="256"/>
      <c r="X1066" s="256"/>
      <c r="Y1066" s="256"/>
      <c r="Z1066" s="256"/>
      <c r="AA1066" s="54"/>
      <c r="AB1066" s="200"/>
      <c r="AC1066" s="31"/>
      <c r="AD1066" s="184"/>
      <c r="AE1066" s="51"/>
      <c r="AF1066" s="52"/>
      <c r="AG1066" s="41"/>
      <c r="AH1066" s="45"/>
      <c r="AI1066" s="28"/>
      <c r="AJ1066" s="28"/>
      <c r="AK1066" s="28"/>
      <c r="AL1066" s="28"/>
      <c r="AM1066" s="12"/>
      <c r="AN1066" s="12"/>
      <c r="AO1066" s="12"/>
      <c r="AP1066" s="12"/>
      <c r="AQ1066" s="12"/>
      <c r="AR1066" s="13"/>
      <c r="AS1066" s="14"/>
    </row>
    <row r="1067" spans="1:45" s="16" customFormat="1" ht="30.95" hidden="1" customHeight="1" x14ac:dyDescent="0.2">
      <c r="A1067" s="35" t="s">
        <v>1457</v>
      </c>
      <c r="B1067" s="36" t="s">
        <v>1458</v>
      </c>
      <c r="C1067" s="43"/>
      <c r="D1067" s="29"/>
      <c r="E1067" s="29"/>
      <c r="F1067" s="255"/>
      <c r="G1067" s="256"/>
      <c r="H1067" s="256"/>
      <c r="I1067" s="200"/>
      <c r="J1067" s="203" t="s">
        <v>1459</v>
      </c>
      <c r="K1067" s="200"/>
      <c r="L1067" s="200"/>
      <c r="M1067" s="37"/>
      <c r="N1067" s="37"/>
      <c r="O1067" s="153"/>
      <c r="P1067" s="45"/>
      <c r="Q1067" s="54"/>
      <c r="R1067" s="260"/>
      <c r="S1067" s="258"/>
      <c r="T1067" s="258"/>
      <c r="U1067" s="38"/>
      <c r="V1067" s="261"/>
      <c r="W1067" s="256"/>
      <c r="X1067" s="256"/>
      <c r="Y1067" s="256"/>
      <c r="Z1067" s="256"/>
      <c r="AA1067" s="54"/>
      <c r="AB1067" s="200"/>
      <c r="AC1067" s="31"/>
      <c r="AD1067" s="184"/>
      <c r="AE1067" s="51"/>
      <c r="AF1067" s="52"/>
      <c r="AG1067" s="41"/>
      <c r="AH1067" s="45"/>
      <c r="AI1067" s="28"/>
      <c r="AJ1067" s="28"/>
      <c r="AK1067" s="28"/>
      <c r="AL1067" s="28"/>
      <c r="AM1067" s="12"/>
      <c r="AN1067" s="12"/>
      <c r="AO1067" s="12"/>
      <c r="AP1067" s="12"/>
      <c r="AQ1067" s="12"/>
      <c r="AR1067" s="13"/>
      <c r="AS1067" s="14"/>
    </row>
    <row r="1068" spans="1:45" s="16" customFormat="1" ht="30.95" hidden="1" customHeight="1" x14ac:dyDescent="0.2">
      <c r="A1068" s="35"/>
      <c r="B1068" s="36"/>
      <c r="C1068" s="43"/>
      <c r="D1068" s="29"/>
      <c r="E1068" s="29"/>
      <c r="F1068" s="255"/>
      <c r="G1068" s="256"/>
      <c r="H1068" s="256"/>
      <c r="I1068" s="200"/>
      <c r="J1068" s="203"/>
      <c r="K1068" s="200"/>
      <c r="L1068" s="200"/>
      <c r="M1068" s="37"/>
      <c r="N1068" s="37"/>
      <c r="O1068" s="153"/>
      <c r="P1068" s="45"/>
      <c r="Q1068" s="54"/>
      <c r="R1068" s="260"/>
      <c r="S1068" s="258"/>
      <c r="T1068" s="258"/>
      <c r="U1068" s="38"/>
      <c r="V1068" s="261"/>
      <c r="W1068" s="256"/>
      <c r="X1068" s="256"/>
      <c r="Y1068" s="256"/>
      <c r="Z1068" s="256"/>
      <c r="AA1068" s="54"/>
      <c r="AB1068" s="200"/>
      <c r="AC1068" s="31"/>
      <c r="AD1068" s="184"/>
      <c r="AE1068" s="51"/>
      <c r="AF1068" s="52"/>
      <c r="AG1068" s="41"/>
      <c r="AH1068" s="45"/>
      <c r="AI1068" s="28"/>
      <c r="AJ1068" s="28"/>
      <c r="AK1068" s="28"/>
      <c r="AL1068" s="28"/>
      <c r="AM1068" s="12"/>
      <c r="AN1068" s="12"/>
      <c r="AO1068" s="12"/>
      <c r="AP1068" s="12"/>
      <c r="AQ1068" s="12"/>
      <c r="AR1068" s="13"/>
      <c r="AS1068" s="14"/>
    </row>
    <row r="1069" spans="1:45" s="16" customFormat="1" ht="30.95" hidden="1" customHeight="1" x14ac:dyDescent="0.2">
      <c r="A1069" s="35" t="s">
        <v>1460</v>
      </c>
      <c r="B1069" s="36" t="s">
        <v>1461</v>
      </c>
      <c r="C1069" s="43"/>
      <c r="D1069" s="29"/>
      <c r="E1069" s="29"/>
      <c r="F1069" s="255"/>
      <c r="G1069" s="256"/>
      <c r="H1069" s="256"/>
      <c r="I1069" s="200"/>
      <c r="J1069" s="203" t="s">
        <v>489</v>
      </c>
      <c r="K1069" s="200"/>
      <c r="L1069" s="200"/>
      <c r="M1069" s="37"/>
      <c r="N1069" s="37"/>
      <c r="O1069" s="153"/>
      <c r="P1069" s="45"/>
      <c r="Q1069" s="54"/>
      <c r="R1069" s="260"/>
      <c r="S1069" s="258"/>
      <c r="T1069" s="258"/>
      <c r="U1069" s="38"/>
      <c r="V1069" s="261"/>
      <c r="W1069" s="256"/>
      <c r="X1069" s="256"/>
      <c r="Y1069" s="256"/>
      <c r="Z1069" s="256"/>
      <c r="AA1069" s="54"/>
      <c r="AB1069" s="200"/>
      <c r="AC1069" s="31"/>
      <c r="AD1069" s="184"/>
      <c r="AE1069" s="51"/>
      <c r="AF1069" s="52"/>
      <c r="AG1069" s="41"/>
      <c r="AH1069" s="45"/>
      <c r="AI1069" s="28"/>
      <c r="AJ1069" s="28"/>
      <c r="AK1069" s="28"/>
      <c r="AL1069" s="28"/>
      <c r="AM1069" s="12"/>
      <c r="AN1069" s="12"/>
      <c r="AO1069" s="12"/>
      <c r="AP1069" s="12"/>
      <c r="AQ1069" s="12"/>
      <c r="AR1069" s="13"/>
      <c r="AS1069" s="14"/>
    </row>
    <row r="1070" spans="1:45" s="16" customFormat="1" ht="30.95" hidden="1" customHeight="1" x14ac:dyDescent="0.2">
      <c r="A1070" s="35"/>
      <c r="B1070" s="36"/>
      <c r="C1070" s="43"/>
      <c r="D1070" s="29"/>
      <c r="E1070" s="29"/>
      <c r="F1070" s="255"/>
      <c r="G1070" s="256"/>
      <c r="H1070" s="256"/>
      <c r="I1070" s="200"/>
      <c r="J1070" s="203"/>
      <c r="K1070" s="200"/>
      <c r="L1070" s="200"/>
      <c r="M1070" s="37"/>
      <c r="N1070" s="37"/>
      <c r="O1070" s="153"/>
      <c r="P1070" s="45"/>
      <c r="Q1070" s="54"/>
      <c r="R1070" s="260"/>
      <c r="S1070" s="258"/>
      <c r="T1070" s="258"/>
      <c r="U1070" s="38"/>
      <c r="V1070" s="261"/>
      <c r="W1070" s="256"/>
      <c r="X1070" s="256"/>
      <c r="Y1070" s="256"/>
      <c r="Z1070" s="256"/>
      <c r="AA1070" s="54"/>
      <c r="AB1070" s="200"/>
      <c r="AC1070" s="31"/>
      <c r="AD1070" s="184"/>
      <c r="AE1070" s="51"/>
      <c r="AF1070" s="52"/>
      <c r="AG1070" s="41"/>
      <c r="AH1070" s="45"/>
      <c r="AI1070" s="28"/>
      <c r="AJ1070" s="28"/>
      <c r="AK1070" s="28"/>
      <c r="AL1070" s="28"/>
      <c r="AM1070" s="12"/>
      <c r="AN1070" s="12"/>
      <c r="AO1070" s="12"/>
      <c r="AP1070" s="12"/>
      <c r="AQ1070" s="12"/>
      <c r="AR1070" s="13"/>
      <c r="AS1070" s="14"/>
    </row>
    <row r="1071" spans="1:45" s="16" customFormat="1" ht="30.95" hidden="1" customHeight="1" x14ac:dyDescent="0.2">
      <c r="A1071" s="35" t="s">
        <v>573</v>
      </c>
      <c r="B1071" s="36" t="s">
        <v>688</v>
      </c>
      <c r="C1071" s="43"/>
      <c r="D1071" s="29"/>
      <c r="E1071" s="29"/>
      <c r="F1071" s="255"/>
      <c r="G1071" s="256"/>
      <c r="H1071" s="256"/>
      <c r="I1071" s="200"/>
      <c r="J1071" s="203" t="s">
        <v>489</v>
      </c>
      <c r="K1071" s="200"/>
      <c r="L1071" s="200"/>
      <c r="M1071" s="37"/>
      <c r="N1071" s="37"/>
      <c r="O1071" s="153"/>
      <c r="P1071" s="45"/>
      <c r="Q1071" s="54"/>
      <c r="R1071" s="260"/>
      <c r="S1071" s="258"/>
      <c r="T1071" s="258"/>
      <c r="U1071" s="38"/>
      <c r="V1071" s="261"/>
      <c r="W1071" s="256"/>
      <c r="X1071" s="256"/>
      <c r="Y1071" s="256"/>
      <c r="Z1071" s="256"/>
      <c r="AA1071" s="54"/>
      <c r="AB1071" s="200"/>
      <c r="AC1071" s="31"/>
      <c r="AD1071" s="184"/>
      <c r="AE1071" s="51"/>
      <c r="AF1071" s="52"/>
      <c r="AG1071" s="41"/>
      <c r="AH1071" s="45"/>
      <c r="AI1071" s="28"/>
      <c r="AJ1071" s="28"/>
      <c r="AK1071" s="28"/>
      <c r="AL1071" s="28"/>
      <c r="AM1071" s="12"/>
      <c r="AN1071" s="12"/>
      <c r="AO1071" s="12"/>
      <c r="AP1071" s="12"/>
      <c r="AQ1071" s="12"/>
      <c r="AR1071" s="13"/>
      <c r="AS1071" s="14"/>
    </row>
    <row r="1072" spans="1:45" s="16" customFormat="1" ht="30.95" hidden="1" customHeight="1" x14ac:dyDescent="0.2">
      <c r="A1072" s="35"/>
      <c r="B1072" s="36"/>
      <c r="C1072" s="43"/>
      <c r="D1072" s="29"/>
      <c r="E1072" s="29"/>
      <c r="F1072" s="255"/>
      <c r="G1072" s="256"/>
      <c r="H1072" s="256"/>
      <c r="I1072" s="200"/>
      <c r="J1072" s="203"/>
      <c r="K1072" s="200"/>
      <c r="L1072" s="200"/>
      <c r="M1072" s="37"/>
      <c r="N1072" s="37"/>
      <c r="O1072" s="153"/>
      <c r="P1072" s="45"/>
      <c r="Q1072" s="54"/>
      <c r="R1072" s="260"/>
      <c r="S1072" s="258"/>
      <c r="T1072" s="258"/>
      <c r="U1072" s="38"/>
      <c r="V1072" s="261"/>
      <c r="W1072" s="256"/>
      <c r="X1072" s="256"/>
      <c r="Y1072" s="256"/>
      <c r="Z1072" s="256"/>
      <c r="AA1072" s="54"/>
      <c r="AB1072" s="200"/>
      <c r="AC1072" s="31"/>
      <c r="AD1072" s="184"/>
      <c r="AE1072" s="51"/>
      <c r="AF1072" s="52"/>
      <c r="AG1072" s="41"/>
      <c r="AH1072" s="45"/>
      <c r="AI1072" s="28"/>
      <c r="AJ1072" s="28"/>
      <c r="AK1072" s="28"/>
      <c r="AL1072" s="28"/>
      <c r="AM1072" s="12"/>
      <c r="AN1072" s="12"/>
      <c r="AO1072" s="12"/>
      <c r="AP1072" s="12"/>
      <c r="AQ1072" s="12"/>
      <c r="AR1072" s="13"/>
      <c r="AS1072" s="14"/>
    </row>
    <row r="1073" spans="1:45" s="16" customFormat="1" ht="30.95" hidden="1" customHeight="1" x14ac:dyDescent="0.2">
      <c r="A1073" s="35"/>
      <c r="B1073" s="36"/>
      <c r="C1073" s="43"/>
      <c r="D1073" s="29">
        <v>3727587</v>
      </c>
      <c r="E1073" s="29">
        <v>4162085</v>
      </c>
      <c r="F1073" s="255" t="str">
        <f>IF(D1073="","",VLOOKUP(D1073,契約台帳!$A$3:$K$4986,6,FALSE)&amp;VLOOKUP(D1073,契約台帳!$A$3:$K$4986,7,FALSE)&amp;VLOOKUP(D1073,契約台帳!$A$3:$K$4986,8,FALSE)&amp;VLOOKUP(D1073,契約台帳!$A$3:$K$4986,9,FALSE)&amp;VLOOKUP(D1073,契約台帳!$A$3:$K$4986,11,FALSE))</f>
        <v>3SNMLBMTSF</v>
      </c>
      <c r="G1073" s="256" t="str">
        <f>IF(D1073="","",VLOOKUP(F1073,製品マスタ!$G$5:$H$4999,2,FALSE))</f>
        <v>S</v>
      </c>
      <c r="H1073" s="256" t="str">
        <f>IF(D1073="","",VLOOKUP(F1073,製品マスタ!$G$5:$K$4999,5,FALSE))</f>
        <v>MTSF</v>
      </c>
      <c r="I1073" s="200" t="str">
        <f>IF(D1073="","",VLOOKUP(F1073,製品マスタ!$G$5:$L$4999,6,FALSE))</f>
        <v>メタルミー　ＴＳ</v>
      </c>
      <c r="J1073" s="203" t="s">
        <v>935</v>
      </c>
      <c r="K1073" s="200">
        <f>IF(D1073="","",VLOOKUP(D1073,契約台帳!$A$3:$L$4986,12,FALSE))</f>
        <v>50</v>
      </c>
      <c r="L1073" s="200" t="str">
        <f>IF(D1073="","",INDEX(製品マスタ!$Q$5:$Q$4999,MATCH('S4'!F1073&amp;'S4'!K1073,製品マスタ!$AO$5:$AO$4999,0)))</f>
        <v>T62M</v>
      </c>
      <c r="M1073" s="37">
        <v>1255</v>
      </c>
      <c r="N1073" s="37">
        <v>6100</v>
      </c>
      <c r="O1073" s="153">
        <v>2</v>
      </c>
      <c r="P1073" s="45">
        <v>2</v>
      </c>
      <c r="Q1073" s="206">
        <v>45194</v>
      </c>
      <c r="R1073" s="257">
        <f ca="1">IF(D1073="","",IF(OFFSET(D1073,-1,0)&lt;&gt;"","",IF(OR(J1073="リード付け",J1073="巻足し",J1073="巻返しリード付け"),M1073,VLOOKUP(D1073,契約台帳!$A$3:$N$4986,14,FALSE))))</f>
        <v>1255</v>
      </c>
      <c r="S1073" s="258">
        <f ca="1">IF(D1073="","",IF(OFFSET(D1073,-1,0)&lt;&gt;"","",IF(OR(J1073="リード付け",J1073="巻足し",J1073="巻返しリード付け"),M1073,VLOOKUP(D1073,契約台帳!$A$3:$O$4986,15,FALSE))))</f>
        <v>1255</v>
      </c>
      <c r="T1073" s="258">
        <f ca="1">IF(D1073="","",IF(J1073="リード付け",N1073,IF(J1073="巻返しリード付け",N1073,IF(J1073="巻足し",N1073*P1073+OFFSET(N1073,1,0)*OFFSET(P1073,1,0),VLOOKUP(D1073,契約台帳!$A$3:$P$4986,16,FALSE)))))</f>
        <v>12200</v>
      </c>
      <c r="U1073" s="38">
        <v>1</v>
      </c>
      <c r="V1073" s="259">
        <f ca="1">IF(D1073="","",IF(OFFSET(D1073,-2,0)=D1073,"",VLOOKUP(D1073,契約台帳!$A$3:$R$4986,18,FALSE)))</f>
        <v>9</v>
      </c>
      <c r="W1073" s="256" t="str">
        <f ca="1">IF(D1073="","",IF(T1073="","",IF(OR(J1073="巻足し",J1073="巻返しリード付け"),"",IF(J1073="巻返し",VLOOKUP(F1073&amp;K1073&amp;M1073,製品マスタ!$M$5:$AD$4999,18,FALSE),IF(OR(J1073="リード付け",J1073="巻返しリード付け"),"原反コア",IF(J1073="スリット",VLOOKUP(F1073&amp;K1073&amp;R1073,製品マスタ!$N$5:$AD$4999,17,FALSE),""))))))</f>
        <v/>
      </c>
      <c r="X1073" s="256" t="str">
        <f ca="1">IF(D1073="","",IF(T1073="","",IF(J1073="巻足し","",IF(J1073="巻返し",VLOOKUP(F1073&amp;K1073&amp;M1073,製品マスタ!$M$5:$AE$4999,19,FALSE),IF(OR(J1073="リード付け",J1073="巻返しリード付け"),"",IF(J1073="スリット",VLOOKUP(F1073&amp;K1073&amp;R1073,製品マスタ!$N$5:$AE$4999,18,FALSE),""))))))</f>
        <v/>
      </c>
      <c r="Y1073" s="256">
        <f ca="1">IF(D1073="","",IF(T1073="","",VLOOKUP(D1073,契約台帳!$A$3:$Q$4986,17,FALSE)))</f>
        <v>2</v>
      </c>
      <c r="Z1073" s="256" t="str">
        <f ca="1">IF(D1073="","",IF(T1073="","",VLOOKUP(D1073,契約台帳!$A$3:$E$4986,5,FALSE)))</f>
        <v xml:space="preserve">日東電工㈱豊橋工場  </v>
      </c>
      <c r="AA1073" s="54"/>
      <c r="AB1073" s="200">
        <f>IFERROR((VLOOKUP(F1073&amp;K1073&amp;M1073,製品マスタ!$M$5:$AM$4999,27,FALSE)),"")</f>
        <v>0</v>
      </c>
      <c r="AC1073" s="31"/>
      <c r="AD1073" s="184"/>
      <c r="AE1073" s="51"/>
      <c r="AF1073" s="52">
        <f>+M1073*N1073*O1073/1000</f>
        <v>15311</v>
      </c>
      <c r="AG1073" s="41"/>
      <c r="AH1073" s="45"/>
      <c r="AI1073" s="28"/>
      <c r="AJ1073" s="28"/>
      <c r="AK1073" s="28"/>
      <c r="AL1073" s="28"/>
      <c r="AM1073" s="12"/>
      <c r="AN1073" s="12"/>
      <c r="AO1073" s="12"/>
      <c r="AP1073" s="12"/>
      <c r="AQ1073" s="12"/>
      <c r="AR1073" s="13"/>
      <c r="AS1073" s="14"/>
    </row>
    <row r="1074" spans="1:45" s="16" customFormat="1" ht="30.95" hidden="1" customHeight="1" x14ac:dyDescent="0.2">
      <c r="A1074" s="35"/>
      <c r="B1074" s="36"/>
      <c r="C1074" s="43"/>
      <c r="D1074" s="29"/>
      <c r="E1074" s="29"/>
      <c r="F1074" s="255"/>
      <c r="G1074" s="256"/>
      <c r="H1074" s="256"/>
      <c r="I1074" s="200"/>
      <c r="J1074" s="203"/>
      <c r="K1074" s="200"/>
      <c r="L1074" s="200"/>
      <c r="M1074" s="37"/>
      <c r="N1074" s="37"/>
      <c r="O1074" s="153"/>
      <c r="P1074" s="45"/>
      <c r="Q1074" s="54"/>
      <c r="R1074" s="260"/>
      <c r="S1074" s="258"/>
      <c r="T1074" s="258"/>
      <c r="U1074" s="38"/>
      <c r="V1074" s="261"/>
      <c r="W1074" s="256"/>
      <c r="X1074" s="256"/>
      <c r="Y1074" s="256"/>
      <c r="Z1074" s="256"/>
      <c r="AA1074" s="54"/>
      <c r="AB1074" s="200"/>
      <c r="AC1074" s="31"/>
      <c r="AD1074" s="184"/>
      <c r="AE1074" s="51"/>
      <c r="AF1074" s="52"/>
      <c r="AG1074" s="41"/>
      <c r="AH1074" s="45"/>
      <c r="AI1074" s="28"/>
      <c r="AJ1074" s="28"/>
      <c r="AK1074" s="28"/>
      <c r="AL1074" s="28"/>
      <c r="AM1074" s="12"/>
      <c r="AN1074" s="12"/>
      <c r="AO1074" s="12"/>
      <c r="AP1074" s="12"/>
      <c r="AQ1074" s="12"/>
      <c r="AR1074" s="13"/>
      <c r="AS1074" s="14"/>
    </row>
    <row r="1075" spans="1:45" s="16" customFormat="1" ht="30.95" hidden="1" customHeight="1" x14ac:dyDescent="0.2">
      <c r="A1075" s="35"/>
      <c r="B1075" s="36"/>
      <c r="C1075" s="43"/>
      <c r="D1075" s="29">
        <v>3727587</v>
      </c>
      <c r="E1075" s="29">
        <v>4162085</v>
      </c>
      <c r="F1075" s="255" t="str">
        <f>IF(D1075="","",VLOOKUP(D1075,契約台帳!$A$3:$K$4986,6,FALSE)&amp;VLOOKUP(D1075,契約台帳!$A$3:$K$4986,7,FALSE)&amp;VLOOKUP(D1075,契約台帳!$A$3:$K$4986,8,FALSE)&amp;VLOOKUP(D1075,契約台帳!$A$3:$K$4986,9,FALSE)&amp;VLOOKUP(D1075,契約台帳!$A$3:$K$4986,11,FALSE))</f>
        <v>3SNMLBMTSF</v>
      </c>
      <c r="G1075" s="256" t="str">
        <f>IF(D1075="","",VLOOKUP(F1075,製品マスタ!$G$5:$H$4999,2,FALSE))</f>
        <v>S</v>
      </c>
      <c r="H1075" s="256" t="str">
        <f>IF(D1075="","",VLOOKUP(F1075,製品マスタ!$G$5:$K$4999,5,FALSE))</f>
        <v>MTSF</v>
      </c>
      <c r="I1075" s="200" t="str">
        <f>IF(D1075="","",VLOOKUP(F1075,製品マスタ!$G$5:$L$4999,6,FALSE))</f>
        <v>メタルミー　ＴＳ</v>
      </c>
      <c r="J1075" s="203" t="s">
        <v>464</v>
      </c>
      <c r="K1075" s="200">
        <f>IF(D1075="","",VLOOKUP(D1075,契約台帳!$A$3:$L$4986,12,FALSE))</f>
        <v>50</v>
      </c>
      <c r="L1075" s="200" t="str">
        <f>IF(D1075="","",INDEX(製品マスタ!$Q$5:$Q$4999,MATCH('S4'!F1075&amp;'S4'!K1075,製品マスタ!$AO$5:$AO$4999,0)))</f>
        <v>T62M</v>
      </c>
      <c r="M1075" s="37">
        <v>1255</v>
      </c>
      <c r="N1075" s="37">
        <v>6100</v>
      </c>
      <c r="O1075" s="153">
        <v>1</v>
      </c>
      <c r="P1075" s="45">
        <v>1</v>
      </c>
      <c r="Q1075" s="206">
        <v>45194</v>
      </c>
      <c r="R1075" s="257">
        <f ca="1">IF(D1075="","",IF(OFFSET(D1075,-1,0)&lt;&gt;"","",IF(OR(J1075="リード付け",J1075="巻足し",J1075="巻返しリード付け"),M1075,VLOOKUP(D1075,契約台帳!$A$3:$N$4986,14,FALSE))))</f>
        <v>1255</v>
      </c>
      <c r="S1075" s="258">
        <f ca="1">IF(D1075="","",IF(OFFSET(D1075,-1,0)&lt;&gt;"","",IF(OR(J1075="リード付け",J1075="巻足し",J1075="巻返しリード付け"),M1075,VLOOKUP(D1075,契約台帳!$A$3:$O$4986,15,FALSE))))</f>
        <v>1255</v>
      </c>
      <c r="T1075" s="258">
        <f ca="1">IF(D1075="","",IF(J1075="リード付け",N1075,IF(J1075="巻返しリード付け",N1075,IF(J1075="巻足し",N1075*P1075+OFFSET(N1075,1,0)*OFFSET(P1075,1,0),VLOOKUP(D1075,契約台帳!$A$3:$P$4986,16,FALSE)))))</f>
        <v>6100</v>
      </c>
      <c r="U1075" s="38">
        <v>1</v>
      </c>
      <c r="V1075" s="259" t="str">
        <f ca="1">IF(D1075="","",IF(OFFSET(D1075,-2,0)=D1075,"",VLOOKUP(D1075,契約台帳!$A$3:$R$4986,18,FALSE)))</f>
        <v/>
      </c>
      <c r="W1075" s="256" t="str">
        <f ca="1">IF(D1075="","",IF(T1075="","",IF(OR(J1075="巻足し",J1075="巻返しリード付け"),"",IF(J1075="巻返し",VLOOKUP(F1075&amp;K1075&amp;M1075,製品マスタ!$M$5:$AD$4999,18,FALSE),IF(OR(J1075="リード付け",J1075="巻返しリード付け"),"原反コア",IF(J1075="スリット",VLOOKUP(F1075&amp;K1075&amp;R1075,製品マスタ!$N$5:$AD$4999,17,FALSE),""))))))</f>
        <v>原反コア</v>
      </c>
      <c r="X1075" s="256" t="str">
        <f ca="1">IF(D1075="","",IF(T1075="","",IF(J1075="巻足し","",IF(J1075="巻返し",VLOOKUP(F1075&amp;K1075&amp;M1075,製品マスタ!$M$5:$AE$4999,19,FALSE),IF(OR(J1075="リード付け",J1075="巻返しリード付け"),"",IF(J1075="スリット",VLOOKUP(F1075&amp;K1075&amp;R1075,製品マスタ!$N$5:$AE$4999,18,FALSE),""))))))</f>
        <v/>
      </c>
      <c r="Y1075" s="256">
        <f ca="1">IF(D1075="","",IF(T1075="","",VLOOKUP(D1075,契約台帳!$A$3:$Q$4986,17,FALSE)))</f>
        <v>2</v>
      </c>
      <c r="Z1075" s="256" t="str">
        <f ca="1">IF(D1075="","",IF(T1075="","",VLOOKUP(D1075,契約台帳!$A$3:$E$4986,5,FALSE)))</f>
        <v xml:space="preserve">日東電工㈱豊橋工場  </v>
      </c>
      <c r="AA1075" s="54"/>
      <c r="AB1075" s="200">
        <f>IFERROR((VLOOKUP(F1075&amp;K1075&amp;M1075,製品マスタ!$M$5:$AM$4999,27,FALSE)),"")</f>
        <v>0</v>
      </c>
      <c r="AC1075" s="31"/>
      <c r="AD1075" s="184"/>
      <c r="AE1075" s="51"/>
      <c r="AF1075" s="52">
        <f>+M1075*N1075*O1075/1000</f>
        <v>7655.5</v>
      </c>
      <c r="AG1075" s="41"/>
      <c r="AH1075" s="45"/>
      <c r="AI1075" s="28"/>
      <c r="AJ1075" s="28"/>
      <c r="AK1075" s="28"/>
      <c r="AL1075" s="28"/>
      <c r="AM1075" s="12"/>
      <c r="AN1075" s="12"/>
      <c r="AO1075" s="12"/>
      <c r="AP1075" s="12"/>
      <c r="AQ1075" s="12"/>
      <c r="AR1075" s="13"/>
      <c r="AS1075" s="14"/>
    </row>
    <row r="1076" spans="1:45" s="16" customFormat="1" ht="30.95" hidden="1" customHeight="1" x14ac:dyDescent="0.2">
      <c r="A1076" s="35"/>
      <c r="B1076" s="36"/>
      <c r="C1076" s="43"/>
      <c r="D1076" s="29"/>
      <c r="E1076" s="29"/>
      <c r="F1076" s="255"/>
      <c r="G1076" s="256"/>
      <c r="H1076" s="256"/>
      <c r="I1076" s="200"/>
      <c r="J1076" s="203"/>
      <c r="K1076" s="200"/>
      <c r="L1076" s="200"/>
      <c r="M1076" s="37"/>
      <c r="N1076" s="37"/>
      <c r="O1076" s="153"/>
      <c r="P1076" s="45"/>
      <c r="Q1076" s="54"/>
      <c r="R1076" s="260"/>
      <c r="S1076" s="258"/>
      <c r="T1076" s="258"/>
      <c r="U1076" s="38"/>
      <c r="V1076" s="261"/>
      <c r="W1076" s="256"/>
      <c r="X1076" s="256"/>
      <c r="Y1076" s="256"/>
      <c r="Z1076" s="256"/>
      <c r="AA1076" s="54"/>
      <c r="AB1076" s="200"/>
      <c r="AC1076" s="31"/>
      <c r="AD1076" s="184"/>
      <c r="AE1076" s="51"/>
      <c r="AF1076" s="52"/>
      <c r="AG1076" s="41"/>
      <c r="AH1076" s="45"/>
      <c r="AI1076" s="28"/>
      <c r="AJ1076" s="28"/>
      <c r="AK1076" s="28"/>
      <c r="AL1076" s="28"/>
      <c r="AM1076" s="12"/>
      <c r="AN1076" s="12"/>
      <c r="AO1076" s="12"/>
      <c r="AP1076" s="12"/>
      <c r="AQ1076" s="12"/>
      <c r="AR1076" s="13"/>
      <c r="AS1076" s="14"/>
    </row>
    <row r="1077" spans="1:45" s="16" customFormat="1" ht="30.95" hidden="1" customHeight="1" x14ac:dyDescent="0.2">
      <c r="A1077" s="35" t="s">
        <v>579</v>
      </c>
      <c r="B1077" s="36" t="s">
        <v>442</v>
      </c>
      <c r="C1077" s="43"/>
      <c r="D1077" s="29">
        <v>3723621</v>
      </c>
      <c r="E1077" s="29">
        <v>4162048</v>
      </c>
      <c r="F1077" s="255" t="str">
        <f>IF(D1077="","",VLOOKUP(D1077,契約台帳!$A$3:$K$4986,6,FALSE)&amp;VLOOKUP(D1077,契約台帳!$A$3:$K$4986,7,FALSE)&amp;VLOOKUP(D1077,契約台帳!$A$3:$K$4986,8,FALSE)&amp;VLOOKUP(D1077,契約台帳!$A$3:$K$4986,9,FALSE)&amp;VLOOKUP(D1077,契約台帳!$A$3:$K$4986,11,FALSE))</f>
        <v>3SNMCLBMSNEYK</v>
      </c>
      <c r="G1077" s="256" t="str">
        <f>IF(D1077="","",VLOOKUP(F1077,製品マスタ!$G$5:$H$4999,2,FALSE))</f>
        <v>S</v>
      </c>
      <c r="H1077" s="256" t="str">
        <f>IF(D1077="","",VLOOKUP(F1077,製品マスタ!$G$5:$K$4999,5,FALSE))</f>
        <v>MSNEYK</v>
      </c>
      <c r="I1077" s="200" t="str">
        <f>IF(D1077="","",VLOOKUP(F1077,製品マスタ!$G$5:$L$4999,6,FALSE))</f>
        <v>ＭＳＮ　ＥＹＫ</v>
      </c>
      <c r="J1077" s="203" t="s">
        <v>935</v>
      </c>
      <c r="K1077" s="200">
        <f>IF(D1077="","",VLOOKUP(D1077,契約台帳!$A$3:$L$4986,12,FALSE))</f>
        <v>50</v>
      </c>
      <c r="L1077" s="200" t="str">
        <f>IF(D1077="","",INDEX(製品マスタ!$Q$5:$Q$4999,MATCH('S4'!F1077&amp;'S4'!K1077,製品マスタ!$AO$5:$AO$4999,0)))</f>
        <v>N-MAT</v>
      </c>
      <c r="M1077" s="37">
        <v>1200</v>
      </c>
      <c r="N1077" s="37">
        <v>6000</v>
      </c>
      <c r="O1077" s="153">
        <v>12</v>
      </c>
      <c r="P1077" s="45">
        <v>2</v>
      </c>
      <c r="Q1077" s="206">
        <v>45190</v>
      </c>
      <c r="R1077" s="257">
        <f ca="1">IF(D1077="","",IF(OFFSET(D1077,-1,0)&lt;&gt;"","",IF(OR(J1077="リード付け",J1077="巻足し",J1077="巻返しリード付け"),M1077,VLOOKUP(D1077,契約台帳!$A$3:$N$4986,14,FALSE))))</f>
        <v>1200</v>
      </c>
      <c r="S1077" s="258">
        <f ca="1">IF(D1077="","",IF(OFFSET(D1077,-1,0)&lt;&gt;"","",IF(OR(J1077="リード付け",J1077="巻足し",J1077="巻返しリード付け"),M1077,VLOOKUP(D1077,契約台帳!$A$3:$O$4986,15,FALSE))))</f>
        <v>1200</v>
      </c>
      <c r="T1077" s="258">
        <f ca="1">IF(D1077="","",IF(J1077="リード付け",N1077,IF(J1077="巻返しリード付け",N1077,IF(J1077="巻足し",N1077*P1077+OFFSET(N1077,1,0)*OFFSET(P1077,1,0),VLOOKUP(D1077,契約台帳!$A$3:$P$4986,16,FALSE)))))</f>
        <v>12000</v>
      </c>
      <c r="U1077" s="38">
        <v>6</v>
      </c>
      <c r="V1077" s="259">
        <f ca="1">IF(D1077="","",IF(OFFSET(D1077,-2,0)=D1077,"",VLOOKUP(D1077,契約台帳!$A$3:$R$4986,18,FALSE)))</f>
        <v>12</v>
      </c>
      <c r="W1077" s="256" t="str">
        <f ca="1">IF(D1077="","",IF(T1077="","",IF(OR(J1077="巻足し",J1077="巻返しリード付け"),"",IF(J1077="巻返し",VLOOKUP(F1077&amp;K1077&amp;M1077,製品マスタ!$M$5:$AD$4999,18,FALSE),IF(OR(J1077="リード付け",J1077="巻返しリード付け"),"原反コア",IF(J1077="スリット",VLOOKUP(F1077&amp;K1077&amp;R1077,製品マスタ!$N$5:$AD$4999,17,FALSE),""))))))</f>
        <v/>
      </c>
      <c r="X1077" s="256" t="str">
        <f ca="1">IF(D1077="","",IF(T1077="","",IF(J1077="巻足し","",IF(J1077="巻返し",VLOOKUP(F1077&amp;K1077&amp;M1077,製品マスタ!$M$5:$AE$4999,19,FALSE),IF(OR(J1077="リード付け",J1077="巻返しリード付け"),"",IF(J1077="スリット",VLOOKUP(F1077&amp;K1077&amp;R1077,製品マスタ!$N$5:$AE$4999,18,FALSE),""))))))</f>
        <v/>
      </c>
      <c r="Y1077" s="256">
        <f ca="1">IF(D1077="","",IF(T1077="","",VLOOKUP(D1077,契約台帳!$A$3:$Q$4986,17,FALSE)))</f>
        <v>2</v>
      </c>
      <c r="Z1077" s="256" t="str">
        <f ca="1">IF(D1077="","",IF(T1077="","",VLOOKUP(D1077,契約台帳!$A$3:$E$4986,5,FALSE)))</f>
        <v>大阪シーリング印刷㈱</v>
      </c>
      <c r="AA1077" s="54"/>
      <c r="AB1077" s="200" t="str">
        <f>IFERROR((VLOOKUP(F1077&amp;K1077&amp;M1077,製品マスタ!$M$5:$AM$4999,27,FALSE)),"")</f>
        <v>原反ケース再利用</v>
      </c>
      <c r="AC1077" s="31"/>
      <c r="AD1077" s="184"/>
      <c r="AE1077" s="51"/>
      <c r="AF1077" s="52">
        <f>+M1077*N1077*O1077/1000</f>
        <v>86400</v>
      </c>
      <c r="AG1077" s="41"/>
      <c r="AH1077" s="45"/>
      <c r="AI1077" s="28"/>
      <c r="AJ1077" s="28"/>
      <c r="AK1077" s="28"/>
      <c r="AL1077" s="28"/>
      <c r="AM1077" s="12"/>
      <c r="AN1077" s="12"/>
      <c r="AO1077" s="12"/>
      <c r="AP1077" s="12"/>
      <c r="AQ1077" s="12"/>
      <c r="AR1077" s="13"/>
      <c r="AS1077" s="14"/>
    </row>
    <row r="1078" spans="1:45" s="16" customFormat="1" ht="30.95" hidden="1" customHeight="1" x14ac:dyDescent="0.2">
      <c r="A1078" s="35"/>
      <c r="B1078" s="36"/>
      <c r="C1078" s="43"/>
      <c r="D1078" s="29"/>
      <c r="E1078" s="29"/>
      <c r="F1078" s="255"/>
      <c r="G1078" s="256"/>
      <c r="H1078" s="256"/>
      <c r="I1078" s="200"/>
      <c r="J1078" s="203"/>
      <c r="K1078" s="200"/>
      <c r="L1078" s="200"/>
      <c r="M1078" s="37"/>
      <c r="N1078" s="37"/>
      <c r="O1078" s="153"/>
      <c r="P1078" s="45"/>
      <c r="Q1078" s="54"/>
      <c r="R1078" s="260"/>
      <c r="S1078" s="258"/>
      <c r="T1078" s="258"/>
      <c r="U1078" s="38"/>
      <c r="V1078" s="261"/>
      <c r="W1078" s="256"/>
      <c r="X1078" s="256"/>
      <c r="Y1078" s="256"/>
      <c r="Z1078" s="256"/>
      <c r="AA1078" s="54"/>
      <c r="AB1078" s="200"/>
      <c r="AC1078" s="31"/>
      <c r="AD1078" s="184"/>
      <c r="AE1078" s="51"/>
      <c r="AF1078" s="52"/>
      <c r="AG1078" s="41"/>
      <c r="AH1078" s="45"/>
      <c r="AI1078" s="28"/>
      <c r="AJ1078" s="28"/>
      <c r="AK1078" s="28"/>
      <c r="AL1078" s="28"/>
      <c r="AM1078" s="12"/>
      <c r="AN1078" s="12"/>
      <c r="AO1078" s="12"/>
      <c r="AP1078" s="12"/>
      <c r="AQ1078" s="12"/>
      <c r="AR1078" s="13"/>
      <c r="AS1078" s="14"/>
    </row>
    <row r="1079" spans="1:45" s="16" customFormat="1" ht="30.95" hidden="1" customHeight="1" x14ac:dyDescent="0.2">
      <c r="A1079" s="35"/>
      <c r="B1079" s="36"/>
      <c r="C1079" s="43"/>
      <c r="D1079" s="29">
        <v>3727591</v>
      </c>
      <c r="E1079" s="29">
        <v>4162086</v>
      </c>
      <c r="F1079" s="255" t="str">
        <f>IF(D1079="","",VLOOKUP(D1079,契約台帳!$A$3:$K$4986,6,FALSE)&amp;VLOOKUP(D1079,契約台帳!$A$3:$K$4986,7,FALSE)&amp;VLOOKUP(D1079,契約台帳!$A$3:$K$4986,8,FALSE)&amp;VLOOKUP(D1079,契約台帳!$A$3:$K$4986,9,FALSE)&amp;VLOOKUP(D1079,契約台帳!$A$3:$K$4986,11,FALSE))</f>
        <v>3SNMCLBWCB</v>
      </c>
      <c r="G1079" s="256" t="str">
        <f>IF(D1079="","",VLOOKUP(F1079,製品マスタ!$G$5:$H$4999,2,FALSE))</f>
        <v>S</v>
      </c>
      <c r="H1079" s="256" t="str">
        <f>IF(D1079="","",VLOOKUP(F1079,製品マスタ!$G$5:$K$4999,5,FALSE))</f>
        <v>WCB</v>
      </c>
      <c r="I1079" s="200" t="str">
        <f>IF(D1079="","",VLOOKUP(F1079,製品マスタ!$G$5:$L$4999,6,FALSE))</f>
        <v>メタルミー　ホワイトコート　（Ｂ）</v>
      </c>
      <c r="J1079" s="203" t="s">
        <v>935</v>
      </c>
      <c r="K1079" s="200">
        <f>IF(D1079="","",VLOOKUP(D1079,契約台帳!$A$3:$L$4986,12,FALSE))</f>
        <v>50</v>
      </c>
      <c r="L1079" s="200" t="str">
        <f>IF(D1079="","",INDEX(製品マスタ!$Q$5:$Q$4999,MATCH('S4'!F1079&amp;'S4'!K1079,製品マスタ!$AO$5:$AO$4999,0)))</f>
        <v>T62M</v>
      </c>
      <c r="M1079" s="37">
        <v>1195</v>
      </c>
      <c r="N1079" s="37">
        <v>6100</v>
      </c>
      <c r="O1079" s="153">
        <v>2</v>
      </c>
      <c r="P1079" s="45">
        <v>2</v>
      </c>
      <c r="Q1079" s="206">
        <v>45196</v>
      </c>
      <c r="R1079" s="257">
        <f ca="1">IF(D1079="","",IF(OFFSET(D1079,-1,0)&lt;&gt;"","",IF(OR(J1079="リード付け",J1079="巻足し",J1079="巻返しリード付け"),M1079,VLOOKUP(D1079,契約台帳!$A$3:$N$4986,14,FALSE))))</f>
        <v>1195</v>
      </c>
      <c r="S1079" s="258">
        <f ca="1">IF(D1079="","",IF(OFFSET(D1079,-1,0)&lt;&gt;"","",IF(OR(J1079="リード付け",J1079="巻足し",J1079="巻返しリード付け"),M1079,VLOOKUP(D1079,契約台帳!$A$3:$O$4986,15,FALSE))))</f>
        <v>1195</v>
      </c>
      <c r="T1079" s="258">
        <f ca="1">IF(D1079="","",IF(J1079="リード付け",N1079,IF(J1079="巻返しリード付け",N1079,IF(J1079="巻足し",N1079*P1079+OFFSET(N1079,1,0)*OFFSET(P1079,1,0),VLOOKUP(D1079,契約台帳!$A$3:$P$4986,16,FALSE)))))</f>
        <v>12200</v>
      </c>
      <c r="U1079" s="38">
        <v>1</v>
      </c>
      <c r="V1079" s="259">
        <f ca="1">IF(D1079="","",IF(OFFSET(D1079,-2,0)=D1079,"",VLOOKUP(D1079,契約台帳!$A$3:$R$4986,18,FALSE)))</f>
        <v>3</v>
      </c>
      <c r="W1079" s="256" t="str">
        <f ca="1">IF(D1079="","",IF(T1079="","",IF(OR(J1079="巻足し",J1079="巻返しリード付け"),"",IF(J1079="巻返し",VLOOKUP(F1079&amp;K1079&amp;M1079,製品マスタ!$M$5:$AD$4999,18,FALSE),IF(OR(J1079="リード付け",J1079="巻返しリード付け"),"原反コア",IF(J1079="スリット",VLOOKUP(F1079&amp;K1079&amp;R1079,製品マスタ!$N$5:$AD$4999,17,FALSE),""))))))</f>
        <v/>
      </c>
      <c r="X1079" s="256" t="str">
        <f ca="1">IF(D1079="","",IF(T1079="","",IF(J1079="巻足し","",IF(J1079="巻返し",VLOOKUP(F1079&amp;K1079&amp;M1079,製品マスタ!$M$5:$AE$4999,19,FALSE),IF(OR(J1079="リード付け",J1079="巻返しリード付け"),"",IF(J1079="スリット",VLOOKUP(F1079&amp;K1079&amp;R1079,製品マスタ!$N$5:$AE$4999,18,FALSE),""))))))</f>
        <v/>
      </c>
      <c r="Y1079" s="256">
        <f ca="1">IF(D1079="","",IF(T1079="","",VLOOKUP(D1079,契約台帳!$A$3:$Q$4986,17,FALSE)))</f>
        <v>2</v>
      </c>
      <c r="Z1079" s="256" t="str">
        <f ca="1">IF(D1079="","",IF(T1079="","",VLOOKUP(D1079,契約台帳!$A$3:$E$4986,5,FALSE)))</f>
        <v xml:space="preserve">新タック化成㈱      </v>
      </c>
      <c r="AA1079" s="54"/>
      <c r="AB1079" s="200" t="str">
        <f>IFERROR((VLOOKUP(F1079&amp;K1079&amp;M1079,製品マスタ!$M$5:$AM$4999,27,FALSE)),"")</f>
        <v/>
      </c>
      <c r="AC1079" s="31"/>
      <c r="AD1079" s="184"/>
      <c r="AE1079" s="51"/>
      <c r="AF1079" s="52">
        <f>+M1079*N1079*O1079/1000</f>
        <v>14579</v>
      </c>
      <c r="AG1079" s="41"/>
      <c r="AH1079" s="45"/>
      <c r="AI1079" s="28"/>
      <c r="AJ1079" s="28"/>
      <c r="AK1079" s="28"/>
      <c r="AL1079" s="28"/>
      <c r="AM1079" s="12"/>
      <c r="AN1079" s="12"/>
      <c r="AO1079" s="12"/>
      <c r="AP1079" s="12"/>
      <c r="AQ1079" s="12"/>
      <c r="AR1079" s="13"/>
      <c r="AS1079" s="14"/>
    </row>
    <row r="1080" spans="1:45" s="16" customFormat="1" ht="30.95" hidden="1" customHeight="1" x14ac:dyDescent="0.2">
      <c r="A1080" s="35"/>
      <c r="B1080" s="36"/>
      <c r="C1080" s="43"/>
      <c r="D1080" s="29"/>
      <c r="E1080" s="29"/>
      <c r="F1080" s="255"/>
      <c r="G1080" s="256"/>
      <c r="H1080" s="256"/>
      <c r="I1080" s="200"/>
      <c r="J1080" s="203"/>
      <c r="K1080" s="200"/>
      <c r="L1080" s="200"/>
      <c r="M1080" s="37"/>
      <c r="N1080" s="37"/>
      <c r="O1080" s="153"/>
      <c r="P1080" s="45"/>
      <c r="Q1080" s="54"/>
      <c r="R1080" s="260"/>
      <c r="S1080" s="258"/>
      <c r="T1080" s="258"/>
      <c r="U1080" s="38"/>
      <c r="V1080" s="261"/>
      <c r="W1080" s="256"/>
      <c r="X1080" s="256"/>
      <c r="Y1080" s="256"/>
      <c r="Z1080" s="256"/>
      <c r="AA1080" s="54"/>
      <c r="AB1080" s="200"/>
      <c r="AC1080" s="31"/>
      <c r="AD1080" s="184"/>
      <c r="AE1080" s="51"/>
      <c r="AF1080" s="52"/>
      <c r="AG1080" s="41"/>
      <c r="AH1080" s="45"/>
      <c r="AI1080" s="28"/>
      <c r="AJ1080" s="28"/>
      <c r="AK1080" s="28"/>
      <c r="AL1080" s="28"/>
      <c r="AM1080" s="12"/>
      <c r="AN1080" s="12"/>
      <c r="AO1080" s="12"/>
      <c r="AP1080" s="12"/>
      <c r="AQ1080" s="12"/>
      <c r="AR1080" s="13"/>
      <c r="AS1080" s="14"/>
    </row>
    <row r="1081" spans="1:45" s="16" customFormat="1" ht="30.95" hidden="1" customHeight="1" x14ac:dyDescent="0.2">
      <c r="A1081" s="35"/>
      <c r="B1081" s="36"/>
      <c r="C1081" s="43"/>
      <c r="D1081" s="29">
        <v>3727591</v>
      </c>
      <c r="E1081" s="29">
        <v>4162086</v>
      </c>
      <c r="F1081" s="255" t="str">
        <f>IF(D1081="","",VLOOKUP(D1081,契約台帳!$A$3:$K$4986,6,FALSE)&amp;VLOOKUP(D1081,契約台帳!$A$3:$K$4986,7,FALSE)&amp;VLOOKUP(D1081,契約台帳!$A$3:$K$4986,8,FALSE)&amp;VLOOKUP(D1081,契約台帳!$A$3:$K$4986,9,FALSE)&amp;VLOOKUP(D1081,契約台帳!$A$3:$K$4986,11,FALSE))</f>
        <v>3SNMCLBWCB</v>
      </c>
      <c r="G1081" s="256" t="str">
        <f>IF(D1081="","",VLOOKUP(F1081,製品マスタ!$G$5:$H$4999,2,FALSE))</f>
        <v>S</v>
      </c>
      <c r="H1081" s="256" t="str">
        <f>IF(D1081="","",VLOOKUP(F1081,製品マスタ!$G$5:$K$4999,5,FALSE))</f>
        <v>WCB</v>
      </c>
      <c r="I1081" s="200" t="str">
        <f>IF(D1081="","",VLOOKUP(F1081,製品マスタ!$G$5:$L$4999,6,FALSE))</f>
        <v>メタルミー　ホワイトコート　（Ｂ）</v>
      </c>
      <c r="J1081" s="203" t="s">
        <v>464</v>
      </c>
      <c r="K1081" s="200">
        <f>IF(D1081="","",VLOOKUP(D1081,契約台帳!$A$3:$L$4986,12,FALSE))</f>
        <v>50</v>
      </c>
      <c r="L1081" s="200" t="str">
        <f>IF(D1081="","",INDEX(製品マスタ!$Q$5:$Q$4999,MATCH('S4'!F1081&amp;'S4'!K1081,製品マスタ!$AO$5:$AO$4999,0)))</f>
        <v>T62M</v>
      </c>
      <c r="M1081" s="37">
        <v>1195</v>
      </c>
      <c r="N1081" s="37">
        <v>6100</v>
      </c>
      <c r="O1081" s="153">
        <v>1</v>
      </c>
      <c r="P1081" s="45">
        <v>1</v>
      </c>
      <c r="Q1081" s="206">
        <v>45196</v>
      </c>
      <c r="R1081" s="257">
        <f ca="1">IF(D1081="","",IF(OFFSET(D1081,-1,0)&lt;&gt;"","",IF(OR(J1081="リード付け",J1081="巻足し",J1081="巻返しリード付け"),M1081,VLOOKUP(D1081,契約台帳!$A$3:$N$4986,14,FALSE))))</f>
        <v>1195</v>
      </c>
      <c r="S1081" s="258">
        <f ca="1">IF(D1081="","",IF(OFFSET(D1081,-1,0)&lt;&gt;"","",IF(OR(J1081="リード付け",J1081="巻足し",J1081="巻返しリード付け"),M1081,VLOOKUP(D1081,契約台帳!$A$3:$O$4986,15,FALSE))))</f>
        <v>1195</v>
      </c>
      <c r="T1081" s="258">
        <f ca="1">IF(D1081="","",IF(J1081="リード付け",N1081,IF(J1081="巻返しリード付け",N1081,IF(J1081="巻足し",N1081*P1081+OFFSET(N1081,1,0)*OFFSET(P1081,1,0),VLOOKUP(D1081,契約台帳!$A$3:$P$4986,16,FALSE)))))</f>
        <v>6100</v>
      </c>
      <c r="U1081" s="38">
        <v>1</v>
      </c>
      <c r="V1081" s="259" t="str">
        <f ca="1">IF(D1081="","",IF(OFFSET(D1081,-2,0)=D1081,"",VLOOKUP(D1081,契約台帳!$A$3:$R$4986,18,FALSE)))</f>
        <v/>
      </c>
      <c r="W1081" s="256" t="str">
        <f ca="1">IF(D1081="","",IF(T1081="","",IF(OR(J1081="巻足し",J1081="巻返しリード付け"),"",IF(J1081="巻返し",VLOOKUP(F1081&amp;K1081&amp;M1081,製品マスタ!$M$5:$AD$4999,18,FALSE),IF(OR(J1081="リード付け",J1081="巻返しリード付け"),"原反コア",IF(J1081="スリット",VLOOKUP(F1081&amp;K1081&amp;R1081,製品マスタ!$N$5:$AD$4999,17,FALSE),""))))))</f>
        <v>原反コア</v>
      </c>
      <c r="X1081" s="256" t="str">
        <f ca="1">IF(D1081="","",IF(T1081="","",IF(J1081="巻足し","",IF(J1081="巻返し",VLOOKUP(F1081&amp;K1081&amp;M1081,製品マスタ!$M$5:$AE$4999,19,FALSE),IF(OR(J1081="リード付け",J1081="巻返しリード付け"),"",IF(J1081="スリット",VLOOKUP(F1081&amp;K1081&amp;R1081,製品マスタ!$N$5:$AE$4999,18,FALSE),""))))))</f>
        <v/>
      </c>
      <c r="Y1081" s="256">
        <f ca="1">IF(D1081="","",IF(T1081="","",VLOOKUP(D1081,契約台帳!$A$3:$Q$4986,17,FALSE)))</f>
        <v>2</v>
      </c>
      <c r="Z1081" s="256" t="str">
        <f ca="1">IF(D1081="","",IF(T1081="","",VLOOKUP(D1081,契約台帳!$A$3:$E$4986,5,FALSE)))</f>
        <v xml:space="preserve">新タック化成㈱      </v>
      </c>
      <c r="AA1081" s="54"/>
      <c r="AB1081" s="200" t="str">
        <f>IFERROR((VLOOKUP(F1081&amp;K1081&amp;M1081,製品マスタ!$M$5:$AM$4999,27,FALSE)),"")</f>
        <v/>
      </c>
      <c r="AC1081" s="31"/>
      <c r="AD1081" s="184"/>
      <c r="AE1081" s="51"/>
      <c r="AF1081" s="52">
        <f>+M1081*N1081*O1081/1000</f>
        <v>7289.5</v>
      </c>
      <c r="AG1081" s="41"/>
      <c r="AH1081" s="45"/>
      <c r="AI1081" s="28"/>
      <c r="AJ1081" s="28"/>
      <c r="AK1081" s="28"/>
      <c r="AL1081" s="28"/>
      <c r="AM1081" s="12"/>
      <c r="AN1081" s="12"/>
      <c r="AO1081" s="12"/>
      <c r="AP1081" s="12"/>
      <c r="AQ1081" s="12"/>
      <c r="AR1081" s="13"/>
      <c r="AS1081" s="14"/>
    </row>
    <row r="1082" spans="1:45" s="16" customFormat="1" ht="30.95" hidden="1" customHeight="1" x14ac:dyDescent="0.2">
      <c r="A1082" s="35"/>
      <c r="B1082" s="36"/>
      <c r="C1082" s="43"/>
      <c r="D1082" s="29"/>
      <c r="E1082" s="29"/>
      <c r="F1082" s="255"/>
      <c r="G1082" s="256"/>
      <c r="H1082" s="256"/>
      <c r="I1082" s="200"/>
      <c r="J1082" s="203"/>
      <c r="K1082" s="200"/>
      <c r="L1082" s="200"/>
      <c r="M1082" s="37"/>
      <c r="N1082" s="37"/>
      <c r="O1082" s="153"/>
      <c r="P1082" s="45"/>
      <c r="Q1082" s="54"/>
      <c r="R1082" s="260"/>
      <c r="S1082" s="258"/>
      <c r="T1082" s="258"/>
      <c r="U1082" s="38"/>
      <c r="V1082" s="261"/>
      <c r="W1082" s="256"/>
      <c r="X1082" s="256"/>
      <c r="Y1082" s="256"/>
      <c r="Z1082" s="256"/>
      <c r="AA1082" s="54"/>
      <c r="AB1082" s="200"/>
      <c r="AC1082" s="31"/>
      <c r="AD1082" s="184"/>
      <c r="AE1082" s="51"/>
      <c r="AF1082" s="52"/>
      <c r="AG1082" s="41"/>
      <c r="AH1082" s="45"/>
      <c r="AI1082" s="28"/>
      <c r="AJ1082" s="28"/>
      <c r="AK1082" s="28"/>
      <c r="AL1082" s="28"/>
      <c r="AM1082" s="12"/>
      <c r="AN1082" s="12"/>
      <c r="AO1082" s="12"/>
      <c r="AP1082" s="12"/>
      <c r="AQ1082" s="12"/>
      <c r="AR1082" s="13"/>
      <c r="AS1082" s="14"/>
    </row>
    <row r="1083" spans="1:45" s="16" customFormat="1" ht="30.95" hidden="1" customHeight="1" x14ac:dyDescent="0.2">
      <c r="A1083" s="35"/>
      <c r="B1083" s="36"/>
      <c r="C1083" s="43"/>
      <c r="D1083" s="29">
        <v>3723625</v>
      </c>
      <c r="E1083" s="29">
        <v>4162049</v>
      </c>
      <c r="F1083" s="255" t="str">
        <f>IF(D1083="","",VLOOKUP(D1083,契約台帳!$A$3:$K$4986,6,FALSE)&amp;VLOOKUP(D1083,契約台帳!$A$3:$K$4986,7,FALSE)&amp;VLOOKUP(D1083,契約台帳!$A$3:$K$4986,8,FALSE)&amp;VLOOKUP(D1083,契約台帳!$A$3:$K$4986,9,FALSE)&amp;VLOOKUP(D1083,契約台帳!$A$3:$K$4986,11,FALSE))</f>
        <v>3SNMCLBMSNEYK</v>
      </c>
      <c r="G1083" s="256" t="str">
        <f>IF(D1083="","",VLOOKUP(F1083,製品マスタ!$G$5:$H$4999,2,FALSE))</f>
        <v>S</v>
      </c>
      <c r="H1083" s="256" t="str">
        <f>IF(D1083="","",VLOOKUP(F1083,製品マスタ!$G$5:$K$4999,5,FALSE))</f>
        <v>MSNEYK</v>
      </c>
      <c r="I1083" s="200" t="str">
        <f>IF(D1083="","",VLOOKUP(F1083,製品マスタ!$G$5:$L$4999,6,FALSE))</f>
        <v>ＭＳＮ　ＥＹＫ</v>
      </c>
      <c r="J1083" s="203" t="s">
        <v>935</v>
      </c>
      <c r="K1083" s="200">
        <f>IF(D1083="","",VLOOKUP(D1083,契約台帳!$A$3:$L$4986,12,FALSE))</f>
        <v>50</v>
      </c>
      <c r="L1083" s="200" t="str">
        <f>IF(D1083="","",INDEX(製品マスタ!$Q$5:$Q$4999,MATCH('S4'!F1083&amp;'S4'!K1083,製品マスタ!$AO$5:$AO$4999,0)))</f>
        <v>N-MAT</v>
      </c>
      <c r="M1083" s="37">
        <v>1120</v>
      </c>
      <c r="N1083" s="37">
        <v>4000</v>
      </c>
      <c r="O1083" s="153">
        <v>4</v>
      </c>
      <c r="P1083" s="45">
        <v>2</v>
      </c>
      <c r="Q1083" s="206">
        <v>45190</v>
      </c>
      <c r="R1083" s="257">
        <f ca="1">IF(D1083="","",IF(OFFSET(D1083,-1,0)&lt;&gt;"","",IF(OR(J1083="リード付け",J1083="巻足し",J1083="巻返しリード付け"),M1083,VLOOKUP(D1083,契約台帳!$A$3:$N$4986,14,FALSE))))</f>
        <v>1120</v>
      </c>
      <c r="S1083" s="258">
        <f ca="1">IF(D1083="","",IF(OFFSET(D1083,-1,0)&lt;&gt;"","",IF(OR(J1083="リード付け",J1083="巻足し",J1083="巻返しリード付け"),M1083,VLOOKUP(D1083,契約台帳!$A$3:$O$4986,15,FALSE))))</f>
        <v>1120</v>
      </c>
      <c r="T1083" s="258">
        <f ca="1">IF(D1083="","",IF(J1083="リード付け",N1083,IF(J1083="巻返しリード付け",N1083,IF(J1083="巻足し",N1083*P1083+OFFSET(N1083,1,0)*OFFSET(P1083,1,0),VLOOKUP(D1083,契約台帳!$A$3:$P$4986,16,FALSE)))))</f>
        <v>8000</v>
      </c>
      <c r="U1083" s="38">
        <v>2</v>
      </c>
      <c r="V1083" s="259">
        <f ca="1">IF(D1083="","",IF(OFFSET(D1083,-2,0)=D1083,"",VLOOKUP(D1083,契約台帳!$A$3:$R$4986,18,FALSE)))</f>
        <v>4</v>
      </c>
      <c r="W1083" s="256" t="str">
        <f ca="1">IF(D1083="","",IF(T1083="","",IF(OR(J1083="巻足し",J1083="巻返しリード付け"),"",IF(J1083="巻返し",VLOOKUP(F1083&amp;K1083&amp;M1083,製品マスタ!$M$5:$AD$4999,18,FALSE),IF(OR(J1083="リード付け",J1083="巻返しリード付け"),"原反コア",IF(J1083="スリット",VLOOKUP(F1083&amp;K1083&amp;R1083,製品マスタ!$N$5:$AD$4999,17,FALSE),""))))))</f>
        <v/>
      </c>
      <c r="X1083" s="256" t="str">
        <f ca="1">IF(D1083="","",IF(T1083="","",IF(J1083="巻足し","",IF(J1083="巻返し",VLOOKUP(F1083&amp;K1083&amp;M1083,製品マスタ!$M$5:$AE$4999,19,FALSE),IF(OR(J1083="リード付け",J1083="巻返しリード付け"),"",IF(J1083="スリット",VLOOKUP(F1083&amp;K1083&amp;R1083,製品マスタ!$N$5:$AE$4999,18,FALSE),""))))))</f>
        <v/>
      </c>
      <c r="Y1083" s="256">
        <f ca="1">IF(D1083="","",IF(T1083="","",VLOOKUP(D1083,契約台帳!$A$3:$Q$4986,17,FALSE)))</f>
        <v>2</v>
      </c>
      <c r="Z1083" s="256" t="str">
        <f ca="1">IF(D1083="","",IF(T1083="","",VLOOKUP(D1083,契約台帳!$A$3:$E$4986,5,FALSE)))</f>
        <v>新タック化成㈱</v>
      </c>
      <c r="AA1083" s="54"/>
      <c r="AB1083" s="200" t="str">
        <f>IFERROR((VLOOKUP(F1083&amp;K1083&amp;M1083,製品マスタ!$M$5:$AM$4999,27,FALSE)),"")</f>
        <v>原反ケース再利用</v>
      </c>
      <c r="AC1083" s="31"/>
      <c r="AD1083" s="184"/>
      <c r="AE1083" s="51"/>
      <c r="AF1083" s="52">
        <f>+M1083*N1083*O1083/1000</f>
        <v>17920</v>
      </c>
      <c r="AG1083" s="41"/>
      <c r="AH1083" s="45"/>
      <c r="AI1083" s="28"/>
      <c r="AJ1083" s="28"/>
      <c r="AK1083" s="28"/>
      <c r="AL1083" s="28"/>
      <c r="AM1083" s="12"/>
      <c r="AN1083" s="12"/>
      <c r="AO1083" s="12"/>
      <c r="AP1083" s="12"/>
      <c r="AQ1083" s="12"/>
      <c r="AR1083" s="13"/>
      <c r="AS1083" s="14"/>
    </row>
    <row r="1084" spans="1:45" s="16" customFormat="1" ht="30.95" hidden="1" customHeight="1" x14ac:dyDescent="0.2">
      <c r="A1084" s="35"/>
      <c r="B1084" s="36"/>
      <c r="C1084" s="43"/>
      <c r="D1084" s="29"/>
      <c r="E1084" s="29"/>
      <c r="F1084" s="255"/>
      <c r="G1084" s="256"/>
      <c r="H1084" s="256"/>
      <c r="I1084" s="200"/>
      <c r="J1084" s="203"/>
      <c r="K1084" s="200"/>
      <c r="L1084" s="200"/>
      <c r="M1084" s="37"/>
      <c r="N1084" s="37"/>
      <c r="O1084" s="153"/>
      <c r="P1084" s="45"/>
      <c r="Q1084" s="54"/>
      <c r="R1084" s="260"/>
      <c r="S1084" s="258"/>
      <c r="T1084" s="258"/>
      <c r="U1084" s="38"/>
      <c r="V1084" s="261"/>
      <c r="W1084" s="256"/>
      <c r="X1084" s="256"/>
      <c r="Y1084" s="256"/>
      <c r="Z1084" s="256"/>
      <c r="AA1084" s="54"/>
      <c r="AB1084" s="200"/>
      <c r="AC1084" s="31"/>
      <c r="AD1084" s="184"/>
      <c r="AE1084" s="51"/>
      <c r="AF1084" s="52"/>
      <c r="AG1084" s="41"/>
      <c r="AH1084" s="45"/>
      <c r="AI1084" s="28"/>
      <c r="AJ1084" s="28"/>
      <c r="AK1084" s="28"/>
      <c r="AL1084" s="28"/>
      <c r="AM1084" s="12"/>
      <c r="AN1084" s="12"/>
      <c r="AO1084" s="12"/>
      <c r="AP1084" s="12"/>
      <c r="AQ1084" s="12"/>
      <c r="AR1084" s="13"/>
      <c r="AS1084" s="14"/>
    </row>
    <row r="1085" spans="1:45" s="16" customFormat="1" ht="30.95" hidden="1" customHeight="1" x14ac:dyDescent="0.2">
      <c r="A1085" s="35" t="s">
        <v>581</v>
      </c>
      <c r="B1085" s="36" t="s">
        <v>443</v>
      </c>
      <c r="C1085" s="43"/>
      <c r="D1085" s="29">
        <v>3725013</v>
      </c>
      <c r="E1085" s="29">
        <v>4162064</v>
      </c>
      <c r="F1085" s="255" t="str">
        <f>IF(D1085="","",VLOOKUP(D1085,契約台帳!$A$3:$K$4986,6,FALSE)&amp;VLOOKUP(D1085,契約台帳!$A$3:$K$4986,7,FALSE)&amp;VLOOKUP(D1085,契約台帳!$A$3:$K$4986,8,FALSE)&amp;VLOOKUP(D1085,契約台帳!$A$3:$K$4986,9,FALSE)&amp;VLOOKUP(D1085,契約台帳!$A$3:$K$4986,11,FALSE))</f>
        <v>3SNMLBMNGTBF</v>
      </c>
      <c r="G1085" s="256" t="str">
        <f>IF(D1085="","",VLOOKUP(F1085,製品マスタ!$G$5:$H$4999,2,FALSE))</f>
        <v>S</v>
      </c>
      <c r="H1085" s="256" t="str">
        <f>IF(D1085="","",VLOOKUP(F1085,製品マスタ!$G$5:$K$4999,5,FALSE))</f>
        <v>MNGTBF</v>
      </c>
      <c r="I1085" s="200" t="str">
        <f>IF(D1085="","",VLOOKUP(F1085,製品マスタ!$G$5:$L$4999,6,FALSE))</f>
        <v>メタルミー　ネーマー　銀艶　Ｂ</v>
      </c>
      <c r="J1085" s="203" t="s">
        <v>935</v>
      </c>
      <c r="K1085" s="200">
        <f>IF(D1085="","",VLOOKUP(D1085,契約台帳!$A$3:$L$4986,12,FALSE))</f>
        <v>50</v>
      </c>
      <c r="L1085" s="200" t="str">
        <f>IF(D1085="","",INDEX(製品マスタ!$Q$5:$Q$4999,MATCH('S4'!F1085&amp;'S4'!K1085,製品マスタ!$AO$5:$AO$4999,0)))</f>
        <v>T62</v>
      </c>
      <c r="M1085" s="37">
        <v>1120</v>
      </c>
      <c r="N1085" s="37">
        <v>5000</v>
      </c>
      <c r="O1085" s="153">
        <v>6</v>
      </c>
      <c r="P1085" s="45">
        <v>2</v>
      </c>
      <c r="Q1085" s="206">
        <v>45195</v>
      </c>
      <c r="R1085" s="257">
        <f ca="1">IF(D1085="","",IF(OFFSET(D1085,-1,0)&lt;&gt;"","",IF(OR(J1085="リード付け",J1085="巻足し",J1085="巻返しリード付け"),M1085,VLOOKUP(D1085,契約台帳!$A$3:$N$4986,14,FALSE))))</f>
        <v>1120</v>
      </c>
      <c r="S1085" s="258">
        <f ca="1">IF(D1085="","",IF(OFFSET(D1085,-1,0)&lt;&gt;"","",IF(OR(J1085="リード付け",J1085="巻足し",J1085="巻返しリード付け"),M1085,VLOOKUP(D1085,契約台帳!$A$3:$O$4986,15,FALSE))))</f>
        <v>1120</v>
      </c>
      <c r="T1085" s="258">
        <f ca="1">IF(D1085="","",IF(J1085="リード付け",N1085,IF(J1085="巻返しリード付け",N1085,IF(J1085="巻足し",N1085*P1085+OFFSET(N1085,1,0)*OFFSET(P1085,1,0),VLOOKUP(D1085,契約台帳!$A$3:$P$4986,16,FALSE)))))</f>
        <v>10000</v>
      </c>
      <c r="U1085" s="38">
        <v>3</v>
      </c>
      <c r="V1085" s="259">
        <f ca="1">IF(D1085="","",IF(OFFSET(D1085,-2,0)=D1085,"",VLOOKUP(D1085,契約台帳!$A$3:$R$4986,18,FALSE)))</f>
        <v>28</v>
      </c>
      <c r="W1085" s="256" t="str">
        <f ca="1">IF(D1085="","",IF(T1085="","",IF(OR(J1085="巻足し",J1085="巻返しリード付け"),"",IF(J1085="巻返し",VLOOKUP(F1085&amp;K1085&amp;M1085,製品マスタ!$M$5:$AD$4999,18,FALSE),IF(OR(J1085="リード付け",J1085="巻返しリード付け"),"原反コア",IF(J1085="スリット",VLOOKUP(F1085&amp;K1085&amp;R1085,製品マスタ!$N$5:$AD$4999,17,FALSE),""))))))</f>
        <v/>
      </c>
      <c r="X1085" s="256" t="str">
        <f ca="1">IF(D1085="","",IF(T1085="","",IF(J1085="巻足し","",IF(J1085="巻返し",VLOOKUP(F1085&amp;K1085&amp;M1085,製品マスタ!$M$5:$AE$4999,19,FALSE),IF(OR(J1085="リード付け",J1085="巻返しリード付け"),"",IF(J1085="スリット",VLOOKUP(F1085&amp;K1085&amp;R1085,製品マスタ!$N$5:$AE$4999,18,FALSE),""))))))</f>
        <v/>
      </c>
      <c r="Y1085" s="256">
        <f ca="1">IF(D1085="","",IF(T1085="","",VLOOKUP(D1085,契約台帳!$A$3:$Q$4986,17,FALSE)))</f>
        <v>2</v>
      </c>
      <c r="Z1085" s="256" t="str">
        <f ca="1">IF(D1085="","",IF(T1085="","",VLOOKUP(D1085,契約台帳!$A$3:$E$4986,5,FALSE)))</f>
        <v>リンテック㈱</v>
      </c>
      <c r="AA1085" s="54"/>
      <c r="AB1085" s="200" t="str">
        <f>IFERROR((VLOOKUP(F1085&amp;K1085&amp;M1085,製品マスタ!$M$5:$AM$4999,27,FALSE)),"")</f>
        <v>原反ケース再利用</v>
      </c>
      <c r="AC1085" s="31"/>
      <c r="AD1085" s="184"/>
      <c r="AE1085" s="51"/>
      <c r="AF1085" s="52">
        <f>+M1085*N1085*O1085/1000</f>
        <v>33600</v>
      </c>
      <c r="AG1085" s="41"/>
      <c r="AH1085" s="45"/>
      <c r="AI1085" s="28"/>
      <c r="AJ1085" s="28"/>
      <c r="AK1085" s="28"/>
      <c r="AL1085" s="28"/>
      <c r="AM1085" s="12"/>
      <c r="AN1085" s="12"/>
      <c r="AO1085" s="12"/>
      <c r="AP1085" s="12"/>
      <c r="AQ1085" s="12"/>
      <c r="AR1085" s="13"/>
      <c r="AS1085" s="14"/>
    </row>
    <row r="1086" spans="1:45" s="16" customFormat="1" ht="30.95" hidden="1" customHeight="1" x14ac:dyDescent="0.2">
      <c r="A1086" s="35"/>
      <c r="B1086" s="36"/>
      <c r="C1086" s="43"/>
      <c r="D1086" s="29"/>
      <c r="E1086" s="29"/>
      <c r="F1086" s="255"/>
      <c r="G1086" s="256"/>
      <c r="H1086" s="256"/>
      <c r="I1086" s="200"/>
      <c r="J1086" s="203"/>
      <c r="K1086" s="200"/>
      <c r="L1086" s="200"/>
      <c r="M1086" s="37"/>
      <c r="N1086" s="37"/>
      <c r="O1086" s="153"/>
      <c r="P1086" s="45"/>
      <c r="Q1086" s="54"/>
      <c r="R1086" s="260"/>
      <c r="S1086" s="258"/>
      <c r="T1086" s="258"/>
      <c r="U1086" s="38"/>
      <c r="V1086" s="261"/>
      <c r="W1086" s="256"/>
      <c r="X1086" s="256"/>
      <c r="Y1086" s="256"/>
      <c r="Z1086" s="256"/>
      <c r="AA1086" s="54"/>
      <c r="AB1086" s="200"/>
      <c r="AC1086" s="31"/>
      <c r="AD1086" s="184"/>
      <c r="AE1086" s="51"/>
      <c r="AF1086" s="52"/>
      <c r="AG1086" s="41"/>
      <c r="AH1086" s="45"/>
      <c r="AI1086" s="28"/>
      <c r="AJ1086" s="28"/>
      <c r="AK1086" s="28"/>
      <c r="AL1086" s="28"/>
      <c r="AM1086" s="12"/>
      <c r="AN1086" s="12"/>
      <c r="AO1086" s="12"/>
      <c r="AP1086" s="12"/>
      <c r="AQ1086" s="12"/>
      <c r="AR1086" s="13"/>
      <c r="AS1086" s="14"/>
    </row>
    <row r="1087" spans="1:45" s="16" customFormat="1" ht="30.95" hidden="1" customHeight="1" x14ac:dyDescent="0.2">
      <c r="A1087" s="35"/>
      <c r="B1087" s="36"/>
      <c r="C1087" s="43"/>
      <c r="D1087" s="29">
        <v>3727600</v>
      </c>
      <c r="E1087" s="29">
        <v>4162075</v>
      </c>
      <c r="F1087" s="255" t="str">
        <f>IF(D1087="","",VLOOKUP(D1087,契約台帳!$A$3:$K$4986,6,FALSE)&amp;VLOOKUP(D1087,契約台帳!$A$3:$K$4986,7,FALSE)&amp;VLOOKUP(D1087,契約台帳!$A$3:$K$4986,8,FALSE)&amp;VLOOKUP(D1087,契約台帳!$A$3:$K$4986,9,FALSE)&amp;VLOOKUP(D1087,契約台帳!$A$3:$K$4986,11,FALSE))</f>
        <v>3SNMLBMNGTBF</v>
      </c>
      <c r="G1087" s="256" t="str">
        <f>IF(D1087="","",VLOOKUP(F1087,製品マスタ!$G$5:$H$4999,2,FALSE))</f>
        <v>S</v>
      </c>
      <c r="H1087" s="256" t="str">
        <f>IF(D1087="","",VLOOKUP(F1087,製品マスタ!$G$5:$K$4999,5,FALSE))</f>
        <v>MNGTBF</v>
      </c>
      <c r="I1087" s="200" t="str">
        <f>IF(D1087="","",VLOOKUP(F1087,製品マスタ!$G$5:$L$4999,6,FALSE))</f>
        <v>メタルミー　ネーマー　銀艶　Ｂ</v>
      </c>
      <c r="J1087" s="203" t="s">
        <v>935</v>
      </c>
      <c r="K1087" s="200">
        <f>IF(D1087="","",VLOOKUP(D1087,契約台帳!$A$3:$L$4986,12,FALSE))</f>
        <v>50</v>
      </c>
      <c r="L1087" s="200" t="str">
        <f>IF(D1087="","",INDEX(製品マスタ!$Q$5:$Q$4999,MATCH('S4'!F1087&amp;'S4'!K1087,製品マスタ!$AO$5:$AO$4999,0)))</f>
        <v>T62</v>
      </c>
      <c r="M1087" s="37">
        <v>1120</v>
      </c>
      <c r="N1087" s="37">
        <v>5000</v>
      </c>
      <c r="O1087" s="153">
        <v>16</v>
      </c>
      <c r="P1087" s="45">
        <v>2</v>
      </c>
      <c r="Q1087" s="206">
        <v>45196</v>
      </c>
      <c r="R1087" s="257">
        <f ca="1">IF(D1087="","",IF(OFFSET(D1087,-1,0)&lt;&gt;"","",IF(OR(J1087="リード付け",J1087="巻足し",J1087="巻返しリード付け"),M1087,VLOOKUP(D1087,契約台帳!$A$3:$N$4986,14,FALSE))))</f>
        <v>1120</v>
      </c>
      <c r="S1087" s="258">
        <f ca="1">IF(D1087="","",IF(OFFSET(D1087,-1,0)&lt;&gt;"","",IF(OR(J1087="リード付け",J1087="巻足し",J1087="巻返しリード付け"),M1087,VLOOKUP(D1087,契約台帳!$A$3:$O$4986,15,FALSE))))</f>
        <v>1120</v>
      </c>
      <c r="T1087" s="258">
        <f ca="1">IF(D1087="","",IF(J1087="リード付け",N1087,IF(J1087="巻返しリード付け",N1087,IF(J1087="巻足し",N1087*P1087+OFFSET(N1087,1,0)*OFFSET(P1087,1,0),VLOOKUP(D1087,契約台帳!$A$3:$P$4986,16,FALSE)))))</f>
        <v>10000</v>
      </c>
      <c r="U1087" s="38">
        <v>8</v>
      </c>
      <c r="V1087" s="259">
        <f ca="1">IF(D1087="","",IF(OFFSET(D1087,-2,0)=D1087,"",VLOOKUP(D1087,契約台帳!$A$3:$R$4986,18,FALSE)))</f>
        <v>36</v>
      </c>
      <c r="W1087" s="256" t="str">
        <f ca="1">IF(D1087="","",IF(T1087="","",IF(OR(J1087="巻足し",J1087="巻返しリード付け"),"",IF(J1087="巻返し",VLOOKUP(F1087&amp;K1087&amp;M1087,製品マスタ!$M$5:$AD$4999,18,FALSE),IF(OR(J1087="リード付け",J1087="巻返しリード付け"),"原反コア",IF(J1087="スリット",VLOOKUP(F1087&amp;K1087&amp;R1087,製品マスタ!$N$5:$AD$4999,17,FALSE),""))))))</f>
        <v/>
      </c>
      <c r="X1087" s="256" t="str">
        <f ca="1">IF(D1087="","",IF(T1087="","",IF(J1087="巻足し","",IF(J1087="巻返し",VLOOKUP(F1087&amp;K1087&amp;M1087,製品マスタ!$M$5:$AE$4999,19,FALSE),IF(OR(J1087="リード付け",J1087="巻返しリード付け"),"",IF(J1087="スリット",VLOOKUP(F1087&amp;K1087&amp;R1087,製品マスタ!$N$5:$AE$4999,18,FALSE),""))))))</f>
        <v/>
      </c>
      <c r="Y1087" s="256">
        <f ca="1">IF(D1087="","",IF(T1087="","",VLOOKUP(D1087,契約台帳!$A$3:$Q$4986,17,FALSE)))</f>
        <v>2</v>
      </c>
      <c r="Z1087" s="256" t="str">
        <f ca="1">IF(D1087="","",IF(T1087="","",VLOOKUP(D1087,契約台帳!$A$3:$E$4986,5,FALSE)))</f>
        <v xml:space="preserve">リンテック㈱        </v>
      </c>
      <c r="AA1087" s="54"/>
      <c r="AB1087" s="200" t="str">
        <f>IFERROR((VLOOKUP(F1087&amp;K1087&amp;M1087,製品マスタ!$M$5:$AM$4999,27,FALSE)),"")</f>
        <v>原反ケース再利用</v>
      </c>
      <c r="AC1087" s="31"/>
      <c r="AD1087" s="184"/>
      <c r="AE1087" s="51"/>
      <c r="AF1087" s="52">
        <f>+M1087*N1087*O1087/1000</f>
        <v>89600</v>
      </c>
      <c r="AG1087" s="41"/>
      <c r="AH1087" s="45"/>
      <c r="AI1087" s="28"/>
      <c r="AJ1087" s="28"/>
      <c r="AK1087" s="28"/>
      <c r="AL1087" s="28"/>
      <c r="AM1087" s="12"/>
      <c r="AN1087" s="12"/>
      <c r="AO1087" s="12"/>
      <c r="AP1087" s="12"/>
      <c r="AQ1087" s="12"/>
      <c r="AR1087" s="13"/>
      <c r="AS1087" s="14"/>
    </row>
    <row r="1088" spans="1:45" s="16" customFormat="1" ht="30.95" hidden="1" customHeight="1" x14ac:dyDescent="0.2">
      <c r="A1088" s="35"/>
      <c r="B1088" s="36"/>
      <c r="C1088" s="43"/>
      <c r="D1088" s="29"/>
      <c r="E1088" s="29"/>
      <c r="F1088" s="255"/>
      <c r="G1088" s="256"/>
      <c r="H1088" s="256"/>
      <c r="I1088" s="200"/>
      <c r="J1088" s="203"/>
      <c r="K1088" s="200"/>
      <c r="L1088" s="200"/>
      <c r="M1088" s="37"/>
      <c r="N1088" s="37"/>
      <c r="O1088" s="153"/>
      <c r="P1088" s="45"/>
      <c r="Q1088" s="54"/>
      <c r="R1088" s="260"/>
      <c r="S1088" s="258"/>
      <c r="T1088" s="258"/>
      <c r="U1088" s="38"/>
      <c r="V1088" s="261"/>
      <c r="W1088" s="256"/>
      <c r="X1088" s="256"/>
      <c r="Y1088" s="256"/>
      <c r="Z1088" s="256"/>
      <c r="AA1088" s="54"/>
      <c r="AB1088" s="200"/>
      <c r="AC1088" s="31"/>
      <c r="AD1088" s="184"/>
      <c r="AE1088" s="51"/>
      <c r="AF1088" s="52"/>
      <c r="AG1088" s="41"/>
      <c r="AH1088" s="45"/>
      <c r="AI1088" s="28"/>
      <c r="AJ1088" s="28"/>
      <c r="AK1088" s="28"/>
      <c r="AL1088" s="28"/>
      <c r="AM1088" s="12"/>
      <c r="AN1088" s="12"/>
      <c r="AO1088" s="12"/>
      <c r="AP1088" s="12"/>
      <c r="AQ1088" s="12"/>
      <c r="AR1088" s="13"/>
      <c r="AS1088" s="14"/>
    </row>
    <row r="1089" spans="1:45" s="16" customFormat="1" ht="30.95" hidden="1" customHeight="1" x14ac:dyDescent="0.2">
      <c r="A1089" s="35" t="s">
        <v>1591</v>
      </c>
      <c r="B1089" s="36" t="s">
        <v>1592</v>
      </c>
      <c r="C1089" s="43"/>
      <c r="D1089" s="29">
        <v>3727600</v>
      </c>
      <c r="E1089" s="29">
        <v>4162075</v>
      </c>
      <c r="F1089" s="255" t="str">
        <f>IF(D1089="","",VLOOKUP(D1089,契約台帳!$A$3:$K$4986,6,FALSE)&amp;VLOOKUP(D1089,契約台帳!$A$3:$K$4986,7,FALSE)&amp;VLOOKUP(D1089,契約台帳!$A$3:$K$4986,8,FALSE)&amp;VLOOKUP(D1089,契約台帳!$A$3:$K$4986,9,FALSE)&amp;VLOOKUP(D1089,契約台帳!$A$3:$K$4986,11,FALSE))</f>
        <v>3SNMLBMNGTBF</v>
      </c>
      <c r="G1089" s="256" t="str">
        <f>IF(D1089="","",VLOOKUP(F1089,製品マスタ!$G$5:$H$4999,2,FALSE))</f>
        <v>S</v>
      </c>
      <c r="H1089" s="256" t="str">
        <f>IF(D1089="","",VLOOKUP(F1089,製品マスタ!$G$5:$K$4999,5,FALSE))</f>
        <v>MNGTBF</v>
      </c>
      <c r="I1089" s="200" t="str">
        <f>IF(D1089="","",VLOOKUP(F1089,製品マスタ!$G$5:$L$4999,6,FALSE))</f>
        <v>メタルミー　ネーマー　銀艶　Ｂ</v>
      </c>
      <c r="J1089" s="203" t="s">
        <v>935</v>
      </c>
      <c r="K1089" s="200">
        <f>IF(D1089="","",VLOOKUP(D1089,契約台帳!$A$3:$L$4986,12,FALSE))</f>
        <v>50</v>
      </c>
      <c r="L1089" s="200" t="str">
        <f>IF(D1089="","",INDEX(製品マスタ!$Q$5:$Q$4999,MATCH('S4'!F1089&amp;'S4'!K1089,製品マスタ!$AO$5:$AO$4999,0)))</f>
        <v>T62</v>
      </c>
      <c r="M1089" s="37">
        <v>1120</v>
      </c>
      <c r="N1089" s="37">
        <v>5000</v>
      </c>
      <c r="O1089" s="153">
        <v>18</v>
      </c>
      <c r="P1089" s="45">
        <v>2</v>
      </c>
      <c r="Q1089" s="206">
        <v>45196</v>
      </c>
      <c r="R1089" s="257">
        <f ca="1">IF(D1089="","",IF(OFFSET(D1089,-1,0)&lt;&gt;"","",IF(OR(J1089="リード付け",J1089="巻足し",J1089="巻返しリード付け"),M1089,VLOOKUP(D1089,契約台帳!$A$3:$N$4986,14,FALSE))))</f>
        <v>1120</v>
      </c>
      <c r="S1089" s="258">
        <f ca="1">IF(D1089="","",IF(OFFSET(D1089,-1,0)&lt;&gt;"","",IF(OR(J1089="リード付け",J1089="巻足し",J1089="巻返しリード付け"),M1089,VLOOKUP(D1089,契約台帳!$A$3:$O$4986,15,FALSE))))</f>
        <v>1120</v>
      </c>
      <c r="T1089" s="258">
        <f ca="1">IF(D1089="","",IF(J1089="リード付け",N1089,IF(J1089="巻返しリード付け",N1089,IF(J1089="巻足し",N1089*P1089+OFFSET(N1089,1,0)*OFFSET(P1089,1,0),VLOOKUP(D1089,契約台帳!$A$3:$P$4986,16,FALSE)))))</f>
        <v>10000</v>
      </c>
      <c r="U1089" s="38">
        <v>9</v>
      </c>
      <c r="V1089" s="259" t="str">
        <f ca="1">IF(D1089="","",IF(OFFSET(D1089,-2,0)=D1089,"",VLOOKUP(D1089,契約台帳!$A$3:$R$4986,18,FALSE)))</f>
        <v/>
      </c>
      <c r="W1089" s="256" t="str">
        <f ca="1">IF(D1089="","",IF(T1089="","",IF(OR(J1089="巻足し",J1089="巻返しリード付け"),"",IF(J1089="巻返し",VLOOKUP(F1089&amp;K1089&amp;M1089,製品マスタ!$M$5:$AD$4999,18,FALSE),IF(OR(J1089="リード付け",J1089="巻返しリード付け"),"原反コア",IF(J1089="スリット",VLOOKUP(F1089&amp;K1089&amp;R1089,製品マスタ!$N$5:$AD$4999,17,FALSE),""))))))</f>
        <v/>
      </c>
      <c r="X1089" s="256" t="str">
        <f ca="1">IF(D1089="","",IF(T1089="","",IF(J1089="巻足し","",IF(J1089="巻返し",VLOOKUP(F1089&amp;K1089&amp;M1089,製品マスタ!$M$5:$AE$4999,19,FALSE),IF(OR(J1089="リード付け",J1089="巻返しリード付け"),"",IF(J1089="スリット",VLOOKUP(F1089&amp;K1089&amp;R1089,製品マスタ!$N$5:$AE$4999,18,FALSE),""))))))</f>
        <v/>
      </c>
      <c r="Y1089" s="256">
        <f ca="1">IF(D1089="","",IF(T1089="","",VLOOKUP(D1089,契約台帳!$A$3:$Q$4986,17,FALSE)))</f>
        <v>2</v>
      </c>
      <c r="Z1089" s="256" t="str">
        <f ca="1">IF(D1089="","",IF(T1089="","",VLOOKUP(D1089,契約台帳!$A$3:$E$4986,5,FALSE)))</f>
        <v xml:space="preserve">リンテック㈱        </v>
      </c>
      <c r="AA1089" s="54"/>
      <c r="AB1089" s="200" t="str">
        <f>IFERROR((VLOOKUP(F1089&amp;K1089&amp;M1089,製品マスタ!$M$5:$AM$4999,27,FALSE)),"")</f>
        <v>原反ケース再利用</v>
      </c>
      <c r="AC1089" s="31"/>
      <c r="AD1089" s="184"/>
      <c r="AE1089" s="51"/>
      <c r="AF1089" s="52">
        <f>+M1089*N1089*O1089/1000</f>
        <v>100800</v>
      </c>
      <c r="AG1089" s="41"/>
      <c r="AH1089" s="45"/>
      <c r="AI1089" s="28"/>
      <c r="AJ1089" s="28"/>
      <c r="AK1089" s="28"/>
      <c r="AL1089" s="28"/>
      <c r="AM1089" s="12"/>
      <c r="AN1089" s="12"/>
      <c r="AO1089" s="12"/>
      <c r="AP1089" s="12"/>
      <c r="AQ1089" s="12"/>
      <c r="AR1089" s="13"/>
      <c r="AS1089" s="14"/>
    </row>
    <row r="1090" spans="1:45" s="16" customFormat="1" ht="30.95" hidden="1" customHeight="1" x14ac:dyDescent="0.2">
      <c r="A1090" s="35"/>
      <c r="B1090" s="36"/>
      <c r="C1090" s="43"/>
      <c r="D1090" s="29"/>
      <c r="E1090" s="29"/>
      <c r="F1090" s="255"/>
      <c r="G1090" s="256"/>
      <c r="H1090" s="256"/>
      <c r="I1090" s="200"/>
      <c r="J1090" s="203"/>
      <c r="K1090" s="200"/>
      <c r="L1090" s="200"/>
      <c r="M1090" s="37"/>
      <c r="N1090" s="37"/>
      <c r="O1090" s="153"/>
      <c r="P1090" s="45"/>
      <c r="Q1090" s="54"/>
      <c r="R1090" s="260"/>
      <c r="S1090" s="258"/>
      <c r="T1090" s="258"/>
      <c r="U1090" s="38"/>
      <c r="V1090" s="261"/>
      <c r="W1090" s="256"/>
      <c r="X1090" s="256"/>
      <c r="Y1090" s="256"/>
      <c r="Z1090" s="256"/>
      <c r="AA1090" s="54"/>
      <c r="AB1090" s="200"/>
      <c r="AC1090" s="31"/>
      <c r="AD1090" s="184"/>
      <c r="AE1090" s="51"/>
      <c r="AF1090" s="52"/>
      <c r="AG1090" s="41"/>
      <c r="AH1090" s="45"/>
      <c r="AI1090" s="28"/>
      <c r="AJ1090" s="28"/>
      <c r="AK1090" s="28"/>
      <c r="AL1090" s="28"/>
      <c r="AM1090" s="12"/>
      <c r="AN1090" s="12"/>
      <c r="AO1090" s="12"/>
      <c r="AP1090" s="12"/>
      <c r="AQ1090" s="12"/>
      <c r="AR1090" s="13"/>
      <c r="AS1090" s="14"/>
    </row>
    <row r="1091" spans="1:45" s="16" customFormat="1" ht="30.95" hidden="1" customHeight="1" x14ac:dyDescent="0.2">
      <c r="A1091" s="35" t="s">
        <v>1593</v>
      </c>
      <c r="B1091" s="36" t="s">
        <v>1594</v>
      </c>
      <c r="C1091" s="43"/>
      <c r="D1091" s="29"/>
      <c r="E1091" s="29"/>
      <c r="F1091" s="255"/>
      <c r="G1091" s="256"/>
      <c r="H1091" s="256"/>
      <c r="I1091" s="200"/>
      <c r="J1091" s="203"/>
      <c r="K1091" s="200"/>
      <c r="L1091" s="200"/>
      <c r="M1091" s="37"/>
      <c r="N1091" s="37"/>
      <c r="O1091" s="153"/>
      <c r="P1091" s="45"/>
      <c r="Q1091" s="54"/>
      <c r="R1091" s="260"/>
      <c r="S1091" s="258"/>
      <c r="T1091" s="258"/>
      <c r="U1091" s="38"/>
      <c r="V1091" s="261"/>
      <c r="W1091" s="256"/>
      <c r="X1091" s="256"/>
      <c r="Y1091" s="256"/>
      <c r="Z1091" s="256"/>
      <c r="AA1091" s="54"/>
      <c r="AB1091" s="200"/>
      <c r="AC1091" s="31"/>
      <c r="AD1091" s="184"/>
      <c r="AE1091" s="51"/>
      <c r="AF1091" s="52"/>
      <c r="AG1091" s="41"/>
      <c r="AH1091" s="45"/>
      <c r="AI1091" s="28"/>
      <c r="AJ1091" s="28"/>
      <c r="AK1091" s="28"/>
      <c r="AL1091" s="28"/>
      <c r="AM1091" s="12"/>
      <c r="AN1091" s="12"/>
      <c r="AO1091" s="12"/>
      <c r="AP1091" s="12"/>
      <c r="AQ1091" s="12"/>
      <c r="AR1091" s="13"/>
      <c r="AS1091" s="14"/>
    </row>
    <row r="1092" spans="1:45" s="16" customFormat="1" ht="30.95" hidden="1" customHeight="1" x14ac:dyDescent="0.2">
      <c r="A1092" s="35"/>
      <c r="B1092" s="36"/>
      <c r="C1092" s="43"/>
      <c r="D1092" s="29"/>
      <c r="E1092" s="29"/>
      <c r="F1092" s="255"/>
      <c r="G1092" s="256"/>
      <c r="H1092" s="256"/>
      <c r="I1092" s="200"/>
      <c r="J1092" s="203"/>
      <c r="K1092" s="200"/>
      <c r="L1092" s="200"/>
      <c r="M1092" s="37"/>
      <c r="N1092" s="37"/>
      <c r="O1092" s="153"/>
      <c r="P1092" s="45"/>
      <c r="Q1092" s="54"/>
      <c r="R1092" s="260"/>
      <c r="S1092" s="258"/>
      <c r="T1092" s="258"/>
      <c r="U1092" s="38"/>
      <c r="V1092" s="261"/>
      <c r="W1092" s="256"/>
      <c r="X1092" s="256"/>
      <c r="Y1092" s="256"/>
      <c r="Z1092" s="256"/>
      <c r="AA1092" s="54"/>
      <c r="AB1092" s="200"/>
      <c r="AC1092" s="31"/>
      <c r="AD1092" s="184"/>
      <c r="AE1092" s="51"/>
      <c r="AF1092" s="52"/>
      <c r="AG1092" s="41"/>
      <c r="AH1092" s="45"/>
      <c r="AI1092" s="28"/>
      <c r="AJ1092" s="28"/>
      <c r="AK1092" s="28"/>
      <c r="AL1092" s="28"/>
      <c r="AM1092" s="12"/>
      <c r="AN1092" s="12"/>
      <c r="AO1092" s="12"/>
      <c r="AP1092" s="12"/>
      <c r="AQ1092" s="12"/>
      <c r="AR1092" s="13"/>
      <c r="AS1092" s="14"/>
    </row>
    <row r="1093" spans="1:45" s="16" customFormat="1" ht="30.95" hidden="1" customHeight="1" x14ac:dyDescent="0.2">
      <c r="A1093" s="35" t="s">
        <v>1595</v>
      </c>
      <c r="B1093" s="36" t="s">
        <v>1596</v>
      </c>
      <c r="C1093" s="43"/>
      <c r="D1093" s="29"/>
      <c r="E1093" s="29"/>
      <c r="F1093" s="255"/>
      <c r="G1093" s="256"/>
      <c r="H1093" s="256"/>
      <c r="I1093" s="200"/>
      <c r="J1093" s="203"/>
      <c r="K1093" s="200"/>
      <c r="L1093" s="200"/>
      <c r="M1093" s="37"/>
      <c r="N1093" s="37"/>
      <c r="O1093" s="153"/>
      <c r="P1093" s="45"/>
      <c r="Q1093" s="54"/>
      <c r="R1093" s="260"/>
      <c r="S1093" s="258"/>
      <c r="T1093" s="258"/>
      <c r="U1093" s="38"/>
      <c r="V1093" s="261"/>
      <c r="W1093" s="256"/>
      <c r="X1093" s="256"/>
      <c r="Y1093" s="256"/>
      <c r="Z1093" s="256"/>
      <c r="AA1093" s="54"/>
      <c r="AB1093" s="200"/>
      <c r="AC1093" s="31"/>
      <c r="AD1093" s="184"/>
      <c r="AE1093" s="51"/>
      <c r="AF1093" s="52"/>
      <c r="AG1093" s="41"/>
      <c r="AH1093" s="45"/>
      <c r="AI1093" s="28"/>
      <c r="AJ1093" s="28"/>
      <c r="AK1093" s="28"/>
      <c r="AL1093" s="28"/>
      <c r="AM1093" s="12"/>
      <c r="AN1093" s="12"/>
      <c r="AO1093" s="12"/>
      <c r="AP1093" s="12"/>
      <c r="AQ1093" s="12"/>
      <c r="AR1093" s="13"/>
      <c r="AS1093" s="14"/>
    </row>
    <row r="1094" spans="1:45" s="16" customFormat="1" ht="30.95" hidden="1" customHeight="1" x14ac:dyDescent="0.2">
      <c r="A1094" s="35"/>
      <c r="B1094" s="36"/>
      <c r="C1094" s="43"/>
      <c r="D1094" s="29"/>
      <c r="E1094" s="29"/>
      <c r="F1094" s="255"/>
      <c r="G1094" s="256"/>
      <c r="H1094" s="256"/>
      <c r="I1094" s="200"/>
      <c r="J1094" s="203"/>
      <c r="K1094" s="200"/>
      <c r="L1094" s="200"/>
      <c r="M1094" s="37"/>
      <c r="N1094" s="37"/>
      <c r="O1094" s="153"/>
      <c r="P1094" s="45"/>
      <c r="Q1094" s="54"/>
      <c r="R1094" s="260"/>
      <c r="S1094" s="258"/>
      <c r="T1094" s="258"/>
      <c r="U1094" s="38"/>
      <c r="V1094" s="261"/>
      <c r="W1094" s="256"/>
      <c r="X1094" s="256"/>
      <c r="Y1094" s="256"/>
      <c r="Z1094" s="256"/>
      <c r="AA1094" s="54"/>
      <c r="AB1094" s="200"/>
      <c r="AC1094" s="31"/>
      <c r="AD1094" s="184"/>
      <c r="AE1094" s="51"/>
      <c r="AF1094" s="52"/>
      <c r="AG1094" s="41"/>
      <c r="AH1094" s="45"/>
      <c r="AI1094" s="28"/>
      <c r="AJ1094" s="28"/>
      <c r="AK1094" s="28"/>
      <c r="AL1094" s="28"/>
      <c r="AM1094" s="12"/>
      <c r="AN1094" s="12"/>
      <c r="AO1094" s="12"/>
      <c r="AP1094" s="12"/>
      <c r="AQ1094" s="12"/>
      <c r="AR1094" s="13"/>
      <c r="AS1094" s="14"/>
    </row>
    <row r="1095" spans="1:45" s="16" customFormat="1" ht="30.95" hidden="1" customHeight="1" x14ac:dyDescent="0.2">
      <c r="A1095" s="35" t="s">
        <v>1597</v>
      </c>
      <c r="B1095" s="36" t="s">
        <v>1598</v>
      </c>
      <c r="C1095" s="43"/>
      <c r="D1095" s="29">
        <v>3727600</v>
      </c>
      <c r="E1095" s="29">
        <v>4162075</v>
      </c>
      <c r="F1095" s="255" t="str">
        <f>IF(D1095="","",VLOOKUP(D1095,契約台帳!$A$3:$K$4986,6,FALSE)&amp;VLOOKUP(D1095,契約台帳!$A$3:$K$4986,7,FALSE)&amp;VLOOKUP(D1095,契約台帳!$A$3:$K$4986,8,FALSE)&amp;VLOOKUP(D1095,契約台帳!$A$3:$K$4986,9,FALSE)&amp;VLOOKUP(D1095,契約台帳!$A$3:$K$4986,11,FALSE))</f>
        <v>3SNMLBMNGTBF</v>
      </c>
      <c r="G1095" s="256" t="str">
        <f>IF(D1095="","",VLOOKUP(F1095,製品マスタ!$G$5:$H$4999,2,FALSE))</f>
        <v>S</v>
      </c>
      <c r="H1095" s="256" t="str">
        <f>IF(D1095="","",VLOOKUP(F1095,製品マスタ!$G$5:$K$4999,5,FALSE))</f>
        <v>MNGTBF</v>
      </c>
      <c r="I1095" s="200" t="str">
        <f>IF(D1095="","",VLOOKUP(F1095,製品マスタ!$G$5:$L$4999,6,FALSE))</f>
        <v>メタルミー　ネーマー　銀艶　Ｂ</v>
      </c>
      <c r="J1095" s="203" t="s">
        <v>935</v>
      </c>
      <c r="K1095" s="200">
        <f>IF(D1095="","",VLOOKUP(D1095,契約台帳!$A$3:$L$4986,12,FALSE))</f>
        <v>50</v>
      </c>
      <c r="L1095" s="200" t="str">
        <f>IF(D1095="","",INDEX(製品マスタ!$Q$5:$Q$4999,MATCH('S4'!F1095&amp;'S4'!K1095,製品マスタ!$AO$5:$AO$4999,0)))</f>
        <v>T62</v>
      </c>
      <c r="M1095" s="37">
        <v>1120</v>
      </c>
      <c r="N1095" s="37">
        <v>5000</v>
      </c>
      <c r="O1095" s="153">
        <v>2</v>
      </c>
      <c r="P1095" s="45">
        <v>2</v>
      </c>
      <c r="Q1095" s="206">
        <v>45196</v>
      </c>
      <c r="R1095" s="257">
        <f ca="1">IF(D1095="","",IF(OFFSET(D1095,-1,0)&lt;&gt;"","",IF(OR(J1095="リード付け",J1095="巻足し",J1095="巻返しリード付け"),M1095,VLOOKUP(D1095,契約台帳!$A$3:$N$4986,14,FALSE))))</f>
        <v>1120</v>
      </c>
      <c r="S1095" s="258">
        <f ca="1">IF(D1095="","",IF(OFFSET(D1095,-1,0)&lt;&gt;"","",IF(OR(J1095="リード付け",J1095="巻足し",J1095="巻返しリード付け"),M1095,VLOOKUP(D1095,契約台帳!$A$3:$O$4986,15,FALSE))))</f>
        <v>1120</v>
      </c>
      <c r="T1095" s="258">
        <f ca="1">IF(D1095="","",IF(J1095="リード付け",N1095,IF(J1095="巻返しリード付け",N1095,IF(J1095="巻足し",N1095*P1095+OFFSET(N1095,1,0)*OFFSET(P1095,1,0),VLOOKUP(D1095,契約台帳!$A$3:$P$4986,16,FALSE)))))</f>
        <v>10000</v>
      </c>
      <c r="U1095" s="38">
        <v>1</v>
      </c>
      <c r="V1095" s="259">
        <f ca="1">IF(D1095="","",IF(OFFSET(D1095,-2,0)=D1095,"",VLOOKUP(D1095,契約台帳!$A$3:$R$4986,18,FALSE)))</f>
        <v>36</v>
      </c>
      <c r="W1095" s="256" t="str">
        <f ca="1">IF(D1095="","",IF(T1095="","",IF(OR(J1095="巻足し",J1095="巻返しリード付け"),"",IF(J1095="巻返し",VLOOKUP(F1095&amp;K1095&amp;M1095,製品マスタ!$M$5:$AD$4999,18,FALSE),IF(OR(J1095="リード付け",J1095="巻返しリード付け"),"原反コア",IF(J1095="スリット",VLOOKUP(F1095&amp;K1095&amp;R1095,製品マスタ!$N$5:$AD$4999,17,FALSE),""))))))</f>
        <v/>
      </c>
      <c r="X1095" s="256" t="str">
        <f ca="1">IF(D1095="","",IF(T1095="","",IF(J1095="巻足し","",IF(J1095="巻返し",VLOOKUP(F1095&amp;K1095&amp;M1095,製品マスタ!$M$5:$AE$4999,19,FALSE),IF(OR(J1095="リード付け",J1095="巻返しリード付け"),"",IF(J1095="スリット",VLOOKUP(F1095&amp;K1095&amp;R1095,製品マスタ!$N$5:$AE$4999,18,FALSE),""))))))</f>
        <v/>
      </c>
      <c r="Y1095" s="256">
        <f ca="1">IF(D1095="","",IF(T1095="","",VLOOKUP(D1095,契約台帳!$A$3:$Q$4986,17,FALSE)))</f>
        <v>2</v>
      </c>
      <c r="Z1095" s="256" t="str">
        <f ca="1">IF(D1095="","",IF(T1095="","",VLOOKUP(D1095,契約台帳!$A$3:$E$4986,5,FALSE)))</f>
        <v xml:space="preserve">リンテック㈱        </v>
      </c>
      <c r="AA1095" s="54"/>
      <c r="AB1095" s="200" t="str">
        <f>IFERROR((VLOOKUP(F1095&amp;K1095&amp;M1095,製品マスタ!$M$5:$AM$4999,27,FALSE)),"")</f>
        <v>原反ケース再利用</v>
      </c>
      <c r="AC1095" s="31"/>
      <c r="AD1095" s="184"/>
      <c r="AE1095" s="51"/>
      <c r="AF1095" s="52"/>
      <c r="AG1095" s="41"/>
      <c r="AH1095" s="45"/>
      <c r="AI1095" s="28"/>
      <c r="AJ1095" s="28"/>
      <c r="AK1095" s="28"/>
      <c r="AL1095" s="28"/>
      <c r="AM1095" s="12"/>
      <c r="AN1095" s="12"/>
      <c r="AO1095" s="12"/>
      <c r="AP1095" s="12"/>
      <c r="AQ1095" s="12"/>
      <c r="AR1095" s="13"/>
      <c r="AS1095" s="14"/>
    </row>
    <row r="1096" spans="1:45" s="16" customFormat="1" ht="30.95" hidden="1" customHeight="1" x14ac:dyDescent="0.2">
      <c r="A1096" s="35"/>
      <c r="B1096" s="36"/>
      <c r="C1096" s="43"/>
      <c r="D1096" s="29"/>
      <c r="E1096" s="29"/>
      <c r="F1096" s="255"/>
      <c r="G1096" s="256"/>
      <c r="H1096" s="256"/>
      <c r="I1096" s="200"/>
      <c r="J1096" s="203"/>
      <c r="K1096" s="200"/>
      <c r="L1096" s="200"/>
      <c r="M1096" s="37"/>
      <c r="N1096" s="37"/>
      <c r="O1096" s="153"/>
      <c r="P1096" s="45"/>
      <c r="Q1096" s="54"/>
      <c r="R1096" s="260"/>
      <c r="S1096" s="258"/>
      <c r="T1096" s="258"/>
      <c r="U1096" s="38"/>
      <c r="V1096" s="261"/>
      <c r="W1096" s="256"/>
      <c r="X1096" s="256"/>
      <c r="Y1096" s="256"/>
      <c r="Z1096" s="256"/>
      <c r="AA1096" s="54"/>
      <c r="AB1096" s="200"/>
      <c r="AC1096" s="31"/>
      <c r="AD1096" s="184"/>
      <c r="AE1096" s="51"/>
      <c r="AF1096" s="52"/>
      <c r="AG1096" s="41"/>
      <c r="AH1096" s="45"/>
      <c r="AI1096" s="28"/>
      <c r="AJ1096" s="28"/>
      <c r="AK1096" s="28"/>
      <c r="AL1096" s="28"/>
      <c r="AM1096" s="12"/>
      <c r="AN1096" s="12"/>
      <c r="AO1096" s="12"/>
      <c r="AP1096" s="12"/>
      <c r="AQ1096" s="12"/>
      <c r="AR1096" s="13"/>
      <c r="AS1096" s="14"/>
    </row>
    <row r="1097" spans="1:45" s="16" customFormat="1" ht="30.95" hidden="1" customHeight="1" x14ac:dyDescent="0.2">
      <c r="A1097" s="35"/>
      <c r="B1097" s="36"/>
      <c r="C1097" s="43"/>
      <c r="D1097" s="29">
        <v>3727612</v>
      </c>
      <c r="E1097" s="29">
        <v>4162081</v>
      </c>
      <c r="F1097" s="255" t="str">
        <f>IF(D1097="","",VLOOKUP(D1097,契約台帳!$A$3:$K$4986,6,FALSE)&amp;VLOOKUP(D1097,契約台帳!$A$3:$K$4986,7,FALSE)&amp;VLOOKUP(D1097,契約台帳!$A$3:$K$4986,8,FALSE)&amp;VLOOKUP(D1097,契約台帳!$A$3:$K$4986,9,FALSE)&amp;VLOOKUP(D1097,契約台帳!$A$3:$K$4986,11,FALSE))</f>
        <v>3SYMLBMSBBF</v>
      </c>
      <c r="G1097" s="256" t="str">
        <f>IF(D1097="","",VLOOKUP(F1097,製品マスタ!$G$5:$H$4999,2,FALSE))</f>
        <v>S</v>
      </c>
      <c r="H1097" s="256" t="str">
        <f>IF(D1097="","",VLOOKUP(F1097,製品マスタ!$G$5:$K$4999,5,FALSE))</f>
        <v>MSBBF</v>
      </c>
      <c r="I1097" s="200" t="str">
        <f>IF(D1097="","",VLOOKUP(F1097,製品マスタ!$G$5:$L$4999,6,FALSE))</f>
        <v>ＭＥＴＡＬＵＭＹ　ＳＩＬＶＥＲ　ＢＲＩＧＨＴ　Ｔ６２Ｍ　Ｂ</v>
      </c>
      <c r="J1097" s="203" t="s">
        <v>935</v>
      </c>
      <c r="K1097" s="200">
        <f>IF(D1097="","",VLOOKUP(D1097,契約台帳!$A$3:$L$4986,12,FALSE))</f>
        <v>50</v>
      </c>
      <c r="L1097" s="200" t="str">
        <f>IF(D1097="","",INDEX(製品マスタ!$Q$5:$Q$4999,MATCH('S4'!F1097&amp;'S4'!K1097,製品マスタ!$AO$5:$AO$4999,0)))</f>
        <v>T62</v>
      </c>
      <c r="M1097" s="37">
        <v>1120</v>
      </c>
      <c r="N1097" s="37">
        <v>5000</v>
      </c>
      <c r="O1097" s="153">
        <v>2</v>
      </c>
      <c r="P1097" s="45">
        <v>2</v>
      </c>
      <c r="Q1097" s="206">
        <v>45196</v>
      </c>
      <c r="R1097" s="257">
        <f ca="1">IF(D1097="","",IF(OFFSET(D1097,-1,0)&lt;&gt;"","",IF(OR(J1097="リード付け",J1097="巻足し",J1097="巻返しリード付け"),M1097,VLOOKUP(D1097,契約台帳!$A$3:$N$4986,14,FALSE))))</f>
        <v>1120</v>
      </c>
      <c r="S1097" s="258">
        <f ca="1">IF(D1097="","",IF(OFFSET(D1097,-1,0)&lt;&gt;"","",IF(OR(J1097="リード付け",J1097="巻足し",J1097="巻返しリード付け"),M1097,VLOOKUP(D1097,契約台帳!$A$3:$O$4986,15,FALSE))))</f>
        <v>1120</v>
      </c>
      <c r="T1097" s="258">
        <f ca="1">IF(D1097="","",IF(J1097="リード付け",N1097,IF(J1097="巻返しリード付け",N1097,IF(J1097="巻足し",N1097*P1097+OFFSET(N1097,1,0)*OFFSET(P1097,1,0),VLOOKUP(D1097,契約台帳!$A$3:$P$4986,16,FALSE)))))</f>
        <v>10000</v>
      </c>
      <c r="U1097" s="38">
        <v>1</v>
      </c>
      <c r="V1097" s="259">
        <f ca="1">IF(D1097="","",IF(OFFSET(D1097,-2,0)=D1097,"",VLOOKUP(D1097,契約台帳!$A$3:$R$4986,18,FALSE)))</f>
        <v>2</v>
      </c>
      <c r="W1097" s="256" t="str">
        <f ca="1">IF(D1097="","",IF(T1097="","",IF(OR(J1097="巻足し",J1097="巻返しリード付け"),"",IF(J1097="巻返し",VLOOKUP(F1097&amp;K1097&amp;M1097,製品マスタ!$M$5:$AD$4999,18,FALSE),IF(OR(J1097="リード付け",J1097="巻返しリード付け"),"原反コア",IF(J1097="スリット",VLOOKUP(F1097&amp;K1097&amp;R1097,製品マスタ!$N$5:$AD$4999,17,FALSE),""))))))</f>
        <v/>
      </c>
      <c r="X1097" s="256" t="str">
        <f ca="1">IF(D1097="","",IF(T1097="","",IF(J1097="巻足し","",IF(J1097="巻返し",VLOOKUP(F1097&amp;K1097&amp;M1097,製品マスタ!$M$5:$AE$4999,19,FALSE),IF(OR(J1097="リード付け",J1097="巻返しリード付け"),"",IF(J1097="スリット",VLOOKUP(F1097&amp;K1097&amp;R1097,製品マスタ!$N$5:$AE$4999,18,FALSE),""))))))</f>
        <v/>
      </c>
      <c r="Y1097" s="256">
        <f ca="1">IF(D1097="","",IF(T1097="","",VLOOKUP(D1097,契約台帳!$A$3:$Q$4986,17,FALSE)))</f>
        <v>2</v>
      </c>
      <c r="Z1097" s="256" t="str">
        <f ca="1">IF(D1097="","",IF(T1097="","",VLOOKUP(D1097,契約台帳!$A$3:$E$4986,5,FALSE)))</f>
        <v xml:space="preserve">リンテック㈱        </v>
      </c>
      <c r="AA1097" s="54"/>
      <c r="AB1097" s="200" t="str">
        <f>IFERROR((VLOOKUP(F1097&amp;K1097&amp;M1097,製品マスタ!$M$5:$AM$4999,27,FALSE)),"")</f>
        <v>原反ケース再利用</v>
      </c>
      <c r="AC1097" s="31"/>
      <c r="AD1097" s="184"/>
      <c r="AE1097" s="51"/>
      <c r="AF1097" s="52"/>
      <c r="AG1097" s="41"/>
      <c r="AH1097" s="45"/>
      <c r="AI1097" s="28"/>
      <c r="AJ1097" s="28"/>
      <c r="AK1097" s="28"/>
      <c r="AL1097" s="28"/>
      <c r="AM1097" s="12"/>
      <c r="AN1097" s="12"/>
      <c r="AO1097" s="12"/>
      <c r="AP1097" s="12"/>
      <c r="AQ1097" s="12"/>
      <c r="AR1097" s="13"/>
      <c r="AS1097" s="14"/>
    </row>
    <row r="1098" spans="1:45" s="16" customFormat="1" ht="30.95" hidden="1" customHeight="1" x14ac:dyDescent="0.2">
      <c r="A1098" s="35"/>
      <c r="B1098" s="36"/>
      <c r="C1098" s="43"/>
      <c r="D1098" s="29"/>
      <c r="E1098" s="29"/>
      <c r="F1098" s="255"/>
      <c r="G1098" s="256"/>
      <c r="H1098" s="256"/>
      <c r="I1098" s="200"/>
      <c r="J1098" s="203"/>
      <c r="K1098" s="200"/>
      <c r="L1098" s="200"/>
      <c r="M1098" s="37"/>
      <c r="N1098" s="37"/>
      <c r="O1098" s="153"/>
      <c r="P1098" s="45"/>
      <c r="Q1098" s="54"/>
      <c r="R1098" s="260"/>
      <c r="S1098" s="258"/>
      <c r="T1098" s="258"/>
      <c r="U1098" s="38"/>
      <c r="V1098" s="261"/>
      <c r="W1098" s="256"/>
      <c r="X1098" s="256"/>
      <c r="Y1098" s="256"/>
      <c r="Z1098" s="256"/>
      <c r="AA1098" s="54"/>
      <c r="AB1098" s="200"/>
      <c r="AC1098" s="31"/>
      <c r="AD1098" s="184"/>
      <c r="AE1098" s="51"/>
      <c r="AF1098" s="52"/>
      <c r="AG1098" s="41"/>
      <c r="AH1098" s="45"/>
      <c r="AI1098" s="28"/>
      <c r="AJ1098" s="28"/>
      <c r="AK1098" s="28"/>
      <c r="AL1098" s="28"/>
      <c r="AM1098" s="12"/>
      <c r="AN1098" s="12"/>
      <c r="AO1098" s="12"/>
      <c r="AP1098" s="12"/>
      <c r="AQ1098" s="12"/>
      <c r="AR1098" s="13"/>
      <c r="AS1098" s="14"/>
    </row>
    <row r="1099" spans="1:45" s="16" customFormat="1" ht="30.75" hidden="1" customHeight="1" x14ac:dyDescent="0.2">
      <c r="A1099" s="35"/>
      <c r="B1099" s="36"/>
      <c r="C1099" s="43"/>
      <c r="D1099" s="29">
        <v>3727611</v>
      </c>
      <c r="E1099" s="29">
        <v>4162090</v>
      </c>
      <c r="F1099" s="255" t="str">
        <f>IF(D1099="","",VLOOKUP(D1099,契約台帳!$A$3:$K$4986,6,FALSE)&amp;VLOOKUP(D1099,契約台帳!$A$3:$K$4986,7,FALSE)&amp;VLOOKUP(D1099,契約台帳!$A$3:$K$4986,8,FALSE)&amp;VLOOKUP(D1099,契約台帳!$A$3:$K$4986,9,FALSE)&amp;VLOOKUP(D1099,契約台帳!$A$3:$K$4986,11,FALSE))</f>
        <v>3SNMLBMNQR66F</v>
      </c>
      <c r="G1099" s="256" t="str">
        <f>IF(D1099="","",VLOOKUP(F1099,製品マスタ!$G$5:$H$4999,2,FALSE))</f>
        <v>S</v>
      </c>
      <c r="H1099" s="256" t="str">
        <f>IF(D1099="","",VLOOKUP(F1099,製品マスタ!$G$5:$K$4999,5,FALSE))</f>
        <v>MNQR66F</v>
      </c>
      <c r="I1099" s="200" t="str">
        <f>IF(D1099="","",VLOOKUP(F1099,製品マスタ!$G$5:$L$4999,6,FALSE))</f>
        <v>ＱＲ６６蒸着品</v>
      </c>
      <c r="J1099" s="203" t="s">
        <v>935</v>
      </c>
      <c r="K1099" s="200">
        <f>IF(D1099="","",VLOOKUP(D1099,契約台帳!$A$3:$L$4986,12,FALSE))</f>
        <v>25</v>
      </c>
      <c r="L1099" s="200" t="str">
        <f>IF(D1099="","",INDEX(製品マスタ!$Q$5:$Q$4999,MATCH('S4'!F1099&amp;'S4'!K1099,製品マスタ!$AO$5:$AO$4999,0)))</f>
        <v>E315</v>
      </c>
      <c r="M1099" s="37">
        <v>1100</v>
      </c>
      <c r="N1099" s="37">
        <v>6000</v>
      </c>
      <c r="O1099" s="153">
        <v>8</v>
      </c>
      <c r="P1099" s="45">
        <v>4</v>
      </c>
      <c r="Q1099" s="206">
        <v>45197</v>
      </c>
      <c r="R1099" s="257">
        <f ca="1">IF(D1099="","",IF(OFFSET(D1099,-1,0)&lt;&gt;"","",IF(OR(J1099="リード付け",J1099="巻足し",J1099="巻返しリード付け"),M1099,VLOOKUP(D1099,契約台帳!$A$3:$N$4986,14,FALSE))))</f>
        <v>1100</v>
      </c>
      <c r="S1099" s="258">
        <f ca="1">IF(D1099="","",IF(OFFSET(D1099,-1,0)&lt;&gt;"","",IF(OR(J1099="リード付け",J1099="巻足し",J1099="巻返しリード付け"),M1099,VLOOKUP(D1099,契約台帳!$A$3:$O$4986,15,FALSE))))</f>
        <v>1100</v>
      </c>
      <c r="T1099" s="258">
        <f ca="1">IF(D1099="","",IF(J1099="リード付け",N1099,IF(J1099="巻返しリード付け",N1099,IF(J1099="巻足し",N1099*P1099+OFFSET(N1099,1,0)*OFFSET(P1099,1,0),VLOOKUP(D1099,契約台帳!$A$3:$P$4986,16,FALSE)))))</f>
        <v>24000</v>
      </c>
      <c r="U1099" s="38">
        <v>2</v>
      </c>
      <c r="V1099" s="259">
        <f ca="1">IF(D1099="","",IF(OFFSET(D1099,-2,0)=D1099,"",VLOOKUP(D1099,契約台帳!$A$3:$R$4986,18,FALSE)))</f>
        <v>8</v>
      </c>
      <c r="W1099" s="256" t="str">
        <f ca="1">IF(D1099="","",IF(T1099="","",IF(OR(J1099="巻足し",J1099="巻返しリード付け"),"",IF(J1099="巻返し",VLOOKUP(F1099&amp;K1099&amp;M1099,製品マスタ!$M$5:$AD$4999,18,FALSE),IF(OR(J1099="リード付け",J1099="巻返しリード付け"),"原反コア",IF(J1099="スリット",VLOOKUP(F1099&amp;K1099&amp;R1099,製品マスタ!$N$5:$AD$4999,17,FALSE),""))))))</f>
        <v/>
      </c>
      <c r="X1099" s="256" t="str">
        <f ca="1">IF(D1099="","",IF(T1099="","",IF(J1099="巻足し","",IF(J1099="巻返し",VLOOKUP(F1099&amp;K1099&amp;M1099,製品マスタ!$M$5:$AE$4999,19,FALSE),IF(OR(J1099="リード付け",J1099="巻返しリード付け"),"",IF(J1099="スリット",VLOOKUP(F1099&amp;K1099&amp;R1099,製品マスタ!$N$5:$AE$4999,18,FALSE),""))))))</f>
        <v/>
      </c>
      <c r="Y1099" s="256">
        <f ca="1">IF(D1099="","",IF(T1099="","",VLOOKUP(D1099,契約台帳!$A$3:$Q$4986,17,FALSE)))</f>
        <v>2</v>
      </c>
      <c r="Z1099" s="256" t="str">
        <f ca="1">IF(D1099="","",IF(T1099="","",VLOOKUP(D1099,契約台帳!$A$3:$E$4986,5,FALSE)))</f>
        <v xml:space="preserve">リンテック㈱        </v>
      </c>
      <c r="AA1099" s="54"/>
      <c r="AB1099" s="200" t="str">
        <f>IFERROR((VLOOKUP(F1099&amp;K1099&amp;M1099,製品マスタ!$M$5:$AM$4999,27,FALSE)),"")</f>
        <v>原反ケース再利用</v>
      </c>
      <c r="AC1099" s="31"/>
      <c r="AD1099" s="333" t="s">
        <v>1605</v>
      </c>
      <c r="AE1099" s="51"/>
      <c r="AF1099" s="52"/>
      <c r="AG1099" s="41"/>
      <c r="AH1099" s="45"/>
      <c r="AI1099" s="28"/>
      <c r="AJ1099" s="28"/>
      <c r="AK1099" s="28"/>
      <c r="AL1099" s="28"/>
      <c r="AM1099" s="12"/>
      <c r="AN1099" s="12"/>
      <c r="AO1099" s="12"/>
      <c r="AP1099" s="12"/>
      <c r="AQ1099" s="12"/>
      <c r="AR1099" s="13"/>
      <c r="AS1099" s="14"/>
    </row>
    <row r="1100" spans="1:45" s="16" customFormat="1" ht="30.95" hidden="1" customHeight="1" x14ac:dyDescent="0.2">
      <c r="A1100" s="35"/>
      <c r="B1100" s="36"/>
      <c r="C1100" s="43"/>
      <c r="D1100" s="29"/>
      <c r="E1100" s="29"/>
      <c r="F1100" s="255"/>
      <c r="G1100" s="256"/>
      <c r="H1100" s="256"/>
      <c r="I1100" s="200"/>
      <c r="J1100" s="203"/>
      <c r="K1100" s="200"/>
      <c r="L1100" s="200"/>
      <c r="M1100" s="37"/>
      <c r="N1100" s="37"/>
      <c r="O1100" s="153"/>
      <c r="P1100" s="45"/>
      <c r="Q1100" s="54"/>
      <c r="R1100" s="260"/>
      <c r="S1100" s="258"/>
      <c r="T1100" s="258"/>
      <c r="U1100" s="38"/>
      <c r="V1100" s="261"/>
      <c r="W1100" s="256"/>
      <c r="X1100" s="256"/>
      <c r="Y1100" s="256"/>
      <c r="Z1100" s="256"/>
      <c r="AA1100" s="54"/>
      <c r="AB1100" s="200"/>
      <c r="AC1100" s="31"/>
      <c r="AD1100" s="184"/>
      <c r="AE1100" s="51"/>
      <c r="AF1100" s="52"/>
      <c r="AG1100" s="41"/>
      <c r="AH1100" s="45"/>
      <c r="AI1100" s="28"/>
      <c r="AJ1100" s="28"/>
      <c r="AK1100" s="28"/>
      <c r="AL1100" s="28"/>
      <c r="AM1100" s="12"/>
      <c r="AN1100" s="12"/>
      <c r="AO1100" s="12"/>
      <c r="AP1100" s="12"/>
      <c r="AQ1100" s="12"/>
      <c r="AR1100" s="13"/>
      <c r="AS1100" s="14"/>
    </row>
    <row r="1101" spans="1:45" s="16" customFormat="1" ht="30.95" hidden="1" customHeight="1" x14ac:dyDescent="0.2">
      <c r="A1101" s="35"/>
      <c r="B1101" s="36"/>
      <c r="C1101" s="43"/>
      <c r="D1101" s="29">
        <v>3727597</v>
      </c>
      <c r="E1101" s="29">
        <v>4162069</v>
      </c>
      <c r="F1101" s="255" t="str">
        <f>IF(D1101="","",VLOOKUP(D1101,契約台帳!$A$3:$K$4986,6,FALSE)&amp;VLOOKUP(D1101,契約台帳!$A$3:$K$4986,7,FALSE)&amp;VLOOKUP(D1101,契約台帳!$A$3:$K$4986,8,FALSE)&amp;VLOOKUP(D1101,契約台帳!$A$3:$K$4986,9,FALSE)&amp;VLOOKUP(D1101,契約台帳!$A$3:$K$4986,11,FALSE))</f>
        <v>3SNMLBMNGKBF</v>
      </c>
      <c r="G1101" s="256" t="str">
        <f>IF(D1101="","",VLOOKUP(F1101,製品マスタ!$G$5:$H$4999,2,FALSE))</f>
        <v>S</v>
      </c>
      <c r="H1101" s="256" t="str">
        <f>IF(D1101="","",VLOOKUP(F1101,製品マスタ!$G$5:$K$4999,5,FALSE))</f>
        <v>MNGKBF</v>
      </c>
      <c r="I1101" s="200" t="str">
        <f>IF(D1101="","",VLOOKUP(F1101,製品マスタ!$G$5:$L$4999,6,FALSE))</f>
        <v>メタルミー　ネーマー銀消　Ｂ</v>
      </c>
      <c r="J1101" s="203" t="s">
        <v>935</v>
      </c>
      <c r="K1101" s="200">
        <f>IF(D1101="","",VLOOKUP(D1101,契約台帳!$A$3:$L$4986,12,FALSE))</f>
        <v>50</v>
      </c>
      <c r="L1101" s="200" t="str">
        <f>IF(D1101="","",INDEX(製品マスタ!$Q$5:$Q$4999,MATCH('S4'!F1101&amp;'S4'!K1101,製品マスタ!$AO$5:$AO$4999,0)))</f>
        <v>MAT</v>
      </c>
      <c r="M1101" s="37">
        <v>1050</v>
      </c>
      <c r="N1101" s="37">
        <v>4100</v>
      </c>
      <c r="O1101" s="153">
        <v>3</v>
      </c>
      <c r="P1101" s="45">
        <v>3</v>
      </c>
      <c r="Q1101" s="206">
        <v>45195</v>
      </c>
      <c r="R1101" s="257">
        <f ca="1">IF(D1101="","",IF(OFFSET(D1101,-1,0)&lt;&gt;"","",IF(OR(J1101="リード付け",J1101="巻足し",J1101="巻返しリード付け"),M1101,VLOOKUP(D1101,契約台帳!$A$3:$N$4986,14,FALSE))))</f>
        <v>1050</v>
      </c>
      <c r="S1101" s="258">
        <f ca="1">IF(D1101="","",IF(OFFSET(D1101,-1,0)&lt;&gt;"","",IF(OR(J1101="リード付け",J1101="巻足し",J1101="巻返しリード付け"),M1101,VLOOKUP(D1101,契約台帳!$A$3:$O$4986,15,FALSE))))</f>
        <v>1050</v>
      </c>
      <c r="T1101" s="258">
        <f ca="1">IF(D1101="","",IF(J1101="リード付け",N1101,IF(J1101="巻返しリード付け",N1101,IF(J1101="巻足し",N1101*P1101+OFFSET(N1101,1,0)*OFFSET(P1101,1,0),VLOOKUP(D1101,契約台帳!$A$3:$P$4986,16,FALSE)))))</f>
        <v>12300</v>
      </c>
      <c r="U1101" s="38">
        <v>1</v>
      </c>
      <c r="V1101" s="259">
        <f ca="1">IF(D1101="","",IF(OFFSET(D1101,-2,0)=D1101,"",VLOOKUP(D1101,契約台帳!$A$3:$R$4986,18,FALSE)))</f>
        <v>5</v>
      </c>
      <c r="W1101" s="256" t="str">
        <f ca="1">IF(D1101="","",IF(T1101="","",IF(OR(J1101="巻足し",J1101="巻返しリード付け"),"",IF(J1101="巻返し",VLOOKUP(F1101&amp;K1101&amp;M1101,製品マスタ!$M$5:$AD$4999,18,FALSE),IF(OR(J1101="リード付け",J1101="巻返しリード付け"),"原反コア",IF(J1101="スリット",VLOOKUP(F1101&amp;K1101&amp;R1101,製品マスタ!$N$5:$AD$4999,17,FALSE),""))))))</f>
        <v/>
      </c>
      <c r="X1101" s="256" t="str">
        <f ca="1">IF(D1101="","",IF(T1101="","",IF(J1101="巻足し","",IF(J1101="巻返し",VLOOKUP(F1101&amp;K1101&amp;M1101,製品マスタ!$M$5:$AE$4999,19,FALSE),IF(OR(J1101="リード付け",J1101="巻返しリード付け"),"",IF(J1101="スリット",VLOOKUP(F1101&amp;K1101&amp;R1101,製品マスタ!$N$5:$AE$4999,18,FALSE),""))))))</f>
        <v/>
      </c>
      <c r="Y1101" s="256">
        <f ca="1">IF(D1101="","",IF(T1101="","",VLOOKUP(D1101,契約台帳!$A$3:$Q$4986,17,FALSE)))</f>
        <v>2</v>
      </c>
      <c r="Z1101" s="256" t="str">
        <f ca="1">IF(D1101="","",IF(T1101="","",VLOOKUP(D1101,契約台帳!$A$3:$E$4986,5,FALSE)))</f>
        <v xml:space="preserve">リンテック㈱        </v>
      </c>
      <c r="AA1101" s="54"/>
      <c r="AB1101" s="200">
        <f>IFERROR((VLOOKUP(F1101&amp;K1101&amp;M1101,製品マスタ!$M$5:$AM$4999,27,FALSE)),"")</f>
        <v>0</v>
      </c>
      <c r="AC1101" s="31"/>
      <c r="AD1101" s="184"/>
      <c r="AE1101" s="51"/>
      <c r="AF1101" s="52"/>
      <c r="AG1101" s="41"/>
      <c r="AH1101" s="45"/>
      <c r="AI1101" s="28"/>
      <c r="AJ1101" s="28"/>
      <c r="AK1101" s="28"/>
      <c r="AL1101" s="28"/>
      <c r="AM1101" s="12"/>
      <c r="AN1101" s="12"/>
      <c r="AO1101" s="12"/>
      <c r="AP1101" s="12"/>
      <c r="AQ1101" s="12"/>
      <c r="AR1101" s="13"/>
      <c r="AS1101" s="14"/>
    </row>
    <row r="1102" spans="1:45" s="16" customFormat="1" ht="30.95" hidden="1" customHeight="1" x14ac:dyDescent="0.2">
      <c r="A1102" s="35"/>
      <c r="B1102" s="36"/>
      <c r="C1102" s="43"/>
      <c r="D1102" s="29"/>
      <c r="E1102" s="29"/>
      <c r="F1102" s="255"/>
      <c r="G1102" s="256"/>
      <c r="H1102" s="256"/>
      <c r="I1102" s="200"/>
      <c r="J1102" s="203"/>
      <c r="K1102" s="200"/>
      <c r="L1102" s="200"/>
      <c r="M1102" s="37"/>
      <c r="N1102" s="37"/>
      <c r="O1102" s="153"/>
      <c r="P1102" s="45"/>
      <c r="Q1102" s="54"/>
      <c r="R1102" s="260"/>
      <c r="S1102" s="258"/>
      <c r="T1102" s="258"/>
      <c r="U1102" s="38"/>
      <c r="V1102" s="261"/>
      <c r="W1102" s="256"/>
      <c r="X1102" s="256"/>
      <c r="Y1102" s="256"/>
      <c r="Z1102" s="256"/>
      <c r="AA1102" s="54"/>
      <c r="AB1102" s="200"/>
      <c r="AC1102" s="31"/>
      <c r="AD1102" s="184"/>
      <c r="AE1102" s="51"/>
      <c r="AF1102" s="52"/>
      <c r="AG1102" s="41"/>
      <c r="AH1102" s="45"/>
      <c r="AI1102" s="28"/>
      <c r="AJ1102" s="28"/>
      <c r="AK1102" s="28"/>
      <c r="AL1102" s="28"/>
      <c r="AM1102" s="12"/>
      <c r="AN1102" s="12"/>
      <c r="AO1102" s="12"/>
      <c r="AP1102" s="12"/>
      <c r="AQ1102" s="12"/>
      <c r="AR1102" s="13"/>
      <c r="AS1102" s="14"/>
    </row>
    <row r="1103" spans="1:45" s="16" customFormat="1" ht="30.95" hidden="1" customHeight="1" x14ac:dyDescent="0.2">
      <c r="A1103" s="35"/>
      <c r="B1103" s="36"/>
      <c r="C1103" s="43"/>
      <c r="D1103" s="29">
        <v>3727597</v>
      </c>
      <c r="E1103" s="29">
        <v>4162069</v>
      </c>
      <c r="F1103" s="255" t="str">
        <f>IF(D1103="","",VLOOKUP(D1103,契約台帳!$A$3:$K$4986,6,FALSE)&amp;VLOOKUP(D1103,契約台帳!$A$3:$K$4986,7,FALSE)&amp;VLOOKUP(D1103,契約台帳!$A$3:$K$4986,8,FALSE)&amp;VLOOKUP(D1103,契約台帳!$A$3:$K$4986,9,FALSE)&amp;VLOOKUP(D1103,契約台帳!$A$3:$K$4986,11,FALSE))</f>
        <v>3SNMLBMNGKBF</v>
      </c>
      <c r="G1103" s="256" t="str">
        <f>IF(D1103="","",VLOOKUP(F1103,製品マスタ!$G$5:$H$4999,2,FALSE))</f>
        <v>S</v>
      </c>
      <c r="H1103" s="256" t="str">
        <f>IF(D1103="","",VLOOKUP(F1103,製品マスタ!$G$5:$K$4999,5,FALSE))</f>
        <v>MNGKBF</v>
      </c>
      <c r="I1103" s="200" t="str">
        <f>IF(D1103="","",VLOOKUP(F1103,製品マスタ!$G$5:$L$4999,6,FALSE))</f>
        <v>メタルミー　ネーマー銀消　Ｂ</v>
      </c>
      <c r="J1103" s="203" t="s">
        <v>935</v>
      </c>
      <c r="K1103" s="200">
        <f>IF(D1103="","",VLOOKUP(D1103,契約台帳!$A$3:$L$4986,12,FALSE))</f>
        <v>50</v>
      </c>
      <c r="L1103" s="200" t="str">
        <f>IF(D1103="","",INDEX(製品マスタ!$Q$5:$Q$4999,MATCH('S4'!F1103&amp;'S4'!K1103,製品マスタ!$AO$5:$AO$4999,0)))</f>
        <v>MAT</v>
      </c>
      <c r="M1103" s="37">
        <v>1050</v>
      </c>
      <c r="N1103" s="37">
        <v>4100</v>
      </c>
      <c r="O1103" s="153">
        <v>2</v>
      </c>
      <c r="P1103" s="45">
        <v>2</v>
      </c>
      <c r="Q1103" s="206">
        <v>45195</v>
      </c>
      <c r="R1103" s="257">
        <f ca="1">IF(D1103="","",IF(OFFSET(D1103,-1,0)&lt;&gt;"","",IF(OR(J1103="リード付け",J1103="巻足し",J1103="巻返しリード付け"),M1103,VLOOKUP(D1103,契約台帳!$A$3:$N$4986,14,FALSE))))</f>
        <v>1050</v>
      </c>
      <c r="S1103" s="258">
        <f ca="1">IF(D1103="","",IF(OFFSET(D1103,-1,0)&lt;&gt;"","",IF(OR(J1103="リード付け",J1103="巻足し",J1103="巻返しリード付け"),M1103,VLOOKUP(D1103,契約台帳!$A$3:$O$4986,15,FALSE))))</f>
        <v>1050</v>
      </c>
      <c r="T1103" s="258">
        <f ca="1">IF(D1103="","",IF(J1103="リード付け",N1103,IF(J1103="巻返しリード付け",N1103,IF(J1103="巻足し",N1103*P1103+OFFSET(N1103,1,0)*OFFSET(P1103,1,0),VLOOKUP(D1103,契約台帳!$A$3:$P$4986,16,FALSE)))))</f>
        <v>8200</v>
      </c>
      <c r="U1103" s="38">
        <v>1</v>
      </c>
      <c r="V1103" s="259" t="str">
        <f ca="1">IF(D1103="","",IF(OFFSET(D1103,-2,0)=D1103,"",VLOOKUP(D1103,契約台帳!$A$3:$R$4986,18,FALSE)))</f>
        <v/>
      </c>
      <c r="W1103" s="256" t="str">
        <f ca="1">IF(D1103="","",IF(T1103="","",IF(OR(J1103="巻足し",J1103="巻返しリード付け"),"",IF(J1103="巻返し",VLOOKUP(F1103&amp;K1103&amp;M1103,製品マスタ!$M$5:$AD$4999,18,FALSE),IF(OR(J1103="リード付け",J1103="巻返しリード付け"),"原反コア",IF(J1103="スリット",VLOOKUP(F1103&amp;K1103&amp;R1103,製品マスタ!$N$5:$AD$4999,17,FALSE),""))))))</f>
        <v/>
      </c>
      <c r="X1103" s="256" t="str">
        <f ca="1">IF(D1103="","",IF(T1103="","",IF(J1103="巻足し","",IF(J1103="巻返し",VLOOKUP(F1103&amp;K1103&amp;M1103,製品マスタ!$M$5:$AE$4999,19,FALSE),IF(OR(J1103="リード付け",J1103="巻返しリード付け"),"",IF(J1103="スリット",VLOOKUP(F1103&amp;K1103&amp;R1103,製品マスタ!$N$5:$AE$4999,18,FALSE),""))))))</f>
        <v/>
      </c>
      <c r="Y1103" s="256">
        <f ca="1">IF(D1103="","",IF(T1103="","",VLOOKUP(D1103,契約台帳!$A$3:$Q$4986,17,FALSE)))</f>
        <v>2</v>
      </c>
      <c r="Z1103" s="256" t="str">
        <f ca="1">IF(D1103="","",IF(T1103="","",VLOOKUP(D1103,契約台帳!$A$3:$E$4986,5,FALSE)))</f>
        <v xml:space="preserve">リンテック㈱        </v>
      </c>
      <c r="AA1103" s="54"/>
      <c r="AB1103" s="200">
        <f>IFERROR((VLOOKUP(F1103&amp;K1103&amp;M1103,製品マスタ!$M$5:$AM$4999,27,FALSE)),"")</f>
        <v>0</v>
      </c>
      <c r="AC1103" s="31"/>
      <c r="AD1103" s="184"/>
      <c r="AE1103" s="51"/>
      <c r="AF1103" s="52"/>
      <c r="AG1103" s="41"/>
      <c r="AH1103" s="45"/>
      <c r="AI1103" s="28"/>
      <c r="AJ1103" s="28"/>
      <c r="AK1103" s="28"/>
      <c r="AL1103" s="28"/>
      <c r="AM1103" s="12"/>
      <c r="AN1103" s="12"/>
      <c r="AO1103" s="12"/>
      <c r="AP1103" s="12"/>
      <c r="AQ1103" s="12"/>
      <c r="AR1103" s="13"/>
      <c r="AS1103" s="14"/>
    </row>
    <row r="1104" spans="1:45" s="16" customFormat="1" ht="30.95" hidden="1" customHeight="1" x14ac:dyDescent="0.2">
      <c r="A1104" s="35"/>
      <c r="B1104" s="36"/>
      <c r="C1104" s="43"/>
      <c r="D1104" s="29"/>
      <c r="E1104" s="29"/>
      <c r="F1104" s="255"/>
      <c r="G1104" s="256"/>
      <c r="H1104" s="256"/>
      <c r="I1104" s="200"/>
      <c r="J1104" s="203"/>
      <c r="K1104" s="200"/>
      <c r="L1104" s="200"/>
      <c r="M1104" s="37"/>
      <c r="N1104" s="37"/>
      <c r="O1104" s="153"/>
      <c r="P1104" s="45"/>
      <c r="Q1104" s="54"/>
      <c r="R1104" s="260"/>
      <c r="S1104" s="258"/>
      <c r="T1104" s="258"/>
      <c r="U1104" s="38"/>
      <c r="V1104" s="261"/>
      <c r="W1104" s="256"/>
      <c r="X1104" s="256"/>
      <c r="Y1104" s="256"/>
      <c r="Z1104" s="256"/>
      <c r="AA1104" s="54"/>
      <c r="AB1104" s="200"/>
      <c r="AC1104" s="31"/>
      <c r="AD1104" s="184"/>
      <c r="AE1104" s="51"/>
      <c r="AF1104" s="52"/>
      <c r="AG1104" s="41"/>
      <c r="AH1104" s="45"/>
      <c r="AI1104" s="28"/>
      <c r="AJ1104" s="28"/>
      <c r="AK1104" s="28"/>
      <c r="AL1104" s="28"/>
      <c r="AM1104" s="12"/>
      <c r="AN1104" s="12"/>
      <c r="AO1104" s="12"/>
      <c r="AP1104" s="12"/>
      <c r="AQ1104" s="12"/>
      <c r="AR1104" s="13"/>
      <c r="AS1104" s="14"/>
    </row>
    <row r="1105" spans="1:45" s="16" customFormat="1" ht="30.95" hidden="1" customHeight="1" x14ac:dyDescent="0.2">
      <c r="A1105" s="35"/>
      <c r="B1105" s="36"/>
      <c r="C1105" s="43"/>
      <c r="D1105" s="29">
        <v>3727596</v>
      </c>
      <c r="E1105" s="29">
        <v>4162068</v>
      </c>
      <c r="F1105" s="255" t="str">
        <f>IF(D1105="","",VLOOKUP(D1105,契約台帳!$A$3:$K$4986,6,FALSE)&amp;VLOOKUP(D1105,契約台帳!$A$3:$K$4986,7,FALSE)&amp;VLOOKUP(D1105,契約台帳!$A$3:$K$4986,8,FALSE)&amp;VLOOKUP(D1105,契約台帳!$A$3:$K$4986,9,FALSE)&amp;VLOOKUP(D1105,契約台帳!$A$3:$K$4986,11,FALSE))</f>
        <v>3SNMLBMNGKBF</v>
      </c>
      <c r="G1105" s="256" t="str">
        <f>IF(D1105="","",VLOOKUP(F1105,製品マスタ!$G$5:$H$4999,2,FALSE))</f>
        <v>S</v>
      </c>
      <c r="H1105" s="256" t="str">
        <f>IF(D1105="","",VLOOKUP(F1105,製品マスタ!$G$5:$K$4999,5,FALSE))</f>
        <v>MNGKBF</v>
      </c>
      <c r="I1105" s="200" t="str">
        <f>IF(D1105="","",VLOOKUP(F1105,製品マスタ!$G$5:$L$4999,6,FALSE))</f>
        <v>メタルミー　ネーマー銀消　Ｂ</v>
      </c>
      <c r="J1105" s="203" t="s">
        <v>935</v>
      </c>
      <c r="K1105" s="200">
        <f>IF(D1105="","",VLOOKUP(D1105,契約台帳!$A$3:$L$4986,12,FALSE))</f>
        <v>38</v>
      </c>
      <c r="L1105" s="200" t="str">
        <f>IF(D1105="","",INDEX(製品マスタ!$Q$5:$Q$4999,MATCH('S4'!F1105&amp;'S4'!K1105,製品マスタ!$AO$5:$AO$4999,0)))</f>
        <v>LUMIMAT</v>
      </c>
      <c r="M1105" s="37">
        <v>1005</v>
      </c>
      <c r="N1105" s="37">
        <v>4100</v>
      </c>
      <c r="O1105" s="153">
        <v>2</v>
      </c>
      <c r="P1105" s="45">
        <v>2</v>
      </c>
      <c r="Q1105" s="206">
        <v>45195</v>
      </c>
      <c r="R1105" s="257">
        <f ca="1">IF(D1105="","",IF(OFFSET(D1105,-1,0)&lt;&gt;"","",IF(OR(J1105="リード付け",J1105="巻足し",J1105="巻返しリード付け"),M1105,VLOOKUP(D1105,契約台帳!$A$3:$N$4986,14,FALSE))))</f>
        <v>1005</v>
      </c>
      <c r="S1105" s="258">
        <f ca="1">IF(D1105="","",IF(OFFSET(D1105,-1,0)&lt;&gt;"","",IF(OR(J1105="リード付け",J1105="巻足し",J1105="巻返しリード付け"),M1105,VLOOKUP(D1105,契約台帳!$A$3:$O$4986,15,FALSE))))</f>
        <v>1005</v>
      </c>
      <c r="T1105" s="258">
        <f ca="1">IF(D1105="","",IF(J1105="リード付け",N1105,IF(J1105="巻返しリード付け",N1105,IF(J1105="巻足し",N1105*P1105+OFFSET(N1105,1,0)*OFFSET(P1105,1,0),VLOOKUP(D1105,契約台帳!$A$3:$P$4986,16,FALSE)))))</f>
        <v>8200</v>
      </c>
      <c r="U1105" s="38">
        <v>1</v>
      </c>
      <c r="V1105" s="259">
        <f ca="1">IF(D1105="","",IF(OFFSET(D1105,-2,0)=D1105,"",VLOOKUP(D1105,契約台帳!$A$3:$R$4986,18,FALSE)))</f>
        <v>2</v>
      </c>
      <c r="W1105" s="256" t="str">
        <f ca="1">IF(D1105="","",IF(T1105="","",IF(OR(J1105="巻足し",J1105="巻返しリード付け"),"",IF(J1105="巻返し",VLOOKUP(F1105&amp;K1105&amp;M1105,製品マスタ!$M$5:$AD$4999,18,FALSE),IF(OR(J1105="リード付け",J1105="巻返しリード付け"),"原反コア",IF(J1105="スリット",VLOOKUP(F1105&amp;K1105&amp;R1105,製品マスタ!$N$5:$AD$4999,17,FALSE),""))))))</f>
        <v/>
      </c>
      <c r="X1105" s="256" t="str">
        <f ca="1">IF(D1105="","",IF(T1105="","",IF(J1105="巻足し","",IF(J1105="巻返し",VLOOKUP(F1105&amp;K1105&amp;M1105,製品マスタ!$M$5:$AE$4999,19,FALSE),IF(OR(J1105="リード付け",J1105="巻返しリード付け"),"",IF(J1105="スリット",VLOOKUP(F1105&amp;K1105&amp;R1105,製品マスタ!$N$5:$AE$4999,18,FALSE),""))))))</f>
        <v/>
      </c>
      <c r="Y1105" s="256">
        <f ca="1">IF(D1105="","",IF(T1105="","",VLOOKUP(D1105,契約台帳!$A$3:$Q$4986,17,FALSE)))</f>
        <v>2</v>
      </c>
      <c r="Z1105" s="256" t="str">
        <f ca="1">IF(D1105="","",IF(T1105="","",VLOOKUP(D1105,契約台帳!$A$3:$E$4986,5,FALSE)))</f>
        <v xml:space="preserve">リンテック㈱        </v>
      </c>
      <c r="AA1105" s="54"/>
      <c r="AB1105" s="200">
        <f>IFERROR((VLOOKUP(F1105&amp;K1105&amp;M1105,製品マスタ!$M$5:$AM$4999,27,FALSE)),"")</f>
        <v>0</v>
      </c>
      <c r="AC1105" s="31"/>
      <c r="AD1105" s="184"/>
      <c r="AE1105" s="51"/>
      <c r="AF1105" s="52"/>
      <c r="AG1105" s="41"/>
      <c r="AH1105" s="45"/>
      <c r="AI1105" s="28"/>
      <c r="AJ1105" s="28"/>
      <c r="AK1105" s="28"/>
      <c r="AL1105" s="28"/>
      <c r="AM1105" s="12"/>
      <c r="AN1105" s="12"/>
      <c r="AO1105" s="12"/>
      <c r="AP1105" s="12"/>
      <c r="AQ1105" s="12"/>
      <c r="AR1105" s="13"/>
      <c r="AS1105" s="14"/>
    </row>
    <row r="1106" spans="1:45" s="16" customFormat="1" ht="30.95" hidden="1" customHeight="1" x14ac:dyDescent="0.2">
      <c r="A1106" s="35"/>
      <c r="B1106" s="36"/>
      <c r="C1106" s="43"/>
      <c r="D1106" s="29"/>
      <c r="E1106" s="29"/>
      <c r="F1106" s="255"/>
      <c r="G1106" s="256"/>
      <c r="H1106" s="256"/>
      <c r="I1106" s="200"/>
      <c r="J1106" s="203"/>
      <c r="K1106" s="200"/>
      <c r="L1106" s="200"/>
      <c r="M1106" s="37"/>
      <c r="N1106" s="37"/>
      <c r="O1106" s="153"/>
      <c r="P1106" s="45"/>
      <c r="Q1106" s="54"/>
      <c r="R1106" s="260"/>
      <c r="S1106" s="258"/>
      <c r="T1106" s="258"/>
      <c r="U1106" s="38"/>
      <c r="V1106" s="261"/>
      <c r="W1106" s="256"/>
      <c r="X1106" s="256"/>
      <c r="Y1106" s="256"/>
      <c r="Z1106" s="256"/>
      <c r="AA1106" s="54"/>
      <c r="AB1106" s="200"/>
      <c r="AC1106" s="31"/>
      <c r="AD1106" s="184"/>
      <c r="AE1106" s="51"/>
      <c r="AF1106" s="52"/>
      <c r="AG1106" s="41"/>
      <c r="AH1106" s="45"/>
      <c r="AI1106" s="28"/>
      <c r="AJ1106" s="28"/>
      <c r="AK1106" s="28"/>
      <c r="AL1106" s="28"/>
      <c r="AM1106" s="12"/>
      <c r="AN1106" s="12"/>
      <c r="AO1106" s="12"/>
      <c r="AP1106" s="12"/>
      <c r="AQ1106" s="12"/>
      <c r="AR1106" s="13"/>
      <c r="AS1106" s="14"/>
    </row>
    <row r="1107" spans="1:45" s="16" customFormat="1" ht="30.95" hidden="1" customHeight="1" x14ac:dyDescent="0.2">
      <c r="A1107" s="35"/>
      <c r="B1107" s="36"/>
      <c r="C1107" s="43"/>
      <c r="D1107" s="29">
        <v>3727607</v>
      </c>
      <c r="E1107" s="29">
        <v>4162067</v>
      </c>
      <c r="F1107" s="255" t="str">
        <f>IF(D1107="","",VLOOKUP(D1107,契約台帳!$A$3:$K$4986,6,FALSE)&amp;VLOOKUP(D1107,契約台帳!$A$3:$K$4986,7,FALSE)&amp;VLOOKUP(D1107,契約台帳!$A$3:$K$4986,8,FALSE)&amp;VLOOKUP(D1107,契約台帳!$A$3:$K$4986,9,FALSE)&amp;VLOOKUP(D1107,契約台帳!$A$3:$K$4986,11,FALSE))</f>
        <v>3SNMCLBDMSV</v>
      </c>
      <c r="G1107" s="256" t="str">
        <f>IF(D1107="","",VLOOKUP(F1107,製品マスタ!$G$5:$H$4999,2,FALSE))</f>
        <v>S</v>
      </c>
      <c r="H1107" s="256" t="str">
        <f>IF(D1107="","",VLOOKUP(F1107,製品マスタ!$G$5:$K$4999,5,FALSE))</f>
        <v>DMSV</v>
      </c>
      <c r="I1107" s="200" t="str">
        <f>IF(D1107="","",VLOOKUP(F1107,製品マスタ!$G$5:$L$4999,6,FALSE))</f>
        <v>ＤＭＳ　Ｖ</v>
      </c>
      <c r="J1107" s="203" t="s">
        <v>935</v>
      </c>
      <c r="K1107" s="200">
        <f>IF(D1107="","",VLOOKUP(D1107,契約台帳!$A$3:$L$4986,12,FALSE))</f>
        <v>50</v>
      </c>
      <c r="L1107" s="200" t="str">
        <f>IF(D1107="","",INDEX(製品マスタ!$Q$5:$Q$4999,MATCH('S4'!F1107&amp;'S4'!K1107,製品マスタ!$AO$5:$AO$4999,0)))</f>
        <v>X44</v>
      </c>
      <c r="M1107" s="37">
        <v>1005</v>
      </c>
      <c r="N1107" s="37">
        <v>4000</v>
      </c>
      <c r="O1107" s="153">
        <v>2</v>
      </c>
      <c r="P1107" s="45">
        <v>2</v>
      </c>
      <c r="Q1107" s="206">
        <v>45201</v>
      </c>
      <c r="R1107" s="257">
        <f ca="1">IF(D1107="","",IF(OFFSET(D1107,-1,0)&lt;&gt;"","",IF(OR(J1107="リード付け",J1107="巻足し",J1107="巻返しリード付け"),M1107,VLOOKUP(D1107,契約台帳!$A$3:$N$4986,14,FALSE))))</f>
        <v>1005</v>
      </c>
      <c r="S1107" s="258">
        <f ca="1">IF(D1107="","",IF(OFFSET(D1107,-1,0)&lt;&gt;"","",IF(OR(J1107="リード付け",J1107="巻足し",J1107="巻返しリード付け"),M1107,VLOOKUP(D1107,契約台帳!$A$3:$O$4986,15,FALSE))))</f>
        <v>1005</v>
      </c>
      <c r="T1107" s="258">
        <f ca="1">IF(D1107="","",IF(J1107="リード付け",N1107,IF(J1107="巻返しリード付け",N1107,IF(J1107="巻足し",N1107*P1107+OFFSET(N1107,1,0)*OFFSET(P1107,1,0),VLOOKUP(D1107,契約台帳!$A$3:$P$4986,16,FALSE)))))</f>
        <v>8000</v>
      </c>
      <c r="U1107" s="38">
        <v>1</v>
      </c>
      <c r="V1107" s="259">
        <f ca="1">IF(D1107="","",IF(OFFSET(D1107,-2,0)=D1107,"",VLOOKUP(D1107,契約台帳!$A$3:$R$4986,18,FALSE)))</f>
        <v>4</v>
      </c>
      <c r="W1107" s="256" t="str">
        <f ca="1">IF(D1107="","",IF(T1107="","",IF(OR(J1107="巻足し",J1107="巻返しリード付け"),"",IF(J1107="巻返し",VLOOKUP(F1107&amp;K1107&amp;M1107,製品マスタ!$M$5:$AD$4999,18,FALSE),IF(OR(J1107="リード付け",J1107="巻返しリード付け"),"原反コア",IF(J1107="スリット",VLOOKUP(F1107&amp;K1107&amp;R1107,製品マスタ!$N$5:$AD$4999,17,FALSE),""))))))</f>
        <v/>
      </c>
      <c r="X1107" s="256" t="str">
        <f ca="1">IF(D1107="","",IF(T1107="","",IF(J1107="巻足し","",IF(J1107="巻返し",VLOOKUP(F1107&amp;K1107&amp;M1107,製品マスタ!$M$5:$AE$4999,19,FALSE),IF(OR(J1107="リード付け",J1107="巻返しリード付け"),"",IF(J1107="スリット",VLOOKUP(F1107&amp;K1107&amp;R1107,製品マスタ!$N$5:$AE$4999,18,FALSE),""))))))</f>
        <v/>
      </c>
      <c r="Y1107" s="256">
        <f ca="1">IF(D1107="","",IF(T1107="","",VLOOKUP(D1107,契約台帳!$A$3:$Q$4986,17,FALSE)))</f>
        <v>2</v>
      </c>
      <c r="Z1107" s="256" t="str">
        <f ca="1">IF(D1107="","",IF(T1107="","",VLOOKUP(D1107,契約台帳!$A$3:$E$4986,5,FALSE)))</f>
        <v xml:space="preserve">リンテック㈱        </v>
      </c>
      <c r="AA1107" s="54"/>
      <c r="AB1107" s="200">
        <f>IFERROR((VLOOKUP(F1107&amp;K1107&amp;M1107,製品マスタ!$M$5:$AM$4999,27,FALSE)),"")</f>
        <v>0</v>
      </c>
      <c r="AC1107" s="31"/>
      <c r="AD1107" s="184"/>
      <c r="AE1107" s="51"/>
      <c r="AF1107" s="52"/>
      <c r="AG1107" s="41"/>
      <c r="AH1107" s="45"/>
      <c r="AI1107" s="28"/>
      <c r="AJ1107" s="28"/>
      <c r="AK1107" s="28"/>
      <c r="AL1107" s="28"/>
      <c r="AM1107" s="12"/>
      <c r="AN1107" s="12"/>
      <c r="AO1107" s="12"/>
      <c r="AP1107" s="12"/>
      <c r="AQ1107" s="12"/>
      <c r="AR1107" s="13"/>
      <c r="AS1107" s="14"/>
    </row>
    <row r="1108" spans="1:45" s="16" customFormat="1" ht="30.95" hidden="1" customHeight="1" x14ac:dyDescent="0.2">
      <c r="A1108" s="35"/>
      <c r="B1108" s="36"/>
      <c r="C1108" s="43"/>
      <c r="D1108" s="29"/>
      <c r="E1108" s="29"/>
      <c r="F1108" s="255"/>
      <c r="G1108" s="256"/>
      <c r="H1108" s="256"/>
      <c r="I1108" s="200"/>
      <c r="J1108" s="203"/>
      <c r="K1108" s="200"/>
      <c r="L1108" s="200"/>
      <c r="M1108" s="37"/>
      <c r="N1108" s="37"/>
      <c r="O1108" s="153"/>
      <c r="P1108" s="45"/>
      <c r="Q1108" s="54"/>
      <c r="R1108" s="260"/>
      <c r="S1108" s="258"/>
      <c r="T1108" s="258"/>
      <c r="U1108" s="38"/>
      <c r="V1108" s="261"/>
      <c r="W1108" s="256"/>
      <c r="X1108" s="256"/>
      <c r="Y1108" s="256"/>
      <c r="Z1108" s="256"/>
      <c r="AA1108" s="54"/>
      <c r="AB1108" s="200"/>
      <c r="AC1108" s="31"/>
      <c r="AD1108" s="184"/>
      <c r="AE1108" s="51"/>
      <c r="AF1108" s="52"/>
      <c r="AG1108" s="41"/>
      <c r="AH1108" s="45"/>
      <c r="AI1108" s="28"/>
      <c r="AJ1108" s="28"/>
      <c r="AK1108" s="28"/>
      <c r="AL1108" s="28"/>
      <c r="AM1108" s="12"/>
      <c r="AN1108" s="12"/>
      <c r="AO1108" s="12"/>
      <c r="AP1108" s="12"/>
      <c r="AQ1108" s="12"/>
      <c r="AR1108" s="13"/>
      <c r="AS1108" s="14"/>
    </row>
    <row r="1109" spans="1:45" s="16" customFormat="1" ht="30.95" hidden="1" customHeight="1" x14ac:dyDescent="0.2">
      <c r="A1109" s="35" t="s">
        <v>586</v>
      </c>
      <c r="B1109" s="36" t="s">
        <v>688</v>
      </c>
      <c r="C1109" s="43"/>
      <c r="D1109" s="29">
        <v>3727601</v>
      </c>
      <c r="E1109" s="29">
        <v>4162091</v>
      </c>
      <c r="F1109" s="255" t="str">
        <f>IF(D1109="","",VLOOKUP(D1109,契約台帳!$A$3:$K$4986,6,FALSE)&amp;VLOOKUP(D1109,契約台帳!$A$3:$K$4986,7,FALSE)&amp;VLOOKUP(D1109,契約台帳!$A$3:$K$4986,8,FALSE)&amp;VLOOKUP(D1109,契約台帳!$A$3:$K$4986,9,FALSE)&amp;VLOOKUP(D1109,契約台帳!$A$3:$K$4986,11,FALSE))</f>
        <v>3SNMLBMNNGKBF</v>
      </c>
      <c r="G1109" s="256" t="str">
        <f>IF(D1109="","",VLOOKUP(F1109,製品マスタ!$G$5:$H$4999,2,FALSE))</f>
        <v>S</v>
      </c>
      <c r="H1109" s="256" t="str">
        <f>IF(D1109="","",VLOOKUP(F1109,製品マスタ!$G$5:$K$4999,5,FALSE))</f>
        <v>MNNGKBF</v>
      </c>
      <c r="I1109" s="200" t="str">
        <f>IF(D1109="","",VLOOKUP(F1109,製品マスタ!$G$5:$L$4999,6,FALSE))</f>
        <v>メタルミー　ニューネーマー銀消　Ｂ</v>
      </c>
      <c r="J1109" s="203" t="s">
        <v>935</v>
      </c>
      <c r="K1109" s="200">
        <f>IF(D1109="","",VLOOKUP(D1109,契約台帳!$A$3:$L$4986,12,FALSE))</f>
        <v>50</v>
      </c>
      <c r="L1109" s="200" t="str">
        <f>IF(D1109="","",INDEX(製品マスタ!$Q$5:$Q$4999,MATCH('S4'!F1109&amp;'S4'!K1109,製品マスタ!$AO$5:$AO$4999,0)))</f>
        <v>X44</v>
      </c>
      <c r="M1109" s="37">
        <v>1000</v>
      </c>
      <c r="N1109" s="37">
        <v>4000</v>
      </c>
      <c r="O1109" s="153">
        <v>15</v>
      </c>
      <c r="P1109" s="45">
        <v>3</v>
      </c>
      <c r="Q1109" s="206">
        <v>45201</v>
      </c>
      <c r="R1109" s="257">
        <f ca="1">IF(D1109="","",IF(OFFSET(D1109,-1,0)&lt;&gt;"","",IF(OR(J1109="リード付け",J1109="巻足し",J1109="巻返しリード付け"),M1109,VLOOKUP(D1109,契約台帳!$A$3:$N$4986,14,FALSE))))</f>
        <v>1000</v>
      </c>
      <c r="S1109" s="258">
        <f ca="1">IF(D1109="","",IF(OFFSET(D1109,-1,0)&lt;&gt;"","",IF(OR(J1109="リード付け",J1109="巻足し",J1109="巻返しリード付け"),M1109,VLOOKUP(D1109,契約台帳!$A$3:$O$4986,15,FALSE))))</f>
        <v>1000</v>
      </c>
      <c r="T1109" s="258">
        <f ca="1">IF(D1109="","",IF(J1109="リード付け",N1109,IF(J1109="巻返しリード付け",N1109,IF(J1109="巻足し",N1109*P1109+OFFSET(N1109,1,0)*OFFSET(P1109,1,0),VLOOKUP(D1109,契約台帳!$A$3:$P$4986,16,FALSE)))))</f>
        <v>12000</v>
      </c>
      <c r="U1109" s="38">
        <v>5</v>
      </c>
      <c r="V1109" s="259">
        <f ca="1">IF(D1109="","",IF(OFFSET(D1109,-2,0)=D1109,"",VLOOKUP(D1109,契約台帳!$A$3:$R$4986,18,FALSE)))</f>
        <v>15</v>
      </c>
      <c r="W1109" s="256" t="str">
        <f ca="1">IF(D1109="","",IF(T1109="","",IF(OR(J1109="巻足し",J1109="巻返しリード付け"),"",IF(J1109="巻返し",VLOOKUP(F1109&amp;K1109&amp;M1109,製品マスタ!$M$5:$AD$4999,18,FALSE),IF(OR(J1109="リード付け",J1109="巻返しリード付け"),"原反コア",IF(J1109="スリット",VLOOKUP(F1109&amp;K1109&amp;R1109,製品マスタ!$N$5:$AD$4999,17,FALSE),""))))))</f>
        <v/>
      </c>
      <c r="X1109" s="256" t="str">
        <f ca="1">IF(D1109="","",IF(T1109="","",IF(J1109="巻足し","",IF(J1109="巻返し",VLOOKUP(F1109&amp;K1109&amp;M1109,製品マスタ!$M$5:$AE$4999,19,FALSE),IF(OR(J1109="リード付け",J1109="巻返しリード付け"),"",IF(J1109="スリット",VLOOKUP(F1109&amp;K1109&amp;R1109,製品マスタ!$N$5:$AE$4999,18,FALSE),""))))))</f>
        <v/>
      </c>
      <c r="Y1109" s="256">
        <f ca="1">IF(D1109="","",IF(T1109="","",VLOOKUP(D1109,契約台帳!$A$3:$Q$4986,17,FALSE)))</f>
        <v>2</v>
      </c>
      <c r="Z1109" s="256" t="str">
        <f ca="1">IF(D1109="","",IF(T1109="","",VLOOKUP(D1109,契約台帳!$A$3:$E$4986,5,FALSE)))</f>
        <v xml:space="preserve">リンテック㈱        </v>
      </c>
      <c r="AA1109" s="54"/>
      <c r="AB1109" s="200" t="str">
        <f>IFERROR((VLOOKUP(F1109&amp;K1109&amp;M1109,製品マスタ!$M$5:$AM$4999,27,FALSE)),"")</f>
        <v>原反ケース再利用</v>
      </c>
      <c r="AC1109" s="31"/>
      <c r="AD1109" s="184"/>
      <c r="AE1109" s="51"/>
      <c r="AF1109" s="52"/>
      <c r="AG1109" s="41"/>
      <c r="AH1109" s="45"/>
      <c r="AI1109" s="28"/>
      <c r="AJ1109" s="28"/>
      <c r="AK1109" s="28"/>
      <c r="AL1109" s="28"/>
      <c r="AM1109" s="12"/>
      <c r="AN1109" s="12"/>
      <c r="AO1109" s="12"/>
      <c r="AP1109" s="12"/>
      <c r="AQ1109" s="12"/>
      <c r="AR1109" s="13"/>
      <c r="AS1109" s="14"/>
    </row>
    <row r="1110" spans="1:45" s="16" customFormat="1" ht="30.95" hidden="1" customHeight="1" x14ac:dyDescent="0.2">
      <c r="A1110" s="35"/>
      <c r="B1110" s="36"/>
      <c r="C1110" s="43"/>
      <c r="D1110" s="29"/>
      <c r="E1110" s="29"/>
      <c r="F1110" s="255"/>
      <c r="G1110" s="256"/>
      <c r="H1110" s="256"/>
      <c r="I1110" s="200"/>
      <c r="J1110" s="203"/>
      <c r="K1110" s="200"/>
      <c r="L1110" s="200"/>
      <c r="M1110" s="37"/>
      <c r="N1110" s="37"/>
      <c r="O1110" s="153"/>
      <c r="P1110" s="45"/>
      <c r="Q1110" s="54"/>
      <c r="R1110" s="260"/>
      <c r="S1110" s="258"/>
      <c r="T1110" s="258"/>
      <c r="U1110" s="38"/>
      <c r="V1110" s="261"/>
      <c r="W1110" s="256"/>
      <c r="X1110" s="256"/>
      <c r="Y1110" s="256"/>
      <c r="Z1110" s="256"/>
      <c r="AA1110" s="54"/>
      <c r="AB1110" s="200"/>
      <c r="AC1110" s="31"/>
      <c r="AD1110" s="184"/>
      <c r="AE1110" s="51"/>
      <c r="AF1110" s="52"/>
      <c r="AG1110" s="41"/>
      <c r="AH1110" s="45"/>
      <c r="AI1110" s="28"/>
      <c r="AJ1110" s="28"/>
      <c r="AK1110" s="28"/>
      <c r="AL1110" s="28"/>
      <c r="AM1110" s="12"/>
      <c r="AN1110" s="12"/>
      <c r="AO1110" s="12"/>
      <c r="AP1110" s="12"/>
      <c r="AQ1110" s="12"/>
      <c r="AR1110" s="13"/>
      <c r="AS1110" s="14"/>
    </row>
    <row r="1111" spans="1:45" s="16" customFormat="1" ht="30.95" hidden="1" customHeight="1" x14ac:dyDescent="0.2">
      <c r="A1111" s="35"/>
      <c r="B1111" s="36"/>
      <c r="C1111" s="43"/>
      <c r="D1111" s="29">
        <v>3727602</v>
      </c>
      <c r="E1111" s="29">
        <v>4162065</v>
      </c>
      <c r="F1111" s="255" t="str">
        <f>IF(D1111="","",VLOOKUP(D1111,契約台帳!$A$3:$K$4986,6,FALSE)&amp;VLOOKUP(D1111,契約台帳!$A$3:$K$4986,7,FALSE)&amp;VLOOKUP(D1111,契約台帳!$A$3:$K$4986,8,FALSE)&amp;VLOOKUP(D1111,契約台帳!$A$3:$K$4986,9,FALSE)&amp;VLOOKUP(D1111,契約台帳!$A$3:$K$4986,11,FALSE))</f>
        <v>33SSNMCLBTEKKFV</v>
      </c>
      <c r="G1111" s="256" t="str">
        <f>IF(D1111="","",VLOOKUP(F1111,製品マスタ!$G$5:$H$4999,2,FALSE))</f>
        <v>S</v>
      </c>
      <c r="H1111" s="256" t="str">
        <f>IF(D1111="","",VLOOKUP(F1111,製品マスタ!$G$5:$K$4999,5,FALSE))</f>
        <v>TEKKFV</v>
      </c>
      <c r="I1111" s="200" t="str">
        <f>IF(D1111="","",VLOOKUP(F1111,製品マスタ!$G$5:$L$4999,6,FALSE))</f>
        <v>メタルミー　ＴＥＳ消開封　Ｖ</v>
      </c>
      <c r="J1111" s="203" t="s">
        <v>935</v>
      </c>
      <c r="K1111" s="200">
        <f>IF(D1111="","",VLOOKUP(D1111,契約台帳!$A$3:$L$4986,12,FALSE))</f>
        <v>50</v>
      </c>
      <c r="L1111" s="200" t="str">
        <f>IF(D1111="","",INDEX(製品マスタ!$Q$5:$Q$4999,MATCH('S4'!F1111&amp;'S4'!K1111,製品マスタ!$AO$5:$AO$4999,0)))</f>
        <v>X44SEPA</v>
      </c>
      <c r="M1111" s="37">
        <v>1005</v>
      </c>
      <c r="N1111" s="37">
        <v>4000</v>
      </c>
      <c r="O1111" s="153">
        <v>2</v>
      </c>
      <c r="P1111" s="45">
        <v>2</v>
      </c>
      <c r="Q1111" s="206">
        <v>45196</v>
      </c>
      <c r="R1111" s="257">
        <f ca="1">IF(D1111="","",IF(OFFSET(D1111,-1,0)&lt;&gt;"","",IF(OR(J1111="リード付け",J1111="巻足し",J1111="巻返しリード付け"),M1111,VLOOKUP(D1111,契約台帳!$A$3:$N$4986,14,FALSE))))</f>
        <v>1005</v>
      </c>
      <c r="S1111" s="258">
        <f ca="1">IF(D1111="","",IF(OFFSET(D1111,-1,0)&lt;&gt;"","",IF(OR(J1111="リード付け",J1111="巻足し",J1111="巻返しリード付け"),M1111,VLOOKUP(D1111,契約台帳!$A$3:$O$4986,15,FALSE))))</f>
        <v>1005</v>
      </c>
      <c r="T1111" s="258">
        <f ca="1">IF(D1111="","",IF(J1111="リード付け",N1111,IF(J1111="巻返しリード付け",N1111,IF(J1111="巻足し",N1111*P1111+OFFSET(N1111,1,0)*OFFSET(P1111,1,0),VLOOKUP(D1111,契約台帳!$A$3:$P$4986,16,FALSE)))))</f>
        <v>8000</v>
      </c>
      <c r="U1111" s="38">
        <v>1</v>
      </c>
      <c r="V1111" s="259">
        <f ca="1">IF(D1111="","",IF(OFFSET(D1111,-2,0)=D1111,"",VLOOKUP(D1111,契約台帳!$A$3:$R$4986,18,FALSE)))</f>
        <v>2</v>
      </c>
      <c r="W1111" s="256" t="str">
        <f ca="1">IF(D1111="","",IF(T1111="","",IF(OR(J1111="巻足し",J1111="巻返しリード付け"),"",IF(J1111="巻返し",VLOOKUP(F1111&amp;K1111&amp;M1111,製品マスタ!$M$5:$AD$4999,18,FALSE),IF(OR(J1111="リード付け",J1111="巻返しリード付け"),"原反コア",IF(J1111="スリット",VLOOKUP(F1111&amp;K1111&amp;R1111,製品マスタ!$N$5:$AD$4999,17,FALSE),""))))))</f>
        <v/>
      </c>
      <c r="X1111" s="256" t="str">
        <f ca="1">IF(D1111="","",IF(T1111="","",IF(J1111="巻足し","",IF(J1111="巻返し",VLOOKUP(F1111&amp;K1111&amp;M1111,製品マスタ!$M$5:$AE$4999,19,FALSE),IF(OR(J1111="リード付け",J1111="巻返しリード付け"),"",IF(J1111="スリット",VLOOKUP(F1111&amp;K1111&amp;R1111,製品マスタ!$N$5:$AE$4999,18,FALSE),""))))))</f>
        <v/>
      </c>
      <c r="Y1111" s="256">
        <f ca="1">IF(D1111="","",IF(T1111="","",VLOOKUP(D1111,契約台帳!$A$3:$Q$4986,17,FALSE)))</f>
        <v>2</v>
      </c>
      <c r="Z1111" s="256" t="str">
        <f ca="1">IF(D1111="","",IF(T1111="","",VLOOKUP(D1111,契約台帳!$A$3:$E$4986,5,FALSE)))</f>
        <v xml:space="preserve">リンテック㈱        </v>
      </c>
      <c r="AA1111" s="54"/>
      <c r="AB1111" s="200">
        <f>IFERROR((VLOOKUP(F1111&amp;K1111&amp;M1111,製品マスタ!$M$5:$AM$4999,27,FALSE)),"")</f>
        <v>0</v>
      </c>
      <c r="AC1111" s="31"/>
      <c r="AD1111" s="184"/>
      <c r="AE1111" s="51"/>
      <c r="AF1111" s="52"/>
      <c r="AG1111" s="41"/>
      <c r="AH1111" s="45"/>
      <c r="AI1111" s="28"/>
      <c r="AJ1111" s="28"/>
      <c r="AK1111" s="28"/>
      <c r="AL1111" s="28"/>
      <c r="AM1111" s="12"/>
      <c r="AN1111" s="12"/>
      <c r="AO1111" s="12"/>
      <c r="AP1111" s="12"/>
      <c r="AQ1111" s="12"/>
      <c r="AR1111" s="13"/>
      <c r="AS1111" s="14"/>
    </row>
    <row r="1112" spans="1:45" s="16" customFormat="1" ht="30.95" hidden="1" customHeight="1" x14ac:dyDescent="0.2">
      <c r="A1112" s="35"/>
      <c r="B1112" s="36"/>
      <c r="C1112" s="43"/>
      <c r="D1112" s="29"/>
      <c r="E1112" s="29"/>
      <c r="F1112" s="255"/>
      <c r="G1112" s="256"/>
      <c r="H1112" s="256"/>
      <c r="I1112" s="200"/>
      <c r="J1112" s="203"/>
      <c r="K1112" s="200"/>
      <c r="L1112" s="200"/>
      <c r="M1112" s="37"/>
      <c r="N1112" s="37"/>
      <c r="O1112" s="153"/>
      <c r="P1112" s="45"/>
      <c r="Q1112" s="54"/>
      <c r="R1112" s="260"/>
      <c r="S1112" s="258"/>
      <c r="T1112" s="258"/>
      <c r="U1112" s="38"/>
      <c r="V1112" s="261"/>
      <c r="W1112" s="256"/>
      <c r="X1112" s="256"/>
      <c r="Y1112" s="256"/>
      <c r="Z1112" s="256"/>
      <c r="AA1112" s="54"/>
      <c r="AB1112" s="200"/>
      <c r="AC1112" s="31"/>
      <c r="AD1112" s="184"/>
      <c r="AE1112" s="51"/>
      <c r="AF1112" s="52"/>
      <c r="AG1112" s="41"/>
      <c r="AH1112" s="45"/>
      <c r="AI1112" s="28"/>
      <c r="AJ1112" s="28"/>
      <c r="AK1112" s="28"/>
      <c r="AL1112" s="28"/>
      <c r="AM1112" s="12"/>
      <c r="AN1112" s="12"/>
      <c r="AO1112" s="12"/>
      <c r="AP1112" s="12"/>
      <c r="AQ1112" s="12"/>
      <c r="AR1112" s="13"/>
      <c r="AS1112" s="14"/>
    </row>
    <row r="1113" spans="1:45" s="16" customFormat="1" ht="30.95" hidden="1" customHeight="1" x14ac:dyDescent="0.2">
      <c r="A1113" s="35"/>
      <c r="B1113" s="36"/>
      <c r="C1113" s="43"/>
      <c r="D1113" s="29">
        <v>3727603</v>
      </c>
      <c r="E1113" s="29">
        <v>4162066</v>
      </c>
      <c r="F1113" s="255" t="str">
        <f>IF(D1113="","",VLOOKUP(D1113,契約台帳!$A$3:$K$4986,6,FALSE)&amp;VLOOKUP(D1113,契約台帳!$A$3:$K$4986,7,FALSE)&amp;VLOOKUP(D1113,契約台帳!$A$3:$K$4986,8,FALSE)&amp;VLOOKUP(D1113,契約台帳!$A$3:$K$4986,9,FALSE)&amp;VLOOKUP(D1113,契約台帳!$A$3:$K$4986,11,FALSE))</f>
        <v>33SSNMCLBTETKFV</v>
      </c>
      <c r="G1113" s="256" t="str">
        <f>IF(D1113="","",VLOOKUP(F1113,製品マスタ!$G$5:$H$4999,2,FALSE))</f>
        <v>S</v>
      </c>
      <c r="H1113" s="256" t="str">
        <f>IF(D1113="","",VLOOKUP(F1113,製品マスタ!$G$5:$K$4999,5,FALSE))</f>
        <v>TETKFV</v>
      </c>
      <c r="I1113" s="200" t="str">
        <f>IF(D1113="","",VLOOKUP(F1113,製品マスタ!$G$5:$L$4999,6,FALSE))</f>
        <v>メタルミー　ＴＥＳ艶開封　Ｖ</v>
      </c>
      <c r="J1113" s="203" t="s">
        <v>935</v>
      </c>
      <c r="K1113" s="200">
        <f>IF(D1113="","",VLOOKUP(D1113,契約台帳!$A$3:$L$4986,12,FALSE))</f>
        <v>50</v>
      </c>
      <c r="L1113" s="200" t="str">
        <f>IF(D1113="","",INDEX(製品マスタ!$Q$5:$Q$4999,MATCH('S4'!F1113&amp;'S4'!K1113,製品マスタ!$AO$5:$AO$4999,0)))</f>
        <v>S28SEPA</v>
      </c>
      <c r="M1113" s="37">
        <v>1005</v>
      </c>
      <c r="N1113" s="37">
        <v>4100</v>
      </c>
      <c r="O1113" s="153">
        <v>2</v>
      </c>
      <c r="P1113" s="45">
        <v>2</v>
      </c>
      <c r="Q1113" s="206">
        <v>45196</v>
      </c>
      <c r="R1113" s="257">
        <f ca="1">IF(D1113="","",IF(OFFSET(D1113,-1,0)&lt;&gt;"","",IF(OR(J1113="リード付け",J1113="巻足し",J1113="巻返しリード付け"),M1113,VLOOKUP(D1113,契約台帳!$A$3:$N$4986,14,FALSE))))</f>
        <v>1005</v>
      </c>
      <c r="S1113" s="258">
        <f ca="1">IF(D1113="","",IF(OFFSET(D1113,-1,0)&lt;&gt;"","",IF(OR(J1113="リード付け",J1113="巻足し",J1113="巻返しリード付け"),M1113,VLOOKUP(D1113,契約台帳!$A$3:$O$4986,15,FALSE))))</f>
        <v>1005</v>
      </c>
      <c r="T1113" s="258">
        <f ca="1">IF(D1113="","",IF(J1113="リード付け",N1113,IF(J1113="巻返しリード付け",N1113,IF(J1113="巻足し",N1113*P1113+OFFSET(N1113,1,0)*OFFSET(P1113,1,0),VLOOKUP(D1113,契約台帳!$A$3:$P$4986,16,FALSE)))))</f>
        <v>8200</v>
      </c>
      <c r="U1113" s="38">
        <v>1</v>
      </c>
      <c r="V1113" s="259">
        <f ca="1">IF(D1113="","",IF(OFFSET(D1113,-2,0)=D1113,"",VLOOKUP(D1113,契約台帳!$A$3:$R$4986,18,FALSE)))</f>
        <v>2</v>
      </c>
      <c r="W1113" s="256" t="str">
        <f ca="1">IF(D1113="","",IF(T1113="","",IF(OR(J1113="巻足し",J1113="巻返しリード付け"),"",IF(J1113="巻返し",VLOOKUP(F1113&amp;K1113&amp;M1113,製品マスタ!$M$5:$AD$4999,18,FALSE),IF(OR(J1113="リード付け",J1113="巻返しリード付け"),"原反コア",IF(J1113="スリット",VLOOKUP(F1113&amp;K1113&amp;R1113,製品マスタ!$N$5:$AD$4999,17,FALSE),""))))))</f>
        <v/>
      </c>
      <c r="X1113" s="256" t="str">
        <f ca="1">IF(D1113="","",IF(T1113="","",IF(J1113="巻足し","",IF(J1113="巻返し",VLOOKUP(F1113&amp;K1113&amp;M1113,製品マスタ!$M$5:$AE$4999,19,FALSE),IF(OR(J1113="リード付け",J1113="巻返しリード付け"),"",IF(J1113="スリット",VLOOKUP(F1113&amp;K1113&amp;R1113,製品マスタ!$N$5:$AE$4999,18,FALSE),""))))))</f>
        <v/>
      </c>
      <c r="Y1113" s="256">
        <f ca="1">IF(D1113="","",IF(T1113="","",VLOOKUP(D1113,契約台帳!$A$3:$Q$4986,17,FALSE)))</f>
        <v>2</v>
      </c>
      <c r="Z1113" s="256" t="str">
        <f ca="1">IF(D1113="","",IF(T1113="","",VLOOKUP(D1113,契約台帳!$A$3:$E$4986,5,FALSE)))</f>
        <v xml:space="preserve">リンテック㈱        </v>
      </c>
      <c r="AA1113" s="54"/>
      <c r="AB1113" s="200">
        <f>IFERROR((VLOOKUP(F1113&amp;K1113&amp;M1113,製品マスタ!$M$5:$AM$4999,27,FALSE)),"")</f>
        <v>0</v>
      </c>
      <c r="AC1113" s="31"/>
      <c r="AD1113" s="184"/>
      <c r="AE1113" s="51"/>
      <c r="AF1113" s="52"/>
      <c r="AG1113" s="41"/>
      <c r="AH1113" s="45"/>
      <c r="AI1113" s="28"/>
      <c r="AJ1113" s="28"/>
      <c r="AK1113" s="28"/>
      <c r="AL1113" s="28"/>
      <c r="AM1113" s="12"/>
      <c r="AN1113" s="12"/>
      <c r="AO1113" s="12"/>
      <c r="AP1113" s="12"/>
      <c r="AQ1113" s="12"/>
      <c r="AR1113" s="13"/>
      <c r="AS1113" s="14"/>
    </row>
    <row r="1114" spans="1:45" s="16" customFormat="1" ht="30.95" hidden="1" customHeight="1" x14ac:dyDescent="0.2">
      <c r="A1114" s="35"/>
      <c r="B1114" s="36"/>
      <c r="C1114" s="43"/>
      <c r="D1114" s="29"/>
      <c r="E1114" s="29"/>
      <c r="F1114" s="255"/>
      <c r="G1114" s="256"/>
      <c r="H1114" s="256"/>
      <c r="I1114" s="200"/>
      <c r="J1114" s="203"/>
      <c r="K1114" s="200"/>
      <c r="L1114" s="200"/>
      <c r="M1114" s="37"/>
      <c r="N1114" s="37"/>
      <c r="O1114" s="153"/>
      <c r="P1114" s="45"/>
      <c r="Q1114" s="54"/>
      <c r="R1114" s="260"/>
      <c r="S1114" s="258"/>
      <c r="T1114" s="258"/>
      <c r="U1114" s="38"/>
      <c r="V1114" s="261"/>
      <c r="W1114" s="256"/>
      <c r="X1114" s="256"/>
      <c r="Y1114" s="256"/>
      <c r="Z1114" s="256"/>
      <c r="AA1114" s="54"/>
      <c r="AB1114" s="200"/>
      <c r="AC1114" s="31"/>
      <c r="AD1114" s="184"/>
      <c r="AE1114" s="51"/>
      <c r="AF1114" s="52"/>
      <c r="AG1114" s="41"/>
      <c r="AH1114" s="45"/>
      <c r="AI1114" s="28"/>
      <c r="AJ1114" s="28"/>
      <c r="AK1114" s="28"/>
      <c r="AL1114" s="28"/>
      <c r="AM1114" s="12"/>
      <c r="AN1114" s="12"/>
      <c r="AO1114" s="12"/>
      <c r="AP1114" s="12"/>
      <c r="AQ1114" s="12"/>
      <c r="AR1114" s="13"/>
      <c r="AS1114" s="14"/>
    </row>
    <row r="1115" spans="1:45" s="16" customFormat="1" ht="30.95" hidden="1" customHeight="1" x14ac:dyDescent="0.2">
      <c r="A1115" s="35" t="s">
        <v>1657</v>
      </c>
      <c r="B1115" s="36" t="s">
        <v>1658</v>
      </c>
      <c r="C1115" s="43"/>
      <c r="D1115" s="29">
        <v>3727604</v>
      </c>
      <c r="E1115" s="29">
        <v>4162087</v>
      </c>
      <c r="F1115" s="255" t="str">
        <f>IF(D1115="","",VLOOKUP(D1115,契約台帳!$A$3:$K$4986,6,FALSE)&amp;VLOOKUP(D1115,契約台帳!$A$3:$K$4986,7,FALSE)&amp;VLOOKUP(D1115,契約台帳!$A$3:$K$4986,8,FALSE)&amp;VLOOKUP(D1115,契約台帳!$A$3:$K$4986,9,FALSE)&amp;VLOOKUP(D1115,契約台帳!$A$3:$K$4986,11,FALSE))</f>
        <v>3TNMCLBHLGKJV</v>
      </c>
      <c r="G1115" s="256" t="str">
        <f>IF(D1115="","",VLOOKUP(F1115,製品マスタ!$G$5:$H$4999,2,FALSE))</f>
        <v>T</v>
      </c>
      <c r="H1115" s="256" t="str">
        <f>IF(D1115="","",VLOOKUP(F1115,製品マスタ!$G$5:$K$4999,5,FALSE))</f>
        <v>HLGKJV</v>
      </c>
      <c r="I1115" s="200" t="str">
        <f>IF(D1115="","",VLOOKUP(F1115,製品マスタ!$G$5:$L$4999,6,FALSE))</f>
        <v>メタルミー　ヘヤライン　銀消Ｖ</v>
      </c>
      <c r="J1115" s="203" t="s">
        <v>935</v>
      </c>
      <c r="K1115" s="200">
        <f>IF(D1115="","",VLOOKUP(D1115,契約台帳!$A$3:$L$4986,12,FALSE))</f>
        <v>50</v>
      </c>
      <c r="L1115" s="200" t="str">
        <f>IF(D1115="","",INDEX(製品マスタ!$Q$5:$Q$4999,MATCH('S4'!F1115&amp;'S4'!K1115,製品マスタ!$AO$5:$AO$4999,0)))</f>
        <v>HL-MAT</v>
      </c>
      <c r="M1115" s="37">
        <v>1005</v>
      </c>
      <c r="N1115" s="37">
        <v>4000</v>
      </c>
      <c r="O1115" s="153">
        <v>2</v>
      </c>
      <c r="P1115" s="45">
        <v>2</v>
      </c>
      <c r="Q1115" s="206">
        <v>45195</v>
      </c>
      <c r="R1115" s="257">
        <f ca="1">IF(D1115="","",IF(OFFSET(D1115,-1,0)&lt;&gt;"","",IF(OR(J1115="リード付け",J1115="巻足し",J1115="巻返しリード付け"),M1115,VLOOKUP(D1115,契約台帳!$A$3:$N$4986,14,FALSE))))</f>
        <v>1005</v>
      </c>
      <c r="S1115" s="258">
        <f ca="1">IF(D1115="","",IF(OFFSET(D1115,-1,0)&lt;&gt;"","",IF(OR(J1115="リード付け",J1115="巻足し",J1115="巻返しリード付け"),M1115,VLOOKUP(D1115,契約台帳!$A$3:$O$4986,15,FALSE))))</f>
        <v>1005</v>
      </c>
      <c r="T1115" s="258">
        <f ca="1">IF(D1115="","",IF(J1115="リード付け",N1115,IF(J1115="巻返しリード付け",N1115,IF(J1115="巻足し",N1115*P1115+OFFSET(N1115,1,0)*OFFSET(P1115,1,0),VLOOKUP(D1115,契約台帳!$A$3:$P$4986,16,FALSE)))))</f>
        <v>8000</v>
      </c>
      <c r="U1115" s="38">
        <v>1</v>
      </c>
      <c r="V1115" s="259">
        <f ca="1">IF(D1115="","",IF(OFFSET(D1115,-2,0)=D1115,"",VLOOKUP(D1115,契約台帳!$A$3:$R$4986,18,FALSE)))</f>
        <v>2</v>
      </c>
      <c r="W1115" s="256" t="str">
        <f ca="1">IF(D1115="","",IF(T1115="","",IF(OR(J1115="巻足し",J1115="巻返しリード付け"),"",IF(J1115="巻返し",VLOOKUP(F1115&amp;K1115&amp;M1115,製品マスタ!$M$5:$AD$4999,18,FALSE),IF(OR(J1115="リード付け",J1115="巻返しリード付け"),"原反コア",IF(J1115="スリット",VLOOKUP(F1115&amp;K1115&amp;R1115,製品マスタ!$N$5:$AD$4999,17,FALSE),""))))))</f>
        <v/>
      </c>
      <c r="X1115" s="256" t="str">
        <f ca="1">IF(D1115="","",IF(T1115="","",IF(J1115="巻足し","",IF(J1115="巻返し",VLOOKUP(F1115&amp;K1115&amp;M1115,製品マスタ!$M$5:$AE$4999,19,FALSE),IF(OR(J1115="リード付け",J1115="巻返しリード付け"),"",IF(J1115="スリット",VLOOKUP(F1115&amp;K1115&amp;R1115,製品マスタ!$N$5:$AE$4999,18,FALSE),""))))))</f>
        <v/>
      </c>
      <c r="Y1115" s="256">
        <f ca="1">IF(D1115="","",IF(T1115="","",VLOOKUP(D1115,契約台帳!$A$3:$Q$4986,17,FALSE)))</f>
        <v>2</v>
      </c>
      <c r="Z1115" s="256" t="str">
        <f ca="1">IF(D1115="","",IF(T1115="","",VLOOKUP(D1115,契約台帳!$A$3:$E$4986,5,FALSE)))</f>
        <v xml:space="preserve">リンテック㈱        </v>
      </c>
      <c r="AA1115" s="54"/>
      <c r="AB1115" s="200" t="s">
        <v>774</v>
      </c>
      <c r="AC1115" s="31"/>
      <c r="AD1115" s="184"/>
      <c r="AE1115" s="51"/>
      <c r="AF1115" s="52"/>
      <c r="AG1115" s="41"/>
      <c r="AH1115" s="45"/>
      <c r="AI1115" s="28"/>
      <c r="AJ1115" s="28"/>
      <c r="AK1115" s="28"/>
      <c r="AL1115" s="28"/>
      <c r="AM1115" s="12"/>
      <c r="AN1115" s="12"/>
      <c r="AO1115" s="12"/>
      <c r="AP1115" s="12"/>
      <c r="AQ1115" s="12"/>
      <c r="AR1115" s="13"/>
      <c r="AS1115" s="14"/>
    </row>
    <row r="1116" spans="1:45" s="16" customFormat="1" ht="30.95" hidden="1" customHeight="1" x14ac:dyDescent="0.2">
      <c r="A1116" s="35"/>
      <c r="B1116" s="36"/>
      <c r="C1116" s="43"/>
      <c r="D1116" s="29"/>
      <c r="E1116" s="29"/>
      <c r="F1116" s="255"/>
      <c r="G1116" s="256"/>
      <c r="H1116" s="256"/>
      <c r="I1116" s="200"/>
      <c r="J1116" s="203"/>
      <c r="K1116" s="200"/>
      <c r="L1116" s="200"/>
      <c r="M1116" s="37"/>
      <c r="N1116" s="37"/>
      <c r="O1116" s="153"/>
      <c r="P1116" s="45"/>
      <c r="Q1116" s="54"/>
      <c r="R1116" s="260"/>
      <c r="S1116" s="258"/>
      <c r="T1116" s="258"/>
      <c r="U1116" s="38"/>
      <c r="V1116" s="261"/>
      <c r="W1116" s="256"/>
      <c r="X1116" s="256"/>
      <c r="Y1116" s="256"/>
      <c r="Z1116" s="256"/>
      <c r="AA1116" s="54"/>
      <c r="AB1116" s="200"/>
      <c r="AC1116" s="31"/>
      <c r="AD1116" s="184"/>
      <c r="AE1116" s="51"/>
      <c r="AF1116" s="52"/>
      <c r="AG1116" s="41"/>
      <c r="AH1116" s="45"/>
      <c r="AI1116" s="28"/>
      <c r="AJ1116" s="28"/>
      <c r="AK1116" s="28"/>
      <c r="AL1116" s="28"/>
      <c r="AM1116" s="12"/>
      <c r="AN1116" s="12"/>
      <c r="AO1116" s="12"/>
      <c r="AP1116" s="12"/>
      <c r="AQ1116" s="12"/>
      <c r="AR1116" s="13"/>
      <c r="AS1116" s="14"/>
    </row>
    <row r="1117" spans="1:45" s="16" customFormat="1" ht="30.95" hidden="1" customHeight="1" x14ac:dyDescent="0.2">
      <c r="A1117" s="35"/>
      <c r="B1117" s="36"/>
      <c r="C1117" s="43"/>
      <c r="D1117" s="29">
        <v>3727608</v>
      </c>
      <c r="E1117" s="29">
        <v>4162076</v>
      </c>
      <c r="F1117" s="255" t="str">
        <f>IF(D1117="","",VLOOKUP(D1117,契約台帳!$A$3:$K$4986,6,FALSE)&amp;VLOOKUP(D1117,契約台帳!$A$3:$K$4986,7,FALSE)&amp;VLOOKUP(D1117,契約台帳!$A$3:$K$4986,8,FALSE)&amp;VLOOKUP(D1117,契約台帳!$A$3:$K$4986,9,FALSE)&amp;VLOOKUP(D1117,契約台帳!$A$3:$K$4986,11,FALSE))</f>
        <v>3SNMLBMNGTBF</v>
      </c>
      <c r="G1117" s="256" t="str">
        <f>IF(D1117="","",VLOOKUP(F1117,製品マスタ!$G$5:$H$4999,2,FALSE))</f>
        <v>S</v>
      </c>
      <c r="H1117" s="256" t="str">
        <f>IF(D1117="","",VLOOKUP(F1117,製品マスタ!$G$5:$K$4999,5,FALSE))</f>
        <v>MNGTBF</v>
      </c>
      <c r="I1117" s="200" t="str">
        <f>IF(D1117="","",VLOOKUP(F1117,製品マスタ!$G$5:$L$4999,6,FALSE))</f>
        <v>メタルミー　ネーマー　銀艶　Ｂ</v>
      </c>
      <c r="J1117" s="203" t="s">
        <v>935</v>
      </c>
      <c r="K1117" s="200">
        <f>IF(D1117="","",VLOOKUP(D1117,契約台帳!$A$3:$L$4986,12,FALSE))</f>
        <v>50</v>
      </c>
      <c r="L1117" s="200" t="str">
        <f>IF(D1117="","",INDEX(製品マスタ!$Q$5:$Q$4999,MATCH('S4'!F1117&amp;'S4'!K1117,製品マスタ!$AO$5:$AO$4999,0)))</f>
        <v>T62</v>
      </c>
      <c r="M1117" s="37">
        <v>1120</v>
      </c>
      <c r="N1117" s="37">
        <v>5000</v>
      </c>
      <c r="O1117" s="153">
        <v>8</v>
      </c>
      <c r="P1117" s="45">
        <v>2</v>
      </c>
      <c r="Q1117" s="206">
        <v>45203</v>
      </c>
      <c r="R1117" s="257">
        <f ca="1">IF(D1117="","",IF(OFFSET(D1117,-1,0)&lt;&gt;"","",IF(OR(J1117="リード付け",J1117="巻足し",J1117="巻返しリード付け"),M1117,VLOOKUP(D1117,契約台帳!$A$3:$N$4986,14,FALSE))))</f>
        <v>1120</v>
      </c>
      <c r="S1117" s="258">
        <f ca="1">IF(D1117="","",IF(OFFSET(D1117,-1,0)&lt;&gt;"","",IF(OR(J1117="リード付け",J1117="巻足し",J1117="巻返しリード付け"),M1117,VLOOKUP(D1117,契約台帳!$A$3:$O$4986,15,FALSE))))</f>
        <v>1120</v>
      </c>
      <c r="T1117" s="258">
        <f ca="1">IF(D1117="","",IF(J1117="リード付け",N1117,IF(J1117="巻返しリード付け",N1117,IF(J1117="巻足し",N1117*P1117+OFFSET(N1117,1,0)*OFFSET(P1117,1,0),VLOOKUP(D1117,契約台帳!$A$3:$P$4986,16,FALSE)))))</f>
        <v>10000</v>
      </c>
      <c r="U1117" s="38">
        <v>4</v>
      </c>
      <c r="V1117" s="259">
        <f ca="1">IF(D1117="","",IF(OFFSET(D1117,-2,0)=D1117,"",VLOOKUP(D1117,契約台帳!$A$3:$R$4986,18,FALSE)))</f>
        <v>46</v>
      </c>
      <c r="W1117" s="256" t="str">
        <f ca="1">IF(D1117="","",IF(T1117="","",IF(OR(J1117="巻足し",J1117="巻返しリード付け"),"",IF(J1117="巻返し",VLOOKUP(F1117&amp;K1117&amp;M1117,製品マスタ!$M$5:$AD$4999,18,FALSE),IF(OR(J1117="リード付け",J1117="巻返しリード付け"),"原反コア",IF(J1117="スリット",VLOOKUP(F1117&amp;K1117&amp;R1117,製品マスタ!$N$5:$AD$4999,17,FALSE),""))))))</f>
        <v/>
      </c>
      <c r="X1117" s="256" t="str">
        <f ca="1">IF(D1117="","",IF(T1117="","",IF(J1117="巻足し","",IF(J1117="巻返し",VLOOKUP(F1117&amp;K1117&amp;M1117,製品マスタ!$M$5:$AE$4999,19,FALSE),IF(OR(J1117="リード付け",J1117="巻返しリード付け"),"",IF(J1117="スリット",VLOOKUP(F1117&amp;K1117&amp;R1117,製品マスタ!$N$5:$AE$4999,18,FALSE),""))))))</f>
        <v/>
      </c>
      <c r="Y1117" s="256">
        <f ca="1">IF(D1117="","",IF(T1117="","",VLOOKUP(D1117,契約台帳!$A$3:$Q$4986,17,FALSE)))</f>
        <v>2</v>
      </c>
      <c r="Z1117" s="256" t="str">
        <f ca="1">IF(D1117="","",IF(T1117="","",VLOOKUP(D1117,契約台帳!$A$3:$E$4986,5,FALSE)))</f>
        <v xml:space="preserve">リンテック㈱        </v>
      </c>
      <c r="AA1117" s="54"/>
      <c r="AB1117" s="200" t="str">
        <f>IFERROR((VLOOKUP(F1117&amp;K1117&amp;M1117,製品マスタ!$M$5:$AM$4999,27,FALSE)),"")</f>
        <v>原反ケース再利用</v>
      </c>
      <c r="AC1117" s="31"/>
      <c r="AD1117" s="333" t="s">
        <v>1605</v>
      </c>
      <c r="AE1117" s="51"/>
      <c r="AF1117" s="52"/>
      <c r="AG1117" s="41"/>
      <c r="AH1117" s="45"/>
      <c r="AI1117" s="28"/>
      <c r="AJ1117" s="28"/>
      <c r="AK1117" s="28"/>
      <c r="AL1117" s="28"/>
      <c r="AM1117" s="12"/>
      <c r="AN1117" s="12"/>
      <c r="AO1117" s="12"/>
      <c r="AP1117" s="12"/>
      <c r="AQ1117" s="12"/>
      <c r="AR1117" s="13"/>
      <c r="AS1117" s="14"/>
    </row>
    <row r="1118" spans="1:45" s="16" customFormat="1" ht="30.95" hidden="1" customHeight="1" x14ac:dyDescent="0.2">
      <c r="A1118" s="35"/>
      <c r="B1118" s="36"/>
      <c r="C1118" s="43"/>
      <c r="D1118" s="29"/>
      <c r="E1118" s="29"/>
      <c r="F1118" s="255"/>
      <c r="G1118" s="256"/>
      <c r="H1118" s="256"/>
      <c r="I1118" s="200"/>
      <c r="J1118" s="203"/>
      <c r="K1118" s="200"/>
      <c r="L1118" s="200"/>
      <c r="M1118" s="37"/>
      <c r="N1118" s="37"/>
      <c r="O1118" s="153"/>
      <c r="P1118" s="45"/>
      <c r="Q1118" s="54"/>
      <c r="R1118" s="260"/>
      <c r="S1118" s="258"/>
      <c r="T1118" s="258"/>
      <c r="U1118" s="38"/>
      <c r="V1118" s="261"/>
      <c r="W1118" s="256"/>
      <c r="X1118" s="256"/>
      <c r="Y1118" s="256"/>
      <c r="Z1118" s="256"/>
      <c r="AA1118" s="54"/>
      <c r="AB1118" s="200"/>
      <c r="AC1118" s="31"/>
      <c r="AD1118" s="184"/>
      <c r="AE1118" s="51"/>
      <c r="AF1118" s="52"/>
      <c r="AG1118" s="41"/>
      <c r="AH1118" s="45"/>
      <c r="AI1118" s="28"/>
      <c r="AJ1118" s="28"/>
      <c r="AK1118" s="28"/>
      <c r="AL1118" s="28"/>
      <c r="AM1118" s="12"/>
      <c r="AN1118" s="12"/>
      <c r="AO1118" s="12"/>
      <c r="AP1118" s="12"/>
      <c r="AQ1118" s="12"/>
      <c r="AR1118" s="13"/>
      <c r="AS1118" s="14"/>
    </row>
    <row r="1119" spans="1:45" s="16" customFormat="1" ht="30.95" hidden="1" customHeight="1" x14ac:dyDescent="0.2">
      <c r="A1119" s="35" t="s">
        <v>588</v>
      </c>
      <c r="B1119" s="36" t="s">
        <v>443</v>
      </c>
      <c r="C1119" s="43"/>
      <c r="D1119" s="29">
        <v>3727608</v>
      </c>
      <c r="E1119" s="29">
        <v>4162076</v>
      </c>
      <c r="F1119" s="255" t="str">
        <f>IF(D1119="","",VLOOKUP(D1119,契約台帳!$A$3:$K$4986,6,FALSE)&amp;VLOOKUP(D1119,契約台帳!$A$3:$K$4986,7,FALSE)&amp;VLOOKUP(D1119,契約台帳!$A$3:$K$4986,8,FALSE)&amp;VLOOKUP(D1119,契約台帳!$A$3:$K$4986,9,FALSE)&amp;VLOOKUP(D1119,契約台帳!$A$3:$K$4986,11,FALSE))</f>
        <v>3SNMLBMNGTBF</v>
      </c>
      <c r="G1119" s="256" t="str">
        <f>IF(D1119="","",VLOOKUP(F1119,製品マスタ!$G$5:$H$4999,2,FALSE))</f>
        <v>S</v>
      </c>
      <c r="H1119" s="256" t="str">
        <f>IF(D1119="","",VLOOKUP(F1119,製品マスタ!$G$5:$K$4999,5,FALSE))</f>
        <v>MNGTBF</v>
      </c>
      <c r="I1119" s="200" t="str">
        <f>IF(D1119="","",VLOOKUP(F1119,製品マスタ!$G$5:$L$4999,6,FALSE))</f>
        <v>メタルミー　ネーマー　銀艶　Ｂ</v>
      </c>
      <c r="J1119" s="203" t="s">
        <v>935</v>
      </c>
      <c r="K1119" s="200">
        <f>IF(D1119="","",VLOOKUP(D1119,契約台帳!$A$3:$L$4986,12,FALSE))</f>
        <v>50</v>
      </c>
      <c r="L1119" s="200" t="str">
        <f>IF(D1119="","",INDEX(製品マスタ!$Q$5:$Q$4999,MATCH('S4'!F1119&amp;'S4'!K1119,製品マスタ!$AO$5:$AO$4999,0)))</f>
        <v>T62</v>
      </c>
      <c r="M1119" s="37">
        <v>1120</v>
      </c>
      <c r="N1119" s="37">
        <v>5000</v>
      </c>
      <c r="O1119" s="153">
        <v>16</v>
      </c>
      <c r="P1119" s="45">
        <v>2</v>
      </c>
      <c r="Q1119" s="206">
        <v>45203</v>
      </c>
      <c r="R1119" s="257">
        <f ca="1">IF(D1119="","",IF(OFFSET(D1119,-1,0)&lt;&gt;"","",IF(OR(J1119="リード付け",J1119="巻足し",J1119="巻返しリード付け"),M1119,VLOOKUP(D1119,契約台帳!$A$3:$N$4986,14,FALSE))))</f>
        <v>1120</v>
      </c>
      <c r="S1119" s="258">
        <f ca="1">IF(D1119="","",IF(OFFSET(D1119,-1,0)&lt;&gt;"","",IF(OR(J1119="リード付け",J1119="巻足し",J1119="巻返しリード付け"),M1119,VLOOKUP(D1119,契約台帳!$A$3:$O$4986,15,FALSE))))</f>
        <v>1120</v>
      </c>
      <c r="T1119" s="258">
        <f ca="1">IF(D1119="","",IF(J1119="リード付け",N1119,IF(J1119="巻返しリード付け",N1119,IF(J1119="巻足し",N1119*P1119+OFFSET(N1119,1,0)*OFFSET(P1119,1,0),VLOOKUP(D1119,契約台帳!$A$3:$P$4986,16,FALSE)))))</f>
        <v>10000</v>
      </c>
      <c r="U1119" s="38">
        <v>8</v>
      </c>
      <c r="V1119" s="259" t="str">
        <f ca="1">IF(D1119="","",IF(OFFSET(D1119,-2,0)=D1119,"",VLOOKUP(D1119,契約台帳!$A$3:$R$4986,18,FALSE)))</f>
        <v/>
      </c>
      <c r="W1119" s="256" t="str">
        <f ca="1">IF(D1119="","",IF(T1119="","",IF(OR(J1119="巻足し",J1119="巻返しリード付け"),"",IF(J1119="巻返し",VLOOKUP(F1119&amp;K1119&amp;M1119,製品マスタ!$M$5:$AD$4999,18,FALSE),IF(OR(J1119="リード付け",J1119="巻返しリード付け"),"原反コア",IF(J1119="スリット",VLOOKUP(F1119&amp;K1119&amp;R1119,製品マスタ!$N$5:$AD$4999,17,FALSE),""))))))</f>
        <v/>
      </c>
      <c r="X1119" s="256" t="str">
        <f ca="1">IF(D1119="","",IF(T1119="","",IF(J1119="巻足し","",IF(J1119="巻返し",VLOOKUP(F1119&amp;K1119&amp;M1119,製品マスタ!$M$5:$AE$4999,19,FALSE),IF(OR(J1119="リード付け",J1119="巻返しリード付け"),"",IF(J1119="スリット",VLOOKUP(F1119&amp;K1119&amp;R1119,製品マスタ!$N$5:$AE$4999,18,FALSE),""))))))</f>
        <v/>
      </c>
      <c r="Y1119" s="256">
        <f ca="1">IF(D1119="","",IF(T1119="","",VLOOKUP(D1119,契約台帳!$A$3:$Q$4986,17,FALSE)))</f>
        <v>2</v>
      </c>
      <c r="Z1119" s="256" t="str">
        <f ca="1">IF(D1119="","",IF(T1119="","",VLOOKUP(D1119,契約台帳!$A$3:$E$4986,5,FALSE)))</f>
        <v xml:space="preserve">リンテック㈱        </v>
      </c>
      <c r="AA1119" s="54"/>
      <c r="AB1119" s="200" t="str">
        <f>IFERROR((VLOOKUP(F1119&amp;K1119&amp;M1119,製品マスタ!$M$5:$AM$4999,27,FALSE)),"")</f>
        <v>原反ケース再利用</v>
      </c>
      <c r="AC1119" s="31"/>
      <c r="AD1119" s="333" t="s">
        <v>1605</v>
      </c>
      <c r="AE1119" s="51"/>
      <c r="AF1119" s="52"/>
      <c r="AG1119" s="41"/>
      <c r="AH1119" s="45"/>
      <c r="AI1119" s="28"/>
      <c r="AJ1119" s="28"/>
      <c r="AK1119" s="28"/>
      <c r="AL1119" s="28"/>
      <c r="AM1119" s="12"/>
      <c r="AN1119" s="12"/>
      <c r="AO1119" s="12"/>
      <c r="AP1119" s="12"/>
      <c r="AQ1119" s="12"/>
      <c r="AR1119" s="13"/>
      <c r="AS1119" s="14"/>
    </row>
    <row r="1120" spans="1:45" s="16" customFormat="1" ht="30.95" hidden="1" customHeight="1" x14ac:dyDescent="0.2">
      <c r="A1120" s="35"/>
      <c r="B1120" s="36"/>
      <c r="C1120" s="43"/>
      <c r="D1120" s="29"/>
      <c r="E1120" s="29"/>
      <c r="F1120" s="255"/>
      <c r="G1120" s="256"/>
      <c r="H1120" s="256"/>
      <c r="I1120" s="200"/>
      <c r="J1120" s="203"/>
      <c r="K1120" s="200"/>
      <c r="L1120" s="200"/>
      <c r="M1120" s="37"/>
      <c r="N1120" s="37"/>
      <c r="O1120" s="153"/>
      <c r="P1120" s="45"/>
      <c r="Q1120" s="54"/>
      <c r="R1120" s="260"/>
      <c r="S1120" s="258"/>
      <c r="T1120" s="258"/>
      <c r="U1120" s="38"/>
      <c r="V1120" s="261"/>
      <c r="W1120" s="256"/>
      <c r="X1120" s="256"/>
      <c r="Y1120" s="256"/>
      <c r="Z1120" s="256"/>
      <c r="AA1120" s="54"/>
      <c r="AB1120" s="200"/>
      <c r="AC1120" s="31"/>
      <c r="AD1120" s="184"/>
      <c r="AE1120" s="51"/>
      <c r="AF1120" s="52"/>
      <c r="AG1120" s="41"/>
      <c r="AH1120" s="45"/>
      <c r="AI1120" s="28"/>
      <c r="AJ1120" s="28"/>
      <c r="AK1120" s="28"/>
      <c r="AL1120" s="28"/>
      <c r="AM1120" s="12"/>
      <c r="AN1120" s="12"/>
      <c r="AO1120" s="12"/>
      <c r="AP1120" s="12"/>
      <c r="AQ1120" s="12"/>
      <c r="AR1120" s="13"/>
      <c r="AS1120" s="14"/>
    </row>
    <row r="1121" spans="1:45" s="16" customFormat="1" ht="30.75" hidden="1" customHeight="1" x14ac:dyDescent="0.2">
      <c r="A1121" s="35" t="s">
        <v>589</v>
      </c>
      <c r="B1121" s="36" t="s">
        <v>444</v>
      </c>
      <c r="C1121" s="43"/>
      <c r="D1121" s="29">
        <v>3727608</v>
      </c>
      <c r="E1121" s="29">
        <v>4162076</v>
      </c>
      <c r="F1121" s="255" t="str">
        <f>IF(D1121="","",VLOOKUP(D1121,契約台帳!$A$3:$K$4986,6,FALSE)&amp;VLOOKUP(D1121,契約台帳!$A$3:$K$4986,7,FALSE)&amp;VLOOKUP(D1121,契約台帳!$A$3:$K$4986,8,FALSE)&amp;VLOOKUP(D1121,契約台帳!$A$3:$K$4986,9,FALSE)&amp;VLOOKUP(D1121,契約台帳!$A$3:$K$4986,11,FALSE))</f>
        <v>3SNMLBMNGTBF</v>
      </c>
      <c r="G1121" s="256" t="str">
        <f>IF(D1121="","",VLOOKUP(F1121,製品マスタ!$G$5:$H$4999,2,FALSE))</f>
        <v>S</v>
      </c>
      <c r="H1121" s="256" t="str">
        <f>IF(D1121="","",VLOOKUP(F1121,製品マスタ!$G$5:$K$4999,5,FALSE))</f>
        <v>MNGTBF</v>
      </c>
      <c r="I1121" s="200" t="str">
        <f>IF(D1121="","",VLOOKUP(F1121,製品マスタ!$G$5:$L$4999,6,FALSE))</f>
        <v>メタルミー　ネーマー　銀艶　Ｂ</v>
      </c>
      <c r="J1121" s="203" t="s">
        <v>935</v>
      </c>
      <c r="K1121" s="200">
        <f>IF(D1121="","",VLOOKUP(D1121,契約台帳!$A$3:$L$4986,12,FALSE))</f>
        <v>50</v>
      </c>
      <c r="L1121" s="200" t="str">
        <f>IF(D1121="","",INDEX(製品マスタ!$Q$5:$Q$4999,MATCH('S4'!F1121&amp;'S4'!K1121,製品マスタ!$AO$5:$AO$4999,0)))</f>
        <v>T62</v>
      </c>
      <c r="M1121" s="37">
        <v>1120</v>
      </c>
      <c r="N1121" s="37">
        <v>5000</v>
      </c>
      <c r="O1121" s="153">
        <v>16</v>
      </c>
      <c r="P1121" s="45">
        <v>2</v>
      </c>
      <c r="Q1121" s="206">
        <v>45203</v>
      </c>
      <c r="R1121" s="257">
        <f ca="1">IF(D1121="","",IF(OFFSET(D1121,-1,0)&lt;&gt;"","",IF(OR(J1121="リード付け",J1121="巻足し",J1121="巻返しリード付け"),M1121,VLOOKUP(D1121,契約台帳!$A$3:$N$4986,14,FALSE))))</f>
        <v>1120</v>
      </c>
      <c r="S1121" s="258">
        <f ca="1">IF(D1121="","",IF(OFFSET(D1121,-1,0)&lt;&gt;"","",IF(OR(J1121="リード付け",J1121="巻足し",J1121="巻返しリード付け"),M1121,VLOOKUP(D1121,契約台帳!$A$3:$O$4986,15,FALSE))))</f>
        <v>1120</v>
      </c>
      <c r="T1121" s="258">
        <f ca="1">IF(D1121="","",IF(J1121="リード付け",N1121,IF(J1121="巻返しリード付け",N1121,IF(J1121="巻足し",N1121*P1121+OFFSET(N1121,1,0)*OFFSET(P1121,1,0),VLOOKUP(D1121,契約台帳!$A$3:$P$4986,16,FALSE)))))</f>
        <v>10000</v>
      </c>
      <c r="U1121" s="38">
        <v>8</v>
      </c>
      <c r="V1121" s="259" t="str">
        <f ca="1">IF(D1121="","",IF(OFFSET(D1121,-2,0)=D1121,"",VLOOKUP(D1121,契約台帳!$A$3:$R$4986,18,FALSE)))</f>
        <v/>
      </c>
      <c r="W1121" s="256" t="str">
        <f ca="1">IF(D1121="","",IF(T1121="","",IF(OR(J1121="巻足し",J1121="巻返しリード付け"),"",IF(J1121="巻返し",VLOOKUP(F1121&amp;K1121&amp;M1121,製品マスタ!$M$5:$AD$4999,18,FALSE),IF(OR(J1121="リード付け",J1121="巻返しリード付け"),"原反コア",IF(J1121="スリット",VLOOKUP(F1121&amp;K1121&amp;R1121,製品マスタ!$N$5:$AD$4999,17,FALSE),""))))))</f>
        <v/>
      </c>
      <c r="X1121" s="256" t="str">
        <f ca="1">IF(D1121="","",IF(T1121="","",IF(J1121="巻足し","",IF(J1121="巻返し",VLOOKUP(F1121&amp;K1121&amp;M1121,製品マスタ!$M$5:$AE$4999,19,FALSE),IF(OR(J1121="リード付け",J1121="巻返しリード付け"),"",IF(J1121="スリット",VLOOKUP(F1121&amp;K1121&amp;R1121,製品マスタ!$N$5:$AE$4999,18,FALSE),""))))))</f>
        <v/>
      </c>
      <c r="Y1121" s="256">
        <f ca="1">IF(D1121="","",IF(T1121="","",VLOOKUP(D1121,契約台帳!$A$3:$Q$4986,17,FALSE)))</f>
        <v>2</v>
      </c>
      <c r="Z1121" s="256" t="str">
        <f ca="1">IF(D1121="","",IF(T1121="","",VLOOKUP(D1121,契約台帳!$A$3:$E$4986,5,FALSE)))</f>
        <v xml:space="preserve">リンテック㈱        </v>
      </c>
      <c r="AA1121" s="54"/>
      <c r="AB1121" s="200" t="str">
        <f>IFERROR((VLOOKUP(F1121&amp;K1121&amp;M1121,製品マスタ!$M$5:$AM$4999,27,FALSE)),"")</f>
        <v>原反ケース再利用</v>
      </c>
      <c r="AC1121" s="31"/>
      <c r="AD1121" s="333" t="s">
        <v>1605</v>
      </c>
      <c r="AE1121" s="51"/>
      <c r="AF1121" s="52"/>
      <c r="AG1121" s="41"/>
      <c r="AH1121" s="45"/>
      <c r="AI1121" s="28"/>
      <c r="AJ1121" s="28"/>
      <c r="AK1121" s="28"/>
      <c r="AL1121" s="28"/>
      <c r="AM1121" s="12"/>
      <c r="AN1121" s="12"/>
      <c r="AO1121" s="12"/>
      <c r="AP1121" s="12"/>
      <c r="AQ1121" s="12"/>
      <c r="AR1121" s="13"/>
      <c r="AS1121" s="14"/>
    </row>
    <row r="1122" spans="1:45" s="16" customFormat="1" ht="30.95" hidden="1" customHeight="1" x14ac:dyDescent="0.2">
      <c r="A1122" s="35"/>
      <c r="B1122" s="36"/>
      <c r="C1122" s="43"/>
      <c r="D1122" s="29"/>
      <c r="E1122" s="29"/>
      <c r="F1122" s="255"/>
      <c r="G1122" s="256"/>
      <c r="H1122" s="256"/>
      <c r="I1122" s="200"/>
      <c r="J1122" s="203"/>
      <c r="K1122" s="200"/>
      <c r="L1122" s="200"/>
      <c r="M1122" s="37"/>
      <c r="N1122" s="37"/>
      <c r="O1122" s="153"/>
      <c r="P1122" s="45"/>
      <c r="Q1122" s="54"/>
      <c r="R1122" s="260"/>
      <c r="S1122" s="258"/>
      <c r="T1122" s="258"/>
      <c r="U1122" s="38"/>
      <c r="V1122" s="261"/>
      <c r="W1122" s="256"/>
      <c r="X1122" s="256"/>
      <c r="Y1122" s="256"/>
      <c r="Z1122" s="256"/>
      <c r="AA1122" s="54"/>
      <c r="AB1122" s="200"/>
      <c r="AC1122" s="31"/>
      <c r="AD1122" s="184"/>
      <c r="AE1122" s="51"/>
      <c r="AF1122" s="52"/>
      <c r="AG1122" s="41"/>
      <c r="AH1122" s="45"/>
      <c r="AI1122" s="28"/>
      <c r="AJ1122" s="28"/>
      <c r="AK1122" s="28"/>
      <c r="AL1122" s="28"/>
      <c r="AM1122" s="12"/>
      <c r="AN1122" s="12"/>
      <c r="AO1122" s="12"/>
      <c r="AP1122" s="12"/>
      <c r="AQ1122" s="12"/>
      <c r="AR1122" s="13"/>
      <c r="AS1122" s="14"/>
    </row>
    <row r="1123" spans="1:45" s="16" customFormat="1" ht="30.95" hidden="1" customHeight="1" x14ac:dyDescent="0.2">
      <c r="A1123" s="35" t="s">
        <v>590</v>
      </c>
      <c r="B1123" s="36" t="s">
        <v>445</v>
      </c>
      <c r="C1123" s="43"/>
      <c r="D1123" s="29"/>
      <c r="E1123" s="29"/>
      <c r="F1123" s="255"/>
      <c r="G1123" s="256"/>
      <c r="H1123" s="256"/>
      <c r="I1123" s="200"/>
      <c r="J1123" s="203" t="s">
        <v>448</v>
      </c>
      <c r="K1123" s="200"/>
      <c r="L1123" s="200"/>
      <c r="M1123" s="37"/>
      <c r="N1123" s="37"/>
      <c r="O1123" s="153"/>
      <c r="P1123" s="45"/>
      <c r="Q1123" s="54"/>
      <c r="R1123" s="260"/>
      <c r="S1123" s="258"/>
      <c r="T1123" s="258"/>
      <c r="U1123" s="38"/>
      <c r="V1123" s="261"/>
      <c r="W1123" s="256"/>
      <c r="X1123" s="256"/>
      <c r="Y1123" s="256"/>
      <c r="Z1123" s="256"/>
      <c r="AA1123" s="54"/>
      <c r="AB1123" s="200"/>
      <c r="AC1123" s="31"/>
      <c r="AD1123" s="184"/>
      <c r="AE1123" s="51"/>
      <c r="AF1123" s="52"/>
      <c r="AG1123" s="41"/>
      <c r="AH1123" s="45"/>
      <c r="AI1123" s="28"/>
      <c r="AJ1123" s="28"/>
      <c r="AK1123" s="28"/>
      <c r="AL1123" s="28"/>
      <c r="AM1123" s="12"/>
      <c r="AN1123" s="12"/>
      <c r="AO1123" s="12"/>
      <c r="AP1123" s="12"/>
      <c r="AQ1123" s="12"/>
      <c r="AR1123" s="13"/>
      <c r="AS1123" s="14"/>
    </row>
    <row r="1124" spans="1:45" s="16" customFormat="1" ht="30.95" hidden="1" customHeight="1" x14ac:dyDescent="0.2">
      <c r="A1124" s="35"/>
      <c r="B1124" s="36"/>
      <c r="C1124" s="43"/>
      <c r="D1124" s="29"/>
      <c r="E1124" s="29"/>
      <c r="F1124" s="255"/>
      <c r="G1124" s="256"/>
      <c r="H1124" s="256"/>
      <c r="I1124" s="200"/>
      <c r="J1124" s="203"/>
      <c r="K1124" s="200"/>
      <c r="L1124" s="200"/>
      <c r="M1124" s="37"/>
      <c r="N1124" s="37"/>
      <c r="O1124" s="153"/>
      <c r="P1124" s="45"/>
      <c r="Q1124" s="54"/>
      <c r="R1124" s="260"/>
      <c r="S1124" s="258"/>
      <c r="T1124" s="258"/>
      <c r="U1124" s="38"/>
      <c r="V1124" s="261"/>
      <c r="W1124" s="256"/>
      <c r="X1124" s="256"/>
      <c r="Y1124" s="256"/>
      <c r="Z1124" s="256"/>
      <c r="AA1124" s="54"/>
      <c r="AB1124" s="200"/>
      <c r="AC1124" s="31"/>
      <c r="AD1124" s="184"/>
      <c r="AE1124" s="51"/>
      <c r="AF1124" s="52"/>
      <c r="AG1124" s="41"/>
      <c r="AH1124" s="45"/>
      <c r="AI1124" s="28"/>
      <c r="AJ1124" s="28"/>
      <c r="AK1124" s="28"/>
      <c r="AL1124" s="28"/>
      <c r="AM1124" s="12"/>
      <c r="AN1124" s="12"/>
      <c r="AO1124" s="12"/>
      <c r="AP1124" s="12"/>
      <c r="AQ1124" s="12"/>
      <c r="AR1124" s="13"/>
      <c r="AS1124" s="14"/>
    </row>
    <row r="1125" spans="1:45" s="16" customFormat="1" ht="30.95" hidden="1" customHeight="1" x14ac:dyDescent="0.2">
      <c r="A1125" s="35" t="s">
        <v>591</v>
      </c>
      <c r="B1125" s="36" t="s">
        <v>446</v>
      </c>
      <c r="C1125" s="43"/>
      <c r="D1125" s="29"/>
      <c r="E1125" s="29"/>
      <c r="F1125" s="255"/>
      <c r="G1125" s="256"/>
      <c r="H1125" s="256"/>
      <c r="I1125" s="200"/>
      <c r="J1125" s="203" t="s">
        <v>448</v>
      </c>
      <c r="K1125" s="200"/>
      <c r="L1125" s="200"/>
      <c r="M1125" s="37"/>
      <c r="N1125" s="37"/>
      <c r="O1125" s="153"/>
      <c r="P1125" s="45"/>
      <c r="Q1125" s="54"/>
      <c r="R1125" s="260"/>
      <c r="S1125" s="258"/>
      <c r="T1125" s="258"/>
      <c r="U1125" s="38"/>
      <c r="V1125" s="261"/>
      <c r="W1125" s="256"/>
      <c r="X1125" s="256"/>
      <c r="Y1125" s="256"/>
      <c r="Z1125" s="256"/>
      <c r="AA1125" s="54"/>
      <c r="AB1125" s="200"/>
      <c r="AC1125" s="31"/>
      <c r="AD1125" s="184"/>
      <c r="AE1125" s="51"/>
      <c r="AF1125" s="52"/>
      <c r="AG1125" s="41"/>
      <c r="AH1125" s="45"/>
      <c r="AI1125" s="28"/>
      <c r="AJ1125" s="28"/>
      <c r="AK1125" s="28"/>
      <c r="AL1125" s="28"/>
      <c r="AM1125" s="12"/>
      <c r="AN1125" s="12"/>
      <c r="AO1125" s="12"/>
      <c r="AP1125" s="12"/>
      <c r="AQ1125" s="12"/>
      <c r="AR1125" s="13"/>
      <c r="AS1125" s="14"/>
    </row>
    <row r="1126" spans="1:45" s="16" customFormat="1" ht="30.95" hidden="1" customHeight="1" x14ac:dyDescent="0.2">
      <c r="A1126" s="35"/>
      <c r="B1126" s="36"/>
      <c r="C1126" s="43"/>
      <c r="D1126" s="29"/>
      <c r="E1126" s="29"/>
      <c r="F1126" s="255"/>
      <c r="G1126" s="256"/>
      <c r="H1126" s="256"/>
      <c r="I1126" s="200"/>
      <c r="J1126" s="203"/>
      <c r="K1126" s="200"/>
      <c r="L1126" s="200"/>
      <c r="M1126" s="37"/>
      <c r="N1126" s="37"/>
      <c r="O1126" s="153"/>
      <c r="P1126" s="45"/>
      <c r="Q1126" s="54"/>
      <c r="R1126" s="260"/>
      <c r="S1126" s="258"/>
      <c r="T1126" s="258"/>
      <c r="U1126" s="38"/>
      <c r="V1126" s="261"/>
      <c r="W1126" s="256"/>
      <c r="X1126" s="256"/>
      <c r="Y1126" s="256"/>
      <c r="Z1126" s="256"/>
      <c r="AA1126" s="54"/>
      <c r="AB1126" s="200"/>
      <c r="AC1126" s="31"/>
      <c r="AD1126" s="184"/>
      <c r="AE1126" s="51"/>
      <c r="AF1126" s="52"/>
      <c r="AG1126" s="41"/>
      <c r="AH1126" s="45"/>
      <c r="AI1126" s="28"/>
      <c r="AJ1126" s="28"/>
      <c r="AK1126" s="28"/>
      <c r="AL1126" s="28"/>
      <c r="AM1126" s="12"/>
      <c r="AN1126" s="12"/>
      <c r="AO1126" s="12"/>
      <c r="AP1126" s="12"/>
      <c r="AQ1126" s="12"/>
      <c r="AR1126" s="13"/>
      <c r="AS1126" s="14"/>
    </row>
    <row r="1127" spans="1:45" s="16" customFormat="1" ht="30.95" hidden="1" customHeight="1" x14ac:dyDescent="0.2">
      <c r="A1127" s="35" t="s">
        <v>592</v>
      </c>
      <c r="B1127" s="36" t="s">
        <v>462</v>
      </c>
      <c r="C1127" s="43"/>
      <c r="D1127" s="29"/>
      <c r="E1127" s="29"/>
      <c r="F1127" s="255"/>
      <c r="G1127" s="256"/>
      <c r="H1127" s="256"/>
      <c r="I1127" s="200"/>
      <c r="J1127" s="203" t="s">
        <v>448</v>
      </c>
      <c r="K1127" s="200"/>
      <c r="L1127" s="200"/>
      <c r="M1127" s="37"/>
      <c r="N1127" s="37"/>
      <c r="O1127" s="153"/>
      <c r="P1127" s="45"/>
      <c r="Q1127" s="54"/>
      <c r="R1127" s="260"/>
      <c r="S1127" s="258"/>
      <c r="T1127" s="258"/>
      <c r="U1127" s="38"/>
      <c r="V1127" s="261"/>
      <c r="W1127" s="256"/>
      <c r="X1127" s="256"/>
      <c r="Y1127" s="256"/>
      <c r="Z1127" s="256"/>
      <c r="AA1127" s="54"/>
      <c r="AB1127" s="200"/>
      <c r="AC1127" s="31"/>
      <c r="AD1127" s="184"/>
      <c r="AE1127" s="51"/>
      <c r="AF1127" s="52"/>
      <c r="AG1127" s="41"/>
      <c r="AH1127" s="45"/>
      <c r="AI1127" s="28"/>
      <c r="AJ1127" s="28"/>
      <c r="AK1127" s="28"/>
      <c r="AL1127" s="28"/>
      <c r="AM1127" s="12"/>
      <c r="AN1127" s="12"/>
      <c r="AO1127" s="12"/>
      <c r="AP1127" s="12"/>
      <c r="AQ1127" s="12"/>
      <c r="AR1127" s="13"/>
      <c r="AS1127" s="14"/>
    </row>
    <row r="1128" spans="1:45" s="16" customFormat="1" ht="30.95" hidden="1" customHeight="1" x14ac:dyDescent="0.2">
      <c r="A1128" s="35"/>
      <c r="B1128" s="36"/>
      <c r="C1128" s="43"/>
      <c r="D1128" s="29"/>
      <c r="E1128" s="29"/>
      <c r="F1128" s="255"/>
      <c r="G1128" s="256"/>
      <c r="H1128" s="256"/>
      <c r="I1128" s="200"/>
      <c r="J1128" s="203"/>
      <c r="K1128" s="200"/>
      <c r="L1128" s="200"/>
      <c r="M1128" s="37"/>
      <c r="N1128" s="37"/>
      <c r="O1128" s="153"/>
      <c r="P1128" s="45"/>
      <c r="Q1128" s="54"/>
      <c r="R1128" s="260"/>
      <c r="S1128" s="258"/>
      <c r="T1128" s="258"/>
      <c r="U1128" s="38"/>
      <c r="V1128" s="261"/>
      <c r="W1128" s="256"/>
      <c r="X1128" s="256"/>
      <c r="Y1128" s="256"/>
      <c r="Z1128" s="256"/>
      <c r="AA1128" s="54"/>
      <c r="AB1128" s="200"/>
      <c r="AC1128" s="31"/>
      <c r="AD1128" s="184"/>
      <c r="AE1128" s="51"/>
      <c r="AF1128" s="52"/>
      <c r="AG1128" s="41"/>
      <c r="AH1128" s="45"/>
      <c r="AI1128" s="28"/>
      <c r="AJ1128" s="28"/>
      <c r="AK1128" s="28"/>
      <c r="AL1128" s="28"/>
      <c r="AM1128" s="12"/>
      <c r="AN1128" s="12"/>
      <c r="AO1128" s="12"/>
      <c r="AP1128" s="12"/>
      <c r="AQ1128" s="12"/>
      <c r="AR1128" s="13"/>
      <c r="AS1128" s="14"/>
    </row>
    <row r="1129" spans="1:45" s="16" customFormat="1" ht="30.95" hidden="1" customHeight="1" x14ac:dyDescent="0.2">
      <c r="A1129" s="35" t="s">
        <v>593</v>
      </c>
      <c r="B1129" s="36" t="s">
        <v>688</v>
      </c>
      <c r="C1129" s="43"/>
      <c r="D1129" s="29">
        <v>3723630</v>
      </c>
      <c r="E1129" s="29">
        <v>4151452</v>
      </c>
      <c r="F1129" s="255" t="str">
        <f>IF(D1129="","",VLOOKUP(D1129,契約台帳!$A$3:$K$4986,6,FALSE)&amp;VLOOKUP(D1129,契約台帳!$A$3:$K$4986,7,FALSE)&amp;VLOOKUP(D1129,契約台帳!$A$3:$K$4986,8,FALSE)&amp;VLOOKUP(D1129,契約台帳!$A$3:$K$4986,9,FALSE)&amp;VLOOKUP(D1129,契約台帳!$A$3:$K$4986,11,FALSE))</f>
        <v>3SNMLBMNGKKBF</v>
      </c>
      <c r="G1129" s="256" t="str">
        <f>IF(D1129="","",VLOOKUP(F1129,製品マスタ!$G$5:$H$4999,2,FALSE))</f>
        <v>S</v>
      </c>
      <c r="H1129" s="256" t="str">
        <f>IF(D1129="","",VLOOKUP(F1129,製品マスタ!$G$5:$K$4999,5,FALSE))</f>
        <v>MNGKKBF</v>
      </c>
      <c r="I1129" s="200" t="str">
        <f>IF(D1129="","",VLOOKUP(F1129,製品マスタ!$G$5:$L$4999,6,FALSE))</f>
        <v>メタルミー　ネーマー銀消改　Ｂ</v>
      </c>
      <c r="J1129" s="203" t="s">
        <v>447</v>
      </c>
      <c r="K1129" s="200">
        <f>IF(D1129="","",VLOOKUP(D1129,契約台帳!$A$3:$L$4986,12,FALSE))</f>
        <v>50</v>
      </c>
      <c r="L1129" s="200" t="str">
        <f>IF(D1129="","",INDEX(製品マスタ!$Q$5:$Q$4999,MATCH('S4'!F1129&amp;'S4'!K1129,製品マスタ!$AO$5:$AO$4999,0)))</f>
        <v>S99-MAT</v>
      </c>
      <c r="M1129" s="37">
        <v>1120</v>
      </c>
      <c r="N1129" s="37">
        <v>12000</v>
      </c>
      <c r="O1129" s="153">
        <v>2</v>
      </c>
      <c r="P1129" s="45">
        <v>2</v>
      </c>
      <c r="Q1129" s="54"/>
      <c r="R1129" s="257">
        <f ca="1">IF(D1129="","",IF(OFFSET(D1129,-1,0)&lt;&gt;"","",IF(OR(J1129="リード付け",J1129="巻足し",J1129="巻返しリード付け"),M1129,VLOOKUP(D1129,契約台帳!$A$3:$N$4986,14,FALSE))))</f>
        <v>1120</v>
      </c>
      <c r="S1129" s="258">
        <f ca="1">IF(D1129="","",IF(OFFSET(D1129,-1,0)&lt;&gt;"","",IF(OR(J1129="リード付け",J1129="巻足し",J1129="巻返しリード付け"),M1129,VLOOKUP(D1129,契約台帳!$A$3:$O$4986,15,FALSE))))</f>
        <v>1120</v>
      </c>
      <c r="T1129" s="258">
        <f ca="1">IF(D1129="","",IF(J1129="リード付け",N1129,IF(J1129="巻返しリード付け",N1129,IF(J1129="巻足し",N1129*P1129+OFFSET(N1129,1,0)*OFFSET(P1129,1,0),VLOOKUP(D1129,契約台帳!$A$3:$P$4986,16,FALSE)))))</f>
        <v>4000</v>
      </c>
      <c r="U1129" s="38">
        <v>6</v>
      </c>
      <c r="V1129" s="259">
        <f ca="1">IF(D1129="","",IF(OFFSET(D1129,-2,0)=D1129,"",VLOOKUP(D1129,契約台帳!$A$3:$R$4986,18,FALSE)))</f>
        <v>9</v>
      </c>
      <c r="W1129" s="256" t="str">
        <f ca="1">IF(D1129="","",IF(T1129="","",IF(OR(J1129="巻足し",J1129="巻返しリード付け"),"",IF(J1129="巻返し",VLOOKUP(F1129&amp;K1129&amp;M1129,製品マスタ!$M$5:$AD$4999,18,FALSE),IF(OR(J1129="リード付け",J1129="巻返しリード付け"),"原反コア",IF(J1129="スリット",VLOOKUP(F1129&amp;K1129&amp;R1129,製品マスタ!$N$5:$AD$4999,17,FALSE),""))))))</f>
        <v>6ｲﾝﾁSｺｱ</v>
      </c>
      <c r="X1129" s="256">
        <f ca="1">IF(D1129="","",IF(T1129="","",IF(J1129="巻足し","",IF(J1129="巻返し",VLOOKUP(F1129&amp;K1129&amp;M1129,製品マスタ!$M$5:$AE$4999,19,FALSE),IF(OR(J1129="リード付け",J1129="巻返しリード付け"),"",IF(J1129="スリット",VLOOKUP(F1129&amp;K1129&amp;R1129,製品マスタ!$N$5:$AE$4999,18,FALSE),""))))))</f>
        <v>1125</v>
      </c>
      <c r="Y1129" s="256">
        <f ca="1">IF(D1129="","",IF(T1129="","",VLOOKUP(D1129,契約台帳!$A$3:$Q$4986,17,FALSE)))</f>
        <v>2</v>
      </c>
      <c r="Z1129" s="256" t="str">
        <f ca="1">IF(D1129="","",IF(T1129="","",VLOOKUP(D1129,契約台帳!$A$3:$E$4986,5,FALSE)))</f>
        <v>リンテック㈱</v>
      </c>
      <c r="AA1129" s="54"/>
      <c r="AB1129" s="200">
        <f>IFERROR((VLOOKUP(F1129&amp;K1129&amp;M1129,製品マスタ!$M$5:$AM$4999,27,FALSE)),"")</f>
        <v>0</v>
      </c>
      <c r="AC1129" s="31"/>
      <c r="AD1129" s="333"/>
      <c r="AE1129" s="51" t="str">
        <f>IF(F1129="","",+F1129&amp;K1129)</f>
        <v>3SNMLBMNGKKBF50</v>
      </c>
      <c r="AF1129" s="52">
        <f>+M1129*N1129*O1129/1000</f>
        <v>26880</v>
      </c>
      <c r="AG1129" s="41">
        <f>IF(AE1129="","",VLOOKUP(AE1129,原価マスタ!$A$2:$AJ$1693,13,FALSE))</f>
        <v>99</v>
      </c>
      <c r="AH1129" s="45">
        <f>IF(AG1129="","",+AF1129*AG1129/100)</f>
        <v>26611.200000000001</v>
      </c>
      <c r="AI1129" s="28"/>
      <c r="AJ1129" s="28"/>
      <c r="AK1129" s="28"/>
      <c r="AL1129" s="28"/>
      <c r="AM1129" s="12"/>
      <c r="AN1129" s="12"/>
      <c r="AO1129" s="12"/>
      <c r="AP1129" s="12"/>
      <c r="AQ1129" s="12"/>
      <c r="AR1129" s="13"/>
      <c r="AS1129" s="14"/>
    </row>
    <row r="1130" spans="1:45" s="16" customFormat="1" ht="30.95" hidden="1" customHeight="1" x14ac:dyDescent="0.2">
      <c r="A1130" s="35"/>
      <c r="B1130" s="36"/>
      <c r="C1130" s="43"/>
      <c r="D1130" s="29"/>
      <c r="E1130" s="29"/>
      <c r="F1130" s="255"/>
      <c r="G1130" s="256"/>
      <c r="H1130" s="256"/>
      <c r="I1130" s="200"/>
      <c r="J1130" s="203"/>
      <c r="K1130" s="200"/>
      <c r="L1130" s="200"/>
      <c r="M1130" s="37"/>
      <c r="N1130" s="37"/>
      <c r="O1130" s="153"/>
      <c r="P1130" s="45"/>
      <c r="Q1130" s="54"/>
      <c r="R1130" s="260"/>
      <c r="S1130" s="258"/>
      <c r="T1130" s="258"/>
      <c r="U1130" s="38"/>
      <c r="V1130" s="261"/>
      <c r="W1130" s="256"/>
      <c r="X1130" s="256"/>
      <c r="Y1130" s="256"/>
      <c r="Z1130" s="256"/>
      <c r="AA1130" s="54"/>
      <c r="AB1130" s="200"/>
      <c r="AC1130" s="31"/>
      <c r="AD1130" s="184"/>
      <c r="AE1130" s="51"/>
      <c r="AF1130" s="52"/>
      <c r="AG1130" s="41"/>
      <c r="AH1130" s="45"/>
      <c r="AI1130" s="28"/>
      <c r="AJ1130" s="28"/>
      <c r="AK1130" s="28"/>
      <c r="AL1130" s="28"/>
      <c r="AM1130" s="12"/>
      <c r="AN1130" s="12"/>
      <c r="AO1130" s="12"/>
      <c r="AP1130" s="12"/>
      <c r="AQ1130" s="12"/>
      <c r="AR1130" s="13"/>
      <c r="AS1130" s="14"/>
    </row>
    <row r="1131" spans="1:45" s="16" customFormat="1" ht="30.95" hidden="1" customHeight="1" x14ac:dyDescent="0.2">
      <c r="A1131" s="35"/>
      <c r="B1131" s="36"/>
      <c r="C1131" s="43"/>
      <c r="D1131" s="29">
        <v>3723628</v>
      </c>
      <c r="E1131" s="29">
        <v>4151450</v>
      </c>
      <c r="F1131" s="255" t="str">
        <f>IF(D1131="","",VLOOKUP(D1131,契約台帳!$A$3:$K$4986,6,FALSE)&amp;VLOOKUP(D1131,契約台帳!$A$3:$K$4986,7,FALSE)&amp;VLOOKUP(D1131,契約台帳!$A$3:$K$4986,8,FALSE)&amp;VLOOKUP(D1131,契約台帳!$A$3:$K$4986,9,FALSE)&amp;VLOOKUP(D1131,契約台帳!$A$3:$K$4986,11,FALSE))</f>
        <v>3SNMLBMNGKKBF</v>
      </c>
      <c r="G1131" s="256" t="str">
        <f>IF(D1131="","",VLOOKUP(F1131,製品マスタ!$G$5:$H$4999,2,FALSE))</f>
        <v>S</v>
      </c>
      <c r="H1131" s="256" t="str">
        <f>IF(D1131="","",VLOOKUP(F1131,製品マスタ!$G$5:$K$4999,5,FALSE))</f>
        <v>MNGKKBF</v>
      </c>
      <c r="I1131" s="200" t="str">
        <f>IF(D1131="","",VLOOKUP(F1131,製品マスタ!$G$5:$L$4999,6,FALSE))</f>
        <v>メタルミー　ネーマー銀消改　Ｂ</v>
      </c>
      <c r="J1131" s="203" t="s">
        <v>447</v>
      </c>
      <c r="K1131" s="200">
        <f>IF(D1131="","",VLOOKUP(D1131,契約台帳!$A$3:$L$4986,12,FALSE))</f>
        <v>50</v>
      </c>
      <c r="L1131" s="200" t="str">
        <f>IF(D1131="","",INDEX(製品マスタ!$Q$5:$Q$4999,MATCH('S4'!F1131&amp;'S4'!K1131,製品マスタ!$AO$5:$AO$4999,0)))</f>
        <v>S99-MAT</v>
      </c>
      <c r="M1131" s="37">
        <v>1000</v>
      </c>
      <c r="N1131" s="37">
        <v>8000</v>
      </c>
      <c r="O1131" s="153">
        <v>1</v>
      </c>
      <c r="P1131" s="45">
        <v>1</v>
      </c>
      <c r="Q1131" s="54"/>
      <c r="R1131" s="257">
        <f ca="1">IF(D1131="","",IF(OFFSET(D1131,-1,0)&lt;&gt;"","",IF(OR(J1131="リード付け",J1131="巻足し",J1131="巻返しリード付け"),M1131,VLOOKUP(D1131,契約台帳!$A$3:$N$4986,14,FALSE))))</f>
        <v>1000</v>
      </c>
      <c r="S1131" s="258">
        <f ca="1">IF(D1131="","",IF(OFFSET(D1131,-1,0)&lt;&gt;"","",IF(OR(J1131="リード付け",J1131="巻足し",J1131="巻返しリード付け"),M1131,VLOOKUP(D1131,契約台帳!$A$3:$O$4986,15,FALSE))))</f>
        <v>1000</v>
      </c>
      <c r="T1131" s="258">
        <f ca="1">IF(D1131="","",IF(J1131="リード付け",N1131,IF(J1131="巻返しリード付け",N1131,IF(J1131="巻足し",N1131*P1131+OFFSET(N1131,1,0)*OFFSET(P1131,1,0),VLOOKUP(D1131,契約台帳!$A$3:$P$4986,16,FALSE)))))</f>
        <v>4000</v>
      </c>
      <c r="U1131" s="38">
        <v>2</v>
      </c>
      <c r="V1131" s="259">
        <f ca="1">IF(D1131="","",IF(OFFSET(D1131,-2,0)=D1131,"",VLOOKUP(D1131,契約台帳!$A$3:$R$4986,18,FALSE)))</f>
        <v>2</v>
      </c>
      <c r="W1131" s="256" t="str">
        <f ca="1">IF(D1131="","",IF(T1131="","",IF(OR(J1131="巻足し",J1131="巻返しリード付け"),"",IF(J1131="巻返し",VLOOKUP(F1131&amp;K1131&amp;M1131,製品マスタ!$M$5:$AD$4999,18,FALSE),IF(OR(J1131="リード付け",J1131="巻返しリード付け"),"原反コア",IF(J1131="スリット",VLOOKUP(F1131&amp;K1131&amp;R1131,製品マスタ!$N$5:$AD$4999,17,FALSE),""))))))</f>
        <v>6ｲﾝﾁSｺｱ</v>
      </c>
      <c r="X1131" s="256">
        <f ca="1">IF(D1131="","",IF(T1131="","",IF(J1131="巻足し","",IF(J1131="巻返し",VLOOKUP(F1131&amp;K1131&amp;M1131,製品マスタ!$M$5:$AE$4999,19,FALSE),IF(OR(J1131="リード付け",J1131="巻返しリード付け"),"",IF(J1131="スリット",VLOOKUP(F1131&amp;K1131&amp;R1131,製品マスタ!$N$5:$AE$4999,18,FALSE),""))))))</f>
        <v>1005</v>
      </c>
      <c r="Y1131" s="256">
        <f ca="1">IF(D1131="","",IF(T1131="","",VLOOKUP(D1131,契約台帳!$A$3:$Q$4986,17,FALSE)))</f>
        <v>2</v>
      </c>
      <c r="Z1131" s="256" t="str">
        <f ca="1">IF(D1131="","",IF(T1131="","",VLOOKUP(D1131,契約台帳!$A$3:$E$4986,5,FALSE)))</f>
        <v>リンテック㈱</v>
      </c>
      <c r="AA1131" s="54"/>
      <c r="AB1131" s="200">
        <f>IFERROR((VLOOKUP(F1131&amp;K1131&amp;M1131,製品マスタ!$M$5:$AM$4999,27,FALSE)),"")</f>
        <v>0</v>
      </c>
      <c r="AC1131" s="31"/>
      <c r="AD1131" s="333"/>
      <c r="AE1131" s="51" t="str">
        <f>IF(F1131="","",+F1131&amp;K1131)</f>
        <v>3SNMLBMNGKKBF50</v>
      </c>
      <c r="AF1131" s="52">
        <f>+M1131*N1131*O1131/1000</f>
        <v>8000</v>
      </c>
      <c r="AG1131" s="41">
        <f>IF(AE1131="","",VLOOKUP(AE1131,原価マスタ!$A$2:$AJ$1693,13,FALSE))</f>
        <v>99</v>
      </c>
      <c r="AH1131" s="45">
        <f>IF(AG1131="","",+AF1131*AG1131/100)</f>
        <v>7920</v>
      </c>
      <c r="AI1131" s="28"/>
      <c r="AJ1131" s="28"/>
      <c r="AK1131" s="28"/>
      <c r="AL1131" s="28"/>
      <c r="AM1131" s="12"/>
      <c r="AN1131" s="12"/>
      <c r="AO1131" s="12"/>
      <c r="AP1131" s="12"/>
      <c r="AQ1131" s="12"/>
      <c r="AR1131" s="13"/>
      <c r="AS1131" s="14"/>
    </row>
    <row r="1132" spans="1:45" s="16" customFormat="1" ht="30.95" hidden="1" customHeight="1" x14ac:dyDescent="0.2">
      <c r="A1132" s="35"/>
      <c r="B1132" s="36"/>
      <c r="C1132" s="43"/>
      <c r="D1132" s="29"/>
      <c r="E1132" s="29"/>
      <c r="F1132" s="255"/>
      <c r="G1132" s="256"/>
      <c r="H1132" s="256"/>
      <c r="I1132" s="200"/>
      <c r="J1132" s="203"/>
      <c r="K1132" s="200"/>
      <c r="L1132" s="200"/>
      <c r="M1132" s="37"/>
      <c r="N1132" s="37"/>
      <c r="O1132" s="153"/>
      <c r="P1132" s="45"/>
      <c r="Q1132" s="54"/>
      <c r="R1132" s="260"/>
      <c r="S1132" s="258"/>
      <c r="T1132" s="258"/>
      <c r="U1132" s="38"/>
      <c r="V1132" s="261"/>
      <c r="W1132" s="256"/>
      <c r="X1132" s="256"/>
      <c r="Y1132" s="256"/>
      <c r="Z1132" s="256"/>
      <c r="AA1132" s="54"/>
      <c r="AB1132" s="200"/>
      <c r="AC1132" s="31"/>
      <c r="AD1132" s="184"/>
      <c r="AE1132" s="51"/>
      <c r="AF1132" s="52"/>
      <c r="AG1132" s="41"/>
      <c r="AH1132" s="45"/>
      <c r="AI1132" s="28"/>
      <c r="AJ1132" s="28"/>
      <c r="AK1132" s="28"/>
      <c r="AL1132" s="28"/>
      <c r="AM1132" s="12"/>
      <c r="AN1132" s="12"/>
      <c r="AO1132" s="12"/>
      <c r="AP1132" s="12"/>
      <c r="AQ1132" s="12"/>
      <c r="AR1132" s="13"/>
      <c r="AS1132" s="14"/>
    </row>
    <row r="1133" spans="1:45" s="16" customFormat="1" ht="30.75" hidden="1" customHeight="1" x14ac:dyDescent="0.2">
      <c r="A1133" s="35"/>
      <c r="B1133" s="36"/>
      <c r="C1133" s="43"/>
      <c r="D1133" s="29">
        <v>3727608</v>
      </c>
      <c r="E1133" s="29">
        <v>4162076</v>
      </c>
      <c r="F1133" s="255" t="str">
        <f>IF(D1133="","",VLOOKUP(D1133,契約台帳!$A$3:$K$4986,6,FALSE)&amp;VLOOKUP(D1133,契約台帳!$A$3:$K$4986,7,FALSE)&amp;VLOOKUP(D1133,契約台帳!$A$3:$K$4986,8,FALSE)&amp;VLOOKUP(D1133,契約台帳!$A$3:$K$4986,9,FALSE)&amp;VLOOKUP(D1133,契約台帳!$A$3:$K$4986,11,FALSE))</f>
        <v>3SNMLBMNGTBF</v>
      </c>
      <c r="G1133" s="256" t="str">
        <f>IF(D1133="","",VLOOKUP(F1133,製品マスタ!$G$5:$H$4999,2,FALSE))</f>
        <v>S</v>
      </c>
      <c r="H1133" s="256" t="str">
        <f>IF(D1133="","",VLOOKUP(F1133,製品マスタ!$G$5:$K$4999,5,FALSE))</f>
        <v>MNGTBF</v>
      </c>
      <c r="I1133" s="200" t="str">
        <f>IF(D1133="","",VLOOKUP(F1133,製品マスタ!$G$5:$L$4999,6,FALSE))</f>
        <v>メタルミー　ネーマー　銀艶　Ｂ</v>
      </c>
      <c r="J1133" s="203" t="s">
        <v>935</v>
      </c>
      <c r="K1133" s="200">
        <f>IF(D1133="","",VLOOKUP(D1133,契約台帳!$A$3:$L$4986,12,FALSE))</f>
        <v>50</v>
      </c>
      <c r="L1133" s="200" t="str">
        <f>IF(D1133="","",INDEX(製品マスタ!$Q$5:$Q$4999,MATCH('S4'!F1133&amp;'S4'!K1133,製品マスタ!$AO$5:$AO$4999,0)))</f>
        <v>T62</v>
      </c>
      <c r="M1133" s="37">
        <v>1120</v>
      </c>
      <c r="N1133" s="37">
        <v>5000</v>
      </c>
      <c r="O1133" s="153">
        <v>6</v>
      </c>
      <c r="P1133" s="45">
        <v>2</v>
      </c>
      <c r="Q1133" s="206">
        <v>45209</v>
      </c>
      <c r="R1133" s="257">
        <f ca="1">IF(D1133="","",IF(OFFSET(D1133,-1,0)&lt;&gt;"","",IF(OR(J1133="リード付け",J1133="巻足し",J1133="巻返しリード付け"),M1133,VLOOKUP(D1133,契約台帳!$A$3:$N$4986,14,FALSE))))</f>
        <v>1120</v>
      </c>
      <c r="S1133" s="258">
        <f ca="1">IF(D1133="","",IF(OFFSET(D1133,-1,0)&lt;&gt;"","",IF(OR(J1133="リード付け",J1133="巻足し",J1133="巻返しリード付け"),M1133,VLOOKUP(D1133,契約台帳!$A$3:$O$4986,15,FALSE))))</f>
        <v>1120</v>
      </c>
      <c r="T1133" s="258">
        <f ca="1">IF(D1133="","",IF(J1133="リード付け",N1133,IF(J1133="巻返しリード付け",N1133,IF(J1133="巻足し",N1133*P1133+OFFSET(N1133,1,0)*OFFSET(P1133,1,0),VLOOKUP(D1133,契約台帳!$A$3:$P$4986,16,FALSE)))))</f>
        <v>10000</v>
      </c>
      <c r="U1133" s="38">
        <v>3</v>
      </c>
      <c r="V1133" s="259">
        <f ca="1">IF(D1133="","",IF(OFFSET(D1133,-2,0)=D1133,"",VLOOKUP(D1133,契約台帳!$A$3:$R$4986,18,FALSE)))</f>
        <v>46</v>
      </c>
      <c r="W1133" s="256" t="str">
        <f ca="1">IF(D1133="","",IF(T1133="","",IF(OR(J1133="巻足し",J1133="巻返しリード付け"),"",IF(J1133="巻返し",VLOOKUP(F1133&amp;K1133&amp;M1133,製品マスタ!$M$5:$AD$4999,18,FALSE),IF(OR(J1133="リード付け",J1133="巻返しリード付け"),"原反コア",IF(J1133="スリット",VLOOKUP(F1133&amp;K1133&amp;R1133,製品マスタ!$N$5:$AD$4999,17,FALSE),""))))))</f>
        <v/>
      </c>
      <c r="X1133" s="256" t="str">
        <f ca="1">IF(D1133="","",IF(T1133="","",IF(J1133="巻足し","",IF(J1133="巻返し",VLOOKUP(F1133&amp;K1133&amp;M1133,製品マスタ!$M$5:$AE$4999,19,FALSE),IF(OR(J1133="リード付け",J1133="巻返しリード付け"),"",IF(J1133="スリット",VLOOKUP(F1133&amp;K1133&amp;R1133,製品マスタ!$N$5:$AE$4999,18,FALSE),""))))))</f>
        <v/>
      </c>
      <c r="Y1133" s="256">
        <f ca="1">IF(D1133="","",IF(T1133="","",VLOOKUP(D1133,契約台帳!$A$3:$Q$4986,17,FALSE)))</f>
        <v>2</v>
      </c>
      <c r="Z1133" s="256" t="str">
        <f ca="1">IF(D1133="","",IF(T1133="","",VLOOKUP(D1133,契約台帳!$A$3:$E$4986,5,FALSE)))</f>
        <v xml:space="preserve">リンテック㈱        </v>
      </c>
      <c r="AA1133" s="54"/>
      <c r="AB1133" s="200" t="str">
        <f>IFERROR((VLOOKUP(F1133&amp;K1133&amp;M1133,製品マスタ!$M$5:$AM$4999,27,FALSE)),"")</f>
        <v>原反ケース再利用</v>
      </c>
      <c r="AC1133" s="31"/>
      <c r="AD1133" s="333" t="s">
        <v>1605</v>
      </c>
      <c r="AE1133" s="51"/>
      <c r="AF1133" s="52"/>
      <c r="AG1133" s="41"/>
      <c r="AH1133" s="45"/>
      <c r="AI1133" s="28"/>
      <c r="AJ1133" s="28"/>
      <c r="AK1133" s="28"/>
      <c r="AL1133" s="28"/>
      <c r="AM1133" s="12"/>
      <c r="AN1133" s="12"/>
      <c r="AO1133" s="12"/>
      <c r="AP1133" s="12"/>
      <c r="AQ1133" s="12"/>
      <c r="AR1133" s="13"/>
      <c r="AS1133" s="14"/>
    </row>
    <row r="1134" spans="1:45" s="16" customFormat="1" ht="30.95" hidden="1" customHeight="1" x14ac:dyDescent="0.2">
      <c r="A1134" s="35"/>
      <c r="B1134" s="36"/>
      <c r="C1134" s="43"/>
      <c r="D1134" s="29"/>
      <c r="E1134" s="29"/>
      <c r="F1134" s="255"/>
      <c r="G1134" s="256"/>
      <c r="H1134" s="256"/>
      <c r="I1134" s="200"/>
      <c r="J1134" s="203"/>
      <c r="K1134" s="200"/>
      <c r="L1134" s="200"/>
      <c r="M1134" s="37"/>
      <c r="N1134" s="37"/>
      <c r="O1134" s="153"/>
      <c r="P1134" s="45"/>
      <c r="Q1134" s="54"/>
      <c r="R1134" s="260"/>
      <c r="S1134" s="258"/>
      <c r="T1134" s="258"/>
      <c r="U1134" s="38"/>
      <c r="V1134" s="261"/>
      <c r="W1134" s="256"/>
      <c r="X1134" s="256"/>
      <c r="Y1134" s="256"/>
      <c r="Z1134" s="256"/>
      <c r="AA1134" s="54"/>
      <c r="AB1134" s="200"/>
      <c r="AC1134" s="31"/>
      <c r="AD1134" s="184"/>
      <c r="AE1134" s="51"/>
      <c r="AF1134" s="52"/>
      <c r="AG1134" s="41"/>
      <c r="AH1134" s="45"/>
      <c r="AI1134" s="28"/>
      <c r="AJ1134" s="28"/>
      <c r="AK1134" s="28"/>
      <c r="AL1134" s="28"/>
      <c r="AM1134" s="12"/>
      <c r="AN1134" s="12"/>
      <c r="AO1134" s="12"/>
      <c r="AP1134" s="12"/>
      <c r="AQ1134" s="12"/>
      <c r="AR1134" s="13"/>
      <c r="AS1134" s="14"/>
    </row>
    <row r="1135" spans="1:45" s="16" customFormat="1" ht="30.95" hidden="1" customHeight="1" x14ac:dyDescent="0.2">
      <c r="A1135" s="35" t="s">
        <v>594</v>
      </c>
      <c r="B1135" s="36" t="s">
        <v>442</v>
      </c>
      <c r="C1135" s="43"/>
      <c r="D1135" s="29">
        <v>3727594</v>
      </c>
      <c r="E1135" s="29">
        <v>4162071</v>
      </c>
      <c r="F1135" s="255" t="str">
        <f>IF(D1135="","",VLOOKUP(D1135,契約台帳!$A$3:$K$4986,6,FALSE)&amp;VLOOKUP(D1135,契約台帳!$A$3:$K$4986,7,FALSE)&amp;VLOOKUP(D1135,契約台帳!$A$3:$K$4986,8,FALSE)&amp;VLOOKUP(D1135,契約台帳!$A$3:$K$4986,9,FALSE)&amp;VLOOKUP(D1135,契約台帳!$A$3:$K$4986,11,FALSE))</f>
        <v>3SNMLBMNGKKBF</v>
      </c>
      <c r="G1135" s="256" t="str">
        <f>IF(D1135="","",VLOOKUP(F1135,製品マスタ!$G$5:$H$4999,2,FALSE))</f>
        <v>S</v>
      </c>
      <c r="H1135" s="256" t="str">
        <f>IF(D1135="","",VLOOKUP(F1135,製品マスタ!$G$5:$K$4999,5,FALSE))</f>
        <v>MNGKKBF</v>
      </c>
      <c r="I1135" s="200" t="str">
        <f>IF(D1135="","",VLOOKUP(F1135,製品マスタ!$G$5:$L$4999,6,FALSE))</f>
        <v>メタルミー　ネーマー銀消改　Ｂ</v>
      </c>
      <c r="J1135" s="203" t="s">
        <v>935</v>
      </c>
      <c r="K1135" s="200">
        <f>IF(D1135="","",VLOOKUP(D1135,契約台帳!$A$3:$L$4986,12,FALSE))</f>
        <v>50</v>
      </c>
      <c r="L1135" s="200" t="str">
        <f>IF(D1135="","",INDEX(製品マスタ!$Q$5:$Q$4999,MATCH('S4'!F1135&amp;'S4'!K1135,製品マスタ!$AO$5:$AO$4999,0)))</f>
        <v>S99-MAT</v>
      </c>
      <c r="M1135" s="37">
        <v>1120</v>
      </c>
      <c r="N1135" s="37">
        <v>4000</v>
      </c>
      <c r="O1135" s="153">
        <v>3</v>
      </c>
      <c r="P1135" s="45">
        <v>3</v>
      </c>
      <c r="Q1135" s="206">
        <v>45203</v>
      </c>
      <c r="R1135" s="257">
        <f ca="1">IF(D1135="","",IF(OFFSET(D1135,-1,0)&lt;&gt;"","",IF(OR(J1135="リード付け",J1135="巻足し",J1135="巻返しリード付け"),M1135,VLOOKUP(D1135,契約台帳!$A$3:$N$4986,14,FALSE))))</f>
        <v>1120</v>
      </c>
      <c r="S1135" s="258">
        <f ca="1">IF(D1135="","",IF(OFFSET(D1135,-1,0)&lt;&gt;"","",IF(OR(J1135="リード付け",J1135="巻足し",J1135="巻返しリード付け"),M1135,VLOOKUP(D1135,契約台帳!$A$3:$O$4986,15,FALSE))))</f>
        <v>1120</v>
      </c>
      <c r="T1135" s="258">
        <f ca="1">IF(D1135="","",IF(J1135="リード付け",N1135,IF(J1135="巻返しリード付け",N1135,IF(J1135="巻足し",N1135*P1135+OFFSET(N1135,1,0)*OFFSET(P1135,1,0),VLOOKUP(D1135,契約台帳!$A$3:$P$4986,16,FALSE)))))</f>
        <v>12000</v>
      </c>
      <c r="U1135" s="38">
        <v>1</v>
      </c>
      <c r="V1135" s="259">
        <f ca="1">IF(D1135="","",IF(OFFSET(D1135,-2,0)=D1135,"",VLOOKUP(D1135,契約台帳!$A$3:$R$4986,18,FALSE)))</f>
        <v>18</v>
      </c>
      <c r="W1135" s="256" t="str">
        <f ca="1">IF(D1135="","",IF(T1135="","",IF(OR(J1135="巻足し",J1135="巻返しリード付け"),"",IF(J1135="巻返し",VLOOKUP(F1135&amp;K1135&amp;M1135,製品マスタ!$M$5:$AD$4999,18,FALSE),IF(OR(J1135="リード付け",J1135="巻返しリード付け"),"原反コア",IF(J1135="スリット",VLOOKUP(F1135&amp;K1135&amp;R1135,製品マスタ!$N$5:$AD$4999,17,FALSE),""))))))</f>
        <v/>
      </c>
      <c r="X1135" s="256" t="str">
        <f ca="1">IF(D1135="","",IF(T1135="","",IF(J1135="巻足し","",IF(J1135="巻返し",VLOOKUP(F1135&amp;K1135&amp;M1135,製品マスタ!$M$5:$AE$4999,19,FALSE),IF(OR(J1135="リード付け",J1135="巻返しリード付け"),"",IF(J1135="スリット",VLOOKUP(F1135&amp;K1135&amp;R1135,製品マスタ!$N$5:$AE$4999,18,FALSE),""))))))</f>
        <v/>
      </c>
      <c r="Y1135" s="256">
        <f ca="1">IF(D1135="","",IF(T1135="","",VLOOKUP(D1135,契約台帳!$A$3:$Q$4986,17,FALSE)))</f>
        <v>2</v>
      </c>
      <c r="Z1135" s="256" t="str">
        <f ca="1">IF(D1135="","",IF(T1135="","",VLOOKUP(D1135,契約台帳!$A$3:$E$4986,5,FALSE)))</f>
        <v xml:space="preserve">リンテック㈱        </v>
      </c>
      <c r="AA1135" s="54"/>
      <c r="AB1135" s="200">
        <f>IFERROR((VLOOKUP(F1135&amp;K1135&amp;M1135,製品マスタ!$M$5:$AM$4999,27,FALSE)),"")</f>
        <v>0</v>
      </c>
      <c r="AC1135" s="31"/>
      <c r="AD1135" s="184"/>
      <c r="AE1135" s="51"/>
      <c r="AF1135" s="52"/>
      <c r="AG1135" s="41"/>
      <c r="AH1135" s="45"/>
      <c r="AI1135" s="28"/>
      <c r="AJ1135" s="28"/>
      <c r="AK1135" s="28"/>
      <c r="AL1135" s="28"/>
      <c r="AM1135" s="12"/>
      <c r="AN1135" s="12"/>
      <c r="AO1135" s="12"/>
      <c r="AP1135" s="12"/>
      <c r="AQ1135" s="12"/>
      <c r="AR1135" s="13"/>
      <c r="AS1135" s="14"/>
    </row>
    <row r="1136" spans="1:45" s="16" customFormat="1" ht="30.95" hidden="1" customHeight="1" x14ac:dyDescent="0.2">
      <c r="A1136" s="35"/>
      <c r="B1136" s="36"/>
      <c r="C1136" s="43"/>
      <c r="D1136" s="29"/>
      <c r="E1136" s="29"/>
      <c r="F1136" s="255"/>
      <c r="G1136" s="256"/>
      <c r="H1136" s="256"/>
      <c r="I1136" s="200"/>
      <c r="J1136" s="203"/>
      <c r="K1136" s="200"/>
      <c r="L1136" s="200"/>
      <c r="M1136" s="37"/>
      <c r="N1136" s="37"/>
      <c r="O1136" s="153"/>
      <c r="P1136" s="45"/>
      <c r="Q1136" s="54"/>
      <c r="R1136" s="260"/>
      <c r="S1136" s="258"/>
      <c r="T1136" s="258"/>
      <c r="U1136" s="38"/>
      <c r="V1136" s="261"/>
      <c r="W1136" s="256"/>
      <c r="X1136" s="256"/>
      <c r="Y1136" s="256"/>
      <c r="Z1136" s="256"/>
      <c r="AA1136" s="54"/>
      <c r="AB1136" s="200"/>
      <c r="AC1136" s="31"/>
      <c r="AD1136" s="184"/>
      <c r="AE1136" s="51"/>
      <c r="AF1136" s="52"/>
      <c r="AG1136" s="41"/>
      <c r="AH1136" s="45"/>
      <c r="AI1136" s="28"/>
      <c r="AJ1136" s="28"/>
      <c r="AK1136" s="28"/>
      <c r="AL1136" s="28"/>
      <c r="AM1136" s="12"/>
      <c r="AN1136" s="12"/>
      <c r="AO1136" s="12"/>
      <c r="AP1136" s="12"/>
      <c r="AQ1136" s="12"/>
      <c r="AR1136" s="13"/>
      <c r="AS1136" s="14"/>
    </row>
    <row r="1137" spans="1:45" s="16" customFormat="1" ht="30.95" hidden="1" customHeight="1" x14ac:dyDescent="0.2">
      <c r="A1137" s="35"/>
      <c r="B1137" s="36"/>
      <c r="C1137" s="43"/>
      <c r="D1137" s="29">
        <v>3727593</v>
      </c>
      <c r="E1137" s="29">
        <v>4162070</v>
      </c>
      <c r="F1137" s="255" t="str">
        <f>IF(D1137="","",VLOOKUP(D1137,契約台帳!$A$3:$K$4986,6,FALSE)&amp;VLOOKUP(D1137,契約台帳!$A$3:$K$4986,7,FALSE)&amp;VLOOKUP(D1137,契約台帳!$A$3:$K$4986,8,FALSE)&amp;VLOOKUP(D1137,契約台帳!$A$3:$K$4986,9,FALSE)&amp;VLOOKUP(D1137,契約台帳!$A$3:$K$4986,11,FALSE))</f>
        <v>3SNMLBMNGKKBF</v>
      </c>
      <c r="G1137" s="256" t="str">
        <f>IF(D1137="","",VLOOKUP(F1137,製品マスタ!$G$5:$H$4999,2,FALSE))</f>
        <v>S</v>
      </c>
      <c r="H1137" s="256" t="str">
        <f>IF(D1137="","",VLOOKUP(F1137,製品マスタ!$G$5:$K$4999,5,FALSE))</f>
        <v>MNGKKBF</v>
      </c>
      <c r="I1137" s="200" t="str">
        <f>IF(D1137="","",VLOOKUP(F1137,製品マスタ!$G$5:$L$4999,6,FALSE))</f>
        <v>メタルミー　ネーマー銀消改　Ｂ</v>
      </c>
      <c r="J1137" s="203" t="s">
        <v>935</v>
      </c>
      <c r="K1137" s="200">
        <f>IF(D1137="","",VLOOKUP(D1137,契約台帳!$A$3:$L$4986,12,FALSE))</f>
        <v>25</v>
      </c>
      <c r="L1137" s="200" t="str">
        <f>IF(D1137="","",INDEX(製品マスタ!$Q$5:$Q$4999,MATCH('S4'!F1137&amp;'S4'!K1137,製品マスタ!$AO$5:$AO$4999,0)))</f>
        <v>FMATS99</v>
      </c>
      <c r="M1137" s="37">
        <v>1120</v>
      </c>
      <c r="N1137" s="37">
        <v>4000</v>
      </c>
      <c r="O1137" s="153">
        <v>3</v>
      </c>
      <c r="P1137" s="45">
        <v>3</v>
      </c>
      <c r="Q1137" s="206">
        <v>45209</v>
      </c>
      <c r="R1137" s="257">
        <f ca="1">IF(D1137="","",IF(OFFSET(D1137,-1,0)&lt;&gt;"","",IF(OR(J1137="リード付け",J1137="巻足し",J1137="巻返しリード付け"),M1137,VLOOKUP(D1137,契約台帳!$A$3:$N$4986,14,FALSE))))</f>
        <v>1120</v>
      </c>
      <c r="S1137" s="258">
        <f ca="1">IF(D1137="","",IF(OFFSET(D1137,-1,0)&lt;&gt;"","",IF(OR(J1137="リード付け",J1137="巻足し",J1137="巻返しリード付け"),M1137,VLOOKUP(D1137,契約台帳!$A$3:$O$4986,15,FALSE))))</f>
        <v>1120</v>
      </c>
      <c r="T1137" s="258">
        <f ca="1">IF(D1137="","",IF(J1137="リード付け",N1137,IF(J1137="巻返しリード付け",N1137,IF(J1137="巻足し",N1137*P1137+OFFSET(N1137,1,0)*OFFSET(P1137,1,0),VLOOKUP(D1137,契約台帳!$A$3:$P$4986,16,FALSE)))))</f>
        <v>12000</v>
      </c>
      <c r="U1137" s="38">
        <v>3</v>
      </c>
      <c r="V1137" s="259">
        <f ca="1">IF(D1137="","",IF(OFFSET(D1137,-2,0)=D1137,"",VLOOKUP(D1137,契約台帳!$A$3:$R$4986,18,FALSE)))</f>
        <v>3</v>
      </c>
      <c r="W1137" s="256" t="str">
        <f ca="1">IF(D1137="","",IF(T1137="","",IF(OR(J1137="巻足し",J1137="巻返しリード付け"),"",IF(J1137="巻返し",VLOOKUP(F1137&amp;K1137&amp;M1137,製品マスタ!$M$5:$AD$4999,18,FALSE),IF(OR(J1137="リード付け",J1137="巻返しリード付け"),"原反コア",IF(J1137="スリット",VLOOKUP(F1137&amp;K1137&amp;R1137,製品マスタ!$N$5:$AD$4999,17,FALSE),""))))))</f>
        <v/>
      </c>
      <c r="X1137" s="256" t="str">
        <f ca="1">IF(D1137="","",IF(T1137="","",IF(J1137="巻足し","",IF(J1137="巻返し",VLOOKUP(F1137&amp;K1137&amp;M1137,製品マスタ!$M$5:$AE$4999,19,FALSE),IF(OR(J1137="リード付け",J1137="巻返しリード付け"),"",IF(J1137="スリット",VLOOKUP(F1137&amp;K1137&amp;R1137,製品マスタ!$N$5:$AE$4999,18,FALSE),""))))))</f>
        <v/>
      </c>
      <c r="Y1137" s="256">
        <f ca="1">IF(D1137="","",IF(T1137="","",VLOOKUP(D1137,契約台帳!$A$3:$Q$4986,17,FALSE)))</f>
        <v>2</v>
      </c>
      <c r="Z1137" s="256" t="str">
        <f ca="1">IF(D1137="","",IF(T1137="","",VLOOKUP(D1137,契約台帳!$A$3:$E$4986,5,FALSE)))</f>
        <v xml:space="preserve">リンテック㈱        </v>
      </c>
      <c r="AA1137" s="54"/>
      <c r="AB1137" s="200">
        <f>IFERROR((VLOOKUP(F1137&amp;K1137&amp;M1137,製品マスタ!$M$5:$AM$4999,27,FALSE)),"")</f>
        <v>0</v>
      </c>
      <c r="AC1137" s="31"/>
      <c r="AD1137" s="184"/>
      <c r="AE1137" s="51"/>
      <c r="AF1137" s="52"/>
      <c r="AG1137" s="41"/>
      <c r="AH1137" s="45"/>
      <c r="AI1137" s="28"/>
      <c r="AJ1137" s="28"/>
      <c r="AK1137" s="28"/>
      <c r="AL1137" s="28"/>
      <c r="AM1137" s="12"/>
      <c r="AN1137" s="12"/>
      <c r="AO1137" s="12"/>
      <c r="AP1137" s="12"/>
      <c r="AQ1137" s="12"/>
      <c r="AR1137" s="13"/>
      <c r="AS1137" s="14"/>
    </row>
    <row r="1138" spans="1:45" s="16" customFormat="1" ht="30.95" hidden="1" customHeight="1" x14ac:dyDescent="0.2">
      <c r="A1138" s="35"/>
      <c r="B1138" s="36"/>
      <c r="C1138" s="43"/>
      <c r="D1138" s="29"/>
      <c r="E1138" s="29"/>
      <c r="F1138" s="255"/>
      <c r="G1138" s="256"/>
      <c r="H1138" s="256"/>
      <c r="I1138" s="200"/>
      <c r="J1138" s="203"/>
      <c r="K1138" s="200"/>
      <c r="L1138" s="200"/>
      <c r="M1138" s="37"/>
      <c r="N1138" s="37"/>
      <c r="O1138" s="153"/>
      <c r="P1138" s="45"/>
      <c r="Q1138" s="54"/>
      <c r="R1138" s="260"/>
      <c r="S1138" s="258"/>
      <c r="T1138" s="258"/>
      <c r="U1138" s="38"/>
      <c r="V1138" s="261"/>
      <c r="W1138" s="256"/>
      <c r="X1138" s="256"/>
      <c r="Y1138" s="256"/>
      <c r="Z1138" s="256"/>
      <c r="AA1138" s="54"/>
      <c r="AB1138" s="200"/>
      <c r="AC1138" s="31"/>
      <c r="AD1138" s="184"/>
      <c r="AE1138" s="51"/>
      <c r="AF1138" s="52"/>
      <c r="AG1138" s="41"/>
      <c r="AH1138" s="45"/>
      <c r="AI1138" s="28"/>
      <c r="AJ1138" s="28"/>
      <c r="AK1138" s="28"/>
      <c r="AL1138" s="28"/>
      <c r="AM1138" s="12"/>
      <c r="AN1138" s="12"/>
      <c r="AO1138" s="12"/>
      <c r="AP1138" s="12"/>
      <c r="AQ1138" s="12"/>
      <c r="AR1138" s="13"/>
      <c r="AS1138" s="14"/>
    </row>
    <row r="1139" spans="1:45" s="16" customFormat="1" ht="30.75" hidden="1" customHeight="1" x14ac:dyDescent="0.2">
      <c r="A1139" s="35"/>
      <c r="B1139" s="36"/>
      <c r="C1139" s="43"/>
      <c r="D1139" s="29">
        <v>3727609</v>
      </c>
      <c r="E1139" s="29">
        <v>4162092</v>
      </c>
      <c r="F1139" s="255" t="str">
        <f>IF(D1139="","",VLOOKUP(D1139,契約台帳!$A$3:$K$4986,6,FALSE)&amp;VLOOKUP(D1139,契約台帳!$A$3:$K$4986,7,FALSE)&amp;VLOOKUP(D1139,契約台帳!$A$3:$K$4986,8,FALSE)&amp;VLOOKUP(D1139,契約台帳!$A$3:$K$4986,9,FALSE)&amp;VLOOKUP(D1139,契約台帳!$A$3:$K$4986,11,FALSE))</f>
        <v>3SNMLBMNNGKBF</v>
      </c>
      <c r="G1139" s="256" t="str">
        <f>IF(D1139="","",VLOOKUP(F1139,製品マスタ!$G$5:$H$4999,2,FALSE))</f>
        <v>S</v>
      </c>
      <c r="H1139" s="256" t="str">
        <f>IF(D1139="","",VLOOKUP(F1139,製品マスタ!$G$5:$K$4999,5,FALSE))</f>
        <v>MNNGKBF</v>
      </c>
      <c r="I1139" s="200" t="str">
        <f>IF(D1139="","",VLOOKUP(F1139,製品マスタ!$G$5:$L$4999,6,FALSE))</f>
        <v>メタルミー　ニューネーマー銀消　Ｂ</v>
      </c>
      <c r="J1139" s="203" t="s">
        <v>935</v>
      </c>
      <c r="K1139" s="200">
        <f>IF(D1139="","",VLOOKUP(D1139,契約台帳!$A$3:$L$4986,12,FALSE))</f>
        <v>50</v>
      </c>
      <c r="L1139" s="200" t="str">
        <f>IF(D1139="","",INDEX(製品マスタ!$Q$5:$Q$4999,MATCH('S4'!F1139&amp;'S4'!K1139,製品マスタ!$AO$5:$AO$4999,0)))</f>
        <v>X44</v>
      </c>
      <c r="M1139" s="37">
        <v>1000</v>
      </c>
      <c r="N1139" s="37">
        <v>4000</v>
      </c>
      <c r="O1139" s="153">
        <v>3</v>
      </c>
      <c r="P1139" s="45">
        <v>3</v>
      </c>
      <c r="Q1139" s="206">
        <v>45209</v>
      </c>
      <c r="R1139" s="257">
        <f ca="1">IF(D1139="","",IF(OFFSET(D1139,-1,0)&lt;&gt;"","",IF(OR(J1139="リード付け",J1139="巻足し",J1139="巻返しリード付け"),M1139,VLOOKUP(D1139,契約台帳!$A$3:$N$4986,14,FALSE))))</f>
        <v>1000</v>
      </c>
      <c r="S1139" s="258">
        <f ca="1">IF(D1139="","",IF(OFFSET(D1139,-1,0)&lt;&gt;"","",IF(OR(J1139="リード付け",J1139="巻足し",J1139="巻返しリード付け"),M1139,VLOOKUP(D1139,契約台帳!$A$3:$O$4986,15,FALSE))))</f>
        <v>1000</v>
      </c>
      <c r="T1139" s="258">
        <f ca="1">IF(D1139="","",IF(J1139="リード付け",N1139,IF(J1139="巻返しリード付け",N1139,IF(J1139="巻足し",N1139*P1139+OFFSET(N1139,1,0)*OFFSET(P1139,1,0),VLOOKUP(D1139,契約台帳!$A$3:$P$4986,16,FALSE)))))</f>
        <v>12000</v>
      </c>
      <c r="U1139" s="38">
        <v>1</v>
      </c>
      <c r="V1139" s="259">
        <f ca="1">IF(D1139="","",IF(OFFSET(D1139,-2,0)=D1139,"",VLOOKUP(D1139,契約台帳!$A$3:$R$4986,18,FALSE)))</f>
        <v>4</v>
      </c>
      <c r="W1139" s="256" t="str">
        <f ca="1">IF(D1139="","",IF(T1139="","",IF(OR(J1139="巻足し",J1139="巻返しリード付け"),"",IF(J1139="巻返し",VLOOKUP(F1139&amp;K1139&amp;M1139,製品マスタ!$M$5:$AD$4999,18,FALSE),IF(OR(J1139="リード付け",J1139="巻返しリード付け"),"原反コア",IF(J1139="スリット",VLOOKUP(F1139&amp;K1139&amp;R1139,製品マスタ!$N$5:$AD$4999,17,FALSE),""))))))</f>
        <v/>
      </c>
      <c r="X1139" s="256" t="str">
        <f ca="1">IF(D1139="","",IF(T1139="","",IF(J1139="巻足し","",IF(J1139="巻返し",VLOOKUP(F1139&amp;K1139&amp;M1139,製品マスタ!$M$5:$AE$4999,19,FALSE),IF(OR(J1139="リード付け",J1139="巻返しリード付け"),"",IF(J1139="スリット",VLOOKUP(F1139&amp;K1139&amp;R1139,製品マスタ!$N$5:$AE$4999,18,FALSE),""))))))</f>
        <v/>
      </c>
      <c r="Y1139" s="256">
        <f ca="1">IF(D1139="","",IF(T1139="","",VLOOKUP(D1139,契約台帳!$A$3:$Q$4986,17,FALSE)))</f>
        <v>2</v>
      </c>
      <c r="Z1139" s="256" t="str">
        <f ca="1">IF(D1139="","",IF(T1139="","",VLOOKUP(D1139,契約台帳!$A$3:$E$4986,5,FALSE)))</f>
        <v xml:space="preserve">リンテック㈱        </v>
      </c>
      <c r="AA1139" s="54"/>
      <c r="AB1139" s="200" t="str">
        <f>IFERROR((VLOOKUP(F1139&amp;K1139&amp;M1139,製品マスタ!$M$5:$AM$4999,27,FALSE)),"")</f>
        <v>原反ケース再利用</v>
      </c>
      <c r="AC1139" s="31"/>
      <c r="AD1139" s="333" t="s">
        <v>1605</v>
      </c>
      <c r="AE1139" s="51"/>
      <c r="AF1139" s="52"/>
      <c r="AG1139" s="41"/>
      <c r="AH1139" s="45"/>
      <c r="AI1139" s="28"/>
      <c r="AJ1139" s="28"/>
      <c r="AK1139" s="28"/>
      <c r="AL1139" s="28"/>
      <c r="AM1139" s="12"/>
      <c r="AN1139" s="12"/>
      <c r="AO1139" s="12"/>
      <c r="AP1139" s="12"/>
      <c r="AQ1139" s="12"/>
      <c r="AR1139" s="13"/>
      <c r="AS1139" s="14"/>
    </row>
    <row r="1140" spans="1:45" s="16" customFormat="1" ht="30.95" hidden="1" customHeight="1" x14ac:dyDescent="0.2">
      <c r="A1140" s="35"/>
      <c r="B1140" s="36"/>
      <c r="C1140" s="43"/>
      <c r="D1140" s="29"/>
      <c r="E1140" s="29"/>
      <c r="F1140" s="255"/>
      <c r="G1140" s="256"/>
      <c r="H1140" s="256"/>
      <c r="I1140" s="200"/>
      <c r="J1140" s="203"/>
      <c r="K1140" s="200"/>
      <c r="L1140" s="200"/>
      <c r="M1140" s="37"/>
      <c r="N1140" s="37"/>
      <c r="O1140" s="153"/>
      <c r="P1140" s="45"/>
      <c r="Q1140" s="54"/>
      <c r="R1140" s="260"/>
      <c r="S1140" s="258"/>
      <c r="T1140" s="258"/>
      <c r="U1140" s="38"/>
      <c r="V1140" s="261"/>
      <c r="W1140" s="256"/>
      <c r="X1140" s="256"/>
      <c r="Y1140" s="256"/>
      <c r="Z1140" s="256"/>
      <c r="AA1140" s="54"/>
      <c r="AB1140" s="200"/>
      <c r="AC1140" s="31"/>
      <c r="AD1140" s="184"/>
      <c r="AE1140" s="51"/>
      <c r="AF1140" s="52"/>
      <c r="AG1140" s="41"/>
      <c r="AH1140" s="45"/>
      <c r="AI1140" s="28"/>
      <c r="AJ1140" s="28"/>
      <c r="AK1140" s="28"/>
      <c r="AL1140" s="28"/>
      <c r="AM1140" s="12"/>
      <c r="AN1140" s="12"/>
      <c r="AO1140" s="12"/>
      <c r="AP1140" s="12"/>
      <c r="AQ1140" s="12"/>
      <c r="AR1140" s="13"/>
      <c r="AS1140" s="14"/>
    </row>
    <row r="1141" spans="1:45" s="16" customFormat="1" ht="30.75" hidden="1" customHeight="1" x14ac:dyDescent="0.2">
      <c r="A1141" s="35" t="s">
        <v>1666</v>
      </c>
      <c r="B1141" s="36" t="s">
        <v>1667</v>
      </c>
      <c r="C1141" s="43"/>
      <c r="D1141" s="29">
        <v>3727609</v>
      </c>
      <c r="E1141" s="29">
        <v>4162092</v>
      </c>
      <c r="F1141" s="255" t="str">
        <f>IF(D1141="","",VLOOKUP(D1141,契約台帳!$A$3:$K$4986,6,FALSE)&amp;VLOOKUP(D1141,契約台帳!$A$3:$K$4986,7,FALSE)&amp;VLOOKUP(D1141,契約台帳!$A$3:$K$4986,8,FALSE)&amp;VLOOKUP(D1141,契約台帳!$A$3:$K$4986,9,FALSE)&amp;VLOOKUP(D1141,契約台帳!$A$3:$K$4986,11,FALSE))</f>
        <v>3SNMLBMNNGKBF</v>
      </c>
      <c r="G1141" s="256" t="str">
        <f>IF(D1141="","",VLOOKUP(F1141,製品マスタ!$G$5:$H$4999,2,FALSE))</f>
        <v>S</v>
      </c>
      <c r="H1141" s="256" t="str">
        <f>IF(D1141="","",VLOOKUP(F1141,製品マスタ!$G$5:$K$4999,5,FALSE))</f>
        <v>MNNGKBF</v>
      </c>
      <c r="I1141" s="200" t="str">
        <f>IF(D1141="","",VLOOKUP(F1141,製品マスタ!$G$5:$L$4999,6,FALSE))</f>
        <v>メタルミー　ニューネーマー銀消　Ｂ</v>
      </c>
      <c r="J1141" s="203" t="s">
        <v>935</v>
      </c>
      <c r="K1141" s="200">
        <f>IF(D1141="","",VLOOKUP(D1141,契約台帳!$A$3:$L$4986,12,FALSE))</f>
        <v>50</v>
      </c>
      <c r="L1141" s="200" t="str">
        <f>IF(D1141="","",INDEX(製品マスタ!$Q$5:$Q$4999,MATCH('S4'!F1141&amp;'S4'!K1141,製品マスタ!$AO$5:$AO$4999,0)))</f>
        <v>X44</v>
      </c>
      <c r="M1141" s="37">
        <v>1000</v>
      </c>
      <c r="N1141" s="37">
        <v>4000</v>
      </c>
      <c r="O1141" s="153">
        <v>1</v>
      </c>
      <c r="P1141" s="45">
        <v>3</v>
      </c>
      <c r="Q1141" s="206">
        <v>45209</v>
      </c>
      <c r="R1141" s="257">
        <f ca="1">IF(D1141="","",IF(OFFSET(D1141,-1,0)&lt;&gt;"","",IF(OR(J1141="リード付け",J1141="巻足し",J1141="巻返しリード付け"),M1141,VLOOKUP(D1141,契約台帳!$A$3:$N$4986,14,FALSE))))</f>
        <v>1000</v>
      </c>
      <c r="S1141" s="258">
        <f ca="1">IF(D1141="","",IF(OFFSET(D1141,-1,0)&lt;&gt;"","",IF(OR(J1141="リード付け",J1141="巻足し",J1141="巻返しリード付け"),M1141,VLOOKUP(D1141,契約台帳!$A$3:$O$4986,15,FALSE))))</f>
        <v>1000</v>
      </c>
      <c r="T1141" s="258">
        <f ca="1">IF(D1141="","",IF(J1141="リード付け",N1141,IF(J1141="巻返しリード付け",N1141,IF(J1141="巻足し",N1141*P1141+OFFSET(N1141,1,0)*OFFSET(P1141,1,0),VLOOKUP(D1141,契約台帳!$A$3:$P$4986,16,FALSE)))))</f>
        <v>12000</v>
      </c>
      <c r="U1141" s="38">
        <v>1</v>
      </c>
      <c r="V1141" s="259" t="str">
        <f ca="1">IF(D1141="","",IF(OFFSET(D1141,-2,0)=D1141,"",VLOOKUP(D1141,契約台帳!$A$3:$R$4986,18,FALSE)))</f>
        <v/>
      </c>
      <c r="W1141" s="256" t="str">
        <f ca="1">IF(D1141="","",IF(T1141="","",IF(OR(J1141="巻足し",J1141="巻返しリード付け"),"",IF(J1141="巻返し",VLOOKUP(F1141&amp;K1141&amp;M1141,製品マスタ!$M$5:$AD$4999,18,FALSE),IF(OR(J1141="リード付け",J1141="巻返しリード付け"),"原反コア",IF(J1141="スリット",VLOOKUP(F1141&amp;K1141&amp;R1141,製品マスタ!$N$5:$AD$4999,17,FALSE),""))))))</f>
        <v/>
      </c>
      <c r="X1141" s="256" t="str">
        <f ca="1">IF(D1141="","",IF(T1141="","",IF(J1141="巻足し","",IF(J1141="巻返し",VLOOKUP(F1141&amp;K1141&amp;M1141,製品マスタ!$M$5:$AE$4999,19,FALSE),IF(OR(J1141="リード付け",J1141="巻返しリード付け"),"",IF(J1141="スリット",VLOOKUP(F1141&amp;K1141&amp;R1141,製品マスタ!$N$5:$AE$4999,18,FALSE),""))))))</f>
        <v/>
      </c>
      <c r="Y1141" s="256">
        <f ca="1">IF(D1141="","",IF(T1141="","",VLOOKUP(D1141,契約台帳!$A$3:$Q$4986,17,FALSE)))</f>
        <v>2</v>
      </c>
      <c r="Z1141" s="256" t="str">
        <f ca="1">IF(D1141="","",IF(T1141="","",VLOOKUP(D1141,契約台帳!$A$3:$E$4986,5,FALSE)))</f>
        <v xml:space="preserve">リンテック㈱        </v>
      </c>
      <c r="AA1141" s="54"/>
      <c r="AB1141" s="200" t="str">
        <f>IFERROR((VLOOKUP(F1141&amp;K1141&amp;M1141,製品マスタ!$M$5:$AM$4999,27,FALSE)),"")</f>
        <v>原反ケース再利用</v>
      </c>
      <c r="AC1141" s="31"/>
      <c r="AD1141" s="333" t="s">
        <v>1605</v>
      </c>
      <c r="AE1141" s="51"/>
      <c r="AF1141" s="52"/>
      <c r="AG1141" s="41"/>
      <c r="AH1141" s="45"/>
      <c r="AI1141" s="28"/>
      <c r="AJ1141" s="28"/>
      <c r="AK1141" s="28"/>
      <c r="AL1141" s="28"/>
      <c r="AM1141" s="12"/>
      <c r="AN1141" s="12"/>
      <c r="AO1141" s="12"/>
      <c r="AP1141" s="12"/>
      <c r="AQ1141" s="12"/>
      <c r="AR1141" s="13"/>
      <c r="AS1141" s="14"/>
    </row>
    <row r="1142" spans="1:45" s="16" customFormat="1" ht="30.75" hidden="1" customHeight="1" x14ac:dyDescent="0.2">
      <c r="A1142" s="35"/>
      <c r="B1142" s="36"/>
      <c r="C1142" s="43"/>
      <c r="D1142" s="29">
        <v>3727610</v>
      </c>
      <c r="E1142" s="29"/>
      <c r="F1142" s="255" t="str">
        <f>IF(D1142="","",VLOOKUP(D1142,契約台帳!$A$3:$K$4986,6,FALSE)&amp;VLOOKUP(D1142,契約台帳!$A$3:$K$4986,7,FALSE)&amp;VLOOKUP(D1142,契約台帳!$A$3:$K$4986,8,FALSE)&amp;VLOOKUP(D1142,契約台帳!$A$3:$K$4986,9,FALSE)&amp;VLOOKUP(D1142,契約台帳!$A$3:$K$4986,11,FALSE))</f>
        <v>3SNMLBMNNGKBF</v>
      </c>
      <c r="G1142" s="256" t="str">
        <f>IF(D1142="","",VLOOKUP(F1142,製品マスタ!$G$5:$H$4999,2,FALSE))</f>
        <v>S</v>
      </c>
      <c r="H1142" s="256" t="str">
        <f>IF(D1142="","",VLOOKUP(F1142,製品マスタ!$G$5:$K$4999,5,FALSE))</f>
        <v>MNNGKBF</v>
      </c>
      <c r="I1142" s="200" t="str">
        <f>IF(D1142="","",VLOOKUP(F1142,製品マスタ!$G$5:$L$4999,6,FALSE))</f>
        <v>メタルミー　ニューネーマー銀消　Ｂ</v>
      </c>
      <c r="J1142" s="203" t="s">
        <v>935</v>
      </c>
      <c r="K1142" s="200">
        <f>IF(D1142="","",VLOOKUP(D1142,契約台帳!$A$3:$L$4986,12,FALSE))</f>
        <v>50</v>
      </c>
      <c r="L1142" s="200" t="str">
        <f>IF(D1142="","",INDEX(製品マスタ!$Q$5:$Q$4999,MATCH('S4'!F1142&amp;'S4'!K1142,製品マスタ!$AO$5:$AO$4999,0)))</f>
        <v>X44</v>
      </c>
      <c r="M1142" s="37">
        <v>1000</v>
      </c>
      <c r="N1142" s="37">
        <v>4000</v>
      </c>
      <c r="O1142" s="153">
        <v>2</v>
      </c>
      <c r="P1142" s="45"/>
      <c r="Q1142" s="54">
        <v>45211</v>
      </c>
      <c r="R1142" s="257" t="str">
        <f ca="1">IF(D1142="","",IF(OFFSET(D1142,-1,0)&lt;&gt;"","",IF(OR(J1142="リード付け",J1142="巻足し",J1142="巻返しリード付け"),M1142,VLOOKUP(D1142,契約台帳!$A$3:$N$4986,14,FALSE))))</f>
        <v/>
      </c>
      <c r="S1142" s="258" t="str">
        <f ca="1">IF(D1142="","",IF(OFFSET(D1142,-1,0)&lt;&gt;"","",IF(OR(J1142="リード付け",J1142="巻足し",J1142="巻返しリード付け"),M1142,VLOOKUP(D1142,契約台帳!$A$3:$O$4986,15,FALSE))))</f>
        <v/>
      </c>
      <c r="T1142" s="258">
        <f ca="1">IF(D1142="","",IF(J1142="リード付け",N1142,IF(J1142="巻返しリード付け",N1142,IF(J1142="巻足し",N1142*P1142+OFFSET(N1142,1,0)*OFFSET(P1142,1,0),VLOOKUP(D1142,契約台帳!$A$3:$P$4986,16,FALSE)))))</f>
        <v>0</v>
      </c>
      <c r="U1142" s="38"/>
      <c r="V1142" s="259">
        <f ca="1">IF(D1142="","",IF(OFFSET(D1142,-2,0)=D1142,"",VLOOKUP(D1142,契約台帳!$A$3:$R$4986,18,FALSE)))</f>
        <v>11</v>
      </c>
      <c r="W1142" s="256" t="str">
        <f ca="1">IF(D1142="","",IF(T1142="","",IF(OR(J1142="巻足し",J1142="巻返しリード付け"),"",IF(J1142="巻返し",VLOOKUP(F1142&amp;K1142&amp;M1142,製品マスタ!$M$5:$AD$4999,18,FALSE),IF(OR(J1142="リード付け",J1142="巻返しリード付け"),"原反コア",IF(J1142="スリット",VLOOKUP(F1142&amp;K1142&amp;R1142,製品マスタ!$N$5:$AD$4999,17,FALSE),""))))))</f>
        <v/>
      </c>
      <c r="X1142" s="256" t="str">
        <f ca="1">IF(D1142="","",IF(T1142="","",IF(J1142="巻足し","",IF(J1142="巻返し",VLOOKUP(F1142&amp;K1142&amp;M1142,製品マスタ!$M$5:$AE$4999,19,FALSE),IF(OR(J1142="リード付け",J1142="巻返しリード付け"),"",IF(J1142="スリット",VLOOKUP(F1142&amp;K1142&amp;R1142,製品マスタ!$N$5:$AE$4999,18,FALSE),""))))))</f>
        <v/>
      </c>
      <c r="Y1142" s="256">
        <f ca="1">IF(D1142="","",IF(T1142="","",VLOOKUP(D1142,契約台帳!$A$3:$Q$4986,17,FALSE)))</f>
        <v>2</v>
      </c>
      <c r="Z1142" s="256" t="str">
        <f ca="1">IF(D1142="","",IF(T1142="","",VLOOKUP(D1142,契約台帳!$A$3:$E$4986,5,FALSE)))</f>
        <v xml:space="preserve">リンテック㈱        </v>
      </c>
      <c r="AA1142" s="54"/>
      <c r="AB1142" s="200" t="str">
        <f>IFERROR((VLOOKUP(F1142&amp;K1142&amp;M1142,製品マスタ!$M$5:$AM$4999,27,FALSE)),"")</f>
        <v>原反ケース再利用</v>
      </c>
      <c r="AC1142" s="31"/>
      <c r="AD1142" s="333" t="s">
        <v>1605</v>
      </c>
      <c r="AE1142" s="51"/>
      <c r="AF1142" s="52"/>
      <c r="AG1142" s="41"/>
      <c r="AH1142" s="45"/>
      <c r="AI1142" s="28"/>
      <c r="AJ1142" s="28"/>
      <c r="AK1142" s="28"/>
      <c r="AL1142" s="28"/>
      <c r="AM1142" s="12"/>
      <c r="AN1142" s="12"/>
      <c r="AO1142" s="12"/>
      <c r="AP1142" s="12"/>
      <c r="AQ1142" s="12"/>
      <c r="AR1142" s="13"/>
      <c r="AS1142" s="14"/>
    </row>
    <row r="1143" spans="1:45" s="16" customFormat="1" ht="30.95" hidden="1" customHeight="1" x14ac:dyDescent="0.2">
      <c r="A1143" s="35"/>
      <c r="B1143" s="36"/>
      <c r="C1143" s="43"/>
      <c r="D1143" s="29"/>
      <c r="E1143" s="29"/>
      <c r="F1143" s="255"/>
      <c r="G1143" s="256"/>
      <c r="H1143" s="256"/>
      <c r="I1143" s="200"/>
      <c r="J1143" s="203"/>
      <c r="K1143" s="200"/>
      <c r="L1143" s="200"/>
      <c r="M1143" s="37"/>
      <c r="N1143" s="37"/>
      <c r="O1143" s="153"/>
      <c r="P1143" s="45"/>
      <c r="Q1143" s="54"/>
      <c r="R1143" s="260"/>
      <c r="S1143" s="258"/>
      <c r="T1143" s="258"/>
      <c r="U1143" s="38"/>
      <c r="V1143" s="261"/>
      <c r="W1143" s="256"/>
      <c r="X1143" s="256"/>
      <c r="Y1143" s="256"/>
      <c r="Z1143" s="256"/>
      <c r="AA1143" s="54"/>
      <c r="AB1143" s="200"/>
      <c r="AC1143" s="31"/>
      <c r="AD1143" s="184"/>
      <c r="AE1143" s="51"/>
      <c r="AF1143" s="52"/>
      <c r="AG1143" s="41"/>
      <c r="AH1143" s="45"/>
      <c r="AI1143" s="28"/>
      <c r="AJ1143" s="28"/>
      <c r="AK1143" s="28"/>
      <c r="AL1143" s="28"/>
      <c r="AM1143" s="12"/>
      <c r="AN1143" s="12"/>
      <c r="AO1143" s="12"/>
      <c r="AP1143" s="12"/>
      <c r="AQ1143" s="12"/>
      <c r="AR1143" s="13"/>
      <c r="AS1143" s="14"/>
    </row>
    <row r="1144" spans="1:45" s="16" customFormat="1" ht="30.75" hidden="1" customHeight="1" x14ac:dyDescent="0.2">
      <c r="A1144" s="35"/>
      <c r="B1144" s="36"/>
      <c r="C1144" s="43"/>
      <c r="D1144" s="29">
        <v>3727610</v>
      </c>
      <c r="E1144" s="29">
        <v>4162093</v>
      </c>
      <c r="F1144" s="255" t="str">
        <f>IF(D1144="","",VLOOKUP(D1144,契約台帳!$A$3:$K$4986,6,FALSE)&amp;VLOOKUP(D1144,契約台帳!$A$3:$K$4986,7,FALSE)&amp;VLOOKUP(D1144,契約台帳!$A$3:$K$4986,8,FALSE)&amp;VLOOKUP(D1144,契約台帳!$A$3:$K$4986,9,FALSE)&amp;VLOOKUP(D1144,契約台帳!$A$3:$K$4986,11,FALSE))</f>
        <v>3SNMLBMNNGKBF</v>
      </c>
      <c r="G1144" s="256" t="str">
        <f>IF(D1144="","",VLOOKUP(F1144,製品マスタ!$G$5:$H$4999,2,FALSE))</f>
        <v>S</v>
      </c>
      <c r="H1144" s="256" t="str">
        <f>IF(D1144="","",VLOOKUP(F1144,製品マスタ!$G$5:$K$4999,5,FALSE))</f>
        <v>MNNGKBF</v>
      </c>
      <c r="I1144" s="200" t="str">
        <f>IF(D1144="","",VLOOKUP(F1144,製品マスタ!$G$5:$L$4999,6,FALSE))</f>
        <v>メタルミー　ニューネーマー銀消　Ｂ</v>
      </c>
      <c r="J1144" s="203" t="s">
        <v>935</v>
      </c>
      <c r="K1144" s="200">
        <f>IF(D1144="","",VLOOKUP(D1144,契約台帳!$A$3:$L$4986,12,FALSE))</f>
        <v>50</v>
      </c>
      <c r="L1144" s="200" t="str">
        <f>IF(D1144="","",INDEX(製品マスタ!$Q$5:$Q$4999,MATCH('S4'!F1144&amp;'S4'!K1144,製品マスタ!$AO$5:$AO$4999,0)))</f>
        <v>X44</v>
      </c>
      <c r="M1144" s="37">
        <v>1000</v>
      </c>
      <c r="N1144" s="37">
        <v>4000</v>
      </c>
      <c r="O1144" s="153">
        <v>9</v>
      </c>
      <c r="P1144" s="45">
        <v>3</v>
      </c>
      <c r="Q1144" s="54">
        <v>45211</v>
      </c>
      <c r="R1144" s="257">
        <f ca="1">IF(D1144="","",IF(OFFSET(D1144,-1,0)&lt;&gt;"","",IF(OR(J1144="リード付け",J1144="巻足し",J1144="巻返しリード付け"),M1144,VLOOKUP(D1144,契約台帳!$A$3:$N$4986,14,FALSE))))</f>
        <v>1000</v>
      </c>
      <c r="S1144" s="258">
        <f ca="1">IF(D1144="","",IF(OFFSET(D1144,-1,0)&lt;&gt;"","",IF(OR(J1144="リード付け",J1144="巻足し",J1144="巻返しリード付け"),M1144,VLOOKUP(D1144,契約台帳!$A$3:$O$4986,15,FALSE))))</f>
        <v>1000</v>
      </c>
      <c r="T1144" s="258">
        <f ca="1">IF(D1144="","",IF(J1144="リード付け",N1144,IF(J1144="巻返しリード付け",N1144,IF(J1144="巻足し",N1144*P1144+OFFSET(N1144,1,0)*OFFSET(P1144,1,0),VLOOKUP(D1144,契約台帳!$A$3:$P$4986,16,FALSE)))))</f>
        <v>12000</v>
      </c>
      <c r="U1144" s="38">
        <v>3</v>
      </c>
      <c r="V1144" s="259" t="str">
        <f ca="1">IF(D1144="","",IF(OFFSET(D1144,-2,0)=D1144,"",VLOOKUP(D1144,契約台帳!$A$3:$R$4986,18,FALSE)))</f>
        <v/>
      </c>
      <c r="W1144" s="256" t="str">
        <f ca="1">IF(D1144="","",IF(T1144="","",IF(OR(J1144="巻足し",J1144="巻返しリード付け"),"",IF(J1144="巻返し",VLOOKUP(F1144&amp;K1144&amp;M1144,製品マスタ!$M$5:$AD$4999,18,FALSE),IF(OR(J1144="リード付け",J1144="巻返しリード付け"),"原反コア",IF(J1144="スリット",VLOOKUP(F1144&amp;K1144&amp;R1144,製品マスタ!$N$5:$AD$4999,17,FALSE),""))))))</f>
        <v/>
      </c>
      <c r="X1144" s="256" t="str">
        <f ca="1">IF(D1144="","",IF(T1144="","",IF(J1144="巻足し","",IF(J1144="巻返し",VLOOKUP(F1144&amp;K1144&amp;M1144,製品マスタ!$M$5:$AE$4999,19,FALSE),IF(OR(J1144="リード付け",J1144="巻返しリード付け"),"",IF(J1144="スリット",VLOOKUP(F1144&amp;K1144&amp;R1144,製品マスタ!$N$5:$AE$4999,18,FALSE),""))))))</f>
        <v/>
      </c>
      <c r="Y1144" s="256">
        <f ca="1">IF(D1144="","",IF(T1144="","",VLOOKUP(D1144,契約台帳!$A$3:$Q$4986,17,FALSE)))</f>
        <v>2</v>
      </c>
      <c r="Z1144" s="256" t="str">
        <f ca="1">IF(D1144="","",IF(T1144="","",VLOOKUP(D1144,契約台帳!$A$3:$E$4986,5,FALSE)))</f>
        <v xml:space="preserve">リンテック㈱        </v>
      </c>
      <c r="AA1144" s="54"/>
      <c r="AB1144" s="200" t="str">
        <f>IFERROR((VLOOKUP(F1144&amp;K1144&amp;M1144,製品マスタ!$M$5:$AM$4999,27,FALSE)),"")</f>
        <v>原反ケース再利用</v>
      </c>
      <c r="AC1144" s="31"/>
      <c r="AD1144" s="333" t="s">
        <v>1605</v>
      </c>
      <c r="AE1144" s="51"/>
      <c r="AF1144" s="52"/>
      <c r="AG1144" s="41"/>
      <c r="AH1144" s="45"/>
      <c r="AI1144" s="28"/>
      <c r="AJ1144" s="28"/>
      <c r="AK1144" s="28"/>
      <c r="AL1144" s="28"/>
      <c r="AM1144" s="12"/>
      <c r="AN1144" s="12"/>
      <c r="AO1144" s="12"/>
      <c r="AP1144" s="12"/>
      <c r="AQ1144" s="12"/>
      <c r="AR1144" s="13"/>
      <c r="AS1144" s="14"/>
    </row>
    <row r="1145" spans="1:45" s="16" customFormat="1" ht="30.95" hidden="1" customHeight="1" x14ac:dyDescent="0.2">
      <c r="A1145" s="35"/>
      <c r="B1145" s="36"/>
      <c r="C1145" s="43"/>
      <c r="D1145" s="29"/>
      <c r="E1145" s="29"/>
      <c r="F1145" s="255"/>
      <c r="G1145" s="256"/>
      <c r="H1145" s="256"/>
      <c r="I1145" s="200"/>
      <c r="J1145" s="203"/>
      <c r="K1145" s="200"/>
      <c r="L1145" s="200"/>
      <c r="M1145" s="37"/>
      <c r="N1145" s="37"/>
      <c r="O1145" s="153"/>
      <c r="P1145" s="45"/>
      <c r="Q1145" s="54"/>
      <c r="R1145" s="260"/>
      <c r="S1145" s="258"/>
      <c r="T1145" s="258"/>
      <c r="U1145" s="38"/>
      <c r="V1145" s="261"/>
      <c r="W1145" s="256"/>
      <c r="X1145" s="256"/>
      <c r="Y1145" s="256"/>
      <c r="Z1145" s="256"/>
      <c r="AA1145" s="54"/>
      <c r="AB1145" s="200"/>
      <c r="AC1145" s="31"/>
      <c r="AD1145" s="184"/>
      <c r="AE1145" s="51"/>
      <c r="AF1145" s="52"/>
      <c r="AG1145" s="41"/>
      <c r="AH1145" s="45"/>
      <c r="AI1145" s="28"/>
      <c r="AJ1145" s="28"/>
      <c r="AK1145" s="28"/>
      <c r="AL1145" s="28"/>
      <c r="AM1145" s="12"/>
      <c r="AN1145" s="12"/>
      <c r="AO1145" s="12"/>
      <c r="AP1145" s="12"/>
      <c r="AQ1145" s="12"/>
      <c r="AR1145" s="13"/>
      <c r="AS1145" s="14"/>
    </row>
    <row r="1146" spans="1:45" s="16" customFormat="1" ht="30.95" hidden="1" customHeight="1" x14ac:dyDescent="0.2">
      <c r="A1146" s="35" t="s">
        <v>596</v>
      </c>
      <c r="B1146" s="36" t="s">
        <v>444</v>
      </c>
      <c r="C1146" s="43"/>
      <c r="D1146" s="29">
        <v>3727594</v>
      </c>
      <c r="E1146" s="29">
        <v>4162071</v>
      </c>
      <c r="F1146" s="255" t="str">
        <f>IF(D1146="","",VLOOKUP(D1146,契約台帳!$A$3:$K$4986,6,FALSE)&amp;VLOOKUP(D1146,契約台帳!$A$3:$K$4986,7,FALSE)&amp;VLOOKUP(D1146,契約台帳!$A$3:$K$4986,8,FALSE)&amp;VLOOKUP(D1146,契約台帳!$A$3:$K$4986,9,FALSE)&amp;VLOOKUP(D1146,契約台帳!$A$3:$K$4986,11,FALSE))</f>
        <v>3SNMLBMNGKKBF</v>
      </c>
      <c r="G1146" s="256" t="str">
        <f>IF(D1146="","",VLOOKUP(F1146,製品マスタ!$G$5:$H$4999,2,FALSE))</f>
        <v>S</v>
      </c>
      <c r="H1146" s="256" t="str">
        <f>IF(D1146="","",VLOOKUP(F1146,製品マスタ!$G$5:$K$4999,5,FALSE))</f>
        <v>MNGKKBF</v>
      </c>
      <c r="I1146" s="200" t="str">
        <f>IF(D1146="","",VLOOKUP(F1146,製品マスタ!$G$5:$L$4999,6,FALSE))</f>
        <v>メタルミー　ネーマー銀消改　Ｂ</v>
      </c>
      <c r="J1146" s="203" t="s">
        <v>935</v>
      </c>
      <c r="K1146" s="200">
        <f>IF(D1146="","",VLOOKUP(D1146,契約台帳!$A$3:$L$4986,12,FALSE))</f>
        <v>50</v>
      </c>
      <c r="L1146" s="200" t="str">
        <f>IF(D1146="","",INDEX(製品マスタ!$Q$5:$Q$4999,MATCH('S4'!F1146&amp;'S4'!K1146,製品マスタ!$AO$5:$AO$4999,0)))</f>
        <v>S99-MAT</v>
      </c>
      <c r="M1146" s="37">
        <v>1120</v>
      </c>
      <c r="N1146" s="37">
        <v>4000</v>
      </c>
      <c r="O1146" s="153">
        <v>6</v>
      </c>
      <c r="P1146" s="45">
        <v>3</v>
      </c>
      <c r="Q1146" s="206">
        <v>45203</v>
      </c>
      <c r="R1146" s="257">
        <f ca="1">IF(D1146="","",IF(OFFSET(D1146,-1,0)&lt;&gt;"","",IF(OR(J1146="リード付け",J1146="巻足し",J1146="巻返しリード付け"),M1146,VLOOKUP(D1146,契約台帳!$A$3:$N$4986,14,FALSE))))</f>
        <v>1120</v>
      </c>
      <c r="S1146" s="258">
        <f ca="1">IF(D1146="","",IF(OFFSET(D1146,-1,0)&lt;&gt;"","",IF(OR(J1146="リード付け",J1146="巻足し",J1146="巻返しリード付け"),M1146,VLOOKUP(D1146,契約台帳!$A$3:$O$4986,15,FALSE))))</f>
        <v>1120</v>
      </c>
      <c r="T1146" s="258">
        <f ca="1">IF(D1146="","",IF(J1146="リード付け",N1146,IF(J1146="巻返しリード付け",N1146,IF(J1146="巻足し",N1146*P1146+OFFSET(N1146,1,0)*OFFSET(P1146,1,0),VLOOKUP(D1146,契約台帳!$A$3:$P$4986,16,FALSE)))))</f>
        <v>12000</v>
      </c>
      <c r="U1146" s="38">
        <v>2</v>
      </c>
      <c r="V1146" s="259">
        <f ca="1">IF(D1146="","",IF(OFFSET(D1146,-2,0)=D1146,"",VLOOKUP(D1146,契約台帳!$A$3:$R$4986,18,FALSE)))</f>
        <v>18</v>
      </c>
      <c r="W1146" s="256" t="str">
        <f ca="1">IF(D1146="","",IF(T1146="","",IF(OR(J1146="巻足し",J1146="巻返しリード付け"),"",IF(J1146="巻返し",VLOOKUP(F1146&amp;K1146&amp;M1146,製品マスタ!$M$5:$AD$4999,18,FALSE),IF(OR(J1146="リード付け",J1146="巻返しリード付け"),"原反コア",IF(J1146="スリット",VLOOKUP(F1146&amp;K1146&amp;R1146,製品マスタ!$N$5:$AD$4999,17,FALSE),""))))))</f>
        <v/>
      </c>
      <c r="X1146" s="256" t="str">
        <f ca="1">IF(D1146="","",IF(T1146="","",IF(J1146="巻足し","",IF(J1146="巻返し",VLOOKUP(F1146&amp;K1146&amp;M1146,製品マスタ!$M$5:$AE$4999,19,FALSE),IF(OR(J1146="リード付け",J1146="巻返しリード付け"),"",IF(J1146="スリット",VLOOKUP(F1146&amp;K1146&amp;R1146,製品マスタ!$N$5:$AE$4999,18,FALSE),""))))))</f>
        <v/>
      </c>
      <c r="Y1146" s="256">
        <f ca="1">IF(D1146="","",IF(T1146="","",VLOOKUP(D1146,契約台帳!$A$3:$Q$4986,17,FALSE)))</f>
        <v>2</v>
      </c>
      <c r="Z1146" s="256" t="str">
        <f ca="1">IF(D1146="","",IF(T1146="","",VLOOKUP(D1146,契約台帳!$A$3:$E$4986,5,FALSE)))</f>
        <v xml:space="preserve">リンテック㈱        </v>
      </c>
      <c r="AA1146" s="54"/>
      <c r="AB1146" s="200">
        <f>IFERROR((VLOOKUP(F1146&amp;K1146&amp;M1146,製品マスタ!$M$5:$AM$4999,27,FALSE)),"")</f>
        <v>0</v>
      </c>
      <c r="AC1146" s="31"/>
      <c r="AD1146" s="184"/>
      <c r="AE1146" s="51"/>
      <c r="AF1146" s="52"/>
      <c r="AG1146" s="41"/>
      <c r="AH1146" s="45"/>
      <c r="AI1146" s="28"/>
      <c r="AJ1146" s="28"/>
      <c r="AK1146" s="28"/>
      <c r="AL1146" s="28"/>
      <c r="AM1146" s="12"/>
      <c r="AN1146" s="12"/>
      <c r="AO1146" s="12"/>
      <c r="AP1146" s="12"/>
      <c r="AQ1146" s="12"/>
      <c r="AR1146" s="13"/>
      <c r="AS1146" s="14"/>
    </row>
    <row r="1147" spans="1:45" s="16" customFormat="1" ht="30.95" hidden="1" customHeight="1" x14ac:dyDescent="0.2">
      <c r="A1147" s="35"/>
      <c r="B1147" s="36"/>
      <c r="C1147" s="43"/>
      <c r="D1147" s="29"/>
      <c r="E1147" s="29"/>
      <c r="F1147" s="255"/>
      <c r="G1147" s="256"/>
      <c r="H1147" s="256"/>
      <c r="I1147" s="200"/>
      <c r="J1147" s="203"/>
      <c r="K1147" s="200"/>
      <c r="L1147" s="200"/>
      <c r="M1147" s="37"/>
      <c r="N1147" s="37"/>
      <c r="O1147" s="153"/>
      <c r="P1147" s="45"/>
      <c r="Q1147" s="54"/>
      <c r="R1147" s="260"/>
      <c r="S1147" s="258"/>
      <c r="T1147" s="258"/>
      <c r="U1147" s="38"/>
      <c r="V1147" s="261"/>
      <c r="W1147" s="256"/>
      <c r="X1147" s="256"/>
      <c r="Y1147" s="256"/>
      <c r="Z1147" s="256"/>
      <c r="AA1147" s="54"/>
      <c r="AB1147" s="200"/>
      <c r="AC1147" s="31"/>
      <c r="AD1147" s="184"/>
      <c r="AE1147" s="51"/>
      <c r="AF1147" s="52"/>
      <c r="AG1147" s="41"/>
      <c r="AH1147" s="45"/>
      <c r="AI1147" s="28"/>
      <c r="AJ1147" s="28"/>
      <c r="AK1147" s="28"/>
      <c r="AL1147" s="28"/>
      <c r="AM1147" s="12"/>
      <c r="AN1147" s="12"/>
      <c r="AO1147" s="12"/>
      <c r="AP1147" s="12"/>
      <c r="AQ1147" s="12"/>
      <c r="AR1147" s="13"/>
      <c r="AS1147" s="14"/>
    </row>
    <row r="1148" spans="1:45" s="16" customFormat="1" ht="30.95" hidden="1" customHeight="1" x14ac:dyDescent="0.2">
      <c r="A1148" s="35"/>
      <c r="B1148" s="36"/>
      <c r="C1148" s="43"/>
      <c r="D1148" s="29">
        <v>3727605</v>
      </c>
      <c r="E1148" s="29">
        <v>4162088</v>
      </c>
      <c r="F1148" s="255" t="str">
        <f>IF(D1148="","",VLOOKUP(D1148,契約台帳!$A$3:$K$4986,6,FALSE)&amp;VLOOKUP(D1148,契約台帳!$A$3:$K$4986,7,FALSE)&amp;VLOOKUP(D1148,契約台帳!$A$3:$K$4986,8,FALSE)&amp;VLOOKUP(D1148,契約台帳!$A$3:$K$4986,9,FALSE)&amp;VLOOKUP(D1148,契約台帳!$A$3:$K$4986,11,FALSE))</f>
        <v>3TNMCLBHLGTV</v>
      </c>
      <c r="G1148" s="256" t="str">
        <f>IF(D1148="","",VLOOKUP(F1148,製品マスタ!$G$5:$H$4999,2,FALSE))</f>
        <v>T</v>
      </c>
      <c r="H1148" s="256" t="str">
        <f>IF(D1148="","",VLOOKUP(F1148,製品マスタ!$G$5:$K$4999,5,FALSE))</f>
        <v>HLGTV</v>
      </c>
      <c r="I1148" s="200" t="str">
        <f>IF(D1148="","",VLOOKUP(F1148,製品マスタ!$G$5:$L$4999,6,FALSE))</f>
        <v>メタルミー　ヘヤライン　銀艶Ｖ</v>
      </c>
      <c r="J1148" s="203" t="s">
        <v>935</v>
      </c>
      <c r="K1148" s="200">
        <f>IF(D1148="","",VLOOKUP(D1148,契約台帳!$A$3:$L$4986,12,FALSE))</f>
        <v>50</v>
      </c>
      <c r="L1148" s="200" t="str">
        <f>IF(D1148="","",INDEX(製品マスタ!$Q$5:$Q$4999,MATCH('S4'!F1148&amp;'S4'!K1148,製品マスタ!$AO$5:$AO$4999,0)))</f>
        <v>BRIGHT</v>
      </c>
      <c r="M1148" s="37">
        <v>1005</v>
      </c>
      <c r="N1148" s="37">
        <v>4100</v>
      </c>
      <c r="O1148" s="153">
        <v>1</v>
      </c>
      <c r="P1148" s="45">
        <v>3</v>
      </c>
      <c r="Q1148" s="206">
        <v>45195</v>
      </c>
      <c r="R1148" s="257">
        <f ca="1">IF(D1148="","",IF(OFFSET(D1148,-1,0)&lt;&gt;"","",IF(OR(J1148="リード付け",J1148="巻足し",J1148="巻返しリード付け"),M1148,VLOOKUP(D1148,契約台帳!$A$3:$N$4986,14,FALSE))))</f>
        <v>1005</v>
      </c>
      <c r="S1148" s="258">
        <f ca="1">IF(D1148="","",IF(OFFSET(D1148,-1,0)&lt;&gt;"","",IF(OR(J1148="リード付け",J1148="巻足し",J1148="巻返しリード付け"),M1148,VLOOKUP(D1148,契約台帳!$A$3:$O$4986,15,FALSE))))</f>
        <v>1005</v>
      </c>
      <c r="T1148" s="258">
        <f ca="1">IF(D1148="","",IF(J1148="リード付け",N1148,IF(J1148="巻返しリード付け",N1148,IF(J1148="巻足し",N1148*P1148+OFFSET(N1148,1,0)*OFFSET(P1148,1,0),VLOOKUP(D1148,契約台帳!$A$3:$P$4986,16,FALSE)))))</f>
        <v>12300</v>
      </c>
      <c r="U1148" s="38">
        <v>1</v>
      </c>
      <c r="V1148" s="259">
        <f ca="1">IF(D1148="","",IF(OFFSET(D1148,-2,0)=D1148,"",VLOOKUP(D1148,契約台帳!$A$3:$R$4986,18,FALSE)))</f>
        <v>2</v>
      </c>
      <c r="W1148" s="256" t="str">
        <f ca="1">IF(D1148="","",IF(T1148="","",IF(OR(J1148="巻足し",J1148="巻返しリード付け"),"",IF(J1148="巻返し",VLOOKUP(F1148&amp;K1148&amp;M1148,製品マスタ!$M$5:$AD$4999,18,FALSE),IF(OR(J1148="リード付け",J1148="巻返しリード付け"),"原反コア",IF(J1148="スリット",VLOOKUP(F1148&amp;K1148&amp;R1148,製品マスタ!$N$5:$AD$4999,17,FALSE),""))))))</f>
        <v/>
      </c>
      <c r="X1148" s="256" t="str">
        <f ca="1">IF(D1148="","",IF(T1148="","",IF(J1148="巻足し","",IF(J1148="巻返し",VLOOKUP(F1148&amp;K1148&amp;M1148,製品マスタ!$M$5:$AE$4999,19,FALSE),IF(OR(J1148="リード付け",J1148="巻返しリード付け"),"",IF(J1148="スリット",VLOOKUP(F1148&amp;K1148&amp;R1148,製品マスタ!$N$5:$AE$4999,18,FALSE),""))))))</f>
        <v/>
      </c>
      <c r="Y1148" s="256">
        <f ca="1">IF(D1148="","",IF(T1148="","",VLOOKUP(D1148,契約台帳!$A$3:$Q$4986,17,FALSE)))</f>
        <v>2</v>
      </c>
      <c r="Z1148" s="256" t="str">
        <f ca="1">IF(D1148="","",IF(T1148="","",VLOOKUP(D1148,契約台帳!$A$3:$E$4986,5,FALSE)))</f>
        <v xml:space="preserve">リンテック㈱        </v>
      </c>
      <c r="AA1148" s="54"/>
      <c r="AB1148" s="200" t="s">
        <v>774</v>
      </c>
      <c r="AC1148" s="31"/>
      <c r="AD1148" s="184"/>
      <c r="AE1148" s="51"/>
      <c r="AF1148" s="52"/>
      <c r="AG1148" s="41"/>
      <c r="AH1148" s="45"/>
      <c r="AI1148" s="28"/>
      <c r="AJ1148" s="28"/>
      <c r="AK1148" s="28"/>
      <c r="AL1148" s="28"/>
      <c r="AM1148" s="12"/>
      <c r="AN1148" s="12"/>
      <c r="AO1148" s="12"/>
      <c r="AP1148" s="12"/>
      <c r="AQ1148" s="12"/>
      <c r="AR1148" s="13"/>
      <c r="AS1148" s="14"/>
    </row>
    <row r="1149" spans="1:45" s="16" customFormat="1" ht="30.95" hidden="1" customHeight="1" x14ac:dyDescent="0.2">
      <c r="A1149" s="35"/>
      <c r="B1149" s="36"/>
      <c r="C1149" s="43"/>
      <c r="D1149" s="29">
        <v>3727606</v>
      </c>
      <c r="E1149" s="29"/>
      <c r="F1149" s="255" t="str">
        <f>IF(D1149="","",VLOOKUP(D1149,契約台帳!$A$3:$K$4986,6,FALSE)&amp;VLOOKUP(D1149,契約台帳!$A$3:$K$4986,7,FALSE)&amp;VLOOKUP(D1149,契約台帳!$A$3:$K$4986,8,FALSE)&amp;VLOOKUP(D1149,契約台帳!$A$3:$K$4986,9,FALSE)&amp;VLOOKUP(D1149,契約台帳!$A$3:$K$4986,11,FALSE))</f>
        <v>3TNMCLBHLGTV</v>
      </c>
      <c r="G1149" s="256" t="str">
        <f>IF(D1149="","",VLOOKUP(F1149,製品マスタ!$G$5:$H$4999,2,FALSE))</f>
        <v>T</v>
      </c>
      <c r="H1149" s="256" t="str">
        <f>IF(D1149="","",VLOOKUP(F1149,製品マスタ!$G$5:$K$4999,5,FALSE))</f>
        <v>HLGTV</v>
      </c>
      <c r="I1149" s="200" t="str">
        <f>IF(D1149="","",VLOOKUP(F1149,製品マスタ!$G$5:$L$4999,6,FALSE))</f>
        <v>メタルミー　ヘヤライン　銀艶Ｖ</v>
      </c>
      <c r="J1149" s="203" t="s">
        <v>935</v>
      </c>
      <c r="K1149" s="200">
        <f>IF(D1149="","",VLOOKUP(D1149,契約台帳!$A$3:$L$4986,12,FALSE))</f>
        <v>50</v>
      </c>
      <c r="L1149" s="200" t="str">
        <f>IF(D1149="","",INDEX(製品マスタ!$Q$5:$Q$4999,MATCH('S4'!F1149&amp;'S4'!K1149,製品マスタ!$AO$5:$AO$4999,0)))</f>
        <v>BRIGHT</v>
      </c>
      <c r="M1149" s="37">
        <v>1005</v>
      </c>
      <c r="N1149" s="37">
        <v>4100</v>
      </c>
      <c r="O1149" s="153">
        <v>2</v>
      </c>
      <c r="P1149" s="45"/>
      <c r="Q1149" s="206">
        <v>45195</v>
      </c>
      <c r="R1149" s="257" t="str">
        <f ca="1">IF(D1149="","",IF(OFFSET(D1149,-1,0)&lt;&gt;"","",IF(OR(J1149="リード付け",J1149="巻足し",J1149="巻返しリード付け"),M1149,VLOOKUP(D1149,契約台帳!$A$3:$N$4986,14,FALSE))))</f>
        <v/>
      </c>
      <c r="S1149" s="258" t="str">
        <f ca="1">IF(D1149="","",IF(OFFSET(D1149,-1,0)&lt;&gt;"","",IF(OR(J1149="リード付け",J1149="巻足し",J1149="巻返しリード付け"),M1149,VLOOKUP(D1149,契約台帳!$A$3:$O$4986,15,FALSE))))</f>
        <v/>
      </c>
      <c r="T1149" s="258">
        <f ca="1">IF(D1149="","",IF(J1149="リード付け",N1149,IF(J1149="巻返しリード付け",N1149,IF(J1149="巻足し",N1149*P1149+OFFSET(N1149,1,0)*OFFSET(P1149,1,0),VLOOKUP(D1149,契約台帳!$A$3:$P$4986,16,FALSE)))))</f>
        <v>0</v>
      </c>
      <c r="U1149" s="38"/>
      <c r="V1149" s="259">
        <f ca="1">IF(D1149="","",IF(OFFSET(D1149,-2,0)=D1149,"",VLOOKUP(D1149,契約台帳!$A$3:$R$4986,18,FALSE)))</f>
        <v>5</v>
      </c>
      <c r="W1149" s="256" t="str">
        <f ca="1">IF(D1149="","",IF(T1149="","",IF(OR(J1149="巻足し",J1149="巻返しリード付け"),"",IF(J1149="巻返し",VLOOKUP(F1149&amp;K1149&amp;M1149,製品マスタ!$M$5:$AD$4999,18,FALSE),IF(OR(J1149="リード付け",J1149="巻返しリード付け"),"原反コア",IF(J1149="スリット",VLOOKUP(F1149&amp;K1149&amp;R1149,製品マスタ!$N$5:$AD$4999,17,FALSE),""))))))</f>
        <v/>
      </c>
      <c r="X1149" s="256" t="str">
        <f ca="1">IF(D1149="","",IF(T1149="","",IF(J1149="巻足し","",IF(J1149="巻返し",VLOOKUP(F1149&amp;K1149&amp;M1149,製品マスタ!$M$5:$AE$4999,19,FALSE),IF(OR(J1149="リード付け",J1149="巻返しリード付け"),"",IF(J1149="スリット",VLOOKUP(F1149&amp;K1149&amp;R1149,製品マスタ!$N$5:$AE$4999,18,FALSE),""))))))</f>
        <v/>
      </c>
      <c r="Y1149" s="256">
        <f ca="1">IF(D1149="","",IF(T1149="","",VLOOKUP(D1149,契約台帳!$A$3:$Q$4986,17,FALSE)))</f>
        <v>2</v>
      </c>
      <c r="Z1149" s="256" t="str">
        <f ca="1">IF(D1149="","",IF(T1149="","",VLOOKUP(D1149,契約台帳!$A$3:$E$4986,5,FALSE)))</f>
        <v xml:space="preserve">リンテック㈱        </v>
      </c>
      <c r="AA1149" s="54"/>
      <c r="AB1149" s="200" t="s">
        <v>774</v>
      </c>
      <c r="AC1149" s="31"/>
      <c r="AD1149" s="184"/>
      <c r="AE1149" s="51"/>
      <c r="AF1149" s="52"/>
      <c r="AG1149" s="41"/>
      <c r="AH1149" s="45"/>
      <c r="AI1149" s="28"/>
      <c r="AJ1149" s="28"/>
      <c r="AK1149" s="28"/>
      <c r="AL1149" s="28"/>
      <c r="AM1149" s="12"/>
      <c r="AN1149" s="12"/>
      <c r="AO1149" s="12"/>
      <c r="AP1149" s="12"/>
      <c r="AQ1149" s="12"/>
      <c r="AR1149" s="13"/>
      <c r="AS1149" s="14"/>
    </row>
    <row r="1150" spans="1:45" s="16" customFormat="1" ht="30.95" hidden="1" customHeight="1" x14ac:dyDescent="0.2">
      <c r="A1150" s="35"/>
      <c r="B1150" s="36"/>
      <c r="C1150" s="43"/>
      <c r="D1150" s="29"/>
      <c r="E1150" s="29"/>
      <c r="F1150" s="255"/>
      <c r="G1150" s="256"/>
      <c r="H1150" s="256"/>
      <c r="I1150" s="200"/>
      <c r="J1150" s="203"/>
      <c r="K1150" s="200"/>
      <c r="L1150" s="200"/>
      <c r="M1150" s="37"/>
      <c r="N1150" s="37"/>
      <c r="O1150" s="153"/>
      <c r="P1150" s="45"/>
      <c r="Q1150" s="54"/>
      <c r="R1150" s="260"/>
      <c r="S1150" s="258"/>
      <c r="T1150" s="258"/>
      <c r="U1150" s="38"/>
      <c r="V1150" s="261"/>
      <c r="W1150" s="256"/>
      <c r="X1150" s="256"/>
      <c r="Y1150" s="256"/>
      <c r="Z1150" s="256"/>
      <c r="AA1150" s="54"/>
      <c r="AB1150" s="200"/>
      <c r="AC1150" s="31"/>
      <c r="AD1150" s="184"/>
      <c r="AE1150" s="51"/>
      <c r="AF1150" s="52"/>
      <c r="AG1150" s="41"/>
      <c r="AH1150" s="45"/>
      <c r="AI1150" s="28"/>
      <c r="AJ1150" s="28"/>
      <c r="AK1150" s="28"/>
      <c r="AL1150" s="28"/>
      <c r="AM1150" s="12"/>
      <c r="AN1150" s="12"/>
      <c r="AO1150" s="12"/>
      <c r="AP1150" s="12"/>
      <c r="AQ1150" s="12"/>
      <c r="AR1150" s="13"/>
      <c r="AS1150" s="14"/>
    </row>
    <row r="1151" spans="1:45" s="16" customFormat="1" ht="30.95" hidden="1" customHeight="1" x14ac:dyDescent="0.2">
      <c r="A1151" s="35" t="s">
        <v>597</v>
      </c>
      <c r="B1151" s="36" t="s">
        <v>445</v>
      </c>
      <c r="C1151" s="43"/>
      <c r="D1151" s="29">
        <v>3728961</v>
      </c>
      <c r="E1151" s="29">
        <v>4162094</v>
      </c>
      <c r="F1151" s="255" t="s">
        <v>1603</v>
      </c>
      <c r="G1151" s="256" t="s">
        <v>1604</v>
      </c>
      <c r="H1151" s="256" t="s">
        <v>212</v>
      </c>
      <c r="I1151" s="200" t="s">
        <v>1606</v>
      </c>
      <c r="J1151" s="203" t="s">
        <v>935</v>
      </c>
      <c r="K1151" s="200">
        <v>75</v>
      </c>
      <c r="L1151" s="200" t="s">
        <v>215</v>
      </c>
      <c r="M1151" s="37">
        <v>1000</v>
      </c>
      <c r="N1151" s="37">
        <v>2000</v>
      </c>
      <c r="O1151" s="153">
        <v>15</v>
      </c>
      <c r="P1151" s="45">
        <v>3</v>
      </c>
      <c r="Q1151" s="206">
        <v>45205</v>
      </c>
      <c r="R1151" s="260">
        <v>1000</v>
      </c>
      <c r="S1151" s="258">
        <v>1000</v>
      </c>
      <c r="T1151" s="258">
        <v>6000</v>
      </c>
      <c r="U1151" s="38">
        <v>5</v>
      </c>
      <c r="V1151" s="261">
        <v>19</v>
      </c>
      <c r="W1151" s="256" t="s">
        <v>928</v>
      </c>
      <c r="X1151" s="256" t="s">
        <v>928</v>
      </c>
      <c r="Y1151" s="256">
        <v>2</v>
      </c>
      <c r="Z1151" s="256" t="s">
        <v>1511</v>
      </c>
      <c r="AA1151" s="54"/>
      <c r="AB1151" s="200" t="s">
        <v>774</v>
      </c>
      <c r="AC1151" s="31"/>
      <c r="AD1151" s="184"/>
      <c r="AE1151" s="51"/>
      <c r="AF1151" s="52"/>
      <c r="AG1151" s="41"/>
      <c r="AH1151" s="45"/>
      <c r="AI1151" s="28"/>
      <c r="AJ1151" s="28"/>
      <c r="AK1151" s="28"/>
      <c r="AL1151" s="28"/>
      <c r="AM1151" s="12"/>
      <c r="AN1151" s="12"/>
      <c r="AO1151" s="12"/>
      <c r="AP1151" s="12"/>
      <c r="AQ1151" s="12"/>
      <c r="AR1151" s="13"/>
      <c r="AS1151" s="14"/>
    </row>
    <row r="1152" spans="1:45" s="16" customFormat="1" ht="30.95" hidden="1" customHeight="1" x14ac:dyDescent="0.2">
      <c r="A1152" s="35"/>
      <c r="B1152" s="36"/>
      <c r="C1152" s="43"/>
      <c r="D1152" s="29"/>
      <c r="E1152" s="29"/>
      <c r="F1152" s="255"/>
      <c r="G1152" s="256"/>
      <c r="H1152" s="256"/>
      <c r="I1152" s="200"/>
      <c r="J1152" s="203"/>
      <c r="K1152" s="200"/>
      <c r="L1152" s="200"/>
      <c r="M1152" s="37"/>
      <c r="N1152" s="37"/>
      <c r="O1152" s="153"/>
      <c r="P1152" s="45"/>
      <c r="Q1152" s="54"/>
      <c r="R1152" s="260"/>
      <c r="S1152" s="258"/>
      <c r="T1152" s="258"/>
      <c r="U1152" s="38"/>
      <c r="V1152" s="261"/>
      <c r="W1152" s="256"/>
      <c r="X1152" s="256"/>
      <c r="Y1152" s="256"/>
      <c r="Z1152" s="256"/>
      <c r="AA1152" s="54"/>
      <c r="AB1152" s="200"/>
      <c r="AC1152" s="31"/>
      <c r="AD1152" s="184"/>
      <c r="AE1152" s="51"/>
      <c r="AF1152" s="52"/>
      <c r="AG1152" s="41"/>
      <c r="AH1152" s="45"/>
      <c r="AI1152" s="28"/>
      <c r="AJ1152" s="28"/>
      <c r="AK1152" s="28"/>
      <c r="AL1152" s="28"/>
      <c r="AM1152" s="12"/>
      <c r="AN1152" s="12"/>
      <c r="AO1152" s="12"/>
      <c r="AP1152" s="12"/>
      <c r="AQ1152" s="12"/>
      <c r="AR1152" s="13"/>
      <c r="AS1152" s="14"/>
    </row>
    <row r="1153" spans="1:45" s="16" customFormat="1" ht="30.95" hidden="1" customHeight="1" x14ac:dyDescent="0.2">
      <c r="A1153" s="35"/>
      <c r="B1153" s="36"/>
      <c r="C1153" s="43"/>
      <c r="D1153" s="29">
        <v>3728961</v>
      </c>
      <c r="E1153" s="29">
        <v>4162094</v>
      </c>
      <c r="F1153" s="255" t="s">
        <v>1603</v>
      </c>
      <c r="G1153" s="256" t="s">
        <v>1604</v>
      </c>
      <c r="H1153" s="256" t="s">
        <v>212</v>
      </c>
      <c r="I1153" s="200" t="s">
        <v>1606</v>
      </c>
      <c r="J1153" s="203" t="s">
        <v>935</v>
      </c>
      <c r="K1153" s="200">
        <v>75</v>
      </c>
      <c r="L1153" s="200" t="s">
        <v>215</v>
      </c>
      <c r="M1153" s="37">
        <v>1000</v>
      </c>
      <c r="N1153" s="37">
        <v>2000</v>
      </c>
      <c r="O1153" s="153">
        <v>4</v>
      </c>
      <c r="P1153" s="45">
        <v>2</v>
      </c>
      <c r="Q1153" s="206">
        <v>45205</v>
      </c>
      <c r="R1153" s="260">
        <v>1000</v>
      </c>
      <c r="S1153" s="258">
        <v>1000</v>
      </c>
      <c r="T1153" s="258">
        <v>4000</v>
      </c>
      <c r="U1153" s="38">
        <v>2</v>
      </c>
      <c r="V1153" s="261">
        <v>19</v>
      </c>
      <c r="W1153" s="256" t="s">
        <v>928</v>
      </c>
      <c r="X1153" s="256" t="s">
        <v>928</v>
      </c>
      <c r="Y1153" s="256">
        <v>2</v>
      </c>
      <c r="Z1153" s="256" t="s">
        <v>1511</v>
      </c>
      <c r="AA1153" s="54"/>
      <c r="AB1153" s="200" t="s">
        <v>774</v>
      </c>
      <c r="AC1153" s="31"/>
      <c r="AD1153" s="184"/>
      <c r="AE1153" s="51"/>
      <c r="AF1153" s="52"/>
      <c r="AG1153" s="41"/>
      <c r="AH1153" s="45"/>
      <c r="AI1153" s="28"/>
      <c r="AJ1153" s="28"/>
      <c r="AK1153" s="28"/>
      <c r="AL1153" s="28"/>
      <c r="AM1153" s="12"/>
      <c r="AN1153" s="12"/>
      <c r="AO1153" s="12"/>
      <c r="AP1153" s="12"/>
      <c r="AQ1153" s="12"/>
      <c r="AR1153" s="13"/>
      <c r="AS1153" s="14"/>
    </row>
    <row r="1154" spans="1:45" s="16" customFormat="1" ht="30.95" hidden="1" customHeight="1" x14ac:dyDescent="0.2">
      <c r="A1154" s="35"/>
      <c r="B1154" s="36"/>
      <c r="C1154" s="43"/>
      <c r="D1154" s="29"/>
      <c r="E1154" s="29"/>
      <c r="F1154" s="255"/>
      <c r="G1154" s="256"/>
      <c r="H1154" s="256"/>
      <c r="I1154" s="200"/>
      <c r="J1154" s="203"/>
      <c r="K1154" s="200"/>
      <c r="L1154" s="200"/>
      <c r="M1154" s="37"/>
      <c r="N1154" s="37"/>
      <c r="O1154" s="153"/>
      <c r="P1154" s="45"/>
      <c r="Q1154" s="54"/>
      <c r="R1154" s="260"/>
      <c r="S1154" s="258"/>
      <c r="T1154" s="258"/>
      <c r="U1154" s="38"/>
      <c r="V1154" s="261"/>
      <c r="W1154" s="256"/>
      <c r="X1154" s="256"/>
      <c r="Y1154" s="256"/>
      <c r="Z1154" s="256"/>
      <c r="AA1154" s="54"/>
      <c r="AB1154" s="200"/>
      <c r="AC1154" s="31"/>
      <c r="AD1154" s="184"/>
      <c r="AE1154" s="51"/>
      <c r="AF1154" s="52"/>
      <c r="AG1154" s="41"/>
      <c r="AH1154" s="45"/>
      <c r="AI1154" s="28"/>
      <c r="AJ1154" s="28"/>
      <c r="AK1154" s="28"/>
      <c r="AL1154" s="28"/>
      <c r="AM1154" s="12"/>
      <c r="AN1154" s="12"/>
      <c r="AO1154" s="12"/>
      <c r="AP1154" s="12"/>
      <c r="AQ1154" s="12"/>
      <c r="AR1154" s="13"/>
      <c r="AS1154" s="14"/>
    </row>
    <row r="1155" spans="1:45" s="16" customFormat="1" ht="30.95" hidden="1" customHeight="1" x14ac:dyDescent="0.2">
      <c r="A1155" s="35" t="s">
        <v>598</v>
      </c>
      <c r="B1155" s="36" t="s">
        <v>446</v>
      </c>
      <c r="C1155" s="43"/>
      <c r="D1155" s="29"/>
      <c r="E1155" s="29"/>
      <c r="F1155" s="255"/>
      <c r="G1155" s="256"/>
      <c r="H1155" s="256"/>
      <c r="I1155" s="200"/>
      <c r="J1155" s="203" t="s">
        <v>448</v>
      </c>
      <c r="K1155" s="200"/>
      <c r="L1155" s="200"/>
      <c r="M1155" s="37"/>
      <c r="N1155" s="37"/>
      <c r="O1155" s="153"/>
      <c r="P1155" s="45"/>
      <c r="Q1155" s="54"/>
      <c r="R1155" s="260"/>
      <c r="S1155" s="258"/>
      <c r="T1155" s="258"/>
      <c r="U1155" s="38"/>
      <c r="V1155" s="261"/>
      <c r="W1155" s="256"/>
      <c r="X1155" s="256"/>
      <c r="Y1155" s="256"/>
      <c r="Z1155" s="256"/>
      <c r="AA1155" s="54"/>
      <c r="AB1155" s="200"/>
      <c r="AC1155" s="31"/>
      <c r="AD1155" s="184"/>
      <c r="AE1155" s="51"/>
      <c r="AF1155" s="52"/>
      <c r="AG1155" s="41"/>
      <c r="AH1155" s="45"/>
      <c r="AI1155" s="28"/>
      <c r="AJ1155" s="28"/>
      <c r="AK1155" s="28"/>
      <c r="AL1155" s="28"/>
      <c r="AM1155" s="12"/>
      <c r="AN1155" s="12"/>
      <c r="AO1155" s="12"/>
      <c r="AP1155" s="12"/>
      <c r="AQ1155" s="12"/>
      <c r="AR1155" s="13"/>
      <c r="AS1155" s="14"/>
    </row>
    <row r="1156" spans="1:45" s="16" customFormat="1" ht="30.95" hidden="1" customHeight="1" x14ac:dyDescent="0.2">
      <c r="A1156" s="35"/>
      <c r="B1156" s="36"/>
      <c r="C1156" s="43"/>
      <c r="D1156" s="29"/>
      <c r="E1156" s="29"/>
      <c r="F1156" s="255"/>
      <c r="G1156" s="256"/>
      <c r="H1156" s="256"/>
      <c r="I1156" s="200"/>
      <c r="J1156" s="203"/>
      <c r="K1156" s="200"/>
      <c r="L1156" s="200"/>
      <c r="M1156" s="37"/>
      <c r="N1156" s="37"/>
      <c r="O1156" s="153"/>
      <c r="P1156" s="45"/>
      <c r="Q1156" s="54"/>
      <c r="R1156" s="260"/>
      <c r="S1156" s="258"/>
      <c r="T1156" s="258"/>
      <c r="U1156" s="38"/>
      <c r="V1156" s="261"/>
      <c r="W1156" s="256"/>
      <c r="X1156" s="256"/>
      <c r="Y1156" s="256"/>
      <c r="Z1156" s="256"/>
      <c r="AA1156" s="54"/>
      <c r="AB1156" s="200"/>
      <c r="AC1156" s="31"/>
      <c r="AD1156" s="184"/>
      <c r="AE1156" s="51"/>
      <c r="AF1156" s="52"/>
      <c r="AG1156" s="41"/>
      <c r="AH1156" s="45"/>
      <c r="AI1156" s="28"/>
      <c r="AJ1156" s="28"/>
      <c r="AK1156" s="28"/>
      <c r="AL1156" s="28"/>
      <c r="AM1156" s="12"/>
      <c r="AN1156" s="12"/>
      <c r="AO1156" s="12"/>
      <c r="AP1156" s="12"/>
      <c r="AQ1156" s="12"/>
      <c r="AR1156" s="13"/>
      <c r="AS1156" s="14"/>
    </row>
    <row r="1157" spans="1:45" s="16" customFormat="1" ht="30.6" hidden="1" customHeight="1" x14ac:dyDescent="0.2">
      <c r="A1157" s="35" t="s">
        <v>1659</v>
      </c>
      <c r="B1157" s="36" t="s">
        <v>1660</v>
      </c>
      <c r="C1157" s="43"/>
      <c r="D1157" s="29">
        <v>3727591</v>
      </c>
      <c r="E1157" s="29">
        <v>4141023</v>
      </c>
      <c r="F1157" s="255" t="str">
        <f>IF(D1157="","",VLOOKUP(D1157,契約台帳!$A$3:$K$4986,6,FALSE)&amp;VLOOKUP(D1157,契約台帳!$A$3:$K$4986,7,FALSE)&amp;VLOOKUP(D1157,契約台帳!$A$3:$K$4986,8,FALSE)&amp;VLOOKUP(D1157,契約台帳!$A$3:$K$4986,9,FALSE)&amp;VLOOKUP(D1157,契約台帳!$A$3:$K$4986,11,FALSE))</f>
        <v>3SNMCLBWCB</v>
      </c>
      <c r="G1157" s="256" t="str">
        <f>IF(D1157="","",VLOOKUP(F1157,製品マスタ!$G$5:$H$4999,2,FALSE))</f>
        <v>S</v>
      </c>
      <c r="H1157" s="256" t="str">
        <f>IF(D1157="","",VLOOKUP(F1157,製品マスタ!$G$5:$K$4999,5,FALSE))</f>
        <v>WCB</v>
      </c>
      <c r="I1157" s="200" t="str">
        <f>IF(D1157="","",VLOOKUP(F1157,製品マスタ!$G$5:$L$4999,6,FALSE))</f>
        <v>メタルミー　ホワイトコート　（Ｂ）</v>
      </c>
      <c r="J1157" s="203" t="s">
        <v>463</v>
      </c>
      <c r="K1157" s="200">
        <f>IF(D1157="","",VLOOKUP(D1157,契約台帳!$A$3:$L$4986,12,FALSE))</f>
        <v>50</v>
      </c>
      <c r="L1157" s="200" t="str">
        <f>IF(D1157="","",INDEX(製品マスタ!$Q$5:$Q$4999,MATCH('S4'!F1157&amp;'S4'!K1157,製品マスタ!$AO$5:$AO$4999,0)))</f>
        <v>T62M</v>
      </c>
      <c r="M1157" s="37">
        <v>1195</v>
      </c>
      <c r="N1157" s="37">
        <v>12200</v>
      </c>
      <c r="O1157" s="153">
        <v>1</v>
      </c>
      <c r="P1157" s="45">
        <v>1</v>
      </c>
      <c r="Q1157" s="54"/>
      <c r="R1157" s="257">
        <f ca="1">IF(D1157="","",IF(OFFSET(D1157,-1,0)&lt;&gt;"","",IF(OR(J1157="リード付け",J1157="巻足し",J1157="巻返しリード付け"),M1157,VLOOKUP(D1157,契約台帳!$A$3:$N$4986,14,FALSE))))</f>
        <v>1120</v>
      </c>
      <c r="S1157" s="258">
        <f ca="1">IF(D1157="","",IF(OFFSET(D1157,-1,0)&lt;&gt;"","",IF(OR(J1157="リード付け",J1157="巻足し",J1157="巻返しリード付け"),M1157,VLOOKUP(D1157,契約台帳!$A$3:$O$4986,15,FALSE))))</f>
        <v>1120</v>
      </c>
      <c r="T1157" s="258">
        <v>6000</v>
      </c>
      <c r="U1157" s="38">
        <v>2</v>
      </c>
      <c r="V1157" s="259">
        <f ca="1">IF(D1157="","",IF(OFFSET(D1157,-2,0)=D1157,"",VLOOKUP(D1157,契約台帳!$A$3:$R$4986,18,FALSE)))</f>
        <v>3</v>
      </c>
      <c r="W1157" s="256" t="str">
        <f ca="1">IF(D1157="","",IF(T1157="","",IF(OR(J1157="巻足し",J1157="巻返しリード付け"),"",IF(J1157="巻返し",VLOOKUP(F1157&amp;K1157&amp;M1157,製品マスタ!$M$5:$AD$4999,18,FALSE),IF(OR(J1157="リード付け",J1157="巻返しリード付け"),"原反コア",IF(J1157="スリット",VLOOKUP(F1157&amp;K1157&amp;R1157,製品マスタ!$N$5:$AD$4999,17,FALSE),""))))))</f>
        <v>6ｲﾝﾁSｺｱ</v>
      </c>
      <c r="X1157" s="256">
        <f ca="1">IF(D1157="","",IF(T1157="","",IF(J1157="巻足し","",IF(J1157="巻返し",VLOOKUP(F1157&amp;K1157&amp;M1157,製品マスタ!$M$5:$AE$4999,19,FALSE),IF(OR(J1157="リード付け",J1157="巻返しリード付け"),"",IF(J1157="スリット",VLOOKUP(F1157&amp;K1157&amp;R1157,製品マスタ!$N$5:$AE$4999,18,FALSE),""))))))</f>
        <v>1140</v>
      </c>
      <c r="Y1157" s="256">
        <f>IF(D1157="","",IF(T1157="","",VLOOKUP(D1157,契約台帳!$A$3:$Q$4986,17,FALSE)))</f>
        <v>2</v>
      </c>
      <c r="Z1157" s="256" t="str">
        <f>IF(D1157="","",IF(T1157="","",VLOOKUP(D1157,契約台帳!$A$3:$E$4986,5,FALSE)))</f>
        <v xml:space="preserve">新タック化成㈱      </v>
      </c>
      <c r="AA1157" s="54"/>
      <c r="AB1157" s="200"/>
      <c r="AC1157" s="31"/>
      <c r="AD1157" s="184"/>
      <c r="AE1157" s="51"/>
      <c r="AF1157" s="52"/>
      <c r="AG1157" s="41"/>
      <c r="AH1157" s="45"/>
      <c r="AI1157" s="28"/>
      <c r="AJ1157" s="28"/>
      <c r="AK1157" s="28"/>
      <c r="AL1157" s="28"/>
      <c r="AM1157" s="12"/>
      <c r="AN1157" s="12"/>
      <c r="AO1157" s="12"/>
      <c r="AP1157" s="12"/>
      <c r="AQ1157" s="12"/>
      <c r="AR1157" s="13"/>
      <c r="AS1157" s="14"/>
    </row>
    <row r="1158" spans="1:45" s="16" customFormat="1" ht="30.95" hidden="1" customHeight="1" x14ac:dyDescent="0.2">
      <c r="A1158" s="35"/>
      <c r="B1158" s="36"/>
      <c r="C1158" s="43"/>
      <c r="D1158" s="29"/>
      <c r="E1158" s="29"/>
      <c r="F1158" s="255"/>
      <c r="G1158" s="256"/>
      <c r="H1158" s="256"/>
      <c r="I1158" s="200"/>
      <c r="J1158" s="203"/>
      <c r="K1158" s="200"/>
      <c r="L1158" s="200"/>
      <c r="M1158" s="37"/>
      <c r="N1158" s="37"/>
      <c r="O1158" s="153"/>
      <c r="P1158" s="45"/>
      <c r="Q1158" s="54"/>
      <c r="R1158" s="260"/>
      <c r="S1158" s="258"/>
      <c r="T1158" s="258"/>
      <c r="U1158" s="38"/>
      <c r="V1158" s="261"/>
      <c r="W1158" s="256"/>
      <c r="X1158" s="256"/>
      <c r="Y1158" s="256"/>
      <c r="Z1158" s="256"/>
      <c r="AA1158" s="54"/>
      <c r="AB1158" s="200"/>
      <c r="AC1158" s="31"/>
      <c r="AD1158" s="184"/>
      <c r="AE1158" s="51"/>
      <c r="AF1158" s="52"/>
      <c r="AG1158" s="41"/>
      <c r="AH1158" s="45"/>
      <c r="AI1158" s="28"/>
      <c r="AJ1158" s="28"/>
      <c r="AK1158" s="28"/>
      <c r="AL1158" s="28"/>
      <c r="AM1158" s="12"/>
      <c r="AN1158" s="12"/>
      <c r="AO1158" s="12"/>
      <c r="AP1158" s="12"/>
      <c r="AQ1158" s="12"/>
      <c r="AR1158" s="13"/>
      <c r="AS1158" s="14"/>
    </row>
    <row r="1159" spans="1:45" s="16" customFormat="1" ht="30.75" hidden="1" customHeight="1" x14ac:dyDescent="0.2">
      <c r="A1159" s="35"/>
      <c r="B1159" s="36"/>
      <c r="C1159" s="43"/>
      <c r="D1159" s="29">
        <v>3727591</v>
      </c>
      <c r="E1159" s="29">
        <v>4141023</v>
      </c>
      <c r="F1159" s="255" t="str">
        <f>IF(D1159="","",VLOOKUP(D1159,契約台帳!$A$3:$K$4986,6,FALSE)&amp;VLOOKUP(D1159,契約台帳!$A$3:$K$4986,7,FALSE)&amp;VLOOKUP(D1159,契約台帳!$A$3:$K$4986,8,FALSE)&amp;VLOOKUP(D1159,契約台帳!$A$3:$K$4986,9,FALSE)&amp;VLOOKUP(D1159,契約台帳!$A$3:$K$4986,11,FALSE))</f>
        <v>3SNMCLBWCB</v>
      </c>
      <c r="G1159" s="256" t="str">
        <f>IF(D1159="","",VLOOKUP(F1159,製品マスタ!$G$5:$H$4999,2,FALSE))</f>
        <v>S</v>
      </c>
      <c r="H1159" s="256" t="str">
        <f>IF(D1159="","",VLOOKUP(F1159,製品マスタ!$G$5:$K$4999,5,FALSE))</f>
        <v>WCB</v>
      </c>
      <c r="I1159" s="200" t="str">
        <f>IF(D1159="","",VLOOKUP(F1159,製品マスタ!$G$5:$L$4999,6,FALSE))</f>
        <v>メタルミー　ホワイトコート　（Ｂ）</v>
      </c>
      <c r="J1159" s="203" t="s">
        <v>463</v>
      </c>
      <c r="K1159" s="200">
        <f>IF(D1159="","",VLOOKUP(D1159,契約台帳!$A$3:$L$4986,12,FALSE))</f>
        <v>50</v>
      </c>
      <c r="L1159" s="200" t="str">
        <f>IF(D1159="","",INDEX(製品マスタ!$Q$5:$Q$4999,MATCH('S4'!F1159&amp;'S4'!K1159,製品マスタ!$AO$5:$AO$4999,0)))</f>
        <v>T62M</v>
      </c>
      <c r="M1159" s="37">
        <v>1195</v>
      </c>
      <c r="N1159" s="37">
        <v>6100</v>
      </c>
      <c r="O1159" s="153">
        <v>1</v>
      </c>
      <c r="P1159" s="45">
        <v>1</v>
      </c>
      <c r="Q1159" s="54"/>
      <c r="R1159" s="257">
        <f ca="1">IF(D1159="","",IF(OFFSET(D1159,-1,0)&lt;&gt;"","",IF(OR(J1159="リード付け",J1159="巻足し",J1159="巻返しリード付け"),M1159,VLOOKUP(D1159,契約台帳!$A$3:$N$4986,14,FALSE))))</f>
        <v>1120</v>
      </c>
      <c r="S1159" s="258">
        <f ca="1">IF(D1159="","",IF(OFFSET(D1159,-1,0)&lt;&gt;"","",IF(OR(J1159="リード付け",J1159="巻足し",J1159="巻返しリード付け"),M1159,VLOOKUP(D1159,契約台帳!$A$3:$O$4986,15,FALSE))))</f>
        <v>1120</v>
      </c>
      <c r="T1159" s="258">
        <v>6000</v>
      </c>
      <c r="U1159" s="38">
        <v>1</v>
      </c>
      <c r="V1159" s="259" t="str">
        <f ca="1">IF(D1159="","",IF(OFFSET(D1159,-2,0)=D1159,"",VLOOKUP(D1159,契約台帳!$A$3:$R$4986,18,FALSE)))</f>
        <v/>
      </c>
      <c r="W1159" s="256" t="str">
        <f ca="1">IF(D1159="","",IF(T1159="","",IF(OR(J1159="巻足し",J1159="巻返しリード付け"),"",IF(J1159="巻返し",VLOOKUP(F1159&amp;K1159&amp;M1159,製品マスタ!$M$5:$AD$4999,18,FALSE),IF(OR(J1159="リード付け",J1159="巻返しリード付け"),"原反コア",IF(J1159="スリット",VLOOKUP(F1159&amp;K1159&amp;R1159,製品マスタ!$N$5:$AD$4999,17,FALSE),""))))))</f>
        <v>6ｲﾝﾁSｺｱ</v>
      </c>
      <c r="X1159" s="256">
        <f ca="1">IF(D1159="","",IF(T1159="","",IF(J1159="巻足し","",IF(J1159="巻返し",VLOOKUP(F1159&amp;K1159&amp;M1159,製品マスタ!$M$5:$AE$4999,19,FALSE),IF(OR(J1159="リード付け",J1159="巻返しリード付け"),"",IF(J1159="スリット",VLOOKUP(F1159&amp;K1159&amp;R1159,製品マスタ!$N$5:$AE$4999,18,FALSE),""))))))</f>
        <v>1140</v>
      </c>
      <c r="Y1159" s="256">
        <f>IF(D1159="","",IF(T1159="","",VLOOKUP(D1159,契約台帳!$A$3:$Q$4986,17,FALSE)))</f>
        <v>2</v>
      </c>
      <c r="Z1159" s="256" t="str">
        <f>IF(D1159="","",IF(T1159="","",VLOOKUP(D1159,契約台帳!$A$3:$E$4986,5,FALSE)))</f>
        <v xml:space="preserve">新タック化成㈱      </v>
      </c>
      <c r="AA1159" s="54"/>
      <c r="AB1159" s="200" t="str">
        <f>IFERROR((VLOOKUP(F1159&amp;K1159&amp;M1159,製品マスタ!$M$5:$AM$4999,27,FALSE)),"")</f>
        <v/>
      </c>
      <c r="AC1159" s="31"/>
      <c r="AD1159" s="184"/>
      <c r="AE1159" s="51"/>
      <c r="AF1159" s="52"/>
      <c r="AG1159" s="41"/>
      <c r="AH1159" s="45"/>
      <c r="AI1159" s="28"/>
      <c r="AJ1159" s="28"/>
      <c r="AK1159" s="28"/>
      <c r="AL1159" s="28"/>
      <c r="AM1159" s="12"/>
      <c r="AN1159" s="12"/>
      <c r="AO1159" s="12"/>
      <c r="AP1159" s="12"/>
      <c r="AQ1159" s="12"/>
      <c r="AR1159" s="13"/>
      <c r="AS1159" s="14"/>
    </row>
    <row r="1160" spans="1:45" s="16" customFormat="1" ht="30.95" hidden="1" customHeight="1" x14ac:dyDescent="0.2">
      <c r="A1160" s="35"/>
      <c r="B1160" s="36"/>
      <c r="C1160" s="43"/>
      <c r="D1160" s="29"/>
      <c r="E1160" s="29"/>
      <c r="F1160" s="255"/>
      <c r="G1160" s="256"/>
      <c r="H1160" s="256"/>
      <c r="I1160" s="200"/>
      <c r="J1160" s="203"/>
      <c r="K1160" s="200"/>
      <c r="L1160" s="200"/>
      <c r="M1160" s="37"/>
      <c r="N1160" s="37"/>
      <c r="O1160" s="153"/>
      <c r="P1160" s="45"/>
      <c r="Q1160" s="54"/>
      <c r="R1160" s="260"/>
      <c r="S1160" s="258"/>
      <c r="T1160" s="258"/>
      <c r="U1160" s="38"/>
      <c r="V1160" s="261"/>
      <c r="W1160" s="256"/>
      <c r="X1160" s="256"/>
      <c r="Y1160" s="256"/>
      <c r="Z1160" s="256"/>
      <c r="AA1160" s="54"/>
      <c r="AB1160" s="200"/>
      <c r="AC1160" s="31"/>
      <c r="AD1160" s="184"/>
      <c r="AE1160" s="51"/>
      <c r="AF1160" s="52"/>
      <c r="AG1160" s="41"/>
      <c r="AH1160" s="45"/>
      <c r="AI1160" s="28"/>
      <c r="AJ1160" s="28"/>
      <c r="AK1160" s="28"/>
      <c r="AL1160" s="28"/>
      <c r="AM1160" s="12"/>
      <c r="AN1160" s="12"/>
      <c r="AO1160" s="12"/>
      <c r="AP1160" s="12"/>
      <c r="AQ1160" s="12"/>
      <c r="AR1160" s="13"/>
      <c r="AS1160" s="14"/>
    </row>
    <row r="1161" spans="1:45" s="16" customFormat="1" ht="30.75" hidden="1" customHeight="1" x14ac:dyDescent="0.2">
      <c r="A1161" s="35" t="s">
        <v>600</v>
      </c>
      <c r="B1161" s="36" t="s">
        <v>688</v>
      </c>
      <c r="C1161" s="43"/>
      <c r="D1161" s="29">
        <v>3727601</v>
      </c>
      <c r="E1161" s="29">
        <v>4141027</v>
      </c>
      <c r="F1161" s="255" t="str">
        <f>IF(D1161="","",VLOOKUP(D1161,契約台帳!$A$3:$K$4986,6,FALSE)&amp;VLOOKUP(D1161,契約台帳!$A$3:$K$4986,7,FALSE)&amp;VLOOKUP(D1161,契約台帳!$A$3:$K$4986,8,FALSE)&amp;VLOOKUP(D1161,契約台帳!$A$3:$K$4986,9,FALSE)&amp;VLOOKUP(D1161,契約台帳!$A$3:$K$4986,11,FALSE))</f>
        <v>3SNMLBMNNGKBF</v>
      </c>
      <c r="G1161" s="256" t="str">
        <f>IF(D1161="","",VLOOKUP(F1161,製品マスタ!$G$5:$H$4999,2,FALSE))</f>
        <v>S</v>
      </c>
      <c r="H1161" s="256" t="str">
        <f>IF(D1161="","",VLOOKUP(F1161,製品マスタ!$G$5:$K$4999,5,FALSE))</f>
        <v>MNNGKBF</v>
      </c>
      <c r="I1161" s="200" t="str">
        <f>IF(D1161="","",VLOOKUP(F1161,製品マスタ!$G$5:$L$4999,6,FALSE))</f>
        <v>メタルミー　ニューネーマー銀消　Ｂ</v>
      </c>
      <c r="J1161" s="203" t="s">
        <v>447</v>
      </c>
      <c r="K1161" s="200">
        <f>IF(D1161="","",VLOOKUP(D1161,契約台帳!$A$3:$L$4986,12,FALSE))</f>
        <v>50</v>
      </c>
      <c r="L1161" s="200" t="str">
        <f>IF(D1161="","",INDEX(製品マスタ!$Q$5:$Q$4999,MATCH('S4'!F1161&amp;'S4'!K1161,製品マスタ!$AO$5:$AO$4999,0)))</f>
        <v>X44</v>
      </c>
      <c r="M1161" s="37">
        <v>1000</v>
      </c>
      <c r="N1161" s="37">
        <v>12000</v>
      </c>
      <c r="O1161" s="153">
        <v>5</v>
      </c>
      <c r="P1161" s="45">
        <v>5</v>
      </c>
      <c r="Q1161" s="54"/>
      <c r="R1161" s="257">
        <f ca="1">IF(D1161="","",IF(OFFSET(D1161,-1,0)&lt;&gt;"","",IF(OR(J1161="リード付け",J1161="巻足し",J1161="巻返しリード付け"),M1161,VLOOKUP(D1161,契約台帳!$A$3:$N$4986,14,FALSE))))</f>
        <v>1000</v>
      </c>
      <c r="S1161" s="258">
        <f ca="1">IF(D1161="","",IF(OFFSET(D1161,-1,0)&lt;&gt;"","",IF(OR(J1161="リード付け",J1161="巻足し",J1161="巻返しリード付け"),M1161,VLOOKUP(D1161,契約台帳!$A$3:$O$4986,15,FALSE))))</f>
        <v>1000</v>
      </c>
      <c r="T1161" s="258">
        <f ca="1">IF(D1161="","",IF(J1161="リード付け",N1161,IF(J1161="巻返しリード付け",N1161,IF(J1161="巻足し",N1161*P1161+OFFSET(N1161,1,0)*OFFSET(P1161,1,0),VLOOKUP(D1161,契約台帳!$A$3:$P$4986,16,FALSE)))))</f>
        <v>4000</v>
      </c>
      <c r="U1161" s="38">
        <v>15</v>
      </c>
      <c r="V1161" s="259">
        <f ca="1">IF(D1161="","",IF(OFFSET(D1161,-2,0)=D1161,"",VLOOKUP(D1161,契約台帳!$A$3:$R$4986,18,FALSE)))</f>
        <v>15</v>
      </c>
      <c r="W1161" s="256" t="str">
        <f ca="1">IF(D1161="","",IF(T1161="","",IF(OR(J1161="巻足し",J1161="巻返しリード付け"),"",IF(J1161="巻返し",VLOOKUP(F1161&amp;K1161&amp;M1161,製品マスタ!$M$5:$AD$4999,18,FALSE),IF(OR(J1161="リード付け",J1161="巻返しリード付け"),"原反コア",IF(J1161="スリット",VLOOKUP(F1161&amp;K1161&amp;R1161,製品マスタ!$N$5:$AD$4999,17,FALSE),""))))))</f>
        <v>6ｲﾝﾁSｺｱ</v>
      </c>
      <c r="X1161" s="256">
        <f ca="1">IF(D1161="","",IF(T1161="","",IF(J1161="巻足し","",IF(J1161="巻返し",VLOOKUP(F1161&amp;K1161&amp;M1161,製品マスタ!$M$5:$AE$4999,19,FALSE),IF(OR(J1161="リード付け",J1161="巻返しリード付け"),"",IF(J1161="スリット",VLOOKUP(F1161&amp;K1161&amp;R1161,製品マスタ!$N$5:$AE$4999,18,FALSE),""))))))</f>
        <v>1005</v>
      </c>
      <c r="Y1161" s="256">
        <f ca="1">IF(D1161="","",IF(T1161="","",VLOOKUP(D1161,契約台帳!$A$3:$Q$4986,17,FALSE)))</f>
        <v>2</v>
      </c>
      <c r="Z1161" s="256" t="str">
        <f ca="1">IF(D1161="","",IF(T1161="","",VLOOKUP(D1161,契約台帳!$A$3:$E$4986,5,FALSE)))</f>
        <v xml:space="preserve">リンテック㈱        </v>
      </c>
      <c r="AA1161" s="54"/>
      <c r="AB1161" s="200"/>
      <c r="AC1161" s="31"/>
      <c r="AD1161" s="184"/>
      <c r="AE1161" s="51" t="str">
        <f>IF(F1161="","",+F1161&amp;K1161)</f>
        <v>3SNMLBMNNGKBF50</v>
      </c>
      <c r="AF1161" s="52">
        <f>+M1161*N1161*O1161/1000</f>
        <v>60000</v>
      </c>
      <c r="AG1161" s="41">
        <f>IF(AE1161="","",VLOOKUP(AE1161,原価マスタ!$A$2:$AJ$1693,13,FALSE))</f>
        <v>99</v>
      </c>
      <c r="AH1161" s="45">
        <f>IF(AG1161="","",+AF1161*AG1161/100)</f>
        <v>59400</v>
      </c>
      <c r="AI1161" s="28"/>
      <c r="AJ1161" s="28"/>
      <c r="AK1161" s="28"/>
      <c r="AL1161" s="28"/>
      <c r="AM1161" s="12"/>
      <c r="AN1161" s="12"/>
      <c r="AO1161" s="12"/>
      <c r="AP1161" s="12"/>
      <c r="AQ1161" s="12"/>
      <c r="AR1161" s="13"/>
      <c r="AS1161" s="14"/>
    </row>
    <row r="1162" spans="1:45" s="16" customFormat="1" ht="30.95" hidden="1" customHeight="1" x14ac:dyDescent="0.2">
      <c r="A1162" s="35"/>
      <c r="B1162" s="36"/>
      <c r="C1162" s="43"/>
      <c r="D1162" s="29"/>
      <c r="E1162" s="29"/>
      <c r="F1162" s="255"/>
      <c r="G1162" s="256"/>
      <c r="H1162" s="256"/>
      <c r="I1162" s="200"/>
      <c r="J1162" s="203"/>
      <c r="K1162" s="200"/>
      <c r="L1162" s="200"/>
      <c r="M1162" s="37"/>
      <c r="N1162" s="37"/>
      <c r="O1162" s="153"/>
      <c r="P1162" s="45"/>
      <c r="Q1162" s="54"/>
      <c r="R1162" s="260"/>
      <c r="S1162" s="258"/>
      <c r="T1162" s="258"/>
      <c r="U1162" s="38"/>
      <c r="V1162" s="261"/>
      <c r="W1162" s="256"/>
      <c r="X1162" s="256"/>
      <c r="Y1162" s="256"/>
      <c r="Z1162" s="256"/>
      <c r="AA1162" s="54"/>
      <c r="AB1162" s="200"/>
      <c r="AC1162" s="31"/>
      <c r="AD1162" s="184"/>
      <c r="AE1162" s="51"/>
      <c r="AF1162" s="52"/>
      <c r="AG1162" s="41"/>
      <c r="AH1162" s="45"/>
      <c r="AI1162" s="28"/>
      <c r="AJ1162" s="28"/>
      <c r="AK1162" s="28"/>
      <c r="AL1162" s="28"/>
      <c r="AM1162" s="12"/>
      <c r="AN1162" s="12"/>
      <c r="AO1162" s="12"/>
      <c r="AP1162" s="12"/>
      <c r="AQ1162" s="12"/>
      <c r="AR1162" s="13"/>
      <c r="AS1162" s="14"/>
    </row>
    <row r="1163" spans="1:45" s="16" customFormat="1" ht="30.95" hidden="1" customHeight="1" x14ac:dyDescent="0.2">
      <c r="A1163" s="35" t="s">
        <v>1638</v>
      </c>
      <c r="B1163" s="36" t="s">
        <v>1635</v>
      </c>
      <c r="C1163" s="43"/>
      <c r="D1163" s="29">
        <v>3723621</v>
      </c>
      <c r="E1163" s="29">
        <v>4141010</v>
      </c>
      <c r="F1163" s="255" t="str">
        <f>IF(D1163="","",VLOOKUP(D1163,契約台帳!$A$3:$K$4986,6,FALSE)&amp;VLOOKUP(D1163,契約台帳!$A$3:$K$4986,7,FALSE)&amp;VLOOKUP(D1163,契約台帳!$A$3:$K$4986,8,FALSE)&amp;VLOOKUP(D1163,契約台帳!$A$3:$K$4986,9,FALSE)&amp;VLOOKUP(D1163,契約台帳!$A$3:$K$4986,11,FALSE))</f>
        <v>3SNMCLBMSNEYK</v>
      </c>
      <c r="G1163" s="256" t="str">
        <f>IF(D1163="","",VLOOKUP(F1163,製品マスタ!$G$5:$H$4999,2,FALSE))</f>
        <v>S</v>
      </c>
      <c r="H1163" s="256" t="str">
        <f>IF(D1163="","",VLOOKUP(F1163,製品マスタ!$G$5:$K$4999,5,FALSE))</f>
        <v>MSNEYK</v>
      </c>
      <c r="I1163" s="200" t="str">
        <f>IF(D1163="","",VLOOKUP(F1163,製品マスタ!$G$5:$L$4999,6,FALSE))</f>
        <v>ＭＳＮ　ＥＹＫ</v>
      </c>
      <c r="J1163" s="203" t="s">
        <v>447</v>
      </c>
      <c r="K1163" s="200">
        <f>IF(D1163="","",VLOOKUP(D1163,契約台帳!$A$3:$L$4986,12,FALSE))</f>
        <v>50</v>
      </c>
      <c r="L1163" s="200" t="str">
        <f>IF(D1163="","",INDEX(製品マスタ!$Q$5:$Q$4999,MATCH('S4'!F1163&amp;'S4'!K1163,製品マスタ!$AO$5:$AO$4999,0)))</f>
        <v>N-MAT</v>
      </c>
      <c r="M1163" s="37">
        <v>1200</v>
      </c>
      <c r="N1163" s="37">
        <v>12000</v>
      </c>
      <c r="O1163" s="153">
        <v>6</v>
      </c>
      <c r="P1163" s="45">
        <v>6</v>
      </c>
      <c r="Q1163" s="54"/>
      <c r="R1163" s="257">
        <f ca="1">IF(D1163="","",IF(OFFSET(D1163,-1,0)&lt;&gt;"","",IF(OR(J1163="リード付け",J1163="巻足し",J1163="巻返しリード付け"),M1163,VLOOKUP(D1163,契約台帳!$A$3:$N$4986,14,FALSE))))</f>
        <v>1200</v>
      </c>
      <c r="S1163" s="258">
        <f ca="1">IF(D1163="","",IF(OFFSET(D1163,-1,0)&lt;&gt;"","",IF(OR(J1163="リード付け",J1163="巻足し",J1163="巻返しリード付け"),M1163,VLOOKUP(D1163,契約台帳!$A$3:$O$4986,15,FALSE))))</f>
        <v>1190</v>
      </c>
      <c r="T1163" s="258">
        <f ca="1">IF(D1163="","",IF(J1163="リード付け",N1163,IF(J1163="巻返しリード付け",N1163,IF(J1163="巻足し",N1163*P1163+OFFSET(N1163,1,0)*OFFSET(P1163,1,0),VLOOKUP(D1163,契約台帳!$A$3:$P$4986,16,FALSE)))))</f>
        <v>6000</v>
      </c>
      <c r="U1163" s="38">
        <v>12</v>
      </c>
      <c r="V1163" s="259">
        <f ca="1">IF(D1163="","",IF(OFFSET(D1163,-2,0)=D1163,"",VLOOKUP(D1163,契約台帳!$A$3:$R$4986,18,FALSE)))</f>
        <v>12</v>
      </c>
      <c r="W1163" s="256" t="str">
        <f ca="1">IF(D1163="","",IF(T1163="","",IF(OR(J1163="巻足し",J1163="巻返しリード付け"),"",IF(J1163="巻返し",VLOOKUP(F1163&amp;K1163&amp;M1163,製品マスタ!$M$5:$AD$4999,18,FALSE),IF(OR(J1163="リード付け",J1163="巻返しリード付け"),"原反コア",IF(J1163="スリット",VLOOKUP(F1163&amp;K1163&amp;R1163,製品マスタ!$N$5:$AD$4999,17,FALSE),""))))))</f>
        <v>6ｲﾝﾁMｺｱ</v>
      </c>
      <c r="X1163" s="256">
        <f ca="1">IF(D1163="","",IF(T1163="","",IF(J1163="巻足し","",IF(J1163="巻返し",VLOOKUP(F1163&amp;K1163&amp;M1163,製品マスタ!$M$5:$AE$4999,19,FALSE),IF(OR(J1163="リード付け",J1163="巻返しリード付け"),"",IF(J1163="スリット",VLOOKUP(F1163&amp;K1163&amp;R1163,製品マスタ!$N$5:$AE$4999,18,FALSE),""))))))</f>
        <v>1220</v>
      </c>
      <c r="Y1163" s="256">
        <f ca="1">IF(D1163="","",IF(T1163="","",VLOOKUP(D1163,契約台帳!$A$3:$Q$4986,17,FALSE)))</f>
        <v>2</v>
      </c>
      <c r="Z1163" s="256" t="str">
        <f ca="1">IF(D1163="","",IF(T1163="","",VLOOKUP(D1163,契約台帳!$A$3:$E$4986,5,FALSE)))</f>
        <v>大阪シーリング印刷㈱</v>
      </c>
      <c r="AA1163" s="54"/>
      <c r="AB1163" s="200" t="str">
        <f>IFERROR((VLOOKUP(F1163&amp;K1163&amp;M1163,製品マスタ!$M$5:$AM$4999,27,FALSE)),"")</f>
        <v>原反ケース再利用</v>
      </c>
      <c r="AC1163" s="31"/>
      <c r="AD1163" s="184"/>
      <c r="AE1163" s="51"/>
      <c r="AF1163" s="52"/>
      <c r="AG1163" s="41"/>
      <c r="AH1163" s="45"/>
      <c r="AI1163" s="28"/>
      <c r="AJ1163" s="28"/>
      <c r="AK1163" s="28"/>
      <c r="AL1163" s="28"/>
      <c r="AM1163" s="12"/>
      <c r="AN1163" s="12"/>
      <c r="AO1163" s="12"/>
      <c r="AP1163" s="12"/>
      <c r="AQ1163" s="12"/>
      <c r="AR1163" s="13"/>
      <c r="AS1163" s="14"/>
    </row>
    <row r="1164" spans="1:45" s="16" customFormat="1" ht="30.95" hidden="1" customHeight="1" x14ac:dyDescent="0.2">
      <c r="A1164" s="35"/>
      <c r="B1164" s="36"/>
      <c r="C1164" s="43"/>
      <c r="D1164" s="29"/>
      <c r="E1164" s="29"/>
      <c r="F1164" s="255"/>
      <c r="G1164" s="256"/>
      <c r="H1164" s="256"/>
      <c r="I1164" s="200"/>
      <c r="J1164" s="203"/>
      <c r="K1164" s="200"/>
      <c r="L1164" s="200"/>
      <c r="M1164" s="37"/>
      <c r="N1164" s="37"/>
      <c r="O1164" s="153"/>
      <c r="P1164" s="45"/>
      <c r="Q1164" s="54"/>
      <c r="R1164" s="260"/>
      <c r="S1164" s="258"/>
      <c r="T1164" s="258"/>
      <c r="U1164" s="38"/>
      <c r="V1164" s="261"/>
      <c r="W1164" s="256"/>
      <c r="X1164" s="256"/>
      <c r="Y1164" s="256"/>
      <c r="Z1164" s="256"/>
      <c r="AA1164" s="54"/>
      <c r="AB1164" s="200"/>
      <c r="AC1164" s="31"/>
      <c r="AD1164" s="184"/>
      <c r="AE1164" s="51"/>
      <c r="AF1164" s="52"/>
      <c r="AG1164" s="41"/>
      <c r="AH1164" s="45"/>
      <c r="AI1164" s="28"/>
      <c r="AJ1164" s="28"/>
      <c r="AK1164" s="28"/>
      <c r="AL1164" s="28"/>
      <c r="AM1164" s="12"/>
      <c r="AN1164" s="12"/>
      <c r="AO1164" s="12"/>
      <c r="AP1164" s="12"/>
      <c r="AQ1164" s="12"/>
      <c r="AR1164" s="13"/>
      <c r="AS1164" s="14"/>
    </row>
    <row r="1165" spans="1:45" s="16" customFormat="1" ht="30.95" hidden="1" customHeight="1" x14ac:dyDescent="0.2">
      <c r="A1165" s="35"/>
      <c r="B1165" s="36"/>
      <c r="C1165" s="43"/>
      <c r="D1165" s="29">
        <v>3723625</v>
      </c>
      <c r="E1165" s="29">
        <v>4141011</v>
      </c>
      <c r="F1165" s="255" t="str">
        <f>IF(D1165="","",VLOOKUP(D1165,契約台帳!$A$3:$K$4986,6,FALSE)&amp;VLOOKUP(D1165,契約台帳!$A$3:$K$4986,7,FALSE)&amp;VLOOKUP(D1165,契約台帳!$A$3:$K$4986,8,FALSE)&amp;VLOOKUP(D1165,契約台帳!$A$3:$K$4986,9,FALSE)&amp;VLOOKUP(D1165,契約台帳!$A$3:$K$4986,11,FALSE))</f>
        <v>3SNMCLBMSNEYK</v>
      </c>
      <c r="G1165" s="256" t="str">
        <f>IF(D1165="","",VLOOKUP(F1165,製品マスタ!$G$5:$H$4999,2,FALSE))</f>
        <v>S</v>
      </c>
      <c r="H1165" s="256" t="str">
        <f>IF(D1165="","",VLOOKUP(F1165,製品マスタ!$G$5:$K$4999,5,FALSE))</f>
        <v>MSNEYK</v>
      </c>
      <c r="I1165" s="200" t="str">
        <f>IF(D1165="","",VLOOKUP(F1165,製品マスタ!$G$5:$L$4999,6,FALSE))</f>
        <v>ＭＳＮ　ＥＹＫ</v>
      </c>
      <c r="J1165" s="203" t="s">
        <v>447</v>
      </c>
      <c r="K1165" s="200">
        <f>IF(D1165="","",VLOOKUP(D1165,契約台帳!$A$3:$L$4986,12,FALSE))</f>
        <v>50</v>
      </c>
      <c r="L1165" s="200" t="str">
        <f>IF(D1165="","",INDEX(製品マスタ!$Q$5:$Q$4999,MATCH('S4'!F1165&amp;'S4'!K1165,製品マスタ!$AO$5:$AO$4999,0)))</f>
        <v>N-MAT</v>
      </c>
      <c r="M1165" s="37">
        <v>1120</v>
      </c>
      <c r="N1165" s="37">
        <v>8000</v>
      </c>
      <c r="O1165" s="153">
        <v>2</v>
      </c>
      <c r="P1165" s="45">
        <v>2</v>
      </c>
      <c r="Q1165" s="54"/>
      <c r="R1165" s="257">
        <f ca="1">IF(D1165="","",IF(OFFSET(D1165,-1,0)&lt;&gt;"","",IF(OR(J1165="リード付け",J1165="巻足し",J1165="巻返しリード付け"),M1165,VLOOKUP(D1165,契約台帳!$A$3:$N$4986,14,FALSE))))</f>
        <v>1120</v>
      </c>
      <c r="S1165" s="258">
        <f ca="1">IF(D1165="","",IF(OFFSET(D1165,-1,0)&lt;&gt;"","",IF(OR(J1165="リード付け",J1165="巻足し",J1165="巻返しリード付け"),M1165,VLOOKUP(D1165,契約台帳!$A$3:$O$4986,15,FALSE))))</f>
        <v>1120</v>
      </c>
      <c r="T1165" s="258">
        <f ca="1">IF(D1165="","",IF(J1165="リード付け",N1165,IF(J1165="巻返しリード付け",N1165,IF(J1165="巻足し",N1165*P1165+OFFSET(N1165,1,0)*OFFSET(P1165,1,0),VLOOKUP(D1165,契約台帳!$A$3:$P$4986,16,FALSE)))))</f>
        <v>4000</v>
      </c>
      <c r="U1165" s="38">
        <v>4</v>
      </c>
      <c r="V1165" s="259">
        <f ca="1">IF(D1165="","",IF(OFFSET(D1165,-2,0)=D1165,"",VLOOKUP(D1165,契約台帳!$A$3:$R$4986,18,FALSE)))</f>
        <v>4</v>
      </c>
      <c r="W1165" s="256" t="str">
        <f ca="1">IF(D1165="","",IF(T1165="","",IF(OR(J1165="巻足し",J1165="巻返しリード付け"),"",IF(J1165="巻返し",VLOOKUP(F1165&amp;K1165&amp;M1165,製品マスタ!$M$5:$AD$4999,18,FALSE),IF(OR(J1165="リード付け",J1165="巻返しリード付け"),"原反コア",IF(J1165="スリット",VLOOKUP(F1165&amp;K1165&amp;R1165,製品マスタ!$N$5:$AD$4999,17,FALSE),""))))))</f>
        <v>6ｲﾝﾁMｺｱ</v>
      </c>
      <c r="X1165" s="256">
        <f ca="1">IF(D1165="","",IF(T1165="","",IF(J1165="巻足し","",IF(J1165="巻返し",VLOOKUP(F1165&amp;K1165&amp;M1165,製品マスタ!$M$5:$AE$4999,19,FALSE),IF(OR(J1165="リード付け",J1165="巻返しリード付け"),"",IF(J1165="スリット",VLOOKUP(F1165&amp;K1165&amp;R1165,製品マスタ!$N$5:$AE$4999,18,FALSE),""))))))</f>
        <v>1140</v>
      </c>
      <c r="Y1165" s="256">
        <f ca="1">IF(D1165="","",IF(T1165="","",VLOOKUP(D1165,契約台帳!$A$3:$Q$4986,17,FALSE)))</f>
        <v>2</v>
      </c>
      <c r="Z1165" s="256" t="str">
        <f ca="1">IF(D1165="","",IF(T1165="","",VLOOKUP(D1165,契約台帳!$A$3:$E$4986,5,FALSE)))</f>
        <v>新タック化成㈱</v>
      </c>
      <c r="AA1165" s="54"/>
      <c r="AB1165" s="200" t="str">
        <f>IFERROR((VLOOKUP(F1165&amp;K1165&amp;M1165,製品マスタ!$M$5:$AM$4999,27,FALSE)),"")</f>
        <v>原反ケース再利用</v>
      </c>
      <c r="AC1165" s="31"/>
      <c r="AD1165" s="184"/>
      <c r="AE1165" s="51"/>
      <c r="AF1165" s="52"/>
      <c r="AG1165" s="41"/>
      <c r="AH1165" s="45"/>
      <c r="AI1165" s="28"/>
      <c r="AJ1165" s="28"/>
      <c r="AK1165" s="28"/>
      <c r="AL1165" s="28"/>
      <c r="AM1165" s="12"/>
      <c r="AN1165" s="12"/>
      <c r="AO1165" s="12"/>
      <c r="AP1165" s="12"/>
      <c r="AQ1165" s="12"/>
      <c r="AR1165" s="13"/>
      <c r="AS1165" s="14"/>
    </row>
    <row r="1166" spans="1:45" s="16" customFormat="1" ht="30.95" hidden="1" customHeight="1" x14ac:dyDescent="0.2">
      <c r="A1166" s="35"/>
      <c r="B1166" s="36"/>
      <c r="C1166" s="43"/>
      <c r="D1166" s="29"/>
      <c r="E1166" s="29"/>
      <c r="F1166" s="255"/>
      <c r="G1166" s="256"/>
      <c r="H1166" s="256"/>
      <c r="I1166" s="200"/>
      <c r="J1166" s="203"/>
      <c r="K1166" s="200"/>
      <c r="L1166" s="200"/>
      <c r="M1166" s="37"/>
      <c r="N1166" s="37"/>
      <c r="O1166" s="153"/>
      <c r="P1166" s="45"/>
      <c r="Q1166" s="54"/>
      <c r="R1166" s="260"/>
      <c r="S1166" s="258"/>
      <c r="T1166" s="258"/>
      <c r="U1166" s="38"/>
      <c r="V1166" s="261"/>
      <c r="W1166" s="256"/>
      <c r="X1166" s="256"/>
      <c r="Y1166" s="256"/>
      <c r="Z1166" s="256"/>
      <c r="AA1166" s="54"/>
      <c r="AB1166" s="200"/>
      <c r="AC1166" s="31"/>
      <c r="AD1166" s="184"/>
      <c r="AE1166" s="51"/>
      <c r="AF1166" s="52"/>
      <c r="AG1166" s="41"/>
      <c r="AH1166" s="45"/>
      <c r="AI1166" s="28"/>
      <c r="AJ1166" s="28"/>
      <c r="AK1166" s="28"/>
      <c r="AL1166" s="28"/>
      <c r="AM1166" s="12"/>
      <c r="AN1166" s="12"/>
      <c r="AO1166" s="12"/>
      <c r="AP1166" s="12"/>
      <c r="AQ1166" s="12"/>
      <c r="AR1166" s="13"/>
      <c r="AS1166" s="14"/>
    </row>
    <row r="1167" spans="1:45" s="16" customFormat="1" ht="30.95" hidden="1" customHeight="1" x14ac:dyDescent="0.2">
      <c r="A1167" s="35" t="s">
        <v>1639</v>
      </c>
      <c r="B1167" s="36" t="s">
        <v>1625</v>
      </c>
      <c r="C1167" s="43"/>
      <c r="D1167" s="29">
        <v>3727607</v>
      </c>
      <c r="E1167" s="29">
        <v>4141020</v>
      </c>
      <c r="F1167" s="255" t="str">
        <f>IF(D1167="","",VLOOKUP(D1167,契約台帳!$A$3:$K$4986,6,FALSE)&amp;VLOOKUP(D1167,契約台帳!$A$3:$K$4986,7,FALSE)&amp;VLOOKUP(D1167,契約台帳!$A$3:$K$4986,8,FALSE)&amp;VLOOKUP(D1167,契約台帳!$A$3:$K$4986,9,FALSE)&amp;VLOOKUP(D1167,契約台帳!$A$3:$K$4986,11,FALSE))</f>
        <v>3SNMCLBDMSV</v>
      </c>
      <c r="G1167" s="256" t="str">
        <f>IF(D1167="","",VLOOKUP(F1167,製品マスタ!$G$5:$H$4999,2,FALSE))</f>
        <v>S</v>
      </c>
      <c r="H1167" s="256" t="str">
        <f>IF(D1167="","",VLOOKUP(F1167,製品マスタ!$G$5:$K$4999,5,FALSE))</f>
        <v>DMSV</v>
      </c>
      <c r="I1167" s="200" t="str">
        <f>IF(D1167="","",VLOOKUP(F1167,製品マスタ!$G$5:$L$4999,6,FALSE))</f>
        <v>ＤＭＳ　Ｖ</v>
      </c>
      <c r="J1167" s="203" t="s">
        <v>447</v>
      </c>
      <c r="K1167" s="200">
        <f>IF(D1167="","",VLOOKUP(D1167,契約台帳!$A$3:$L$4986,12,FALSE))</f>
        <v>50</v>
      </c>
      <c r="L1167" s="200" t="str">
        <f>IF(D1167="","",INDEX(製品マスタ!$Q$5:$Q$4999,MATCH('S4'!F1167&amp;'S4'!K1167,製品マスタ!$AO$5:$AO$4999,0)))</f>
        <v>X44</v>
      </c>
      <c r="M1167" s="37">
        <v>1005</v>
      </c>
      <c r="N1167" s="37">
        <v>8000</v>
      </c>
      <c r="O1167" s="153">
        <v>1</v>
      </c>
      <c r="P1167" s="45">
        <v>1</v>
      </c>
      <c r="Q1167" s="54"/>
      <c r="R1167" s="257">
        <f ca="1">IF(D1167="","",IF(OFFSET(D1167,-1,0)&lt;&gt;"","",IF(OR(J1167="リード付け",J1167="巻足し",J1167="巻返しリード付け"),M1167,VLOOKUP(D1167,契約台帳!$A$3:$N$4986,14,FALSE))))</f>
        <v>1005</v>
      </c>
      <c r="S1167" s="258">
        <f ca="1">IF(D1167="","",IF(OFFSET(D1167,-1,0)&lt;&gt;"","",IF(OR(J1167="リード付け",J1167="巻足し",J1167="巻返しリード付け"),M1167,VLOOKUP(D1167,契約台帳!$A$3:$O$4986,15,FALSE))))</f>
        <v>1000</v>
      </c>
      <c r="T1167" s="258">
        <f ca="1">IF(D1167="","",IF(J1167="リード付け",N1167,IF(J1167="巻返しリード付け",N1167,IF(J1167="巻足し",N1167*P1167+OFFSET(N1167,1,0)*OFFSET(P1167,1,0),VLOOKUP(D1167,契約台帳!$A$3:$P$4986,16,FALSE)))))</f>
        <v>2000</v>
      </c>
      <c r="U1167" s="38">
        <v>4</v>
      </c>
      <c r="V1167" s="259">
        <f ca="1">IF(D1167="","",IF(OFFSET(D1167,-2,0)=D1167,"",VLOOKUP(D1167,契約台帳!$A$3:$R$4986,18,FALSE)))</f>
        <v>4</v>
      </c>
      <c r="W1167" s="256" t="str">
        <f ca="1">IF(D1167="","",IF(T1167="","",IF(OR(J1167="巻足し",J1167="巻返しリード付け"),"",IF(J1167="巻返し",VLOOKUP(F1167&amp;K1167&amp;M1167,製品マスタ!$M$5:$AD$4999,18,FALSE),IF(OR(J1167="リード付け",J1167="巻返しリード付け"),"原反コア",IF(J1167="スリット",VLOOKUP(F1167&amp;K1167&amp;R1167,製品マスタ!$N$5:$AD$4999,17,FALSE),""))))))</f>
        <v>6ｲﾝﾁMｺｱ</v>
      </c>
      <c r="X1167" s="256">
        <f ca="1">IF(D1167="","",IF(T1167="","",IF(J1167="巻足し","",IF(J1167="巻返し",VLOOKUP(F1167&amp;K1167&amp;M1167,製品マスタ!$M$5:$AE$4999,19,FALSE),IF(OR(J1167="リード付け",J1167="巻返しリード付け"),"",IF(J1167="スリット",VLOOKUP(F1167&amp;K1167&amp;R1167,製品マスタ!$N$5:$AE$4999,18,FALSE),""))))))</f>
        <v>1020</v>
      </c>
      <c r="Y1167" s="256">
        <f ca="1">IF(D1167="","",IF(T1167="","",VLOOKUP(D1167,契約台帳!$A$3:$Q$4986,17,FALSE)))</f>
        <v>2</v>
      </c>
      <c r="Z1167" s="256" t="str">
        <f ca="1">IF(D1167="","",IF(T1167="","",VLOOKUP(D1167,契約台帳!$A$3:$E$4986,5,FALSE)))</f>
        <v xml:space="preserve">リンテック㈱        </v>
      </c>
      <c r="AA1167" s="54"/>
      <c r="AB1167" s="200">
        <f>IFERROR((VLOOKUP(F1167&amp;K1167&amp;M1167,製品マスタ!$M$5:$AM$4999,27,FALSE)),"")</f>
        <v>0</v>
      </c>
      <c r="AC1167" s="31"/>
      <c r="AD1167" s="184"/>
      <c r="AE1167" s="51"/>
      <c r="AF1167" s="52"/>
      <c r="AG1167" s="41"/>
      <c r="AH1167" s="45"/>
      <c r="AI1167" s="28"/>
      <c r="AJ1167" s="28"/>
      <c r="AK1167" s="28"/>
      <c r="AL1167" s="28"/>
      <c r="AM1167" s="12"/>
      <c r="AN1167" s="12"/>
      <c r="AO1167" s="12"/>
      <c r="AP1167" s="12"/>
      <c r="AQ1167" s="12"/>
      <c r="AR1167" s="13"/>
      <c r="AS1167" s="14"/>
    </row>
    <row r="1168" spans="1:45" s="16" customFormat="1" ht="30.95" hidden="1" customHeight="1" x14ac:dyDescent="0.2">
      <c r="A1168" s="35"/>
      <c r="B1168" s="36"/>
      <c r="C1168" s="43"/>
      <c r="D1168" s="29"/>
      <c r="E1168" s="29"/>
      <c r="F1168" s="255"/>
      <c r="G1168" s="256"/>
      <c r="H1168" s="256"/>
      <c r="I1168" s="200"/>
      <c r="J1168" s="203"/>
      <c r="K1168" s="200"/>
      <c r="L1168" s="200"/>
      <c r="M1168" s="37"/>
      <c r="N1168" s="37"/>
      <c r="O1168" s="153"/>
      <c r="P1168" s="45"/>
      <c r="Q1168" s="54"/>
      <c r="R1168" s="260"/>
      <c r="S1168" s="258"/>
      <c r="T1168" s="258"/>
      <c r="U1168" s="38"/>
      <c r="V1168" s="261"/>
      <c r="W1168" s="256"/>
      <c r="X1168" s="256"/>
      <c r="Y1168" s="256"/>
      <c r="Z1168" s="256"/>
      <c r="AA1168" s="54"/>
      <c r="AB1168" s="200"/>
      <c r="AC1168" s="31"/>
      <c r="AD1168" s="184"/>
      <c r="AE1168" s="51"/>
      <c r="AF1168" s="52"/>
      <c r="AG1168" s="41"/>
      <c r="AH1168" s="45"/>
      <c r="AI1168" s="28"/>
      <c r="AJ1168" s="28"/>
      <c r="AK1168" s="28"/>
      <c r="AL1168" s="28"/>
      <c r="AM1168" s="12"/>
      <c r="AN1168" s="12"/>
      <c r="AO1168" s="12"/>
      <c r="AP1168" s="12"/>
      <c r="AQ1168" s="12"/>
      <c r="AR1168" s="13"/>
      <c r="AS1168" s="14"/>
    </row>
    <row r="1169" spans="1:45" s="16" customFormat="1" ht="30.95" hidden="1" customHeight="1" x14ac:dyDescent="0.2">
      <c r="A1169" s="35"/>
      <c r="B1169" s="36"/>
      <c r="C1169" s="43"/>
      <c r="D1169" s="29">
        <v>3727603</v>
      </c>
      <c r="E1169" s="29">
        <v>4141019</v>
      </c>
      <c r="F1169" s="255" t="str">
        <f>IF(D1169="","",VLOOKUP(D1169,契約台帳!$A$3:$K$4986,6,FALSE)&amp;VLOOKUP(D1169,契約台帳!$A$3:$K$4986,7,FALSE)&amp;VLOOKUP(D1169,契約台帳!$A$3:$K$4986,8,FALSE)&amp;VLOOKUP(D1169,契約台帳!$A$3:$K$4986,9,FALSE)&amp;VLOOKUP(D1169,契約台帳!$A$3:$K$4986,11,FALSE))</f>
        <v>33SSNMCLBTETKFV</v>
      </c>
      <c r="G1169" s="256" t="str">
        <f>IF(D1169="","",VLOOKUP(F1169,製品マスタ!$G$5:$H$4999,2,FALSE))</f>
        <v>S</v>
      </c>
      <c r="H1169" s="256" t="str">
        <f>IF(D1169="","",VLOOKUP(F1169,製品マスタ!$G$5:$K$4999,5,FALSE))</f>
        <v>TETKFV</v>
      </c>
      <c r="I1169" s="200" t="str">
        <f>IF(D1169="","",VLOOKUP(F1169,製品マスタ!$G$5:$L$4999,6,FALSE))</f>
        <v>メタルミー　ＴＥＳ艶開封　Ｖ</v>
      </c>
      <c r="J1169" s="203" t="s">
        <v>447</v>
      </c>
      <c r="K1169" s="200">
        <f>IF(D1169="","",VLOOKUP(D1169,契約台帳!$A$3:$L$4986,12,FALSE))</f>
        <v>50</v>
      </c>
      <c r="L1169" s="200" t="str">
        <f>IF(D1169="","",INDEX(製品マスタ!$Q$5:$Q$4999,MATCH('S4'!F1169&amp;'S4'!K1169,製品マスタ!$AO$5:$AO$4999,0)))</f>
        <v>S28SEPA</v>
      </c>
      <c r="M1169" s="37">
        <v>1005</v>
      </c>
      <c r="N1169" s="37">
        <v>8200</v>
      </c>
      <c r="O1169" s="153">
        <v>1</v>
      </c>
      <c r="P1169" s="45">
        <v>1</v>
      </c>
      <c r="Q1169" s="54"/>
      <c r="R1169" s="257">
        <f ca="1">IF(D1169="","",IF(OFFSET(D1169,-1,0)&lt;&gt;"","",IF(OR(J1169="リード付け",J1169="巻足し",J1169="巻返しリード付け"),M1169,VLOOKUP(D1169,契約台帳!$A$3:$N$4986,14,FALSE))))</f>
        <v>1005</v>
      </c>
      <c r="S1169" s="258">
        <f ca="1">IF(D1169="","",IF(OFFSET(D1169,-1,0)&lt;&gt;"","",IF(OR(J1169="リード付け",J1169="巻足し",J1169="巻返しリード付け"),M1169,VLOOKUP(D1169,契約台帳!$A$3:$O$4986,15,FALSE))))</f>
        <v>1000</v>
      </c>
      <c r="T1169" s="258">
        <f ca="1">IF(D1169="","",IF(J1169="リード付け",N1169,IF(J1169="巻返しリード付け",N1169,IF(J1169="巻足し",N1169*P1169+OFFSET(N1169,1,0)*OFFSET(P1169,1,0),VLOOKUP(D1169,契約台帳!$A$3:$P$4986,16,FALSE)))))</f>
        <v>4100</v>
      </c>
      <c r="U1169" s="38">
        <v>2</v>
      </c>
      <c r="V1169" s="259">
        <f ca="1">IF(D1169="","",IF(OFFSET(D1169,-2,0)=D1169,"",VLOOKUP(D1169,契約台帳!$A$3:$R$4986,18,FALSE)))</f>
        <v>2</v>
      </c>
      <c r="W1169" s="256" t="str">
        <f ca="1">IF(D1169="","",IF(T1169="","",IF(OR(J1169="巻足し",J1169="巻返しリード付け"),"",IF(J1169="巻返し",VLOOKUP(F1169&amp;K1169&amp;M1169,製品マスタ!$M$5:$AD$4999,18,FALSE),IF(OR(J1169="リード付け",J1169="巻返しリード付け"),"原反コア",IF(J1169="スリット",VLOOKUP(F1169&amp;K1169&amp;R1169,製品マスタ!$N$5:$AD$4999,17,FALSE),""))))))</f>
        <v>6ｲﾝﾁSｺｱ</v>
      </c>
      <c r="X1169" s="256">
        <f ca="1">IF(D1169="","",IF(T1169="","",IF(J1169="巻足し","",IF(J1169="巻返し",VLOOKUP(F1169&amp;K1169&amp;M1169,製品マスタ!$M$5:$AE$4999,19,FALSE),IF(OR(J1169="リード付け",J1169="巻返しリード付け"),"",IF(J1169="スリット",VLOOKUP(F1169&amp;K1169&amp;R1169,製品マスタ!$N$5:$AE$4999,18,FALSE),""))))))</f>
        <v>1015</v>
      </c>
      <c r="Y1169" s="256">
        <f ca="1">IF(D1169="","",IF(T1169="","",VLOOKUP(D1169,契約台帳!$A$3:$Q$4986,17,FALSE)))</f>
        <v>2</v>
      </c>
      <c r="Z1169" s="256" t="str">
        <f ca="1">IF(D1169="","",IF(T1169="","",VLOOKUP(D1169,契約台帳!$A$3:$E$4986,5,FALSE)))</f>
        <v xml:space="preserve">リンテック㈱        </v>
      </c>
      <c r="AA1169" s="54"/>
      <c r="AB1169" s="200"/>
      <c r="AC1169" s="31"/>
      <c r="AD1169" s="184"/>
      <c r="AE1169" s="51"/>
      <c r="AF1169" s="52"/>
      <c r="AG1169" s="41"/>
      <c r="AH1169" s="45"/>
      <c r="AI1169" s="28"/>
      <c r="AJ1169" s="28"/>
      <c r="AK1169" s="28"/>
      <c r="AL1169" s="28"/>
      <c r="AM1169" s="12"/>
      <c r="AN1169" s="12"/>
      <c r="AO1169" s="12"/>
      <c r="AP1169" s="12"/>
      <c r="AQ1169" s="12"/>
      <c r="AR1169" s="13"/>
      <c r="AS1169" s="14"/>
    </row>
    <row r="1170" spans="1:45" s="16" customFormat="1" ht="30.95" hidden="1" customHeight="1" x14ac:dyDescent="0.2">
      <c r="A1170" s="35"/>
      <c r="B1170" s="36"/>
      <c r="C1170" s="43"/>
      <c r="D1170" s="29"/>
      <c r="E1170" s="29"/>
      <c r="F1170" s="255"/>
      <c r="G1170" s="256"/>
      <c r="H1170" s="256"/>
      <c r="I1170" s="200"/>
      <c r="J1170" s="203"/>
      <c r="K1170" s="200"/>
      <c r="L1170" s="200"/>
      <c r="M1170" s="37"/>
      <c r="N1170" s="37"/>
      <c r="O1170" s="153"/>
      <c r="P1170" s="45"/>
      <c r="Q1170" s="54"/>
      <c r="R1170" s="260"/>
      <c r="S1170" s="258"/>
      <c r="T1170" s="258"/>
      <c r="U1170" s="38"/>
      <c r="V1170" s="261"/>
      <c r="W1170" s="256"/>
      <c r="X1170" s="256"/>
      <c r="Y1170" s="256"/>
      <c r="Z1170" s="256"/>
      <c r="AA1170" s="54"/>
      <c r="AB1170" s="200"/>
      <c r="AC1170" s="31"/>
      <c r="AD1170" s="184"/>
      <c r="AE1170" s="51"/>
      <c r="AF1170" s="52"/>
      <c r="AG1170" s="41"/>
      <c r="AH1170" s="45"/>
      <c r="AI1170" s="28"/>
      <c r="AJ1170" s="28"/>
      <c r="AK1170" s="28"/>
      <c r="AL1170" s="28"/>
      <c r="AM1170" s="12"/>
      <c r="AN1170" s="12"/>
      <c r="AO1170" s="12"/>
      <c r="AP1170" s="12"/>
      <c r="AQ1170" s="12"/>
      <c r="AR1170" s="13"/>
      <c r="AS1170" s="14"/>
    </row>
    <row r="1171" spans="1:45" s="16" customFormat="1" ht="30.95" hidden="1" customHeight="1" x14ac:dyDescent="0.2">
      <c r="A1171" s="35"/>
      <c r="B1171" s="36"/>
      <c r="C1171" s="43"/>
      <c r="D1171" s="29">
        <v>3727602</v>
      </c>
      <c r="E1171" s="29">
        <v>4141018</v>
      </c>
      <c r="F1171" s="255" t="str">
        <f>IF(D1171="","",VLOOKUP(D1171,契約台帳!$A$3:$K$4986,6,FALSE)&amp;VLOOKUP(D1171,契約台帳!$A$3:$K$4986,7,FALSE)&amp;VLOOKUP(D1171,契約台帳!$A$3:$K$4986,8,FALSE)&amp;VLOOKUP(D1171,契約台帳!$A$3:$K$4986,9,FALSE)&amp;VLOOKUP(D1171,契約台帳!$A$3:$K$4986,11,FALSE))</f>
        <v>33SSNMCLBTEKKFV</v>
      </c>
      <c r="G1171" s="256" t="str">
        <f>IF(D1171="","",VLOOKUP(F1171,製品マスタ!$G$5:$H$4999,2,FALSE))</f>
        <v>S</v>
      </c>
      <c r="H1171" s="256" t="str">
        <f>IF(D1171="","",VLOOKUP(F1171,製品マスタ!$G$5:$K$4999,5,FALSE))</f>
        <v>TEKKFV</v>
      </c>
      <c r="I1171" s="200" t="str">
        <f>IF(D1171="","",VLOOKUP(F1171,製品マスタ!$G$5:$L$4999,6,FALSE))</f>
        <v>メタルミー　ＴＥＳ消開封　Ｖ</v>
      </c>
      <c r="J1171" s="203" t="s">
        <v>447</v>
      </c>
      <c r="K1171" s="200">
        <f>IF(D1171="","",VLOOKUP(D1171,契約台帳!$A$3:$L$4986,12,FALSE))</f>
        <v>50</v>
      </c>
      <c r="L1171" s="200" t="str">
        <f>IF(D1171="","",INDEX(製品マスタ!$Q$5:$Q$4999,MATCH('S4'!F1171&amp;'S4'!K1171,製品マスタ!$AO$5:$AO$4999,0)))</f>
        <v>X44SEPA</v>
      </c>
      <c r="M1171" s="37">
        <v>1005</v>
      </c>
      <c r="N1171" s="37">
        <v>8000</v>
      </c>
      <c r="O1171" s="153">
        <v>1</v>
      </c>
      <c r="P1171" s="45">
        <v>1</v>
      </c>
      <c r="Q1171" s="54"/>
      <c r="R1171" s="257">
        <f ca="1">IF(D1171="","",IF(OFFSET(D1171,-1,0)&lt;&gt;"","",IF(OR(J1171="リード付け",J1171="巻足し",J1171="巻返しリード付け"),M1171,VLOOKUP(D1171,契約台帳!$A$3:$N$4986,14,FALSE))))</f>
        <v>1005</v>
      </c>
      <c r="S1171" s="258">
        <f ca="1">IF(D1171="","",IF(OFFSET(D1171,-1,0)&lt;&gt;"","",IF(OR(J1171="リード付け",J1171="巻足し",J1171="巻返しリード付け"),M1171,VLOOKUP(D1171,契約台帳!$A$3:$O$4986,15,FALSE))))</f>
        <v>1000</v>
      </c>
      <c r="T1171" s="258">
        <f ca="1">IF(D1171="","",IF(J1171="リード付け",N1171,IF(J1171="巻返しリード付け",N1171,IF(J1171="巻足し",N1171*P1171+OFFSET(N1171,1,0)*OFFSET(P1171,1,0),VLOOKUP(D1171,契約台帳!$A$3:$P$4986,16,FALSE)))))</f>
        <v>4000</v>
      </c>
      <c r="U1171" s="38">
        <v>2</v>
      </c>
      <c r="V1171" s="259">
        <f ca="1">IF(D1171="","",IF(OFFSET(D1171,-2,0)=D1171,"",VLOOKUP(D1171,契約台帳!$A$3:$R$4986,18,FALSE)))</f>
        <v>2</v>
      </c>
      <c r="W1171" s="256" t="str">
        <f ca="1">IF(D1171="","",IF(T1171="","",IF(OR(J1171="巻足し",J1171="巻返しリード付け"),"",IF(J1171="巻返し",VLOOKUP(F1171&amp;K1171&amp;M1171,製品マスタ!$M$5:$AD$4999,18,FALSE),IF(OR(J1171="リード付け",J1171="巻返しリード付け"),"原反コア",IF(J1171="スリット",VLOOKUP(F1171&amp;K1171&amp;R1171,製品マスタ!$N$5:$AD$4999,17,FALSE),""))))))</f>
        <v>6ｲﾝﾁSｺｱ</v>
      </c>
      <c r="X1171" s="256">
        <f ca="1">IF(D1171="","",IF(T1171="","",IF(J1171="巻足し","",IF(J1171="巻返し",VLOOKUP(F1171&amp;K1171&amp;M1171,製品マスタ!$M$5:$AE$4999,19,FALSE),IF(OR(J1171="リード付け",J1171="巻返しリード付け"),"",IF(J1171="スリット",VLOOKUP(F1171&amp;K1171&amp;R1171,製品マスタ!$N$5:$AE$4999,18,FALSE),""))))))</f>
        <v>1015</v>
      </c>
      <c r="Y1171" s="256">
        <f ca="1">IF(D1171="","",IF(T1171="","",VLOOKUP(D1171,契約台帳!$A$3:$Q$4986,17,FALSE)))</f>
        <v>2</v>
      </c>
      <c r="Z1171" s="256" t="str">
        <f ca="1">IF(D1171="","",IF(T1171="","",VLOOKUP(D1171,契約台帳!$A$3:$E$4986,5,FALSE)))</f>
        <v xml:space="preserve">リンテック㈱        </v>
      </c>
      <c r="AA1171" s="54"/>
      <c r="AB1171" s="200"/>
      <c r="AC1171" s="31"/>
      <c r="AD1171" s="184"/>
      <c r="AE1171" s="51"/>
      <c r="AF1171" s="52"/>
      <c r="AG1171" s="41"/>
      <c r="AH1171" s="45"/>
      <c r="AI1171" s="28"/>
      <c r="AJ1171" s="28"/>
      <c r="AK1171" s="28"/>
      <c r="AL1171" s="28"/>
      <c r="AM1171" s="12"/>
      <c r="AN1171" s="12"/>
      <c r="AO1171" s="12"/>
      <c r="AP1171" s="12"/>
      <c r="AQ1171" s="12"/>
      <c r="AR1171" s="13"/>
      <c r="AS1171" s="14"/>
    </row>
    <row r="1172" spans="1:45" s="16" customFormat="1" ht="30.95" hidden="1" customHeight="1" x14ac:dyDescent="0.2">
      <c r="A1172" s="35"/>
      <c r="B1172" s="36"/>
      <c r="C1172" s="43"/>
      <c r="D1172" s="29"/>
      <c r="E1172" s="29"/>
      <c r="F1172" s="255"/>
      <c r="G1172" s="256"/>
      <c r="H1172" s="256"/>
      <c r="I1172" s="200"/>
      <c r="J1172" s="203"/>
      <c r="K1172" s="200"/>
      <c r="L1172" s="200"/>
      <c r="M1172" s="37"/>
      <c r="N1172" s="37"/>
      <c r="O1172" s="153"/>
      <c r="P1172" s="45"/>
      <c r="Q1172" s="54"/>
      <c r="R1172" s="260"/>
      <c r="S1172" s="258"/>
      <c r="T1172" s="258"/>
      <c r="U1172" s="38"/>
      <c r="V1172" s="261"/>
      <c r="W1172" s="256"/>
      <c r="X1172" s="256"/>
      <c r="Y1172" s="256"/>
      <c r="Z1172" s="256"/>
      <c r="AA1172" s="54"/>
      <c r="AB1172" s="200"/>
      <c r="AC1172" s="31"/>
      <c r="AD1172" s="184"/>
      <c r="AE1172" s="51"/>
      <c r="AF1172" s="52"/>
      <c r="AG1172" s="41"/>
      <c r="AH1172" s="45"/>
      <c r="AI1172" s="28"/>
      <c r="AJ1172" s="28"/>
      <c r="AK1172" s="28"/>
      <c r="AL1172" s="28"/>
      <c r="AM1172" s="12"/>
      <c r="AN1172" s="12"/>
      <c r="AO1172" s="12"/>
      <c r="AP1172" s="12"/>
      <c r="AQ1172" s="12"/>
      <c r="AR1172" s="13"/>
      <c r="AS1172" s="14"/>
    </row>
    <row r="1173" spans="1:45" s="16" customFormat="1" ht="30.95" hidden="1" customHeight="1" x14ac:dyDescent="0.2">
      <c r="A1173" s="35"/>
      <c r="B1173" s="36"/>
      <c r="C1173" s="43"/>
      <c r="D1173" s="29">
        <v>3727984</v>
      </c>
      <c r="E1173" s="29">
        <v>4141030</v>
      </c>
      <c r="F1173" s="255" t="str">
        <f>IF(D1173="","",VLOOKUP(D1173,契約台帳!$A$3:$K$4986,6,FALSE)&amp;VLOOKUP(D1173,契約台帳!$A$3:$K$4986,7,FALSE)&amp;VLOOKUP(D1173,契約台帳!$A$3:$K$4986,8,FALSE)&amp;VLOOKUP(D1173,契約台帳!$A$3:$K$4986,9,FALSE)&amp;VLOOKUP(D1173,契約台帳!$A$3:$K$4986,11,FALSE))</f>
        <v>3TNMCLBHLKTV</v>
      </c>
      <c r="G1173" s="256" t="str">
        <f>IF(D1173="","",VLOOKUP(F1173,製品マスタ!$G$5:$H$4999,2,FALSE))</f>
        <v>T</v>
      </c>
      <c r="H1173" s="256" t="str">
        <f>IF(D1173="","",VLOOKUP(F1173,製品マスタ!$G$5:$K$4999,5,FALSE))</f>
        <v>HLKTV</v>
      </c>
      <c r="I1173" s="200" t="str">
        <f>IF(D1173="","",VLOOKUP(F1173,製品マスタ!$G$5:$L$4999,6,FALSE))</f>
        <v>メタルミー　ヘヤライン金艶　Ｖ</v>
      </c>
      <c r="J1173" s="203" t="s">
        <v>447</v>
      </c>
      <c r="K1173" s="200">
        <f>IF(D1173="","",VLOOKUP(D1173,契約台帳!$A$3:$L$4986,12,FALSE))</f>
        <v>50</v>
      </c>
      <c r="L1173" s="200" t="str">
        <f>IF(D1173="","",INDEX(製品マスタ!$Q$5:$Q$4999,MATCH('S4'!F1173&amp;'S4'!K1173,製品マスタ!$AO$5:$AO$4999,0)))</f>
        <v>HL50/EC</v>
      </c>
      <c r="M1173" s="37">
        <v>1030</v>
      </c>
      <c r="N1173" s="37">
        <v>4000</v>
      </c>
      <c r="O1173" s="153">
        <v>2</v>
      </c>
      <c r="P1173" s="45">
        <v>2</v>
      </c>
      <c r="Q1173" s="54"/>
      <c r="R1173" s="257">
        <f ca="1">IF(D1173="","",IF(OFFSET(D1173,-1,0)&lt;&gt;"","",IF(OR(J1173="リード付け",J1173="巻足し",J1173="巻返しリード付け"),M1173,VLOOKUP(D1173,契約台帳!$A$3:$N$4986,14,FALSE))))</f>
        <v>1000</v>
      </c>
      <c r="S1173" s="258">
        <f ca="1">IF(D1173="","",IF(OFFSET(D1173,-1,0)&lt;&gt;"","",IF(OR(J1173="リード付け",J1173="巻足し",J1173="巻返しリード付け"),M1173,VLOOKUP(D1173,契約台帳!$A$3:$O$4986,15,FALSE))))</f>
        <v>1000</v>
      </c>
      <c r="T1173" s="258">
        <f ca="1">IF(D1173="","",IF(J1173="リード付け",N1173,IF(J1173="巻返しリード付け",N1173,IF(J1173="巻足し",N1173*P1173+OFFSET(N1173,1,0)*OFFSET(P1173,1,0),VLOOKUP(D1173,契約台帳!$A$3:$P$4986,16,FALSE)))))</f>
        <v>2000</v>
      </c>
      <c r="U1173" s="38">
        <v>4</v>
      </c>
      <c r="V1173" s="259">
        <f ca="1">IF(D1173="","",IF(OFFSET(D1173,-2,0)=D1173,"",VLOOKUP(D1173,契約台帳!$A$3:$R$4986,18,FALSE)))</f>
        <v>4</v>
      </c>
      <c r="W1173" s="256" t="str">
        <f ca="1">IF(D1173="","",IF(T1173="","",IF(OR(J1173="巻足し",J1173="巻返しリード付け"),"",IF(J1173="巻返し",VLOOKUP(F1173&amp;K1173&amp;M1173,製品マスタ!$M$5:$AD$4999,18,FALSE),IF(OR(J1173="リード付け",J1173="巻返しリード付け"),"原反コア",IF(J1173="スリット",VLOOKUP(F1173&amp;K1173&amp;R1173,製品マスタ!$N$5:$AD$4999,17,FALSE),""))))))</f>
        <v>6ｲﾝﾁSｺｱ</v>
      </c>
      <c r="X1173" s="256">
        <f ca="1">IF(D1173="","",IF(T1173="","",IF(J1173="巻足し","",IF(J1173="巻返し",VLOOKUP(F1173&amp;K1173&amp;M1173,製品マスタ!$M$5:$AE$4999,19,FALSE),IF(OR(J1173="リード付け",J1173="巻返しリード付け"),"",IF(J1173="スリット",VLOOKUP(F1173&amp;K1173&amp;R1173,製品マスタ!$N$5:$AE$4999,18,FALSE),""))))))</f>
        <v>1015</v>
      </c>
      <c r="Y1173" s="256">
        <f ca="1">IF(D1173="","",IF(T1173="","",VLOOKUP(D1173,契約台帳!$A$3:$Q$4986,17,FALSE)))</f>
        <v>2</v>
      </c>
      <c r="Z1173" s="256" t="str">
        <f ca="1">IF(D1173="","",IF(T1173="","",VLOOKUP(D1173,契約台帳!$A$3:$E$4986,5,FALSE)))</f>
        <v xml:space="preserve">リンテック㈱        </v>
      </c>
      <c r="AA1173" s="54"/>
      <c r="AB1173" s="200" t="s">
        <v>774</v>
      </c>
      <c r="AC1173" s="31"/>
      <c r="AD1173" s="184"/>
      <c r="AE1173" s="51"/>
      <c r="AF1173" s="52"/>
      <c r="AG1173" s="41"/>
      <c r="AH1173" s="45"/>
      <c r="AI1173" s="28"/>
      <c r="AJ1173" s="28"/>
      <c r="AK1173" s="28"/>
      <c r="AL1173" s="28"/>
      <c r="AM1173" s="12"/>
      <c r="AN1173" s="12"/>
      <c r="AO1173" s="12"/>
      <c r="AP1173" s="12"/>
      <c r="AQ1173" s="12"/>
      <c r="AR1173" s="13"/>
      <c r="AS1173" s="14"/>
    </row>
    <row r="1174" spans="1:45" s="16" customFormat="1" ht="30.95" hidden="1" customHeight="1" x14ac:dyDescent="0.2">
      <c r="A1174" s="35"/>
      <c r="B1174" s="36"/>
      <c r="C1174" s="43"/>
      <c r="D1174" s="29"/>
      <c r="E1174" s="29"/>
      <c r="F1174" s="255"/>
      <c r="G1174" s="256"/>
      <c r="H1174" s="256"/>
      <c r="I1174" s="200"/>
      <c r="J1174" s="203"/>
      <c r="K1174" s="200"/>
      <c r="L1174" s="200"/>
      <c r="M1174" s="37"/>
      <c r="N1174" s="37"/>
      <c r="O1174" s="153"/>
      <c r="P1174" s="45"/>
      <c r="Q1174" s="54"/>
      <c r="R1174" s="260"/>
      <c r="S1174" s="258"/>
      <c r="T1174" s="258"/>
      <c r="U1174" s="38"/>
      <c r="V1174" s="261"/>
      <c r="W1174" s="256"/>
      <c r="X1174" s="256"/>
      <c r="Y1174" s="256"/>
      <c r="Z1174" s="256"/>
      <c r="AA1174" s="54"/>
      <c r="AB1174" s="200"/>
      <c r="AC1174" s="31"/>
      <c r="AD1174" s="184"/>
      <c r="AE1174" s="51"/>
      <c r="AF1174" s="52"/>
      <c r="AG1174" s="41"/>
      <c r="AH1174" s="45"/>
      <c r="AI1174" s="28"/>
      <c r="AJ1174" s="28"/>
      <c r="AK1174" s="28"/>
      <c r="AL1174" s="28"/>
      <c r="AM1174" s="12"/>
      <c r="AN1174" s="12"/>
      <c r="AO1174" s="12"/>
      <c r="AP1174" s="12"/>
      <c r="AQ1174" s="12"/>
      <c r="AR1174" s="13"/>
      <c r="AS1174" s="14"/>
    </row>
    <row r="1175" spans="1:45" s="16" customFormat="1" ht="30.95" hidden="1" customHeight="1" x14ac:dyDescent="0.2">
      <c r="A1175" s="35"/>
      <c r="B1175" s="36"/>
      <c r="C1175" s="43"/>
      <c r="D1175" s="29">
        <v>3727605</v>
      </c>
      <c r="E1175" s="29">
        <v>4141025</v>
      </c>
      <c r="F1175" s="255" t="str">
        <f>IF(D1175="","",VLOOKUP(D1175,契約台帳!$A$3:$K$4986,6,FALSE)&amp;VLOOKUP(D1175,契約台帳!$A$3:$K$4986,7,FALSE)&amp;VLOOKUP(D1175,契約台帳!$A$3:$K$4986,8,FALSE)&amp;VLOOKUP(D1175,契約台帳!$A$3:$K$4986,9,FALSE)&amp;VLOOKUP(D1175,契約台帳!$A$3:$K$4986,11,FALSE))</f>
        <v>3TNMCLBHLGTV</v>
      </c>
      <c r="G1175" s="256" t="str">
        <f>IF(D1175="","",VLOOKUP(F1175,製品マスタ!$G$5:$H$4999,2,FALSE))</f>
        <v>T</v>
      </c>
      <c r="H1175" s="256" t="str">
        <f>IF(D1175="","",VLOOKUP(F1175,製品マスタ!$G$5:$K$4999,5,FALSE))</f>
        <v>HLGTV</v>
      </c>
      <c r="I1175" s="200" t="str">
        <f>IF(D1175="","",VLOOKUP(F1175,製品マスタ!$G$5:$L$4999,6,FALSE))</f>
        <v>メタルミー　ヘヤライン　銀艶Ｖ</v>
      </c>
      <c r="J1175" s="203" t="s">
        <v>447</v>
      </c>
      <c r="K1175" s="200">
        <f>IF(D1175="","",VLOOKUP(D1175,契約台帳!$A$3:$L$4986,12,FALSE))</f>
        <v>50</v>
      </c>
      <c r="L1175" s="200" t="str">
        <f>IF(D1175="","",INDEX(製品マスタ!$Q$5:$Q$4999,MATCH('S4'!F1175&amp;'S4'!K1175,製品マスタ!$AO$5:$AO$4999,0)))</f>
        <v>BRIGHT</v>
      </c>
      <c r="M1175" s="37">
        <v>1005</v>
      </c>
      <c r="N1175" s="37">
        <v>8200</v>
      </c>
      <c r="O1175" s="153">
        <v>1</v>
      </c>
      <c r="P1175" s="45">
        <v>1</v>
      </c>
      <c r="Q1175" s="54"/>
      <c r="R1175" s="257">
        <f ca="1">IF(D1175="","",IF(OFFSET(D1175,-1,0)&lt;&gt;"","",IF(OR(J1175="リード付け",J1175="巻足し",J1175="巻返しリード付け"),M1175,VLOOKUP(D1175,契約台帳!$A$3:$N$4986,14,FALSE))))</f>
        <v>1005</v>
      </c>
      <c r="S1175" s="258">
        <f ca="1">IF(D1175="","",IF(OFFSET(D1175,-1,0)&lt;&gt;"","",IF(OR(J1175="リード付け",J1175="巻足し",J1175="巻返しリード付け"),M1175,VLOOKUP(D1175,契約台帳!$A$3:$O$4986,15,FALSE))))</f>
        <v>1000</v>
      </c>
      <c r="T1175" s="258">
        <f ca="1">IF(D1175="","",IF(J1175="リード付け",N1175,IF(J1175="巻返しリード付け",N1175,IF(J1175="巻足し",N1175*P1175+OFFSET(N1175,1,0)*OFFSET(P1175,1,0),VLOOKUP(D1175,契約台帳!$A$3:$P$4986,16,FALSE)))))</f>
        <v>2000</v>
      </c>
      <c r="U1175" s="38">
        <v>2</v>
      </c>
      <c r="V1175" s="259">
        <f ca="1">IF(D1175="","",IF(OFFSET(D1175,-2,0)=D1175,"",VLOOKUP(D1175,契約台帳!$A$3:$R$4986,18,FALSE)))</f>
        <v>2</v>
      </c>
      <c r="W1175" s="256" t="str">
        <f ca="1">IF(D1175="","",IF(T1175="","",IF(OR(J1175="巻足し",J1175="巻返しリード付け"),"",IF(J1175="巻返し",VLOOKUP(F1175&amp;K1175&amp;M1175,製品マスタ!$M$5:$AD$4999,18,FALSE),IF(OR(J1175="リード付け",J1175="巻返しリード付け"),"原反コア",IF(J1175="スリット",VLOOKUP(F1175&amp;K1175&amp;R1175,製品マスタ!$N$5:$AD$4999,17,FALSE),""))))))</f>
        <v>6ｲﾝﾁSｺｱ</v>
      </c>
      <c r="X1175" s="256">
        <f ca="1">IF(D1175="","",IF(T1175="","",IF(J1175="巻足し","",IF(J1175="巻返し",VLOOKUP(F1175&amp;K1175&amp;M1175,製品マスタ!$M$5:$AE$4999,19,FALSE),IF(OR(J1175="リード付け",J1175="巻返しリード付け"),"",IF(J1175="スリット",VLOOKUP(F1175&amp;K1175&amp;R1175,製品マスタ!$N$5:$AE$4999,18,FALSE),""))))))</f>
        <v>1015</v>
      </c>
      <c r="Y1175" s="256">
        <f ca="1">IF(D1175="","",IF(T1175="","",VLOOKUP(D1175,契約台帳!$A$3:$Q$4986,17,FALSE)))</f>
        <v>2</v>
      </c>
      <c r="Z1175" s="256" t="str">
        <f ca="1">IF(D1175="","",IF(T1175="","",VLOOKUP(D1175,契約台帳!$A$3:$E$4986,5,FALSE)))</f>
        <v xml:space="preserve">リンテック㈱        </v>
      </c>
      <c r="AA1175" s="54"/>
      <c r="AB1175" s="200" t="s">
        <v>774</v>
      </c>
      <c r="AC1175" s="31"/>
      <c r="AD1175" s="184"/>
      <c r="AE1175" s="51"/>
      <c r="AF1175" s="52"/>
      <c r="AG1175" s="41"/>
      <c r="AH1175" s="45"/>
      <c r="AI1175" s="28"/>
      <c r="AJ1175" s="28"/>
      <c r="AK1175" s="28"/>
      <c r="AL1175" s="28"/>
      <c r="AM1175" s="12"/>
      <c r="AN1175" s="12"/>
      <c r="AO1175" s="12"/>
      <c r="AP1175" s="12"/>
      <c r="AQ1175" s="12"/>
      <c r="AR1175" s="13"/>
      <c r="AS1175" s="14"/>
    </row>
    <row r="1176" spans="1:45" s="16" customFormat="1" ht="30.95" hidden="1" customHeight="1" x14ac:dyDescent="0.2">
      <c r="A1176" s="35"/>
      <c r="B1176" s="36"/>
      <c r="C1176" s="43"/>
      <c r="D1176" s="29">
        <v>3727606</v>
      </c>
      <c r="E1176" s="29"/>
      <c r="F1176" s="255" t="str">
        <f>IF(D1176="","",VLOOKUP(D1176,契約台帳!$A$3:$K$4986,6,FALSE)&amp;VLOOKUP(D1176,契約台帳!$A$3:$K$4986,7,FALSE)&amp;VLOOKUP(D1176,契約台帳!$A$3:$K$4986,8,FALSE)&amp;VLOOKUP(D1176,契約台帳!$A$3:$K$4986,9,FALSE)&amp;VLOOKUP(D1176,契約台帳!$A$3:$K$4986,11,FALSE))</f>
        <v>3TNMCLBHLGTV</v>
      </c>
      <c r="G1176" s="256" t="str">
        <f>IF(D1176="","",VLOOKUP(F1176,製品マスタ!$G$5:$H$4999,2,FALSE))</f>
        <v>T</v>
      </c>
      <c r="H1176" s="256" t="str">
        <f>IF(D1176="","",VLOOKUP(F1176,製品マスタ!$G$5:$K$4999,5,FALSE))</f>
        <v>HLGTV</v>
      </c>
      <c r="I1176" s="200" t="str">
        <f>IF(D1176="","",VLOOKUP(F1176,製品マスタ!$G$5:$L$4999,6,FALSE))</f>
        <v>メタルミー　ヘヤライン　銀艶Ｖ</v>
      </c>
      <c r="J1176" s="203" t="s">
        <v>447</v>
      </c>
      <c r="K1176" s="200">
        <f>IF(D1176="","",VLOOKUP(D1176,契約台帳!$A$3:$L$4986,12,FALSE))</f>
        <v>50</v>
      </c>
      <c r="L1176" s="200" t="str">
        <f>IF(D1176="","",INDEX(製品マスタ!$Q$5:$Q$4999,MATCH('S4'!F1176&amp;'S4'!K1176,製品マスタ!$AO$5:$AO$4999,0)))</f>
        <v>BRIGHT</v>
      </c>
      <c r="M1176" s="37">
        <v>1005</v>
      </c>
      <c r="N1176" s="37"/>
      <c r="O1176" s="153"/>
      <c r="P1176" s="45"/>
      <c r="Q1176" s="54"/>
      <c r="R1176" s="257" t="str">
        <f ca="1">IF(D1176="","",IF(OFFSET(D1176,-1,0)&lt;&gt;"","",IF(OR(J1176="リード付け",J1176="巻足し",J1176="巻返しリード付け"),M1176,VLOOKUP(D1176,契約台帳!$A$3:$N$4986,14,FALSE))))</f>
        <v/>
      </c>
      <c r="S1176" s="258" t="str">
        <f ca="1">IF(D1176="","",IF(OFFSET(D1176,-1,0)&lt;&gt;"","",IF(OR(J1176="リード付け",J1176="巻足し",J1176="巻返しリード付け"),M1176,VLOOKUP(D1176,契約台帳!$A$3:$O$4986,15,FALSE))))</f>
        <v/>
      </c>
      <c r="T1176" s="258">
        <f ca="1">IF(D1176="","",IF(J1176="リード付け",N1176,IF(J1176="巻返しリード付け",N1176,IF(J1176="巻足し",N1176*P1176+OFFSET(N1176,1,0)*OFFSET(P1176,1,0),VLOOKUP(D1176,契約台帳!$A$3:$P$4986,16,FALSE)))))</f>
        <v>4100</v>
      </c>
      <c r="U1176" s="38">
        <v>1</v>
      </c>
      <c r="V1176" s="259">
        <f ca="1">IF(D1176="","",IF(OFFSET(D1176,-2,0)=D1176,"",VLOOKUP(D1176,契約台帳!$A$3:$R$4986,18,FALSE)))</f>
        <v>5</v>
      </c>
      <c r="W1176" s="256" t="str">
        <f ca="1">IF(D1176="","",IF(T1176="","",IF(OR(J1176="巻足し",J1176="巻返しリード付け"),"",IF(J1176="巻返し",VLOOKUP(F1176&amp;K1176&amp;M1176,製品マスタ!$M$5:$AD$4999,18,FALSE),IF(OR(J1176="リード付け",J1176="巻返しリード付け"),"原反コア",IF(J1176="スリット",VLOOKUP(F1176&amp;K1176&amp;R1176,製品マスタ!$N$5:$AD$4999,17,FALSE),""))))))</f>
        <v>6ｲﾝﾁSｺｱ</v>
      </c>
      <c r="X1176" s="256">
        <f ca="1">IF(D1176="","",IF(T1176="","",IF(J1176="巻足し","",IF(J1176="巻返し",VLOOKUP(F1176&amp;K1176&amp;M1176,製品マスタ!$M$5:$AE$4999,19,FALSE),IF(OR(J1176="リード付け",J1176="巻返しリード付け"),"",IF(J1176="スリット",VLOOKUP(F1176&amp;K1176&amp;R1176,製品マスタ!$N$5:$AE$4999,18,FALSE),""))))))</f>
        <v>1015</v>
      </c>
      <c r="Y1176" s="256">
        <f ca="1">IF(D1176="","",IF(T1176="","",VLOOKUP(D1176,契約台帳!$A$3:$Q$4986,17,FALSE)))</f>
        <v>2</v>
      </c>
      <c r="Z1176" s="256" t="str">
        <f ca="1">IF(D1176="","",IF(T1176="","",VLOOKUP(D1176,契約台帳!$A$3:$E$4986,5,FALSE)))</f>
        <v xml:space="preserve">リンテック㈱        </v>
      </c>
      <c r="AA1176" s="54"/>
      <c r="AB1176" s="200" t="s">
        <v>774</v>
      </c>
      <c r="AC1176" s="31"/>
      <c r="AD1176" s="184"/>
      <c r="AE1176" s="51"/>
      <c r="AF1176" s="52"/>
      <c r="AG1176" s="41"/>
      <c r="AH1176" s="45"/>
      <c r="AI1176" s="28"/>
      <c r="AJ1176" s="28"/>
      <c r="AK1176" s="28"/>
      <c r="AL1176" s="28"/>
      <c r="AM1176" s="12"/>
      <c r="AN1176" s="12"/>
      <c r="AO1176" s="12"/>
      <c r="AP1176" s="12"/>
      <c r="AQ1176" s="12"/>
      <c r="AR1176" s="13"/>
      <c r="AS1176" s="14"/>
    </row>
    <row r="1177" spans="1:45" s="16" customFormat="1" ht="30.95" hidden="1" customHeight="1" x14ac:dyDescent="0.2">
      <c r="A1177" s="35"/>
      <c r="B1177" s="36"/>
      <c r="C1177" s="43"/>
      <c r="D1177" s="29"/>
      <c r="E1177" s="29"/>
      <c r="F1177" s="255"/>
      <c r="G1177" s="256"/>
      <c r="H1177" s="256"/>
      <c r="I1177" s="200"/>
      <c r="J1177" s="203"/>
      <c r="K1177" s="200"/>
      <c r="L1177" s="200"/>
      <c r="M1177" s="37"/>
      <c r="N1177" s="37"/>
      <c r="O1177" s="153"/>
      <c r="P1177" s="45"/>
      <c r="Q1177" s="54"/>
      <c r="R1177" s="260"/>
      <c r="S1177" s="258"/>
      <c r="T1177" s="258"/>
      <c r="U1177" s="38"/>
      <c r="V1177" s="261"/>
      <c r="W1177" s="256"/>
      <c r="X1177" s="256"/>
      <c r="Y1177" s="256"/>
      <c r="Z1177" s="256"/>
      <c r="AA1177" s="54"/>
      <c r="AB1177" s="200"/>
      <c r="AC1177" s="31"/>
      <c r="AD1177" s="184"/>
      <c r="AE1177" s="51"/>
      <c r="AF1177" s="52"/>
      <c r="AG1177" s="41"/>
      <c r="AH1177" s="45"/>
      <c r="AI1177" s="28"/>
      <c r="AJ1177" s="28"/>
      <c r="AK1177" s="28"/>
      <c r="AL1177" s="28"/>
      <c r="AM1177" s="12"/>
      <c r="AN1177" s="12"/>
      <c r="AO1177" s="12"/>
      <c r="AP1177" s="12"/>
      <c r="AQ1177" s="12"/>
      <c r="AR1177" s="13"/>
      <c r="AS1177" s="14"/>
    </row>
    <row r="1178" spans="1:45" s="16" customFormat="1" ht="30.95" hidden="1" customHeight="1" x14ac:dyDescent="0.2">
      <c r="A1178" s="35" t="s">
        <v>1640</v>
      </c>
      <c r="B1178" s="36" t="s">
        <v>1627</v>
      </c>
      <c r="C1178" s="43"/>
      <c r="D1178" s="29">
        <v>3727609</v>
      </c>
      <c r="E1178" s="29">
        <v>4141028</v>
      </c>
      <c r="F1178" s="255" t="str">
        <f>IF(D1178="","",VLOOKUP(D1178,契約台帳!$A$3:$K$4986,6,FALSE)&amp;VLOOKUP(D1178,契約台帳!$A$3:$K$4986,7,FALSE)&amp;VLOOKUP(D1178,契約台帳!$A$3:$K$4986,8,FALSE)&amp;VLOOKUP(D1178,契約台帳!$A$3:$K$4986,9,FALSE)&amp;VLOOKUP(D1178,契約台帳!$A$3:$K$4986,11,FALSE))</f>
        <v>3SNMLBMNNGKBF</v>
      </c>
      <c r="G1178" s="256" t="str">
        <f>IF(D1178="","",VLOOKUP(F1178,製品マスタ!$G$5:$H$4999,2,FALSE))</f>
        <v>S</v>
      </c>
      <c r="H1178" s="256" t="str">
        <f>IF(D1178="","",VLOOKUP(F1178,製品マスタ!$G$5:$K$4999,5,FALSE))</f>
        <v>MNNGKBF</v>
      </c>
      <c r="I1178" s="200" t="str">
        <f>IF(D1178="","",VLOOKUP(F1178,製品マスタ!$G$5:$L$4999,6,FALSE))</f>
        <v>メタルミー　ニューネーマー銀消　Ｂ</v>
      </c>
      <c r="J1178" s="203" t="s">
        <v>447</v>
      </c>
      <c r="K1178" s="200">
        <f>IF(D1178="","",VLOOKUP(D1178,契約台帳!$A$3:$L$4986,12,FALSE))</f>
        <v>50</v>
      </c>
      <c r="L1178" s="200" t="str">
        <f>IF(D1178="","",INDEX(製品マスタ!$Q$5:$Q$4999,MATCH('S4'!F1178&amp;'S4'!K1178,製品マスタ!$AO$5:$AO$4999,0)))</f>
        <v>X44</v>
      </c>
      <c r="M1178" s="37">
        <v>1000</v>
      </c>
      <c r="N1178" s="37">
        <v>12000</v>
      </c>
      <c r="O1178" s="153">
        <v>1</v>
      </c>
      <c r="P1178" s="45">
        <v>1</v>
      </c>
      <c r="Q1178" s="54"/>
      <c r="R1178" s="257">
        <f ca="1">IF(D1178="","",IF(OFFSET(D1178,-1,0)&lt;&gt;"","",IF(OR(J1178="リード付け",J1178="巻足し",J1178="巻返しリード付け"),M1178,VLOOKUP(D1178,契約台帳!$A$3:$N$4986,14,FALSE))))</f>
        <v>1000</v>
      </c>
      <c r="S1178" s="258">
        <f ca="1">IF(D1178="","",IF(OFFSET(D1178,-1,0)&lt;&gt;"","",IF(OR(J1178="リード付け",J1178="巻足し",J1178="巻返しリード付け"),M1178,VLOOKUP(D1178,契約台帳!$A$3:$O$4986,15,FALSE))))</f>
        <v>1000</v>
      </c>
      <c r="T1178" s="258">
        <f ca="1">IF(D1178="","",IF(J1178="リード付け",N1178,IF(J1178="巻返しリード付け",N1178,IF(J1178="巻足し",N1178*P1178+OFFSET(N1178,1,0)*OFFSET(P1178,1,0),VLOOKUP(D1178,契約台帳!$A$3:$P$4986,16,FALSE)))))</f>
        <v>4000</v>
      </c>
      <c r="U1178" s="38">
        <v>3</v>
      </c>
      <c r="V1178" s="259">
        <f ca="1">IF(D1178="","",IF(OFFSET(D1178,-2,0)=D1178,"",VLOOKUP(D1178,契約台帳!$A$3:$R$4986,18,FALSE)))</f>
        <v>4</v>
      </c>
      <c r="W1178" s="256" t="str">
        <f ca="1">IF(D1178="","",IF(T1178="","",IF(OR(J1178="巻足し",J1178="巻返しリード付け"),"",IF(J1178="巻返し",VLOOKUP(F1178&amp;K1178&amp;M1178,製品マスタ!$M$5:$AD$4999,18,FALSE),IF(OR(J1178="リード付け",J1178="巻返しリード付け"),"原反コア",IF(J1178="スリット",VLOOKUP(F1178&amp;K1178&amp;R1178,製品マスタ!$N$5:$AD$4999,17,FALSE),""))))))</f>
        <v>6ｲﾝﾁSｺｱ</v>
      </c>
      <c r="X1178" s="256">
        <f ca="1">IF(D1178="","",IF(T1178="","",IF(J1178="巻足し","",IF(J1178="巻返し",VLOOKUP(F1178&amp;K1178&amp;M1178,製品マスタ!$M$5:$AE$4999,19,FALSE),IF(OR(J1178="リード付け",J1178="巻返しリード付け"),"",IF(J1178="スリット",VLOOKUP(F1178&amp;K1178&amp;R1178,製品マスタ!$N$5:$AE$4999,18,FALSE),""))))))</f>
        <v>1005</v>
      </c>
      <c r="Y1178" s="256">
        <f ca="1">IF(D1178="","",IF(T1178="","",VLOOKUP(D1178,契約台帳!$A$3:$Q$4986,17,FALSE)))</f>
        <v>2</v>
      </c>
      <c r="Z1178" s="256" t="str">
        <f ca="1">IF(D1178="","",IF(T1178="","",VLOOKUP(D1178,契約台帳!$A$3:$E$4986,5,FALSE)))</f>
        <v xml:space="preserve">リンテック㈱        </v>
      </c>
      <c r="AA1178" s="54"/>
      <c r="AB1178" s="200"/>
      <c r="AC1178" s="31"/>
      <c r="AD1178" s="184"/>
      <c r="AE1178" s="51" t="str">
        <f>IF(F1178="","",+F1178&amp;K1178)</f>
        <v>3SNMLBMNNGKBF50</v>
      </c>
      <c r="AF1178" s="52">
        <f>+M1178*N1178*O1178/1000</f>
        <v>12000</v>
      </c>
      <c r="AG1178" s="41">
        <f>IF(AE1178="","",VLOOKUP(AE1178,原価マスタ!$A$2:$AJ$1693,13,FALSE))</f>
        <v>99</v>
      </c>
      <c r="AH1178" s="45">
        <f>IF(AG1178="","",+AF1178*AG1178/100)</f>
        <v>11880</v>
      </c>
      <c r="AI1178" s="28"/>
      <c r="AJ1178" s="28"/>
      <c r="AK1178" s="28"/>
      <c r="AL1178" s="28"/>
      <c r="AM1178" s="12"/>
      <c r="AN1178" s="12"/>
      <c r="AO1178" s="12"/>
      <c r="AP1178" s="12"/>
      <c r="AQ1178" s="12"/>
      <c r="AR1178" s="13"/>
      <c r="AS1178" s="14"/>
    </row>
    <row r="1179" spans="1:45" s="16" customFormat="1" ht="30.95" hidden="1" customHeight="1" x14ac:dyDescent="0.2">
      <c r="A1179" s="35"/>
      <c r="B1179" s="36"/>
      <c r="C1179" s="43"/>
      <c r="D1179" s="29"/>
      <c r="E1179" s="29"/>
      <c r="F1179" s="255"/>
      <c r="G1179" s="256"/>
      <c r="H1179" s="256"/>
      <c r="I1179" s="200"/>
      <c r="J1179" s="203"/>
      <c r="K1179" s="200"/>
      <c r="L1179" s="200"/>
      <c r="M1179" s="37"/>
      <c r="N1179" s="37"/>
      <c r="O1179" s="153"/>
      <c r="P1179" s="45"/>
      <c r="Q1179" s="54"/>
      <c r="R1179" s="260"/>
      <c r="S1179" s="258"/>
      <c r="T1179" s="258"/>
      <c r="U1179" s="38"/>
      <c r="V1179" s="261"/>
      <c r="W1179" s="256"/>
      <c r="X1179" s="256"/>
      <c r="Y1179" s="256"/>
      <c r="Z1179" s="256"/>
      <c r="AA1179" s="54"/>
      <c r="AB1179" s="200"/>
      <c r="AC1179" s="31"/>
      <c r="AD1179" s="184"/>
      <c r="AE1179" s="51"/>
      <c r="AF1179" s="52"/>
      <c r="AG1179" s="41"/>
      <c r="AH1179" s="45"/>
      <c r="AI1179" s="28"/>
      <c r="AJ1179" s="28"/>
      <c r="AK1179" s="28"/>
      <c r="AL1179" s="28"/>
      <c r="AM1179" s="12"/>
      <c r="AN1179" s="12"/>
      <c r="AO1179" s="12"/>
      <c r="AP1179" s="12"/>
      <c r="AQ1179" s="12"/>
      <c r="AR1179" s="13"/>
      <c r="AS1179" s="14"/>
    </row>
    <row r="1180" spans="1:45" s="16" customFormat="1" ht="30.95" hidden="1" customHeight="1" x14ac:dyDescent="0.2">
      <c r="A1180" s="35"/>
      <c r="B1180" s="36"/>
      <c r="C1180" s="43"/>
      <c r="D1180" s="29">
        <v>3727609</v>
      </c>
      <c r="E1180" s="29">
        <v>4141028</v>
      </c>
      <c r="F1180" s="255" t="str">
        <f>IF(D1180="","",VLOOKUP(D1180,契約台帳!$A$3:$K$4986,6,FALSE)&amp;VLOOKUP(D1180,契約台帳!$A$3:$K$4986,7,FALSE)&amp;VLOOKUP(D1180,契約台帳!$A$3:$K$4986,8,FALSE)&amp;VLOOKUP(D1180,契約台帳!$A$3:$K$4986,9,FALSE)&amp;VLOOKUP(D1180,契約台帳!$A$3:$K$4986,11,FALSE))</f>
        <v>3SNMLBMNNGKBF</v>
      </c>
      <c r="G1180" s="256" t="str">
        <f>IF(D1180="","",VLOOKUP(F1180,製品マスタ!$G$5:$H$4999,2,FALSE))</f>
        <v>S</v>
      </c>
      <c r="H1180" s="256" t="str">
        <f>IF(D1180="","",VLOOKUP(F1180,製品マスタ!$G$5:$K$4999,5,FALSE))</f>
        <v>MNNGKBF</v>
      </c>
      <c r="I1180" s="200" t="str">
        <f>IF(D1180="","",VLOOKUP(F1180,製品マスタ!$G$5:$L$4999,6,FALSE))</f>
        <v>メタルミー　ニューネーマー銀消　Ｂ</v>
      </c>
      <c r="J1180" s="203" t="s">
        <v>447</v>
      </c>
      <c r="K1180" s="200">
        <f>IF(D1180="","",VLOOKUP(D1180,契約台帳!$A$3:$L$4986,12,FALSE))</f>
        <v>50</v>
      </c>
      <c r="L1180" s="200" t="str">
        <f>IF(D1180="","",INDEX(製品マスタ!$Q$5:$Q$4999,MATCH('S4'!F1180&amp;'S4'!K1180,製品マスタ!$AO$5:$AO$4999,0)))</f>
        <v>X44</v>
      </c>
      <c r="M1180" s="37">
        <v>1000</v>
      </c>
      <c r="N1180" s="37">
        <v>12000</v>
      </c>
      <c r="O1180" s="153">
        <v>1</v>
      </c>
      <c r="P1180" s="45">
        <v>1</v>
      </c>
      <c r="Q1180" s="54"/>
      <c r="R1180" s="257">
        <f ca="1">IF(D1180="","",IF(OFFSET(D1180,-1,0)&lt;&gt;"","",IF(OR(J1180="リード付け",J1180="巻足し",J1180="巻返しリード付け"),M1180,VLOOKUP(D1180,契約台帳!$A$3:$N$4986,14,FALSE))))</f>
        <v>1000</v>
      </c>
      <c r="S1180" s="258">
        <f ca="1">IF(D1180="","",IF(OFFSET(D1180,-1,0)&lt;&gt;"","",IF(OR(J1180="リード付け",J1180="巻足し",J1180="巻返しリード付け"),M1180,VLOOKUP(D1180,契約台帳!$A$3:$O$4986,15,FALSE))))</f>
        <v>1000</v>
      </c>
      <c r="T1180" s="258">
        <f ca="1">IF(D1180="","",IF(J1180="リード付け",N1180,IF(J1180="巻返しリード付け",N1180,IF(J1180="巻足し",N1180*P1180+OFFSET(N1180,1,0)*OFFSET(P1180,1,0),VLOOKUP(D1180,契約台帳!$A$3:$P$4986,16,FALSE)))))</f>
        <v>4000</v>
      </c>
      <c r="U1180" s="38">
        <v>1</v>
      </c>
      <c r="V1180" s="259" t="str">
        <f ca="1">IF(D1180="","",IF(OFFSET(D1180,-2,0)=D1180,"",VLOOKUP(D1180,契約台帳!$A$3:$R$4986,18,FALSE)))</f>
        <v/>
      </c>
      <c r="W1180" s="256" t="str">
        <f ca="1">IF(D1180="","",IF(T1180="","",IF(OR(J1180="巻足し",J1180="巻返しリード付け"),"",IF(J1180="巻返し",VLOOKUP(F1180&amp;K1180&amp;M1180,製品マスタ!$M$5:$AD$4999,18,FALSE),IF(OR(J1180="リード付け",J1180="巻返しリード付け"),"原反コア",IF(J1180="スリット",VLOOKUP(F1180&amp;K1180&amp;R1180,製品マスタ!$N$5:$AD$4999,17,FALSE),""))))))</f>
        <v>6ｲﾝﾁSｺｱ</v>
      </c>
      <c r="X1180" s="256">
        <f ca="1">IF(D1180="","",IF(T1180="","",IF(J1180="巻足し","",IF(J1180="巻返し",VLOOKUP(F1180&amp;K1180&amp;M1180,製品マスタ!$M$5:$AE$4999,19,FALSE),IF(OR(J1180="リード付け",J1180="巻返しリード付け"),"",IF(J1180="スリット",VLOOKUP(F1180&amp;K1180&amp;R1180,製品マスタ!$N$5:$AE$4999,18,FALSE),""))))))</f>
        <v>1005</v>
      </c>
      <c r="Y1180" s="256">
        <f ca="1">IF(D1180="","",IF(T1180="","",VLOOKUP(D1180,契約台帳!$A$3:$Q$4986,17,FALSE)))</f>
        <v>2</v>
      </c>
      <c r="Z1180" s="256" t="str">
        <f ca="1">IF(D1180="","",IF(T1180="","",VLOOKUP(D1180,契約台帳!$A$3:$E$4986,5,FALSE)))</f>
        <v xml:space="preserve">リンテック㈱        </v>
      </c>
      <c r="AA1180" s="54"/>
      <c r="AB1180" s="200"/>
      <c r="AC1180" s="31"/>
      <c r="AD1180" s="184"/>
      <c r="AE1180" s="51" t="str">
        <f>IF(F1180="","",+F1180&amp;K1180)</f>
        <v>3SNMLBMNNGKBF50</v>
      </c>
      <c r="AF1180" s="52">
        <f>+M1180*N1180*O1180/1000</f>
        <v>12000</v>
      </c>
      <c r="AG1180" s="41">
        <f>IF(AE1180="","",VLOOKUP(AE1180,原価マスタ!$A$2:$AJ$1693,13,FALSE))</f>
        <v>99</v>
      </c>
      <c r="AH1180" s="45">
        <f>IF(AG1180="","",+AF1180*AG1180/100)</f>
        <v>11880</v>
      </c>
      <c r="AI1180" s="28"/>
      <c r="AJ1180" s="28"/>
      <c r="AK1180" s="28"/>
      <c r="AL1180" s="28"/>
      <c r="AM1180" s="12"/>
      <c r="AN1180" s="12"/>
      <c r="AO1180" s="12"/>
      <c r="AP1180" s="12"/>
      <c r="AQ1180" s="12"/>
      <c r="AR1180" s="13"/>
      <c r="AS1180" s="14"/>
    </row>
    <row r="1181" spans="1:45" s="16" customFormat="1" ht="30.95" hidden="1" customHeight="1" x14ac:dyDescent="0.2">
      <c r="A1181" s="35"/>
      <c r="B1181" s="36"/>
      <c r="C1181" s="43"/>
      <c r="D1181" s="29">
        <v>3727610</v>
      </c>
      <c r="E1181" s="29"/>
      <c r="F1181" s="255" t="str">
        <f>IF(D1181="","",VLOOKUP(D1181,契約台帳!$A$3:$K$4986,6,FALSE)&amp;VLOOKUP(D1181,契約台帳!$A$3:$K$4986,7,FALSE)&amp;VLOOKUP(D1181,契約台帳!$A$3:$K$4986,8,FALSE)&amp;VLOOKUP(D1181,契約台帳!$A$3:$K$4986,9,FALSE)&amp;VLOOKUP(D1181,契約台帳!$A$3:$K$4986,11,FALSE))</f>
        <v>3SNMLBMNNGKBF</v>
      </c>
      <c r="G1181" s="256" t="str">
        <f>IF(D1181="","",VLOOKUP(F1181,製品マスタ!$G$5:$H$4999,2,FALSE))</f>
        <v>S</v>
      </c>
      <c r="H1181" s="256" t="str">
        <f>IF(D1181="","",VLOOKUP(F1181,製品マスタ!$G$5:$K$4999,5,FALSE))</f>
        <v>MNNGKBF</v>
      </c>
      <c r="I1181" s="200" t="str">
        <f>IF(D1181="","",VLOOKUP(F1181,製品マスタ!$G$5:$L$4999,6,FALSE))</f>
        <v>メタルミー　ニューネーマー銀消　Ｂ</v>
      </c>
      <c r="J1181" s="203" t="s">
        <v>447</v>
      </c>
      <c r="K1181" s="200">
        <f>IF(D1181="","",VLOOKUP(D1181,契約台帳!$A$3:$L$4986,12,FALSE))</f>
        <v>50</v>
      </c>
      <c r="L1181" s="200" t="str">
        <f>IF(D1181="","",INDEX(製品マスタ!$Q$5:$Q$4999,MATCH('S4'!F1181&amp;'S4'!K1181,製品マスタ!$AO$5:$AO$4999,0)))</f>
        <v>X44</v>
      </c>
      <c r="M1181" s="37">
        <v>1000</v>
      </c>
      <c r="N1181" s="37"/>
      <c r="O1181" s="153"/>
      <c r="P1181" s="45"/>
      <c r="Q1181" s="54"/>
      <c r="R1181" s="257" t="str">
        <f ca="1">IF(D1181="","",IF(OFFSET(D1181,-1,0)&lt;&gt;"","",IF(OR(J1181="リード付け",J1181="巻足し",J1181="巻返しリード付け"),M1181,VLOOKUP(D1181,契約台帳!$A$3:$N$4986,14,FALSE))))</f>
        <v/>
      </c>
      <c r="S1181" s="258" t="str">
        <f ca="1">IF(D1181="","",IF(OFFSET(D1181,-1,0)&lt;&gt;"","",IF(OR(J1181="リード付け",J1181="巻足し",J1181="巻返しリード付け"),M1181,VLOOKUP(D1181,契約台帳!$A$3:$O$4986,15,FALSE))))</f>
        <v/>
      </c>
      <c r="T1181" s="258">
        <f ca="1">IF(D1181="","",IF(J1181="リード付け",N1181,IF(J1181="巻返しリード付け",N1181,IF(J1181="巻足し",N1181*P1181+OFFSET(N1181,1,0)*OFFSET(P1181,1,0),VLOOKUP(D1181,契約台帳!$A$3:$P$4986,16,FALSE)))))</f>
        <v>4000</v>
      </c>
      <c r="U1181" s="38">
        <v>2</v>
      </c>
      <c r="V1181" s="259">
        <f ca="1">IF(D1181="","",IF(OFFSET(D1181,-2,0)=D1181,"",VLOOKUP(D1181,契約台帳!$A$3:$R$4986,18,FALSE)))</f>
        <v>11</v>
      </c>
      <c r="W1181" s="256" t="str">
        <f ca="1">IF(D1181="","",IF(T1181="","",IF(OR(J1181="巻足し",J1181="巻返しリード付け"),"",IF(J1181="巻返し",VLOOKUP(F1181&amp;K1181&amp;M1181,製品マスタ!$M$5:$AD$4999,18,FALSE),IF(OR(J1181="リード付け",J1181="巻返しリード付け"),"原反コア",IF(J1181="スリット",VLOOKUP(F1181&amp;K1181&amp;R1181,製品マスタ!$N$5:$AD$4999,17,FALSE),""))))))</f>
        <v>6ｲﾝﾁSｺｱ</v>
      </c>
      <c r="X1181" s="256">
        <f ca="1">IF(D1181="","",IF(T1181="","",IF(J1181="巻足し","",IF(J1181="巻返し",VLOOKUP(F1181&amp;K1181&amp;M1181,製品マスタ!$M$5:$AE$4999,19,FALSE),IF(OR(J1181="リード付け",J1181="巻返しリード付け"),"",IF(J1181="スリット",VLOOKUP(F1181&amp;K1181&amp;R1181,製品マスタ!$N$5:$AE$4999,18,FALSE),""))))))</f>
        <v>1005</v>
      </c>
      <c r="Y1181" s="256">
        <f ca="1">IF(D1181="","",IF(T1181="","",VLOOKUP(D1181,契約台帳!$A$3:$Q$4986,17,FALSE)))</f>
        <v>2</v>
      </c>
      <c r="Z1181" s="256" t="str">
        <f ca="1">IF(D1181="","",IF(T1181="","",VLOOKUP(D1181,契約台帳!$A$3:$E$4986,5,FALSE)))</f>
        <v xml:space="preserve">リンテック㈱        </v>
      </c>
      <c r="AA1181" s="54"/>
      <c r="AB1181" s="200"/>
      <c r="AC1181" s="31"/>
      <c r="AD1181" s="184"/>
      <c r="AE1181" s="51"/>
      <c r="AF1181" s="52"/>
      <c r="AG1181" s="41"/>
      <c r="AH1181" s="45"/>
      <c r="AI1181" s="28"/>
      <c r="AJ1181" s="28"/>
      <c r="AK1181" s="28"/>
      <c r="AL1181" s="28"/>
      <c r="AM1181" s="12"/>
      <c r="AN1181" s="12"/>
      <c r="AO1181" s="12"/>
      <c r="AP1181" s="12"/>
      <c r="AQ1181" s="12"/>
      <c r="AR1181" s="13"/>
      <c r="AS1181" s="14"/>
    </row>
    <row r="1182" spans="1:45" s="16" customFormat="1" ht="30.95" hidden="1" customHeight="1" x14ac:dyDescent="0.2">
      <c r="A1182" s="35"/>
      <c r="B1182" s="36"/>
      <c r="C1182" s="43"/>
      <c r="D1182" s="29"/>
      <c r="E1182" s="29"/>
      <c r="F1182" s="255"/>
      <c r="G1182" s="256"/>
      <c r="H1182" s="256"/>
      <c r="I1182" s="200"/>
      <c r="J1182" s="203"/>
      <c r="K1182" s="200"/>
      <c r="L1182" s="200"/>
      <c r="M1182" s="37"/>
      <c r="N1182" s="37"/>
      <c r="O1182" s="153"/>
      <c r="P1182" s="45"/>
      <c r="Q1182" s="54"/>
      <c r="R1182" s="260"/>
      <c r="S1182" s="258"/>
      <c r="T1182" s="258"/>
      <c r="U1182" s="38"/>
      <c r="V1182" s="261"/>
      <c r="W1182" s="256"/>
      <c r="X1182" s="256"/>
      <c r="Y1182" s="256"/>
      <c r="Z1182" s="256"/>
      <c r="AA1182" s="54"/>
      <c r="AB1182" s="200"/>
      <c r="AC1182" s="31"/>
      <c r="AD1182" s="184"/>
      <c r="AE1182" s="51"/>
      <c r="AF1182" s="52"/>
      <c r="AG1182" s="41"/>
      <c r="AH1182" s="45"/>
      <c r="AI1182" s="28"/>
      <c r="AJ1182" s="28"/>
      <c r="AK1182" s="28"/>
      <c r="AL1182" s="28"/>
      <c r="AM1182" s="12"/>
      <c r="AN1182" s="12"/>
      <c r="AO1182" s="12"/>
      <c r="AP1182" s="12"/>
      <c r="AQ1182" s="12"/>
      <c r="AR1182" s="13"/>
      <c r="AS1182" s="14"/>
    </row>
    <row r="1183" spans="1:45" s="16" customFormat="1" ht="30.95" hidden="1" customHeight="1" x14ac:dyDescent="0.2">
      <c r="A1183" s="35"/>
      <c r="B1183" s="36"/>
      <c r="C1183" s="43"/>
      <c r="D1183" s="29">
        <v>3727610</v>
      </c>
      <c r="E1183" s="29">
        <v>4141029</v>
      </c>
      <c r="F1183" s="255" t="str">
        <f>IF(D1183="","",VLOOKUP(D1183,契約台帳!$A$3:$K$4986,6,FALSE)&amp;VLOOKUP(D1183,契約台帳!$A$3:$K$4986,7,FALSE)&amp;VLOOKUP(D1183,契約台帳!$A$3:$K$4986,8,FALSE)&amp;VLOOKUP(D1183,契約台帳!$A$3:$K$4986,9,FALSE)&amp;VLOOKUP(D1183,契約台帳!$A$3:$K$4986,11,FALSE))</f>
        <v>3SNMLBMNNGKBF</v>
      </c>
      <c r="G1183" s="256" t="str">
        <f>IF(D1183="","",VLOOKUP(F1183,製品マスタ!$G$5:$H$4999,2,FALSE))</f>
        <v>S</v>
      </c>
      <c r="H1183" s="256" t="str">
        <f>IF(D1183="","",VLOOKUP(F1183,製品マスタ!$G$5:$K$4999,5,FALSE))</f>
        <v>MNNGKBF</v>
      </c>
      <c r="I1183" s="200" t="str">
        <f>IF(D1183="","",VLOOKUP(F1183,製品マスタ!$G$5:$L$4999,6,FALSE))</f>
        <v>メタルミー　ニューネーマー銀消　Ｂ</v>
      </c>
      <c r="J1183" s="203" t="s">
        <v>447</v>
      </c>
      <c r="K1183" s="200">
        <f>IF(D1183="","",VLOOKUP(D1183,契約台帳!$A$3:$L$4986,12,FALSE))</f>
        <v>50</v>
      </c>
      <c r="L1183" s="200" t="str">
        <f>IF(D1183="","",INDEX(製品マスタ!$Q$5:$Q$4999,MATCH('S4'!F1183&amp;'S4'!K1183,製品マスタ!$AO$5:$AO$4999,0)))</f>
        <v>X44</v>
      </c>
      <c r="M1183" s="37">
        <v>1000</v>
      </c>
      <c r="N1183" s="37">
        <v>12000</v>
      </c>
      <c r="O1183" s="153">
        <v>3</v>
      </c>
      <c r="P1183" s="45">
        <v>3</v>
      </c>
      <c r="Q1183" s="54"/>
      <c r="R1183" s="257">
        <f ca="1">IF(D1183="","",IF(OFFSET(D1183,-1,0)&lt;&gt;"","",IF(OR(J1183="リード付け",J1183="巻足し",J1183="巻返しリード付け"),M1183,VLOOKUP(D1183,契約台帳!$A$3:$N$4986,14,FALSE))))</f>
        <v>1000</v>
      </c>
      <c r="S1183" s="258">
        <f ca="1">IF(D1183="","",IF(OFFSET(D1183,-1,0)&lt;&gt;"","",IF(OR(J1183="リード付け",J1183="巻足し",J1183="巻返しリード付け"),M1183,VLOOKUP(D1183,契約台帳!$A$3:$O$4986,15,FALSE))))</f>
        <v>1000</v>
      </c>
      <c r="T1183" s="258">
        <f ca="1">IF(D1183="","",IF(J1183="リード付け",N1183,IF(J1183="巻返しリード付け",N1183,IF(J1183="巻足し",N1183*P1183+OFFSET(N1183,1,0)*OFFSET(P1183,1,0),VLOOKUP(D1183,契約台帳!$A$3:$P$4986,16,FALSE)))))</f>
        <v>4000</v>
      </c>
      <c r="U1183" s="38">
        <v>9</v>
      </c>
      <c r="V1183" s="259" t="str">
        <f ca="1">IF(D1183="","",IF(OFFSET(D1183,-2,0)=D1183,"",VLOOKUP(D1183,契約台帳!$A$3:$R$4986,18,FALSE)))</f>
        <v/>
      </c>
      <c r="W1183" s="256" t="str">
        <f ca="1">IF(D1183="","",IF(T1183="","",IF(OR(J1183="巻足し",J1183="巻返しリード付け"),"",IF(J1183="巻返し",VLOOKUP(F1183&amp;K1183&amp;M1183,製品マスタ!$M$5:$AD$4999,18,FALSE),IF(OR(J1183="リード付け",J1183="巻返しリード付け"),"原反コア",IF(J1183="スリット",VLOOKUP(F1183&amp;K1183&amp;R1183,製品マスタ!$N$5:$AD$4999,17,FALSE),""))))))</f>
        <v>6ｲﾝﾁSｺｱ</v>
      </c>
      <c r="X1183" s="256">
        <f ca="1">IF(D1183="","",IF(T1183="","",IF(J1183="巻足し","",IF(J1183="巻返し",VLOOKUP(F1183&amp;K1183&amp;M1183,製品マスタ!$M$5:$AE$4999,19,FALSE),IF(OR(J1183="リード付け",J1183="巻返しリード付け"),"",IF(J1183="スリット",VLOOKUP(F1183&amp;K1183&amp;R1183,製品マスタ!$N$5:$AE$4999,18,FALSE),""))))))</f>
        <v>1005</v>
      </c>
      <c r="Y1183" s="256">
        <f ca="1">IF(D1183="","",IF(T1183="","",VLOOKUP(D1183,契約台帳!$A$3:$Q$4986,17,FALSE)))</f>
        <v>2</v>
      </c>
      <c r="Z1183" s="256" t="str">
        <f ca="1">IF(D1183="","",IF(T1183="","",VLOOKUP(D1183,契約台帳!$A$3:$E$4986,5,FALSE)))</f>
        <v xml:space="preserve">リンテック㈱        </v>
      </c>
      <c r="AA1183" s="54"/>
      <c r="AB1183" s="200"/>
      <c r="AC1183" s="31"/>
      <c r="AD1183" s="184"/>
      <c r="AE1183" s="51" t="str">
        <f>IF(F1183="","",+F1183&amp;K1183)</f>
        <v>3SNMLBMNNGKBF50</v>
      </c>
      <c r="AF1183" s="52">
        <f>+M1183*N1183*O1183/1000</f>
        <v>36000</v>
      </c>
      <c r="AG1183" s="41">
        <f>IF(AE1183="","",VLOOKUP(AE1183,原価マスタ!$A$2:$AJ$1693,13,FALSE))</f>
        <v>99</v>
      </c>
      <c r="AH1183" s="45">
        <f>IF(AG1183="","",+AF1183*AG1183/100)</f>
        <v>35640</v>
      </c>
      <c r="AI1183" s="28"/>
      <c r="AJ1183" s="28"/>
      <c r="AK1183" s="28"/>
      <c r="AL1183" s="28"/>
      <c r="AM1183" s="12"/>
      <c r="AN1183" s="12"/>
      <c r="AO1183" s="12"/>
      <c r="AP1183" s="12"/>
      <c r="AQ1183" s="12"/>
      <c r="AR1183" s="13"/>
      <c r="AS1183" s="14"/>
    </row>
    <row r="1184" spans="1:45" s="16" customFormat="1" ht="30.95" hidden="1" customHeight="1" x14ac:dyDescent="0.2">
      <c r="A1184" s="35"/>
      <c r="B1184" s="36"/>
      <c r="C1184" s="43"/>
      <c r="D1184" s="29"/>
      <c r="E1184" s="29"/>
      <c r="F1184" s="255"/>
      <c r="G1184" s="256"/>
      <c r="H1184" s="256"/>
      <c r="I1184" s="200"/>
      <c r="J1184" s="203"/>
      <c r="K1184" s="200"/>
      <c r="L1184" s="200"/>
      <c r="M1184" s="37"/>
      <c r="N1184" s="37"/>
      <c r="O1184" s="153"/>
      <c r="P1184" s="45"/>
      <c r="Q1184" s="54"/>
      <c r="R1184" s="260"/>
      <c r="S1184" s="258"/>
      <c r="T1184" s="258"/>
      <c r="U1184" s="38"/>
      <c r="V1184" s="261"/>
      <c r="W1184" s="256"/>
      <c r="X1184" s="256"/>
      <c r="Y1184" s="256"/>
      <c r="Z1184" s="256"/>
      <c r="AA1184" s="54"/>
      <c r="AB1184" s="200"/>
      <c r="AC1184" s="31"/>
      <c r="AD1184" s="184"/>
      <c r="AE1184" s="51"/>
      <c r="AF1184" s="52"/>
      <c r="AG1184" s="41"/>
      <c r="AH1184" s="45"/>
      <c r="AI1184" s="28"/>
      <c r="AJ1184" s="28"/>
      <c r="AK1184" s="28"/>
      <c r="AL1184" s="28"/>
      <c r="AM1184" s="12"/>
      <c r="AN1184" s="12"/>
      <c r="AO1184" s="12"/>
      <c r="AP1184" s="12"/>
      <c r="AQ1184" s="12"/>
      <c r="AR1184" s="13"/>
      <c r="AS1184" s="14"/>
    </row>
    <row r="1185" spans="1:45" s="16" customFormat="1" ht="30.95" hidden="1" customHeight="1" x14ac:dyDescent="0.2">
      <c r="A1185" s="35" t="s">
        <v>1641</v>
      </c>
      <c r="B1185" s="36" t="s">
        <v>1629</v>
      </c>
      <c r="C1185" s="43"/>
      <c r="D1185" s="29"/>
      <c r="E1185" s="29"/>
      <c r="F1185" s="255"/>
      <c r="G1185" s="256"/>
      <c r="H1185" s="256"/>
      <c r="I1185" s="200"/>
      <c r="J1185" s="203" t="s">
        <v>1637</v>
      </c>
      <c r="K1185" s="200"/>
      <c r="L1185" s="200"/>
      <c r="M1185" s="37"/>
      <c r="N1185" s="37"/>
      <c r="O1185" s="153"/>
      <c r="P1185" s="45"/>
      <c r="Q1185" s="54"/>
      <c r="R1185" s="260"/>
      <c r="S1185" s="258"/>
      <c r="T1185" s="258"/>
      <c r="U1185" s="38"/>
      <c r="V1185" s="261"/>
      <c r="W1185" s="256"/>
      <c r="X1185" s="256"/>
      <c r="Y1185" s="256"/>
      <c r="Z1185" s="256"/>
      <c r="AA1185" s="54"/>
      <c r="AB1185" s="200"/>
      <c r="AC1185" s="31"/>
      <c r="AD1185" s="184"/>
      <c r="AE1185" s="51"/>
      <c r="AF1185" s="52"/>
      <c r="AG1185" s="41"/>
      <c r="AH1185" s="45"/>
      <c r="AI1185" s="28"/>
      <c r="AJ1185" s="28"/>
      <c r="AK1185" s="28"/>
      <c r="AL1185" s="28"/>
      <c r="AM1185" s="12"/>
      <c r="AN1185" s="12"/>
      <c r="AO1185" s="12"/>
      <c r="AP1185" s="12"/>
      <c r="AQ1185" s="12"/>
      <c r="AR1185" s="13"/>
      <c r="AS1185" s="14"/>
    </row>
    <row r="1186" spans="1:45" s="16" customFormat="1" ht="30.95" hidden="1" customHeight="1" x14ac:dyDescent="0.2">
      <c r="A1186" s="35"/>
      <c r="B1186" s="36"/>
      <c r="C1186" s="43"/>
      <c r="D1186" s="29"/>
      <c r="E1186" s="29"/>
      <c r="F1186" s="255"/>
      <c r="G1186" s="256"/>
      <c r="H1186" s="256"/>
      <c r="I1186" s="200"/>
      <c r="J1186" s="203"/>
      <c r="K1186" s="200"/>
      <c r="L1186" s="200"/>
      <c r="M1186" s="37"/>
      <c r="N1186" s="37"/>
      <c r="O1186" s="153"/>
      <c r="P1186" s="45"/>
      <c r="Q1186" s="54"/>
      <c r="R1186" s="260"/>
      <c r="S1186" s="258"/>
      <c r="T1186" s="258"/>
      <c r="U1186" s="38"/>
      <c r="V1186" s="261"/>
      <c r="W1186" s="256"/>
      <c r="X1186" s="256"/>
      <c r="Y1186" s="256"/>
      <c r="Z1186" s="256"/>
      <c r="AA1186" s="54"/>
      <c r="AB1186" s="200"/>
      <c r="AC1186" s="31"/>
      <c r="AD1186" s="184"/>
      <c r="AE1186" s="51"/>
      <c r="AF1186" s="52"/>
      <c r="AG1186" s="41"/>
      <c r="AH1186" s="45"/>
      <c r="AI1186" s="28"/>
      <c r="AJ1186" s="28"/>
      <c r="AK1186" s="28"/>
      <c r="AL1186" s="28"/>
      <c r="AM1186" s="12"/>
      <c r="AN1186" s="12"/>
      <c r="AO1186" s="12"/>
      <c r="AP1186" s="12"/>
      <c r="AQ1186" s="12"/>
      <c r="AR1186" s="13"/>
      <c r="AS1186" s="14"/>
    </row>
    <row r="1187" spans="1:45" s="16" customFormat="1" ht="30.95" hidden="1" customHeight="1" x14ac:dyDescent="0.2">
      <c r="A1187" s="35" t="s">
        <v>1642</v>
      </c>
      <c r="B1187" s="36" t="s">
        <v>1631</v>
      </c>
      <c r="C1187" s="43"/>
      <c r="D1187" s="29"/>
      <c r="E1187" s="29"/>
      <c r="F1187" s="255"/>
      <c r="G1187" s="256"/>
      <c r="H1187" s="256"/>
      <c r="I1187" s="200"/>
      <c r="J1187" s="203" t="s">
        <v>1637</v>
      </c>
      <c r="K1187" s="200"/>
      <c r="L1187" s="200"/>
      <c r="M1187" s="37"/>
      <c r="N1187" s="37"/>
      <c r="O1187" s="153"/>
      <c r="P1187" s="45"/>
      <c r="Q1187" s="54"/>
      <c r="R1187" s="260"/>
      <c r="S1187" s="258"/>
      <c r="T1187" s="258"/>
      <c r="U1187" s="38"/>
      <c r="V1187" s="261"/>
      <c r="W1187" s="256"/>
      <c r="X1187" s="256"/>
      <c r="Y1187" s="256"/>
      <c r="Z1187" s="256"/>
      <c r="AA1187" s="54"/>
      <c r="AB1187" s="200"/>
      <c r="AC1187" s="31"/>
      <c r="AD1187" s="184"/>
      <c r="AE1187" s="51"/>
      <c r="AF1187" s="52"/>
      <c r="AG1187" s="41"/>
      <c r="AH1187" s="45"/>
      <c r="AI1187" s="28"/>
      <c r="AJ1187" s="28"/>
      <c r="AK1187" s="28"/>
      <c r="AL1187" s="28"/>
      <c r="AM1187" s="12"/>
      <c r="AN1187" s="12"/>
      <c r="AO1187" s="12"/>
      <c r="AP1187" s="12"/>
      <c r="AQ1187" s="12"/>
      <c r="AR1187" s="13"/>
      <c r="AS1187" s="14"/>
    </row>
    <row r="1188" spans="1:45" s="16" customFormat="1" ht="30.95" hidden="1" customHeight="1" x14ac:dyDescent="0.2">
      <c r="A1188" s="35"/>
      <c r="B1188" s="36"/>
      <c r="C1188" s="43"/>
      <c r="D1188" s="29"/>
      <c r="E1188" s="29"/>
      <c r="F1188" s="255"/>
      <c r="G1188" s="256"/>
      <c r="H1188" s="256"/>
      <c r="I1188" s="200"/>
      <c r="J1188" s="203"/>
      <c r="K1188" s="200"/>
      <c r="L1188" s="200"/>
      <c r="M1188" s="37"/>
      <c r="N1188" s="37"/>
      <c r="O1188" s="153"/>
      <c r="P1188" s="45"/>
      <c r="Q1188" s="54"/>
      <c r="R1188" s="260"/>
      <c r="S1188" s="258"/>
      <c r="T1188" s="258"/>
      <c r="U1188" s="38"/>
      <c r="V1188" s="261"/>
      <c r="W1188" s="256"/>
      <c r="X1188" s="256"/>
      <c r="Y1188" s="256"/>
      <c r="Z1188" s="256"/>
      <c r="AA1188" s="54"/>
      <c r="AB1188" s="200"/>
      <c r="AC1188" s="31"/>
      <c r="AD1188" s="184"/>
      <c r="AE1188" s="51"/>
      <c r="AF1188" s="52"/>
      <c r="AG1188" s="41"/>
      <c r="AH1188" s="45"/>
      <c r="AI1188" s="28"/>
      <c r="AJ1188" s="28"/>
      <c r="AK1188" s="28"/>
      <c r="AL1188" s="28"/>
      <c r="AM1188" s="12"/>
      <c r="AN1188" s="12"/>
      <c r="AO1188" s="12"/>
      <c r="AP1188" s="12"/>
      <c r="AQ1188" s="12"/>
      <c r="AR1188" s="13"/>
      <c r="AS1188" s="14"/>
    </row>
    <row r="1189" spans="1:45" s="16" customFormat="1" ht="30.95" hidden="1" customHeight="1" x14ac:dyDescent="0.2">
      <c r="A1189" s="35" t="s">
        <v>1643</v>
      </c>
      <c r="B1189" s="36" t="s">
        <v>1633</v>
      </c>
      <c r="C1189" s="43"/>
      <c r="D1189" s="29"/>
      <c r="E1189" s="29"/>
      <c r="F1189" s="255"/>
      <c r="G1189" s="256"/>
      <c r="H1189" s="256"/>
      <c r="I1189" s="200"/>
      <c r="J1189" s="203" t="s">
        <v>490</v>
      </c>
      <c r="K1189" s="200"/>
      <c r="L1189" s="200"/>
      <c r="M1189" s="37"/>
      <c r="N1189" s="37"/>
      <c r="O1189" s="153"/>
      <c r="P1189" s="45"/>
      <c r="Q1189" s="54"/>
      <c r="R1189" s="257"/>
      <c r="S1189" s="258"/>
      <c r="T1189" s="258"/>
      <c r="U1189" s="38"/>
      <c r="V1189" s="259"/>
      <c r="W1189" s="256"/>
      <c r="X1189" s="256"/>
      <c r="Y1189" s="256"/>
      <c r="Z1189" s="256"/>
      <c r="AA1189" s="54"/>
      <c r="AB1189" s="200"/>
      <c r="AC1189" s="31"/>
      <c r="AD1189" s="184"/>
      <c r="AE1189" s="51" t="str">
        <f>IF(F1189="","",+F1189&amp;K1189)</f>
        <v/>
      </c>
      <c r="AF1189" s="52">
        <f>+M1189*N1189*O1189/1000</f>
        <v>0</v>
      </c>
      <c r="AG1189" s="41" t="str">
        <f>IF(AE1189="","",VLOOKUP(AE1189,原価マスタ!$A$2:$AJ$1693,13,FALSE))</f>
        <v/>
      </c>
      <c r="AH1189" s="45" t="str">
        <f>IF(AG1189="","",+AF1189*AG1189/100)</f>
        <v/>
      </c>
      <c r="AI1189" s="28"/>
      <c r="AJ1189" s="28"/>
      <c r="AK1189" s="28"/>
      <c r="AL1189" s="28"/>
      <c r="AM1189" s="12"/>
      <c r="AN1189" s="12"/>
      <c r="AO1189" s="12"/>
      <c r="AP1189" s="12"/>
      <c r="AQ1189" s="12"/>
      <c r="AR1189" s="13"/>
      <c r="AS1189" s="14"/>
    </row>
    <row r="1190" spans="1:45" s="16" customFormat="1" ht="30.95" hidden="1" customHeight="1" x14ac:dyDescent="0.2">
      <c r="A1190" s="35"/>
      <c r="B1190" s="36"/>
      <c r="C1190" s="43"/>
      <c r="D1190" s="29"/>
      <c r="E1190" s="29"/>
      <c r="F1190" s="255"/>
      <c r="G1190" s="256"/>
      <c r="H1190" s="256"/>
      <c r="I1190" s="200"/>
      <c r="J1190" s="203"/>
      <c r="K1190" s="200"/>
      <c r="L1190" s="200"/>
      <c r="M1190" s="37"/>
      <c r="N1190" s="37"/>
      <c r="O1190" s="153"/>
      <c r="P1190" s="45"/>
      <c r="Q1190" s="54"/>
      <c r="R1190" s="260"/>
      <c r="S1190" s="258"/>
      <c r="T1190" s="258"/>
      <c r="U1190" s="38"/>
      <c r="V1190" s="261"/>
      <c r="W1190" s="256"/>
      <c r="X1190" s="256"/>
      <c r="Y1190" s="256"/>
      <c r="Z1190" s="256"/>
      <c r="AA1190" s="54"/>
      <c r="AB1190" s="200"/>
      <c r="AC1190" s="31"/>
      <c r="AD1190" s="184"/>
      <c r="AE1190" s="51"/>
      <c r="AF1190" s="52"/>
      <c r="AG1190" s="41"/>
      <c r="AH1190" s="45"/>
      <c r="AI1190" s="28"/>
      <c r="AJ1190" s="28"/>
      <c r="AK1190" s="28"/>
      <c r="AL1190" s="28"/>
      <c r="AM1190" s="12"/>
      <c r="AN1190" s="12"/>
      <c r="AO1190" s="12"/>
      <c r="AP1190" s="12"/>
      <c r="AQ1190" s="12"/>
      <c r="AR1190" s="13"/>
      <c r="AS1190" s="14"/>
    </row>
    <row r="1191" spans="1:45" s="225" customFormat="1" ht="30.95" hidden="1" customHeight="1" x14ac:dyDescent="0.2">
      <c r="A1191" s="209"/>
      <c r="B1191" s="210"/>
      <c r="C1191" s="262"/>
      <c r="D1191" s="211"/>
      <c r="E1191" s="211"/>
      <c r="F1191" s="263"/>
      <c r="G1191" s="264"/>
      <c r="H1191" s="264"/>
      <c r="I1191" s="265"/>
      <c r="J1191" s="268"/>
      <c r="K1191" s="265"/>
      <c r="L1191" s="265"/>
      <c r="M1191" s="213"/>
      <c r="N1191" s="213"/>
      <c r="O1191" s="269"/>
      <c r="P1191" s="214"/>
      <c r="Q1191" s="206"/>
      <c r="R1191" s="266"/>
      <c r="S1191" s="271"/>
      <c r="T1191" s="271"/>
      <c r="U1191" s="216"/>
      <c r="V1191" s="267"/>
      <c r="W1191" s="264"/>
      <c r="X1191" s="264"/>
      <c r="Y1191" s="264"/>
      <c r="Z1191" s="264"/>
      <c r="AA1191" s="206"/>
      <c r="AB1191" s="265"/>
      <c r="AC1191" s="217"/>
      <c r="AD1191" s="218"/>
      <c r="AE1191" s="219"/>
      <c r="AF1191" s="220"/>
      <c r="AG1191" s="215"/>
      <c r="AH1191" s="226">
        <f>SUM(AH1129:AH1190)</f>
        <v>153331.20000000001</v>
      </c>
      <c r="AI1191" s="221"/>
      <c r="AJ1191" s="221"/>
      <c r="AK1191" s="221"/>
      <c r="AL1191" s="221"/>
      <c r="AM1191" s="222"/>
      <c r="AN1191" s="222"/>
      <c r="AO1191" s="222"/>
      <c r="AP1191" s="222"/>
      <c r="AQ1191" s="222"/>
      <c r="AR1191" s="223"/>
      <c r="AS1191" s="224"/>
    </row>
    <row r="1192" spans="1:45" s="16" customFormat="1" ht="30.95" hidden="1" customHeight="1" x14ac:dyDescent="0.2">
      <c r="A1192" s="35"/>
      <c r="B1192" s="36"/>
      <c r="C1192" s="43"/>
      <c r="D1192" s="29"/>
      <c r="E1192" s="29"/>
      <c r="F1192" s="255"/>
      <c r="G1192" s="256"/>
      <c r="H1192" s="256"/>
      <c r="I1192" s="200"/>
      <c r="J1192" s="203"/>
      <c r="K1192" s="200"/>
      <c r="L1192" s="200"/>
      <c r="M1192" s="37"/>
      <c r="N1192" s="37"/>
      <c r="O1192" s="153"/>
      <c r="P1192" s="45"/>
      <c r="Q1192" s="54"/>
      <c r="R1192" s="260"/>
      <c r="S1192" s="258"/>
      <c r="T1192" s="258"/>
      <c r="U1192" s="38"/>
      <c r="V1192" s="261"/>
      <c r="W1192" s="256"/>
      <c r="X1192" s="256"/>
      <c r="Y1192" s="256"/>
      <c r="Z1192" s="256"/>
      <c r="AA1192" s="54"/>
      <c r="AB1192" s="200"/>
      <c r="AC1192" s="31"/>
      <c r="AD1192" s="184"/>
      <c r="AE1192" s="51"/>
      <c r="AF1192" s="52"/>
      <c r="AG1192" s="41"/>
      <c r="AH1192" s="45"/>
      <c r="AI1192" s="28"/>
      <c r="AJ1192" s="28"/>
      <c r="AK1192" s="28"/>
      <c r="AL1192" s="28"/>
      <c r="AM1192" s="12"/>
      <c r="AN1192" s="12"/>
      <c r="AO1192" s="12"/>
      <c r="AP1192" s="12"/>
      <c r="AQ1192" s="12"/>
      <c r="AR1192" s="13"/>
      <c r="AS1192" s="14"/>
    </row>
    <row r="1193" spans="1:45" s="16" customFormat="1" ht="30.95" hidden="1" customHeight="1" x14ac:dyDescent="0.2">
      <c r="A1193" s="35" t="s">
        <v>1644</v>
      </c>
      <c r="B1193" s="36" t="s">
        <v>1634</v>
      </c>
      <c r="C1193" s="43"/>
      <c r="D1193" s="29"/>
      <c r="E1193" s="29"/>
      <c r="F1193" s="255"/>
      <c r="G1193" s="256"/>
      <c r="H1193" s="256"/>
      <c r="I1193" s="200"/>
      <c r="J1193" s="203" t="s">
        <v>1651</v>
      </c>
      <c r="K1193" s="200"/>
      <c r="L1193" s="200"/>
      <c r="M1193" s="37"/>
      <c r="N1193" s="37"/>
      <c r="O1193" s="153"/>
      <c r="P1193" s="45"/>
      <c r="Q1193" s="54"/>
      <c r="R1193" s="260"/>
      <c r="S1193" s="258"/>
      <c r="T1193" s="258"/>
      <c r="U1193" s="38"/>
      <c r="V1193" s="261"/>
      <c r="W1193" s="256"/>
      <c r="X1193" s="256"/>
      <c r="Y1193" s="256"/>
      <c r="Z1193" s="256"/>
      <c r="AA1193" s="54"/>
      <c r="AB1193" s="200"/>
      <c r="AC1193" s="31"/>
      <c r="AD1193" s="184"/>
      <c r="AE1193" s="51"/>
      <c r="AF1193" s="52"/>
      <c r="AG1193" s="41"/>
      <c r="AH1193" s="45"/>
      <c r="AI1193" s="28"/>
      <c r="AJ1193" s="28"/>
      <c r="AK1193" s="28"/>
      <c r="AL1193" s="28"/>
      <c r="AM1193" s="12"/>
      <c r="AN1193" s="12"/>
      <c r="AO1193" s="12"/>
      <c r="AP1193" s="12"/>
      <c r="AQ1193" s="12"/>
      <c r="AR1193" s="13"/>
      <c r="AS1193" s="14"/>
    </row>
    <row r="1194" spans="1:45" s="16" customFormat="1" ht="30.95" hidden="1" customHeight="1" x14ac:dyDescent="0.2">
      <c r="A1194" s="35"/>
      <c r="B1194" s="36"/>
      <c r="C1194" s="43"/>
      <c r="D1194" s="29"/>
      <c r="E1194" s="29"/>
      <c r="F1194" s="255"/>
      <c r="G1194" s="256"/>
      <c r="H1194" s="256"/>
      <c r="I1194" s="200"/>
      <c r="J1194" s="203"/>
      <c r="K1194" s="200"/>
      <c r="L1194" s="200"/>
      <c r="M1194" s="37"/>
      <c r="N1194" s="37"/>
      <c r="O1194" s="153"/>
      <c r="P1194" s="45"/>
      <c r="Q1194" s="54"/>
      <c r="R1194" s="260"/>
      <c r="S1194" s="258"/>
      <c r="T1194" s="258"/>
      <c r="U1194" s="38"/>
      <c r="V1194" s="261"/>
      <c r="W1194" s="256"/>
      <c r="X1194" s="256"/>
      <c r="Y1194" s="256"/>
      <c r="Z1194" s="256"/>
      <c r="AA1194" s="54"/>
      <c r="AB1194" s="200"/>
      <c r="AC1194" s="31"/>
      <c r="AD1194" s="184"/>
      <c r="AE1194" s="51"/>
      <c r="AF1194" s="52"/>
      <c r="AG1194" s="41"/>
      <c r="AH1194" s="45"/>
      <c r="AI1194" s="28"/>
      <c r="AJ1194" s="28"/>
      <c r="AK1194" s="28"/>
      <c r="AL1194" s="28"/>
      <c r="AM1194" s="12"/>
      <c r="AN1194" s="12"/>
      <c r="AO1194" s="12"/>
      <c r="AP1194" s="12"/>
      <c r="AQ1194" s="12"/>
      <c r="AR1194" s="13"/>
      <c r="AS1194" s="14"/>
    </row>
    <row r="1195" spans="1:45" s="16" customFormat="1" ht="30.95" hidden="1" customHeight="1" x14ac:dyDescent="0.2">
      <c r="A1195" s="35" t="s">
        <v>1647</v>
      </c>
      <c r="B1195" s="36" t="s">
        <v>1635</v>
      </c>
      <c r="C1195" s="43"/>
      <c r="D1195" s="29"/>
      <c r="E1195" s="29"/>
      <c r="F1195" s="255"/>
      <c r="G1195" s="256"/>
      <c r="H1195" s="256"/>
      <c r="I1195" s="200"/>
      <c r="J1195" s="203" t="s">
        <v>489</v>
      </c>
      <c r="K1195" s="200"/>
      <c r="L1195" s="200"/>
      <c r="M1195" s="37"/>
      <c r="N1195" s="37"/>
      <c r="O1195" s="153"/>
      <c r="P1195" s="45"/>
      <c r="Q1195" s="54"/>
      <c r="R1195" s="260"/>
      <c r="S1195" s="258"/>
      <c r="T1195" s="258"/>
      <c r="U1195" s="38"/>
      <c r="V1195" s="261"/>
      <c r="W1195" s="256"/>
      <c r="X1195" s="256"/>
      <c r="Y1195" s="256"/>
      <c r="Z1195" s="256"/>
      <c r="AA1195" s="54"/>
      <c r="AB1195" s="200"/>
      <c r="AC1195" s="31"/>
      <c r="AD1195" s="184"/>
      <c r="AE1195" s="51"/>
      <c r="AF1195" s="52"/>
      <c r="AG1195" s="41"/>
      <c r="AH1195" s="45"/>
      <c r="AI1195" s="28"/>
      <c r="AJ1195" s="28"/>
      <c r="AK1195" s="28"/>
      <c r="AL1195" s="28"/>
      <c r="AM1195" s="12"/>
      <c r="AN1195" s="12"/>
      <c r="AO1195" s="12"/>
      <c r="AP1195" s="12"/>
      <c r="AQ1195" s="12"/>
      <c r="AR1195" s="13"/>
      <c r="AS1195" s="14"/>
    </row>
    <row r="1196" spans="1:45" s="16" customFormat="1" ht="30.95" hidden="1" customHeight="1" x14ac:dyDescent="0.2">
      <c r="A1196" s="35"/>
      <c r="B1196" s="36"/>
      <c r="C1196" s="43"/>
      <c r="D1196" s="29"/>
      <c r="E1196" s="29"/>
      <c r="F1196" s="255"/>
      <c r="G1196" s="256"/>
      <c r="H1196" s="256"/>
      <c r="I1196" s="200"/>
      <c r="J1196" s="203"/>
      <c r="K1196" s="200"/>
      <c r="L1196" s="200"/>
      <c r="M1196" s="37"/>
      <c r="N1196" s="37"/>
      <c r="O1196" s="153"/>
      <c r="P1196" s="45"/>
      <c r="Q1196" s="54"/>
      <c r="R1196" s="260"/>
      <c r="S1196" s="258"/>
      <c r="T1196" s="258"/>
      <c r="U1196" s="38"/>
      <c r="V1196" s="261"/>
      <c r="W1196" s="256"/>
      <c r="X1196" s="256"/>
      <c r="Y1196" s="256"/>
      <c r="Z1196" s="256"/>
      <c r="AA1196" s="54"/>
      <c r="AB1196" s="200"/>
      <c r="AC1196" s="31"/>
      <c r="AD1196" s="184"/>
      <c r="AE1196" s="51"/>
      <c r="AF1196" s="52"/>
      <c r="AG1196" s="41"/>
      <c r="AH1196" s="45"/>
      <c r="AI1196" s="28"/>
      <c r="AJ1196" s="28"/>
      <c r="AK1196" s="28"/>
      <c r="AL1196" s="28"/>
      <c r="AM1196" s="12"/>
      <c r="AN1196" s="12"/>
      <c r="AO1196" s="12"/>
      <c r="AP1196" s="12"/>
      <c r="AQ1196" s="12"/>
      <c r="AR1196" s="13"/>
      <c r="AS1196" s="14"/>
    </row>
    <row r="1197" spans="1:45" s="16" customFormat="1" ht="30.95" hidden="1" customHeight="1" x14ac:dyDescent="0.2">
      <c r="A1197" s="35" t="s">
        <v>1648</v>
      </c>
      <c r="B1197" s="36" t="s">
        <v>1625</v>
      </c>
      <c r="C1197" s="43"/>
      <c r="D1197" s="29"/>
      <c r="E1197" s="29"/>
      <c r="F1197" s="255"/>
      <c r="G1197" s="256"/>
      <c r="H1197" s="256"/>
      <c r="I1197" s="279" t="s">
        <v>1737</v>
      </c>
      <c r="J1197" s="203" t="s">
        <v>1656</v>
      </c>
      <c r="K1197" s="200"/>
      <c r="L1197" s="200"/>
      <c r="M1197" s="37"/>
      <c r="N1197" s="37"/>
      <c r="O1197" s="153"/>
      <c r="P1197" s="45"/>
      <c r="Q1197" s="54"/>
      <c r="R1197" s="260"/>
      <c r="S1197" s="258"/>
      <c r="T1197" s="258"/>
      <c r="U1197" s="38"/>
      <c r="V1197" s="261"/>
      <c r="W1197" s="256"/>
      <c r="X1197" s="256"/>
      <c r="Y1197" s="256"/>
      <c r="Z1197" s="256"/>
      <c r="AA1197" s="54"/>
      <c r="AB1197" s="200"/>
      <c r="AC1197" s="31"/>
      <c r="AD1197" s="184"/>
      <c r="AE1197" s="51"/>
      <c r="AF1197" s="52"/>
      <c r="AG1197" s="41"/>
      <c r="AH1197" s="45"/>
      <c r="AI1197" s="28"/>
      <c r="AJ1197" s="28"/>
      <c r="AK1197" s="28"/>
      <c r="AL1197" s="28"/>
      <c r="AM1197" s="12"/>
      <c r="AN1197" s="12"/>
      <c r="AO1197" s="12"/>
      <c r="AP1197" s="12"/>
      <c r="AQ1197" s="12"/>
      <c r="AR1197" s="13"/>
      <c r="AS1197" s="14"/>
    </row>
    <row r="1198" spans="1:45" s="16" customFormat="1" ht="30.95" hidden="1" customHeight="1" x14ac:dyDescent="0.2">
      <c r="A1198" s="35"/>
      <c r="B1198" s="36"/>
      <c r="C1198" s="43"/>
      <c r="D1198" s="29"/>
      <c r="E1198" s="29"/>
      <c r="F1198" s="255"/>
      <c r="G1198" s="256"/>
      <c r="H1198" s="256"/>
      <c r="I1198" s="200"/>
      <c r="J1198" s="203"/>
      <c r="K1198" s="200"/>
      <c r="L1198" s="200"/>
      <c r="M1198" s="37"/>
      <c r="N1198" s="37"/>
      <c r="O1198" s="153"/>
      <c r="P1198" s="45"/>
      <c r="Q1198" s="54"/>
      <c r="R1198" s="260"/>
      <c r="S1198" s="258"/>
      <c r="T1198" s="258"/>
      <c r="U1198" s="38"/>
      <c r="V1198" s="261"/>
      <c r="W1198" s="256"/>
      <c r="X1198" s="256"/>
      <c r="Y1198" s="256"/>
      <c r="Z1198" s="256"/>
      <c r="AA1198" s="54"/>
      <c r="AB1198" s="200"/>
      <c r="AC1198" s="31"/>
      <c r="AD1198" s="184"/>
      <c r="AE1198" s="51"/>
      <c r="AF1198" s="52"/>
      <c r="AG1198" s="41"/>
      <c r="AH1198" s="45"/>
      <c r="AI1198" s="28"/>
      <c r="AJ1198" s="28"/>
      <c r="AK1198" s="28"/>
      <c r="AL1198" s="28"/>
      <c r="AM1198" s="12"/>
      <c r="AN1198" s="12"/>
      <c r="AO1198" s="12"/>
      <c r="AP1198" s="12"/>
      <c r="AQ1198" s="12"/>
      <c r="AR1198" s="13"/>
      <c r="AS1198" s="14"/>
    </row>
    <row r="1199" spans="1:45" s="16" customFormat="1" ht="30.95" hidden="1" customHeight="1" x14ac:dyDescent="0.2">
      <c r="A1199" s="35"/>
      <c r="B1199" s="36"/>
      <c r="C1199" s="43"/>
      <c r="D1199" s="29">
        <v>3732043</v>
      </c>
      <c r="E1199" s="29">
        <v>4162130</v>
      </c>
      <c r="F1199" s="255" t="str">
        <f>IF(D1199="","",VLOOKUP(D1199,契約台帳!$A$3:$K$4986,6,FALSE)&amp;VLOOKUP(D1199,契約台帳!$A$3:$K$4986,7,FALSE)&amp;VLOOKUP(D1199,契約台帳!$A$3:$K$4986,8,FALSE)&amp;VLOOKUP(D1199,契約台帳!$A$3:$K$4986,9,FALSE)&amp;VLOOKUP(D1199,契約台帳!$A$3:$K$4986,11,FALSE))</f>
        <v>3SNMCLBMSNEYK</v>
      </c>
      <c r="G1199" s="256" t="str">
        <f>IF(D1199="","",VLOOKUP(F1199,製品マスタ!$G$5:$H$4999,2,FALSE))</f>
        <v>S</v>
      </c>
      <c r="H1199" s="256" t="str">
        <f>IF(D1199="","",VLOOKUP(F1199,製品マスタ!$G$5:$K$4999,5,FALSE))</f>
        <v>MSNEYK</v>
      </c>
      <c r="I1199" s="200" t="str">
        <f>IF(D1199="","",VLOOKUP(F1199,製品マスタ!$G$5:$L$4999,6,FALSE))</f>
        <v>ＭＳＮ　ＥＹＫ</v>
      </c>
      <c r="J1199" s="203" t="s">
        <v>935</v>
      </c>
      <c r="K1199" s="200">
        <f>IF(D1199="","",VLOOKUP(D1199,契約台帳!$A$3:$L$4986,12,FALSE))</f>
        <v>50</v>
      </c>
      <c r="L1199" s="200" t="str">
        <f>IF(D1199="","",INDEX(製品マスタ!$Q$5:$Q$4999,MATCH('S4'!F1199&amp;'S4'!K1199,製品マスタ!$AO$5:$AO$4999,0)))</f>
        <v>N-MAT</v>
      </c>
      <c r="M1199" s="37">
        <v>1200</v>
      </c>
      <c r="N1199" s="37">
        <v>6000</v>
      </c>
      <c r="O1199" s="153">
        <v>6</v>
      </c>
      <c r="P1199" s="45">
        <v>2</v>
      </c>
      <c r="Q1199" s="206">
        <v>45224</v>
      </c>
      <c r="R1199" s="257">
        <f ca="1">IF(D1199="","",IF(OFFSET(D1199,-1,0)&lt;&gt;"","",IF(OR(J1199="リード付け",J1199="巻足し",J1199="巻返しリード付け"),M1199,VLOOKUP(D1199,契約台帳!$A$3:$N$4986,14,FALSE))))</f>
        <v>1200</v>
      </c>
      <c r="S1199" s="258">
        <f ca="1">IF(D1199="","",IF(OFFSET(D1199,-1,0)&lt;&gt;"","",IF(OR(J1199="リード付け",J1199="巻足し",J1199="巻返しリード付け"),M1199,VLOOKUP(D1199,契約台帳!$A$3:$O$4986,15,FALSE))))</f>
        <v>1200</v>
      </c>
      <c r="T1199" s="258">
        <f ca="1">IF(D1199="","",IF(J1199="リード付け",N1199,IF(J1199="巻返しリード付け",N1199,IF(J1199="巻足し",N1199*P1199+OFFSET(N1199,1,0)*OFFSET(P1199,1,0),VLOOKUP(D1199,契約台帳!$A$3:$P$4986,16,FALSE)))))</f>
        <v>12000</v>
      </c>
      <c r="U1199" s="38">
        <v>3</v>
      </c>
      <c r="V1199" s="259">
        <v>6</v>
      </c>
      <c r="W1199" s="256" t="str">
        <f ca="1">IF(D1199="","",IF(T1199="","",IF(OR(J1199="巻足し",J1199="巻返しリード付け"),"",IF(J1199="巻返し",VLOOKUP(F1199&amp;K1199&amp;M1199,製品マスタ!$M$5:$AD$4999,18,FALSE),IF(OR(J1199="リード付け",J1199="巻返しリード付け"),"原反コア",IF(J1199="スリット",VLOOKUP(F1199&amp;K1199&amp;R1199,製品マスタ!$N$5:$AD$4999,17,FALSE),""))))))</f>
        <v/>
      </c>
      <c r="X1199" s="256" t="str">
        <f ca="1">IF(D1199="","",IF(T1199="","",IF(J1199="巻足し","",IF(J1199="巻返し",VLOOKUP(F1199&amp;K1199&amp;M1199,製品マスタ!$M$5:$AE$4999,19,FALSE),IF(OR(J1199="リード付け",J1199="巻返しリード付け"),"",IF(J1199="スリット",VLOOKUP(F1199&amp;K1199&amp;R1199,製品マスタ!$N$5:$AE$4999,18,FALSE),""))))))</f>
        <v/>
      </c>
      <c r="Y1199" s="256">
        <f ca="1">IF(D1199="","",IF(T1199="","",VLOOKUP(D1199,契約台帳!$A$3:$Q$4986,17,FALSE)))</f>
        <v>2</v>
      </c>
      <c r="Z1199" s="256" t="str">
        <f ca="1">IF(D1199="","",IF(T1199="","",VLOOKUP(D1199,契約台帳!$A$3:$E$4986,5,FALSE)))</f>
        <v>大阪シーリング印刷㈱</v>
      </c>
      <c r="AA1199" s="54"/>
      <c r="AB1199" s="200" t="str">
        <f>IFERROR((VLOOKUP(F1199&amp;K1199&amp;M1199,製品マスタ!$M$5:$AM$4999,27,FALSE)),"")</f>
        <v>原反ケース再利用</v>
      </c>
      <c r="AC1199" s="31"/>
      <c r="AD1199" s="184"/>
      <c r="AE1199" s="51"/>
      <c r="AF1199" s="52">
        <f>+M1199*N1199*O1199/1000</f>
        <v>43200</v>
      </c>
      <c r="AG1199" s="41"/>
      <c r="AH1199" s="45"/>
      <c r="AI1199" s="28"/>
      <c r="AJ1199" s="28"/>
      <c r="AK1199" s="28"/>
      <c r="AL1199" s="28"/>
      <c r="AM1199" s="12"/>
      <c r="AN1199" s="12"/>
      <c r="AO1199" s="12"/>
      <c r="AP1199" s="12"/>
      <c r="AQ1199" s="12"/>
      <c r="AR1199" s="13"/>
      <c r="AS1199" s="14"/>
    </row>
    <row r="1200" spans="1:45" s="16" customFormat="1" ht="30.95" hidden="1" customHeight="1" x14ac:dyDescent="0.2">
      <c r="A1200" s="35"/>
      <c r="B1200" s="36"/>
      <c r="C1200" s="43"/>
      <c r="D1200" s="29"/>
      <c r="E1200" s="29"/>
      <c r="F1200" s="255"/>
      <c r="G1200" s="256"/>
      <c r="H1200" s="256"/>
      <c r="I1200" s="200"/>
      <c r="J1200" s="203"/>
      <c r="K1200" s="200"/>
      <c r="L1200" s="200"/>
      <c r="M1200" s="37"/>
      <c r="N1200" s="37"/>
      <c r="O1200" s="153"/>
      <c r="P1200" s="45"/>
      <c r="Q1200" s="54"/>
      <c r="R1200" s="260"/>
      <c r="S1200" s="258"/>
      <c r="T1200" s="258"/>
      <c r="U1200" s="38"/>
      <c r="V1200" s="261"/>
      <c r="W1200" s="256"/>
      <c r="X1200" s="256"/>
      <c r="Y1200" s="256"/>
      <c r="Z1200" s="256"/>
      <c r="AA1200" s="54"/>
      <c r="AB1200" s="200"/>
      <c r="AC1200" s="31"/>
      <c r="AD1200" s="184"/>
      <c r="AE1200" s="51"/>
      <c r="AF1200" s="52"/>
      <c r="AG1200" s="41"/>
      <c r="AH1200" s="45"/>
      <c r="AI1200" s="28"/>
      <c r="AJ1200" s="28"/>
      <c r="AK1200" s="28"/>
      <c r="AL1200" s="28"/>
      <c r="AM1200" s="12"/>
      <c r="AN1200" s="12"/>
      <c r="AO1200" s="12"/>
      <c r="AP1200" s="12"/>
      <c r="AQ1200" s="12"/>
      <c r="AR1200" s="13"/>
      <c r="AS1200" s="14"/>
    </row>
    <row r="1201" spans="1:45" s="16" customFormat="1" ht="30.95" hidden="1" customHeight="1" x14ac:dyDescent="0.2">
      <c r="A1201" s="35" t="s">
        <v>637</v>
      </c>
      <c r="B1201" s="36" t="s">
        <v>444</v>
      </c>
      <c r="C1201" s="43"/>
      <c r="D1201" s="29">
        <v>3731374</v>
      </c>
      <c r="E1201" s="29">
        <v>4162116</v>
      </c>
      <c r="F1201" s="255" t="str">
        <f>IF(D1201="","",VLOOKUP(D1201,契約台帳!$A$3:$K$4986,6,FALSE)&amp;VLOOKUP(D1201,契約台帳!$A$3:$K$4986,7,FALSE)&amp;VLOOKUP(D1201,契約台帳!$A$3:$K$4986,8,FALSE)&amp;VLOOKUP(D1201,契約台帳!$A$3:$K$4986,9,FALSE)&amp;VLOOKUP(D1201,契約台帳!$A$3:$K$4986,11,FALSE))</f>
        <v>3SYMLBMSBBF</v>
      </c>
      <c r="G1201" s="256" t="str">
        <f>IF(D1201="","",VLOOKUP(F1201,製品マスタ!$G$5:$H$4999,2,FALSE))</f>
        <v>S</v>
      </c>
      <c r="H1201" s="256" t="str">
        <f>IF(D1201="","",VLOOKUP(F1201,製品マスタ!$G$5:$K$4999,5,FALSE))</f>
        <v>MSBBF</v>
      </c>
      <c r="I1201" s="200" t="str">
        <f>IF(D1201="","",VLOOKUP(F1201,製品マスタ!$G$5:$L$4999,6,FALSE))</f>
        <v>ＭＥＴＡＬＵＭＹ　ＳＩＬＶＥＲ　ＢＲＩＧＨＴ　Ｔ６２Ｍ　Ｂ</v>
      </c>
      <c r="J1201" s="203" t="s">
        <v>935</v>
      </c>
      <c r="K1201" s="200">
        <f>IF(D1201="","",VLOOKUP(D1201,契約台帳!$A$3:$L$4986,12,FALSE))</f>
        <v>50</v>
      </c>
      <c r="L1201" s="200" t="str">
        <f>IF(D1201="","",INDEX(製品マスタ!$Q$5:$Q$4999,MATCH('S4'!F1201&amp;'S4'!K1201,製品マスタ!$AO$5:$AO$4999,0)))</f>
        <v>T62</v>
      </c>
      <c r="M1201" s="37">
        <v>1120</v>
      </c>
      <c r="N1201" s="37">
        <v>5000</v>
      </c>
      <c r="O1201" s="153">
        <v>2</v>
      </c>
      <c r="P1201" s="45">
        <v>2</v>
      </c>
      <c r="Q1201" s="206">
        <v>45226</v>
      </c>
      <c r="R1201" s="257">
        <f ca="1">IF(D1201="","",IF(OFFSET(D1201,-1,0)&lt;&gt;"","",IF(OR(J1201="リード付け",J1201="巻足し",J1201="巻返しリード付け"),M1201,VLOOKUP(D1201,契約台帳!$A$3:$N$4986,14,FALSE))))</f>
        <v>1120</v>
      </c>
      <c r="S1201" s="258">
        <f ca="1">IF(D1201="","",IF(OFFSET(D1201,-1,0)&lt;&gt;"","",IF(OR(J1201="リード付け",J1201="巻足し",J1201="巻返しリード付け"),M1201,VLOOKUP(D1201,契約台帳!$A$3:$O$4986,15,FALSE))))</f>
        <v>1120</v>
      </c>
      <c r="T1201" s="258">
        <f ca="1">IF(D1201="","",IF(J1201="リード付け",N1201,IF(J1201="巻返しリード付け",N1201,IF(J1201="巻足し",N1201*P1201+OFFSET(N1201,1,0)*OFFSET(P1201,1,0),VLOOKUP(D1201,契約台帳!$A$3:$P$4986,16,FALSE)))))</f>
        <v>10000</v>
      </c>
      <c r="U1201" s="38">
        <v>1</v>
      </c>
      <c r="V1201" s="259">
        <f ca="1">IF(D1201="","",IF(OFFSET(D1201,-2,0)=D1201,"",VLOOKUP(D1201,契約台帳!$A$3:$R$4986,18,FALSE)))</f>
        <v>2</v>
      </c>
      <c r="W1201" s="256" t="str">
        <f ca="1">IF(D1201="","",IF(T1201="","",IF(OR(J1201="巻足し",J1201="巻返しリード付け"),"",IF(J1201="巻返し",VLOOKUP(F1201&amp;K1201&amp;M1201,製品マスタ!$M$5:$AD$4999,18,FALSE),IF(OR(J1201="リード付け",J1201="巻返しリード付け"),"原反コア",IF(J1201="スリット",VLOOKUP(F1201&amp;K1201&amp;R1201,製品マスタ!$N$5:$AD$4999,17,FALSE),""))))))</f>
        <v/>
      </c>
      <c r="X1201" s="256" t="str">
        <f ca="1">IF(D1201="","",IF(T1201="","",IF(J1201="巻足し","",IF(J1201="巻返し",VLOOKUP(F1201&amp;K1201&amp;M1201,製品マスタ!$M$5:$AE$4999,19,FALSE),IF(OR(J1201="リード付け",J1201="巻返しリード付け"),"",IF(J1201="スリット",VLOOKUP(F1201&amp;K1201&amp;R1201,製品マスタ!$N$5:$AE$4999,18,FALSE),""))))))</f>
        <v/>
      </c>
      <c r="Y1201" s="256">
        <f ca="1">IF(D1201="","",IF(T1201="","",VLOOKUP(D1201,契約台帳!$A$3:$Q$4986,17,FALSE)))</f>
        <v>2</v>
      </c>
      <c r="Z1201" s="256" t="str">
        <f ca="1">IF(D1201="","",IF(T1201="","",VLOOKUP(D1201,契約台帳!$A$3:$E$4986,5,FALSE)))</f>
        <v>リンテック㈱</v>
      </c>
      <c r="AA1201" s="54"/>
      <c r="AB1201" s="200" t="str">
        <f>IFERROR((VLOOKUP(F1201&amp;K1201&amp;M1201,製品マスタ!$M$5:$AM$4999,27,FALSE)),"")</f>
        <v>原反ケース再利用</v>
      </c>
      <c r="AC1201" s="31"/>
      <c r="AD1201" s="184"/>
      <c r="AE1201" s="51"/>
      <c r="AF1201" s="52"/>
      <c r="AG1201" s="41"/>
      <c r="AH1201" s="45"/>
      <c r="AI1201" s="28"/>
      <c r="AJ1201" s="28"/>
      <c r="AK1201" s="28"/>
      <c r="AL1201" s="28"/>
      <c r="AM1201" s="12"/>
      <c r="AN1201" s="12"/>
      <c r="AO1201" s="12"/>
      <c r="AP1201" s="12"/>
      <c r="AQ1201" s="12"/>
      <c r="AR1201" s="13"/>
      <c r="AS1201" s="14"/>
    </row>
    <row r="1202" spans="1:45" s="16" customFormat="1" ht="30.95" hidden="1" customHeight="1" x14ac:dyDescent="0.2">
      <c r="A1202" s="35"/>
      <c r="B1202" s="36"/>
      <c r="C1202" s="43"/>
      <c r="D1202" s="29"/>
      <c r="E1202" s="29"/>
      <c r="F1202" s="255"/>
      <c r="G1202" s="256"/>
      <c r="H1202" s="256"/>
      <c r="I1202" s="200"/>
      <c r="J1202" s="203"/>
      <c r="K1202" s="200"/>
      <c r="L1202" s="200"/>
      <c r="M1202" s="37"/>
      <c r="N1202" s="37"/>
      <c r="O1202" s="153"/>
      <c r="P1202" s="45"/>
      <c r="Q1202" s="54"/>
      <c r="R1202" s="260"/>
      <c r="S1202" s="258"/>
      <c r="T1202" s="258"/>
      <c r="U1202" s="38"/>
      <c r="V1202" s="261"/>
      <c r="W1202" s="256"/>
      <c r="X1202" s="256"/>
      <c r="Y1202" s="256"/>
      <c r="Z1202" s="256"/>
      <c r="AA1202" s="54"/>
      <c r="AB1202" s="200"/>
      <c r="AC1202" s="31"/>
      <c r="AD1202" s="184"/>
      <c r="AE1202" s="51"/>
      <c r="AF1202" s="52"/>
      <c r="AG1202" s="41"/>
      <c r="AH1202" s="45"/>
      <c r="AI1202" s="28"/>
      <c r="AJ1202" s="28"/>
      <c r="AK1202" s="28"/>
      <c r="AL1202" s="28"/>
      <c r="AM1202" s="12"/>
      <c r="AN1202" s="12"/>
      <c r="AO1202" s="12"/>
      <c r="AP1202" s="12"/>
      <c r="AQ1202" s="12"/>
      <c r="AR1202" s="13"/>
      <c r="AS1202" s="14"/>
    </row>
    <row r="1203" spans="1:45" s="16" customFormat="1" ht="30.95" hidden="1" customHeight="1" x14ac:dyDescent="0.2">
      <c r="A1203" s="35"/>
      <c r="B1203" s="36"/>
      <c r="C1203" s="43"/>
      <c r="D1203" s="29">
        <v>3731376</v>
      </c>
      <c r="E1203" s="29">
        <v>4162117</v>
      </c>
      <c r="F1203" s="255" t="str">
        <f>IF(D1203="","",VLOOKUP(D1203,契約台帳!$A$3:$K$4986,6,FALSE)&amp;VLOOKUP(D1203,契約台帳!$A$3:$K$4986,7,FALSE)&amp;VLOOKUP(D1203,契約台帳!$A$3:$K$4986,8,FALSE)&amp;VLOOKUP(D1203,契約台帳!$A$3:$K$4986,9,FALSE)&amp;VLOOKUP(D1203,契約台帳!$A$3:$K$4986,11,FALSE))</f>
        <v>3SYMLBMSBBF</v>
      </c>
      <c r="G1203" s="256" t="str">
        <f>IF(D1203="","",VLOOKUP(F1203,製品マスタ!$G$5:$H$4999,2,FALSE))</f>
        <v>S</v>
      </c>
      <c r="H1203" s="256" t="str">
        <f>IF(D1203="","",VLOOKUP(F1203,製品マスタ!$G$5:$K$4999,5,FALSE))</f>
        <v>MSBBF</v>
      </c>
      <c r="I1203" s="200" t="str">
        <f>IF(D1203="","",VLOOKUP(F1203,製品マスタ!$G$5:$L$4999,6,FALSE))</f>
        <v>ＭＥＴＡＬＵＭＹ　ＳＩＬＶＥＲ　ＢＲＩＧＨＴ　Ｔ６２Ｍ　Ｂ</v>
      </c>
      <c r="J1203" s="203" t="s">
        <v>935</v>
      </c>
      <c r="K1203" s="200">
        <f>IF(D1203="","",VLOOKUP(D1203,契約台帳!$A$3:$L$4986,12,FALSE))</f>
        <v>50</v>
      </c>
      <c r="L1203" s="200" t="str">
        <f>IF(D1203="","",INDEX(製品マスタ!$Q$5:$Q$4999,MATCH('S4'!F1203&amp;'S4'!K1203,製品マスタ!$AO$5:$AO$4999,0)))</f>
        <v>T62</v>
      </c>
      <c r="M1203" s="37">
        <v>1120</v>
      </c>
      <c r="N1203" s="37">
        <v>5000</v>
      </c>
      <c r="O1203" s="153">
        <v>2</v>
      </c>
      <c r="P1203" s="45">
        <v>2</v>
      </c>
      <c r="Q1203" s="206">
        <v>45226</v>
      </c>
      <c r="R1203" s="257">
        <f ca="1">IF(D1203="","",IF(OFFSET(D1203,-1,0)&lt;&gt;"","",IF(OR(J1203="リード付け",J1203="巻足し",J1203="巻返しリード付け"),M1203,VLOOKUP(D1203,契約台帳!$A$3:$N$4986,14,FALSE))))</f>
        <v>1120</v>
      </c>
      <c r="S1203" s="258">
        <f ca="1">IF(D1203="","",IF(OFFSET(D1203,-1,0)&lt;&gt;"","",IF(OR(J1203="リード付け",J1203="巻足し",J1203="巻返しリード付け"),M1203,VLOOKUP(D1203,契約台帳!$A$3:$O$4986,15,FALSE))))</f>
        <v>1120</v>
      </c>
      <c r="T1203" s="258">
        <f ca="1">IF(D1203="","",IF(J1203="リード付け",N1203,IF(J1203="巻返しリード付け",N1203,IF(J1203="巻足し",N1203*P1203+OFFSET(N1203,1,0)*OFFSET(P1203,1,0),VLOOKUP(D1203,契約台帳!$A$3:$P$4986,16,FALSE)))))</f>
        <v>10000</v>
      </c>
      <c r="U1203" s="38">
        <v>1</v>
      </c>
      <c r="V1203" s="259">
        <f ca="1">IF(D1203="","",IF(OFFSET(D1203,-2,0)=D1203,"",VLOOKUP(D1203,契約台帳!$A$3:$R$4986,18,FALSE)))</f>
        <v>2</v>
      </c>
      <c r="W1203" s="256" t="str">
        <f ca="1">IF(D1203="","",IF(T1203="","",IF(OR(J1203="巻足し",J1203="巻返しリード付け"),"",IF(J1203="巻返し",VLOOKUP(F1203&amp;K1203&amp;M1203,製品マスタ!$M$5:$AD$4999,18,FALSE),IF(OR(J1203="リード付け",J1203="巻返しリード付け"),"原反コア",IF(J1203="スリット",VLOOKUP(F1203&amp;K1203&amp;R1203,製品マスタ!$N$5:$AD$4999,17,FALSE),""))))))</f>
        <v/>
      </c>
      <c r="X1203" s="256" t="str">
        <f ca="1">IF(D1203="","",IF(T1203="","",IF(J1203="巻足し","",IF(J1203="巻返し",VLOOKUP(F1203&amp;K1203&amp;M1203,製品マスタ!$M$5:$AE$4999,19,FALSE),IF(OR(J1203="リード付け",J1203="巻返しリード付け"),"",IF(J1203="スリット",VLOOKUP(F1203&amp;K1203&amp;R1203,製品マスタ!$N$5:$AE$4999,18,FALSE),""))))))</f>
        <v/>
      </c>
      <c r="Y1203" s="256">
        <f ca="1">IF(D1203="","",IF(T1203="","",VLOOKUP(D1203,契約台帳!$A$3:$Q$4986,17,FALSE)))</f>
        <v>2</v>
      </c>
      <c r="Z1203" s="256" t="str">
        <f ca="1">IF(D1203="","",IF(T1203="","",VLOOKUP(D1203,契約台帳!$A$3:$E$4986,5,FALSE)))</f>
        <v>リンテック㈱</v>
      </c>
      <c r="AA1203" s="54"/>
      <c r="AB1203" s="200" t="str">
        <f>IFERROR((VLOOKUP(F1203&amp;K1203&amp;M1203,製品マスタ!$M$5:$AM$4999,27,FALSE)),"")</f>
        <v>原反ケース再利用</v>
      </c>
      <c r="AC1203" s="31"/>
      <c r="AD1203" s="184"/>
      <c r="AE1203" s="51"/>
      <c r="AF1203" s="52"/>
      <c r="AG1203" s="41"/>
      <c r="AH1203" s="45"/>
      <c r="AI1203" s="28"/>
      <c r="AJ1203" s="28"/>
      <c r="AK1203" s="28"/>
      <c r="AL1203" s="28"/>
      <c r="AM1203" s="12"/>
      <c r="AN1203" s="12"/>
      <c r="AO1203" s="12"/>
      <c r="AP1203" s="12"/>
      <c r="AQ1203" s="12"/>
      <c r="AR1203" s="13"/>
      <c r="AS1203" s="14"/>
    </row>
    <row r="1204" spans="1:45" s="16" customFormat="1" ht="30.95" hidden="1" customHeight="1" x14ac:dyDescent="0.2">
      <c r="A1204" s="35"/>
      <c r="B1204" s="36"/>
      <c r="C1204" s="43"/>
      <c r="D1204" s="29"/>
      <c r="E1204" s="29"/>
      <c r="F1204" s="255"/>
      <c r="G1204" s="256"/>
      <c r="H1204" s="256"/>
      <c r="I1204" s="200"/>
      <c r="J1204" s="203"/>
      <c r="K1204" s="200"/>
      <c r="L1204" s="200"/>
      <c r="M1204" s="37"/>
      <c r="N1204" s="37"/>
      <c r="O1204" s="153"/>
      <c r="P1204" s="45"/>
      <c r="Q1204" s="54"/>
      <c r="R1204" s="260"/>
      <c r="S1204" s="258"/>
      <c r="T1204" s="258"/>
      <c r="U1204" s="38"/>
      <c r="V1204" s="261"/>
      <c r="W1204" s="256"/>
      <c r="X1204" s="256"/>
      <c r="Y1204" s="256"/>
      <c r="Z1204" s="256"/>
      <c r="AA1204" s="54"/>
      <c r="AB1204" s="200"/>
      <c r="AC1204" s="31"/>
      <c r="AD1204" s="184"/>
      <c r="AE1204" s="51"/>
      <c r="AF1204" s="52"/>
      <c r="AG1204" s="41"/>
      <c r="AH1204" s="45"/>
      <c r="AI1204" s="28"/>
      <c r="AJ1204" s="28"/>
      <c r="AK1204" s="28"/>
      <c r="AL1204" s="28"/>
      <c r="AM1204" s="12"/>
      <c r="AN1204" s="12"/>
      <c r="AO1204" s="12"/>
      <c r="AP1204" s="12"/>
      <c r="AQ1204" s="12"/>
      <c r="AR1204" s="13"/>
      <c r="AS1204" s="14"/>
    </row>
    <row r="1205" spans="1:45" s="16" customFormat="1" ht="30.95" hidden="1" customHeight="1" x14ac:dyDescent="0.2">
      <c r="A1205" s="35"/>
      <c r="B1205" s="36"/>
      <c r="C1205" s="43"/>
      <c r="D1205" s="29">
        <v>3731355</v>
      </c>
      <c r="E1205" s="29">
        <v>4162111</v>
      </c>
      <c r="F1205" s="255" t="str">
        <f>IF(D1205="","",VLOOKUP(D1205,契約台帳!$A$3:$K$4986,6,FALSE)&amp;VLOOKUP(D1205,契約台帳!$A$3:$K$4986,7,FALSE)&amp;VLOOKUP(D1205,契約台帳!$A$3:$K$4986,8,FALSE)&amp;VLOOKUP(D1205,契約台帳!$A$3:$K$4986,9,FALSE)&amp;VLOOKUP(D1205,契約台帳!$A$3:$K$4986,11,FALSE))</f>
        <v>3SNMLBMNGTBF</v>
      </c>
      <c r="G1205" s="256" t="str">
        <f>IF(D1205="","",VLOOKUP(F1205,製品マスタ!$G$5:$H$4999,2,FALSE))</f>
        <v>S</v>
      </c>
      <c r="H1205" s="256" t="str">
        <f>IF(D1205="","",VLOOKUP(F1205,製品マスタ!$G$5:$K$4999,5,FALSE))</f>
        <v>MNGTBF</v>
      </c>
      <c r="I1205" s="200" t="str">
        <f>IF(D1205="","",VLOOKUP(F1205,製品マスタ!$G$5:$L$4999,6,FALSE))</f>
        <v>メタルミー　ネーマー　銀艶　Ｂ</v>
      </c>
      <c r="J1205" s="203" t="s">
        <v>935</v>
      </c>
      <c r="K1205" s="200">
        <f>IF(D1205="","",VLOOKUP(D1205,契約台帳!$A$3:$L$4986,12,FALSE))</f>
        <v>50</v>
      </c>
      <c r="L1205" s="200" t="str">
        <f>IF(D1205="","",INDEX(製品マスタ!$Q$5:$Q$4999,MATCH('S4'!F1205&amp;'S4'!K1205,製品マスタ!$AO$5:$AO$4999,0)))</f>
        <v>T62</v>
      </c>
      <c r="M1205" s="37">
        <v>1120</v>
      </c>
      <c r="N1205" s="37">
        <v>5000</v>
      </c>
      <c r="O1205" s="153">
        <v>14</v>
      </c>
      <c r="P1205" s="45">
        <v>2</v>
      </c>
      <c r="Q1205" s="206">
        <v>45225</v>
      </c>
      <c r="R1205" s="257">
        <f ca="1">IF(D1205="","",IF(OFFSET(D1205,-1,0)&lt;&gt;"","",IF(OR(J1205="リード付け",J1205="巻足し",J1205="巻返しリード付け"),M1205,VLOOKUP(D1205,契約台帳!$A$3:$N$4986,14,FALSE))))</f>
        <v>1120</v>
      </c>
      <c r="S1205" s="258">
        <f ca="1">IF(D1205="","",IF(OFFSET(D1205,-1,0)&lt;&gt;"","",IF(OR(J1205="リード付け",J1205="巻足し",J1205="巻返しリード付け"),M1205,VLOOKUP(D1205,契約台帳!$A$3:$O$4986,15,FALSE))))</f>
        <v>1120</v>
      </c>
      <c r="T1205" s="258">
        <f ca="1">IF(D1205="","",IF(J1205="リード付け",N1205,IF(J1205="巻返しリード付け",N1205,IF(J1205="巻足し",N1205*P1205+OFFSET(N1205,1,0)*OFFSET(P1205,1,0),VLOOKUP(D1205,契約台帳!$A$3:$P$4986,16,FALSE)))))</f>
        <v>10000</v>
      </c>
      <c r="U1205" s="38">
        <v>7</v>
      </c>
      <c r="V1205" s="259">
        <f ca="1">IF(D1205="","",IF(OFFSET(D1205,-2,0)=D1205,"",VLOOKUP(D1205,契約台帳!$A$3:$R$4986,18,FALSE)))</f>
        <v>30</v>
      </c>
      <c r="W1205" s="256" t="str">
        <f ca="1">IF(D1205="","",IF(T1205="","",IF(OR(J1205="巻足し",J1205="巻返しリード付け"),"",IF(J1205="巻返し",VLOOKUP(F1205&amp;K1205&amp;M1205,製品マスタ!$M$5:$AD$4999,18,FALSE),IF(OR(J1205="リード付け",J1205="巻返しリード付け"),"原反コア",IF(J1205="スリット",VLOOKUP(F1205&amp;K1205&amp;R1205,製品マスタ!$N$5:$AD$4999,17,FALSE),""))))))</f>
        <v/>
      </c>
      <c r="X1205" s="256" t="str">
        <f ca="1">IF(D1205="","",IF(T1205="","",IF(J1205="巻足し","",IF(J1205="巻返し",VLOOKUP(F1205&amp;K1205&amp;M1205,製品マスタ!$M$5:$AE$4999,19,FALSE),IF(OR(J1205="リード付け",J1205="巻返しリード付け"),"",IF(J1205="スリット",VLOOKUP(F1205&amp;K1205&amp;R1205,製品マスタ!$N$5:$AE$4999,18,FALSE),""))))))</f>
        <v/>
      </c>
      <c r="Y1205" s="256">
        <f ca="1">IF(D1205="","",IF(T1205="","",VLOOKUP(D1205,契約台帳!$A$3:$Q$4986,17,FALSE)))</f>
        <v>2</v>
      </c>
      <c r="Z1205" s="256" t="str">
        <f ca="1">IF(D1205="","",IF(T1205="","",VLOOKUP(D1205,契約台帳!$A$3:$E$4986,5,FALSE)))</f>
        <v>リンテック㈱</v>
      </c>
      <c r="AA1205" s="54"/>
      <c r="AB1205" s="200" t="str">
        <f>IFERROR((VLOOKUP(F1205&amp;K1205&amp;M1205,製品マスタ!$M$5:$AM$4999,27,FALSE)),"")</f>
        <v>原反ケース再利用</v>
      </c>
      <c r="AC1205" s="31"/>
      <c r="AD1205" s="184"/>
      <c r="AE1205" s="51"/>
      <c r="AF1205" s="52">
        <f>+M1205*N1205*O1205/1000</f>
        <v>78400</v>
      </c>
      <c r="AG1205" s="41"/>
      <c r="AH1205" s="45"/>
      <c r="AI1205" s="28"/>
      <c r="AJ1205" s="28"/>
      <c r="AK1205" s="28"/>
      <c r="AL1205" s="28"/>
      <c r="AM1205" s="12"/>
      <c r="AN1205" s="12"/>
      <c r="AO1205" s="12"/>
      <c r="AP1205" s="12"/>
      <c r="AQ1205" s="12"/>
      <c r="AR1205" s="13"/>
      <c r="AS1205" s="14"/>
    </row>
    <row r="1206" spans="1:45" s="16" customFormat="1" ht="30.95" hidden="1" customHeight="1" x14ac:dyDescent="0.2">
      <c r="A1206" s="35"/>
      <c r="B1206" s="36"/>
      <c r="C1206" s="43"/>
      <c r="D1206" s="29"/>
      <c r="E1206" s="29"/>
      <c r="F1206" s="255"/>
      <c r="G1206" s="256"/>
      <c r="H1206" s="256"/>
      <c r="I1206" s="200"/>
      <c r="J1206" s="203"/>
      <c r="K1206" s="200"/>
      <c r="L1206" s="200"/>
      <c r="M1206" s="37"/>
      <c r="N1206" s="37"/>
      <c r="O1206" s="153"/>
      <c r="P1206" s="45"/>
      <c r="Q1206" s="54"/>
      <c r="R1206" s="260"/>
      <c r="S1206" s="258"/>
      <c r="T1206" s="258"/>
      <c r="U1206" s="38"/>
      <c r="V1206" s="261"/>
      <c r="W1206" s="256"/>
      <c r="X1206" s="256"/>
      <c r="Y1206" s="256"/>
      <c r="Z1206" s="256"/>
      <c r="AA1206" s="54"/>
      <c r="AB1206" s="200"/>
      <c r="AC1206" s="31"/>
      <c r="AD1206" s="184"/>
      <c r="AE1206" s="51"/>
      <c r="AF1206" s="52"/>
      <c r="AG1206" s="41"/>
      <c r="AH1206" s="45"/>
      <c r="AI1206" s="28"/>
      <c r="AJ1206" s="28"/>
      <c r="AK1206" s="28"/>
      <c r="AL1206" s="28"/>
      <c r="AM1206" s="12"/>
      <c r="AN1206" s="12"/>
      <c r="AO1206" s="12"/>
      <c r="AP1206" s="12"/>
      <c r="AQ1206" s="12"/>
      <c r="AR1206" s="13"/>
      <c r="AS1206" s="14"/>
    </row>
    <row r="1207" spans="1:45" s="16" customFormat="1" ht="30.95" hidden="1" customHeight="1" x14ac:dyDescent="0.2">
      <c r="A1207" s="35" t="s">
        <v>1649</v>
      </c>
      <c r="B1207" s="36" t="s">
        <v>1629</v>
      </c>
      <c r="C1207" s="43"/>
      <c r="D1207" s="29"/>
      <c r="E1207" s="29"/>
      <c r="F1207" s="255"/>
      <c r="G1207" s="256"/>
      <c r="H1207" s="256"/>
      <c r="I1207" s="200"/>
      <c r="J1207" s="203" t="s">
        <v>1637</v>
      </c>
      <c r="K1207" s="200"/>
      <c r="L1207" s="200"/>
      <c r="M1207" s="37"/>
      <c r="N1207" s="37"/>
      <c r="O1207" s="153"/>
      <c r="P1207" s="45"/>
      <c r="Q1207" s="54"/>
      <c r="R1207" s="260"/>
      <c r="S1207" s="258"/>
      <c r="T1207" s="258"/>
      <c r="U1207" s="38"/>
      <c r="V1207" s="261"/>
      <c r="W1207" s="256"/>
      <c r="X1207" s="256"/>
      <c r="Y1207" s="256"/>
      <c r="Z1207" s="256"/>
      <c r="AA1207" s="54"/>
      <c r="AB1207" s="200"/>
      <c r="AC1207" s="31"/>
      <c r="AD1207" s="184"/>
      <c r="AE1207" s="51"/>
      <c r="AF1207" s="52"/>
      <c r="AG1207" s="41"/>
      <c r="AH1207" s="45"/>
      <c r="AI1207" s="28"/>
      <c r="AJ1207" s="28"/>
      <c r="AK1207" s="28"/>
      <c r="AL1207" s="28"/>
      <c r="AM1207" s="12"/>
      <c r="AN1207" s="12"/>
      <c r="AO1207" s="12"/>
      <c r="AP1207" s="12"/>
      <c r="AQ1207" s="12"/>
      <c r="AR1207" s="13"/>
      <c r="AS1207" s="14"/>
    </row>
    <row r="1208" spans="1:45" s="16" customFormat="1" ht="30.95" hidden="1" customHeight="1" x14ac:dyDescent="0.2">
      <c r="A1208" s="35"/>
      <c r="B1208" s="36"/>
      <c r="C1208" s="43"/>
      <c r="D1208" s="29"/>
      <c r="E1208" s="29"/>
      <c r="F1208" s="255"/>
      <c r="G1208" s="256"/>
      <c r="H1208" s="256"/>
      <c r="I1208" s="200"/>
      <c r="J1208" s="203"/>
      <c r="K1208" s="200"/>
      <c r="L1208" s="200"/>
      <c r="M1208" s="37"/>
      <c r="N1208" s="37"/>
      <c r="O1208" s="153"/>
      <c r="P1208" s="45"/>
      <c r="Q1208" s="54"/>
      <c r="R1208" s="260"/>
      <c r="S1208" s="258"/>
      <c r="T1208" s="258"/>
      <c r="U1208" s="38"/>
      <c r="V1208" s="261"/>
      <c r="W1208" s="256"/>
      <c r="X1208" s="256"/>
      <c r="Y1208" s="256"/>
      <c r="Z1208" s="256"/>
      <c r="AA1208" s="54"/>
      <c r="AB1208" s="200"/>
      <c r="AC1208" s="31"/>
      <c r="AD1208" s="184"/>
      <c r="AE1208" s="51"/>
      <c r="AF1208" s="52"/>
      <c r="AG1208" s="41"/>
      <c r="AH1208" s="45"/>
      <c r="AI1208" s="28"/>
      <c r="AJ1208" s="28"/>
      <c r="AK1208" s="28"/>
      <c r="AL1208" s="28"/>
      <c r="AM1208" s="12"/>
      <c r="AN1208" s="12"/>
      <c r="AO1208" s="12"/>
      <c r="AP1208" s="12"/>
      <c r="AQ1208" s="12"/>
      <c r="AR1208" s="13"/>
      <c r="AS1208" s="14"/>
    </row>
    <row r="1209" spans="1:45" s="16" customFormat="1" ht="30.95" hidden="1" customHeight="1" x14ac:dyDescent="0.2">
      <c r="A1209" s="35" t="s">
        <v>1650</v>
      </c>
      <c r="B1209" s="36" t="s">
        <v>1631</v>
      </c>
      <c r="C1209" s="43"/>
      <c r="D1209" s="29"/>
      <c r="E1209" s="29"/>
      <c r="F1209" s="255"/>
      <c r="G1209" s="256"/>
      <c r="H1209" s="256"/>
      <c r="I1209" s="200"/>
      <c r="J1209" s="203" t="s">
        <v>1637</v>
      </c>
      <c r="K1209" s="200"/>
      <c r="L1209" s="200"/>
      <c r="M1209" s="37"/>
      <c r="N1209" s="37"/>
      <c r="O1209" s="153"/>
      <c r="P1209" s="45"/>
      <c r="Q1209" s="54"/>
      <c r="R1209" s="260"/>
      <c r="S1209" s="258"/>
      <c r="T1209" s="258"/>
      <c r="U1209" s="38"/>
      <c r="V1209" s="261"/>
      <c r="W1209" s="256"/>
      <c r="X1209" s="256"/>
      <c r="Y1209" s="256"/>
      <c r="Z1209" s="256"/>
      <c r="AA1209" s="54"/>
      <c r="AB1209" s="200"/>
      <c r="AC1209" s="31"/>
      <c r="AD1209" s="184"/>
      <c r="AE1209" s="51"/>
      <c r="AF1209" s="52"/>
      <c r="AG1209" s="41"/>
      <c r="AH1209" s="45"/>
      <c r="AI1209" s="28"/>
      <c r="AJ1209" s="28"/>
      <c r="AK1209" s="28"/>
      <c r="AL1209" s="28"/>
      <c r="AM1209" s="12"/>
      <c r="AN1209" s="12"/>
      <c r="AO1209" s="12"/>
      <c r="AP1209" s="12"/>
      <c r="AQ1209" s="12"/>
      <c r="AR1209" s="13"/>
      <c r="AS1209" s="14"/>
    </row>
    <row r="1210" spans="1:45" s="16" customFormat="1" ht="30.95" hidden="1" customHeight="1" x14ac:dyDescent="0.2">
      <c r="A1210" s="35"/>
      <c r="B1210" s="36"/>
      <c r="C1210" s="43"/>
      <c r="D1210" s="29"/>
      <c r="E1210" s="29"/>
      <c r="F1210" s="255"/>
      <c r="G1210" s="256"/>
      <c r="H1210" s="256"/>
      <c r="I1210" s="200"/>
      <c r="J1210" s="203"/>
      <c r="K1210" s="200"/>
      <c r="L1210" s="200"/>
      <c r="M1210" s="37"/>
      <c r="N1210" s="37"/>
      <c r="O1210" s="153"/>
      <c r="P1210" s="45"/>
      <c r="Q1210" s="54"/>
      <c r="R1210" s="260"/>
      <c r="S1210" s="258"/>
      <c r="T1210" s="258"/>
      <c r="U1210" s="38"/>
      <c r="V1210" s="261"/>
      <c r="W1210" s="256"/>
      <c r="X1210" s="256"/>
      <c r="Y1210" s="256"/>
      <c r="Z1210" s="256"/>
      <c r="AA1210" s="54"/>
      <c r="AB1210" s="200"/>
      <c r="AC1210" s="31"/>
      <c r="AD1210" s="184"/>
      <c r="AE1210" s="51"/>
      <c r="AF1210" s="52"/>
      <c r="AG1210" s="41"/>
      <c r="AH1210" s="45"/>
      <c r="AI1210" s="28"/>
      <c r="AJ1210" s="28"/>
      <c r="AK1210" s="28"/>
      <c r="AL1210" s="28"/>
      <c r="AM1210" s="12"/>
      <c r="AN1210" s="12"/>
      <c r="AO1210" s="12"/>
      <c r="AP1210" s="12"/>
      <c r="AQ1210" s="12"/>
      <c r="AR1210" s="13"/>
      <c r="AS1210" s="14"/>
    </row>
    <row r="1211" spans="1:45" s="16" customFormat="1" ht="30.95" hidden="1" customHeight="1" x14ac:dyDescent="0.2">
      <c r="A1211" s="35" t="s">
        <v>638</v>
      </c>
      <c r="B1211" s="36" t="s">
        <v>462</v>
      </c>
      <c r="C1211" s="43"/>
      <c r="D1211" s="29">
        <v>3731355</v>
      </c>
      <c r="E1211" s="29">
        <v>4162111</v>
      </c>
      <c r="F1211" s="255" t="str">
        <f>IF(D1211="","",VLOOKUP(D1211,契約台帳!$A$3:$K$4986,6,FALSE)&amp;VLOOKUP(D1211,契約台帳!$A$3:$K$4986,7,FALSE)&amp;VLOOKUP(D1211,契約台帳!$A$3:$K$4986,8,FALSE)&amp;VLOOKUP(D1211,契約台帳!$A$3:$K$4986,9,FALSE)&amp;VLOOKUP(D1211,契約台帳!$A$3:$K$4986,11,FALSE))</f>
        <v>3SNMLBMNGTBF</v>
      </c>
      <c r="G1211" s="256" t="str">
        <f>IF(D1211="","",VLOOKUP(F1211,製品マスタ!$G$5:$H$4999,2,FALSE))</f>
        <v>S</v>
      </c>
      <c r="H1211" s="256" t="str">
        <f>IF(D1211="","",VLOOKUP(F1211,製品マスタ!$G$5:$K$4999,5,FALSE))</f>
        <v>MNGTBF</v>
      </c>
      <c r="I1211" s="200" t="str">
        <f>IF(D1211="","",VLOOKUP(F1211,製品マスタ!$G$5:$L$4999,6,FALSE))</f>
        <v>メタルミー　ネーマー　銀艶　Ｂ</v>
      </c>
      <c r="J1211" s="203" t="s">
        <v>935</v>
      </c>
      <c r="K1211" s="200">
        <f>IF(D1211="","",VLOOKUP(D1211,契約台帳!$A$3:$L$4986,12,FALSE))</f>
        <v>50</v>
      </c>
      <c r="L1211" s="200" t="str">
        <f>IF(D1211="","",INDEX(製品マスタ!$Q$5:$Q$4999,MATCH('S4'!F1211&amp;'S4'!K1211,製品マスタ!$AO$5:$AO$4999,0)))</f>
        <v>T62</v>
      </c>
      <c r="M1211" s="37">
        <v>1120</v>
      </c>
      <c r="N1211" s="37">
        <v>5000</v>
      </c>
      <c r="O1211" s="153">
        <v>16</v>
      </c>
      <c r="P1211" s="45">
        <v>2</v>
      </c>
      <c r="Q1211" s="206">
        <v>45225</v>
      </c>
      <c r="R1211" s="257">
        <f ca="1">IF(D1211="","",IF(OFFSET(D1211,-1,0)&lt;&gt;"","",IF(OR(J1211="リード付け",J1211="巻足し",J1211="巻返しリード付け"),M1211,VLOOKUP(D1211,契約台帳!$A$3:$N$4986,14,FALSE))))</f>
        <v>1120</v>
      </c>
      <c r="S1211" s="258">
        <f ca="1">IF(D1211="","",IF(OFFSET(D1211,-1,0)&lt;&gt;"","",IF(OR(J1211="リード付け",J1211="巻足し",J1211="巻返しリード付け"),M1211,VLOOKUP(D1211,契約台帳!$A$3:$O$4986,15,FALSE))))</f>
        <v>1120</v>
      </c>
      <c r="T1211" s="258">
        <f ca="1">IF(D1211="","",IF(J1211="リード付け",N1211,IF(J1211="巻返しリード付け",N1211,IF(J1211="巻足し",N1211*P1211+OFFSET(N1211,1,0)*OFFSET(P1211,1,0),VLOOKUP(D1211,契約台帳!$A$3:$P$4986,16,FALSE)))))</f>
        <v>10000</v>
      </c>
      <c r="U1211" s="38">
        <v>8</v>
      </c>
      <c r="V1211" s="259">
        <f ca="1">IF(D1211="","",IF(OFFSET(D1211,-2,0)=D1211,"",VLOOKUP(D1211,契約台帳!$A$3:$R$4986,18,FALSE)))</f>
        <v>30</v>
      </c>
      <c r="W1211" s="256" t="str">
        <f ca="1">IF(D1211="","",IF(T1211="","",IF(OR(J1211="巻足し",J1211="巻返しリード付け"),"",IF(J1211="巻返し",VLOOKUP(F1211&amp;K1211&amp;M1211,製品マスタ!$M$5:$AD$4999,18,FALSE),IF(OR(J1211="リード付け",J1211="巻返しリード付け"),"原反コア",IF(J1211="スリット",VLOOKUP(F1211&amp;K1211&amp;R1211,製品マスタ!$N$5:$AD$4999,17,FALSE),""))))))</f>
        <v/>
      </c>
      <c r="X1211" s="256" t="str">
        <f ca="1">IF(D1211="","",IF(T1211="","",IF(J1211="巻足し","",IF(J1211="巻返し",VLOOKUP(F1211&amp;K1211&amp;M1211,製品マスタ!$M$5:$AE$4999,19,FALSE),IF(OR(J1211="リード付け",J1211="巻返しリード付け"),"",IF(J1211="スリット",VLOOKUP(F1211&amp;K1211&amp;R1211,製品マスタ!$N$5:$AE$4999,18,FALSE),""))))))</f>
        <v/>
      </c>
      <c r="Y1211" s="256">
        <f ca="1">IF(D1211="","",IF(T1211="","",VLOOKUP(D1211,契約台帳!$A$3:$Q$4986,17,FALSE)))</f>
        <v>2</v>
      </c>
      <c r="Z1211" s="256" t="str">
        <f ca="1">IF(D1211="","",IF(T1211="","",VLOOKUP(D1211,契約台帳!$A$3:$E$4986,5,FALSE)))</f>
        <v>リンテック㈱</v>
      </c>
      <c r="AA1211" s="54"/>
      <c r="AB1211" s="200" t="str">
        <f>IFERROR((VLOOKUP(F1211&amp;K1211&amp;M1211,製品マスタ!$M$5:$AM$4999,27,FALSE)),"")</f>
        <v>原反ケース再利用</v>
      </c>
      <c r="AC1211" s="31"/>
      <c r="AD1211" s="184"/>
      <c r="AE1211" s="51"/>
      <c r="AF1211" s="52">
        <f>+M1211*N1211*O1211/1000</f>
        <v>89600</v>
      </c>
      <c r="AG1211" s="41"/>
      <c r="AH1211" s="45"/>
      <c r="AI1211" s="28"/>
      <c r="AJ1211" s="28"/>
      <c r="AK1211" s="28"/>
      <c r="AL1211" s="28"/>
      <c r="AM1211" s="12"/>
      <c r="AN1211" s="12"/>
      <c r="AO1211" s="12"/>
      <c r="AP1211" s="12"/>
      <c r="AQ1211" s="12"/>
      <c r="AR1211" s="13"/>
      <c r="AS1211" s="14"/>
    </row>
    <row r="1212" spans="1:45" s="16" customFormat="1" ht="30.95" hidden="1" customHeight="1" x14ac:dyDescent="0.2">
      <c r="A1212" s="35"/>
      <c r="B1212" s="36"/>
      <c r="C1212" s="43"/>
      <c r="D1212" s="29"/>
      <c r="E1212" s="29"/>
      <c r="F1212" s="255"/>
      <c r="G1212" s="256"/>
      <c r="H1212" s="256"/>
      <c r="I1212" s="200"/>
      <c r="J1212" s="203"/>
      <c r="K1212" s="200"/>
      <c r="L1212" s="200"/>
      <c r="M1212" s="37"/>
      <c r="N1212" s="37"/>
      <c r="O1212" s="153"/>
      <c r="P1212" s="45"/>
      <c r="Q1212" s="54"/>
      <c r="R1212" s="260"/>
      <c r="S1212" s="258"/>
      <c r="T1212" s="258"/>
      <c r="U1212" s="38"/>
      <c r="V1212" s="261"/>
      <c r="W1212" s="256"/>
      <c r="X1212" s="256"/>
      <c r="Y1212" s="256"/>
      <c r="Z1212" s="256"/>
      <c r="AA1212" s="54"/>
      <c r="AB1212" s="200"/>
      <c r="AC1212" s="31"/>
      <c r="AD1212" s="184"/>
      <c r="AE1212" s="51"/>
      <c r="AF1212" s="52"/>
      <c r="AG1212" s="41"/>
      <c r="AH1212" s="45"/>
      <c r="AI1212" s="28"/>
      <c r="AJ1212" s="28"/>
      <c r="AK1212" s="28"/>
      <c r="AL1212" s="28"/>
      <c r="AM1212" s="12"/>
      <c r="AN1212" s="12"/>
      <c r="AO1212" s="12"/>
      <c r="AP1212" s="12"/>
      <c r="AQ1212" s="12"/>
      <c r="AR1212" s="13"/>
      <c r="AS1212" s="14"/>
    </row>
    <row r="1213" spans="1:45" s="16" customFormat="1" ht="30.95" hidden="1" customHeight="1" x14ac:dyDescent="0.2">
      <c r="A1213" s="35"/>
      <c r="B1213" s="36"/>
      <c r="C1213" s="43"/>
      <c r="D1213" s="29">
        <v>3731371</v>
      </c>
      <c r="E1213" s="29">
        <v>4162122</v>
      </c>
      <c r="F1213" s="255" t="str">
        <f>IF(D1213="","",VLOOKUP(D1213,契約台帳!$A$3:$K$4986,6,FALSE)&amp;VLOOKUP(D1213,契約台帳!$A$3:$K$4986,7,FALSE)&amp;VLOOKUP(D1213,契約台帳!$A$3:$K$4986,8,FALSE)&amp;VLOOKUP(D1213,契約台帳!$A$3:$K$4986,9,FALSE)&amp;VLOOKUP(D1213,契約台帳!$A$3:$K$4986,11,FALSE))</f>
        <v>3SYMLBMSSMBF</v>
      </c>
      <c r="G1213" s="256" t="str">
        <f>IF(D1213="","",VLOOKUP(F1213,製品マスタ!$G$5:$H$4999,2,FALSE))</f>
        <v>S</v>
      </c>
      <c r="H1213" s="256" t="str">
        <f>IF(D1213="","",VLOOKUP(F1213,製品マスタ!$G$5:$K$4999,5,FALSE))</f>
        <v>MSSMBF</v>
      </c>
      <c r="I1213" s="200" t="str">
        <f>IF(D1213="","",VLOOKUP(F1213,製品マスタ!$G$5:$L$4999,6,FALSE))</f>
        <v>ＭＥＴＡＬＵＭＹ　ＳＩＬＶＥＲ　Ｓ－ＭＡＴＴＥ　Ｓ２８ＭＭ　Ｂ</v>
      </c>
      <c r="J1213" s="203" t="s">
        <v>935</v>
      </c>
      <c r="K1213" s="200">
        <f>IF(D1213="","",VLOOKUP(D1213,契約台帳!$A$3:$L$4986,12,FALSE))</f>
        <v>25</v>
      </c>
      <c r="L1213" s="200" t="str">
        <f>IF(D1213="","",INDEX(製品マスタ!$Q$5:$Q$4999,MATCH('S4'!F1213&amp;'S4'!K1213,製品マスタ!$AO$5:$AO$4999,0)))</f>
        <v>LI-MAT</v>
      </c>
      <c r="M1213" s="37">
        <v>1120</v>
      </c>
      <c r="N1213" s="37">
        <v>8000</v>
      </c>
      <c r="O1213" s="153">
        <v>2</v>
      </c>
      <c r="P1213" s="45">
        <v>2</v>
      </c>
      <c r="Q1213" s="206">
        <v>45226</v>
      </c>
      <c r="R1213" s="257">
        <f ca="1">IF(D1213="","",IF(OFFSET(D1213,-1,0)&lt;&gt;"","",IF(OR(J1213="リード付け",J1213="巻足し",J1213="巻返しリード付け"),M1213,VLOOKUP(D1213,契約台帳!$A$3:$N$4986,14,FALSE))))</f>
        <v>1120</v>
      </c>
      <c r="S1213" s="258">
        <f ca="1">IF(D1213="","",IF(OFFSET(D1213,-1,0)&lt;&gt;"","",IF(OR(J1213="リード付け",J1213="巻足し",J1213="巻返しリード付け"),M1213,VLOOKUP(D1213,契約台帳!$A$3:$O$4986,15,FALSE))))</f>
        <v>1120</v>
      </c>
      <c r="T1213" s="258">
        <f ca="1">IF(D1213="","",IF(J1213="リード付け",N1213,IF(J1213="巻返しリード付け",N1213,IF(J1213="巻足し",N1213*P1213+OFFSET(N1213,1,0)*OFFSET(P1213,1,0),VLOOKUP(D1213,契約台帳!$A$3:$P$4986,16,FALSE)))))</f>
        <v>16000</v>
      </c>
      <c r="U1213" s="38">
        <v>1</v>
      </c>
      <c r="V1213" s="259">
        <f ca="1">IF(D1213="","",IF(OFFSET(D1213,-2,0)=D1213,"",VLOOKUP(D1213,契約台帳!$A$3:$R$4986,18,FALSE)))</f>
        <v>2</v>
      </c>
      <c r="W1213" s="256" t="str">
        <f ca="1">IF(D1213="","",IF(T1213="","",IF(OR(J1213="巻足し",J1213="巻返しリード付け"),"",IF(J1213="巻返し",VLOOKUP(F1213&amp;K1213&amp;M1213,製品マスタ!$M$5:$AD$4999,18,FALSE),IF(OR(J1213="リード付け",J1213="巻返しリード付け"),"原反コア",IF(J1213="スリット",VLOOKUP(F1213&amp;K1213&amp;R1213,製品マスタ!$N$5:$AD$4999,17,FALSE),""))))))</f>
        <v/>
      </c>
      <c r="X1213" s="256" t="str">
        <f ca="1">IF(D1213="","",IF(T1213="","",IF(J1213="巻足し","",IF(J1213="巻返し",VLOOKUP(F1213&amp;K1213&amp;M1213,製品マスタ!$M$5:$AE$4999,19,FALSE),IF(OR(J1213="リード付け",J1213="巻返しリード付け"),"",IF(J1213="スリット",VLOOKUP(F1213&amp;K1213&amp;R1213,製品マスタ!$N$5:$AE$4999,18,FALSE),""))))))</f>
        <v/>
      </c>
      <c r="Y1213" s="256">
        <f ca="1">IF(D1213="","",IF(T1213="","",VLOOKUP(D1213,契約台帳!$A$3:$Q$4986,17,FALSE)))</f>
        <v>2</v>
      </c>
      <c r="Z1213" s="256" t="str">
        <f ca="1">IF(D1213="","",IF(T1213="","",VLOOKUP(D1213,契約台帳!$A$3:$E$4986,5,FALSE)))</f>
        <v>リンテック㈱</v>
      </c>
      <c r="AA1213" s="54"/>
      <c r="AB1213" s="200">
        <f>IFERROR((VLOOKUP(F1213&amp;K1213&amp;M1213,製品マスタ!$M$5:$AM$4999,27,FALSE)),"")</f>
        <v>0</v>
      </c>
      <c r="AC1213" s="31"/>
      <c r="AD1213" s="184"/>
      <c r="AE1213" s="51"/>
      <c r="AF1213" s="52">
        <f>+M1213*N1213*O1213/1000</f>
        <v>17920</v>
      </c>
      <c r="AG1213" s="41"/>
      <c r="AH1213" s="45"/>
      <c r="AI1213" s="28"/>
      <c r="AJ1213" s="28"/>
      <c r="AK1213" s="28"/>
      <c r="AL1213" s="28"/>
      <c r="AM1213" s="12"/>
      <c r="AN1213" s="12"/>
      <c r="AO1213" s="12"/>
      <c r="AP1213" s="12"/>
      <c r="AQ1213" s="12"/>
      <c r="AR1213" s="13"/>
      <c r="AS1213" s="14"/>
    </row>
    <row r="1214" spans="1:45" s="16" customFormat="1" ht="30.95" hidden="1" customHeight="1" x14ac:dyDescent="0.2">
      <c r="A1214" s="35"/>
      <c r="B1214" s="36"/>
      <c r="C1214" s="43"/>
      <c r="D1214" s="29"/>
      <c r="E1214" s="29"/>
      <c r="F1214" s="255"/>
      <c r="G1214" s="256"/>
      <c r="H1214" s="256"/>
      <c r="I1214" s="200"/>
      <c r="J1214" s="203"/>
      <c r="K1214" s="200"/>
      <c r="L1214" s="200"/>
      <c r="M1214" s="37"/>
      <c r="N1214" s="37"/>
      <c r="O1214" s="153"/>
      <c r="P1214" s="45"/>
      <c r="Q1214" s="54"/>
      <c r="R1214" s="260"/>
      <c r="S1214" s="258"/>
      <c r="T1214" s="258"/>
      <c r="U1214" s="38"/>
      <c r="V1214" s="261"/>
      <c r="W1214" s="256"/>
      <c r="X1214" s="256"/>
      <c r="Y1214" s="256"/>
      <c r="Z1214" s="256"/>
      <c r="AA1214" s="54"/>
      <c r="AB1214" s="200"/>
      <c r="AC1214" s="31"/>
      <c r="AD1214" s="184"/>
      <c r="AE1214" s="51"/>
      <c r="AF1214" s="52"/>
      <c r="AG1214" s="41"/>
      <c r="AH1214" s="45"/>
      <c r="AI1214" s="28"/>
      <c r="AJ1214" s="28"/>
      <c r="AK1214" s="28"/>
      <c r="AL1214" s="28"/>
      <c r="AM1214" s="12"/>
      <c r="AN1214" s="12"/>
      <c r="AO1214" s="12"/>
      <c r="AP1214" s="12"/>
      <c r="AQ1214" s="12"/>
      <c r="AR1214" s="13"/>
      <c r="AS1214" s="14"/>
    </row>
    <row r="1215" spans="1:45" s="16" customFormat="1" ht="30.95" hidden="1" customHeight="1" x14ac:dyDescent="0.2">
      <c r="A1215" s="35"/>
      <c r="B1215" s="36"/>
      <c r="C1215" s="43"/>
      <c r="D1215" s="29">
        <v>3731372</v>
      </c>
      <c r="E1215" s="29">
        <v>4162123</v>
      </c>
      <c r="F1215" s="255" t="str">
        <f>IF(D1215="","",VLOOKUP(D1215,契約台帳!$A$3:$K$4986,6,FALSE)&amp;VLOOKUP(D1215,契約台帳!$A$3:$K$4986,7,FALSE)&amp;VLOOKUP(D1215,契約台帳!$A$3:$K$4986,8,FALSE)&amp;VLOOKUP(D1215,契約台帳!$A$3:$K$4986,9,FALSE)&amp;VLOOKUP(D1215,契約台帳!$A$3:$K$4986,11,FALSE))</f>
        <v>3SYMLBMSSMBF</v>
      </c>
      <c r="G1215" s="256" t="str">
        <f>IF(D1215="","",VLOOKUP(F1215,製品マスタ!$G$5:$H$4999,2,FALSE))</f>
        <v>S</v>
      </c>
      <c r="H1215" s="256" t="str">
        <f>IF(D1215="","",VLOOKUP(F1215,製品マスタ!$G$5:$K$4999,5,FALSE))</f>
        <v>MSSMBF</v>
      </c>
      <c r="I1215" s="200" t="str">
        <f>IF(D1215="","",VLOOKUP(F1215,製品マスタ!$G$5:$L$4999,6,FALSE))</f>
        <v>ＭＥＴＡＬＵＭＹ　ＳＩＬＶＥＲ　Ｓ－ＭＡＴＴＥ　Ｓ２８ＭＭ　Ｂ</v>
      </c>
      <c r="J1215" s="203" t="s">
        <v>1738</v>
      </c>
      <c r="K1215" s="200">
        <f>IF(D1215="","",VLOOKUP(D1215,契約台帳!$A$3:$L$4986,12,FALSE))</f>
        <v>25</v>
      </c>
      <c r="L1215" s="200" t="str">
        <f>IF(D1215="","",INDEX(製品マスタ!$Q$5:$Q$4999,MATCH('S4'!F1215&amp;'S4'!K1215,製品マスタ!$AO$5:$AO$4999,0)))</f>
        <v>LI-MAT</v>
      </c>
      <c r="M1215" s="37">
        <v>1120</v>
      </c>
      <c r="N1215" s="37">
        <v>8000</v>
      </c>
      <c r="O1215" s="153">
        <v>1</v>
      </c>
      <c r="P1215" s="45">
        <v>1</v>
      </c>
      <c r="Q1215" s="206">
        <v>45226</v>
      </c>
      <c r="R1215" s="257">
        <f ca="1">IF(D1215="","",IF(OFFSET(D1215,-1,0)&lt;&gt;"","",IF(OR(J1215="リード付け",J1215="巻足し",J1215="巻返しリード付け"),M1215,VLOOKUP(D1215,契約台帳!$A$3:$N$4986,14,FALSE))))</f>
        <v>1120</v>
      </c>
      <c r="S1215" s="258">
        <f ca="1">IF(D1215="","",IF(OFFSET(D1215,-1,0)&lt;&gt;"","",IF(OR(J1215="リード付け",J1215="巻足し",J1215="巻返しリード付け"),M1215,VLOOKUP(D1215,契約台帳!$A$3:$O$4986,15,FALSE))))</f>
        <v>1120</v>
      </c>
      <c r="T1215" s="258">
        <f ca="1">IF(D1215="","",IF(J1215="リード付け",N1215,IF(J1215="巻返しリード付け",N1215,IF(J1215="巻足し",N1215*P1215+OFFSET(N1215,1,0)*OFFSET(P1215,1,0),VLOOKUP(D1215,契約台帳!$A$3:$P$4986,16,FALSE)))))</f>
        <v>8000</v>
      </c>
      <c r="U1215" s="38">
        <v>1</v>
      </c>
      <c r="V1215" s="259">
        <f ca="1">IF(D1215="","",IF(OFFSET(D1215,-2,0)=D1215,"",VLOOKUP(D1215,契約台帳!$A$3:$R$4986,18,FALSE)))</f>
        <v>1</v>
      </c>
      <c r="W1215" s="256" t="str">
        <f ca="1">IF(D1215="","",IF(T1215="","",IF(OR(J1215="巻足し",J1215="巻返しリード付け"),"",IF(J1215="巻返し",VLOOKUP(F1215&amp;K1215&amp;M1215,製品マスタ!$M$5:$AD$4999,18,FALSE),IF(OR(J1215="リード付け",J1215="巻返しリード付け"),"原反コア",IF(J1215="スリット",VLOOKUP(F1215&amp;K1215&amp;R1215,製品マスタ!$N$5:$AD$4999,17,FALSE),""))))))</f>
        <v/>
      </c>
      <c r="X1215" s="256" t="str">
        <f ca="1">IF(D1215="","",IF(T1215="","",IF(J1215="巻足し","",IF(J1215="巻返し",VLOOKUP(F1215&amp;K1215&amp;M1215,製品マスタ!$M$5:$AE$4999,19,FALSE),IF(OR(J1215="リード付け",J1215="巻返しリード付け"),"",IF(J1215="スリット",VLOOKUP(F1215&amp;K1215&amp;R1215,製品マスタ!$N$5:$AE$4999,18,FALSE),""))))))</f>
        <v/>
      </c>
      <c r="Y1215" s="256">
        <f ca="1">IF(D1215="","",IF(T1215="","",VLOOKUP(D1215,契約台帳!$A$3:$Q$4986,17,FALSE)))</f>
        <v>2</v>
      </c>
      <c r="Z1215" s="256" t="str">
        <f ca="1">IF(D1215="","",IF(T1215="","",VLOOKUP(D1215,契約台帳!$A$3:$E$4986,5,FALSE)))</f>
        <v>リンテック㈱</v>
      </c>
      <c r="AA1215" s="54"/>
      <c r="AB1215" s="200">
        <f>IFERROR((VLOOKUP(F1215&amp;K1215&amp;M1215,製品マスタ!$M$5:$AM$4999,27,FALSE)),"")</f>
        <v>0</v>
      </c>
      <c r="AC1215" s="31"/>
      <c r="AD1215" s="184"/>
      <c r="AE1215" s="51"/>
      <c r="AF1215" s="52">
        <f>+M1215*N1215*O1215/1000</f>
        <v>8960</v>
      </c>
      <c r="AG1215" s="41"/>
      <c r="AH1215" s="45"/>
      <c r="AI1215" s="28"/>
      <c r="AJ1215" s="28"/>
      <c r="AK1215" s="28"/>
      <c r="AL1215" s="28"/>
      <c r="AM1215" s="12"/>
      <c r="AN1215" s="12"/>
      <c r="AO1215" s="12"/>
      <c r="AP1215" s="12"/>
      <c r="AQ1215" s="12"/>
      <c r="AR1215" s="13"/>
      <c r="AS1215" s="14"/>
    </row>
    <row r="1216" spans="1:45" s="16" customFormat="1" ht="30.95" hidden="1" customHeight="1" x14ac:dyDescent="0.2">
      <c r="A1216" s="35"/>
      <c r="B1216" s="36"/>
      <c r="C1216" s="43"/>
      <c r="D1216" s="29"/>
      <c r="E1216" s="29"/>
      <c r="F1216" s="255"/>
      <c r="G1216" s="256"/>
      <c r="H1216" s="256"/>
      <c r="I1216" s="200"/>
      <c r="J1216" s="203"/>
      <c r="K1216" s="200"/>
      <c r="L1216" s="200"/>
      <c r="M1216" s="37"/>
      <c r="N1216" s="37"/>
      <c r="O1216" s="153"/>
      <c r="P1216" s="45"/>
      <c r="Q1216" s="54"/>
      <c r="R1216" s="260"/>
      <c r="S1216" s="258"/>
      <c r="T1216" s="258"/>
      <c r="U1216" s="38"/>
      <c r="V1216" s="261"/>
      <c r="W1216" s="256"/>
      <c r="X1216" s="256"/>
      <c r="Y1216" s="256"/>
      <c r="Z1216" s="256"/>
      <c r="AA1216" s="54"/>
      <c r="AB1216" s="200"/>
      <c r="AC1216" s="31"/>
      <c r="AD1216" s="184"/>
      <c r="AE1216" s="51"/>
      <c r="AF1216" s="52"/>
      <c r="AG1216" s="41"/>
      <c r="AH1216" s="45"/>
      <c r="AI1216" s="28"/>
      <c r="AJ1216" s="28"/>
      <c r="AK1216" s="28"/>
      <c r="AL1216" s="28"/>
      <c r="AM1216" s="12"/>
      <c r="AN1216" s="12"/>
      <c r="AO1216" s="12"/>
      <c r="AP1216" s="12"/>
      <c r="AQ1216" s="12"/>
      <c r="AR1216" s="13"/>
      <c r="AS1216" s="14"/>
    </row>
    <row r="1217" spans="1:45" s="16" customFormat="1" ht="30.95" hidden="1" customHeight="1" x14ac:dyDescent="0.2">
      <c r="A1217" s="35" t="s">
        <v>639</v>
      </c>
      <c r="B1217" s="36" t="s">
        <v>688</v>
      </c>
      <c r="C1217" s="43"/>
      <c r="D1217" s="29">
        <v>3731373</v>
      </c>
      <c r="E1217" s="29">
        <v>4162124</v>
      </c>
      <c r="F1217" s="255" t="str">
        <f>IF(D1217="","",VLOOKUP(D1217,契約台帳!$A$3:$K$4986,6,FALSE)&amp;VLOOKUP(D1217,契約台帳!$A$3:$K$4986,7,FALSE)&amp;VLOOKUP(D1217,契約台帳!$A$3:$K$4986,8,FALSE)&amp;VLOOKUP(D1217,契約台帳!$A$3:$K$4986,9,FALSE)&amp;VLOOKUP(D1217,契約台帳!$A$3:$K$4986,11,FALSE))</f>
        <v>3SYMLBMSSMBF</v>
      </c>
      <c r="G1217" s="256" t="str">
        <f>IF(D1217="","",VLOOKUP(F1217,製品マスタ!$G$5:$H$4999,2,FALSE))</f>
        <v>S</v>
      </c>
      <c r="H1217" s="256" t="str">
        <f>IF(D1217="","",VLOOKUP(F1217,製品マスタ!$G$5:$K$4999,5,FALSE))</f>
        <v>MSSMBF</v>
      </c>
      <c r="I1217" s="200" t="str">
        <f>IF(D1217="","",VLOOKUP(F1217,製品マスタ!$G$5:$L$4999,6,FALSE))</f>
        <v>ＭＥＴＡＬＵＭＹ　ＳＩＬＶＥＲ　Ｓ－ＭＡＴＴＥ　Ｓ２８ＭＭ　Ｂ</v>
      </c>
      <c r="J1217" s="203" t="s">
        <v>935</v>
      </c>
      <c r="K1217" s="200">
        <f>IF(D1217="","",VLOOKUP(D1217,契約台帳!$A$3:$L$4986,12,FALSE))</f>
        <v>50</v>
      </c>
      <c r="L1217" s="200" t="str">
        <f>IF(D1217="","",INDEX(製品マスタ!$Q$5:$Q$4999,MATCH('S4'!F1217&amp;'S4'!K1217,製品マスタ!$AO$5:$AO$4999,0)))</f>
        <v>LI-MAT</v>
      </c>
      <c r="M1217" s="37">
        <v>1120</v>
      </c>
      <c r="N1217" s="37">
        <v>4000</v>
      </c>
      <c r="O1217" s="153">
        <v>4</v>
      </c>
      <c r="P1217" s="45">
        <v>2</v>
      </c>
      <c r="Q1217" s="206">
        <v>45226</v>
      </c>
      <c r="R1217" s="257">
        <f ca="1">IF(D1217="","",IF(OFFSET(D1217,-1,0)&lt;&gt;"","",IF(OR(J1217="リード付け",J1217="巻足し",J1217="巻返しリード付け"),M1217,VLOOKUP(D1217,契約台帳!$A$3:$N$4986,14,FALSE))))</f>
        <v>1120</v>
      </c>
      <c r="S1217" s="258">
        <f ca="1">IF(D1217="","",IF(OFFSET(D1217,-1,0)&lt;&gt;"","",IF(OR(J1217="リード付け",J1217="巻足し",J1217="巻返しリード付け"),M1217,VLOOKUP(D1217,契約台帳!$A$3:$O$4986,15,FALSE))))</f>
        <v>1120</v>
      </c>
      <c r="T1217" s="258">
        <f ca="1">IF(D1217="","",IF(J1217="リード付け",N1217,IF(J1217="巻返しリード付け",N1217,IF(J1217="巻足し",N1217*P1217+OFFSET(N1217,1,0)*OFFSET(P1217,1,0),VLOOKUP(D1217,契約台帳!$A$3:$P$4986,16,FALSE)))))</f>
        <v>8000</v>
      </c>
      <c r="U1217" s="38">
        <v>2</v>
      </c>
      <c r="V1217" s="259">
        <f ca="1">IF(D1217="","",IF(OFFSET(D1217,-2,0)=D1217,"",VLOOKUP(D1217,契約台帳!$A$3:$R$4986,18,FALSE)))</f>
        <v>4</v>
      </c>
      <c r="W1217" s="256" t="str">
        <f ca="1">IF(D1217="","",IF(T1217="","",IF(OR(J1217="巻足し",J1217="巻返しリード付け"),"",IF(J1217="巻返し",VLOOKUP(F1217&amp;K1217&amp;M1217,製品マスタ!$M$5:$AD$4999,18,FALSE),IF(OR(J1217="リード付け",J1217="巻返しリード付け"),"原反コア",IF(J1217="スリット",VLOOKUP(F1217&amp;K1217&amp;R1217,製品マスタ!$N$5:$AD$4999,17,FALSE),""))))))</f>
        <v/>
      </c>
      <c r="X1217" s="256" t="str">
        <f ca="1">IF(D1217="","",IF(T1217="","",IF(J1217="巻足し","",IF(J1217="巻返し",VLOOKUP(F1217&amp;K1217&amp;M1217,製品マスタ!$M$5:$AE$4999,19,FALSE),IF(OR(J1217="リード付け",J1217="巻返しリード付け"),"",IF(J1217="スリット",VLOOKUP(F1217&amp;K1217&amp;R1217,製品マスタ!$N$5:$AE$4999,18,FALSE),""))))))</f>
        <v/>
      </c>
      <c r="Y1217" s="256">
        <f ca="1">IF(D1217="","",IF(T1217="","",VLOOKUP(D1217,契約台帳!$A$3:$Q$4986,17,FALSE)))</f>
        <v>2</v>
      </c>
      <c r="Z1217" s="256" t="str">
        <f ca="1">IF(D1217="","",IF(T1217="","",VLOOKUP(D1217,契約台帳!$A$3:$E$4986,5,FALSE)))</f>
        <v>リンテック㈱</v>
      </c>
      <c r="AA1217" s="54"/>
      <c r="AB1217" s="200">
        <f>IFERROR((VLOOKUP(F1217&amp;K1217&amp;M1217,製品マスタ!$M$5:$AM$4999,27,FALSE)),"")</f>
        <v>0</v>
      </c>
      <c r="AC1217" s="31"/>
      <c r="AD1217" s="184"/>
      <c r="AE1217" s="51"/>
      <c r="AF1217" s="52">
        <f>+M1217*N1217*O1217/1000</f>
        <v>17920</v>
      </c>
      <c r="AG1217" s="41"/>
      <c r="AH1217" s="45"/>
      <c r="AI1217" s="28"/>
      <c r="AJ1217" s="28"/>
      <c r="AK1217" s="28"/>
      <c r="AL1217" s="28"/>
      <c r="AM1217" s="12"/>
      <c r="AN1217" s="12"/>
      <c r="AO1217" s="12"/>
      <c r="AP1217" s="12"/>
      <c r="AQ1217" s="12"/>
      <c r="AR1217" s="13"/>
      <c r="AS1217" s="14"/>
    </row>
    <row r="1218" spans="1:45" s="16" customFormat="1" ht="30.95" hidden="1" customHeight="1" x14ac:dyDescent="0.2">
      <c r="A1218" s="35"/>
      <c r="B1218" s="36"/>
      <c r="C1218" s="43"/>
      <c r="D1218" s="29"/>
      <c r="E1218" s="29"/>
      <c r="F1218" s="255"/>
      <c r="G1218" s="256"/>
      <c r="H1218" s="256"/>
      <c r="I1218" s="200"/>
      <c r="J1218" s="203"/>
      <c r="K1218" s="200"/>
      <c r="L1218" s="200"/>
      <c r="M1218" s="37"/>
      <c r="N1218" s="37"/>
      <c r="O1218" s="153"/>
      <c r="P1218" s="45"/>
      <c r="Q1218" s="54"/>
      <c r="R1218" s="260"/>
      <c r="S1218" s="258"/>
      <c r="T1218" s="258"/>
      <c r="U1218" s="38"/>
      <c r="V1218" s="261"/>
      <c r="W1218" s="256"/>
      <c r="X1218" s="256"/>
      <c r="Y1218" s="256"/>
      <c r="Z1218" s="256"/>
      <c r="AA1218" s="54"/>
      <c r="AB1218" s="200"/>
      <c r="AC1218" s="31"/>
      <c r="AD1218" s="184"/>
      <c r="AE1218" s="51"/>
      <c r="AF1218" s="52"/>
      <c r="AG1218" s="41"/>
      <c r="AH1218" s="45"/>
      <c r="AI1218" s="28"/>
      <c r="AJ1218" s="28"/>
      <c r="AK1218" s="28"/>
      <c r="AL1218" s="28"/>
      <c r="AM1218" s="12"/>
      <c r="AN1218" s="12"/>
      <c r="AO1218" s="12"/>
      <c r="AP1218" s="12"/>
      <c r="AQ1218" s="12"/>
      <c r="AR1218" s="13"/>
      <c r="AS1218" s="14"/>
    </row>
    <row r="1219" spans="1:45" s="16" customFormat="1" ht="30.95" hidden="1" customHeight="1" x14ac:dyDescent="0.2">
      <c r="A1219" s="35"/>
      <c r="B1219" s="36"/>
      <c r="C1219" s="43"/>
      <c r="D1219" s="29">
        <v>3731375</v>
      </c>
      <c r="E1219" s="29">
        <v>4162120</v>
      </c>
      <c r="F1219" s="255" t="str">
        <f>IF(D1219="","",VLOOKUP(D1219,契約台帳!$A$3:$K$4986,6,FALSE)&amp;VLOOKUP(D1219,契約台帳!$A$3:$K$4986,7,FALSE)&amp;VLOOKUP(D1219,契約台帳!$A$3:$K$4986,8,FALSE)&amp;VLOOKUP(D1219,契約台帳!$A$3:$K$4986,9,FALSE)&amp;VLOOKUP(D1219,契約台帳!$A$3:$K$4986,11,FALSE))</f>
        <v>3SYMLBMSNMBF</v>
      </c>
      <c r="G1219" s="256" t="str">
        <f>IF(D1219="","",VLOOKUP(F1219,製品マスタ!$G$5:$H$4999,2,FALSE))</f>
        <v>S</v>
      </c>
      <c r="H1219" s="256" t="str">
        <f>IF(D1219="","",VLOOKUP(F1219,製品マスタ!$G$5:$K$4999,5,FALSE))</f>
        <v>MSNMBF</v>
      </c>
      <c r="I1219" s="200" t="str">
        <f>IF(D1219="","",VLOOKUP(F1219,製品マスタ!$G$5:$L$4999,6,FALSE))</f>
        <v>ＭＥＴＡＬＵＭＹ　ＳＩＬＶＥＲ　Ｎ－ＭＡＴＴＥ　Ｘ４４Ｍ　Ｂ</v>
      </c>
      <c r="J1219" s="203" t="s">
        <v>935</v>
      </c>
      <c r="K1219" s="200">
        <f>IF(D1219="","",VLOOKUP(D1219,契約台帳!$A$3:$L$4986,12,FALSE))</f>
        <v>50</v>
      </c>
      <c r="L1219" s="200" t="str">
        <f>IF(D1219="","",INDEX(製品マスタ!$Q$5:$Q$4999,MATCH('S4'!F1219&amp;'S4'!K1219,製品マスタ!$AO$5:$AO$4999,0)))</f>
        <v>X44</v>
      </c>
      <c r="M1219" s="37">
        <v>1120</v>
      </c>
      <c r="N1219" s="37">
        <v>4000</v>
      </c>
      <c r="O1219" s="153">
        <v>2</v>
      </c>
      <c r="P1219" s="45">
        <v>2</v>
      </c>
      <c r="Q1219" s="206">
        <v>45226</v>
      </c>
      <c r="R1219" s="257">
        <f ca="1">IF(D1219="","",IF(OFFSET(D1219,-1,0)&lt;&gt;"","",IF(OR(J1219="リード付け",J1219="巻足し",J1219="巻返しリード付け"),M1219,VLOOKUP(D1219,契約台帳!$A$3:$N$4986,14,FALSE))))</f>
        <v>1120</v>
      </c>
      <c r="S1219" s="258">
        <f ca="1">IF(D1219="","",IF(OFFSET(D1219,-1,0)&lt;&gt;"","",IF(OR(J1219="リード付け",J1219="巻足し",J1219="巻返しリード付け"),M1219,VLOOKUP(D1219,契約台帳!$A$3:$O$4986,15,FALSE))))</f>
        <v>1120</v>
      </c>
      <c r="T1219" s="258">
        <f ca="1">IF(D1219="","",IF(J1219="リード付け",N1219,IF(J1219="巻返しリード付け",N1219,IF(J1219="巻足し",N1219*P1219+OFFSET(N1219,1,0)*OFFSET(P1219,1,0),VLOOKUP(D1219,契約台帳!$A$3:$P$4986,16,FALSE)))))</f>
        <v>8000</v>
      </c>
      <c r="U1219" s="38">
        <v>1</v>
      </c>
      <c r="V1219" s="259">
        <f ca="1">IF(D1219="","",IF(OFFSET(D1219,-2,0)=D1219,"",VLOOKUP(D1219,契約台帳!$A$3:$R$4986,18,FALSE)))</f>
        <v>2</v>
      </c>
      <c r="W1219" s="256" t="str">
        <f ca="1">IF(D1219="","",IF(T1219="","",IF(OR(J1219="巻足し",J1219="巻返しリード付け"),"",IF(J1219="巻返し",VLOOKUP(F1219&amp;K1219&amp;M1219,製品マスタ!$M$5:$AD$4999,18,FALSE),IF(OR(J1219="リード付け",J1219="巻返しリード付け"),"原反コア",IF(J1219="スリット",VLOOKUP(F1219&amp;K1219&amp;R1219,製品マスタ!$N$5:$AD$4999,17,FALSE),""))))))</f>
        <v/>
      </c>
      <c r="X1219" s="256" t="str">
        <f ca="1">IF(D1219="","",IF(T1219="","",IF(J1219="巻足し","",IF(J1219="巻返し",VLOOKUP(F1219&amp;K1219&amp;M1219,製品マスタ!$M$5:$AE$4999,19,FALSE),IF(OR(J1219="リード付け",J1219="巻返しリード付け"),"",IF(J1219="スリット",VLOOKUP(F1219&amp;K1219&amp;R1219,製品マスタ!$N$5:$AE$4999,18,FALSE),""))))))</f>
        <v/>
      </c>
      <c r="Y1219" s="256">
        <f ca="1">IF(D1219="","",IF(T1219="","",VLOOKUP(D1219,契約台帳!$A$3:$Q$4986,17,FALSE)))</f>
        <v>2</v>
      </c>
      <c r="Z1219" s="256" t="str">
        <f ca="1">IF(D1219="","",IF(T1219="","",VLOOKUP(D1219,契約台帳!$A$3:$E$4986,5,FALSE)))</f>
        <v>リンテック㈱</v>
      </c>
      <c r="AA1219" s="54"/>
      <c r="AB1219" s="200">
        <f>IFERROR((VLOOKUP(F1219&amp;K1219&amp;M1219,製品マスタ!$M$5:$AM$4999,27,FALSE)),"")</f>
        <v>0</v>
      </c>
      <c r="AC1219" s="31"/>
      <c r="AD1219" s="184"/>
      <c r="AE1219" s="51"/>
      <c r="AF1219" s="52">
        <f>+M1219*N1219*O1219/1000</f>
        <v>8960</v>
      </c>
      <c r="AG1219" s="41"/>
      <c r="AH1219" s="45"/>
      <c r="AI1219" s="28"/>
      <c r="AJ1219" s="28"/>
      <c r="AK1219" s="28"/>
      <c r="AL1219" s="28"/>
      <c r="AM1219" s="12"/>
      <c r="AN1219" s="12"/>
      <c r="AO1219" s="12"/>
      <c r="AP1219" s="12"/>
      <c r="AQ1219" s="12"/>
      <c r="AR1219" s="13"/>
      <c r="AS1219" s="14"/>
    </row>
    <row r="1220" spans="1:45" s="16" customFormat="1" ht="30.95" hidden="1" customHeight="1" x14ac:dyDescent="0.2">
      <c r="A1220" s="35"/>
      <c r="B1220" s="36"/>
      <c r="C1220" s="43"/>
      <c r="D1220" s="29"/>
      <c r="E1220" s="29"/>
      <c r="F1220" s="255"/>
      <c r="G1220" s="256"/>
      <c r="H1220" s="256"/>
      <c r="I1220" s="200"/>
      <c r="J1220" s="203"/>
      <c r="K1220" s="200"/>
      <c r="L1220" s="200"/>
      <c r="M1220" s="37"/>
      <c r="N1220" s="37"/>
      <c r="O1220" s="153"/>
      <c r="P1220" s="45"/>
      <c r="Q1220" s="54"/>
      <c r="R1220" s="260"/>
      <c r="S1220" s="258"/>
      <c r="T1220" s="258"/>
      <c r="U1220" s="38"/>
      <c r="V1220" s="261"/>
      <c r="W1220" s="256"/>
      <c r="X1220" s="256"/>
      <c r="Y1220" s="256"/>
      <c r="Z1220" s="256"/>
      <c r="AA1220" s="54"/>
      <c r="AB1220" s="200"/>
      <c r="AC1220" s="31"/>
      <c r="AD1220" s="184"/>
      <c r="AE1220" s="51"/>
      <c r="AF1220" s="52"/>
      <c r="AG1220" s="41"/>
      <c r="AH1220" s="45"/>
      <c r="AI1220" s="28"/>
      <c r="AJ1220" s="28"/>
      <c r="AK1220" s="28"/>
      <c r="AL1220" s="28"/>
      <c r="AM1220" s="12"/>
      <c r="AN1220" s="12"/>
      <c r="AO1220" s="12"/>
      <c r="AP1220" s="12"/>
      <c r="AQ1220" s="12"/>
      <c r="AR1220" s="13"/>
      <c r="AS1220" s="14"/>
    </row>
    <row r="1221" spans="1:45" s="16" customFormat="1" ht="30.95" hidden="1" customHeight="1" x14ac:dyDescent="0.2">
      <c r="A1221" s="35"/>
      <c r="B1221" s="36"/>
      <c r="C1221" s="43"/>
      <c r="D1221" s="29">
        <v>3731377</v>
      </c>
      <c r="E1221" s="29">
        <v>4162121</v>
      </c>
      <c r="F1221" s="255" t="str">
        <f>IF(D1221="","",VLOOKUP(D1221,契約台帳!$A$3:$K$4986,6,FALSE)&amp;VLOOKUP(D1221,契約台帳!$A$3:$K$4986,7,FALSE)&amp;VLOOKUP(D1221,契約台帳!$A$3:$K$4986,8,FALSE)&amp;VLOOKUP(D1221,契約台帳!$A$3:$K$4986,9,FALSE)&amp;VLOOKUP(D1221,契約台帳!$A$3:$K$4986,11,FALSE))</f>
        <v>3SYMLBMSNMBF</v>
      </c>
      <c r="G1221" s="256" t="str">
        <f>IF(D1221="","",VLOOKUP(F1221,製品マスタ!$G$5:$H$4999,2,FALSE))</f>
        <v>S</v>
      </c>
      <c r="H1221" s="256" t="str">
        <f>IF(D1221="","",VLOOKUP(F1221,製品マスタ!$G$5:$K$4999,5,FALSE))</f>
        <v>MSNMBF</v>
      </c>
      <c r="I1221" s="200" t="str">
        <f>IF(D1221="","",VLOOKUP(F1221,製品マスタ!$G$5:$L$4999,6,FALSE))</f>
        <v>ＭＥＴＡＬＵＭＹ　ＳＩＬＶＥＲ　Ｎ－ＭＡＴＴＥ　Ｘ４４Ｍ　Ｂ</v>
      </c>
      <c r="J1221" s="203" t="s">
        <v>935</v>
      </c>
      <c r="K1221" s="200">
        <f>IF(D1221="","",VLOOKUP(D1221,契約台帳!$A$3:$L$4986,12,FALSE))</f>
        <v>50</v>
      </c>
      <c r="L1221" s="200" t="str">
        <f>IF(D1221="","",INDEX(製品マスタ!$Q$5:$Q$4999,MATCH('S4'!F1221&amp;'S4'!K1221,製品マスタ!$AO$5:$AO$4999,0)))</f>
        <v>X44</v>
      </c>
      <c r="M1221" s="37">
        <v>1120</v>
      </c>
      <c r="N1221" s="37">
        <v>4000</v>
      </c>
      <c r="O1221" s="153">
        <v>4</v>
      </c>
      <c r="P1221" s="45">
        <v>2</v>
      </c>
      <c r="Q1221" s="206">
        <v>45226</v>
      </c>
      <c r="R1221" s="257">
        <f ca="1">IF(D1221="","",IF(OFFSET(D1221,-1,0)&lt;&gt;"","",IF(OR(J1221="リード付け",J1221="巻足し",J1221="巻返しリード付け"),M1221,VLOOKUP(D1221,契約台帳!$A$3:$N$4986,14,FALSE))))</f>
        <v>1120</v>
      </c>
      <c r="S1221" s="258">
        <f ca="1">IF(D1221="","",IF(OFFSET(D1221,-1,0)&lt;&gt;"","",IF(OR(J1221="リード付け",J1221="巻足し",J1221="巻返しリード付け"),M1221,VLOOKUP(D1221,契約台帳!$A$3:$O$4986,15,FALSE))))</f>
        <v>1120</v>
      </c>
      <c r="T1221" s="258">
        <f ca="1">IF(D1221="","",IF(J1221="リード付け",N1221,IF(J1221="巻返しリード付け",N1221,IF(J1221="巻足し",N1221*P1221+OFFSET(N1221,1,0)*OFFSET(P1221,1,0),VLOOKUP(D1221,契約台帳!$A$3:$P$4986,16,FALSE)))))</f>
        <v>8000</v>
      </c>
      <c r="U1221" s="38">
        <v>2</v>
      </c>
      <c r="V1221" s="259">
        <f ca="1">IF(D1221="","",IF(OFFSET(D1221,-2,0)=D1221,"",VLOOKUP(D1221,契約台帳!$A$3:$R$4986,18,FALSE)))</f>
        <v>4</v>
      </c>
      <c r="W1221" s="256" t="str">
        <f ca="1">IF(D1221="","",IF(T1221="","",IF(OR(J1221="巻足し",J1221="巻返しリード付け"),"",IF(J1221="巻返し",VLOOKUP(F1221&amp;K1221&amp;M1221,製品マスタ!$M$5:$AD$4999,18,FALSE),IF(OR(J1221="リード付け",J1221="巻返しリード付け"),"原反コア",IF(J1221="スリット",VLOOKUP(F1221&amp;K1221&amp;R1221,製品マスタ!$N$5:$AD$4999,17,FALSE),""))))))</f>
        <v/>
      </c>
      <c r="X1221" s="256" t="str">
        <f ca="1">IF(D1221="","",IF(T1221="","",IF(J1221="巻足し","",IF(J1221="巻返し",VLOOKUP(F1221&amp;K1221&amp;M1221,製品マスタ!$M$5:$AE$4999,19,FALSE),IF(OR(J1221="リード付け",J1221="巻返しリード付け"),"",IF(J1221="スリット",VLOOKUP(F1221&amp;K1221&amp;R1221,製品マスタ!$N$5:$AE$4999,18,FALSE),""))))))</f>
        <v/>
      </c>
      <c r="Y1221" s="256">
        <f ca="1">IF(D1221="","",IF(T1221="","",VLOOKUP(D1221,契約台帳!$A$3:$Q$4986,17,FALSE)))</f>
        <v>2</v>
      </c>
      <c r="Z1221" s="256" t="str">
        <f ca="1">IF(D1221="","",IF(T1221="","",VLOOKUP(D1221,契約台帳!$A$3:$E$4986,5,FALSE)))</f>
        <v>リンテック㈱</v>
      </c>
      <c r="AA1221" s="54"/>
      <c r="AB1221" s="200">
        <f>IFERROR((VLOOKUP(F1221&amp;K1221&amp;M1221,製品マスタ!$M$5:$AM$4999,27,FALSE)),"")</f>
        <v>0</v>
      </c>
      <c r="AC1221" s="31"/>
      <c r="AD1221" s="184"/>
      <c r="AE1221" s="51"/>
      <c r="AF1221" s="52">
        <f>+M1221*N1221*O1221/1000</f>
        <v>17920</v>
      </c>
      <c r="AG1221" s="41"/>
      <c r="AH1221" s="45"/>
      <c r="AI1221" s="28"/>
      <c r="AJ1221" s="28"/>
      <c r="AK1221" s="28"/>
      <c r="AL1221" s="28"/>
      <c r="AM1221" s="12"/>
      <c r="AN1221" s="12"/>
      <c r="AO1221" s="12"/>
      <c r="AP1221" s="12"/>
      <c r="AQ1221" s="12"/>
      <c r="AR1221" s="13"/>
      <c r="AS1221" s="14"/>
    </row>
    <row r="1222" spans="1:45" s="16" customFormat="1" ht="30.95" hidden="1" customHeight="1" x14ac:dyDescent="0.2">
      <c r="A1222" s="35"/>
      <c r="B1222" s="36"/>
      <c r="C1222" s="43"/>
      <c r="D1222" s="29"/>
      <c r="E1222" s="29"/>
      <c r="F1222" s="255"/>
      <c r="G1222" s="256"/>
      <c r="H1222" s="256"/>
      <c r="I1222" s="200"/>
      <c r="J1222" s="203"/>
      <c r="K1222" s="200"/>
      <c r="L1222" s="200"/>
      <c r="M1222" s="37"/>
      <c r="N1222" s="37"/>
      <c r="O1222" s="153"/>
      <c r="P1222" s="45"/>
      <c r="Q1222" s="54"/>
      <c r="R1222" s="260"/>
      <c r="S1222" s="258"/>
      <c r="T1222" s="258"/>
      <c r="U1222" s="38"/>
      <c r="V1222" s="261"/>
      <c r="W1222" s="256"/>
      <c r="X1222" s="256"/>
      <c r="Y1222" s="256"/>
      <c r="Z1222" s="256"/>
      <c r="AA1222" s="54"/>
      <c r="AB1222" s="200"/>
      <c r="AC1222" s="31"/>
      <c r="AD1222" s="184"/>
      <c r="AE1222" s="51"/>
      <c r="AF1222" s="52"/>
      <c r="AG1222" s="41"/>
      <c r="AH1222" s="45"/>
      <c r="AI1222" s="28"/>
      <c r="AJ1222" s="28"/>
      <c r="AK1222" s="28"/>
      <c r="AL1222" s="28"/>
      <c r="AM1222" s="12"/>
      <c r="AN1222" s="12"/>
      <c r="AO1222" s="12"/>
      <c r="AP1222" s="12"/>
      <c r="AQ1222" s="12"/>
      <c r="AR1222" s="13"/>
      <c r="AS1222" s="14"/>
    </row>
    <row r="1223" spans="1:45" s="16" customFormat="1" ht="30.75" hidden="1" customHeight="1" x14ac:dyDescent="0.2">
      <c r="A1223" s="35"/>
      <c r="B1223" s="36"/>
      <c r="C1223" s="43"/>
      <c r="D1223" s="29">
        <v>3731366</v>
      </c>
      <c r="E1223" s="29">
        <v>4162132</v>
      </c>
      <c r="F1223" s="255" t="str">
        <f>IF(D1223="","",VLOOKUP(D1223,契約台帳!$A$3:$K$4986,6,FALSE)&amp;VLOOKUP(D1223,契約台帳!$A$3:$K$4986,7,FALSE)&amp;VLOOKUP(D1223,契約台帳!$A$3:$K$4986,8,FALSE)&amp;VLOOKUP(D1223,契約台帳!$A$3:$K$4986,9,FALSE)&amp;VLOOKUP(D1223,契約台帳!$A$3:$K$4986,11,FALSE))</f>
        <v>3SNMLBMNQR66F</v>
      </c>
      <c r="G1223" s="256" t="str">
        <f>IF(D1223="","",VLOOKUP(F1223,製品マスタ!$G$5:$H$4999,2,FALSE))</f>
        <v>S</v>
      </c>
      <c r="H1223" s="256" t="str">
        <f>IF(D1223="","",VLOOKUP(F1223,製品マスタ!$G$5:$K$4999,5,FALSE))</f>
        <v>MNQR66F</v>
      </c>
      <c r="I1223" s="200" t="str">
        <f>IF(D1223="","",VLOOKUP(F1223,製品マスタ!$G$5:$L$4999,6,FALSE))</f>
        <v>ＱＲ６６蒸着品</v>
      </c>
      <c r="J1223" s="203" t="s">
        <v>935</v>
      </c>
      <c r="K1223" s="200">
        <f>IF(D1223="","",VLOOKUP(D1223,契約台帳!$A$3:$L$4986,12,FALSE))</f>
        <v>25</v>
      </c>
      <c r="L1223" s="200" t="str">
        <f>IF(D1223="","",INDEX(製品マスタ!$Q$5:$Q$4999,MATCH('S4'!F1223&amp;'S4'!K1223,製品マスタ!$AO$5:$AO$4999,0)))</f>
        <v>E315</v>
      </c>
      <c r="M1223" s="37">
        <v>1100</v>
      </c>
      <c r="N1223" s="37">
        <v>6000</v>
      </c>
      <c r="O1223" s="153">
        <v>4</v>
      </c>
      <c r="P1223" s="45">
        <v>4</v>
      </c>
      <c r="Q1223" s="206">
        <v>45226</v>
      </c>
      <c r="R1223" s="257">
        <f ca="1">IF(D1223="","",IF(OFFSET(D1223,-1,0)&lt;&gt;"","",IF(OR(J1223="リード付け",J1223="巻足し",J1223="巻返しリード付け"),M1223,VLOOKUP(D1223,契約台帳!$A$3:$N$4986,14,FALSE))))</f>
        <v>1100</v>
      </c>
      <c r="S1223" s="258">
        <f ca="1">IF(D1223="","",IF(OFFSET(D1223,-1,0)&lt;&gt;"","",IF(OR(J1223="リード付け",J1223="巻足し",J1223="巻返しリード付け"),M1223,VLOOKUP(D1223,契約台帳!$A$3:$O$4986,15,FALSE))))</f>
        <v>1100</v>
      </c>
      <c r="T1223" s="258">
        <f ca="1">IF(D1223="","",IF(J1223="リード付け",N1223,IF(J1223="巻返しリード付け",N1223,IF(J1223="巻足し",N1223*P1223+OFFSET(N1223,1,0)*OFFSET(P1223,1,0),VLOOKUP(D1223,契約台帳!$A$3:$P$4986,16,FALSE)))))</f>
        <v>24000</v>
      </c>
      <c r="U1223" s="38">
        <v>1</v>
      </c>
      <c r="V1223" s="259">
        <f ca="1">IF(D1223="","",IF(OFFSET(D1223,-2,0)=D1223,"",VLOOKUP(D1223,契約台帳!$A$3:$R$4986,18,FALSE)))</f>
        <v>12</v>
      </c>
      <c r="W1223" s="256" t="str">
        <f ca="1">IF(D1223="","",IF(T1223="","",IF(OR(J1223="巻足し",J1223="巻返しリード付け"),"",IF(J1223="巻返し",VLOOKUP(F1223&amp;K1223&amp;M1223,製品マスタ!$M$5:$AD$4999,18,FALSE),IF(OR(J1223="リード付け",J1223="巻返しリード付け"),"原反コア",IF(J1223="スリット",VLOOKUP(F1223&amp;K1223&amp;R1223,製品マスタ!$N$5:$AD$4999,17,FALSE),""))))))</f>
        <v/>
      </c>
      <c r="X1223" s="256" t="str">
        <f ca="1">IF(D1223="","",IF(T1223="","",IF(J1223="巻足し","",IF(J1223="巻返し",VLOOKUP(F1223&amp;K1223&amp;M1223,製品マスタ!$M$5:$AE$4999,19,FALSE),IF(OR(J1223="リード付け",J1223="巻返しリード付け"),"",IF(J1223="スリット",VLOOKUP(F1223&amp;K1223&amp;R1223,製品マスタ!$N$5:$AE$4999,18,FALSE),""))))))</f>
        <v/>
      </c>
      <c r="Y1223" s="256">
        <f ca="1">IF(D1223="","",IF(T1223="","",VLOOKUP(D1223,契約台帳!$A$3:$Q$4986,17,FALSE)))</f>
        <v>2</v>
      </c>
      <c r="Z1223" s="256" t="str">
        <f ca="1">IF(D1223="","",IF(T1223="","",VLOOKUP(D1223,契約台帳!$A$3:$E$4986,5,FALSE)))</f>
        <v>リンテック㈱</v>
      </c>
      <c r="AA1223" s="54"/>
      <c r="AB1223" s="200" t="str">
        <f>IFERROR((VLOOKUP(F1223&amp;K1223&amp;M1223,製品マスタ!$M$5:$AM$4999,27,FALSE)),"")</f>
        <v>原反ケース再利用</v>
      </c>
      <c r="AC1223" s="31"/>
      <c r="AD1223" s="333"/>
      <c r="AE1223" s="51"/>
      <c r="AF1223" s="52">
        <f>+M1223*N1223*O1223/1000</f>
        <v>26400</v>
      </c>
      <c r="AG1223" s="41"/>
      <c r="AH1223" s="45"/>
      <c r="AI1223" s="28"/>
      <c r="AJ1223" s="28"/>
      <c r="AK1223" s="28"/>
      <c r="AL1223" s="28"/>
      <c r="AM1223" s="12"/>
      <c r="AN1223" s="12"/>
      <c r="AO1223" s="12"/>
      <c r="AP1223" s="12"/>
      <c r="AQ1223" s="12"/>
      <c r="AR1223" s="13"/>
      <c r="AS1223" s="14"/>
    </row>
    <row r="1224" spans="1:45" s="16" customFormat="1" ht="30.95" hidden="1" customHeight="1" x14ac:dyDescent="0.2">
      <c r="A1224" s="35"/>
      <c r="B1224" s="36"/>
      <c r="C1224" s="43"/>
      <c r="D1224" s="29"/>
      <c r="E1224" s="29"/>
      <c r="F1224" s="255"/>
      <c r="G1224" s="256"/>
      <c r="H1224" s="256"/>
      <c r="I1224" s="200"/>
      <c r="J1224" s="203"/>
      <c r="K1224" s="200"/>
      <c r="L1224" s="200"/>
      <c r="M1224" s="37"/>
      <c r="N1224" s="37"/>
      <c r="O1224" s="153"/>
      <c r="P1224" s="45"/>
      <c r="Q1224" s="54"/>
      <c r="R1224" s="260"/>
      <c r="S1224" s="258"/>
      <c r="T1224" s="258"/>
      <c r="U1224" s="38"/>
      <c r="V1224" s="261"/>
      <c r="W1224" s="256"/>
      <c r="X1224" s="256"/>
      <c r="Y1224" s="256"/>
      <c r="Z1224" s="256"/>
      <c r="AA1224" s="54"/>
      <c r="AB1224" s="200"/>
      <c r="AC1224" s="31"/>
      <c r="AD1224" s="184"/>
      <c r="AE1224" s="51"/>
      <c r="AF1224" s="52"/>
      <c r="AG1224" s="41"/>
      <c r="AH1224" s="45"/>
      <c r="AI1224" s="28"/>
      <c r="AJ1224" s="28"/>
      <c r="AK1224" s="28"/>
      <c r="AL1224" s="28"/>
      <c r="AM1224" s="12"/>
      <c r="AN1224" s="12"/>
      <c r="AO1224" s="12"/>
      <c r="AP1224" s="12"/>
      <c r="AQ1224" s="12"/>
      <c r="AR1224" s="13"/>
      <c r="AS1224" s="14"/>
    </row>
    <row r="1225" spans="1:45" s="16" customFormat="1" ht="30.75" hidden="1" customHeight="1" x14ac:dyDescent="0.2">
      <c r="A1225" s="35"/>
      <c r="B1225" s="36"/>
      <c r="C1225" s="43"/>
      <c r="D1225" s="29">
        <v>3731366</v>
      </c>
      <c r="E1225" s="29">
        <v>4162132</v>
      </c>
      <c r="F1225" s="255" t="str">
        <f>IF(D1225="","",VLOOKUP(D1225,契約台帳!$A$3:$K$4986,6,FALSE)&amp;VLOOKUP(D1225,契約台帳!$A$3:$K$4986,7,FALSE)&amp;VLOOKUP(D1225,契約台帳!$A$3:$K$4986,8,FALSE)&amp;VLOOKUP(D1225,契約台帳!$A$3:$K$4986,9,FALSE)&amp;VLOOKUP(D1225,契約台帳!$A$3:$K$4986,11,FALSE))</f>
        <v>3SNMLBMNQR66F</v>
      </c>
      <c r="G1225" s="256" t="str">
        <f>IF(D1225="","",VLOOKUP(F1225,製品マスタ!$G$5:$H$4999,2,FALSE))</f>
        <v>S</v>
      </c>
      <c r="H1225" s="256" t="str">
        <f>IF(D1225="","",VLOOKUP(F1225,製品マスタ!$G$5:$K$4999,5,FALSE))</f>
        <v>MNQR66F</v>
      </c>
      <c r="I1225" s="200" t="str">
        <f>IF(D1225="","",VLOOKUP(F1225,製品マスタ!$G$5:$L$4999,6,FALSE))</f>
        <v>ＱＲ６６蒸着品</v>
      </c>
      <c r="J1225" s="203" t="s">
        <v>935</v>
      </c>
      <c r="K1225" s="200">
        <f>IF(D1225="","",VLOOKUP(D1225,契約台帳!$A$3:$L$4986,12,FALSE))</f>
        <v>25</v>
      </c>
      <c r="L1225" s="200" t="str">
        <f>IF(D1225="","",INDEX(製品マスタ!$Q$5:$Q$4999,MATCH('S4'!F1225&amp;'S4'!K1225,製品マスタ!$AO$5:$AO$4999,0)))</f>
        <v>E315</v>
      </c>
      <c r="M1225" s="37">
        <v>1100</v>
      </c>
      <c r="N1225" s="37">
        <v>6000</v>
      </c>
      <c r="O1225" s="153">
        <v>8</v>
      </c>
      <c r="P1225" s="45">
        <v>4</v>
      </c>
      <c r="Q1225" s="206">
        <v>45226</v>
      </c>
      <c r="R1225" s="257">
        <f ca="1">IF(D1225="","",IF(OFFSET(D1225,-1,0)&lt;&gt;"","",IF(OR(J1225="リード付け",J1225="巻足し",J1225="巻返しリード付け"),M1225,VLOOKUP(D1225,契約台帳!$A$3:$N$4986,14,FALSE))))</f>
        <v>1100</v>
      </c>
      <c r="S1225" s="258">
        <f ca="1">IF(D1225="","",IF(OFFSET(D1225,-1,0)&lt;&gt;"","",IF(OR(J1225="リード付け",J1225="巻足し",J1225="巻返しリード付け"),M1225,VLOOKUP(D1225,契約台帳!$A$3:$O$4986,15,FALSE))))</f>
        <v>1100</v>
      </c>
      <c r="T1225" s="258">
        <f ca="1">IF(D1225="","",IF(J1225="リード付け",N1225,IF(J1225="巻返しリード付け",N1225,IF(J1225="巻足し",N1225*P1225+OFFSET(N1225,1,0)*OFFSET(P1225,1,0),VLOOKUP(D1225,契約台帳!$A$3:$P$4986,16,FALSE)))))</f>
        <v>24000</v>
      </c>
      <c r="U1225" s="38">
        <v>2</v>
      </c>
      <c r="V1225" s="259" t="str">
        <f ca="1">IF(D1225="","",IF(OFFSET(D1225,-2,0)=D1225,"",VLOOKUP(D1225,契約台帳!$A$3:$R$4986,18,FALSE)))</f>
        <v/>
      </c>
      <c r="W1225" s="256" t="str">
        <f ca="1">IF(D1225="","",IF(T1225="","",IF(OR(J1225="巻足し",J1225="巻返しリード付け"),"",IF(J1225="巻返し",VLOOKUP(F1225&amp;K1225&amp;M1225,製品マスタ!$M$5:$AD$4999,18,FALSE),IF(OR(J1225="リード付け",J1225="巻返しリード付け"),"原反コア",IF(J1225="スリット",VLOOKUP(F1225&amp;K1225&amp;R1225,製品マスタ!$N$5:$AD$4999,17,FALSE),""))))))</f>
        <v/>
      </c>
      <c r="X1225" s="256" t="str">
        <f ca="1">IF(D1225="","",IF(T1225="","",IF(J1225="巻足し","",IF(J1225="巻返し",VLOOKUP(F1225&amp;K1225&amp;M1225,製品マスタ!$M$5:$AE$4999,19,FALSE),IF(OR(J1225="リード付け",J1225="巻返しリード付け"),"",IF(J1225="スリット",VLOOKUP(F1225&amp;K1225&amp;R1225,製品マスタ!$N$5:$AE$4999,18,FALSE),""))))))</f>
        <v/>
      </c>
      <c r="Y1225" s="256">
        <f ca="1">IF(D1225="","",IF(T1225="","",VLOOKUP(D1225,契約台帳!$A$3:$Q$4986,17,FALSE)))</f>
        <v>2</v>
      </c>
      <c r="Z1225" s="256" t="str">
        <f ca="1">IF(D1225="","",IF(T1225="","",VLOOKUP(D1225,契約台帳!$A$3:$E$4986,5,FALSE)))</f>
        <v>リンテック㈱</v>
      </c>
      <c r="AA1225" s="54"/>
      <c r="AB1225" s="200" t="str">
        <f>IFERROR((VLOOKUP(F1225&amp;K1225&amp;M1225,製品マスタ!$M$5:$AM$4999,27,FALSE)),"")</f>
        <v>原反ケース再利用</v>
      </c>
      <c r="AC1225" s="31"/>
      <c r="AD1225" s="333"/>
      <c r="AE1225" s="51"/>
      <c r="AF1225" s="52">
        <f>+M1225*N1225*O1225/1000</f>
        <v>52800</v>
      </c>
      <c r="AG1225" s="41"/>
      <c r="AH1225" s="45"/>
      <c r="AI1225" s="28"/>
      <c r="AJ1225" s="28"/>
      <c r="AK1225" s="28"/>
      <c r="AL1225" s="28"/>
      <c r="AM1225" s="12"/>
      <c r="AN1225" s="12"/>
      <c r="AO1225" s="12"/>
      <c r="AP1225" s="12"/>
      <c r="AQ1225" s="12"/>
      <c r="AR1225" s="13"/>
      <c r="AS1225" s="14"/>
    </row>
    <row r="1226" spans="1:45" s="16" customFormat="1" ht="30.95" hidden="1" customHeight="1" x14ac:dyDescent="0.2">
      <c r="A1226" s="35"/>
      <c r="B1226" s="36"/>
      <c r="C1226" s="43"/>
      <c r="D1226" s="29"/>
      <c r="E1226" s="29"/>
      <c r="F1226" s="255"/>
      <c r="G1226" s="256"/>
      <c r="H1226" s="256"/>
      <c r="I1226" s="200"/>
      <c r="J1226" s="203"/>
      <c r="K1226" s="200"/>
      <c r="L1226" s="200"/>
      <c r="M1226" s="37"/>
      <c r="N1226" s="37"/>
      <c r="O1226" s="153"/>
      <c r="P1226" s="45"/>
      <c r="Q1226" s="54"/>
      <c r="R1226" s="260"/>
      <c r="S1226" s="258"/>
      <c r="T1226" s="258"/>
      <c r="U1226" s="38"/>
      <c r="V1226" s="261"/>
      <c r="W1226" s="256"/>
      <c r="X1226" s="256"/>
      <c r="Y1226" s="256"/>
      <c r="Z1226" s="256"/>
      <c r="AA1226" s="54"/>
      <c r="AB1226" s="200"/>
      <c r="AC1226" s="31"/>
      <c r="AD1226" s="184"/>
      <c r="AE1226" s="51"/>
      <c r="AF1226" s="52"/>
      <c r="AG1226" s="41"/>
      <c r="AH1226" s="45"/>
      <c r="AI1226" s="28"/>
      <c r="AJ1226" s="28"/>
      <c r="AK1226" s="28"/>
      <c r="AL1226" s="28"/>
      <c r="AM1226" s="12"/>
      <c r="AN1226" s="12"/>
      <c r="AO1226" s="12"/>
      <c r="AP1226" s="12"/>
      <c r="AQ1226" s="12"/>
      <c r="AR1226" s="13"/>
      <c r="AS1226" s="14"/>
    </row>
    <row r="1227" spans="1:45" s="16" customFormat="1" ht="30.95" hidden="1" customHeight="1" x14ac:dyDescent="0.2">
      <c r="A1227" s="35"/>
      <c r="B1227" s="36"/>
      <c r="C1227" s="43"/>
      <c r="D1227" s="29">
        <v>3732645</v>
      </c>
      <c r="E1227" s="29">
        <v>4162133</v>
      </c>
      <c r="F1227" s="255" t="str">
        <f>IF(D1227="","",VLOOKUP(D1227,契約台帳!$A$3:$K$4986,6,FALSE)&amp;VLOOKUP(D1227,契約台帳!$A$3:$K$4986,7,FALSE)&amp;VLOOKUP(D1227,契約台帳!$A$3:$K$4986,8,FALSE)&amp;VLOOKUP(D1227,契約台帳!$A$3:$K$4986,9,FALSE)&amp;VLOOKUP(D1227,契約台帳!$A$3:$K$4986,11,FALSE))</f>
        <v>3SNMLBMDMSJF</v>
      </c>
      <c r="G1227" s="256" t="str">
        <f>IF(D1227="","",VLOOKUP(F1227,製品マスタ!$G$5:$H$4999,2,FALSE))</f>
        <v>S</v>
      </c>
      <c r="H1227" s="256" t="str">
        <f>IF(D1227="","",VLOOKUP(F1227,製品マスタ!$G$5:$K$4999,5,FALSE))</f>
        <v>MDMSJF</v>
      </c>
      <c r="I1227" s="200" t="str">
        <f>IF(D1227="","",VLOOKUP(F1227,製品マスタ!$G$5:$L$4999,6,FALSE))</f>
        <v>ＤＭＳ蒸着（Ｘ－４４）</v>
      </c>
      <c r="J1227" s="203" t="s">
        <v>935</v>
      </c>
      <c r="K1227" s="200">
        <f>IF(D1227="","",VLOOKUP(D1227,契約台帳!$A$3:$L$4986,12,FALSE))</f>
        <v>50</v>
      </c>
      <c r="L1227" s="200" t="str">
        <f>IF(D1227="","",INDEX(製品マスタ!$Q$5:$Q$4999,MATCH('S4'!F1227&amp;'S4'!K1227,製品マスタ!$AO$5:$AO$4999,0)))</f>
        <v>X44</v>
      </c>
      <c r="M1227" s="37">
        <v>1020</v>
      </c>
      <c r="N1227" s="37">
        <v>4000</v>
      </c>
      <c r="O1227" s="153">
        <v>2</v>
      </c>
      <c r="P1227" s="45">
        <v>2</v>
      </c>
      <c r="Q1227" s="206">
        <v>45230</v>
      </c>
      <c r="R1227" s="257">
        <f ca="1">IF(D1227="","",IF(OFFSET(D1227,-1,0)&lt;&gt;"","",IF(OR(J1227="リード付け",J1227="巻足し",J1227="巻返しリード付け"),M1227,VLOOKUP(D1227,契約台帳!$A$3:$N$4986,14,FALSE))))</f>
        <v>1020</v>
      </c>
      <c r="S1227" s="258">
        <f ca="1">IF(D1227="","",IF(OFFSET(D1227,-1,0)&lt;&gt;"","",IF(OR(J1227="リード付け",J1227="巻足し",J1227="巻返しリード付け"),M1227,VLOOKUP(D1227,契約台帳!$A$3:$O$4986,15,FALSE))))</f>
        <v>1020</v>
      </c>
      <c r="T1227" s="258">
        <f ca="1">IF(D1227="","",IF(J1227="リード付け",N1227,IF(J1227="巻返しリード付け",N1227,IF(J1227="巻足し",N1227*P1227+OFFSET(N1227,1,0)*OFFSET(P1227,1,0),VLOOKUP(D1227,契約台帳!$A$3:$P$4986,16,FALSE)))))</f>
        <v>8000</v>
      </c>
      <c r="U1227" s="38">
        <v>1</v>
      </c>
      <c r="V1227" s="259">
        <f ca="1">IF(D1227="","",IF(OFFSET(D1227,-2,0)=D1227,"",VLOOKUP(D1227,契約台帳!$A$3:$R$4986,18,FALSE)))</f>
        <v>4</v>
      </c>
      <c r="W1227" s="256" t="str">
        <f ca="1">IF(D1227="","",IF(T1227="","",IF(OR(J1227="巻足し",J1227="巻返しリード付け"),"",IF(J1227="巻返し",VLOOKUP(F1227&amp;K1227&amp;M1227,製品マスタ!$M$5:$AD$4999,18,FALSE),IF(OR(J1227="リード付け",J1227="巻返しリード付け"),"原反コア",IF(J1227="スリット",VLOOKUP(F1227&amp;K1227&amp;R1227,製品マスタ!$N$5:$AD$4999,17,FALSE),""))))))</f>
        <v/>
      </c>
      <c r="X1227" s="256" t="str">
        <f ca="1">IF(D1227="","",IF(T1227="","",IF(J1227="巻足し","",IF(J1227="巻返し",VLOOKUP(F1227&amp;K1227&amp;M1227,製品マスタ!$M$5:$AE$4999,19,FALSE),IF(OR(J1227="リード付け",J1227="巻返しリード付け"),"",IF(J1227="スリット",VLOOKUP(F1227&amp;K1227&amp;R1227,製品マスタ!$N$5:$AE$4999,18,FALSE),""))))))</f>
        <v/>
      </c>
      <c r="Y1227" s="256">
        <f ca="1">IF(D1227="","",IF(T1227="","",VLOOKUP(D1227,契約台帳!$A$3:$Q$4986,17,FALSE)))</f>
        <v>2</v>
      </c>
      <c r="Z1227" s="256" t="str">
        <f ca="1">IF(D1227="","",IF(T1227="","",VLOOKUP(D1227,契約台帳!$A$3:$E$4986,5,FALSE)))</f>
        <v>五洋紙工㈱</v>
      </c>
      <c r="AA1227" s="54"/>
      <c r="AB1227" s="200">
        <f>IFERROR((VLOOKUP(F1227&amp;K1227&amp;M1227,製品マスタ!$M$5:$AM$4999,27,FALSE)),"")</f>
        <v>0</v>
      </c>
      <c r="AC1227" s="31"/>
      <c r="AD1227" s="184"/>
      <c r="AE1227" s="51"/>
      <c r="AF1227" s="52">
        <f>+M1227*N1227*O1227/1000</f>
        <v>8160</v>
      </c>
      <c r="AG1227" s="41"/>
      <c r="AH1227" s="45"/>
      <c r="AI1227" s="28"/>
      <c r="AJ1227" s="28"/>
      <c r="AK1227" s="28"/>
      <c r="AL1227" s="28"/>
      <c r="AM1227" s="12"/>
      <c r="AN1227" s="12"/>
      <c r="AO1227" s="12"/>
      <c r="AP1227" s="12"/>
      <c r="AQ1227" s="12"/>
      <c r="AR1227" s="13"/>
      <c r="AS1227" s="14"/>
    </row>
    <row r="1228" spans="1:45" s="16" customFormat="1" ht="30.95" hidden="1" customHeight="1" x14ac:dyDescent="0.2">
      <c r="A1228" s="35"/>
      <c r="B1228" s="36"/>
      <c r="C1228" s="43"/>
      <c r="D1228" s="29"/>
      <c r="E1228" s="29"/>
      <c r="F1228" s="255"/>
      <c r="G1228" s="256"/>
      <c r="H1228" s="256"/>
      <c r="I1228" s="200"/>
      <c r="J1228" s="203"/>
      <c r="K1228" s="200"/>
      <c r="L1228" s="200"/>
      <c r="M1228" s="37"/>
      <c r="N1228" s="37"/>
      <c r="O1228" s="153"/>
      <c r="P1228" s="45"/>
      <c r="Q1228" s="54"/>
      <c r="R1228" s="260"/>
      <c r="S1228" s="258"/>
      <c r="T1228" s="258"/>
      <c r="U1228" s="38"/>
      <c r="V1228" s="261"/>
      <c r="W1228" s="256"/>
      <c r="X1228" s="256"/>
      <c r="Y1228" s="256"/>
      <c r="Z1228" s="256"/>
      <c r="AA1228" s="54"/>
      <c r="AB1228" s="200"/>
      <c r="AC1228" s="31"/>
      <c r="AD1228" s="184"/>
      <c r="AE1228" s="51"/>
      <c r="AF1228" s="52"/>
      <c r="AG1228" s="41"/>
      <c r="AH1228" s="45"/>
      <c r="AI1228" s="28"/>
      <c r="AJ1228" s="28"/>
      <c r="AK1228" s="28"/>
      <c r="AL1228" s="28"/>
      <c r="AM1228" s="12"/>
      <c r="AN1228" s="12"/>
      <c r="AO1228" s="12"/>
      <c r="AP1228" s="12"/>
      <c r="AQ1228" s="12"/>
      <c r="AR1228" s="13"/>
      <c r="AS1228" s="14"/>
    </row>
    <row r="1229" spans="1:45" s="16" customFormat="1" ht="30.75" hidden="1" customHeight="1" x14ac:dyDescent="0.2">
      <c r="A1229" s="35" t="s">
        <v>640</v>
      </c>
      <c r="B1229" s="36" t="s">
        <v>442</v>
      </c>
      <c r="C1229" s="43"/>
      <c r="D1229" s="29">
        <v>3731365</v>
      </c>
      <c r="E1229" s="29">
        <v>4162131</v>
      </c>
      <c r="F1229" s="255" t="str">
        <f>IF(D1229="","",VLOOKUP(D1229,契約台帳!$A$3:$K$4986,6,FALSE)&amp;VLOOKUP(D1229,契約台帳!$A$3:$K$4986,7,FALSE)&amp;VLOOKUP(D1229,契約台帳!$A$3:$K$4986,8,FALSE)&amp;VLOOKUP(D1229,契約台帳!$A$3:$K$4986,9,FALSE)&amp;VLOOKUP(D1229,契約台帳!$A$3:$K$4986,11,FALSE))</f>
        <v>3SNMLBMNQR66F</v>
      </c>
      <c r="G1229" s="256" t="str">
        <f>IF(D1229="","",VLOOKUP(F1229,製品マスタ!$G$5:$H$4999,2,FALSE))</f>
        <v>S</v>
      </c>
      <c r="H1229" s="256" t="str">
        <f>IF(D1229="","",VLOOKUP(F1229,製品マスタ!$G$5:$K$4999,5,FALSE))</f>
        <v>MNQR66F</v>
      </c>
      <c r="I1229" s="200" t="str">
        <f>IF(D1229="","",VLOOKUP(F1229,製品マスタ!$G$5:$L$4999,6,FALSE))</f>
        <v>ＱＲ６６蒸着品</v>
      </c>
      <c r="J1229" s="203" t="s">
        <v>935</v>
      </c>
      <c r="K1229" s="200">
        <f>IF(D1229="","",VLOOKUP(D1229,契約台帳!$A$3:$L$4986,12,FALSE))</f>
        <v>25</v>
      </c>
      <c r="L1229" s="200" t="str">
        <f>IF(D1229="","",INDEX(製品マスタ!$Q$5:$Q$4999,MATCH('S4'!F1229&amp;'S4'!K1229,製品マスタ!$AO$5:$AO$4999,0)))</f>
        <v>E315</v>
      </c>
      <c r="M1229" s="37">
        <v>1000</v>
      </c>
      <c r="N1229" s="37">
        <v>6000</v>
      </c>
      <c r="O1229" s="153">
        <v>8</v>
      </c>
      <c r="P1229" s="45">
        <v>4</v>
      </c>
      <c r="Q1229" s="206">
        <v>45226</v>
      </c>
      <c r="R1229" s="257">
        <f ca="1">IF(D1229="","",IF(OFFSET(D1229,-1,0)&lt;&gt;"","",IF(OR(J1229="リード付け",J1229="巻足し",J1229="巻返しリード付け"),M1229,VLOOKUP(D1229,契約台帳!$A$3:$N$4986,14,FALSE))))</f>
        <v>1000</v>
      </c>
      <c r="S1229" s="258">
        <f ca="1">IF(D1229="","",IF(OFFSET(D1229,-1,0)&lt;&gt;"","",IF(OR(J1229="リード付け",J1229="巻足し",J1229="巻返しリード付け"),M1229,VLOOKUP(D1229,契約台帳!$A$3:$O$4986,15,FALSE))))</f>
        <v>1000</v>
      </c>
      <c r="T1229" s="258">
        <f ca="1">IF(D1229="","",IF(J1229="リード付け",N1229,IF(J1229="巻返しリード付け",N1229,IF(J1229="巻足し",N1229*P1229+OFFSET(N1229,1,0)*OFFSET(P1229,1,0),VLOOKUP(D1229,契約台帳!$A$3:$P$4986,16,FALSE)))))</f>
        <v>24000</v>
      </c>
      <c r="U1229" s="38">
        <v>2</v>
      </c>
      <c r="V1229" s="259">
        <f ca="1">IF(D1229="","",IF(OFFSET(D1229,-2,0)=D1229,"",VLOOKUP(D1229,契約台帳!$A$3:$R$4986,18,FALSE)))</f>
        <v>8</v>
      </c>
      <c r="W1229" s="256" t="str">
        <f ca="1">IF(D1229="","",IF(T1229="","",IF(OR(J1229="巻足し",J1229="巻返しリード付け"),"",IF(J1229="巻返し",VLOOKUP(F1229&amp;K1229&amp;M1229,製品マスタ!$M$5:$AD$4999,18,FALSE),IF(OR(J1229="リード付け",J1229="巻返しリード付け"),"原反コア",IF(J1229="スリット",VLOOKUP(F1229&amp;K1229&amp;R1229,製品マスタ!$N$5:$AD$4999,17,FALSE),""))))))</f>
        <v/>
      </c>
      <c r="X1229" s="256" t="str">
        <f ca="1">IF(D1229="","",IF(T1229="","",IF(J1229="巻足し","",IF(J1229="巻返し",VLOOKUP(F1229&amp;K1229&amp;M1229,製品マスタ!$M$5:$AE$4999,19,FALSE),IF(OR(J1229="リード付け",J1229="巻返しリード付け"),"",IF(J1229="スリット",VLOOKUP(F1229&amp;K1229&amp;R1229,製品マスタ!$N$5:$AE$4999,18,FALSE),""))))))</f>
        <v/>
      </c>
      <c r="Y1229" s="256">
        <f ca="1">IF(D1229="","",IF(T1229="","",VLOOKUP(D1229,契約台帳!$A$3:$Q$4986,17,FALSE)))</f>
        <v>2</v>
      </c>
      <c r="Z1229" s="256" t="str">
        <f ca="1">IF(D1229="","",IF(T1229="","",VLOOKUP(D1229,契約台帳!$A$3:$E$4986,5,FALSE)))</f>
        <v>リンテック㈱</v>
      </c>
      <c r="AA1229" s="54"/>
      <c r="AB1229" s="200" t="str">
        <f>IFERROR((VLOOKUP(F1229&amp;K1229&amp;M1229,製品マスタ!$M$5:$AM$4999,27,FALSE)),"")</f>
        <v>原反ケース再利用</v>
      </c>
      <c r="AC1229" s="31"/>
      <c r="AD1229" s="333"/>
      <c r="AE1229" s="51"/>
      <c r="AF1229" s="52">
        <f>+M1229*N1229*O1229/1000</f>
        <v>48000</v>
      </c>
      <c r="AG1229" s="41"/>
      <c r="AH1229" s="45"/>
      <c r="AI1229" s="28"/>
      <c r="AJ1229" s="28"/>
      <c r="AK1229" s="28"/>
      <c r="AL1229" s="28"/>
      <c r="AM1229" s="12"/>
      <c r="AN1229" s="12"/>
      <c r="AO1229" s="12"/>
      <c r="AP1229" s="12"/>
      <c r="AQ1229" s="12"/>
      <c r="AR1229" s="13"/>
      <c r="AS1229" s="14"/>
    </row>
    <row r="1230" spans="1:45" s="16" customFormat="1" ht="30.95" hidden="1" customHeight="1" x14ac:dyDescent="0.2">
      <c r="A1230" s="35"/>
      <c r="B1230" s="36"/>
      <c r="C1230" s="43"/>
      <c r="D1230" s="29"/>
      <c r="E1230" s="29"/>
      <c r="F1230" s="255"/>
      <c r="G1230" s="256"/>
      <c r="H1230" s="256"/>
      <c r="I1230" s="200"/>
      <c r="J1230" s="203"/>
      <c r="K1230" s="200"/>
      <c r="L1230" s="200"/>
      <c r="M1230" s="37"/>
      <c r="N1230" s="37"/>
      <c r="O1230" s="153"/>
      <c r="P1230" s="45"/>
      <c r="Q1230" s="54"/>
      <c r="R1230" s="260"/>
      <c r="S1230" s="258"/>
      <c r="T1230" s="258"/>
      <c r="U1230" s="38"/>
      <c r="V1230" s="261"/>
      <c r="W1230" s="256"/>
      <c r="X1230" s="256"/>
      <c r="Y1230" s="256"/>
      <c r="Z1230" s="256"/>
      <c r="AA1230" s="54"/>
      <c r="AB1230" s="200"/>
      <c r="AC1230" s="31"/>
      <c r="AD1230" s="184"/>
      <c r="AE1230" s="51"/>
      <c r="AF1230" s="52"/>
      <c r="AG1230" s="41"/>
      <c r="AH1230" s="45"/>
      <c r="AI1230" s="28"/>
      <c r="AJ1230" s="28"/>
      <c r="AK1230" s="28"/>
      <c r="AL1230" s="28"/>
      <c r="AM1230" s="12"/>
      <c r="AN1230" s="12"/>
      <c r="AO1230" s="12"/>
      <c r="AP1230" s="12"/>
      <c r="AQ1230" s="12"/>
      <c r="AR1230" s="13"/>
      <c r="AS1230" s="14"/>
    </row>
    <row r="1231" spans="1:45" s="16" customFormat="1" ht="30.95" hidden="1" customHeight="1" x14ac:dyDescent="0.2">
      <c r="A1231" s="35"/>
      <c r="B1231" s="36"/>
      <c r="C1231" s="43"/>
      <c r="D1231" s="29">
        <v>3731342</v>
      </c>
      <c r="E1231" s="29">
        <v>4162125</v>
      </c>
      <c r="F1231" s="255" t="str">
        <f>IF(D1231="","",VLOOKUP(D1231,契約台帳!$A$3:$K$4986,6,FALSE)&amp;VLOOKUP(D1231,契約台帳!$A$3:$K$4986,7,FALSE)&amp;VLOOKUP(D1231,契約台帳!$A$3:$K$4986,8,FALSE)&amp;VLOOKUP(D1231,契約台帳!$A$3:$K$4986,9,FALSE)&amp;VLOOKUP(D1231,契約台帳!$A$3:$K$4986,11,FALSE))</f>
        <v>3SNMLBMTSF</v>
      </c>
      <c r="G1231" s="256" t="str">
        <f>IF(D1231="","",VLOOKUP(F1231,製品マスタ!$G$5:$H$4999,2,FALSE))</f>
        <v>S</v>
      </c>
      <c r="H1231" s="256" t="str">
        <f>IF(D1231="","",VLOOKUP(F1231,製品マスタ!$G$5:$K$4999,5,FALSE))</f>
        <v>MTSF</v>
      </c>
      <c r="I1231" s="200" t="str">
        <f>IF(D1231="","",VLOOKUP(F1231,製品マスタ!$G$5:$L$4999,6,FALSE))</f>
        <v>メタルミー　ＴＳ</v>
      </c>
      <c r="J1231" s="203" t="s">
        <v>935</v>
      </c>
      <c r="K1231" s="200">
        <f>IF(D1231="","",VLOOKUP(D1231,契約台帳!$A$3:$L$4986,12,FALSE))</f>
        <v>50</v>
      </c>
      <c r="L1231" s="200" t="str">
        <f>IF(D1231="","",INDEX(製品マスタ!$Q$5:$Q$4999,MATCH('S4'!F1231&amp;'S4'!K1231,製品マスタ!$AO$5:$AO$4999,0)))</f>
        <v>T62M</v>
      </c>
      <c r="M1231" s="37">
        <v>1255</v>
      </c>
      <c r="N1231" s="37">
        <v>6100</v>
      </c>
      <c r="O1231" s="153">
        <v>6</v>
      </c>
      <c r="P1231" s="45">
        <v>2</v>
      </c>
      <c r="Q1231" s="206">
        <v>45226</v>
      </c>
      <c r="R1231" s="257">
        <f ca="1">IF(D1231="","",IF(OFFSET(D1231,-1,0)&lt;&gt;"","",IF(OR(J1231="リード付け",J1231="巻足し",J1231="巻返しリード付け"),M1231,VLOOKUP(D1231,契約台帳!$A$3:$N$4986,14,FALSE))))</f>
        <v>1255</v>
      </c>
      <c r="S1231" s="258">
        <f ca="1">IF(D1231="","",IF(OFFSET(D1231,-1,0)&lt;&gt;"","",IF(OR(J1231="リード付け",J1231="巻足し",J1231="巻返しリード付け"),M1231,VLOOKUP(D1231,契約台帳!$A$3:$O$4986,15,FALSE))))</f>
        <v>1255</v>
      </c>
      <c r="T1231" s="258">
        <f ca="1">IF(D1231="","",IF(J1231="リード付け",N1231,IF(J1231="巻返しリード付け",N1231,IF(J1231="巻足し",N1231*P1231+OFFSET(N1231,1,0)*OFFSET(P1231,1,0),VLOOKUP(D1231,契約台帳!$A$3:$P$4986,16,FALSE)))))</f>
        <v>12200</v>
      </c>
      <c r="U1231" s="38">
        <v>3</v>
      </c>
      <c r="V1231" s="259">
        <f ca="1">IF(D1231="","",IF(OFFSET(D1231,-2,0)=D1231,"",VLOOKUP(D1231,契約台帳!$A$3:$R$4986,18,FALSE)))</f>
        <v>18</v>
      </c>
      <c r="W1231" s="256" t="str">
        <f ca="1">IF(D1231="","",IF(T1231="","",IF(OR(J1231="巻足し",J1231="巻返しリード付け"),"",IF(J1231="巻返し",VLOOKUP(F1231&amp;K1231&amp;M1231,製品マスタ!$M$5:$AD$4999,18,FALSE),IF(OR(J1231="リード付け",J1231="巻返しリード付け"),"原反コア",IF(J1231="スリット",VLOOKUP(F1231&amp;K1231&amp;R1231,製品マスタ!$N$5:$AD$4999,17,FALSE),""))))))</f>
        <v/>
      </c>
      <c r="X1231" s="256" t="str">
        <f ca="1">IF(D1231="","",IF(T1231="","",IF(J1231="巻足し","",IF(J1231="巻返し",VLOOKUP(F1231&amp;K1231&amp;M1231,製品マスタ!$M$5:$AE$4999,19,FALSE),IF(OR(J1231="リード付け",J1231="巻返しリード付け"),"",IF(J1231="スリット",VLOOKUP(F1231&amp;K1231&amp;R1231,製品マスタ!$N$5:$AE$4999,18,FALSE),""))))))</f>
        <v/>
      </c>
      <c r="Y1231" s="256">
        <f ca="1">IF(D1231="","",IF(T1231="","",VLOOKUP(D1231,契約台帳!$A$3:$Q$4986,17,FALSE)))</f>
        <v>2</v>
      </c>
      <c r="Z1231" s="256" t="str">
        <f ca="1">IF(D1231="","",IF(T1231="","",VLOOKUP(D1231,契約台帳!$A$3:$E$4986,5,FALSE)))</f>
        <v>日東電工㈱豊橋工場</v>
      </c>
      <c r="AA1231" s="54"/>
      <c r="AB1231" s="200">
        <f>IFERROR((VLOOKUP(F1231&amp;K1231&amp;M1231,製品マスタ!$M$5:$AM$4999,27,FALSE)),"")</f>
        <v>0</v>
      </c>
      <c r="AC1231" s="31"/>
      <c r="AD1231" s="184"/>
      <c r="AE1231" s="51"/>
      <c r="AF1231" s="52">
        <f>+M1231*N1231*O1231/1000</f>
        <v>45933</v>
      </c>
      <c r="AG1231" s="41"/>
      <c r="AH1231" s="45"/>
      <c r="AI1231" s="28"/>
      <c r="AJ1231" s="28"/>
      <c r="AK1231" s="28"/>
      <c r="AL1231" s="28"/>
      <c r="AM1231" s="12"/>
      <c r="AN1231" s="12"/>
      <c r="AO1231" s="12"/>
      <c r="AP1231" s="12"/>
      <c r="AQ1231" s="12"/>
      <c r="AR1231" s="13"/>
      <c r="AS1231" s="14"/>
    </row>
    <row r="1232" spans="1:45" s="16" customFormat="1" ht="30.95" hidden="1" customHeight="1" x14ac:dyDescent="0.2">
      <c r="A1232" s="35"/>
      <c r="B1232" s="36"/>
      <c r="C1232" s="43"/>
      <c r="D1232" s="29"/>
      <c r="E1232" s="29"/>
      <c r="F1232" s="255"/>
      <c r="G1232" s="256"/>
      <c r="H1232" s="256"/>
      <c r="I1232" s="200"/>
      <c r="J1232" s="203"/>
      <c r="K1232" s="200"/>
      <c r="L1232" s="200"/>
      <c r="M1232" s="37"/>
      <c r="N1232" s="37"/>
      <c r="O1232" s="153"/>
      <c r="P1232" s="45"/>
      <c r="Q1232" s="54"/>
      <c r="R1232" s="260"/>
      <c r="S1232" s="258"/>
      <c r="T1232" s="258"/>
      <c r="U1232" s="38"/>
      <c r="V1232" s="261"/>
      <c r="W1232" s="256"/>
      <c r="X1232" s="256"/>
      <c r="Y1232" s="256"/>
      <c r="Z1232" s="256"/>
      <c r="AA1232" s="54"/>
      <c r="AB1232" s="200"/>
      <c r="AC1232" s="31"/>
      <c r="AD1232" s="184"/>
      <c r="AE1232" s="51"/>
      <c r="AF1232" s="52"/>
      <c r="AG1232" s="41"/>
      <c r="AH1232" s="45"/>
      <c r="AI1232" s="28"/>
      <c r="AJ1232" s="28"/>
      <c r="AK1232" s="28"/>
      <c r="AL1232" s="28"/>
      <c r="AM1232" s="12"/>
      <c r="AN1232" s="12"/>
      <c r="AO1232" s="12"/>
      <c r="AP1232" s="12"/>
      <c r="AQ1232" s="12"/>
      <c r="AR1232" s="13"/>
      <c r="AS1232" s="14"/>
    </row>
    <row r="1233" spans="1:45" s="16" customFormat="1" ht="30.95" hidden="1" customHeight="1" x14ac:dyDescent="0.2">
      <c r="A1233" s="35"/>
      <c r="B1233" s="36"/>
      <c r="C1233" s="43"/>
      <c r="D1233" s="29">
        <v>3732676</v>
      </c>
      <c r="E1233" s="29">
        <v>4162140</v>
      </c>
      <c r="F1233" s="255" t="str">
        <f>IF(D1233="","",VLOOKUP(D1233,契約台帳!$A$3:$K$4986,6,FALSE)&amp;VLOOKUP(D1233,契約台帳!$A$3:$K$4986,7,FALSE)&amp;VLOOKUP(D1233,契約台帳!$A$3:$K$4986,8,FALSE)&amp;VLOOKUP(D1233,契約台帳!$A$3:$K$4986,9,FALSE)&amp;VLOOKUP(D1233,契約台帳!$A$3:$K$4986,11,FALSE))</f>
        <v>3HSNMCLBWCB</v>
      </c>
      <c r="G1233" s="256" t="str">
        <f>IF(D1233="","",VLOOKUP(F1233,製品マスタ!$G$5:$H$4999,2,FALSE))</f>
        <v>S</v>
      </c>
      <c r="H1233" s="256" t="str">
        <f>IF(D1233="","",VLOOKUP(F1233,製品マスタ!$G$5:$K$4999,5,FALSE))</f>
        <v>WCB</v>
      </c>
      <c r="I1233" s="200" t="str">
        <f>IF(D1233="","",VLOOKUP(F1233,製品マスタ!$G$5:$L$4999,6,FALSE))</f>
        <v>メタルミー　ホワイトコート　（Ｂ）</v>
      </c>
      <c r="J1233" s="203" t="s">
        <v>935</v>
      </c>
      <c r="K1233" s="200">
        <f>IF(D1233="","",VLOOKUP(D1233,契約台帳!$A$3:$L$4986,12,FALSE))</f>
        <v>50</v>
      </c>
      <c r="L1233" s="200" t="s">
        <v>1764</v>
      </c>
      <c r="M1233" s="37">
        <v>1195</v>
      </c>
      <c r="N1233" s="37">
        <v>6100</v>
      </c>
      <c r="O1233" s="153">
        <v>2</v>
      </c>
      <c r="P1233" s="45">
        <v>2</v>
      </c>
      <c r="Q1233" s="206">
        <v>45231</v>
      </c>
      <c r="R1233" s="257">
        <f ca="1">IF(D1233="","",IF(OFFSET(D1233,-1,0)&lt;&gt;"","",IF(OR(J1233="リード付け",J1233="巻足し",J1233="巻返しリード付け"),M1233,VLOOKUP(D1233,契約台帳!$A$3:$N$4986,14,FALSE))))</f>
        <v>1195</v>
      </c>
      <c r="S1233" s="258">
        <f ca="1">IF(D1233="","",IF(OFFSET(D1233,-1,0)&lt;&gt;"","",IF(OR(J1233="リード付け",J1233="巻足し",J1233="巻返しリード付け"),M1233,VLOOKUP(D1233,契約台帳!$A$3:$O$4986,15,FALSE))))</f>
        <v>1195</v>
      </c>
      <c r="T1233" s="258">
        <f ca="1">IF(D1233="","",IF(J1233="リード付け",N1233,IF(J1233="巻返しリード付け",N1233,IF(J1233="巻足し",N1233*P1233+OFFSET(N1233,1,0)*OFFSET(P1233,1,0),VLOOKUP(D1233,契約台帳!$A$3:$P$4986,16,FALSE)))))</f>
        <v>12200</v>
      </c>
      <c r="U1233" s="38">
        <v>1</v>
      </c>
      <c r="V1233" s="259">
        <v>2</v>
      </c>
      <c r="W1233" s="256" t="str">
        <f ca="1">IF(D1233="","",IF(T1233="","",IF(OR(J1233="巻足し",J1233="巻返しリード付け"),"",IF(J1233="巻返し",VLOOKUP(F1233&amp;K1233&amp;M1233,製品マスタ!$M$5:$AD$4999,18,FALSE),IF(OR(J1233="リード付け",J1233="巻返しリード付け"),"原反コア",IF(J1233="スリット",VLOOKUP(F1233&amp;K1233&amp;R1233,製品マスタ!$N$5:$AD$4999,17,FALSE),""))))))</f>
        <v/>
      </c>
      <c r="X1233" s="256" t="str">
        <f ca="1">IF(D1233="","",IF(T1233="","",IF(J1233="巻足し","",IF(J1233="巻返し",VLOOKUP(F1233&amp;K1233&amp;M1233,製品マスタ!$M$5:$AE$4999,19,FALSE),IF(OR(J1233="リード付け",J1233="巻返しリード付け"),"",IF(J1233="スリット",VLOOKUP(F1233&amp;K1233&amp;R1233,製品マスタ!$N$5:$AE$4999,18,FALSE),""))))))</f>
        <v/>
      </c>
      <c r="Y1233" s="256">
        <f ca="1">IF(D1233="","",IF(T1233="","",VLOOKUP(D1233,契約台帳!$A$3:$Q$4986,17,FALSE)))</f>
        <v>2</v>
      </c>
      <c r="Z1233" s="256" t="str">
        <f ca="1">IF(D1233="","",IF(T1233="","",VLOOKUP(D1233,契約台帳!$A$3:$E$4986,5,FALSE)))</f>
        <v>新タック化成㈱</v>
      </c>
      <c r="AA1233" s="54"/>
      <c r="AB1233" s="200" t="str">
        <f>IFERROR((VLOOKUP(F1233&amp;K1233&amp;M1233,製品マスタ!$M$5:$AM$4999,27,FALSE)),"")</f>
        <v/>
      </c>
      <c r="AC1233" s="31"/>
      <c r="AD1233" s="184"/>
      <c r="AE1233" s="51"/>
      <c r="AF1233" s="52">
        <f>+M1233*N1233*O1233/1000</f>
        <v>14579</v>
      </c>
      <c r="AG1233" s="41"/>
      <c r="AH1233" s="45"/>
      <c r="AI1233" s="28"/>
      <c r="AJ1233" s="28"/>
      <c r="AK1233" s="28"/>
      <c r="AL1233" s="28"/>
      <c r="AM1233" s="12"/>
      <c r="AN1233" s="12"/>
      <c r="AO1233" s="12"/>
      <c r="AP1233" s="12"/>
      <c r="AQ1233" s="12"/>
      <c r="AR1233" s="13"/>
      <c r="AS1233" s="14"/>
    </row>
    <row r="1234" spans="1:45" s="16" customFormat="1" ht="30.95" hidden="1" customHeight="1" x14ac:dyDescent="0.2">
      <c r="A1234" s="35"/>
      <c r="B1234" s="36"/>
      <c r="C1234" s="43"/>
      <c r="D1234" s="29"/>
      <c r="E1234" s="29"/>
      <c r="F1234" s="255"/>
      <c r="G1234" s="256"/>
      <c r="H1234" s="256"/>
      <c r="I1234" s="200"/>
      <c r="J1234" s="203"/>
      <c r="K1234" s="200"/>
      <c r="L1234" s="200"/>
      <c r="M1234" s="37"/>
      <c r="N1234" s="37"/>
      <c r="O1234" s="153"/>
      <c r="P1234" s="45"/>
      <c r="Q1234" s="54"/>
      <c r="R1234" s="260"/>
      <c r="S1234" s="258"/>
      <c r="T1234" s="258"/>
      <c r="U1234" s="38"/>
      <c r="V1234" s="261"/>
      <c r="W1234" s="256"/>
      <c r="X1234" s="256"/>
      <c r="Y1234" s="256"/>
      <c r="Z1234" s="256"/>
      <c r="AA1234" s="54"/>
      <c r="AB1234" s="200"/>
      <c r="AC1234" s="31"/>
      <c r="AD1234" s="184"/>
      <c r="AE1234" s="51"/>
      <c r="AF1234" s="52"/>
      <c r="AG1234" s="41"/>
      <c r="AH1234" s="45"/>
      <c r="AI1234" s="28"/>
      <c r="AJ1234" s="28"/>
      <c r="AK1234" s="28"/>
      <c r="AL1234" s="28"/>
      <c r="AM1234" s="12"/>
      <c r="AN1234" s="12"/>
      <c r="AO1234" s="12"/>
      <c r="AP1234" s="12"/>
      <c r="AQ1234" s="12"/>
      <c r="AR1234" s="13"/>
      <c r="AS1234" s="14"/>
    </row>
    <row r="1235" spans="1:45" s="16" customFormat="1" ht="30.95" hidden="1" customHeight="1" x14ac:dyDescent="0.2">
      <c r="A1235" s="35" t="s">
        <v>641</v>
      </c>
      <c r="B1235" s="36" t="s">
        <v>443</v>
      </c>
      <c r="C1235" s="43"/>
      <c r="D1235" s="29">
        <v>3732649</v>
      </c>
      <c r="E1235" s="29">
        <v>4162134</v>
      </c>
      <c r="F1235" s="255" t="str">
        <f>IF(D1235="","",VLOOKUP(D1235,契約台帳!$A$3:$K$4986,6,FALSE)&amp;VLOOKUP(D1235,契約台帳!$A$3:$K$4986,7,FALSE)&amp;VLOOKUP(D1235,契約台帳!$A$3:$K$4986,8,FALSE)&amp;VLOOKUP(D1235,契約台帳!$A$3:$K$4986,9,FALSE)&amp;VLOOKUP(D1235,契約台帳!$A$3:$K$4986,11,FALSE))</f>
        <v>3SNMCLBEYK</v>
      </c>
      <c r="G1235" s="256" t="str">
        <f>IF(D1235="","",VLOOKUP(F1235,製品マスタ!$G$5:$H$4999,2,FALSE))</f>
        <v>S</v>
      </c>
      <c r="H1235" s="256" t="str">
        <f>IF(D1235="","",VLOOKUP(F1235,製品マスタ!$G$5:$K$4999,5,FALSE))</f>
        <v>EYK</v>
      </c>
      <c r="I1235" s="200" t="str">
        <f>IF(D1235="","",VLOOKUP(F1235,製品マスタ!$G$5:$L$4999,6,FALSE))</f>
        <v>メタルミー　ＥＹＫ</v>
      </c>
      <c r="J1235" s="203" t="s">
        <v>1164</v>
      </c>
      <c r="K1235" s="200">
        <f>IF(D1235="","",VLOOKUP(D1235,契約台帳!$A$3:$L$4986,12,FALSE))</f>
        <v>50</v>
      </c>
      <c r="L1235" s="200" t="str">
        <f>IF(D1235="","",INDEX(製品マスタ!$Q$5:$Q$4999,MATCH('S4'!F1235&amp;'S4'!K1235,製品マスタ!$AO$5:$AO$4999,0)))</f>
        <v>T62M</v>
      </c>
      <c r="M1235" s="37">
        <v>1125</v>
      </c>
      <c r="N1235" s="37">
        <v>6100</v>
      </c>
      <c r="O1235" s="153">
        <v>4</v>
      </c>
      <c r="P1235" s="45">
        <v>2</v>
      </c>
      <c r="Q1235" s="206">
        <v>45226</v>
      </c>
      <c r="R1235" s="257">
        <f ca="1">IF(D1235="","",IF(OFFSET(D1235,-1,0)&lt;&gt;"","",IF(OR(J1235="リード付け",J1235="巻足し",J1235="巻返しリード付け"),M1235,VLOOKUP(D1235,契約台帳!$A$3:$N$4986,14,FALSE))))</f>
        <v>1125</v>
      </c>
      <c r="S1235" s="258">
        <f ca="1">IF(D1235="","",IF(OFFSET(D1235,-1,0)&lt;&gt;"","",IF(OR(J1235="リード付け",J1235="巻足し",J1235="巻返しリード付け"),M1235,VLOOKUP(D1235,契約台帳!$A$3:$O$4986,15,FALSE))))</f>
        <v>1125</v>
      </c>
      <c r="T1235" s="258">
        <f ca="1">IF(D1235="","",IF(J1235="リード付け",N1235,IF(J1235="巻返しリード付け",N1235,IF(J1235="巻足し",N1235*P1235+OFFSET(N1235,1,0)*OFFSET(P1235,1,0),VLOOKUP(D1235,契約台帳!$A$3:$P$4986,16,FALSE)))))</f>
        <v>12200</v>
      </c>
      <c r="U1235" s="38">
        <v>2</v>
      </c>
      <c r="V1235" s="259">
        <f ca="1">IF(D1235="","",IF(OFFSET(D1235,-2,0)=D1235,"",VLOOKUP(D1235,契約台帳!$A$3:$R$4986,18,FALSE)))</f>
        <v>4</v>
      </c>
      <c r="W1235" s="256" t="str">
        <f ca="1">IF(D1235="","",IF(T1235="","",IF(OR(J1235="巻足し",J1235="巻返しリード付け"),"",IF(J1235="巻返し",VLOOKUP(F1235&amp;K1235&amp;M1235,製品マスタ!$M$5:$AD$4999,18,FALSE),IF(OR(J1235="リード付け",J1235="巻返しリード付け"),"原反コア",IF(J1235="スリット",VLOOKUP(F1235&amp;K1235&amp;R1235,製品マスタ!$N$5:$AD$4999,17,FALSE),""))))))</f>
        <v/>
      </c>
      <c r="X1235" s="256" t="str">
        <f ca="1">IF(D1235="","",IF(T1235="","",IF(J1235="巻足し","",IF(J1235="巻返し",VLOOKUP(F1235&amp;K1235&amp;M1235,製品マスタ!$M$5:$AE$4999,19,FALSE),IF(OR(J1235="リード付け",J1235="巻返しリード付け"),"",IF(J1235="スリット",VLOOKUP(F1235&amp;K1235&amp;R1235,製品マスタ!$N$5:$AE$4999,18,FALSE),""))))))</f>
        <v/>
      </c>
      <c r="Y1235" s="256">
        <f ca="1">IF(D1235="","",IF(T1235="","",VLOOKUP(D1235,契約台帳!$A$3:$Q$4986,17,FALSE)))</f>
        <v>2</v>
      </c>
      <c r="Z1235" s="256" t="str">
        <f ca="1">IF(D1235="","",IF(T1235="","",VLOOKUP(D1235,契約台帳!$A$3:$E$4986,5,FALSE)))</f>
        <v>新タック化成㈱</v>
      </c>
      <c r="AA1235" s="54"/>
      <c r="AB1235" s="200" t="str">
        <f>IFERROR((VLOOKUP(F1235&amp;K1235&amp;M1235,製品マスタ!$M$5:$AM$4999,27,FALSE)),"")</f>
        <v>原反ケース再利用</v>
      </c>
      <c r="AC1235" s="31"/>
      <c r="AD1235" s="184"/>
      <c r="AE1235" s="51"/>
      <c r="AF1235" s="52">
        <f>+M1235*N1235*O1235/1000</f>
        <v>27450</v>
      </c>
      <c r="AG1235" s="41"/>
      <c r="AH1235" s="45"/>
      <c r="AI1235" s="28"/>
      <c r="AJ1235" s="28"/>
      <c r="AK1235" s="28"/>
      <c r="AL1235" s="28"/>
      <c r="AM1235" s="12"/>
      <c r="AN1235" s="12"/>
      <c r="AO1235" s="12"/>
      <c r="AP1235" s="12"/>
      <c r="AQ1235" s="12"/>
      <c r="AR1235" s="13"/>
      <c r="AS1235" s="14"/>
    </row>
    <row r="1236" spans="1:45" s="16" customFormat="1" ht="30.95" hidden="1" customHeight="1" x14ac:dyDescent="0.2">
      <c r="A1236" s="35"/>
      <c r="B1236" s="36"/>
      <c r="C1236" s="43"/>
      <c r="D1236" s="29"/>
      <c r="E1236" s="29"/>
      <c r="F1236" s="255"/>
      <c r="G1236" s="256"/>
      <c r="H1236" s="256"/>
      <c r="I1236" s="200"/>
      <c r="J1236" s="203"/>
      <c r="K1236" s="200"/>
      <c r="L1236" s="200"/>
      <c r="M1236" s="37"/>
      <c r="N1236" s="37"/>
      <c r="O1236" s="153"/>
      <c r="P1236" s="45"/>
      <c r="Q1236" s="54"/>
      <c r="R1236" s="260"/>
      <c r="S1236" s="258"/>
      <c r="T1236" s="258"/>
      <c r="U1236" s="38"/>
      <c r="V1236" s="261"/>
      <c r="W1236" s="256"/>
      <c r="X1236" s="256"/>
      <c r="Y1236" s="256"/>
      <c r="Z1236" s="256"/>
      <c r="AA1236" s="54"/>
      <c r="AB1236" s="200"/>
      <c r="AC1236" s="31"/>
      <c r="AD1236" s="184"/>
      <c r="AE1236" s="51"/>
      <c r="AF1236" s="52"/>
      <c r="AG1236" s="41"/>
      <c r="AH1236" s="45"/>
      <c r="AI1236" s="28"/>
      <c r="AJ1236" s="28"/>
      <c r="AK1236" s="28"/>
      <c r="AL1236" s="28"/>
      <c r="AM1236" s="12"/>
      <c r="AN1236" s="12"/>
      <c r="AO1236" s="12"/>
      <c r="AP1236" s="12"/>
      <c r="AQ1236" s="12"/>
      <c r="AR1236" s="13"/>
      <c r="AS1236" s="14"/>
    </row>
    <row r="1237" spans="1:45" s="16" customFormat="1" ht="30.95" hidden="1" customHeight="1" x14ac:dyDescent="0.2">
      <c r="A1237" s="35"/>
      <c r="B1237" s="36"/>
      <c r="C1237" s="43"/>
      <c r="D1237" s="29">
        <v>3727592</v>
      </c>
      <c r="E1237" s="29">
        <v>4162136</v>
      </c>
      <c r="F1237" s="255" t="str">
        <f>IF(D1237="","",VLOOKUP(D1237,契約台帳!$A$3:$K$4986,6,FALSE)&amp;VLOOKUP(D1237,契約台帳!$A$3:$K$4986,7,FALSE)&amp;VLOOKUP(D1237,契約台帳!$A$3:$K$4986,8,FALSE)&amp;VLOOKUP(D1237,契約台帳!$A$3:$K$4986,9,FALSE)&amp;VLOOKUP(D1237,契約台帳!$A$3:$K$4986,11,FALSE))</f>
        <v>3SNMCLBMSNEYK</v>
      </c>
      <c r="G1237" s="256" t="str">
        <f>IF(D1237="","",VLOOKUP(F1237,製品マスタ!$G$5:$H$4999,2,FALSE))</f>
        <v>S</v>
      </c>
      <c r="H1237" s="256" t="str">
        <f>IF(D1237="","",VLOOKUP(F1237,製品マスタ!$G$5:$K$4999,5,FALSE))</f>
        <v>MSNEYK</v>
      </c>
      <c r="I1237" s="200" t="str">
        <f>IF(D1237="","",VLOOKUP(F1237,製品マスタ!$G$5:$L$4999,6,FALSE))</f>
        <v>ＭＳＮ　ＥＹＫ</v>
      </c>
      <c r="J1237" s="203" t="s">
        <v>935</v>
      </c>
      <c r="K1237" s="200">
        <f>IF(D1237="","",VLOOKUP(D1237,契約台帳!$A$3:$L$4986,12,FALSE))</f>
        <v>50</v>
      </c>
      <c r="L1237" s="200" t="str">
        <f>IF(D1237="","",INDEX(製品マスタ!$Q$5:$Q$4999,MATCH('S4'!F1237&amp;'S4'!K1237,製品マスタ!$AO$5:$AO$4999,0)))</f>
        <v>N-MAT</v>
      </c>
      <c r="M1237" s="37">
        <v>1120</v>
      </c>
      <c r="N1237" s="37">
        <v>4000</v>
      </c>
      <c r="O1237" s="153">
        <v>6</v>
      </c>
      <c r="P1237" s="45">
        <v>3</v>
      </c>
      <c r="Q1237" s="206">
        <v>45224</v>
      </c>
      <c r="R1237" s="257">
        <f ca="1">IF(D1237="","",IF(OFFSET(D1237,-1,0)&lt;&gt;"","",IF(OR(J1237="リード付け",J1237="巻足し",J1237="巻返しリード付け"),M1237,VLOOKUP(D1237,契約台帳!$A$3:$N$4986,14,FALSE))))</f>
        <v>1120</v>
      </c>
      <c r="S1237" s="258">
        <f ca="1">IF(D1237="","",IF(OFFSET(D1237,-1,0)&lt;&gt;"","",IF(OR(J1237="リード付け",J1237="巻足し",J1237="巻返しリード付け"),M1237,VLOOKUP(D1237,契約台帳!$A$3:$O$4986,15,FALSE))))</f>
        <v>1120</v>
      </c>
      <c r="T1237" s="258">
        <f ca="1">IF(D1237="","",IF(J1237="リード付け",N1237,IF(J1237="巻返しリード付け",N1237,IF(J1237="巻足し",N1237*P1237+OFFSET(N1237,1,0)*OFFSET(P1237,1,0),VLOOKUP(D1237,契約台帳!$A$3:$P$4986,16,FALSE)))))</f>
        <v>12000</v>
      </c>
      <c r="U1237" s="38">
        <v>2</v>
      </c>
      <c r="V1237" s="259">
        <f ca="1">IF(D1237="","",IF(OFFSET(D1237,-2,0)=D1237,"",VLOOKUP(D1237,契約台帳!$A$3:$R$4986,18,FALSE)))</f>
        <v>6</v>
      </c>
      <c r="W1237" s="256" t="str">
        <f ca="1">IF(D1237="","",IF(T1237="","",IF(OR(J1237="巻足し",J1237="巻返しリード付け"),"",IF(J1237="巻返し",VLOOKUP(F1237&amp;K1237&amp;M1237,製品マスタ!$M$5:$AD$4999,18,FALSE),IF(OR(J1237="リード付け",J1237="巻返しリード付け"),"原反コア",IF(J1237="スリット",VLOOKUP(F1237&amp;K1237&amp;R1237,製品マスタ!$N$5:$AD$4999,17,FALSE),""))))))</f>
        <v/>
      </c>
      <c r="X1237" s="256" t="str">
        <f ca="1">IF(D1237="","",IF(T1237="","",IF(J1237="巻足し","",IF(J1237="巻返し",VLOOKUP(F1237&amp;K1237&amp;M1237,製品マスタ!$M$5:$AE$4999,19,FALSE),IF(OR(J1237="リード付け",J1237="巻返しリード付け"),"",IF(J1237="スリット",VLOOKUP(F1237&amp;K1237&amp;R1237,製品マスタ!$N$5:$AE$4999,18,FALSE),""))))))</f>
        <v/>
      </c>
      <c r="Y1237" s="256">
        <f ca="1">IF(D1237="","",IF(T1237="","",VLOOKUP(D1237,契約台帳!$A$3:$Q$4986,17,FALSE)))</f>
        <v>2</v>
      </c>
      <c r="Z1237" s="256" t="str">
        <f ca="1">IF(D1237="","",IF(T1237="","",VLOOKUP(D1237,契約台帳!$A$3:$E$4986,5,FALSE)))</f>
        <v xml:space="preserve">新タック化成㈱      </v>
      </c>
      <c r="AA1237" s="54"/>
      <c r="AB1237" s="200" t="str">
        <f>IFERROR((VLOOKUP(F1237&amp;K1237&amp;M1237,製品マスタ!$M$5:$AM$4999,27,FALSE)),"")</f>
        <v>原反ケース再利用</v>
      </c>
      <c r="AC1237" s="31"/>
      <c r="AD1237" s="184"/>
      <c r="AE1237" s="51"/>
      <c r="AF1237" s="52">
        <f>+M1237*N1237*O1237/1000</f>
        <v>26880</v>
      </c>
      <c r="AG1237" s="41"/>
      <c r="AH1237" s="45"/>
      <c r="AI1237" s="28"/>
      <c r="AJ1237" s="28"/>
      <c r="AK1237" s="28"/>
      <c r="AL1237" s="28"/>
      <c r="AM1237" s="12"/>
      <c r="AN1237" s="12"/>
      <c r="AO1237" s="12"/>
      <c r="AP1237" s="12"/>
      <c r="AQ1237" s="12"/>
      <c r="AR1237" s="13"/>
      <c r="AS1237" s="14"/>
    </row>
    <row r="1238" spans="1:45" s="16" customFormat="1" ht="30.95" hidden="1" customHeight="1" x14ac:dyDescent="0.2">
      <c r="A1238" s="35"/>
      <c r="B1238" s="36"/>
      <c r="C1238" s="43"/>
      <c r="D1238" s="29"/>
      <c r="E1238" s="29"/>
      <c r="F1238" s="255"/>
      <c r="G1238" s="256"/>
      <c r="H1238" s="256"/>
      <c r="I1238" s="200"/>
      <c r="J1238" s="203"/>
      <c r="K1238" s="200"/>
      <c r="L1238" s="200"/>
      <c r="M1238" s="37"/>
      <c r="N1238" s="37"/>
      <c r="O1238" s="153"/>
      <c r="P1238" s="45"/>
      <c r="Q1238" s="54"/>
      <c r="R1238" s="260"/>
      <c r="S1238" s="258"/>
      <c r="T1238" s="258"/>
      <c r="U1238" s="38"/>
      <c r="V1238" s="261"/>
      <c r="W1238" s="256"/>
      <c r="X1238" s="256"/>
      <c r="Y1238" s="256"/>
      <c r="Z1238" s="256"/>
      <c r="AA1238" s="54"/>
      <c r="AB1238" s="200"/>
      <c r="AC1238" s="31"/>
      <c r="AD1238" s="184"/>
      <c r="AE1238" s="51"/>
      <c r="AF1238" s="52"/>
      <c r="AG1238" s="41"/>
      <c r="AH1238" s="45"/>
      <c r="AI1238" s="28"/>
      <c r="AJ1238" s="28"/>
      <c r="AK1238" s="28"/>
      <c r="AL1238" s="28"/>
      <c r="AM1238" s="12"/>
      <c r="AN1238" s="12"/>
      <c r="AO1238" s="12"/>
      <c r="AP1238" s="12"/>
      <c r="AQ1238" s="12"/>
      <c r="AR1238" s="13"/>
      <c r="AS1238" s="14"/>
    </row>
    <row r="1239" spans="1:45" s="16" customFormat="1" ht="30.95" hidden="1" customHeight="1" x14ac:dyDescent="0.2">
      <c r="A1239" s="35"/>
      <c r="B1239" s="36"/>
      <c r="C1239" s="43"/>
      <c r="D1239" s="29">
        <v>3731348</v>
      </c>
      <c r="E1239" s="29">
        <v>4162106</v>
      </c>
      <c r="F1239" s="255" t="str">
        <f>IF(D1239="","",VLOOKUP(D1239,契約台帳!$A$3:$K$4986,6,FALSE)&amp;VLOOKUP(D1239,契約台帳!$A$3:$K$4986,7,FALSE)&amp;VLOOKUP(D1239,契約台帳!$A$3:$K$4986,8,FALSE)&amp;VLOOKUP(D1239,契約台帳!$A$3:$K$4986,9,FALSE)&amp;VLOOKUP(D1239,契約台帳!$A$3:$K$4986,11,FALSE))</f>
        <v>3SNMLBMNGKKBF</v>
      </c>
      <c r="G1239" s="256" t="str">
        <f>IF(D1239="","",VLOOKUP(F1239,製品マスタ!$G$5:$H$4999,2,FALSE))</f>
        <v>S</v>
      </c>
      <c r="H1239" s="256" t="str">
        <f>IF(D1239="","",VLOOKUP(F1239,製品マスタ!$G$5:$K$4999,5,FALSE))</f>
        <v>MNGKKBF</v>
      </c>
      <c r="I1239" s="200" t="str">
        <f>IF(D1239="","",VLOOKUP(F1239,製品マスタ!$G$5:$L$4999,6,FALSE))</f>
        <v>メタルミー　ネーマー銀消改　Ｂ</v>
      </c>
      <c r="J1239" s="203" t="s">
        <v>935</v>
      </c>
      <c r="K1239" s="200">
        <f>IF(D1239="","",VLOOKUP(D1239,契約台帳!$A$3:$L$4986,12,FALSE))</f>
        <v>25</v>
      </c>
      <c r="L1239" s="200" t="str">
        <f>IF(D1239="","",INDEX(製品マスタ!$Q$5:$Q$4999,MATCH('S4'!F1239&amp;'S4'!K1239,製品マスタ!$AO$5:$AO$4999,0)))</f>
        <v>FMATS99</v>
      </c>
      <c r="M1239" s="37">
        <v>1120</v>
      </c>
      <c r="N1239" s="37">
        <v>4000</v>
      </c>
      <c r="O1239" s="153">
        <v>6</v>
      </c>
      <c r="P1239" s="45">
        <v>3</v>
      </c>
      <c r="Q1239" s="206">
        <v>45231</v>
      </c>
      <c r="R1239" s="257">
        <f ca="1">IF(D1239="","",IF(OFFSET(D1239,-1,0)&lt;&gt;"","",IF(OR(J1239="リード付け",J1239="巻足し",J1239="巻返しリード付け"),M1239,VLOOKUP(D1239,契約台帳!$A$3:$N$4986,14,FALSE))))</f>
        <v>1120</v>
      </c>
      <c r="S1239" s="258">
        <f ca="1">IF(D1239="","",IF(OFFSET(D1239,-1,0)&lt;&gt;"","",IF(OR(J1239="リード付け",J1239="巻足し",J1239="巻返しリード付け"),M1239,VLOOKUP(D1239,契約台帳!$A$3:$O$4986,15,FALSE))))</f>
        <v>1120</v>
      </c>
      <c r="T1239" s="258">
        <f ca="1">IF(D1239="","",IF(J1239="リード付け",N1239,IF(J1239="巻返しリード付け",N1239,IF(J1239="巻足し",N1239*P1239+OFFSET(N1239,1,0)*OFFSET(P1239,1,0),VLOOKUP(D1239,契約台帳!$A$3:$P$4986,16,FALSE)))))</f>
        <v>12000</v>
      </c>
      <c r="U1239" s="38">
        <v>2</v>
      </c>
      <c r="V1239" s="259">
        <f ca="1">IF(D1239="","",IF(OFFSET(D1239,-2,0)=D1239,"",VLOOKUP(D1239,契約台帳!$A$3:$R$4986,18,FALSE)))</f>
        <v>6</v>
      </c>
      <c r="W1239" s="256" t="str">
        <f ca="1">IF(D1239="","",IF(T1239="","",IF(OR(J1239="巻足し",J1239="巻返しリード付け"),"",IF(J1239="巻返し",VLOOKUP(F1239&amp;K1239&amp;M1239,製品マスタ!$M$5:$AD$4999,18,FALSE),IF(OR(J1239="リード付け",J1239="巻返しリード付け"),"原反コア",IF(J1239="スリット",VLOOKUP(F1239&amp;K1239&amp;R1239,製品マスタ!$N$5:$AD$4999,17,FALSE),""))))))</f>
        <v/>
      </c>
      <c r="X1239" s="256" t="str">
        <f ca="1">IF(D1239="","",IF(T1239="","",IF(J1239="巻足し","",IF(J1239="巻返し",VLOOKUP(F1239&amp;K1239&amp;M1239,製品マスタ!$M$5:$AE$4999,19,FALSE),IF(OR(J1239="リード付け",J1239="巻返しリード付け"),"",IF(J1239="スリット",VLOOKUP(F1239&amp;K1239&amp;R1239,製品マスタ!$N$5:$AE$4999,18,FALSE),""))))))</f>
        <v/>
      </c>
      <c r="Y1239" s="256">
        <f ca="1">IF(D1239="","",IF(T1239="","",VLOOKUP(D1239,契約台帳!$A$3:$Q$4986,17,FALSE)))</f>
        <v>2</v>
      </c>
      <c r="Z1239" s="256" t="str">
        <f ca="1">IF(D1239="","",IF(T1239="","",VLOOKUP(D1239,契約台帳!$A$3:$E$4986,5,FALSE)))</f>
        <v>リンテック㈱</v>
      </c>
      <c r="AA1239" s="54"/>
      <c r="AB1239" s="200">
        <f>IFERROR((VLOOKUP(F1239&amp;K1239&amp;M1239,製品マスタ!$M$5:$AM$4999,27,FALSE)),"")</f>
        <v>0</v>
      </c>
      <c r="AC1239" s="31"/>
      <c r="AD1239" s="184"/>
      <c r="AE1239" s="51"/>
      <c r="AF1239" s="52">
        <f>+M1239*N1239*O1239/1000</f>
        <v>26880</v>
      </c>
      <c r="AG1239" s="41"/>
      <c r="AH1239" s="45"/>
      <c r="AI1239" s="28"/>
      <c r="AJ1239" s="28"/>
      <c r="AK1239" s="28"/>
      <c r="AL1239" s="28"/>
      <c r="AM1239" s="12"/>
      <c r="AN1239" s="12"/>
      <c r="AO1239" s="12"/>
      <c r="AP1239" s="12"/>
      <c r="AQ1239" s="12"/>
      <c r="AR1239" s="13"/>
      <c r="AS1239" s="14"/>
    </row>
    <row r="1240" spans="1:45" s="16" customFormat="1" ht="30.95" hidden="1" customHeight="1" x14ac:dyDescent="0.2">
      <c r="A1240" s="35"/>
      <c r="B1240" s="36"/>
      <c r="C1240" s="43"/>
      <c r="D1240" s="29"/>
      <c r="E1240" s="29"/>
      <c r="F1240" s="255"/>
      <c r="G1240" s="256"/>
      <c r="H1240" s="256"/>
      <c r="I1240" s="200"/>
      <c r="J1240" s="203"/>
      <c r="K1240" s="200"/>
      <c r="L1240" s="200"/>
      <c r="M1240" s="37"/>
      <c r="N1240" s="37"/>
      <c r="O1240" s="153"/>
      <c r="P1240" s="45"/>
      <c r="Q1240" s="54"/>
      <c r="R1240" s="260"/>
      <c r="S1240" s="258"/>
      <c r="T1240" s="258"/>
      <c r="U1240" s="38"/>
      <c r="V1240" s="261"/>
      <c r="W1240" s="256"/>
      <c r="X1240" s="256"/>
      <c r="Y1240" s="256"/>
      <c r="Z1240" s="256"/>
      <c r="AA1240" s="54"/>
      <c r="AB1240" s="200"/>
      <c r="AC1240" s="31"/>
      <c r="AD1240" s="184"/>
      <c r="AE1240" s="51"/>
      <c r="AF1240" s="52"/>
      <c r="AG1240" s="41"/>
      <c r="AH1240" s="45"/>
      <c r="AI1240" s="28"/>
      <c r="AJ1240" s="28"/>
      <c r="AK1240" s="28"/>
      <c r="AL1240" s="28"/>
      <c r="AM1240" s="12"/>
      <c r="AN1240" s="12"/>
      <c r="AO1240" s="12"/>
      <c r="AP1240" s="12"/>
      <c r="AQ1240" s="12"/>
      <c r="AR1240" s="13"/>
      <c r="AS1240" s="14"/>
    </row>
    <row r="1241" spans="1:45" s="16" customFormat="1" ht="30.95" hidden="1" customHeight="1" x14ac:dyDescent="0.2">
      <c r="A1241" s="35"/>
      <c r="B1241" s="36"/>
      <c r="C1241" s="43"/>
      <c r="D1241" s="29">
        <v>3731356</v>
      </c>
      <c r="E1241" s="29">
        <v>4162127</v>
      </c>
      <c r="F1241" s="255" t="str">
        <f>IF(D1241="","",VLOOKUP(D1241,契約台帳!$A$3:$K$4986,6,FALSE)&amp;VLOOKUP(D1241,契約台帳!$A$3:$K$4986,7,FALSE)&amp;VLOOKUP(D1241,契約台帳!$A$3:$K$4986,8,FALSE)&amp;VLOOKUP(D1241,契約台帳!$A$3:$K$4986,9,FALSE)&amp;VLOOKUP(D1241,契約台帳!$A$3:$K$4986,11,FALSE))</f>
        <v>3SNMCLBNGTVB</v>
      </c>
      <c r="G1241" s="256" t="str">
        <f>IF(D1241="","",VLOOKUP(F1241,製品マスタ!$G$5:$H$4999,2,FALSE))</f>
        <v>S</v>
      </c>
      <c r="H1241" s="256" t="str">
        <f>IF(D1241="","",VLOOKUP(F1241,製品マスタ!$G$5:$K$4999,5,FALSE))</f>
        <v>NGTVB</v>
      </c>
      <c r="I1241" s="200" t="str">
        <f>IF(D1241="","",VLOOKUP(F1241,製品マスタ!$G$5:$L$4999,6,FALSE))</f>
        <v>メタルミー　ネーマー　銀艶ＶＢ</v>
      </c>
      <c r="J1241" s="203" t="s">
        <v>574</v>
      </c>
      <c r="K1241" s="200">
        <f>IF(D1241="","",VLOOKUP(D1241,契約台帳!$A$3:$L$4986,12,FALSE))</f>
        <v>50</v>
      </c>
      <c r="L1241" s="200" t="str">
        <f>IF(D1241="","",INDEX(製品マスタ!$Q$5:$Q$4999,MATCH('S4'!F1241&amp;'S4'!K1241,製品マスタ!$AO$5:$AO$4999,0)))</f>
        <v>T62</v>
      </c>
      <c r="M1241" s="37">
        <v>1040</v>
      </c>
      <c r="N1241" s="37">
        <v>6000</v>
      </c>
      <c r="O1241" s="153">
        <v>1</v>
      </c>
      <c r="P1241" s="45">
        <v>1</v>
      </c>
      <c r="Q1241" s="206">
        <v>45231</v>
      </c>
      <c r="R1241" s="257">
        <f ca="1">IF(D1241="","",IF(OFFSET(D1241,-1,0)&lt;&gt;"","",IF(OR(J1241="リード付け",J1241="巻足し",J1241="巻返しリード付け"),M1241,VLOOKUP(D1241,契約台帳!$A$3:$N$4986,14,FALSE))))</f>
        <v>1040</v>
      </c>
      <c r="S1241" s="258">
        <f ca="1">IF(D1241="","",IF(OFFSET(D1241,-1,0)&lt;&gt;"","",IF(OR(J1241="リード付け",J1241="巻足し",J1241="巻返しリード付け"),M1241,VLOOKUP(D1241,契約台帳!$A$3:$O$4986,15,FALSE))))</f>
        <v>1040</v>
      </c>
      <c r="T1241" s="258">
        <f ca="1">IF(D1241="","",IF(J1241="リード付け",N1241,IF(J1241="巻返しリード付け",N1241,IF(J1241="巻足し",N1241*P1241+OFFSET(N1241,1,0)*OFFSET(P1241,1,0),VLOOKUP(D1241,契約台帳!$A$3:$P$4986,16,FALSE)))))</f>
        <v>6000</v>
      </c>
      <c r="U1241" s="38">
        <v>1</v>
      </c>
      <c r="V1241" s="259">
        <f ca="1">IF(D1241="","",IF(OFFSET(D1241,-2,0)=D1241,"",VLOOKUP(D1241,契約台帳!$A$3:$R$4986,18,FALSE)))</f>
        <v>2</v>
      </c>
      <c r="W1241" s="256" t="str">
        <f ca="1">IF(D1241="","",IF(T1241="","",IF(OR(J1241="巻足し",J1241="巻返しリード付け"),"",IF(J1241="巻返し",VLOOKUP(F1241&amp;K1241&amp;M1241,製品マスタ!$M$5:$AD$4999,18,FALSE),IF(OR(J1241="リード付け",J1241="巻返しリード付け"),"原反コア",IF(J1241="スリット",VLOOKUP(F1241&amp;K1241&amp;R1241,製品マスタ!$N$5:$AD$4999,17,FALSE),""))))))</f>
        <v/>
      </c>
      <c r="X1241" s="256" t="str">
        <f ca="1">IF(D1241="","",IF(T1241="","",IF(J1241="巻足し","",IF(J1241="巻返し",VLOOKUP(F1241&amp;K1241&amp;M1241,製品マスタ!$M$5:$AE$4999,19,FALSE),IF(OR(J1241="リード付け",J1241="巻返しリード付け"),"",IF(J1241="スリット",VLOOKUP(F1241&amp;K1241&amp;R1241,製品マスタ!$N$5:$AE$4999,18,FALSE),""))))))</f>
        <v/>
      </c>
      <c r="Y1241" s="256">
        <f ca="1">IF(D1241="","",IF(T1241="","",VLOOKUP(D1241,契約台帳!$A$3:$Q$4986,17,FALSE)))</f>
        <v>2</v>
      </c>
      <c r="Z1241" s="256" t="str">
        <f ca="1">IF(D1241="","",IF(T1241="","",VLOOKUP(D1241,契約台帳!$A$3:$E$4986,5,FALSE)))</f>
        <v>リンテック㈱</v>
      </c>
      <c r="AA1241" s="54"/>
      <c r="AB1241" s="200">
        <f>IFERROR((VLOOKUP(F1241&amp;K1241&amp;M1241,製品マスタ!$M$5:$AM$4999,27,FALSE)),"")</f>
        <v>0</v>
      </c>
      <c r="AC1241" s="31"/>
      <c r="AD1241" s="184"/>
      <c r="AE1241" s="51"/>
      <c r="AF1241" s="52">
        <f>+M1241*N1241*O1241/1000</f>
        <v>6240</v>
      </c>
      <c r="AG1241" s="41"/>
      <c r="AH1241" s="45"/>
      <c r="AI1241" s="28"/>
      <c r="AJ1241" s="28"/>
      <c r="AK1241" s="28"/>
      <c r="AL1241" s="28"/>
      <c r="AM1241" s="12"/>
      <c r="AN1241" s="12"/>
      <c r="AO1241" s="12"/>
      <c r="AP1241" s="12"/>
      <c r="AQ1241" s="12"/>
      <c r="AR1241" s="13"/>
      <c r="AS1241" s="14"/>
    </row>
    <row r="1242" spans="1:45" s="16" customFormat="1" ht="30.95" hidden="1" customHeight="1" x14ac:dyDescent="0.2">
      <c r="A1242" s="35"/>
      <c r="B1242" s="36"/>
      <c r="C1242" s="43"/>
      <c r="D1242" s="29"/>
      <c r="E1242" s="29"/>
      <c r="F1242" s="255"/>
      <c r="G1242" s="256"/>
      <c r="H1242" s="256"/>
      <c r="I1242" s="200"/>
      <c r="J1242" s="203"/>
      <c r="K1242" s="200"/>
      <c r="L1242" s="200"/>
      <c r="M1242" s="37"/>
      <c r="N1242" s="37"/>
      <c r="O1242" s="153"/>
      <c r="P1242" s="45"/>
      <c r="Q1242" s="54"/>
      <c r="R1242" s="260"/>
      <c r="S1242" s="258"/>
      <c r="T1242" s="258"/>
      <c r="U1242" s="38"/>
      <c r="V1242" s="261"/>
      <c r="W1242" s="256"/>
      <c r="X1242" s="256"/>
      <c r="Y1242" s="256"/>
      <c r="Z1242" s="256"/>
      <c r="AA1242" s="54"/>
      <c r="AB1242" s="200"/>
      <c r="AC1242" s="31"/>
      <c r="AD1242" s="184"/>
      <c r="AE1242" s="51"/>
      <c r="AF1242" s="52"/>
      <c r="AG1242" s="41"/>
      <c r="AH1242" s="45"/>
      <c r="AI1242" s="28"/>
      <c r="AJ1242" s="28"/>
      <c r="AK1242" s="28"/>
      <c r="AL1242" s="28"/>
      <c r="AM1242" s="12"/>
      <c r="AN1242" s="12"/>
      <c r="AO1242" s="12"/>
      <c r="AP1242" s="12"/>
      <c r="AQ1242" s="12"/>
      <c r="AR1242" s="13"/>
      <c r="AS1242" s="14"/>
    </row>
    <row r="1243" spans="1:45" s="16" customFormat="1" ht="30.95" hidden="1" customHeight="1" x14ac:dyDescent="0.2">
      <c r="A1243" s="35" t="s">
        <v>1739</v>
      </c>
      <c r="B1243" s="36" t="s">
        <v>1742</v>
      </c>
      <c r="C1243" s="43"/>
      <c r="D1243" s="29"/>
      <c r="E1243" s="29"/>
      <c r="F1243" s="255"/>
      <c r="G1243" s="256"/>
      <c r="H1243" s="256"/>
      <c r="I1243" s="200"/>
      <c r="J1243" s="203" t="s">
        <v>1745</v>
      </c>
      <c r="K1243" s="200"/>
      <c r="L1243" s="200"/>
      <c r="M1243" s="37"/>
      <c r="N1243" s="37"/>
      <c r="O1243" s="153"/>
      <c r="P1243" s="45"/>
      <c r="Q1243" s="54"/>
      <c r="R1243" s="260"/>
      <c r="S1243" s="258"/>
      <c r="T1243" s="258"/>
      <c r="U1243" s="38"/>
      <c r="V1243" s="261"/>
      <c r="W1243" s="256"/>
      <c r="X1243" s="256"/>
      <c r="Y1243" s="256"/>
      <c r="Z1243" s="256"/>
      <c r="AA1243" s="54"/>
      <c r="AB1243" s="200"/>
      <c r="AC1243" s="31"/>
      <c r="AD1243" s="184"/>
      <c r="AE1243" s="51"/>
      <c r="AF1243" s="52"/>
      <c r="AG1243" s="41"/>
      <c r="AH1243" s="45"/>
      <c r="AI1243" s="28"/>
      <c r="AJ1243" s="28"/>
      <c r="AK1243" s="28"/>
      <c r="AL1243" s="28"/>
      <c r="AM1243" s="12"/>
      <c r="AN1243" s="12"/>
      <c r="AO1243" s="12"/>
      <c r="AP1243" s="12"/>
      <c r="AQ1243" s="12"/>
      <c r="AR1243" s="13"/>
      <c r="AS1243" s="14"/>
    </row>
    <row r="1244" spans="1:45" s="16" customFormat="1" ht="30.95" hidden="1" customHeight="1" x14ac:dyDescent="0.2">
      <c r="A1244" s="35"/>
      <c r="B1244" s="36"/>
      <c r="C1244" s="43"/>
      <c r="D1244" s="29"/>
      <c r="E1244" s="29"/>
      <c r="F1244" s="255"/>
      <c r="G1244" s="256"/>
      <c r="H1244" s="256"/>
      <c r="I1244" s="200"/>
      <c r="J1244" s="203"/>
      <c r="K1244" s="200"/>
      <c r="L1244" s="200"/>
      <c r="M1244" s="37"/>
      <c r="N1244" s="37"/>
      <c r="O1244" s="153"/>
      <c r="P1244" s="45"/>
      <c r="Q1244" s="54"/>
      <c r="R1244" s="260"/>
      <c r="S1244" s="258"/>
      <c r="T1244" s="258"/>
      <c r="U1244" s="38"/>
      <c r="V1244" s="261"/>
      <c r="W1244" s="256"/>
      <c r="X1244" s="256"/>
      <c r="Y1244" s="256"/>
      <c r="Z1244" s="256"/>
      <c r="AA1244" s="54"/>
      <c r="AB1244" s="200"/>
      <c r="AC1244" s="31"/>
      <c r="AD1244" s="184"/>
      <c r="AE1244" s="51"/>
      <c r="AF1244" s="52"/>
      <c r="AG1244" s="41"/>
      <c r="AH1244" s="45"/>
      <c r="AI1244" s="28"/>
      <c r="AJ1244" s="28"/>
      <c r="AK1244" s="28"/>
      <c r="AL1244" s="28"/>
      <c r="AM1244" s="12"/>
      <c r="AN1244" s="12"/>
      <c r="AO1244" s="12"/>
      <c r="AP1244" s="12"/>
      <c r="AQ1244" s="12"/>
      <c r="AR1244" s="13"/>
      <c r="AS1244" s="14"/>
    </row>
    <row r="1245" spans="1:45" s="16" customFormat="1" ht="30.95" hidden="1" customHeight="1" x14ac:dyDescent="0.2">
      <c r="A1245" s="35" t="s">
        <v>1740</v>
      </c>
      <c r="B1245" s="36" t="s">
        <v>1743</v>
      </c>
      <c r="C1245" s="43"/>
      <c r="D1245" s="29"/>
      <c r="E1245" s="29"/>
      <c r="F1245" s="255"/>
      <c r="G1245" s="256"/>
      <c r="H1245" s="256"/>
      <c r="I1245" s="200"/>
      <c r="J1245" s="203" t="s">
        <v>1745</v>
      </c>
      <c r="K1245" s="200"/>
      <c r="L1245" s="200"/>
      <c r="M1245" s="37"/>
      <c r="N1245" s="37"/>
      <c r="O1245" s="153"/>
      <c r="P1245" s="45"/>
      <c r="Q1245" s="54"/>
      <c r="R1245" s="260"/>
      <c r="S1245" s="258"/>
      <c r="T1245" s="258"/>
      <c r="U1245" s="38"/>
      <c r="V1245" s="261"/>
      <c r="W1245" s="256"/>
      <c r="X1245" s="256"/>
      <c r="Y1245" s="256"/>
      <c r="Z1245" s="256"/>
      <c r="AA1245" s="54"/>
      <c r="AB1245" s="200"/>
      <c r="AC1245" s="31"/>
      <c r="AD1245" s="184"/>
      <c r="AE1245" s="51"/>
      <c r="AF1245" s="52"/>
      <c r="AG1245" s="41"/>
      <c r="AH1245" s="45"/>
      <c r="AI1245" s="28"/>
      <c r="AJ1245" s="28"/>
      <c r="AK1245" s="28"/>
      <c r="AL1245" s="28"/>
      <c r="AM1245" s="12"/>
      <c r="AN1245" s="12"/>
      <c r="AO1245" s="12"/>
      <c r="AP1245" s="12"/>
      <c r="AQ1245" s="12"/>
      <c r="AR1245" s="13"/>
      <c r="AS1245" s="14"/>
    </row>
    <row r="1246" spans="1:45" s="16" customFormat="1" ht="30.95" hidden="1" customHeight="1" x14ac:dyDescent="0.2">
      <c r="A1246" s="35"/>
      <c r="B1246" s="36"/>
      <c r="C1246" s="43"/>
      <c r="D1246" s="29"/>
      <c r="E1246" s="29"/>
      <c r="F1246" s="255"/>
      <c r="G1246" s="256"/>
      <c r="H1246" s="256"/>
      <c r="I1246" s="200"/>
      <c r="J1246" s="203"/>
      <c r="K1246" s="200"/>
      <c r="L1246" s="200"/>
      <c r="M1246" s="37"/>
      <c r="N1246" s="37"/>
      <c r="O1246" s="153"/>
      <c r="P1246" s="45"/>
      <c r="Q1246" s="54"/>
      <c r="R1246" s="260"/>
      <c r="S1246" s="258"/>
      <c r="T1246" s="258"/>
      <c r="U1246" s="38"/>
      <c r="V1246" s="261"/>
      <c r="W1246" s="256"/>
      <c r="X1246" s="256"/>
      <c r="Y1246" s="256"/>
      <c r="Z1246" s="256"/>
      <c r="AA1246" s="54"/>
      <c r="AB1246" s="200"/>
      <c r="AC1246" s="31"/>
      <c r="AD1246" s="184"/>
      <c r="AE1246" s="51"/>
      <c r="AF1246" s="52"/>
      <c r="AG1246" s="41"/>
      <c r="AH1246" s="45"/>
      <c r="AI1246" s="28"/>
      <c r="AJ1246" s="28"/>
      <c r="AK1246" s="28"/>
      <c r="AL1246" s="28"/>
      <c r="AM1246" s="12"/>
      <c r="AN1246" s="12"/>
      <c r="AO1246" s="12"/>
      <c r="AP1246" s="12"/>
      <c r="AQ1246" s="12"/>
      <c r="AR1246" s="13"/>
      <c r="AS1246" s="14"/>
    </row>
    <row r="1247" spans="1:45" s="16" customFormat="1" ht="30.95" hidden="1" customHeight="1" x14ac:dyDescent="0.2">
      <c r="A1247" s="35" t="s">
        <v>1741</v>
      </c>
      <c r="B1247" s="36" t="s">
        <v>1744</v>
      </c>
      <c r="C1247" s="43"/>
      <c r="D1247" s="29"/>
      <c r="E1247" s="29"/>
      <c r="F1247" s="255"/>
      <c r="G1247" s="256"/>
      <c r="H1247" s="256"/>
      <c r="I1247" s="200"/>
      <c r="J1247" s="203" t="s">
        <v>1745</v>
      </c>
      <c r="K1247" s="200"/>
      <c r="L1247" s="200"/>
      <c r="M1247" s="37"/>
      <c r="N1247" s="37"/>
      <c r="O1247" s="153"/>
      <c r="P1247" s="45"/>
      <c r="Q1247" s="54"/>
      <c r="R1247" s="260"/>
      <c r="S1247" s="258"/>
      <c r="T1247" s="258"/>
      <c r="U1247" s="38"/>
      <c r="V1247" s="261"/>
      <c r="W1247" s="256"/>
      <c r="X1247" s="256"/>
      <c r="Y1247" s="256"/>
      <c r="Z1247" s="256"/>
      <c r="AA1247" s="54"/>
      <c r="AB1247" s="200"/>
      <c r="AC1247" s="31"/>
      <c r="AD1247" s="184"/>
      <c r="AE1247" s="51"/>
      <c r="AF1247" s="52"/>
      <c r="AG1247" s="41"/>
      <c r="AH1247" s="45"/>
      <c r="AI1247" s="28"/>
      <c r="AJ1247" s="28"/>
      <c r="AK1247" s="28"/>
      <c r="AL1247" s="28"/>
      <c r="AM1247" s="12"/>
      <c r="AN1247" s="12"/>
      <c r="AO1247" s="12"/>
      <c r="AP1247" s="12"/>
      <c r="AQ1247" s="12"/>
      <c r="AR1247" s="13"/>
      <c r="AS1247" s="14"/>
    </row>
    <row r="1248" spans="1:45" s="16" customFormat="1" ht="30.95" hidden="1" customHeight="1" x14ac:dyDescent="0.2">
      <c r="A1248" s="35"/>
      <c r="B1248" s="36"/>
      <c r="C1248" s="43"/>
      <c r="D1248" s="29"/>
      <c r="E1248" s="29"/>
      <c r="F1248" s="255"/>
      <c r="G1248" s="256"/>
      <c r="H1248" s="256"/>
      <c r="I1248" s="200"/>
      <c r="J1248" s="203"/>
      <c r="K1248" s="200"/>
      <c r="L1248" s="200"/>
      <c r="M1248" s="37"/>
      <c r="N1248" s="37"/>
      <c r="O1248" s="153"/>
      <c r="P1248" s="45"/>
      <c r="Q1248" s="54"/>
      <c r="R1248" s="260"/>
      <c r="S1248" s="258"/>
      <c r="T1248" s="258"/>
      <c r="U1248" s="38"/>
      <c r="V1248" s="261"/>
      <c r="W1248" s="256"/>
      <c r="X1248" s="256"/>
      <c r="Y1248" s="256"/>
      <c r="Z1248" s="256"/>
      <c r="AA1248" s="54"/>
      <c r="AB1248" s="200"/>
      <c r="AC1248" s="31"/>
      <c r="AD1248" s="184"/>
      <c r="AE1248" s="51"/>
      <c r="AF1248" s="52"/>
      <c r="AG1248" s="41"/>
      <c r="AH1248" s="45"/>
      <c r="AI1248" s="28"/>
      <c r="AJ1248" s="28"/>
      <c r="AK1248" s="28"/>
      <c r="AL1248" s="28"/>
      <c r="AM1248" s="12"/>
      <c r="AN1248" s="12"/>
      <c r="AO1248" s="12"/>
      <c r="AP1248" s="12"/>
      <c r="AQ1248" s="12"/>
      <c r="AR1248" s="13"/>
      <c r="AS1248" s="14"/>
    </row>
    <row r="1249" spans="1:45" s="16" customFormat="1" ht="30.75" hidden="1" customHeight="1" x14ac:dyDescent="0.2">
      <c r="A1249" s="35" t="s">
        <v>642</v>
      </c>
      <c r="B1249" s="36" t="s">
        <v>462</v>
      </c>
      <c r="C1249" s="43"/>
      <c r="D1249" s="29">
        <v>3731358</v>
      </c>
      <c r="E1249" s="29">
        <v>4162113</v>
      </c>
      <c r="F1249" s="255" t="str">
        <f>IF(D1249="","",VLOOKUP(D1249,契約台帳!$A$3:$K$4986,6,FALSE)&amp;VLOOKUP(D1249,契約台帳!$A$3:$K$4986,7,FALSE)&amp;VLOOKUP(D1249,契約台帳!$A$3:$K$4986,8,FALSE)&amp;VLOOKUP(D1249,契約台帳!$A$3:$K$4986,9,FALSE)&amp;VLOOKUP(D1249,契約台帳!$A$3:$K$4986,11,FALSE))</f>
        <v>3SNMLBMNNGKBF</v>
      </c>
      <c r="G1249" s="256" t="str">
        <f>IF(D1249="","",VLOOKUP(F1249,製品マスタ!$G$5:$H$4999,2,FALSE))</f>
        <v>S</v>
      </c>
      <c r="H1249" s="256" t="str">
        <f>IF(D1249="","",VLOOKUP(F1249,製品マスタ!$G$5:$K$4999,5,FALSE))</f>
        <v>MNNGKBF</v>
      </c>
      <c r="I1249" s="200" t="str">
        <f>IF(D1249="","",VLOOKUP(F1249,製品マスタ!$G$5:$L$4999,6,FALSE))</f>
        <v>メタルミー　ニューネーマー銀消　Ｂ</v>
      </c>
      <c r="J1249" s="203" t="s">
        <v>935</v>
      </c>
      <c r="K1249" s="200">
        <f>IF(D1249="","",VLOOKUP(D1249,契約台帳!$A$3:$L$4986,12,FALSE))</f>
        <v>50</v>
      </c>
      <c r="L1249" s="200" t="str">
        <f>IF(D1249="","",INDEX(製品マスタ!$Q$5:$Q$4999,MATCH('S4'!F1249&amp;'S4'!K1249,製品マスタ!$AO$5:$AO$4999,0)))</f>
        <v>X44</v>
      </c>
      <c r="M1249" s="37">
        <v>1000</v>
      </c>
      <c r="N1249" s="37">
        <v>4000</v>
      </c>
      <c r="O1249" s="153">
        <v>18</v>
      </c>
      <c r="P1249" s="45">
        <v>3</v>
      </c>
      <c r="Q1249" s="54">
        <v>45231</v>
      </c>
      <c r="R1249" s="257">
        <f ca="1">IF(D1249="","",IF(OFFSET(D1249,-1,0)&lt;&gt;"","",IF(OR(J1249="リード付け",J1249="巻足し",J1249="巻返しリード付け"),M1249,VLOOKUP(D1249,契約台帳!$A$3:$N$4986,14,FALSE))))</f>
        <v>1000</v>
      </c>
      <c r="S1249" s="258">
        <f ca="1">IF(D1249="","",IF(OFFSET(D1249,-1,0)&lt;&gt;"","",IF(OR(J1249="リード付け",J1249="巻足し",J1249="巻返しリード付け"),M1249,VLOOKUP(D1249,契約台帳!$A$3:$O$4986,15,FALSE))))</f>
        <v>1000</v>
      </c>
      <c r="T1249" s="258">
        <f ca="1">IF(D1249="","",IF(J1249="リード付け",N1249,IF(J1249="巻返しリード付け",N1249,IF(J1249="巻足し",N1249*P1249+OFFSET(N1249,1,0)*OFFSET(P1249,1,0),VLOOKUP(D1249,契約台帳!$A$3:$P$4986,16,FALSE)))))</f>
        <v>12000</v>
      </c>
      <c r="U1249" s="38">
        <v>6</v>
      </c>
      <c r="V1249" s="259">
        <f ca="1">IF(D1249="","",IF(OFFSET(D1249,-2,0)=D1249,"",VLOOKUP(D1249,契約台帳!$A$3:$R$4986,18,FALSE)))</f>
        <v>20</v>
      </c>
      <c r="W1249" s="256" t="str">
        <f ca="1">IF(D1249="","",IF(T1249="","",IF(OR(J1249="巻足し",J1249="巻返しリード付け"),"",IF(J1249="巻返し",VLOOKUP(F1249&amp;K1249&amp;M1249,製品マスタ!$M$5:$AD$4999,18,FALSE),IF(OR(J1249="リード付け",J1249="巻返しリード付け"),"原反コア",IF(J1249="スリット",VLOOKUP(F1249&amp;K1249&amp;R1249,製品マスタ!$N$5:$AD$4999,17,FALSE),""))))))</f>
        <v/>
      </c>
      <c r="X1249" s="256" t="str">
        <f ca="1">IF(D1249="","",IF(T1249="","",IF(J1249="巻足し","",IF(J1249="巻返し",VLOOKUP(F1249&amp;K1249&amp;M1249,製品マスタ!$M$5:$AE$4999,19,FALSE),IF(OR(J1249="リード付け",J1249="巻返しリード付け"),"",IF(J1249="スリット",VLOOKUP(F1249&amp;K1249&amp;R1249,製品マスタ!$N$5:$AE$4999,18,FALSE),""))))))</f>
        <v/>
      </c>
      <c r="Y1249" s="256">
        <f ca="1">IF(D1249="","",IF(T1249="","",VLOOKUP(D1249,契約台帳!$A$3:$Q$4986,17,FALSE)))</f>
        <v>2</v>
      </c>
      <c r="Z1249" s="256" t="str">
        <f ca="1">IF(D1249="","",IF(T1249="","",VLOOKUP(D1249,契約台帳!$A$3:$E$4986,5,FALSE)))</f>
        <v>リンテック㈱</v>
      </c>
      <c r="AA1249" s="54"/>
      <c r="AB1249" s="200" t="str">
        <f>IFERROR((VLOOKUP(F1249&amp;K1249&amp;M1249,製品マスタ!$M$5:$AM$4999,27,FALSE)),"")</f>
        <v>原反ケース再利用</v>
      </c>
      <c r="AC1249" s="31"/>
      <c r="AD1249" s="333"/>
      <c r="AE1249" s="51"/>
      <c r="AF1249" s="52">
        <f>+M1249*N1249*O1249/1000</f>
        <v>72000</v>
      </c>
      <c r="AG1249" s="41"/>
      <c r="AH1249" s="45"/>
      <c r="AI1249" s="28"/>
      <c r="AJ1249" s="28"/>
      <c r="AK1249" s="28"/>
      <c r="AL1249" s="28"/>
      <c r="AM1249" s="12"/>
      <c r="AN1249" s="12"/>
      <c r="AO1249" s="12"/>
      <c r="AP1249" s="12"/>
      <c r="AQ1249" s="12"/>
      <c r="AR1249" s="13"/>
      <c r="AS1249" s="14"/>
    </row>
    <row r="1250" spans="1:45" s="16" customFormat="1" ht="30.95" hidden="1" customHeight="1" x14ac:dyDescent="0.2">
      <c r="A1250" s="35"/>
      <c r="B1250" s="36"/>
      <c r="C1250" s="43"/>
      <c r="D1250" s="29"/>
      <c r="E1250" s="29"/>
      <c r="F1250" s="255"/>
      <c r="G1250" s="256"/>
      <c r="H1250" s="256"/>
      <c r="I1250" s="200"/>
      <c r="J1250" s="203"/>
      <c r="K1250" s="200"/>
      <c r="L1250" s="200"/>
      <c r="M1250" s="37"/>
      <c r="N1250" s="37"/>
      <c r="O1250" s="153"/>
      <c r="P1250" s="45"/>
      <c r="Q1250" s="54"/>
      <c r="R1250" s="260"/>
      <c r="S1250" s="258"/>
      <c r="T1250" s="258"/>
      <c r="U1250" s="38"/>
      <c r="V1250" s="261"/>
      <c r="W1250" s="256"/>
      <c r="X1250" s="256"/>
      <c r="Y1250" s="256"/>
      <c r="Z1250" s="256"/>
      <c r="AA1250" s="54"/>
      <c r="AB1250" s="200"/>
      <c r="AC1250" s="31"/>
      <c r="AD1250" s="184"/>
      <c r="AE1250" s="51"/>
      <c r="AF1250" s="52"/>
      <c r="AG1250" s="41"/>
      <c r="AH1250" s="45"/>
      <c r="AI1250" s="28"/>
      <c r="AJ1250" s="28"/>
      <c r="AK1250" s="28"/>
      <c r="AL1250" s="28"/>
      <c r="AM1250" s="12"/>
      <c r="AN1250" s="12"/>
      <c r="AO1250" s="12"/>
      <c r="AP1250" s="12"/>
      <c r="AQ1250" s="12"/>
      <c r="AR1250" s="13"/>
      <c r="AS1250" s="14"/>
    </row>
    <row r="1251" spans="1:45" s="16" customFormat="1" ht="30.75" hidden="1" customHeight="1" x14ac:dyDescent="0.2">
      <c r="A1251" s="35"/>
      <c r="B1251" s="36"/>
      <c r="C1251" s="43"/>
      <c r="D1251" s="29">
        <v>3731358</v>
      </c>
      <c r="E1251" s="29">
        <v>4162113</v>
      </c>
      <c r="F1251" s="255" t="str">
        <f>IF(D1251="","",VLOOKUP(D1251,契約台帳!$A$3:$K$4986,6,FALSE)&amp;VLOOKUP(D1251,契約台帳!$A$3:$K$4986,7,FALSE)&amp;VLOOKUP(D1251,契約台帳!$A$3:$K$4986,8,FALSE)&amp;VLOOKUP(D1251,契約台帳!$A$3:$K$4986,9,FALSE)&amp;VLOOKUP(D1251,契約台帳!$A$3:$K$4986,11,FALSE))</f>
        <v>3SNMLBMNNGKBF</v>
      </c>
      <c r="G1251" s="256" t="str">
        <f>IF(D1251="","",VLOOKUP(F1251,製品マスタ!$G$5:$H$4999,2,FALSE))</f>
        <v>S</v>
      </c>
      <c r="H1251" s="256" t="str">
        <f>IF(D1251="","",VLOOKUP(F1251,製品マスタ!$G$5:$K$4999,5,FALSE))</f>
        <v>MNNGKBF</v>
      </c>
      <c r="I1251" s="200" t="str">
        <f>IF(D1251="","",VLOOKUP(F1251,製品マスタ!$G$5:$L$4999,6,FALSE))</f>
        <v>メタルミー　ニューネーマー銀消　Ｂ</v>
      </c>
      <c r="J1251" s="203" t="s">
        <v>935</v>
      </c>
      <c r="K1251" s="200">
        <f>IF(D1251="","",VLOOKUP(D1251,契約台帳!$A$3:$L$4986,12,FALSE))</f>
        <v>50</v>
      </c>
      <c r="L1251" s="200" t="str">
        <f>IF(D1251="","",INDEX(製品マスタ!$Q$5:$Q$4999,MATCH('S4'!F1251&amp;'S4'!K1251,製品マスタ!$AO$5:$AO$4999,0)))</f>
        <v>X44</v>
      </c>
      <c r="M1251" s="37">
        <v>1000</v>
      </c>
      <c r="N1251" s="37">
        <v>4000</v>
      </c>
      <c r="O1251" s="153">
        <v>2</v>
      </c>
      <c r="P1251" s="45">
        <v>2</v>
      </c>
      <c r="Q1251" s="54">
        <v>45231</v>
      </c>
      <c r="R1251" s="257">
        <f ca="1">IF(D1251="","",IF(OFFSET(D1251,-1,0)&lt;&gt;"","",IF(OR(J1251="リード付け",J1251="巻足し",J1251="巻返しリード付け"),M1251,VLOOKUP(D1251,契約台帳!$A$3:$N$4986,14,FALSE))))</f>
        <v>1000</v>
      </c>
      <c r="S1251" s="258">
        <f ca="1">IF(D1251="","",IF(OFFSET(D1251,-1,0)&lt;&gt;"","",IF(OR(J1251="リード付け",J1251="巻足し",J1251="巻返しリード付け"),M1251,VLOOKUP(D1251,契約台帳!$A$3:$O$4986,15,FALSE))))</f>
        <v>1000</v>
      </c>
      <c r="T1251" s="258">
        <f ca="1">IF(D1251="","",IF(J1251="リード付け",N1251,IF(J1251="巻返しリード付け",N1251,IF(J1251="巻足し",N1251*P1251+OFFSET(N1251,1,0)*OFFSET(P1251,1,0),VLOOKUP(D1251,契約台帳!$A$3:$P$4986,16,FALSE)))))</f>
        <v>8000</v>
      </c>
      <c r="U1251" s="38">
        <v>1</v>
      </c>
      <c r="V1251" s="259" t="str">
        <f ca="1">IF(D1251="","",IF(OFFSET(D1251,-2,0)=D1251,"",VLOOKUP(D1251,契約台帳!$A$3:$R$4986,18,FALSE)))</f>
        <v/>
      </c>
      <c r="W1251" s="256" t="str">
        <f ca="1">IF(D1251="","",IF(T1251="","",IF(OR(J1251="巻足し",J1251="巻返しリード付け"),"",IF(J1251="巻返し",VLOOKUP(F1251&amp;K1251&amp;M1251,製品マスタ!$M$5:$AD$4999,18,FALSE),IF(OR(J1251="リード付け",J1251="巻返しリード付け"),"原反コア",IF(J1251="スリット",VLOOKUP(F1251&amp;K1251&amp;R1251,製品マスタ!$N$5:$AD$4999,17,FALSE),""))))))</f>
        <v/>
      </c>
      <c r="X1251" s="256" t="str">
        <f ca="1">IF(D1251="","",IF(T1251="","",IF(J1251="巻足し","",IF(J1251="巻返し",VLOOKUP(F1251&amp;K1251&amp;M1251,製品マスタ!$M$5:$AE$4999,19,FALSE),IF(OR(J1251="リード付け",J1251="巻返しリード付け"),"",IF(J1251="スリット",VLOOKUP(F1251&amp;K1251&amp;R1251,製品マスタ!$N$5:$AE$4999,18,FALSE),""))))))</f>
        <v/>
      </c>
      <c r="Y1251" s="256">
        <f ca="1">IF(D1251="","",IF(T1251="","",VLOOKUP(D1251,契約台帳!$A$3:$Q$4986,17,FALSE)))</f>
        <v>2</v>
      </c>
      <c r="Z1251" s="256" t="str">
        <f ca="1">IF(D1251="","",IF(T1251="","",VLOOKUP(D1251,契約台帳!$A$3:$E$4986,5,FALSE)))</f>
        <v>リンテック㈱</v>
      </c>
      <c r="AA1251" s="54"/>
      <c r="AB1251" s="200" t="str">
        <f>IFERROR((VLOOKUP(F1251&amp;K1251&amp;M1251,製品マスタ!$M$5:$AM$4999,27,FALSE)),"")</f>
        <v>原反ケース再利用</v>
      </c>
      <c r="AC1251" s="31"/>
      <c r="AD1251" s="333"/>
      <c r="AE1251" s="51"/>
      <c r="AF1251" s="52">
        <f>+M1251*N1251*O1251/1000</f>
        <v>8000</v>
      </c>
      <c r="AG1251" s="41"/>
      <c r="AH1251" s="45"/>
      <c r="AI1251" s="28"/>
      <c r="AJ1251" s="28"/>
      <c r="AK1251" s="28"/>
      <c r="AL1251" s="28"/>
      <c r="AM1251" s="12"/>
      <c r="AN1251" s="12"/>
      <c r="AO1251" s="12"/>
      <c r="AP1251" s="12"/>
      <c r="AQ1251" s="12"/>
      <c r="AR1251" s="13"/>
      <c r="AS1251" s="14"/>
    </row>
    <row r="1252" spans="1:45" s="16" customFormat="1" ht="30.95" hidden="1" customHeight="1" x14ac:dyDescent="0.2">
      <c r="A1252" s="35"/>
      <c r="B1252" s="36"/>
      <c r="C1252" s="43"/>
      <c r="D1252" s="29"/>
      <c r="E1252" s="29"/>
      <c r="F1252" s="255"/>
      <c r="G1252" s="256"/>
      <c r="H1252" s="256"/>
      <c r="I1252" s="200"/>
      <c r="J1252" s="203"/>
      <c r="K1252" s="200"/>
      <c r="L1252" s="200"/>
      <c r="M1252" s="37"/>
      <c r="N1252" s="37"/>
      <c r="O1252" s="153"/>
      <c r="P1252" s="45"/>
      <c r="Q1252" s="54"/>
      <c r="R1252" s="260"/>
      <c r="S1252" s="258"/>
      <c r="T1252" s="258"/>
      <c r="U1252" s="38"/>
      <c r="V1252" s="261"/>
      <c r="W1252" s="256"/>
      <c r="X1252" s="256"/>
      <c r="Y1252" s="256"/>
      <c r="Z1252" s="256"/>
      <c r="AA1252" s="54"/>
      <c r="AB1252" s="200"/>
      <c r="AC1252" s="31"/>
      <c r="AD1252" s="184"/>
      <c r="AE1252" s="51"/>
      <c r="AF1252" s="52"/>
      <c r="AG1252" s="41"/>
      <c r="AH1252" s="45"/>
      <c r="AI1252" s="28"/>
      <c r="AJ1252" s="28"/>
      <c r="AK1252" s="28"/>
      <c r="AL1252" s="28"/>
      <c r="AM1252" s="12"/>
      <c r="AN1252" s="12"/>
      <c r="AO1252" s="12"/>
      <c r="AP1252" s="12"/>
      <c r="AQ1252" s="12"/>
      <c r="AR1252" s="13"/>
      <c r="AS1252" s="14"/>
    </row>
    <row r="1253" spans="1:45" s="16" customFormat="1" ht="30.95" hidden="1" customHeight="1" x14ac:dyDescent="0.2">
      <c r="A1253" s="35" t="s">
        <v>1794</v>
      </c>
      <c r="B1253" s="36" t="s">
        <v>1795</v>
      </c>
      <c r="C1253" s="43"/>
      <c r="D1253" s="29">
        <v>3727594</v>
      </c>
      <c r="E1253" s="29">
        <v>4162146</v>
      </c>
      <c r="F1253" s="255" t="str">
        <f>IF(D1253="","",VLOOKUP(D1253,契約台帳!$A$3:$K$4986,6,FALSE)&amp;VLOOKUP(D1253,契約台帳!$A$3:$K$4986,7,FALSE)&amp;VLOOKUP(D1253,契約台帳!$A$3:$K$4986,8,FALSE)&amp;VLOOKUP(D1253,契約台帳!$A$3:$K$4986,9,FALSE)&amp;VLOOKUP(D1253,契約台帳!$A$3:$K$4986,11,FALSE))</f>
        <v>3SNMLBMNGKKBF</v>
      </c>
      <c r="G1253" s="256" t="str">
        <f>IF(D1253="","",VLOOKUP(F1253,製品マスタ!$G$5:$H$4999,2,FALSE))</f>
        <v>S</v>
      </c>
      <c r="H1253" s="256" t="str">
        <f>IF(D1253="","",VLOOKUP(F1253,製品マスタ!$G$5:$K$4999,5,FALSE))</f>
        <v>MNGKKBF</v>
      </c>
      <c r="I1253" s="200" t="str">
        <f>IF(D1253="","",VLOOKUP(F1253,製品マスタ!$G$5:$L$4999,6,FALSE))</f>
        <v>メタルミー　ネーマー銀消改　Ｂ</v>
      </c>
      <c r="J1253" s="203" t="s">
        <v>935</v>
      </c>
      <c r="K1253" s="200">
        <f>IF(D1253="","",VLOOKUP(D1253,契約台帳!$A$3:$L$4986,12,FALSE))</f>
        <v>50</v>
      </c>
      <c r="L1253" s="200" t="str">
        <f>IF(D1253="","",INDEX(製品マスタ!$Q$5:$Q$4999,MATCH('S4'!F1253&amp;'S4'!K1253,製品マスタ!$AO$5:$AO$4999,0)))</f>
        <v>S99-MAT</v>
      </c>
      <c r="M1253" s="37">
        <v>1120</v>
      </c>
      <c r="N1253" s="37">
        <v>4000</v>
      </c>
      <c r="O1253" s="153">
        <v>9</v>
      </c>
      <c r="P1253" s="45">
        <v>3</v>
      </c>
      <c r="Q1253" s="206">
        <v>45203</v>
      </c>
      <c r="R1253" s="257">
        <f ca="1">IF(D1253="","",IF(OFFSET(D1253,-1,0)&lt;&gt;"","",IF(OR(J1253="リード付け",J1253="巻足し",J1253="巻返しリード付け"),M1253,VLOOKUP(D1253,契約台帳!$A$3:$N$4986,14,FALSE))))</f>
        <v>1120</v>
      </c>
      <c r="S1253" s="258">
        <f ca="1">IF(D1253="","",IF(OFFSET(D1253,-1,0)&lt;&gt;"","",IF(OR(J1253="リード付け",J1253="巻足し",J1253="巻返しリード付け"),M1253,VLOOKUP(D1253,契約台帳!$A$3:$O$4986,15,FALSE))))</f>
        <v>1120</v>
      </c>
      <c r="T1253" s="258">
        <f ca="1">IF(D1253="","",IF(J1253="リード付け",N1253,IF(J1253="巻返しリード付け",N1253,IF(J1253="巻足し",N1253*P1253+OFFSET(N1253,1,0)*OFFSET(P1253,1,0),VLOOKUP(D1253,契約台帳!$A$3:$P$4986,16,FALSE)))))</f>
        <v>12000</v>
      </c>
      <c r="U1253" s="38">
        <v>3</v>
      </c>
      <c r="V1253" s="259">
        <f ca="1">IF(D1253="","",IF(OFFSET(D1253,-2,0)=D1253,"",VLOOKUP(D1253,契約台帳!$A$3:$R$4986,18,FALSE)))</f>
        <v>18</v>
      </c>
      <c r="W1253" s="256" t="str">
        <f ca="1">IF(D1253="","",IF(T1253="","",IF(OR(J1253="巻足し",J1253="巻返しリード付け"),"",IF(J1253="巻返し",VLOOKUP(F1253&amp;K1253&amp;M1253,製品マスタ!$M$5:$AD$4999,18,FALSE),IF(OR(J1253="リード付け",J1253="巻返しリード付け"),"原反コア",IF(J1253="スリット",VLOOKUP(F1253&amp;K1253&amp;R1253,製品マスタ!$N$5:$AD$4999,17,FALSE),""))))))</f>
        <v/>
      </c>
      <c r="X1253" s="256" t="str">
        <f ca="1">IF(D1253="","",IF(T1253="","",IF(J1253="巻足し","",IF(J1253="巻返し",VLOOKUP(F1253&amp;K1253&amp;M1253,製品マスタ!$M$5:$AE$4999,19,FALSE),IF(OR(J1253="リード付け",J1253="巻返しリード付け"),"",IF(J1253="スリット",VLOOKUP(F1253&amp;K1253&amp;R1253,製品マスタ!$N$5:$AE$4999,18,FALSE),""))))))</f>
        <v/>
      </c>
      <c r="Y1253" s="256">
        <f ca="1">IF(D1253="","",IF(T1253="","",VLOOKUP(D1253,契約台帳!$A$3:$Q$4986,17,FALSE)))</f>
        <v>2</v>
      </c>
      <c r="Z1253" s="256" t="str">
        <f ca="1">IF(D1253="","",IF(T1253="","",VLOOKUP(D1253,契約台帳!$A$3:$E$4986,5,FALSE)))</f>
        <v xml:space="preserve">リンテック㈱        </v>
      </c>
      <c r="AA1253" s="54"/>
      <c r="AB1253" s="200">
        <f>IFERROR((VLOOKUP(F1253&amp;K1253&amp;M1253,製品マスタ!$M$5:$AM$4999,27,FALSE)),"")</f>
        <v>0</v>
      </c>
      <c r="AC1253" s="31"/>
      <c r="AD1253" s="184"/>
      <c r="AE1253" s="51"/>
      <c r="AF1253" s="52">
        <f>+M1253*N1253*O1253/1000</f>
        <v>40320</v>
      </c>
      <c r="AG1253" s="41"/>
      <c r="AH1253" s="45"/>
      <c r="AI1253" s="28"/>
      <c r="AJ1253" s="28"/>
      <c r="AK1253" s="28"/>
      <c r="AL1253" s="28"/>
      <c r="AM1253" s="12"/>
      <c r="AN1253" s="12"/>
      <c r="AO1253" s="12"/>
      <c r="AP1253" s="12"/>
      <c r="AQ1253" s="12"/>
      <c r="AR1253" s="13"/>
      <c r="AS1253" s="14"/>
    </row>
    <row r="1254" spans="1:45" s="16" customFormat="1" ht="30.95" hidden="1" customHeight="1" x14ac:dyDescent="0.2">
      <c r="A1254" s="35"/>
      <c r="B1254" s="36"/>
      <c r="C1254" s="43"/>
      <c r="D1254" s="29"/>
      <c r="E1254" s="29"/>
      <c r="F1254" s="255"/>
      <c r="G1254" s="256"/>
      <c r="H1254" s="256"/>
      <c r="I1254" s="200"/>
      <c r="J1254" s="203"/>
      <c r="K1254" s="200"/>
      <c r="L1254" s="200"/>
      <c r="M1254" s="37"/>
      <c r="N1254" s="37"/>
      <c r="O1254" s="153"/>
      <c r="P1254" s="45"/>
      <c r="Q1254" s="54"/>
      <c r="R1254" s="260"/>
      <c r="S1254" s="258"/>
      <c r="T1254" s="258"/>
      <c r="U1254" s="38"/>
      <c r="V1254" s="261"/>
      <c r="W1254" s="256"/>
      <c r="X1254" s="256"/>
      <c r="Y1254" s="256"/>
      <c r="Z1254" s="256"/>
      <c r="AA1254" s="54"/>
      <c r="AB1254" s="200"/>
      <c r="AC1254" s="31"/>
      <c r="AD1254" s="184"/>
      <c r="AE1254" s="51"/>
      <c r="AF1254" s="52"/>
      <c r="AG1254" s="41"/>
      <c r="AH1254" s="45"/>
      <c r="AI1254" s="28"/>
      <c r="AJ1254" s="28"/>
      <c r="AK1254" s="28"/>
      <c r="AL1254" s="28"/>
      <c r="AM1254" s="12"/>
      <c r="AN1254" s="12"/>
      <c r="AO1254" s="12"/>
      <c r="AP1254" s="12"/>
      <c r="AQ1254" s="12"/>
      <c r="AR1254" s="13"/>
      <c r="AS1254" s="14"/>
    </row>
    <row r="1255" spans="1:45" s="16" customFormat="1" ht="30.95" hidden="1" customHeight="1" x14ac:dyDescent="0.2">
      <c r="A1255" s="35"/>
      <c r="B1255" s="36"/>
      <c r="C1255" s="43"/>
      <c r="D1255" s="29">
        <v>3727595</v>
      </c>
      <c r="E1255" s="29">
        <v>4162072</v>
      </c>
      <c r="F1255" s="255" t="str">
        <f>IF(D1255="","",VLOOKUP(D1255,契約台帳!$A$3:$K$4986,6,FALSE)&amp;VLOOKUP(D1255,契約台帳!$A$3:$K$4986,7,FALSE)&amp;VLOOKUP(D1255,契約台帳!$A$3:$K$4986,8,FALSE)&amp;VLOOKUP(D1255,契約台帳!$A$3:$K$4986,9,FALSE)&amp;VLOOKUP(D1255,契約台帳!$A$3:$K$4986,11,FALSE))</f>
        <v>3SNMLBMNGKKBF</v>
      </c>
      <c r="G1255" s="256" t="str">
        <f>IF(D1255="","",VLOOKUP(F1255,製品マスタ!$G$5:$H$4999,2,FALSE))</f>
        <v>S</v>
      </c>
      <c r="H1255" s="256" t="str">
        <f>IF(D1255="","",VLOOKUP(F1255,製品マスタ!$G$5:$K$4999,5,FALSE))</f>
        <v>MNGKKBF</v>
      </c>
      <c r="I1255" s="200" t="str">
        <f>IF(D1255="","",VLOOKUP(F1255,製品マスタ!$G$5:$L$4999,6,FALSE))</f>
        <v>メタルミー　ネーマー銀消改　Ｂ</v>
      </c>
      <c r="J1255" s="203" t="s">
        <v>935</v>
      </c>
      <c r="K1255" s="200">
        <f>IF(D1255="","",VLOOKUP(D1255,契約台帳!$A$3:$L$4986,12,FALSE))</f>
        <v>50</v>
      </c>
      <c r="L1255" s="200" t="str">
        <f>IF(D1255="","",INDEX(製品マスタ!$Q$5:$Q$4999,MATCH('S4'!F1255&amp;'S4'!K1255,製品マスタ!$AO$5:$AO$4999,0)))</f>
        <v>S99-MAT</v>
      </c>
      <c r="M1255" s="37">
        <v>1120</v>
      </c>
      <c r="N1255" s="37">
        <v>4000</v>
      </c>
      <c r="O1255" s="153">
        <v>9</v>
      </c>
      <c r="P1255" s="45">
        <v>3</v>
      </c>
      <c r="Q1255" s="206">
        <v>45205</v>
      </c>
      <c r="R1255" s="257">
        <f ca="1">IF(D1255="","",IF(OFFSET(D1255,-1,0)&lt;&gt;"","",IF(OR(J1255="リード付け",J1255="巻足し",J1255="巻返しリード付け"),M1255,VLOOKUP(D1255,契約台帳!$A$3:$N$4986,14,FALSE))))</f>
        <v>1120</v>
      </c>
      <c r="S1255" s="258">
        <f ca="1">IF(D1255="","",IF(OFFSET(D1255,-1,0)&lt;&gt;"","",IF(OR(J1255="リード付け",J1255="巻足し",J1255="巻返しリード付け"),M1255,VLOOKUP(D1255,契約台帳!$A$3:$O$4986,15,FALSE))))</f>
        <v>1120</v>
      </c>
      <c r="T1255" s="258">
        <f ca="1">IF(D1255="","",IF(J1255="リード付け",N1255,IF(J1255="巻返しリード付け",N1255,IF(J1255="巻足し",N1255*P1255+OFFSET(N1255,1,0)*OFFSET(P1255,1,0),VLOOKUP(D1255,契約台帳!$A$3:$P$4986,16,FALSE)))))</f>
        <v>12000</v>
      </c>
      <c r="U1255" s="38">
        <v>3</v>
      </c>
      <c r="V1255" s="259">
        <f ca="1">IF(D1255="","",IF(OFFSET(D1255,-2,0)=D1255,"",VLOOKUP(D1255,契約台帳!$A$3:$R$4986,18,FALSE)))</f>
        <v>9</v>
      </c>
      <c r="W1255" s="256" t="str">
        <f ca="1">IF(D1255="","",IF(T1255="","",IF(OR(J1255="巻足し",J1255="巻返しリード付け"),"",IF(J1255="巻返し",VLOOKUP(F1255&amp;K1255&amp;M1255,製品マスタ!$M$5:$AD$4999,18,FALSE),IF(OR(J1255="リード付け",J1255="巻返しリード付け"),"原反コア",IF(J1255="スリット",VLOOKUP(F1255&amp;K1255&amp;R1255,製品マスタ!$N$5:$AD$4999,17,FALSE),""))))))</f>
        <v/>
      </c>
      <c r="X1255" s="256" t="str">
        <f ca="1">IF(D1255="","",IF(T1255="","",IF(J1255="巻足し","",IF(J1255="巻返し",VLOOKUP(F1255&amp;K1255&amp;M1255,製品マスタ!$M$5:$AE$4999,19,FALSE),IF(OR(J1255="リード付け",J1255="巻返しリード付け"),"",IF(J1255="スリット",VLOOKUP(F1255&amp;K1255&amp;R1255,製品マスタ!$N$5:$AE$4999,18,FALSE),""))))))</f>
        <v/>
      </c>
      <c r="Y1255" s="256">
        <f ca="1">IF(D1255="","",IF(T1255="","",VLOOKUP(D1255,契約台帳!$A$3:$Q$4986,17,FALSE)))</f>
        <v>2</v>
      </c>
      <c r="Z1255" s="256" t="str">
        <f ca="1">IF(D1255="","",IF(T1255="","",VLOOKUP(D1255,契約台帳!$A$3:$E$4986,5,FALSE)))</f>
        <v xml:space="preserve">リンテック㈱        </v>
      </c>
      <c r="AA1255" s="54"/>
      <c r="AB1255" s="200">
        <f>IFERROR((VLOOKUP(F1255&amp;K1255&amp;M1255,製品マスタ!$M$5:$AM$4999,27,FALSE)),"")</f>
        <v>0</v>
      </c>
      <c r="AC1255" s="31"/>
      <c r="AD1255" s="184"/>
      <c r="AE1255" s="51"/>
      <c r="AF1255" s="52">
        <f>+M1255*N1255*O1255/1000</f>
        <v>40320</v>
      </c>
      <c r="AG1255" s="41"/>
      <c r="AH1255" s="45"/>
      <c r="AI1255" s="28"/>
      <c r="AJ1255" s="28"/>
      <c r="AK1255" s="28"/>
      <c r="AL1255" s="28"/>
      <c r="AM1255" s="12"/>
      <c r="AN1255" s="12"/>
      <c r="AO1255" s="12"/>
      <c r="AP1255" s="12"/>
      <c r="AQ1255" s="12"/>
      <c r="AR1255" s="13"/>
      <c r="AS1255" s="14"/>
    </row>
    <row r="1256" spans="1:45" s="16" customFormat="1" ht="30.95" hidden="1" customHeight="1" x14ac:dyDescent="0.2">
      <c r="A1256" s="35"/>
      <c r="B1256" s="36"/>
      <c r="C1256" s="43"/>
      <c r="D1256" s="29"/>
      <c r="E1256" s="29"/>
      <c r="F1256" s="255"/>
      <c r="G1256" s="256"/>
      <c r="H1256" s="256"/>
      <c r="I1256" s="200"/>
      <c r="J1256" s="203"/>
      <c r="K1256" s="200"/>
      <c r="L1256" s="200"/>
      <c r="M1256" s="37"/>
      <c r="N1256" s="37"/>
      <c r="O1256" s="153"/>
      <c r="P1256" s="45"/>
      <c r="Q1256" s="54"/>
      <c r="R1256" s="260"/>
      <c r="S1256" s="258"/>
      <c r="T1256" s="258"/>
      <c r="U1256" s="38"/>
      <c r="V1256" s="261"/>
      <c r="W1256" s="256"/>
      <c r="X1256" s="256"/>
      <c r="Y1256" s="256"/>
      <c r="Z1256" s="256"/>
      <c r="AA1256" s="54"/>
      <c r="AB1256" s="200"/>
      <c r="AC1256" s="31"/>
      <c r="AD1256" s="184"/>
      <c r="AE1256" s="51"/>
      <c r="AF1256" s="52"/>
      <c r="AG1256" s="41"/>
      <c r="AH1256" s="45"/>
      <c r="AI1256" s="28"/>
      <c r="AJ1256" s="28"/>
      <c r="AK1256" s="28"/>
      <c r="AL1256" s="28"/>
      <c r="AM1256" s="12"/>
      <c r="AN1256" s="12"/>
      <c r="AO1256" s="12"/>
      <c r="AP1256" s="12"/>
      <c r="AQ1256" s="12"/>
      <c r="AR1256" s="13"/>
      <c r="AS1256" s="14"/>
    </row>
    <row r="1257" spans="1:45" s="16" customFormat="1" ht="30.95" hidden="1" customHeight="1" x14ac:dyDescent="0.2">
      <c r="A1257" s="35" t="s">
        <v>643</v>
      </c>
      <c r="B1257" s="36" t="s">
        <v>442</v>
      </c>
      <c r="C1257" s="43"/>
      <c r="D1257" s="29">
        <v>3731351</v>
      </c>
      <c r="E1257" s="29">
        <v>4162104</v>
      </c>
      <c r="F1257" s="255" t="str">
        <f>IF(D1257="","",VLOOKUP(D1257,契約台帳!$A$3:$K$4986,6,FALSE)&amp;VLOOKUP(D1257,契約台帳!$A$3:$K$4986,7,FALSE)&amp;VLOOKUP(D1257,契約台帳!$A$3:$K$4986,8,FALSE)&amp;VLOOKUP(D1257,契約台帳!$A$3:$K$4986,9,FALSE)&amp;VLOOKUP(D1257,契約台帳!$A$3:$K$4986,11,FALSE))</f>
        <v>3SNMLBMNGKBF</v>
      </c>
      <c r="G1257" s="256" t="str">
        <f>IF(D1257="","",VLOOKUP(F1257,製品マスタ!$G$5:$H$4999,2,FALSE))</f>
        <v>S</v>
      </c>
      <c r="H1257" s="256" t="str">
        <f>IF(D1257="","",VLOOKUP(F1257,製品マスタ!$G$5:$K$4999,5,FALSE))</f>
        <v>MNGKBF</v>
      </c>
      <c r="I1257" s="200" t="str">
        <f>IF(D1257="","",VLOOKUP(F1257,製品マスタ!$G$5:$L$4999,6,FALSE))</f>
        <v>メタルミー　ネーマー銀消　Ｂ</v>
      </c>
      <c r="J1257" s="203" t="s">
        <v>935</v>
      </c>
      <c r="K1257" s="200">
        <f>IF(D1257="","",VLOOKUP(D1257,契約台帳!$A$3:$L$4986,12,FALSE))</f>
        <v>50</v>
      </c>
      <c r="L1257" s="200" t="str">
        <f>IF(D1257="","",INDEX(製品マスタ!$Q$5:$Q$4999,MATCH('S4'!F1257&amp;'S4'!K1257,製品マスタ!$AO$5:$AO$4999,0)))</f>
        <v>MAT</v>
      </c>
      <c r="M1257" s="37">
        <v>1050</v>
      </c>
      <c r="N1257" s="37">
        <v>4100</v>
      </c>
      <c r="O1257" s="153">
        <v>3</v>
      </c>
      <c r="P1257" s="45">
        <v>3</v>
      </c>
      <c r="Q1257" s="206">
        <v>45237</v>
      </c>
      <c r="R1257" s="257">
        <f ca="1">IF(D1257="","",IF(OFFSET(D1257,-1,0)&lt;&gt;"","",IF(OR(J1257="リード付け",J1257="巻足し",J1257="巻返しリード付け"),M1257,VLOOKUP(D1257,契約台帳!$A$3:$N$4986,14,FALSE))))</f>
        <v>1050</v>
      </c>
      <c r="S1257" s="258">
        <f ca="1">IF(D1257="","",IF(OFFSET(D1257,-1,0)&lt;&gt;"","",IF(OR(J1257="リード付け",J1257="巻足し",J1257="巻返しリード付け"),M1257,VLOOKUP(D1257,契約台帳!$A$3:$O$4986,15,FALSE))))</f>
        <v>1050</v>
      </c>
      <c r="T1257" s="258">
        <f ca="1">IF(D1257="","",IF(J1257="リード付け",N1257,IF(J1257="巻返しリード付け",N1257,IF(J1257="巻足し",N1257*P1257+OFFSET(N1257,1,0)*OFFSET(P1257,1,0),VLOOKUP(D1257,契約台帳!$A$3:$P$4986,16,FALSE)))))</f>
        <v>12300</v>
      </c>
      <c r="U1257" s="38">
        <v>1</v>
      </c>
      <c r="V1257" s="259">
        <f ca="1">IF(D1257="","",IF(OFFSET(D1257,-2,0)=D1257,"",VLOOKUP(D1257,契約台帳!$A$3:$R$4986,18,FALSE)))</f>
        <v>5</v>
      </c>
      <c r="W1257" s="256" t="str">
        <f ca="1">IF(D1257="","",IF(T1257="","",IF(OR(J1257="巻足し",J1257="巻返しリード付け"),"",IF(J1257="巻返し",VLOOKUP(F1257&amp;K1257&amp;M1257,製品マスタ!$M$5:$AD$4999,18,FALSE),IF(OR(J1257="リード付け",J1257="巻返しリード付け"),"原反コア",IF(J1257="スリット",VLOOKUP(F1257&amp;K1257&amp;R1257,製品マスタ!$N$5:$AD$4999,17,FALSE),""))))))</f>
        <v/>
      </c>
      <c r="X1257" s="256" t="str">
        <f ca="1">IF(D1257="","",IF(T1257="","",IF(J1257="巻足し","",IF(J1257="巻返し",VLOOKUP(F1257&amp;K1257&amp;M1257,製品マスタ!$M$5:$AE$4999,19,FALSE),IF(OR(J1257="リード付け",J1257="巻返しリード付け"),"",IF(J1257="スリット",VLOOKUP(F1257&amp;K1257&amp;R1257,製品マスタ!$N$5:$AE$4999,18,FALSE),""))))))</f>
        <v/>
      </c>
      <c r="Y1257" s="256">
        <f ca="1">IF(D1257="","",IF(T1257="","",VLOOKUP(D1257,契約台帳!$A$3:$Q$4986,17,FALSE)))</f>
        <v>2</v>
      </c>
      <c r="Z1257" s="256" t="str">
        <f ca="1">IF(D1257="","",IF(T1257="","",VLOOKUP(D1257,契約台帳!$A$3:$E$4986,5,FALSE)))</f>
        <v>リンテック㈱</v>
      </c>
      <c r="AA1257" s="54"/>
      <c r="AB1257" s="200">
        <f>IFERROR((VLOOKUP(F1257&amp;K1257&amp;M1257,製品マスタ!$M$5:$AM$4999,27,FALSE)),"")</f>
        <v>0</v>
      </c>
      <c r="AC1257" s="31"/>
      <c r="AD1257" s="184"/>
      <c r="AE1257" s="51"/>
      <c r="AF1257" s="52">
        <f>+M1257*N1257*O1257/1000</f>
        <v>12915</v>
      </c>
      <c r="AG1257" s="41"/>
      <c r="AH1257" s="45"/>
      <c r="AI1257" s="28"/>
      <c r="AJ1257" s="28"/>
      <c r="AK1257" s="28"/>
      <c r="AL1257" s="28"/>
      <c r="AM1257" s="12"/>
      <c r="AN1257" s="12"/>
      <c r="AO1257" s="12"/>
      <c r="AP1257" s="12"/>
      <c r="AQ1257" s="12"/>
      <c r="AR1257" s="13"/>
      <c r="AS1257" s="14"/>
    </row>
    <row r="1258" spans="1:45" s="16" customFormat="1" ht="30.95" hidden="1" customHeight="1" x14ac:dyDescent="0.2">
      <c r="A1258" s="35"/>
      <c r="B1258" s="36"/>
      <c r="C1258" s="43"/>
      <c r="D1258" s="29"/>
      <c r="E1258" s="29"/>
      <c r="F1258" s="255"/>
      <c r="G1258" s="256"/>
      <c r="H1258" s="256"/>
      <c r="I1258" s="200"/>
      <c r="J1258" s="203"/>
      <c r="K1258" s="200"/>
      <c r="L1258" s="200"/>
      <c r="M1258" s="37"/>
      <c r="N1258" s="37"/>
      <c r="O1258" s="153"/>
      <c r="P1258" s="45"/>
      <c r="Q1258" s="54"/>
      <c r="R1258" s="260"/>
      <c r="S1258" s="258"/>
      <c r="T1258" s="258"/>
      <c r="U1258" s="38"/>
      <c r="V1258" s="261"/>
      <c r="W1258" s="256"/>
      <c r="X1258" s="256"/>
      <c r="Y1258" s="256"/>
      <c r="Z1258" s="256"/>
      <c r="AA1258" s="54"/>
      <c r="AB1258" s="200"/>
      <c r="AC1258" s="31"/>
      <c r="AD1258" s="184"/>
      <c r="AE1258" s="51"/>
      <c r="AF1258" s="52"/>
      <c r="AG1258" s="41"/>
      <c r="AH1258" s="45"/>
      <c r="AI1258" s="28"/>
      <c r="AJ1258" s="28"/>
      <c r="AK1258" s="28"/>
      <c r="AL1258" s="28"/>
      <c r="AM1258" s="12"/>
      <c r="AN1258" s="12"/>
      <c r="AO1258" s="12"/>
      <c r="AP1258" s="12"/>
      <c r="AQ1258" s="12"/>
      <c r="AR1258" s="13"/>
      <c r="AS1258" s="14"/>
    </row>
    <row r="1259" spans="1:45" s="16" customFormat="1" ht="30.95" hidden="1" customHeight="1" x14ac:dyDescent="0.2">
      <c r="A1259" s="35"/>
      <c r="B1259" s="36"/>
      <c r="C1259" s="43"/>
      <c r="D1259" s="29">
        <v>3731351</v>
      </c>
      <c r="E1259" s="29">
        <v>4162104</v>
      </c>
      <c r="F1259" s="255" t="str">
        <f>IF(D1259="","",VLOOKUP(D1259,契約台帳!$A$3:$K$4986,6,FALSE)&amp;VLOOKUP(D1259,契約台帳!$A$3:$K$4986,7,FALSE)&amp;VLOOKUP(D1259,契約台帳!$A$3:$K$4986,8,FALSE)&amp;VLOOKUP(D1259,契約台帳!$A$3:$K$4986,9,FALSE)&amp;VLOOKUP(D1259,契約台帳!$A$3:$K$4986,11,FALSE))</f>
        <v>3SNMLBMNGKBF</v>
      </c>
      <c r="G1259" s="256" t="str">
        <f>IF(D1259="","",VLOOKUP(F1259,製品マスタ!$G$5:$H$4999,2,FALSE))</f>
        <v>S</v>
      </c>
      <c r="H1259" s="256" t="str">
        <f>IF(D1259="","",VLOOKUP(F1259,製品マスタ!$G$5:$K$4999,5,FALSE))</f>
        <v>MNGKBF</v>
      </c>
      <c r="I1259" s="200" t="str">
        <f>IF(D1259="","",VLOOKUP(F1259,製品マスタ!$G$5:$L$4999,6,FALSE))</f>
        <v>メタルミー　ネーマー銀消　Ｂ</v>
      </c>
      <c r="J1259" s="203" t="s">
        <v>935</v>
      </c>
      <c r="K1259" s="200">
        <f>IF(D1259="","",VLOOKUP(D1259,契約台帳!$A$3:$L$4986,12,FALSE))</f>
        <v>50</v>
      </c>
      <c r="L1259" s="200" t="str">
        <f>IF(D1259="","",INDEX(製品マスタ!$Q$5:$Q$4999,MATCH('S4'!F1259&amp;'S4'!K1259,製品マスタ!$AO$5:$AO$4999,0)))</f>
        <v>MAT</v>
      </c>
      <c r="M1259" s="37">
        <v>1050</v>
      </c>
      <c r="N1259" s="37">
        <v>4100</v>
      </c>
      <c r="O1259" s="153">
        <v>2</v>
      </c>
      <c r="P1259" s="45">
        <v>2</v>
      </c>
      <c r="Q1259" s="206">
        <v>45237</v>
      </c>
      <c r="R1259" s="257">
        <f ca="1">IF(D1259="","",IF(OFFSET(D1259,-1,0)&lt;&gt;"","",IF(OR(J1259="リード付け",J1259="巻足し",J1259="巻返しリード付け"),M1259,VLOOKUP(D1259,契約台帳!$A$3:$N$4986,14,FALSE))))</f>
        <v>1050</v>
      </c>
      <c r="S1259" s="258">
        <f ca="1">IF(D1259="","",IF(OFFSET(D1259,-1,0)&lt;&gt;"","",IF(OR(J1259="リード付け",J1259="巻足し",J1259="巻返しリード付け"),M1259,VLOOKUP(D1259,契約台帳!$A$3:$O$4986,15,FALSE))))</f>
        <v>1050</v>
      </c>
      <c r="T1259" s="258">
        <f ca="1">IF(D1259="","",IF(J1259="リード付け",N1259,IF(J1259="巻返しリード付け",N1259,IF(J1259="巻足し",N1259*P1259+OFFSET(N1259,1,0)*OFFSET(P1259,1,0),VLOOKUP(D1259,契約台帳!$A$3:$P$4986,16,FALSE)))))</f>
        <v>8200</v>
      </c>
      <c r="U1259" s="38">
        <v>1</v>
      </c>
      <c r="V1259" s="259" t="str">
        <f ca="1">IF(D1259="","",IF(OFFSET(D1259,-2,0)=D1259,"",VLOOKUP(D1259,契約台帳!$A$3:$R$4986,18,FALSE)))</f>
        <v/>
      </c>
      <c r="W1259" s="256" t="str">
        <f ca="1">IF(D1259="","",IF(T1259="","",IF(OR(J1259="巻足し",J1259="巻返しリード付け"),"",IF(J1259="巻返し",VLOOKUP(F1259&amp;K1259&amp;M1259,製品マスタ!$M$5:$AD$4999,18,FALSE),IF(OR(J1259="リード付け",J1259="巻返しリード付け"),"原反コア",IF(J1259="スリット",VLOOKUP(F1259&amp;K1259&amp;R1259,製品マスタ!$N$5:$AD$4999,17,FALSE),""))))))</f>
        <v/>
      </c>
      <c r="X1259" s="256" t="str">
        <f ca="1">IF(D1259="","",IF(T1259="","",IF(J1259="巻足し","",IF(J1259="巻返し",VLOOKUP(F1259&amp;K1259&amp;M1259,製品マスタ!$M$5:$AE$4999,19,FALSE),IF(OR(J1259="リード付け",J1259="巻返しリード付け"),"",IF(J1259="スリット",VLOOKUP(F1259&amp;K1259&amp;R1259,製品マスタ!$N$5:$AE$4999,18,FALSE),""))))))</f>
        <v/>
      </c>
      <c r="Y1259" s="256">
        <f ca="1">IF(D1259="","",IF(T1259="","",VLOOKUP(D1259,契約台帳!$A$3:$Q$4986,17,FALSE)))</f>
        <v>2</v>
      </c>
      <c r="Z1259" s="256" t="str">
        <f ca="1">IF(D1259="","",IF(T1259="","",VLOOKUP(D1259,契約台帳!$A$3:$E$4986,5,FALSE)))</f>
        <v>リンテック㈱</v>
      </c>
      <c r="AA1259" s="54"/>
      <c r="AB1259" s="200">
        <f>IFERROR((VLOOKUP(F1259&amp;K1259&amp;M1259,製品マスタ!$M$5:$AM$4999,27,FALSE)),"")</f>
        <v>0</v>
      </c>
      <c r="AC1259" s="31"/>
      <c r="AD1259" s="184"/>
      <c r="AE1259" s="51"/>
      <c r="AF1259" s="52">
        <f>+M1259*N1259*O1259/1000</f>
        <v>8610</v>
      </c>
      <c r="AG1259" s="41"/>
      <c r="AH1259" s="45"/>
      <c r="AI1259" s="28"/>
      <c r="AJ1259" s="28"/>
      <c r="AK1259" s="28"/>
      <c r="AL1259" s="28"/>
      <c r="AM1259" s="12"/>
      <c r="AN1259" s="12"/>
      <c r="AO1259" s="12"/>
      <c r="AP1259" s="12"/>
      <c r="AQ1259" s="12"/>
      <c r="AR1259" s="13"/>
      <c r="AS1259" s="14"/>
    </row>
    <row r="1260" spans="1:45" s="16" customFormat="1" ht="30.95" hidden="1" customHeight="1" x14ac:dyDescent="0.2">
      <c r="A1260" s="35"/>
      <c r="B1260" s="36"/>
      <c r="C1260" s="43"/>
      <c r="D1260" s="29"/>
      <c r="E1260" s="29"/>
      <c r="F1260" s="255"/>
      <c r="G1260" s="256"/>
      <c r="H1260" s="256"/>
      <c r="I1260" s="200"/>
      <c r="J1260" s="203"/>
      <c r="K1260" s="200"/>
      <c r="L1260" s="200"/>
      <c r="M1260" s="37"/>
      <c r="N1260" s="37"/>
      <c r="O1260" s="153"/>
      <c r="P1260" s="45"/>
      <c r="Q1260" s="54"/>
      <c r="R1260" s="260"/>
      <c r="S1260" s="258"/>
      <c r="T1260" s="258"/>
      <c r="U1260" s="38"/>
      <c r="V1260" s="261"/>
      <c r="W1260" s="256"/>
      <c r="X1260" s="256"/>
      <c r="Y1260" s="256"/>
      <c r="Z1260" s="256"/>
      <c r="AA1260" s="54"/>
      <c r="AB1260" s="200"/>
      <c r="AC1260" s="31"/>
      <c r="AD1260" s="184"/>
      <c r="AE1260" s="51"/>
      <c r="AF1260" s="52"/>
      <c r="AG1260" s="41"/>
      <c r="AH1260" s="45"/>
      <c r="AI1260" s="28"/>
      <c r="AJ1260" s="28"/>
      <c r="AK1260" s="28"/>
      <c r="AL1260" s="28"/>
      <c r="AM1260" s="12"/>
      <c r="AN1260" s="12"/>
      <c r="AO1260" s="12"/>
      <c r="AP1260" s="12"/>
      <c r="AQ1260" s="12"/>
      <c r="AR1260" s="13"/>
      <c r="AS1260" s="14"/>
    </row>
    <row r="1261" spans="1:45" s="16" customFormat="1" ht="30.95" hidden="1" customHeight="1" x14ac:dyDescent="0.2">
      <c r="A1261" s="35"/>
      <c r="B1261" s="36"/>
      <c r="C1261" s="43"/>
      <c r="D1261" s="29">
        <v>3731359</v>
      </c>
      <c r="E1261" s="29">
        <v>4162096</v>
      </c>
      <c r="F1261" s="255" t="str">
        <f>IF(D1261="","",VLOOKUP(D1261,契約台帳!$A$3:$K$4986,6,FALSE)&amp;VLOOKUP(D1261,契約台帳!$A$3:$K$4986,7,FALSE)&amp;VLOOKUP(D1261,契約台帳!$A$3:$K$4986,8,FALSE)&amp;VLOOKUP(D1261,契約台帳!$A$3:$K$4986,9,FALSE)&amp;VLOOKUP(D1261,契約台帳!$A$3:$K$4986,11,FALSE))</f>
        <v>33SSNMCLBTEKKFV</v>
      </c>
      <c r="G1261" s="256" t="str">
        <f>IF(D1261="","",VLOOKUP(F1261,製品マスタ!$G$5:$H$4999,2,FALSE))</f>
        <v>S</v>
      </c>
      <c r="H1261" s="256" t="str">
        <f>IF(D1261="","",VLOOKUP(F1261,製品マスタ!$G$5:$K$4999,5,FALSE))</f>
        <v>TEKKFV</v>
      </c>
      <c r="I1261" s="200" t="str">
        <f>IF(D1261="","",VLOOKUP(F1261,製品マスタ!$G$5:$L$4999,6,FALSE))</f>
        <v>メタルミー　ＴＥＳ消開封　Ｖ</v>
      </c>
      <c r="J1261" s="203" t="s">
        <v>935</v>
      </c>
      <c r="K1261" s="200">
        <f>IF(D1261="","",VLOOKUP(D1261,契約台帳!$A$3:$L$4986,12,FALSE))</f>
        <v>50</v>
      </c>
      <c r="L1261" s="200" t="str">
        <f>IF(D1261="","",INDEX(製品マスタ!$Q$5:$Q$4999,MATCH('S4'!F1261&amp;'S4'!K1261,製品マスタ!$AO$5:$AO$4999,0)))</f>
        <v>X44SEPA</v>
      </c>
      <c r="M1261" s="37">
        <v>1005</v>
      </c>
      <c r="N1261" s="37">
        <v>4000</v>
      </c>
      <c r="O1261" s="153">
        <v>6</v>
      </c>
      <c r="P1261" s="45">
        <v>3</v>
      </c>
      <c r="Q1261" s="206">
        <v>45238</v>
      </c>
      <c r="R1261" s="257">
        <f ca="1">IF(D1261="","",IF(OFFSET(D1261,-1,0)&lt;&gt;"","",IF(OR(J1261="リード付け",J1261="巻足し",J1261="巻返しリード付け"),M1261,VLOOKUP(D1261,契約台帳!$A$3:$N$4986,14,FALSE))))</f>
        <v>1005</v>
      </c>
      <c r="S1261" s="258">
        <f ca="1">IF(D1261="","",IF(OFFSET(D1261,-1,0)&lt;&gt;"","",IF(OR(J1261="リード付け",J1261="巻足し",J1261="巻返しリード付け"),M1261,VLOOKUP(D1261,契約台帳!$A$3:$O$4986,15,FALSE))))</f>
        <v>1005</v>
      </c>
      <c r="T1261" s="258">
        <f ca="1">IF(D1261="","",IF(J1261="リード付け",N1261,IF(J1261="巻返しリード付け",N1261,IF(J1261="巻足し",N1261*P1261+OFFSET(N1261,1,0)*OFFSET(P1261,1,0),VLOOKUP(D1261,契約台帳!$A$3:$P$4986,16,FALSE)))))</f>
        <v>12000</v>
      </c>
      <c r="U1261" s="38">
        <v>2</v>
      </c>
      <c r="V1261" s="259">
        <f ca="1">IF(D1261="","",IF(OFFSET(D1261,-2,0)=D1261,"",VLOOKUP(D1261,契約台帳!$A$3:$R$4986,18,FALSE)))</f>
        <v>6</v>
      </c>
      <c r="W1261" s="256" t="str">
        <f ca="1">IF(D1261="","",IF(T1261="","",IF(OR(J1261="巻足し",J1261="巻返しリード付け"),"",IF(J1261="巻返し",VLOOKUP(F1261&amp;K1261&amp;M1261,製品マスタ!$M$5:$AD$4999,18,FALSE),IF(OR(J1261="リード付け",J1261="巻返しリード付け"),"原反コア",IF(J1261="スリット",VLOOKUP(F1261&amp;K1261&amp;R1261,製品マスタ!$N$5:$AD$4999,17,FALSE),""))))))</f>
        <v/>
      </c>
      <c r="X1261" s="256" t="str">
        <f ca="1">IF(D1261="","",IF(T1261="","",IF(J1261="巻足し","",IF(J1261="巻返し",VLOOKUP(F1261&amp;K1261&amp;M1261,製品マスタ!$M$5:$AE$4999,19,FALSE),IF(OR(J1261="リード付け",J1261="巻返しリード付け"),"",IF(J1261="スリット",VLOOKUP(F1261&amp;K1261&amp;R1261,製品マスタ!$N$5:$AE$4999,18,FALSE),""))))))</f>
        <v/>
      </c>
      <c r="Y1261" s="256">
        <f ca="1">IF(D1261="","",IF(T1261="","",VLOOKUP(D1261,契約台帳!$A$3:$Q$4986,17,FALSE)))</f>
        <v>2</v>
      </c>
      <c r="Z1261" s="256" t="str">
        <f ca="1">IF(D1261="","",IF(T1261="","",VLOOKUP(D1261,契約台帳!$A$3:$E$4986,5,FALSE)))</f>
        <v>リンテック㈱</v>
      </c>
      <c r="AA1261" s="54"/>
      <c r="AB1261" s="200">
        <f>IFERROR((VLOOKUP(F1261&amp;K1261&amp;M1261,製品マスタ!$M$5:$AM$4999,27,FALSE)),"")</f>
        <v>0</v>
      </c>
      <c r="AC1261" s="31"/>
      <c r="AD1261" s="184"/>
      <c r="AE1261" s="51"/>
      <c r="AF1261" s="52">
        <f>+M1261*N1261*O1261/1000</f>
        <v>24120</v>
      </c>
      <c r="AG1261" s="41"/>
      <c r="AH1261" s="45"/>
      <c r="AI1261" s="28"/>
      <c r="AJ1261" s="28"/>
      <c r="AK1261" s="28"/>
      <c r="AL1261" s="28"/>
      <c r="AM1261" s="12"/>
      <c r="AN1261" s="12"/>
      <c r="AO1261" s="12"/>
      <c r="AP1261" s="12"/>
      <c r="AQ1261" s="12"/>
      <c r="AR1261" s="13"/>
      <c r="AS1261" s="14"/>
    </row>
    <row r="1262" spans="1:45" s="16" customFormat="1" ht="30.95" hidden="1" customHeight="1" x14ac:dyDescent="0.2">
      <c r="A1262" s="35"/>
      <c r="B1262" s="36"/>
      <c r="C1262" s="43"/>
      <c r="D1262" s="29"/>
      <c r="E1262" s="29"/>
      <c r="F1262" s="255"/>
      <c r="G1262" s="256"/>
      <c r="H1262" s="256"/>
      <c r="I1262" s="200"/>
      <c r="J1262" s="203"/>
      <c r="K1262" s="200"/>
      <c r="L1262" s="200"/>
      <c r="M1262" s="37"/>
      <c r="N1262" s="37"/>
      <c r="O1262" s="153"/>
      <c r="P1262" s="45"/>
      <c r="Q1262" s="54"/>
      <c r="R1262" s="260"/>
      <c r="S1262" s="258"/>
      <c r="T1262" s="258"/>
      <c r="U1262" s="38"/>
      <c r="V1262" s="261"/>
      <c r="W1262" s="256"/>
      <c r="X1262" s="256"/>
      <c r="Y1262" s="256"/>
      <c r="Z1262" s="256"/>
      <c r="AA1262" s="54"/>
      <c r="AB1262" s="200"/>
      <c r="AC1262" s="31"/>
      <c r="AD1262" s="184"/>
      <c r="AE1262" s="51"/>
      <c r="AF1262" s="52"/>
      <c r="AG1262" s="41"/>
      <c r="AH1262" s="45"/>
      <c r="AI1262" s="28"/>
      <c r="AJ1262" s="28"/>
      <c r="AK1262" s="28"/>
      <c r="AL1262" s="28"/>
      <c r="AM1262" s="12"/>
      <c r="AN1262" s="12"/>
      <c r="AO1262" s="12"/>
      <c r="AP1262" s="12"/>
      <c r="AQ1262" s="12"/>
      <c r="AR1262" s="13"/>
      <c r="AS1262" s="14"/>
    </row>
    <row r="1263" spans="1:45" s="16" customFormat="1" ht="30.95" hidden="1" customHeight="1" x14ac:dyDescent="0.2">
      <c r="A1263" s="35"/>
      <c r="B1263" s="36"/>
      <c r="C1263" s="43"/>
      <c r="D1263" s="29">
        <v>3731360</v>
      </c>
      <c r="E1263" s="29">
        <v>4162097</v>
      </c>
      <c r="F1263" s="255" t="str">
        <f>IF(D1263="","",VLOOKUP(D1263,契約台帳!$A$3:$K$4986,6,FALSE)&amp;VLOOKUP(D1263,契約台帳!$A$3:$K$4986,7,FALSE)&amp;VLOOKUP(D1263,契約台帳!$A$3:$K$4986,8,FALSE)&amp;VLOOKUP(D1263,契約台帳!$A$3:$K$4986,9,FALSE)&amp;VLOOKUP(D1263,契約台帳!$A$3:$K$4986,11,FALSE))</f>
        <v>33SSNMCLBTEKV0V</v>
      </c>
      <c r="G1263" s="256" t="str">
        <f>IF(D1263="","",VLOOKUP(F1263,製品マスタ!$G$5:$H$4999,2,FALSE))</f>
        <v>S</v>
      </c>
      <c r="H1263" s="256" t="str">
        <f>IF(D1263="","",VLOOKUP(F1263,製品マスタ!$G$5:$K$4999,5,FALSE))</f>
        <v>TEKV0V</v>
      </c>
      <c r="I1263" s="200" t="str">
        <f>IF(D1263="","",VLOOKUP(F1263,製品マスタ!$G$5:$L$4999,6,FALSE))</f>
        <v>メタルミー　ＴＥ－Ｓ消　ＶＯＩＤ　Ｖ</v>
      </c>
      <c r="J1263" s="203" t="s">
        <v>935</v>
      </c>
      <c r="K1263" s="200">
        <f>IF(D1263="","",VLOOKUP(D1263,契約台帳!$A$3:$L$4986,12,FALSE))</f>
        <v>50</v>
      </c>
      <c r="L1263" s="200" t="str">
        <f>IF(D1263="","",INDEX(製品マスタ!$Q$5:$Q$4999,MATCH('S4'!F1263&amp;'S4'!K1263,製品マスタ!$AO$5:$AO$4999,0)))</f>
        <v>X44SEPA</v>
      </c>
      <c r="M1263" s="37">
        <v>1005</v>
      </c>
      <c r="N1263" s="37">
        <v>4000</v>
      </c>
      <c r="O1263" s="153">
        <v>9</v>
      </c>
      <c r="P1263" s="45">
        <v>3</v>
      </c>
      <c r="Q1263" s="206">
        <v>45238</v>
      </c>
      <c r="R1263" s="257">
        <f ca="1">IF(D1263="","",IF(OFFSET(D1263,-1,0)&lt;&gt;"","",IF(OR(J1263="リード付け",J1263="巻足し",J1263="巻返しリード付け"),M1263,VLOOKUP(D1263,契約台帳!$A$3:$N$4986,14,FALSE))))</f>
        <v>1005</v>
      </c>
      <c r="S1263" s="258">
        <f ca="1">IF(D1263="","",IF(OFFSET(D1263,-1,0)&lt;&gt;"","",IF(OR(J1263="リード付け",J1263="巻足し",J1263="巻返しリード付け"),M1263,VLOOKUP(D1263,契約台帳!$A$3:$O$4986,15,FALSE))))</f>
        <v>1005</v>
      </c>
      <c r="T1263" s="258">
        <f ca="1">IF(D1263="","",IF(J1263="リード付け",N1263,IF(J1263="巻返しリード付け",N1263,IF(J1263="巻足し",N1263*P1263+OFFSET(N1263,1,0)*OFFSET(P1263,1,0),VLOOKUP(D1263,契約台帳!$A$3:$P$4986,16,FALSE)))))</f>
        <v>12000</v>
      </c>
      <c r="U1263" s="38">
        <v>3</v>
      </c>
      <c r="V1263" s="259">
        <f ca="1">IF(D1263="","",IF(OFFSET(D1263,-2,0)=D1263,"",VLOOKUP(D1263,契約台帳!$A$3:$R$4986,18,FALSE)))</f>
        <v>9</v>
      </c>
      <c r="W1263" s="256" t="str">
        <f ca="1">IF(D1263="","",IF(T1263="","",IF(OR(J1263="巻足し",J1263="巻返しリード付け"),"",IF(J1263="巻返し",VLOOKUP(F1263&amp;K1263&amp;M1263,製品マスタ!$M$5:$AD$4999,18,FALSE),IF(OR(J1263="リード付け",J1263="巻返しリード付け"),"原反コア",IF(J1263="スリット",VLOOKUP(F1263&amp;K1263&amp;R1263,製品マスタ!$N$5:$AD$4999,17,FALSE),""))))))</f>
        <v/>
      </c>
      <c r="X1263" s="256" t="str">
        <f ca="1">IF(D1263="","",IF(T1263="","",IF(J1263="巻足し","",IF(J1263="巻返し",VLOOKUP(F1263&amp;K1263&amp;M1263,製品マスタ!$M$5:$AE$4999,19,FALSE),IF(OR(J1263="リード付け",J1263="巻返しリード付け"),"",IF(J1263="スリット",VLOOKUP(F1263&amp;K1263&amp;R1263,製品マスタ!$N$5:$AE$4999,18,FALSE),""))))))</f>
        <v/>
      </c>
      <c r="Y1263" s="256">
        <f ca="1">IF(D1263="","",IF(T1263="","",VLOOKUP(D1263,契約台帳!$A$3:$Q$4986,17,FALSE)))</f>
        <v>2</v>
      </c>
      <c r="Z1263" s="256" t="str">
        <f ca="1">IF(D1263="","",IF(T1263="","",VLOOKUP(D1263,契約台帳!$A$3:$E$4986,5,FALSE)))</f>
        <v>リンテック㈱</v>
      </c>
      <c r="AA1263" s="54"/>
      <c r="AB1263" s="200">
        <f>IFERROR((VLOOKUP(F1263&amp;K1263&amp;M1263,製品マスタ!$M$5:$AM$4999,27,FALSE)),"")</f>
        <v>0</v>
      </c>
      <c r="AC1263" s="31"/>
      <c r="AD1263" s="184"/>
      <c r="AE1263" s="51"/>
      <c r="AF1263" s="52">
        <f>+M1263*N1263*O1263/1000</f>
        <v>36180</v>
      </c>
      <c r="AG1263" s="41"/>
      <c r="AH1263" s="45"/>
      <c r="AI1263" s="28"/>
      <c r="AJ1263" s="28"/>
      <c r="AK1263" s="28"/>
      <c r="AL1263" s="28"/>
      <c r="AM1263" s="12"/>
      <c r="AN1263" s="12"/>
      <c r="AO1263" s="12"/>
      <c r="AP1263" s="12"/>
      <c r="AQ1263" s="12"/>
      <c r="AR1263" s="13"/>
      <c r="AS1263" s="14"/>
    </row>
    <row r="1264" spans="1:45" s="16" customFormat="1" ht="30.95" hidden="1" customHeight="1" x14ac:dyDescent="0.2">
      <c r="A1264" s="35"/>
      <c r="B1264" s="36"/>
      <c r="C1264" s="43"/>
      <c r="D1264" s="29"/>
      <c r="E1264" s="29"/>
      <c r="F1264" s="255"/>
      <c r="G1264" s="256"/>
      <c r="H1264" s="256"/>
      <c r="I1264" s="200"/>
      <c r="J1264" s="203"/>
      <c r="K1264" s="200"/>
      <c r="L1264" s="200"/>
      <c r="M1264" s="37"/>
      <c r="N1264" s="37"/>
      <c r="O1264" s="153"/>
      <c r="P1264" s="45"/>
      <c r="Q1264" s="54"/>
      <c r="R1264" s="260"/>
      <c r="S1264" s="258"/>
      <c r="T1264" s="258"/>
      <c r="U1264" s="38"/>
      <c r="V1264" s="261"/>
      <c r="W1264" s="256"/>
      <c r="X1264" s="256"/>
      <c r="Y1264" s="256"/>
      <c r="Z1264" s="256"/>
      <c r="AA1264" s="54"/>
      <c r="AB1264" s="200"/>
      <c r="AC1264" s="31"/>
      <c r="AD1264" s="184"/>
      <c r="AE1264" s="51"/>
      <c r="AF1264" s="52"/>
      <c r="AG1264" s="41"/>
      <c r="AH1264" s="45"/>
      <c r="AI1264" s="28"/>
      <c r="AJ1264" s="28"/>
      <c r="AK1264" s="28"/>
      <c r="AL1264" s="28"/>
      <c r="AM1264" s="12"/>
      <c r="AN1264" s="12"/>
      <c r="AO1264" s="12"/>
      <c r="AP1264" s="12"/>
      <c r="AQ1264" s="12"/>
      <c r="AR1264" s="13"/>
      <c r="AS1264" s="14"/>
    </row>
    <row r="1265" spans="1:45" s="16" customFormat="1" ht="30.95" hidden="1" customHeight="1" x14ac:dyDescent="0.2">
      <c r="A1265" s="35" t="s">
        <v>644</v>
      </c>
      <c r="B1265" s="36" t="s">
        <v>443</v>
      </c>
      <c r="C1265" s="43"/>
      <c r="D1265" s="29">
        <v>3731361</v>
      </c>
      <c r="E1265" s="29">
        <v>4162098</v>
      </c>
      <c r="F1265" s="255" t="str">
        <f>IF(D1265="","",VLOOKUP(D1265,契約台帳!$A$3:$K$4986,6,FALSE)&amp;VLOOKUP(D1265,契約台帳!$A$3:$K$4986,7,FALSE)&amp;VLOOKUP(D1265,契約台帳!$A$3:$K$4986,8,FALSE)&amp;VLOOKUP(D1265,契約台帳!$A$3:$K$4986,9,FALSE)&amp;VLOOKUP(D1265,契約台帳!$A$3:$K$4986,11,FALSE))</f>
        <v>33SSNMCLBTEKV0V</v>
      </c>
      <c r="G1265" s="256" t="str">
        <f>IF(D1265="","",VLOOKUP(F1265,製品マスタ!$G$5:$H$4999,2,FALSE))</f>
        <v>S</v>
      </c>
      <c r="H1265" s="256" t="str">
        <f>IF(D1265="","",VLOOKUP(F1265,製品マスタ!$G$5:$K$4999,5,FALSE))</f>
        <v>TEKV0V</v>
      </c>
      <c r="I1265" s="200" t="str">
        <f>IF(D1265="","",VLOOKUP(F1265,製品マスタ!$G$5:$L$4999,6,FALSE))</f>
        <v>メタルミー　ＴＥ－Ｓ消　ＶＯＩＤ　Ｖ</v>
      </c>
      <c r="J1265" s="203" t="s">
        <v>935</v>
      </c>
      <c r="K1265" s="200">
        <f>IF(D1265="","",VLOOKUP(D1265,契約台帳!$A$3:$L$4986,12,FALSE))</f>
        <v>50</v>
      </c>
      <c r="L1265" s="200" t="str">
        <f>IF(D1265="","",INDEX(製品マスタ!$Q$5:$Q$4999,MATCH('S4'!F1265&amp;'S4'!K1265,製品マスタ!$AO$5:$AO$4999,0)))</f>
        <v>X44SEPA</v>
      </c>
      <c r="M1265" s="37">
        <v>1005</v>
      </c>
      <c r="N1265" s="37">
        <v>4100</v>
      </c>
      <c r="O1265" s="153">
        <v>3</v>
      </c>
      <c r="P1265" s="45">
        <v>3</v>
      </c>
      <c r="Q1265" s="206">
        <v>45238</v>
      </c>
      <c r="R1265" s="257">
        <f ca="1">IF(D1265="","",IF(OFFSET(D1265,-1,0)&lt;&gt;"","",IF(OR(J1265="リード付け",J1265="巻足し",J1265="巻返しリード付け"),M1265,VLOOKUP(D1265,契約台帳!$A$3:$N$4986,14,FALSE))))</f>
        <v>1005</v>
      </c>
      <c r="S1265" s="258">
        <f ca="1">IF(D1265="","",IF(OFFSET(D1265,-1,0)&lt;&gt;"","",IF(OR(J1265="リード付け",J1265="巻足し",J1265="巻返しリード付け"),M1265,VLOOKUP(D1265,契約台帳!$A$3:$O$4986,15,FALSE))))</f>
        <v>1005</v>
      </c>
      <c r="T1265" s="258">
        <f ca="1">IF(D1265="","",IF(J1265="リード付け",N1265,IF(J1265="巻返しリード付け",N1265,IF(J1265="巻足し",N1265*P1265+OFFSET(N1265,1,0)*OFFSET(P1265,1,0),VLOOKUP(D1265,契約台帳!$A$3:$P$4986,16,FALSE)))))</f>
        <v>12300</v>
      </c>
      <c r="U1265" s="38">
        <v>1</v>
      </c>
      <c r="V1265" s="259">
        <f ca="1">IF(D1265="","",IF(OFFSET(D1265,-2,0)=D1265,"",VLOOKUP(D1265,契約台帳!$A$3:$R$4986,18,FALSE)))</f>
        <v>3</v>
      </c>
      <c r="W1265" s="256" t="str">
        <f ca="1">IF(D1265="","",IF(T1265="","",IF(OR(J1265="巻足し",J1265="巻返しリード付け"),"",IF(J1265="巻返し",VLOOKUP(F1265&amp;K1265&amp;M1265,製品マスタ!$M$5:$AD$4999,18,FALSE),IF(OR(J1265="リード付け",J1265="巻返しリード付け"),"原反コア",IF(J1265="スリット",VLOOKUP(F1265&amp;K1265&amp;R1265,製品マスタ!$N$5:$AD$4999,17,FALSE),""))))))</f>
        <v/>
      </c>
      <c r="X1265" s="256" t="str">
        <f ca="1">IF(D1265="","",IF(T1265="","",IF(J1265="巻足し","",IF(J1265="巻返し",VLOOKUP(F1265&amp;K1265&amp;M1265,製品マスタ!$M$5:$AE$4999,19,FALSE),IF(OR(J1265="リード付け",J1265="巻返しリード付け"),"",IF(J1265="スリット",VLOOKUP(F1265&amp;K1265&amp;R1265,製品マスタ!$N$5:$AE$4999,18,FALSE),""))))))</f>
        <v/>
      </c>
      <c r="Y1265" s="256">
        <f ca="1">IF(D1265="","",IF(T1265="","",VLOOKUP(D1265,契約台帳!$A$3:$Q$4986,17,FALSE)))</f>
        <v>2</v>
      </c>
      <c r="Z1265" s="256" t="str">
        <f ca="1">IF(D1265="","",IF(T1265="","",VLOOKUP(D1265,契約台帳!$A$3:$E$4986,5,FALSE)))</f>
        <v>リンテック㈱</v>
      </c>
      <c r="AA1265" s="54"/>
      <c r="AB1265" s="200">
        <f>IFERROR((VLOOKUP(F1265&amp;K1265&amp;M1265,製品マスタ!$M$5:$AM$4999,27,FALSE)),"")</f>
        <v>0</v>
      </c>
      <c r="AC1265" s="31"/>
      <c r="AD1265" s="184"/>
      <c r="AE1265" s="51"/>
      <c r="AF1265" s="52">
        <f>+M1265*N1265*O1265/1000</f>
        <v>12361.5</v>
      </c>
      <c r="AG1265" s="41"/>
      <c r="AH1265" s="45"/>
      <c r="AI1265" s="28"/>
      <c r="AJ1265" s="28"/>
      <c r="AK1265" s="28"/>
      <c r="AL1265" s="28"/>
      <c r="AM1265" s="12"/>
      <c r="AN1265" s="12"/>
      <c r="AO1265" s="12"/>
      <c r="AP1265" s="12"/>
      <c r="AQ1265" s="12"/>
      <c r="AR1265" s="13"/>
      <c r="AS1265" s="14"/>
    </row>
    <row r="1266" spans="1:45" s="16" customFormat="1" ht="30.95" hidden="1" customHeight="1" x14ac:dyDescent="0.2">
      <c r="A1266" s="35"/>
      <c r="B1266" s="36"/>
      <c r="C1266" s="43"/>
      <c r="D1266" s="29"/>
      <c r="E1266" s="29"/>
      <c r="F1266" s="255"/>
      <c r="G1266" s="256"/>
      <c r="H1266" s="256"/>
      <c r="I1266" s="200"/>
      <c r="J1266" s="203"/>
      <c r="K1266" s="200"/>
      <c r="L1266" s="200"/>
      <c r="M1266" s="37"/>
      <c r="N1266" s="37"/>
      <c r="O1266" s="153"/>
      <c r="P1266" s="45"/>
      <c r="Q1266" s="54"/>
      <c r="R1266" s="260"/>
      <c r="S1266" s="258"/>
      <c r="T1266" s="258"/>
      <c r="U1266" s="38"/>
      <c r="V1266" s="261"/>
      <c r="W1266" s="256"/>
      <c r="X1266" s="256"/>
      <c r="Y1266" s="256"/>
      <c r="Z1266" s="256"/>
      <c r="AA1266" s="54"/>
      <c r="AB1266" s="200"/>
      <c r="AC1266" s="31"/>
      <c r="AD1266" s="184"/>
      <c r="AE1266" s="51"/>
      <c r="AF1266" s="52"/>
      <c r="AG1266" s="41"/>
      <c r="AH1266" s="45"/>
      <c r="AI1266" s="28"/>
      <c r="AJ1266" s="28"/>
      <c r="AK1266" s="28"/>
      <c r="AL1266" s="28"/>
      <c r="AM1266" s="12"/>
      <c r="AN1266" s="12"/>
      <c r="AO1266" s="12"/>
      <c r="AP1266" s="12"/>
      <c r="AQ1266" s="12"/>
      <c r="AR1266" s="13"/>
      <c r="AS1266" s="14"/>
    </row>
    <row r="1267" spans="1:45" s="16" customFormat="1" ht="30.95" hidden="1" customHeight="1" x14ac:dyDescent="0.2">
      <c r="A1267" s="35"/>
      <c r="B1267" s="36"/>
      <c r="C1267" s="43"/>
      <c r="D1267" s="29">
        <v>3731362</v>
      </c>
      <c r="E1267" s="29">
        <v>4162099</v>
      </c>
      <c r="F1267" s="255" t="str">
        <f>IF(D1267="","",VLOOKUP(D1267,契約台帳!$A$3:$K$4986,6,FALSE)&amp;VLOOKUP(D1267,契約台帳!$A$3:$K$4986,7,FALSE)&amp;VLOOKUP(D1267,契約台帳!$A$3:$K$4986,8,FALSE)&amp;VLOOKUP(D1267,契約台帳!$A$3:$K$4986,9,FALSE)&amp;VLOOKUP(D1267,契約台帳!$A$3:$K$4986,11,FALSE))</f>
        <v>33SSNMCLBTETKFV</v>
      </c>
      <c r="G1267" s="256" t="str">
        <f>IF(D1267="","",VLOOKUP(F1267,製品マスタ!$G$5:$H$4999,2,FALSE))</f>
        <v>S</v>
      </c>
      <c r="H1267" s="256" t="str">
        <f>IF(D1267="","",VLOOKUP(F1267,製品マスタ!$G$5:$K$4999,5,FALSE))</f>
        <v>TETKFV</v>
      </c>
      <c r="I1267" s="200" t="str">
        <f>IF(D1267="","",VLOOKUP(F1267,製品マスタ!$G$5:$L$4999,6,FALSE))</f>
        <v>メタルミー　ＴＥＳ艶開封　Ｖ</v>
      </c>
      <c r="J1267" s="203" t="s">
        <v>935</v>
      </c>
      <c r="K1267" s="200">
        <f>IF(D1267="","",VLOOKUP(D1267,契約台帳!$A$3:$L$4986,12,FALSE))</f>
        <v>50</v>
      </c>
      <c r="L1267" s="200" t="str">
        <f>IF(D1267="","",INDEX(製品マスタ!$Q$5:$Q$4999,MATCH('S4'!F1267&amp;'S4'!K1267,製品マスタ!$AO$5:$AO$4999,0)))</f>
        <v>S28SEPA</v>
      </c>
      <c r="M1267" s="37">
        <v>1005</v>
      </c>
      <c r="N1267" s="37">
        <v>4100</v>
      </c>
      <c r="O1267" s="153">
        <v>2</v>
      </c>
      <c r="P1267" s="45">
        <v>2</v>
      </c>
      <c r="Q1267" s="206">
        <v>45238</v>
      </c>
      <c r="R1267" s="257">
        <f ca="1">IF(D1267="","",IF(OFFSET(D1267,-1,0)&lt;&gt;"","",IF(OR(J1267="リード付け",J1267="巻足し",J1267="巻返しリード付け"),M1267,VLOOKUP(D1267,契約台帳!$A$3:$N$4986,14,FALSE))))</f>
        <v>1005</v>
      </c>
      <c r="S1267" s="258">
        <f ca="1">IF(D1267="","",IF(OFFSET(D1267,-1,0)&lt;&gt;"","",IF(OR(J1267="リード付け",J1267="巻足し",J1267="巻返しリード付け"),M1267,VLOOKUP(D1267,契約台帳!$A$3:$O$4986,15,FALSE))))</f>
        <v>1005</v>
      </c>
      <c r="T1267" s="258">
        <f ca="1">IF(D1267="","",IF(J1267="リード付け",N1267,IF(J1267="巻返しリード付け",N1267,IF(J1267="巻足し",N1267*P1267+OFFSET(N1267,1,0)*OFFSET(P1267,1,0),VLOOKUP(D1267,契約台帳!$A$3:$P$4986,16,FALSE)))))</f>
        <v>8200</v>
      </c>
      <c r="U1267" s="38">
        <v>1</v>
      </c>
      <c r="V1267" s="259">
        <f ca="1">IF(D1267="","",IF(OFFSET(D1267,-2,0)=D1267,"",VLOOKUP(D1267,契約台帳!$A$3:$R$4986,18,FALSE)))</f>
        <v>2</v>
      </c>
      <c r="W1267" s="256" t="str">
        <f ca="1">IF(D1267="","",IF(T1267="","",IF(OR(J1267="巻足し",J1267="巻返しリード付け"),"",IF(J1267="巻返し",VLOOKUP(F1267&amp;K1267&amp;M1267,製品マスタ!$M$5:$AD$4999,18,FALSE),IF(OR(J1267="リード付け",J1267="巻返しリード付け"),"原反コア",IF(J1267="スリット",VLOOKUP(F1267&amp;K1267&amp;R1267,製品マスタ!$N$5:$AD$4999,17,FALSE),""))))))</f>
        <v/>
      </c>
      <c r="X1267" s="256" t="str">
        <f ca="1">IF(D1267="","",IF(T1267="","",IF(J1267="巻足し","",IF(J1267="巻返し",VLOOKUP(F1267&amp;K1267&amp;M1267,製品マスタ!$M$5:$AE$4999,19,FALSE),IF(OR(J1267="リード付け",J1267="巻返しリード付け"),"",IF(J1267="スリット",VLOOKUP(F1267&amp;K1267&amp;R1267,製品マスタ!$N$5:$AE$4999,18,FALSE),""))))))</f>
        <v/>
      </c>
      <c r="Y1267" s="256">
        <f ca="1">IF(D1267="","",IF(T1267="","",VLOOKUP(D1267,契約台帳!$A$3:$Q$4986,17,FALSE)))</f>
        <v>2</v>
      </c>
      <c r="Z1267" s="256" t="str">
        <f ca="1">IF(D1267="","",IF(T1267="","",VLOOKUP(D1267,契約台帳!$A$3:$E$4986,5,FALSE)))</f>
        <v>リンテック㈱</v>
      </c>
      <c r="AA1267" s="54"/>
      <c r="AB1267" s="200">
        <f>IFERROR((VLOOKUP(F1267&amp;K1267&amp;M1267,製品マスタ!$M$5:$AM$4999,27,FALSE)),"")</f>
        <v>0</v>
      </c>
      <c r="AC1267" s="31"/>
      <c r="AD1267" s="184"/>
      <c r="AE1267" s="51"/>
      <c r="AF1267" s="52">
        <f>+M1267*N1267*O1267/1000</f>
        <v>8241</v>
      </c>
      <c r="AG1267" s="41"/>
      <c r="AH1267" s="45"/>
      <c r="AI1267" s="28"/>
      <c r="AJ1267" s="28"/>
      <c r="AK1267" s="28"/>
      <c r="AL1267" s="28"/>
      <c r="AM1267" s="12"/>
      <c r="AN1267" s="12"/>
      <c r="AO1267" s="12"/>
      <c r="AP1267" s="12"/>
      <c r="AQ1267" s="12"/>
      <c r="AR1267" s="13"/>
      <c r="AS1267" s="14"/>
    </row>
    <row r="1268" spans="1:45" s="16" customFormat="1" ht="30.95" hidden="1" customHeight="1" x14ac:dyDescent="0.2">
      <c r="A1268" s="35"/>
      <c r="B1268" s="36"/>
      <c r="C1268" s="43"/>
      <c r="D1268" s="29"/>
      <c r="E1268" s="29"/>
      <c r="F1268" s="255"/>
      <c r="G1268" s="256"/>
      <c r="H1268" s="256"/>
      <c r="I1268" s="200"/>
      <c r="J1268" s="203"/>
      <c r="K1268" s="200"/>
      <c r="L1268" s="200"/>
      <c r="M1268" s="37"/>
      <c r="N1268" s="37"/>
      <c r="O1268" s="153"/>
      <c r="P1268" s="45"/>
      <c r="Q1268" s="54"/>
      <c r="R1268" s="260"/>
      <c r="S1268" s="258"/>
      <c r="T1268" s="258"/>
      <c r="U1268" s="38"/>
      <c r="V1268" s="261"/>
      <c r="W1268" s="256"/>
      <c r="X1268" s="256"/>
      <c r="Y1268" s="256"/>
      <c r="Z1268" s="256"/>
      <c r="AA1268" s="54"/>
      <c r="AB1268" s="200"/>
      <c r="AC1268" s="31"/>
      <c r="AD1268" s="184"/>
      <c r="AE1268" s="51"/>
      <c r="AF1268" s="52"/>
      <c r="AG1268" s="41"/>
      <c r="AH1268" s="45"/>
      <c r="AI1268" s="28"/>
      <c r="AJ1268" s="28"/>
      <c r="AK1268" s="28"/>
      <c r="AL1268" s="28"/>
      <c r="AM1268" s="12"/>
      <c r="AN1268" s="12"/>
      <c r="AO1268" s="12"/>
      <c r="AP1268" s="12"/>
      <c r="AQ1268" s="12"/>
      <c r="AR1268" s="13"/>
      <c r="AS1268" s="14"/>
    </row>
    <row r="1269" spans="1:45" s="16" customFormat="1" ht="30.95" hidden="1" customHeight="1" x14ac:dyDescent="0.2">
      <c r="A1269" s="35"/>
      <c r="B1269" s="36"/>
      <c r="C1269" s="43"/>
      <c r="D1269" s="29">
        <v>3732679</v>
      </c>
      <c r="E1269" s="29">
        <v>4162141</v>
      </c>
      <c r="F1269" s="255" t="str">
        <f>IF(D1269="","",VLOOKUP(D1269,契約台帳!$A$3:$K$4986,6,FALSE)&amp;VLOOKUP(D1269,契約台帳!$A$3:$K$4986,7,FALSE)&amp;VLOOKUP(D1269,契約台帳!$A$3:$K$4986,8,FALSE)&amp;VLOOKUP(D1269,契約台帳!$A$3:$K$4986,9,FALSE)&amp;VLOOKUP(D1269,契約台帳!$A$3:$K$4986,11,FALSE))</f>
        <v>3TNMCLBHLGKJV</v>
      </c>
      <c r="G1269" s="256" t="str">
        <f>IF(D1269="","",VLOOKUP(F1269,製品マスタ!$G$5:$H$4999,2,FALSE))</f>
        <v>T</v>
      </c>
      <c r="H1269" s="256" t="str">
        <f>IF(D1269="","",VLOOKUP(F1269,製品マスタ!$G$5:$K$4999,5,FALSE))</f>
        <v>HLGKJV</v>
      </c>
      <c r="I1269" s="200" t="str">
        <f>IF(D1269="","",VLOOKUP(F1269,製品マスタ!$G$5:$L$4999,6,FALSE))</f>
        <v>メタルミー　ヘヤライン　銀消Ｖ</v>
      </c>
      <c r="J1269" s="203" t="s">
        <v>935</v>
      </c>
      <c r="K1269" s="200">
        <f>IF(D1269="","",VLOOKUP(D1269,契約台帳!$A$3:$L$4986,12,FALSE))</f>
        <v>50</v>
      </c>
      <c r="L1269" s="200" t="str">
        <f>IF(D1269="","",INDEX(製品マスタ!$Q$5:$Q$4999,MATCH('S4'!F1269&amp;'S4'!K1269,製品マスタ!$AO$5:$AO$4999,0)))</f>
        <v>HL-MAT</v>
      </c>
      <c r="M1269" s="37">
        <v>1005</v>
      </c>
      <c r="N1269" s="37">
        <v>4000</v>
      </c>
      <c r="O1269" s="153">
        <v>2</v>
      </c>
      <c r="P1269" s="45">
        <v>2</v>
      </c>
      <c r="Q1269" s="206">
        <v>45237</v>
      </c>
      <c r="R1269" s="257">
        <f ca="1">IF(D1269="","",IF(OFFSET(D1269,-1,0)&lt;&gt;"","",IF(OR(J1269="リード付け",J1269="巻足し",J1269="巻返しリード付け"),M1269,VLOOKUP(D1269,契約台帳!$A$3:$N$4986,14,FALSE))))</f>
        <v>1005</v>
      </c>
      <c r="S1269" s="258">
        <f ca="1">IF(D1269="","",IF(OFFSET(D1269,-1,0)&lt;&gt;"","",IF(OR(J1269="リード付け",J1269="巻足し",J1269="巻返しリード付け"),M1269,VLOOKUP(D1269,契約台帳!$A$3:$O$4986,15,FALSE))))</f>
        <v>1005</v>
      </c>
      <c r="T1269" s="258">
        <f ca="1">IF(D1269="","",IF(J1269="リード付け",N1269,IF(J1269="巻返しリード付け",N1269,IF(J1269="巻足し",N1269*P1269+OFFSET(N1269,1,0)*OFFSET(P1269,1,0),VLOOKUP(D1269,契約台帳!$A$3:$P$4986,16,FALSE)))))</f>
        <v>8000</v>
      </c>
      <c r="U1269" s="38">
        <v>1</v>
      </c>
      <c r="V1269" s="259">
        <f ca="1">IF(D1269="","",IF(OFFSET(D1269,-2,0)=D1269,"",VLOOKUP(D1269,契約台帳!$A$3:$R$4986,18,FALSE)))</f>
        <v>2</v>
      </c>
      <c r="W1269" s="256" t="str">
        <f ca="1">IF(D1269="","",IF(T1269="","",IF(OR(J1269="巻足し",J1269="巻返しリード付け"),"",IF(J1269="巻返し",VLOOKUP(F1269&amp;K1269&amp;M1269,製品マスタ!$M$5:$AD$4999,18,FALSE),IF(OR(J1269="リード付け",J1269="巻返しリード付け"),"原反コア",IF(J1269="スリット",VLOOKUP(F1269&amp;K1269&amp;R1269,製品マスタ!$N$5:$AD$4999,17,FALSE),""))))))</f>
        <v/>
      </c>
      <c r="X1269" s="256" t="str">
        <f ca="1">IF(D1269="","",IF(T1269="","",IF(J1269="巻足し","",IF(J1269="巻返し",VLOOKUP(F1269&amp;K1269&amp;M1269,製品マスタ!$M$5:$AE$4999,19,FALSE),IF(OR(J1269="リード付け",J1269="巻返しリード付け"),"",IF(J1269="スリット",VLOOKUP(F1269&amp;K1269&amp;R1269,製品マスタ!$N$5:$AE$4999,18,FALSE),""))))))</f>
        <v/>
      </c>
      <c r="Y1269" s="256">
        <f ca="1">IF(D1269="","",IF(T1269="","",VLOOKUP(D1269,契約台帳!$A$3:$Q$4986,17,FALSE)))</f>
        <v>2</v>
      </c>
      <c r="Z1269" s="256" t="str">
        <f ca="1">IF(D1269="","",IF(T1269="","",VLOOKUP(D1269,契約台帳!$A$3:$E$4986,5,FALSE)))</f>
        <v>リンテック㈱</v>
      </c>
      <c r="AA1269" s="54"/>
      <c r="AB1269" s="200" t="s">
        <v>774</v>
      </c>
      <c r="AC1269" s="31"/>
      <c r="AD1269" s="184"/>
      <c r="AE1269" s="51"/>
      <c r="AF1269" s="52">
        <f>+M1269*N1269*O1269/1000</f>
        <v>8040</v>
      </c>
      <c r="AG1269" s="41"/>
      <c r="AH1269" s="45"/>
      <c r="AI1269" s="28"/>
      <c r="AJ1269" s="28"/>
      <c r="AK1269" s="28"/>
      <c r="AL1269" s="28"/>
      <c r="AM1269" s="12"/>
      <c r="AN1269" s="12"/>
      <c r="AO1269" s="12"/>
      <c r="AP1269" s="12"/>
      <c r="AQ1269" s="12"/>
      <c r="AR1269" s="13"/>
      <c r="AS1269" s="14"/>
    </row>
    <row r="1270" spans="1:45" s="16" customFormat="1" ht="30.95" hidden="1" customHeight="1" x14ac:dyDescent="0.2">
      <c r="A1270" s="35"/>
      <c r="B1270" s="36"/>
      <c r="C1270" s="43"/>
      <c r="D1270" s="29"/>
      <c r="E1270" s="29"/>
      <c r="F1270" s="255"/>
      <c r="G1270" s="256"/>
      <c r="H1270" s="256"/>
      <c r="I1270" s="200"/>
      <c r="J1270" s="203"/>
      <c r="K1270" s="200"/>
      <c r="L1270" s="200"/>
      <c r="M1270" s="37"/>
      <c r="N1270" s="37"/>
      <c r="O1270" s="153"/>
      <c r="P1270" s="45"/>
      <c r="Q1270" s="54"/>
      <c r="R1270" s="260"/>
      <c r="S1270" s="258"/>
      <c r="T1270" s="258"/>
      <c r="U1270" s="38"/>
      <c r="V1270" s="261"/>
      <c r="W1270" s="256"/>
      <c r="X1270" s="256"/>
      <c r="Y1270" s="256"/>
      <c r="Z1270" s="256"/>
      <c r="AA1270" s="54"/>
      <c r="AB1270" s="200"/>
      <c r="AC1270" s="31"/>
      <c r="AD1270" s="184"/>
      <c r="AE1270" s="51"/>
      <c r="AF1270" s="52"/>
      <c r="AG1270" s="41"/>
      <c r="AH1270" s="45"/>
      <c r="AI1270" s="28"/>
      <c r="AJ1270" s="28"/>
      <c r="AK1270" s="28"/>
      <c r="AL1270" s="28"/>
      <c r="AM1270" s="12"/>
      <c r="AN1270" s="12"/>
      <c r="AO1270" s="12"/>
      <c r="AP1270" s="12"/>
      <c r="AQ1270" s="12"/>
      <c r="AR1270" s="13"/>
      <c r="AS1270" s="14"/>
    </row>
    <row r="1271" spans="1:45" s="16" customFormat="1" ht="30.6" hidden="1" customHeight="1" x14ac:dyDescent="0.2">
      <c r="A1271" s="35"/>
      <c r="B1271" s="36"/>
      <c r="C1271" s="43"/>
      <c r="D1271" s="29">
        <v>3732681</v>
      </c>
      <c r="E1271" s="29">
        <v>4162142</v>
      </c>
      <c r="F1271" s="255" t="str">
        <f>IF(D1271="","",VLOOKUP(D1271,契約台帳!$A$3:$K$4986,6,FALSE)&amp;VLOOKUP(D1271,契約台帳!$A$3:$K$4986,7,FALSE)&amp;VLOOKUP(D1271,契約台帳!$A$3:$K$4986,8,FALSE)&amp;VLOOKUP(D1271,契約台帳!$A$3:$K$4986,9,FALSE)&amp;VLOOKUP(D1271,契約台帳!$A$3:$K$4986,11,FALSE))</f>
        <v>3TNMCLBHLGTV</v>
      </c>
      <c r="G1271" s="256" t="str">
        <f>IF(D1271="","",VLOOKUP(F1271,製品マスタ!$G$5:$H$4999,2,FALSE))</f>
        <v>T</v>
      </c>
      <c r="H1271" s="256" t="str">
        <f>IF(D1271="","",VLOOKUP(F1271,製品マスタ!$G$5:$K$4999,5,FALSE))</f>
        <v>HLGTV</v>
      </c>
      <c r="I1271" s="200" t="str">
        <f>IF(D1271="","",VLOOKUP(F1271,製品マスタ!$G$5:$L$4999,6,FALSE))</f>
        <v>メタルミー　ヘヤライン　銀艶Ｖ</v>
      </c>
      <c r="J1271" s="203" t="s">
        <v>574</v>
      </c>
      <c r="K1271" s="200">
        <f>IF(D1271="","",VLOOKUP(D1271,契約台帳!$A$3:$L$4986,12,FALSE))</f>
        <v>25</v>
      </c>
      <c r="L1271" s="200" t="s">
        <v>178</v>
      </c>
      <c r="M1271" s="37">
        <v>1005</v>
      </c>
      <c r="N1271" s="37">
        <v>8000</v>
      </c>
      <c r="O1271" s="153">
        <v>1</v>
      </c>
      <c r="P1271" s="45">
        <v>1</v>
      </c>
      <c r="Q1271" s="206">
        <v>45239</v>
      </c>
      <c r="R1271" s="257">
        <f ca="1">IF(D1271="","",IF(OFFSET(D1271,-1,0)&lt;&gt;"","",IF(OR(J1271="リード付け",J1271="巻足し",J1271="巻返しリード付け"),M1271,VLOOKUP(D1271,契約台帳!$A$3:$N$4986,14,FALSE))))</f>
        <v>1005</v>
      </c>
      <c r="S1271" s="258">
        <f ca="1">IF(D1271="","",IF(OFFSET(D1271,-1,0)&lt;&gt;"","",IF(OR(J1271="リード付け",J1271="巻足し",J1271="巻返しリード付け"),M1271,VLOOKUP(D1271,契約台帳!$A$3:$O$4986,15,FALSE))))</f>
        <v>1005</v>
      </c>
      <c r="T1271" s="258">
        <f ca="1">IF(D1271="","",IF(J1271="リード付け",N1271,IF(J1271="巻返しリード付け",N1271,IF(J1271="巻足し",N1271*P1271+OFFSET(N1271,1,0)*OFFSET(P1271,1,0),VLOOKUP(D1271,契約台帳!$A$3:$P$4986,16,FALSE)))))</f>
        <v>8000</v>
      </c>
      <c r="U1271" s="38">
        <v>1</v>
      </c>
      <c r="V1271" s="259">
        <f ca="1">IF(D1271="","",IF(OFFSET(D1271,-2,0)=D1271,"",VLOOKUP(D1271,契約台帳!$A$3:$R$4986,18,FALSE)))</f>
        <v>4</v>
      </c>
      <c r="W1271" s="256" t="str">
        <f ca="1">IF(D1271="","",IF(T1271="","",IF(OR(J1271="巻足し",J1271="巻返しリード付け"),"",IF(J1271="巻返し",VLOOKUP(F1271&amp;K1271&amp;M1271,製品マスタ!$M$5:$AD$4999,18,FALSE),IF(OR(J1271="リード付け",J1271="巻返しリード付け"),"原反コア",IF(J1271="スリット",VLOOKUP(F1271&amp;K1271&amp;R1271,製品マスタ!$N$5:$AD$4999,17,FALSE),""))))))</f>
        <v/>
      </c>
      <c r="X1271" s="256" t="str">
        <f ca="1">IF(D1271="","",IF(T1271="","",IF(J1271="巻足し","",IF(J1271="巻返し",VLOOKUP(F1271&amp;K1271&amp;M1271,製品マスタ!$M$5:$AE$4999,19,FALSE),IF(OR(J1271="リード付け",J1271="巻返しリード付け"),"",IF(J1271="スリット",VLOOKUP(F1271&amp;K1271&amp;R1271,製品マスタ!$N$5:$AE$4999,18,FALSE),""))))))</f>
        <v/>
      </c>
      <c r="Y1271" s="256">
        <f ca="1">IF(D1271="","",IF(T1271="","",VLOOKUP(D1271,契約台帳!$A$3:$Q$4986,17,FALSE)))</f>
        <v>2</v>
      </c>
      <c r="Z1271" s="256" t="str">
        <f ca="1">IF(D1271="","",IF(T1271="","",VLOOKUP(D1271,契約台帳!$A$3:$E$4986,5,FALSE)))</f>
        <v>リンテック㈱</v>
      </c>
      <c r="AA1271" s="54"/>
      <c r="AB1271" s="200" t="s">
        <v>774</v>
      </c>
      <c r="AC1271" s="31"/>
      <c r="AD1271" s="184"/>
      <c r="AE1271" s="51"/>
      <c r="AF1271" s="52">
        <f>+M1271*N1271*O1271/1000</f>
        <v>8040</v>
      </c>
      <c r="AG1271" s="41"/>
      <c r="AH1271" s="45"/>
      <c r="AI1271" s="28"/>
      <c r="AJ1271" s="28"/>
      <c r="AK1271" s="28"/>
      <c r="AL1271" s="28"/>
      <c r="AM1271" s="12"/>
      <c r="AN1271" s="12"/>
      <c r="AO1271" s="12"/>
      <c r="AP1271" s="12"/>
      <c r="AQ1271" s="12"/>
      <c r="AR1271" s="13"/>
      <c r="AS1271" s="14"/>
    </row>
    <row r="1272" spans="1:45" s="16" customFormat="1" ht="30.95" hidden="1" customHeight="1" x14ac:dyDescent="0.2">
      <c r="A1272" s="35"/>
      <c r="B1272" s="36"/>
      <c r="C1272" s="43"/>
      <c r="D1272" s="29"/>
      <c r="E1272" s="29"/>
      <c r="F1272" s="255"/>
      <c r="G1272" s="256"/>
      <c r="H1272" s="256"/>
      <c r="I1272" s="200"/>
      <c r="J1272" s="203"/>
      <c r="K1272" s="200"/>
      <c r="L1272" s="200"/>
      <c r="M1272" s="37"/>
      <c r="N1272" s="37"/>
      <c r="O1272" s="153"/>
      <c r="P1272" s="45"/>
      <c r="Q1272" s="54"/>
      <c r="R1272" s="260"/>
      <c r="S1272" s="258"/>
      <c r="T1272" s="258"/>
      <c r="U1272" s="38"/>
      <c r="V1272" s="261"/>
      <c r="W1272" s="256"/>
      <c r="X1272" s="256"/>
      <c r="Y1272" s="256"/>
      <c r="Z1272" s="256"/>
      <c r="AA1272" s="54"/>
      <c r="AB1272" s="200"/>
      <c r="AC1272" s="31"/>
      <c r="AD1272" s="184"/>
      <c r="AE1272" s="51"/>
      <c r="AF1272" s="52"/>
      <c r="AG1272" s="41"/>
      <c r="AH1272" s="45"/>
      <c r="AI1272" s="28"/>
      <c r="AJ1272" s="28"/>
      <c r="AK1272" s="28"/>
      <c r="AL1272" s="28"/>
      <c r="AM1272" s="12"/>
      <c r="AN1272" s="12"/>
      <c r="AO1272" s="12"/>
      <c r="AP1272" s="12"/>
      <c r="AQ1272" s="12"/>
      <c r="AR1272" s="13"/>
      <c r="AS1272" s="14"/>
    </row>
    <row r="1273" spans="1:45" s="16" customFormat="1" ht="30.95" hidden="1" customHeight="1" x14ac:dyDescent="0.2">
      <c r="A1273" s="35"/>
      <c r="B1273" s="36"/>
      <c r="C1273" s="43"/>
      <c r="D1273" s="29">
        <v>3731347</v>
      </c>
      <c r="E1273" s="29">
        <v>4162105</v>
      </c>
      <c r="F1273" s="255" t="str">
        <f>IF(D1273="","",VLOOKUP(D1273,契約台帳!$A$3:$K$4986,6,FALSE)&amp;VLOOKUP(D1273,契約台帳!$A$3:$K$4986,7,FALSE)&amp;VLOOKUP(D1273,契約台帳!$A$3:$K$4986,8,FALSE)&amp;VLOOKUP(D1273,契約台帳!$A$3:$K$4986,9,FALSE)&amp;VLOOKUP(D1273,契約台帳!$A$3:$K$4986,11,FALSE))</f>
        <v>3SNMLBMNGKKBF</v>
      </c>
      <c r="G1273" s="256" t="str">
        <f>IF(D1273="","",VLOOKUP(F1273,製品マスタ!$G$5:$H$4999,2,FALSE))</f>
        <v>S</v>
      </c>
      <c r="H1273" s="256" t="str">
        <f>IF(D1273="","",VLOOKUP(F1273,製品マスタ!$G$5:$K$4999,5,FALSE))</f>
        <v>MNGKKBF</v>
      </c>
      <c r="I1273" s="200" t="str">
        <f>IF(D1273="","",VLOOKUP(F1273,製品マスタ!$G$5:$L$4999,6,FALSE))</f>
        <v>メタルミー　ネーマー銀消改　Ｂ</v>
      </c>
      <c r="J1273" s="203" t="s">
        <v>935</v>
      </c>
      <c r="K1273" s="200">
        <f>IF(D1273="","",VLOOKUP(D1273,契約台帳!$A$3:$L$4986,12,FALSE))</f>
        <v>25</v>
      </c>
      <c r="L1273" s="200" t="str">
        <f>IF(D1273="","",INDEX(製品マスタ!$Q$5:$Q$4999,MATCH('S4'!F1273&amp;'S4'!K1273,製品マスタ!$AO$5:$AO$4999,0)))</f>
        <v>FMATS99</v>
      </c>
      <c r="M1273" s="37">
        <v>1000</v>
      </c>
      <c r="N1273" s="37">
        <v>4000</v>
      </c>
      <c r="O1273" s="153">
        <v>2</v>
      </c>
      <c r="P1273" s="45">
        <v>2</v>
      </c>
      <c r="Q1273" s="206">
        <v>45239</v>
      </c>
      <c r="R1273" s="257">
        <f ca="1">IF(D1273="","",IF(OFFSET(D1273,-1,0)&lt;&gt;"","",IF(OR(J1273="リード付け",J1273="巻足し",J1273="巻返しリード付け"),M1273,VLOOKUP(D1273,契約台帳!$A$3:$N$4986,14,FALSE))))</f>
        <v>1000</v>
      </c>
      <c r="S1273" s="258">
        <f ca="1">IF(D1273="","",IF(OFFSET(D1273,-1,0)&lt;&gt;"","",IF(OR(J1273="リード付け",J1273="巻足し",J1273="巻返しリード付け"),M1273,VLOOKUP(D1273,契約台帳!$A$3:$O$4986,15,FALSE))))</f>
        <v>1000</v>
      </c>
      <c r="T1273" s="258">
        <f ca="1">IF(D1273="","",IF(J1273="リード付け",N1273,IF(J1273="巻返しリード付け",N1273,IF(J1273="巻足し",N1273*P1273+OFFSET(N1273,1,0)*OFFSET(P1273,1,0),VLOOKUP(D1273,契約台帳!$A$3:$P$4986,16,FALSE)))))</f>
        <v>8000</v>
      </c>
      <c r="U1273" s="38">
        <v>1</v>
      </c>
      <c r="V1273" s="259">
        <f ca="1">IF(D1273="","",IF(OFFSET(D1273,-2,0)=D1273,"",VLOOKUP(D1273,契約台帳!$A$3:$R$4986,18,FALSE)))</f>
        <v>2</v>
      </c>
      <c r="W1273" s="256" t="str">
        <f ca="1">IF(D1273="","",IF(T1273="","",IF(OR(J1273="巻足し",J1273="巻返しリード付け"),"",IF(J1273="巻返し",VLOOKUP(F1273&amp;K1273&amp;M1273,製品マスタ!$M$5:$AD$4999,18,FALSE),IF(OR(J1273="リード付け",J1273="巻返しリード付け"),"原反コア",IF(J1273="スリット",VLOOKUP(F1273&amp;K1273&amp;R1273,製品マスタ!$N$5:$AD$4999,17,FALSE),""))))))</f>
        <v/>
      </c>
      <c r="X1273" s="256" t="str">
        <f ca="1">IF(D1273="","",IF(T1273="","",IF(J1273="巻足し","",IF(J1273="巻返し",VLOOKUP(F1273&amp;K1273&amp;M1273,製品マスタ!$M$5:$AE$4999,19,FALSE),IF(OR(J1273="リード付け",J1273="巻返しリード付け"),"",IF(J1273="スリット",VLOOKUP(F1273&amp;K1273&amp;R1273,製品マスタ!$N$5:$AE$4999,18,FALSE),""))))))</f>
        <v/>
      </c>
      <c r="Y1273" s="256">
        <f ca="1">IF(D1273="","",IF(T1273="","",VLOOKUP(D1273,契約台帳!$A$3:$Q$4986,17,FALSE)))</f>
        <v>2</v>
      </c>
      <c r="Z1273" s="256" t="str">
        <f ca="1">IF(D1273="","",IF(T1273="","",VLOOKUP(D1273,契約台帳!$A$3:$E$4986,5,FALSE)))</f>
        <v>リンテック㈱</v>
      </c>
      <c r="AA1273" s="54"/>
      <c r="AB1273" s="200">
        <f>IFERROR((VLOOKUP(F1273&amp;K1273&amp;M1273,製品マスタ!$M$5:$AM$4999,27,FALSE)),"")</f>
        <v>0</v>
      </c>
      <c r="AC1273" s="31"/>
      <c r="AD1273" s="184"/>
      <c r="AE1273" s="51"/>
      <c r="AF1273" s="52">
        <f>+M1273*N1273*O1273/1000</f>
        <v>8000</v>
      </c>
      <c r="AG1273" s="41"/>
      <c r="AH1273" s="45"/>
      <c r="AI1273" s="28"/>
      <c r="AJ1273" s="28"/>
      <c r="AK1273" s="28"/>
      <c r="AL1273" s="28"/>
      <c r="AM1273" s="12"/>
      <c r="AN1273" s="12"/>
      <c r="AO1273" s="12"/>
      <c r="AP1273" s="12"/>
      <c r="AQ1273" s="12"/>
      <c r="AR1273" s="13"/>
      <c r="AS1273" s="14"/>
    </row>
    <row r="1274" spans="1:45" s="16" customFormat="1" ht="30.95" hidden="1" customHeight="1" x14ac:dyDescent="0.2">
      <c r="A1274" s="35"/>
      <c r="B1274" s="36"/>
      <c r="C1274" s="43"/>
      <c r="D1274" s="29"/>
      <c r="E1274" s="29"/>
      <c r="F1274" s="255"/>
      <c r="G1274" s="256"/>
      <c r="H1274" s="256"/>
      <c r="I1274" s="200"/>
      <c r="J1274" s="203"/>
      <c r="K1274" s="200"/>
      <c r="L1274" s="200"/>
      <c r="M1274" s="37"/>
      <c r="N1274" s="37"/>
      <c r="O1274" s="153"/>
      <c r="P1274" s="45"/>
      <c r="Q1274" s="54"/>
      <c r="R1274" s="260"/>
      <c r="S1274" s="258"/>
      <c r="T1274" s="258"/>
      <c r="U1274" s="38"/>
      <c r="V1274" s="261"/>
      <c r="W1274" s="256"/>
      <c r="X1274" s="256"/>
      <c r="Y1274" s="256"/>
      <c r="Z1274" s="256"/>
      <c r="AA1274" s="54"/>
      <c r="AB1274" s="200"/>
      <c r="AC1274" s="31"/>
      <c r="AD1274" s="184"/>
      <c r="AE1274" s="51"/>
      <c r="AF1274" s="52"/>
      <c r="AG1274" s="41"/>
      <c r="AH1274" s="45"/>
      <c r="AI1274" s="28"/>
      <c r="AJ1274" s="28"/>
      <c r="AK1274" s="28"/>
      <c r="AL1274" s="28"/>
      <c r="AM1274" s="12"/>
      <c r="AN1274" s="12"/>
      <c r="AO1274" s="12"/>
      <c r="AP1274" s="12"/>
      <c r="AQ1274" s="12"/>
      <c r="AR1274" s="13"/>
      <c r="AS1274" s="14"/>
    </row>
    <row r="1275" spans="1:45" s="16" customFormat="1" ht="30.95" hidden="1" customHeight="1" x14ac:dyDescent="0.2">
      <c r="A1275" s="35"/>
      <c r="B1275" s="36"/>
      <c r="C1275" s="43"/>
      <c r="D1275" s="29">
        <v>3732871</v>
      </c>
      <c r="E1275" s="29">
        <v>4162148</v>
      </c>
      <c r="F1275" s="255" t="str">
        <f>IF(D1275="","",VLOOKUP(D1275,契約台帳!$A$3:$K$4986,6,FALSE)&amp;VLOOKUP(D1275,契約台帳!$A$3:$K$4986,7,FALSE)&amp;VLOOKUP(D1275,契約台帳!$A$3:$K$4986,8,FALSE)&amp;VLOOKUP(D1275,契約台帳!$A$3:$K$4986,9,FALSE)&amp;VLOOKUP(D1275,契約台帳!$A$3:$K$4986,11,FALSE))</f>
        <v>3HSNMLBMTSF</v>
      </c>
      <c r="G1275" s="256" t="str">
        <f>IF(D1275="","",VLOOKUP(F1275,製品マスタ!$G$5:$H$4999,2,FALSE))</f>
        <v>S</v>
      </c>
      <c r="H1275" s="256" t="str">
        <f>IF(D1275="","",VLOOKUP(F1275,製品マスタ!$G$5:$K$4999,5,FALSE))</f>
        <v>MTSF</v>
      </c>
      <c r="I1275" s="200" t="str">
        <f>IF(D1275="","",VLOOKUP(F1275,製品マスタ!$G$5:$L$4999,6,FALSE))</f>
        <v>メタルミー　ＴＳ</v>
      </c>
      <c r="J1275" s="203" t="s">
        <v>464</v>
      </c>
      <c r="K1275" s="200">
        <f>IF(D1275="","",VLOOKUP(D1275,契約台帳!$A$3:$L$4986,12,FALSE))</f>
        <v>50</v>
      </c>
      <c r="L1275" s="200" t="str">
        <f>IF(D1275="","",INDEX(製品マスタ!$Q$5:$Q$4999,MATCH('S4'!F1275&amp;'S4'!K1275,製品マスタ!$AO$5:$AO$4999,0)))</f>
        <v>T62M</v>
      </c>
      <c r="M1275" s="37">
        <v>1195</v>
      </c>
      <c r="N1275" s="37">
        <v>6100</v>
      </c>
      <c r="O1275" s="153">
        <v>1</v>
      </c>
      <c r="P1275" s="45">
        <v>1</v>
      </c>
      <c r="Q1275" s="206">
        <v>45238</v>
      </c>
      <c r="R1275" s="257">
        <f ca="1">IF(D1275="","",IF(OFFSET(D1275,-1,0)&lt;&gt;"","",IF(OR(J1275="リード付け",J1275="巻足し",J1275="巻返しリード付け"),M1275,VLOOKUP(D1275,契約台帳!$A$3:$N$4986,14,FALSE))))</f>
        <v>1195</v>
      </c>
      <c r="S1275" s="258">
        <f ca="1">IF(D1275="","",IF(OFFSET(D1275,-1,0)&lt;&gt;"","",IF(OR(J1275="リード付け",J1275="巻足し",J1275="巻返しリード付け"),M1275,VLOOKUP(D1275,契約台帳!$A$3:$O$4986,15,FALSE))))</f>
        <v>1195</v>
      </c>
      <c r="T1275" s="258">
        <f ca="1">IF(D1275="","",IF(J1275="リード付け",N1275,IF(J1275="巻返しリード付け",N1275,IF(J1275="巻足し",N1275*P1275+OFFSET(N1275,1,0)*OFFSET(P1275,1,0),VLOOKUP(D1275,契約台帳!$A$3:$P$4986,16,FALSE)))))</f>
        <v>6100</v>
      </c>
      <c r="U1275" s="38">
        <v>1</v>
      </c>
      <c r="V1275" s="259">
        <f ca="1">IF(D1275="","",IF(OFFSET(D1275,-2,0)=D1275,"",VLOOKUP(D1275,契約台帳!$A$3:$R$4986,18,FALSE)))</f>
        <v>6</v>
      </c>
      <c r="W1275" s="256" t="str">
        <f ca="1">IF(D1275="","",IF(T1275="","",IF(OR(J1275="巻足し",J1275="巻返しリード付け"),"",IF(J1275="巻返し",VLOOKUP(F1275&amp;K1275&amp;M1275,製品マスタ!$M$5:$AD$4999,18,FALSE),IF(OR(J1275="リード付け",J1275="巻返しリード付け"),"原反コア",IF(J1275="スリット",VLOOKUP(F1275&amp;K1275&amp;R1275,製品マスタ!$N$5:$AD$4999,17,FALSE),""))))))</f>
        <v>原反コア</v>
      </c>
      <c r="X1275" s="256" t="str">
        <f ca="1">IF(D1275="","",IF(T1275="","",IF(J1275="巻足し","",IF(J1275="巻返し",VLOOKUP(F1275&amp;K1275&amp;M1275,製品マスタ!$M$5:$AE$4999,19,FALSE),IF(OR(J1275="リード付け",J1275="巻返しリード付け"),"",IF(J1275="スリット",VLOOKUP(F1275&amp;K1275&amp;R1275,製品マスタ!$N$5:$AE$4999,18,FALSE),""))))))</f>
        <v/>
      </c>
      <c r="Y1275" s="256">
        <f ca="1">IF(D1275="","",IF(T1275="","",VLOOKUP(D1275,契約台帳!$A$3:$Q$4986,17,FALSE)))</f>
        <v>2</v>
      </c>
      <c r="Z1275" s="256" t="str">
        <f ca="1">IF(D1275="","",IF(T1275="","",VLOOKUP(D1275,契約台帳!$A$3:$E$4986,5,FALSE)))</f>
        <v>パナック㈱亀山工場</v>
      </c>
      <c r="AA1275" s="54"/>
      <c r="AB1275" s="200">
        <f>IFERROR((VLOOKUP(F1275&amp;K1275&amp;M1275,製品マスタ!$M$5:$AM$4999,27,FALSE)),"")</f>
        <v>0</v>
      </c>
      <c r="AC1275" s="31"/>
      <c r="AD1275" s="184"/>
      <c r="AE1275" s="51"/>
      <c r="AF1275" s="52">
        <f>+M1275*N1275*O1275/1000</f>
        <v>7289.5</v>
      </c>
      <c r="AG1275" s="41"/>
      <c r="AH1275" s="45"/>
      <c r="AI1275" s="28"/>
      <c r="AJ1275" s="28"/>
      <c r="AK1275" s="28"/>
      <c r="AL1275" s="28"/>
      <c r="AM1275" s="12"/>
      <c r="AN1275" s="12"/>
      <c r="AO1275" s="12"/>
      <c r="AP1275" s="12"/>
      <c r="AQ1275" s="12"/>
      <c r="AR1275" s="13"/>
      <c r="AS1275" s="14"/>
    </row>
    <row r="1276" spans="1:45" s="16" customFormat="1" ht="30.95" hidden="1" customHeight="1" x14ac:dyDescent="0.2">
      <c r="A1276" s="35"/>
      <c r="B1276" s="36"/>
      <c r="C1276" s="43"/>
      <c r="D1276" s="29"/>
      <c r="E1276" s="29"/>
      <c r="F1276" s="255"/>
      <c r="G1276" s="256"/>
      <c r="H1276" s="256"/>
      <c r="I1276" s="200"/>
      <c r="J1276" s="203"/>
      <c r="K1276" s="200"/>
      <c r="L1276" s="200"/>
      <c r="M1276" s="37"/>
      <c r="N1276" s="37"/>
      <c r="O1276" s="153"/>
      <c r="P1276" s="45"/>
      <c r="Q1276" s="54"/>
      <c r="R1276" s="260"/>
      <c r="S1276" s="258"/>
      <c r="T1276" s="258"/>
      <c r="U1276" s="38"/>
      <c r="V1276" s="261"/>
      <c r="W1276" s="256"/>
      <c r="X1276" s="256"/>
      <c r="Y1276" s="256"/>
      <c r="Z1276" s="256"/>
      <c r="AA1276" s="54"/>
      <c r="AB1276" s="200"/>
      <c r="AC1276" s="31"/>
      <c r="AD1276" s="184"/>
      <c r="AE1276" s="51"/>
      <c r="AF1276" s="52"/>
      <c r="AG1276" s="41"/>
      <c r="AH1276" s="45"/>
      <c r="AI1276" s="28"/>
      <c r="AJ1276" s="28"/>
      <c r="AK1276" s="28"/>
      <c r="AL1276" s="28"/>
      <c r="AM1276" s="12"/>
      <c r="AN1276" s="12"/>
      <c r="AO1276" s="12"/>
      <c r="AP1276" s="12"/>
      <c r="AQ1276" s="12"/>
      <c r="AR1276" s="13"/>
      <c r="AS1276" s="14"/>
    </row>
    <row r="1277" spans="1:45" s="16" customFormat="1" ht="30.95" hidden="1" customHeight="1" x14ac:dyDescent="0.2">
      <c r="A1277" s="35" t="s">
        <v>1804</v>
      </c>
      <c r="B1277" s="36" t="s">
        <v>1805</v>
      </c>
      <c r="C1277" s="43"/>
      <c r="D1277" s="29">
        <v>3731349</v>
      </c>
      <c r="E1277" s="29">
        <v>4162107</v>
      </c>
      <c r="F1277" s="255" t="str">
        <f>IF(D1277="","",VLOOKUP(D1277,契約台帳!$A$3:$K$4986,6,FALSE)&amp;VLOOKUP(D1277,契約台帳!$A$3:$K$4986,7,FALSE)&amp;VLOOKUP(D1277,契約台帳!$A$3:$K$4986,8,FALSE)&amp;VLOOKUP(D1277,契約台帳!$A$3:$K$4986,9,FALSE)&amp;VLOOKUP(D1277,契約台帳!$A$3:$K$4986,11,FALSE))</f>
        <v>3SNMLBMNGKKBF</v>
      </c>
      <c r="G1277" s="256" t="str">
        <f>IF(D1277="","",VLOOKUP(F1277,製品マスタ!$G$5:$H$4999,2,FALSE))</f>
        <v>S</v>
      </c>
      <c r="H1277" s="256" t="str">
        <f>IF(D1277="","",VLOOKUP(F1277,製品マスタ!$G$5:$K$4999,5,FALSE))</f>
        <v>MNGKKBF</v>
      </c>
      <c r="I1277" s="200" t="str">
        <f>IF(D1277="","",VLOOKUP(F1277,製品マスタ!$G$5:$L$4999,6,FALSE))</f>
        <v>メタルミー　ネーマー銀消改　Ｂ</v>
      </c>
      <c r="J1277" s="203" t="s">
        <v>935</v>
      </c>
      <c r="K1277" s="200">
        <f>IF(D1277="","",VLOOKUP(D1277,契約台帳!$A$3:$L$4986,12,FALSE))</f>
        <v>50</v>
      </c>
      <c r="L1277" s="200" t="str">
        <f>IF(D1277="","",INDEX(製品マスタ!$Q$5:$Q$4999,MATCH('S4'!F1277&amp;'S4'!K1277,製品マスタ!$AO$5:$AO$4999,0)))</f>
        <v>S99-MAT</v>
      </c>
      <c r="M1277" s="37">
        <v>1120</v>
      </c>
      <c r="N1277" s="37">
        <v>4000</v>
      </c>
      <c r="O1277" s="153">
        <v>18</v>
      </c>
      <c r="P1277" s="45">
        <v>3</v>
      </c>
      <c r="Q1277" s="206">
        <v>45236</v>
      </c>
      <c r="R1277" s="257">
        <f ca="1">IF(D1277="","",IF(OFFSET(D1277,-1,0)&lt;&gt;"","",IF(OR(J1277="リード付け",J1277="巻足し",J1277="巻返しリード付け"),M1277,VLOOKUP(D1277,契約台帳!$A$3:$N$4986,14,FALSE))))</f>
        <v>1120</v>
      </c>
      <c r="S1277" s="258">
        <f ca="1">IF(D1277="","",IF(OFFSET(D1277,-1,0)&lt;&gt;"","",IF(OR(J1277="リード付け",J1277="巻足し",J1277="巻返しリード付け"),M1277,VLOOKUP(D1277,契約台帳!$A$3:$O$4986,15,FALSE))))</f>
        <v>1120</v>
      </c>
      <c r="T1277" s="258">
        <f ca="1">IF(D1277="","",IF(J1277="リード付け",N1277,IF(J1277="巻返しリード付け",N1277,IF(J1277="巻足し",N1277*P1277+OFFSET(N1277,1,0)*OFFSET(P1277,1,0),VLOOKUP(D1277,契約台帳!$A$3:$P$4986,16,FALSE)))))</f>
        <v>12000</v>
      </c>
      <c r="U1277" s="38">
        <v>6</v>
      </c>
      <c r="V1277" s="259">
        <f ca="1">IF(D1277="","",IF(OFFSET(D1277,-2,0)=D1277,"",VLOOKUP(D1277,契約台帳!$A$3:$R$4986,18,FALSE)))</f>
        <v>18</v>
      </c>
      <c r="W1277" s="256" t="str">
        <f ca="1">IF(D1277="","",IF(T1277="","",IF(OR(J1277="巻足し",J1277="巻返しリード付け"),"",IF(J1277="巻返し",VLOOKUP(F1277&amp;K1277&amp;M1277,製品マスタ!$M$5:$AD$4999,18,FALSE),IF(OR(J1277="リード付け",J1277="巻返しリード付け"),"原反コア",IF(J1277="スリット",VLOOKUP(F1277&amp;K1277&amp;R1277,製品マスタ!$N$5:$AD$4999,17,FALSE),""))))))</f>
        <v/>
      </c>
      <c r="X1277" s="256" t="str">
        <f ca="1">IF(D1277="","",IF(T1277="","",IF(J1277="巻足し","",IF(J1277="巻返し",VLOOKUP(F1277&amp;K1277&amp;M1277,製品マスタ!$M$5:$AE$4999,19,FALSE),IF(OR(J1277="リード付け",J1277="巻返しリード付け"),"",IF(J1277="スリット",VLOOKUP(F1277&amp;K1277&amp;R1277,製品マスタ!$N$5:$AE$4999,18,FALSE),""))))))</f>
        <v/>
      </c>
      <c r="Y1277" s="256">
        <f ca="1">IF(D1277="","",IF(T1277="","",VLOOKUP(D1277,契約台帳!$A$3:$Q$4986,17,FALSE)))</f>
        <v>2</v>
      </c>
      <c r="Z1277" s="256" t="str">
        <f ca="1">IF(D1277="","",IF(T1277="","",VLOOKUP(D1277,契約台帳!$A$3:$E$4986,5,FALSE)))</f>
        <v>リンテック㈱</v>
      </c>
      <c r="AA1277" s="54"/>
      <c r="AB1277" s="200">
        <f>IFERROR((VLOOKUP(F1277&amp;K1277&amp;M1277,製品マスタ!$M$5:$AM$4999,27,FALSE)),"")</f>
        <v>0</v>
      </c>
      <c r="AC1277" s="31"/>
      <c r="AD1277" s="184"/>
      <c r="AE1277" s="51"/>
      <c r="AF1277" s="52">
        <f>+M1277*N1277*O1277/1000</f>
        <v>80640</v>
      </c>
      <c r="AG1277" s="41"/>
      <c r="AH1277" s="45"/>
      <c r="AI1277" s="28"/>
      <c r="AJ1277" s="28"/>
      <c r="AK1277" s="28"/>
      <c r="AL1277" s="28"/>
      <c r="AM1277" s="12"/>
      <c r="AN1277" s="12"/>
      <c r="AO1277" s="12"/>
      <c r="AP1277" s="12"/>
      <c r="AQ1277" s="12"/>
      <c r="AR1277" s="13"/>
      <c r="AS1277" s="14"/>
    </row>
    <row r="1278" spans="1:45" s="16" customFormat="1" ht="30.95" hidden="1" customHeight="1" x14ac:dyDescent="0.2">
      <c r="A1278" s="35"/>
      <c r="B1278" s="36"/>
      <c r="C1278" s="43"/>
      <c r="D1278" s="29"/>
      <c r="E1278" s="29"/>
      <c r="F1278" s="255"/>
      <c r="G1278" s="256"/>
      <c r="H1278" s="256"/>
      <c r="I1278" s="200"/>
      <c r="J1278" s="203"/>
      <c r="K1278" s="200"/>
      <c r="L1278" s="200"/>
      <c r="M1278" s="37"/>
      <c r="N1278" s="37"/>
      <c r="O1278" s="153"/>
      <c r="P1278" s="45"/>
      <c r="Q1278" s="54"/>
      <c r="R1278" s="260"/>
      <c r="S1278" s="258"/>
      <c r="T1278" s="258"/>
      <c r="U1278" s="38"/>
      <c r="V1278" s="261"/>
      <c r="W1278" s="256"/>
      <c r="X1278" s="256"/>
      <c r="Y1278" s="256"/>
      <c r="Z1278" s="256"/>
      <c r="AA1278" s="54"/>
      <c r="AB1278" s="200"/>
      <c r="AC1278" s="31"/>
      <c r="AD1278" s="184"/>
      <c r="AE1278" s="51"/>
      <c r="AF1278" s="52"/>
      <c r="AG1278" s="41"/>
      <c r="AH1278" s="45"/>
      <c r="AI1278" s="28"/>
      <c r="AJ1278" s="28"/>
      <c r="AK1278" s="28"/>
      <c r="AL1278" s="28"/>
      <c r="AM1278" s="12"/>
      <c r="AN1278" s="12"/>
      <c r="AO1278" s="12"/>
      <c r="AP1278" s="12"/>
      <c r="AQ1278" s="12"/>
      <c r="AR1278" s="13"/>
      <c r="AS1278" s="14"/>
    </row>
    <row r="1279" spans="1:45" s="16" customFormat="1" ht="30.95" hidden="1" customHeight="1" x14ac:dyDescent="0.2">
      <c r="A1279" s="35" t="s">
        <v>1746</v>
      </c>
      <c r="B1279" s="36" t="s">
        <v>1743</v>
      </c>
      <c r="C1279" s="43"/>
      <c r="D1279" s="29"/>
      <c r="E1279" s="29"/>
      <c r="F1279" s="255"/>
      <c r="G1279" s="256"/>
      <c r="H1279" s="256"/>
      <c r="I1279" s="200"/>
      <c r="J1279" s="203" t="s">
        <v>1745</v>
      </c>
      <c r="K1279" s="200"/>
      <c r="L1279" s="200"/>
      <c r="M1279" s="37"/>
      <c r="N1279" s="37"/>
      <c r="O1279" s="153"/>
      <c r="P1279" s="45"/>
      <c r="Q1279" s="54"/>
      <c r="R1279" s="260"/>
      <c r="S1279" s="258"/>
      <c r="T1279" s="258"/>
      <c r="U1279" s="38"/>
      <c r="V1279" s="261"/>
      <c r="W1279" s="256"/>
      <c r="X1279" s="256"/>
      <c r="Y1279" s="256"/>
      <c r="Z1279" s="256"/>
      <c r="AA1279" s="54"/>
      <c r="AB1279" s="200"/>
      <c r="AC1279" s="31"/>
      <c r="AD1279" s="184"/>
      <c r="AE1279" s="51"/>
      <c r="AF1279" s="52"/>
      <c r="AG1279" s="41"/>
      <c r="AH1279" s="45"/>
      <c r="AI1279" s="28"/>
      <c r="AJ1279" s="28"/>
      <c r="AK1279" s="28"/>
      <c r="AL1279" s="28"/>
      <c r="AM1279" s="12"/>
      <c r="AN1279" s="12"/>
      <c r="AO1279" s="12"/>
      <c r="AP1279" s="12"/>
      <c r="AQ1279" s="12"/>
      <c r="AR1279" s="13"/>
      <c r="AS1279" s="14"/>
    </row>
    <row r="1280" spans="1:45" s="16" customFormat="1" ht="30.95" hidden="1" customHeight="1" x14ac:dyDescent="0.2">
      <c r="A1280" s="35"/>
      <c r="B1280" s="36"/>
      <c r="C1280" s="43"/>
      <c r="D1280" s="29"/>
      <c r="E1280" s="29"/>
      <c r="F1280" s="255"/>
      <c r="G1280" s="256"/>
      <c r="H1280" s="256"/>
      <c r="I1280" s="200"/>
      <c r="J1280" s="203"/>
      <c r="K1280" s="200"/>
      <c r="L1280" s="200"/>
      <c r="M1280" s="37"/>
      <c r="N1280" s="37"/>
      <c r="O1280" s="153"/>
      <c r="P1280" s="45"/>
      <c r="Q1280" s="54"/>
      <c r="R1280" s="260"/>
      <c r="S1280" s="258"/>
      <c r="T1280" s="258"/>
      <c r="U1280" s="38"/>
      <c r="V1280" s="261"/>
      <c r="W1280" s="256"/>
      <c r="X1280" s="256"/>
      <c r="Y1280" s="256"/>
      <c r="Z1280" s="256"/>
      <c r="AA1280" s="54"/>
      <c r="AB1280" s="200"/>
      <c r="AC1280" s="31"/>
      <c r="AD1280" s="184"/>
      <c r="AE1280" s="51"/>
      <c r="AF1280" s="52"/>
      <c r="AG1280" s="41"/>
      <c r="AH1280" s="45"/>
      <c r="AI1280" s="28"/>
      <c r="AJ1280" s="28"/>
      <c r="AK1280" s="28"/>
      <c r="AL1280" s="28"/>
      <c r="AM1280" s="12"/>
      <c r="AN1280" s="12"/>
      <c r="AO1280" s="12"/>
      <c r="AP1280" s="12"/>
      <c r="AQ1280" s="12"/>
      <c r="AR1280" s="13"/>
      <c r="AS1280" s="14"/>
    </row>
    <row r="1281" spans="1:45" s="16" customFormat="1" ht="30.95" hidden="1" customHeight="1" x14ac:dyDescent="0.2">
      <c r="A1281" s="35" t="s">
        <v>1747</v>
      </c>
      <c r="B1281" s="36" t="s">
        <v>1744</v>
      </c>
      <c r="C1281" s="43"/>
      <c r="D1281" s="29"/>
      <c r="E1281" s="29"/>
      <c r="F1281" s="255"/>
      <c r="G1281" s="256"/>
      <c r="H1281" s="256"/>
      <c r="I1281" s="200"/>
      <c r="J1281" s="203" t="s">
        <v>1745</v>
      </c>
      <c r="K1281" s="200"/>
      <c r="L1281" s="200"/>
      <c r="M1281" s="37"/>
      <c r="N1281" s="37"/>
      <c r="O1281" s="153"/>
      <c r="P1281" s="45"/>
      <c r="Q1281" s="54"/>
      <c r="R1281" s="260"/>
      <c r="S1281" s="258"/>
      <c r="T1281" s="258"/>
      <c r="U1281" s="38"/>
      <c r="V1281" s="261"/>
      <c r="W1281" s="256"/>
      <c r="X1281" s="256"/>
      <c r="Y1281" s="256"/>
      <c r="Z1281" s="256"/>
      <c r="AA1281" s="54"/>
      <c r="AB1281" s="200"/>
      <c r="AC1281" s="31"/>
      <c r="AD1281" s="184"/>
      <c r="AE1281" s="51"/>
      <c r="AF1281" s="52"/>
      <c r="AG1281" s="41"/>
      <c r="AH1281" s="45"/>
      <c r="AI1281" s="28"/>
      <c r="AJ1281" s="28"/>
      <c r="AK1281" s="28"/>
      <c r="AL1281" s="28"/>
      <c r="AM1281" s="12"/>
      <c r="AN1281" s="12"/>
      <c r="AO1281" s="12"/>
      <c r="AP1281" s="12"/>
      <c r="AQ1281" s="12"/>
      <c r="AR1281" s="13"/>
      <c r="AS1281" s="14"/>
    </row>
    <row r="1282" spans="1:45" s="16" customFormat="1" ht="30.95" hidden="1" customHeight="1" x14ac:dyDescent="0.2">
      <c r="A1282" s="35"/>
      <c r="B1282" s="36"/>
      <c r="C1282" s="43"/>
      <c r="D1282" s="29"/>
      <c r="E1282" s="29"/>
      <c r="F1282" s="255"/>
      <c r="G1282" s="256"/>
      <c r="H1282" s="256"/>
      <c r="I1282" s="200"/>
      <c r="J1282" s="203"/>
      <c r="K1282" s="200"/>
      <c r="L1282" s="200"/>
      <c r="M1282" s="37"/>
      <c r="N1282" s="37"/>
      <c r="O1282" s="153"/>
      <c r="P1282" s="45"/>
      <c r="Q1282" s="54"/>
      <c r="R1282" s="260"/>
      <c r="S1282" s="258"/>
      <c r="T1282" s="258"/>
      <c r="U1282" s="38"/>
      <c r="V1282" s="261"/>
      <c r="W1282" s="256"/>
      <c r="X1282" s="256"/>
      <c r="Y1282" s="256"/>
      <c r="Z1282" s="256"/>
      <c r="AA1282" s="54"/>
      <c r="AB1282" s="200"/>
      <c r="AC1282" s="31"/>
      <c r="AD1282" s="184"/>
      <c r="AE1282" s="51"/>
      <c r="AF1282" s="52"/>
      <c r="AG1282" s="41"/>
      <c r="AH1282" s="45"/>
      <c r="AI1282" s="28"/>
      <c r="AJ1282" s="28"/>
      <c r="AK1282" s="28"/>
      <c r="AL1282" s="28"/>
      <c r="AM1282" s="12"/>
      <c r="AN1282" s="12"/>
      <c r="AO1282" s="12"/>
      <c r="AP1282" s="12"/>
      <c r="AQ1282" s="12"/>
      <c r="AR1282" s="13"/>
      <c r="AS1282" s="14"/>
    </row>
    <row r="1283" spans="1:45" s="16" customFormat="1" ht="30.95" hidden="1" customHeight="1" x14ac:dyDescent="0.2">
      <c r="A1283" s="35" t="s">
        <v>1796</v>
      </c>
      <c r="B1283" s="36" t="s">
        <v>1797</v>
      </c>
      <c r="C1283" s="43"/>
      <c r="D1283" s="29">
        <v>3731350</v>
      </c>
      <c r="E1283" s="29">
        <v>4162108</v>
      </c>
      <c r="F1283" s="255" t="str">
        <f>IF(D1283="","",VLOOKUP(D1283,契約台帳!$A$3:$K$4986,6,FALSE)&amp;VLOOKUP(D1283,契約台帳!$A$3:$K$4986,7,FALSE)&amp;VLOOKUP(D1283,契約台帳!$A$3:$K$4986,8,FALSE)&amp;VLOOKUP(D1283,契約台帳!$A$3:$K$4986,9,FALSE)&amp;VLOOKUP(D1283,契約台帳!$A$3:$K$4986,11,FALSE))</f>
        <v>3SNMLBMNGKKBF</v>
      </c>
      <c r="G1283" s="256" t="str">
        <f>IF(D1283="","",VLOOKUP(F1283,製品マスタ!$G$5:$H$4999,2,FALSE))</f>
        <v>S</v>
      </c>
      <c r="H1283" s="256" t="str">
        <f>IF(D1283="","",VLOOKUP(F1283,製品マスタ!$G$5:$K$4999,5,FALSE))</f>
        <v>MNGKKBF</v>
      </c>
      <c r="I1283" s="200" t="str">
        <f>IF(D1283="","",VLOOKUP(F1283,製品マスタ!$G$5:$L$4999,6,FALSE))</f>
        <v>メタルミー　ネーマー銀消改　Ｂ</v>
      </c>
      <c r="J1283" s="203" t="s">
        <v>935</v>
      </c>
      <c r="K1283" s="200">
        <f>IF(D1283="","",VLOOKUP(D1283,契約台帳!$A$3:$L$4986,12,FALSE))</f>
        <v>50</v>
      </c>
      <c r="L1283" s="200" t="str">
        <f>IF(D1283="","",INDEX(製品マスタ!$Q$5:$Q$4999,MATCH('S4'!F1283&amp;'S4'!K1283,製品マスタ!$AO$5:$AO$4999,0)))</f>
        <v>S99-MAT</v>
      </c>
      <c r="M1283" s="37">
        <v>1120</v>
      </c>
      <c r="N1283" s="37">
        <v>4000</v>
      </c>
      <c r="O1283" s="153">
        <v>18</v>
      </c>
      <c r="P1283" s="45">
        <v>3</v>
      </c>
      <c r="Q1283" s="206">
        <v>45240</v>
      </c>
      <c r="R1283" s="257">
        <f ca="1">IF(D1283="","",IF(OFFSET(D1283,-1,0)&lt;&gt;"","",IF(OR(J1283="リード付け",J1283="巻足し",J1283="巻返しリード付け"),M1283,VLOOKUP(D1283,契約台帳!$A$3:$N$4986,14,FALSE))))</f>
        <v>1120</v>
      </c>
      <c r="S1283" s="258">
        <f ca="1">IF(D1283="","",IF(OFFSET(D1283,-1,0)&lt;&gt;"","",IF(OR(J1283="リード付け",J1283="巻足し",J1283="巻返しリード付け"),M1283,VLOOKUP(D1283,契約台帳!$A$3:$O$4986,15,FALSE))))</f>
        <v>1120</v>
      </c>
      <c r="T1283" s="258">
        <f ca="1">IF(D1283="","",IF(J1283="リード付け",N1283,IF(J1283="巻返しリード付け",N1283,IF(J1283="巻足し",N1283*P1283+OFFSET(N1283,1,0)*OFFSET(P1283,1,0),VLOOKUP(D1283,契約台帳!$A$3:$P$4986,16,FALSE)))))</f>
        <v>12000</v>
      </c>
      <c r="U1283" s="38">
        <v>6</v>
      </c>
      <c r="V1283" s="259">
        <f ca="1">IF(D1283="","",IF(OFFSET(D1283,-2,0)=D1283,"",VLOOKUP(D1283,契約台帳!$A$3:$R$4986,18,FALSE)))</f>
        <v>18</v>
      </c>
      <c r="W1283" s="256" t="str">
        <f ca="1">IF(D1283="","",IF(T1283="","",IF(OR(J1283="巻足し",J1283="巻返しリード付け"),"",IF(J1283="巻返し",VLOOKUP(F1283&amp;K1283&amp;M1283,製品マスタ!$M$5:$AD$4999,18,FALSE),IF(OR(J1283="リード付け",J1283="巻返しリード付け"),"原反コア",IF(J1283="スリット",VLOOKUP(F1283&amp;K1283&amp;R1283,製品マスタ!$N$5:$AD$4999,17,FALSE),""))))))</f>
        <v/>
      </c>
      <c r="X1283" s="256" t="str">
        <f ca="1">IF(D1283="","",IF(T1283="","",IF(J1283="巻足し","",IF(J1283="巻返し",VLOOKUP(F1283&amp;K1283&amp;M1283,製品マスタ!$M$5:$AE$4999,19,FALSE),IF(OR(J1283="リード付け",J1283="巻返しリード付け"),"",IF(J1283="スリット",VLOOKUP(F1283&amp;K1283&amp;R1283,製品マスタ!$N$5:$AE$4999,18,FALSE),""))))))</f>
        <v/>
      </c>
      <c r="Y1283" s="256">
        <f ca="1">IF(D1283="","",IF(T1283="","",VLOOKUP(D1283,契約台帳!$A$3:$Q$4986,17,FALSE)))</f>
        <v>2</v>
      </c>
      <c r="Z1283" s="256" t="str">
        <f ca="1">IF(D1283="","",IF(T1283="","",VLOOKUP(D1283,契約台帳!$A$3:$E$4986,5,FALSE)))</f>
        <v>リンテック㈱</v>
      </c>
      <c r="AA1283" s="54"/>
      <c r="AB1283" s="200">
        <f>IFERROR((VLOOKUP(F1283&amp;K1283&amp;M1283,製品マスタ!$M$5:$AM$4999,27,FALSE)),"")</f>
        <v>0</v>
      </c>
      <c r="AC1283" s="31"/>
      <c r="AD1283" s="184"/>
      <c r="AE1283" s="51"/>
      <c r="AF1283" s="52">
        <f>+M1283*N1283*O1283/1000</f>
        <v>80640</v>
      </c>
      <c r="AG1283" s="41"/>
      <c r="AH1283" s="45"/>
      <c r="AI1283" s="28"/>
      <c r="AJ1283" s="28"/>
      <c r="AK1283" s="28"/>
      <c r="AL1283" s="28"/>
      <c r="AM1283" s="12"/>
      <c r="AN1283" s="12"/>
      <c r="AO1283" s="12"/>
      <c r="AP1283" s="12"/>
      <c r="AQ1283" s="12"/>
      <c r="AR1283" s="13"/>
      <c r="AS1283" s="14"/>
    </row>
    <row r="1284" spans="1:45" s="16" customFormat="1" ht="30.95" hidden="1" customHeight="1" x14ac:dyDescent="0.2">
      <c r="A1284" s="35"/>
      <c r="B1284" s="36"/>
      <c r="C1284" s="43"/>
      <c r="D1284" s="29"/>
      <c r="E1284" s="29"/>
      <c r="F1284" s="255"/>
      <c r="G1284" s="256"/>
      <c r="H1284" s="256"/>
      <c r="I1284" s="200"/>
      <c r="J1284" s="203"/>
      <c r="K1284" s="200"/>
      <c r="L1284" s="200"/>
      <c r="M1284" s="37"/>
      <c r="N1284" s="37"/>
      <c r="O1284" s="153"/>
      <c r="P1284" s="45"/>
      <c r="Q1284" s="54"/>
      <c r="R1284" s="260"/>
      <c r="S1284" s="258"/>
      <c r="T1284" s="258"/>
      <c r="U1284" s="38"/>
      <c r="V1284" s="261"/>
      <c r="W1284" s="256"/>
      <c r="X1284" s="256"/>
      <c r="Y1284" s="256"/>
      <c r="Z1284" s="256"/>
      <c r="AA1284" s="54"/>
      <c r="AB1284" s="200"/>
      <c r="AC1284" s="31"/>
      <c r="AD1284" s="184"/>
      <c r="AE1284" s="51"/>
      <c r="AF1284" s="52"/>
      <c r="AG1284" s="41"/>
      <c r="AH1284" s="45"/>
      <c r="AI1284" s="28"/>
      <c r="AJ1284" s="28"/>
      <c r="AK1284" s="28"/>
      <c r="AL1284" s="28"/>
      <c r="AM1284" s="12"/>
      <c r="AN1284" s="12"/>
      <c r="AO1284" s="12"/>
      <c r="AP1284" s="12"/>
      <c r="AQ1284" s="12"/>
      <c r="AR1284" s="13"/>
      <c r="AS1284" s="14"/>
    </row>
    <row r="1285" spans="1:45" s="16" customFormat="1" ht="30.95" hidden="1" customHeight="1" x14ac:dyDescent="0.2">
      <c r="A1285" s="35" t="s">
        <v>1798</v>
      </c>
      <c r="B1285" s="36" t="s">
        <v>1795</v>
      </c>
      <c r="C1285" s="43"/>
      <c r="D1285" s="29"/>
      <c r="E1285" s="29"/>
      <c r="F1285" s="255"/>
      <c r="G1285" s="256"/>
      <c r="H1285" s="256"/>
      <c r="I1285" s="200"/>
      <c r="J1285" s="203"/>
      <c r="K1285" s="200"/>
      <c r="L1285" s="200"/>
      <c r="M1285" s="37"/>
      <c r="N1285" s="37"/>
      <c r="O1285" s="153"/>
      <c r="P1285" s="45"/>
      <c r="Q1285" s="54"/>
      <c r="R1285" s="260"/>
      <c r="S1285" s="258"/>
      <c r="T1285" s="258"/>
      <c r="U1285" s="38"/>
      <c r="V1285" s="261"/>
      <c r="W1285" s="256"/>
      <c r="X1285" s="256"/>
      <c r="Y1285" s="256"/>
      <c r="Z1285" s="256"/>
      <c r="AA1285" s="54"/>
      <c r="AB1285" s="200"/>
      <c r="AC1285" s="31"/>
      <c r="AD1285" s="184"/>
      <c r="AE1285" s="51"/>
      <c r="AF1285" s="52"/>
      <c r="AG1285" s="41"/>
      <c r="AH1285" s="45"/>
      <c r="AI1285" s="28"/>
      <c r="AJ1285" s="28"/>
      <c r="AK1285" s="28"/>
      <c r="AL1285" s="28"/>
      <c r="AM1285" s="12"/>
      <c r="AN1285" s="12"/>
      <c r="AO1285" s="12"/>
      <c r="AP1285" s="12"/>
      <c r="AQ1285" s="12"/>
      <c r="AR1285" s="13"/>
      <c r="AS1285" s="14"/>
    </row>
    <row r="1286" spans="1:45" s="16" customFormat="1" ht="30.95" hidden="1" customHeight="1" x14ac:dyDescent="0.2">
      <c r="A1286" s="35"/>
      <c r="B1286" s="36"/>
      <c r="C1286" s="43"/>
      <c r="D1286" s="29"/>
      <c r="E1286" s="29"/>
      <c r="F1286" s="255"/>
      <c r="G1286" s="256"/>
      <c r="H1286" s="256"/>
      <c r="I1286" s="200"/>
      <c r="J1286" s="203"/>
      <c r="K1286" s="200"/>
      <c r="L1286" s="200"/>
      <c r="M1286" s="37"/>
      <c r="N1286" s="37"/>
      <c r="O1286" s="153"/>
      <c r="P1286" s="45"/>
      <c r="Q1286" s="54"/>
      <c r="R1286" s="260"/>
      <c r="S1286" s="258"/>
      <c r="T1286" s="258"/>
      <c r="U1286" s="38"/>
      <c r="V1286" s="261"/>
      <c r="W1286" s="256"/>
      <c r="X1286" s="256"/>
      <c r="Y1286" s="256"/>
      <c r="Z1286" s="256"/>
      <c r="AA1286" s="54"/>
      <c r="AB1286" s="200"/>
      <c r="AC1286" s="31"/>
      <c r="AD1286" s="184"/>
      <c r="AE1286" s="51"/>
      <c r="AF1286" s="52"/>
      <c r="AG1286" s="41"/>
      <c r="AH1286" s="45"/>
      <c r="AI1286" s="28"/>
      <c r="AJ1286" s="28"/>
      <c r="AK1286" s="28"/>
      <c r="AL1286" s="28"/>
      <c r="AM1286" s="12"/>
      <c r="AN1286" s="12"/>
      <c r="AO1286" s="12"/>
      <c r="AP1286" s="12"/>
      <c r="AQ1286" s="12"/>
      <c r="AR1286" s="13"/>
      <c r="AS1286" s="14"/>
    </row>
    <row r="1287" spans="1:45" s="16" customFormat="1" ht="30.95" hidden="1" customHeight="1" x14ac:dyDescent="0.2">
      <c r="A1287" s="35" t="s">
        <v>649</v>
      </c>
      <c r="B1287" s="36" t="s">
        <v>442</v>
      </c>
      <c r="C1287" s="43"/>
      <c r="D1287" s="29"/>
      <c r="E1287" s="29"/>
      <c r="F1287" s="255" t="str">
        <f>IF(D1287="","",VLOOKUP(D1287,契約台帳!$A$3:$K$4986,6,FALSE)&amp;VLOOKUP(D1287,契約台帳!$A$3:$K$4986,7,FALSE)&amp;VLOOKUP(D1287,契約台帳!$A$3:$K$4986,8,FALSE)&amp;VLOOKUP(D1287,契約台帳!$A$3:$K$4986,9,FALSE)&amp;VLOOKUP(D1287,契約台帳!$A$3:$K$4986,11,FALSE))</f>
        <v/>
      </c>
      <c r="G1287" s="256" t="str">
        <f>IF(D1287="","",VLOOKUP(F1287,製品マスタ!$G$5:$H$4999,2,FALSE))</f>
        <v/>
      </c>
      <c r="H1287" s="256" t="str">
        <f>IF(D1287="","",VLOOKUP(F1287,製品マスタ!$G$5:$K$4999,5,FALSE))</f>
        <v/>
      </c>
      <c r="I1287" s="200" t="str">
        <f>IF(D1287="","",VLOOKUP(F1287,製品マスタ!$G$5:$L$4999,6,FALSE))</f>
        <v/>
      </c>
      <c r="J1287" s="203"/>
      <c r="K1287" s="200" t="str">
        <f>IF(D1287="","",VLOOKUP(D1287,契約台帳!$A$3:$L$4986,12,FALSE))</f>
        <v/>
      </c>
      <c r="L1287" s="200" t="str">
        <f>IF(D1287="","",INDEX(製品マスタ!$Q$5:$Q$4999,MATCH('S4'!F1287&amp;'S4'!K1287,製品マスタ!$AO$5:$AO$4999,0)))</f>
        <v/>
      </c>
      <c r="M1287" s="37"/>
      <c r="N1287" s="37"/>
      <c r="O1287" s="153"/>
      <c r="P1287" s="45"/>
      <c r="Q1287" s="54"/>
      <c r="R1287" s="257" t="str">
        <f ca="1">IF(D1287="","",IF(OFFSET(D1287,-1,0)&lt;&gt;"","",IF(OR(J1287="リード付け",J1287="巻足し",J1287="巻返しリード付け"),M1287,VLOOKUP(D1287,契約台帳!$A$3:$N$4986,14,FALSE))))</f>
        <v/>
      </c>
      <c r="S1287" s="258" t="str">
        <f ca="1">IF(D1287="","",IF(OFFSET(D1287,-1,0)&lt;&gt;"","",IF(OR(J1287="リード付け",J1287="巻足し",J1287="巻返しリード付け"),M1287,VLOOKUP(D1287,契約台帳!$A$3:$O$4986,15,FALSE))))</f>
        <v/>
      </c>
      <c r="T1287" s="258" t="str">
        <f ca="1">IF(D1287="","",IF(J1287="リード付け",N1287,IF(J1287="巻返しリード付け",N1287,IF(J1287="巻足し",N1287*P1287+OFFSET(N1287,1,0)*OFFSET(P1287,1,0),VLOOKUP(D1287,契約台帳!$A$3:$P$4986,16,FALSE)))))</f>
        <v/>
      </c>
      <c r="U1287" s="38"/>
      <c r="V1287" s="259" t="str">
        <f ca="1">IF(D1287="","",IF(OFFSET(D1287,-2,0)=D1287,"",VLOOKUP(D1287,契約台帳!$A$3:$R$4986,18,FALSE)))</f>
        <v/>
      </c>
      <c r="W1287" s="256" t="str">
        <f>IF(D1287="","",IF(T1287="","",IF(OR(J1287="巻足し",J1287="巻返しリード付け"),"",IF(J1287="巻返し",VLOOKUP(F1287&amp;K1287&amp;M1287,製品マスタ!$M$5:$AD$4999,18,FALSE),IF(OR(J1287="リード付け",J1287="巻返しリード付け"),"原反コア",IF(J1287="スリット",VLOOKUP(F1287&amp;K1287&amp;R1287,製品マスタ!$N$5:$AD$4999,17,FALSE),""))))))</f>
        <v/>
      </c>
      <c r="X1287" s="256" t="str">
        <f>IF(D1287="","",IF(T1287="","",IF(J1287="巻足し","",IF(J1287="巻返し",VLOOKUP(F1287&amp;K1287&amp;M1287,製品マスタ!$M$5:$AE$4999,19,FALSE),IF(OR(J1287="リード付け",J1287="巻返しリード付け"),"",IF(J1287="スリット",VLOOKUP(F1287&amp;K1287&amp;R1287,製品マスタ!$N$5:$AE$4999,18,FALSE),""))))))</f>
        <v/>
      </c>
      <c r="Y1287" s="256" t="str">
        <f>IF(D1287="","",IF(T1287="","",VLOOKUP(D1287,契約台帳!$A$3:$Q$4986,17,FALSE)))</f>
        <v/>
      </c>
      <c r="Z1287" s="256" t="str">
        <f>IF(D1287="","",IF(T1287="","",VLOOKUP(D1287,契約台帳!$A$3:$E$4986,5,FALSE)))</f>
        <v/>
      </c>
      <c r="AA1287" s="54"/>
      <c r="AB1287" s="200"/>
      <c r="AC1287" s="31"/>
      <c r="AD1287" s="184"/>
      <c r="AE1287" s="51" t="str">
        <f>IF(F1287="","",+F1287&amp;K1287)</f>
        <v/>
      </c>
      <c r="AF1287" s="52">
        <f>+M1287*N1287*O1287/1000</f>
        <v>0</v>
      </c>
      <c r="AG1287" s="41" t="str">
        <f>IF(AE1287="","",VLOOKUP(AE1287,原価マスタ!$A$2:$AJ$1693,13,FALSE))</f>
        <v/>
      </c>
      <c r="AH1287" s="45" t="str">
        <f>IF(AG1287="","",+AF1287*AG1287/100)</f>
        <v/>
      </c>
      <c r="AI1287" s="28"/>
      <c r="AJ1287" s="28"/>
      <c r="AK1287" s="28"/>
      <c r="AL1287" s="28"/>
      <c r="AM1287" s="12"/>
      <c r="AN1287" s="12"/>
      <c r="AO1287" s="12"/>
      <c r="AP1287" s="12"/>
      <c r="AQ1287" s="12"/>
      <c r="AR1287" s="13"/>
      <c r="AS1287" s="14"/>
    </row>
    <row r="1288" spans="1:45" s="16" customFormat="1" ht="30.95" hidden="1" customHeight="1" x14ac:dyDescent="0.2">
      <c r="A1288" s="35"/>
      <c r="B1288" s="36"/>
      <c r="C1288" s="43"/>
      <c r="D1288" s="29"/>
      <c r="E1288" s="29"/>
      <c r="F1288" s="255"/>
      <c r="G1288" s="256"/>
      <c r="H1288" s="256"/>
      <c r="I1288" s="200"/>
      <c r="J1288" s="203"/>
      <c r="K1288" s="200"/>
      <c r="L1288" s="200"/>
      <c r="M1288" s="37"/>
      <c r="N1288" s="37"/>
      <c r="O1288" s="153"/>
      <c r="P1288" s="45"/>
      <c r="Q1288" s="54"/>
      <c r="R1288" s="260"/>
      <c r="S1288" s="258"/>
      <c r="T1288" s="258"/>
      <c r="U1288" s="38"/>
      <c r="V1288" s="261"/>
      <c r="W1288" s="256"/>
      <c r="X1288" s="256"/>
      <c r="Y1288" s="256"/>
      <c r="Z1288" s="256"/>
      <c r="AA1288" s="54"/>
      <c r="AB1288" s="200"/>
      <c r="AC1288" s="31"/>
      <c r="AD1288" s="184"/>
      <c r="AE1288" s="51"/>
      <c r="AF1288" s="52"/>
      <c r="AG1288" s="41"/>
      <c r="AH1288" s="45"/>
      <c r="AI1288" s="28"/>
      <c r="AJ1288" s="28"/>
      <c r="AK1288" s="28"/>
      <c r="AL1288" s="28"/>
      <c r="AM1288" s="12"/>
      <c r="AN1288" s="12"/>
      <c r="AO1288" s="12"/>
      <c r="AP1288" s="12"/>
      <c r="AQ1288" s="12"/>
      <c r="AR1288" s="13"/>
      <c r="AS1288" s="14"/>
    </row>
    <row r="1289" spans="1:45" s="16" customFormat="1" ht="30.95" hidden="1" customHeight="1" x14ac:dyDescent="0.2">
      <c r="A1289" s="35" t="s">
        <v>650</v>
      </c>
      <c r="B1289" s="36" t="s">
        <v>443</v>
      </c>
      <c r="C1289" s="43"/>
      <c r="D1289" s="29">
        <v>3731358</v>
      </c>
      <c r="E1289" s="29">
        <v>4151517</v>
      </c>
      <c r="F1289" s="255" t="str">
        <f>IF(D1289="","",VLOOKUP(D1289,契約台帳!$A$3:$K$4986,6,FALSE)&amp;VLOOKUP(D1289,契約台帳!$A$3:$K$4986,7,FALSE)&amp;VLOOKUP(D1289,契約台帳!$A$3:$K$4986,8,FALSE)&amp;VLOOKUP(D1289,契約台帳!$A$3:$K$4986,9,FALSE)&amp;VLOOKUP(D1289,契約台帳!$A$3:$K$4986,11,FALSE))</f>
        <v>3SNMLBMNNGKBF</v>
      </c>
      <c r="G1289" s="256" t="str">
        <f>IF(D1289="","",VLOOKUP(F1289,製品マスタ!$G$5:$H$4999,2,FALSE))</f>
        <v>S</v>
      </c>
      <c r="H1289" s="256" t="str">
        <f>IF(D1289="","",VLOOKUP(F1289,製品マスタ!$G$5:$K$4999,5,FALSE))</f>
        <v>MNNGKBF</v>
      </c>
      <c r="I1289" s="200" t="str">
        <f>IF(D1289="","",VLOOKUP(F1289,製品マスタ!$G$5:$L$4999,6,FALSE))</f>
        <v>メタルミー　ニューネーマー銀消　Ｂ</v>
      </c>
      <c r="J1289" s="203" t="s">
        <v>447</v>
      </c>
      <c r="K1289" s="200">
        <f>IF(D1289="","",VLOOKUP(D1289,契約台帳!$A$3:$L$4986,12,FALSE))</f>
        <v>50</v>
      </c>
      <c r="L1289" s="200" t="str">
        <f>IF(D1289="","",INDEX(製品マスタ!$Q$5:$Q$4999,MATCH('S4'!F1289&amp;'S4'!K1289,製品マスタ!$AO$5:$AO$4999,0)))</f>
        <v>X44</v>
      </c>
      <c r="M1289" s="37">
        <v>1000</v>
      </c>
      <c r="N1289" s="37">
        <v>12000</v>
      </c>
      <c r="O1289" s="153">
        <v>6</v>
      </c>
      <c r="P1289" s="45">
        <v>6</v>
      </c>
      <c r="Q1289" s="54"/>
      <c r="R1289" s="257">
        <f ca="1">IF(D1289="","",IF(OFFSET(D1289,-1,0)&lt;&gt;"","",IF(OR(J1289="リード付け",J1289="巻足し",J1289="巻返しリード付け"),M1289,VLOOKUP(D1289,契約台帳!$A$3:$N$4986,14,FALSE))))</f>
        <v>1000</v>
      </c>
      <c r="S1289" s="258">
        <f ca="1">IF(D1289="","",IF(OFFSET(D1289,-1,0)&lt;&gt;"","",IF(OR(J1289="リード付け",J1289="巻足し",J1289="巻返しリード付け"),M1289,VLOOKUP(D1289,契約台帳!$A$3:$O$4986,15,FALSE))))</f>
        <v>1000</v>
      </c>
      <c r="T1289" s="258">
        <f ca="1">IF(D1289="","",IF(J1289="リード付け",N1289,IF(J1289="巻返しリード付け",N1289,IF(J1289="巻足し",N1289*P1289+OFFSET(N1289,1,0)*OFFSET(P1289,1,0),VLOOKUP(D1289,契約台帳!$A$3:$P$4986,16,FALSE)))))</f>
        <v>4000</v>
      </c>
      <c r="U1289" s="38">
        <v>18</v>
      </c>
      <c r="V1289" s="259">
        <f ca="1">IF(D1289="","",IF(OFFSET(D1289,-2,0)=D1289,"",VLOOKUP(D1289,契約台帳!$A$3:$R$4986,18,FALSE)))</f>
        <v>20</v>
      </c>
      <c r="W1289" s="256" t="str">
        <f ca="1">IF(D1289="","",IF(T1289="","",IF(OR(J1289="巻足し",J1289="巻返しリード付け"),"",IF(J1289="巻返し",VLOOKUP(F1289&amp;K1289&amp;M1289,製品マスタ!$M$5:$AD$4999,18,FALSE),IF(OR(J1289="リード付け",J1289="巻返しリード付け"),"原反コア",IF(J1289="スリット",VLOOKUP(F1289&amp;K1289&amp;R1289,製品マスタ!$N$5:$AD$4999,17,FALSE),""))))))</f>
        <v>6ｲﾝﾁSｺｱ</v>
      </c>
      <c r="X1289" s="256">
        <f ca="1">IF(D1289="","",IF(T1289="","",IF(J1289="巻足し","",IF(J1289="巻返し",VLOOKUP(F1289&amp;K1289&amp;M1289,製品マスタ!$M$5:$AE$4999,19,FALSE),IF(OR(J1289="リード付け",J1289="巻返しリード付け"),"",IF(J1289="スリット",VLOOKUP(F1289&amp;K1289&amp;R1289,製品マスタ!$N$5:$AE$4999,18,FALSE),""))))))</f>
        <v>1005</v>
      </c>
      <c r="Y1289" s="256">
        <f ca="1">IF(D1289="","",IF(T1289="","",VLOOKUP(D1289,契約台帳!$A$3:$Q$4986,17,FALSE)))</f>
        <v>2</v>
      </c>
      <c r="Z1289" s="256" t="str">
        <f ca="1">IF(D1289="","",IF(T1289="","",VLOOKUP(D1289,契約台帳!$A$3:$E$4986,5,FALSE)))</f>
        <v>リンテック㈱</v>
      </c>
      <c r="AA1289" s="54"/>
      <c r="AB1289" s="200" t="s">
        <v>1083</v>
      </c>
      <c r="AC1289" s="31"/>
      <c r="AD1289" s="184"/>
      <c r="AE1289" s="51" t="str">
        <f>IF(F1289="","",+F1289&amp;K1289)</f>
        <v>3SNMLBMNNGKBF50</v>
      </c>
      <c r="AF1289" s="52">
        <f>+M1289*N1289*O1289/1000</f>
        <v>72000</v>
      </c>
      <c r="AG1289" s="41">
        <f>IF(AE1289="","",VLOOKUP(AE1289,原価マスタ!$A$2:$AJ$1693,13,FALSE))</f>
        <v>99</v>
      </c>
      <c r="AH1289" s="45">
        <f>IF(AG1289="","",+AF1289*AG1289/100)</f>
        <v>71280</v>
      </c>
      <c r="AI1289" s="28"/>
      <c r="AJ1289" s="28"/>
      <c r="AK1289" s="28"/>
      <c r="AL1289" s="28"/>
      <c r="AM1289" s="12"/>
      <c r="AN1289" s="12"/>
      <c r="AO1289" s="12"/>
      <c r="AP1289" s="12"/>
      <c r="AQ1289" s="12"/>
      <c r="AR1289" s="13"/>
      <c r="AS1289" s="14"/>
    </row>
    <row r="1290" spans="1:45" s="16" customFormat="1" ht="30.95" hidden="1" customHeight="1" x14ac:dyDescent="0.2">
      <c r="A1290" s="35"/>
      <c r="B1290" s="36"/>
      <c r="C1290" s="43"/>
      <c r="D1290" s="29"/>
      <c r="E1290" s="29"/>
      <c r="F1290" s="255"/>
      <c r="G1290" s="256"/>
      <c r="H1290" s="256"/>
      <c r="I1290" s="200"/>
      <c r="J1290" s="203"/>
      <c r="K1290" s="200"/>
      <c r="L1290" s="200"/>
      <c r="M1290" s="37"/>
      <c r="N1290" s="37"/>
      <c r="O1290" s="153"/>
      <c r="P1290" s="45"/>
      <c r="Q1290" s="54"/>
      <c r="R1290" s="260"/>
      <c r="S1290" s="258"/>
      <c r="T1290" s="258"/>
      <c r="U1290" s="38"/>
      <c r="V1290" s="261"/>
      <c r="W1290" s="256"/>
      <c r="X1290" s="256"/>
      <c r="Y1290" s="256"/>
      <c r="Z1290" s="256"/>
      <c r="AA1290" s="54"/>
      <c r="AB1290" s="280" t="s">
        <v>1810</v>
      </c>
      <c r="AC1290" s="31"/>
      <c r="AD1290" s="184"/>
      <c r="AE1290" s="51"/>
      <c r="AF1290" s="52"/>
      <c r="AG1290" s="41"/>
      <c r="AH1290" s="45"/>
      <c r="AI1290" s="28"/>
      <c r="AJ1290" s="28"/>
      <c r="AK1290" s="28"/>
      <c r="AL1290" s="28"/>
      <c r="AM1290" s="12"/>
      <c r="AN1290" s="12"/>
      <c r="AO1290" s="12"/>
      <c r="AP1290" s="12"/>
      <c r="AQ1290" s="12"/>
      <c r="AR1290" s="13"/>
      <c r="AS1290" s="14"/>
    </row>
    <row r="1291" spans="1:45" s="16" customFormat="1" ht="30.95" hidden="1" customHeight="1" x14ac:dyDescent="0.2">
      <c r="A1291" s="35" t="s">
        <v>1811</v>
      </c>
      <c r="B1291" s="36" t="s">
        <v>1812</v>
      </c>
      <c r="C1291" s="43"/>
      <c r="D1291" s="29">
        <v>3731358</v>
      </c>
      <c r="E1291" s="29">
        <v>4151517</v>
      </c>
      <c r="F1291" s="255" t="str">
        <f>IF(D1291="","",VLOOKUP(D1291,契約台帳!$A$3:$K$4986,6,FALSE)&amp;VLOOKUP(D1291,契約台帳!$A$3:$K$4986,7,FALSE)&amp;VLOOKUP(D1291,契約台帳!$A$3:$K$4986,8,FALSE)&amp;VLOOKUP(D1291,契約台帳!$A$3:$K$4986,9,FALSE)&amp;VLOOKUP(D1291,契約台帳!$A$3:$K$4986,11,FALSE))</f>
        <v>3SNMLBMNNGKBF</v>
      </c>
      <c r="G1291" s="256" t="str">
        <f>IF(D1291="","",VLOOKUP(F1291,製品マスタ!$G$5:$H$4999,2,FALSE))</f>
        <v>S</v>
      </c>
      <c r="H1291" s="256" t="str">
        <f>IF(D1291="","",VLOOKUP(F1291,製品マスタ!$G$5:$K$4999,5,FALSE))</f>
        <v>MNNGKBF</v>
      </c>
      <c r="I1291" s="200" t="str">
        <f>IF(D1291="","",VLOOKUP(F1291,製品マスタ!$G$5:$L$4999,6,FALSE))</f>
        <v>メタルミー　ニューネーマー銀消　Ｂ</v>
      </c>
      <c r="J1291" s="203" t="s">
        <v>447</v>
      </c>
      <c r="K1291" s="200">
        <f>IF(D1291="","",VLOOKUP(D1291,契約台帳!$A$3:$L$4986,12,FALSE))</f>
        <v>50</v>
      </c>
      <c r="L1291" s="200" t="str">
        <f>IF(D1291="","",INDEX(製品マスタ!$Q$5:$Q$4999,MATCH('S4'!F1291&amp;'S4'!K1291,製品マスタ!$AO$5:$AO$4999,0)))</f>
        <v>X44</v>
      </c>
      <c r="M1291" s="37">
        <v>1000</v>
      </c>
      <c r="N1291" s="37">
        <v>8000</v>
      </c>
      <c r="O1291" s="153">
        <v>1</v>
      </c>
      <c r="P1291" s="45">
        <v>1</v>
      </c>
      <c r="Q1291" s="54"/>
      <c r="R1291" s="257">
        <f ca="1">IF(D1291="","",IF(OFFSET(D1291,-1,0)&lt;&gt;"","",IF(OR(J1291="リード付け",J1291="巻足し",J1291="巻返しリード付け"),M1291,VLOOKUP(D1291,契約台帳!$A$3:$N$4986,14,FALSE))))</f>
        <v>1000</v>
      </c>
      <c r="S1291" s="258">
        <f ca="1">IF(D1291="","",IF(OFFSET(D1291,-1,0)&lt;&gt;"","",IF(OR(J1291="リード付け",J1291="巻足し",J1291="巻返しリード付け"),M1291,VLOOKUP(D1291,契約台帳!$A$3:$O$4986,15,FALSE))))</f>
        <v>1000</v>
      </c>
      <c r="T1291" s="258">
        <f ca="1">IF(D1291="","",IF(J1291="リード付け",N1291,IF(J1291="巻返しリード付け",N1291,IF(J1291="巻足し",N1291*P1291+OFFSET(N1291,1,0)*OFFSET(P1291,1,0),VLOOKUP(D1291,契約台帳!$A$3:$P$4986,16,FALSE)))))</f>
        <v>4000</v>
      </c>
      <c r="U1291" s="38">
        <v>2</v>
      </c>
      <c r="V1291" s="259" t="str">
        <f ca="1">IF(D1291="","",IF(OFFSET(D1291,-2,0)=D1291,"",VLOOKUP(D1291,契約台帳!$A$3:$R$4986,18,FALSE)))</f>
        <v/>
      </c>
      <c r="W1291" s="256" t="str">
        <f ca="1">IF(D1291="","",IF(T1291="","",IF(OR(J1291="巻足し",J1291="巻返しリード付け"),"",IF(J1291="巻返し",VLOOKUP(F1291&amp;K1291&amp;M1291,製品マスタ!$M$5:$AD$4999,18,FALSE),IF(OR(J1291="リード付け",J1291="巻返しリード付け"),"原反コア",IF(J1291="スリット",VLOOKUP(F1291&amp;K1291&amp;R1291,製品マスタ!$N$5:$AD$4999,17,FALSE),""))))))</f>
        <v>6ｲﾝﾁSｺｱ</v>
      </c>
      <c r="X1291" s="256">
        <f ca="1">IF(D1291="","",IF(T1291="","",IF(J1291="巻足し","",IF(J1291="巻返し",VLOOKUP(F1291&amp;K1291&amp;M1291,製品マスタ!$M$5:$AE$4999,19,FALSE),IF(OR(J1291="リード付け",J1291="巻返しリード付け"),"",IF(J1291="スリット",VLOOKUP(F1291&amp;K1291&amp;R1291,製品マスタ!$N$5:$AE$4999,18,FALSE),""))))))</f>
        <v>1005</v>
      </c>
      <c r="Y1291" s="256">
        <f ca="1">IF(D1291="","",IF(T1291="","",VLOOKUP(D1291,契約台帳!$A$3:$Q$4986,17,FALSE)))</f>
        <v>2</v>
      </c>
      <c r="Z1291" s="256" t="str">
        <f ca="1">IF(D1291="","",IF(T1291="","",VLOOKUP(D1291,契約台帳!$A$3:$E$4986,5,FALSE)))</f>
        <v>リンテック㈱</v>
      </c>
      <c r="AA1291" s="54"/>
      <c r="AB1291" s="200" t="s">
        <v>1083</v>
      </c>
      <c r="AC1291" s="31"/>
      <c r="AD1291" s="184"/>
      <c r="AE1291" s="51" t="str">
        <f>IF(F1291="","",+F1291&amp;K1291)</f>
        <v>3SNMLBMNNGKBF50</v>
      </c>
      <c r="AF1291" s="52">
        <f>+M1291*N1291*O1291/1000</f>
        <v>8000</v>
      </c>
      <c r="AG1291" s="41">
        <f>IF(AE1291="","",VLOOKUP(AE1291,原価マスタ!$A$2:$AJ$1693,13,FALSE))</f>
        <v>99</v>
      </c>
      <c r="AH1291" s="45">
        <f>IF(AG1291="","",+AF1291*AG1291/100)</f>
        <v>7920</v>
      </c>
      <c r="AI1291" s="28"/>
      <c r="AJ1291" s="28"/>
      <c r="AK1291" s="28"/>
      <c r="AL1291" s="28"/>
      <c r="AM1291" s="12"/>
      <c r="AN1291" s="12"/>
      <c r="AO1291" s="12"/>
      <c r="AP1291" s="12"/>
      <c r="AQ1291" s="12"/>
      <c r="AR1291" s="13"/>
      <c r="AS1291" s="14"/>
    </row>
    <row r="1292" spans="1:45" s="16" customFormat="1" ht="30.95" hidden="1" customHeight="1" x14ac:dyDescent="0.2">
      <c r="A1292" s="35"/>
      <c r="B1292" s="36"/>
      <c r="C1292" s="43"/>
      <c r="D1292" s="29"/>
      <c r="E1292" s="29"/>
      <c r="F1292" s="255"/>
      <c r="G1292" s="256"/>
      <c r="H1292" s="256"/>
      <c r="I1292" s="200"/>
      <c r="J1292" s="203"/>
      <c r="K1292" s="200"/>
      <c r="L1292" s="200"/>
      <c r="M1292" s="37"/>
      <c r="N1292" s="37"/>
      <c r="O1292" s="153"/>
      <c r="P1292" s="45"/>
      <c r="Q1292" s="54"/>
      <c r="R1292" s="260"/>
      <c r="S1292" s="258"/>
      <c r="T1292" s="258"/>
      <c r="U1292" s="38"/>
      <c r="V1292" s="261"/>
      <c r="W1292" s="256"/>
      <c r="X1292" s="256"/>
      <c r="Y1292" s="256"/>
      <c r="Z1292" s="256"/>
      <c r="AA1292" s="54"/>
      <c r="AB1292" s="280" t="s">
        <v>1810</v>
      </c>
      <c r="AC1292" s="31"/>
      <c r="AD1292" s="184"/>
      <c r="AE1292" s="51"/>
      <c r="AF1292" s="52"/>
      <c r="AG1292" s="41"/>
      <c r="AH1292" s="45"/>
      <c r="AI1292" s="28"/>
      <c r="AJ1292" s="28"/>
      <c r="AK1292" s="28"/>
      <c r="AL1292" s="28"/>
      <c r="AM1292" s="12"/>
      <c r="AN1292" s="12"/>
      <c r="AO1292" s="12"/>
      <c r="AP1292" s="12"/>
      <c r="AQ1292" s="12"/>
      <c r="AR1292" s="13"/>
      <c r="AS1292" s="14"/>
    </row>
    <row r="1293" spans="1:45" s="16" customFormat="1" ht="30.95" hidden="1" customHeight="1" x14ac:dyDescent="0.2">
      <c r="A1293" s="35"/>
      <c r="B1293" s="36"/>
      <c r="C1293" s="43"/>
      <c r="D1293" s="29">
        <v>3731373</v>
      </c>
      <c r="E1293" s="29">
        <v>4151525</v>
      </c>
      <c r="F1293" s="255" t="str">
        <f>IF(D1293="","",VLOOKUP(D1293,契約台帳!$A$3:$K$4986,6,FALSE)&amp;VLOOKUP(D1293,契約台帳!$A$3:$K$4986,7,FALSE)&amp;VLOOKUP(D1293,契約台帳!$A$3:$K$4986,8,FALSE)&amp;VLOOKUP(D1293,契約台帳!$A$3:$K$4986,9,FALSE)&amp;VLOOKUP(D1293,契約台帳!$A$3:$K$4986,11,FALSE))</f>
        <v>3SYMLBMSSMBF</v>
      </c>
      <c r="G1293" s="256" t="str">
        <f>IF(D1293="","",VLOOKUP(F1293,製品マスタ!$G$5:$H$4999,2,FALSE))</f>
        <v>S</v>
      </c>
      <c r="H1293" s="256" t="str">
        <f>IF(D1293="","",VLOOKUP(F1293,製品マスタ!$G$5:$K$4999,5,FALSE))</f>
        <v>MSSMBF</v>
      </c>
      <c r="I1293" s="200" t="str">
        <f>IF(D1293="","",VLOOKUP(F1293,製品マスタ!$G$5:$L$4999,6,FALSE))</f>
        <v>ＭＥＴＡＬＵＭＹ　ＳＩＬＶＥＲ　Ｓ－ＭＡＴＴＥ　Ｓ２８ＭＭ　Ｂ</v>
      </c>
      <c r="J1293" s="203" t="s">
        <v>447</v>
      </c>
      <c r="K1293" s="200">
        <f>IF(D1293="","",VLOOKUP(D1293,契約台帳!$A$3:$L$4986,12,FALSE))</f>
        <v>50</v>
      </c>
      <c r="L1293" s="200" t="str">
        <f>IF(D1293="","",INDEX(製品マスタ!$Q$5:$Q$4999,MATCH('S4'!F1293&amp;'S4'!K1293,製品マスタ!$AO$5:$AO$4999,0)))</f>
        <v>LI-MAT</v>
      </c>
      <c r="M1293" s="37">
        <v>1120</v>
      </c>
      <c r="N1293" s="37">
        <v>8000</v>
      </c>
      <c r="O1293" s="153">
        <v>2</v>
      </c>
      <c r="P1293" s="45">
        <v>2</v>
      </c>
      <c r="Q1293" s="54"/>
      <c r="R1293" s="257">
        <f ca="1">IF(D1293="","",IF(OFFSET(D1293,-1,0)&lt;&gt;"","",IF(OR(J1293="リード付け",J1293="巻足し",J1293="巻返しリード付け"),M1293,VLOOKUP(D1293,契約台帳!$A$3:$N$4986,14,FALSE))))</f>
        <v>1120</v>
      </c>
      <c r="S1293" s="258">
        <f ca="1">IF(D1293="","",IF(OFFSET(D1293,-1,0)&lt;&gt;"","",IF(OR(J1293="リード付け",J1293="巻足し",J1293="巻返しリード付け"),M1293,VLOOKUP(D1293,契約台帳!$A$3:$O$4986,15,FALSE))))</f>
        <v>1120</v>
      </c>
      <c r="T1293" s="258">
        <f ca="1">IF(D1293="","",IF(J1293="リード付け",N1293,IF(J1293="巻返しリード付け",N1293,IF(J1293="巻足し",N1293*P1293+OFFSET(N1293,1,0)*OFFSET(P1293,1,0),VLOOKUP(D1293,契約台帳!$A$3:$P$4986,16,FALSE)))))</f>
        <v>4000</v>
      </c>
      <c r="U1293" s="38">
        <v>4</v>
      </c>
      <c r="V1293" s="259">
        <f ca="1">IF(D1293="","",IF(OFFSET(D1293,-2,0)=D1293,"",VLOOKUP(D1293,契約台帳!$A$3:$R$4986,18,FALSE)))</f>
        <v>4</v>
      </c>
      <c r="W1293" s="256" t="str">
        <f ca="1">IF(D1293="","",IF(T1293="","",IF(OR(J1293="巻足し",J1293="巻返しリード付け"),"",IF(J1293="巻返し",VLOOKUP(F1293&amp;K1293&amp;M1293,製品マスタ!$M$5:$AD$4999,18,FALSE),IF(OR(J1293="リード付け",J1293="巻返しリード付け"),"原反コア",IF(J1293="スリット",VLOOKUP(F1293&amp;K1293&amp;R1293,製品マスタ!$N$5:$AD$4999,17,FALSE),""))))))</f>
        <v>6ｲﾝﾁSｺｱ</v>
      </c>
      <c r="X1293" s="256">
        <f ca="1">IF(D1293="","",IF(T1293="","",IF(J1293="巻足し","",IF(J1293="巻返し",VLOOKUP(F1293&amp;K1293&amp;M1293,製品マスタ!$M$5:$AE$4999,19,FALSE),IF(OR(J1293="リード付け",J1293="巻返しリード付け"),"",IF(J1293="スリット",VLOOKUP(F1293&amp;K1293&amp;R1293,製品マスタ!$N$5:$AE$4999,18,FALSE),""))))))</f>
        <v>1125</v>
      </c>
      <c r="Y1293" s="256">
        <f ca="1">IF(D1293="","",IF(T1293="","",VLOOKUP(D1293,契約台帳!$A$3:$Q$4986,17,FALSE)))</f>
        <v>2</v>
      </c>
      <c r="Z1293" s="256" t="str">
        <f ca="1">IF(D1293="","",IF(T1293="","",VLOOKUP(D1293,契約台帳!$A$3:$E$4986,5,FALSE)))</f>
        <v>リンテック㈱</v>
      </c>
      <c r="AA1293" s="54"/>
      <c r="AB1293" s="200" t="s">
        <v>1083</v>
      </c>
      <c r="AC1293" s="31"/>
      <c r="AD1293" s="184"/>
      <c r="AE1293" s="51" t="str">
        <f>IF(F1293="","",+F1293&amp;K1293)</f>
        <v>3SYMLBMSSMBF50</v>
      </c>
      <c r="AF1293" s="52">
        <f>+M1293*N1293*O1293/1000</f>
        <v>17920</v>
      </c>
      <c r="AG1293" s="41">
        <f>IF(AE1293="","",VLOOKUP(AE1293,原価マスタ!$A$2:$AJ$1693,13,FALSE))</f>
        <v>98</v>
      </c>
      <c r="AH1293" s="45">
        <f>IF(AG1293="","",+AF1293*AG1293/100)</f>
        <v>17561.599999999999</v>
      </c>
      <c r="AI1293" s="28"/>
      <c r="AJ1293" s="28"/>
      <c r="AK1293" s="28"/>
      <c r="AL1293" s="28"/>
      <c r="AM1293" s="12"/>
      <c r="AN1293" s="12"/>
      <c r="AO1293" s="12"/>
      <c r="AP1293" s="12"/>
      <c r="AQ1293" s="12"/>
      <c r="AR1293" s="13"/>
      <c r="AS1293" s="14"/>
    </row>
    <row r="1294" spans="1:45" s="16" customFormat="1" ht="30.95" hidden="1" customHeight="1" x14ac:dyDescent="0.2">
      <c r="A1294" s="35"/>
      <c r="B1294" s="36"/>
      <c r="C1294" s="43"/>
      <c r="D1294" s="29"/>
      <c r="E1294" s="29"/>
      <c r="F1294" s="255"/>
      <c r="G1294" s="256"/>
      <c r="H1294" s="256"/>
      <c r="I1294" s="200"/>
      <c r="J1294" s="203"/>
      <c r="K1294" s="200"/>
      <c r="L1294" s="200"/>
      <c r="M1294" s="37"/>
      <c r="N1294" s="37"/>
      <c r="O1294" s="153"/>
      <c r="P1294" s="45"/>
      <c r="Q1294" s="54"/>
      <c r="R1294" s="260"/>
      <c r="S1294" s="258"/>
      <c r="T1294" s="258"/>
      <c r="U1294" s="38"/>
      <c r="V1294" s="261"/>
      <c r="W1294" s="256"/>
      <c r="X1294" s="256"/>
      <c r="Y1294" s="256"/>
      <c r="Z1294" s="256"/>
      <c r="AA1294" s="54"/>
      <c r="AB1294" s="280" t="s">
        <v>1810</v>
      </c>
      <c r="AC1294" s="31"/>
      <c r="AD1294" s="184"/>
      <c r="AE1294" s="51"/>
      <c r="AF1294" s="52"/>
      <c r="AG1294" s="41"/>
      <c r="AH1294" s="45"/>
      <c r="AI1294" s="28"/>
      <c r="AJ1294" s="28"/>
      <c r="AK1294" s="28"/>
      <c r="AL1294" s="28"/>
      <c r="AM1294" s="12"/>
      <c r="AN1294" s="12"/>
      <c r="AO1294" s="12"/>
      <c r="AP1294" s="12"/>
      <c r="AQ1294" s="12"/>
      <c r="AR1294" s="13"/>
      <c r="AS1294" s="14"/>
    </row>
    <row r="1295" spans="1:45" s="16" customFormat="1" ht="30.95" hidden="1" customHeight="1" x14ac:dyDescent="0.2">
      <c r="A1295" s="35"/>
      <c r="B1295" s="36"/>
      <c r="C1295" s="43"/>
      <c r="D1295" s="29">
        <v>3731375</v>
      </c>
      <c r="E1295" s="29">
        <v>4151521</v>
      </c>
      <c r="F1295" s="255" t="str">
        <f>IF(D1295="","",VLOOKUP(D1295,契約台帳!$A$3:$K$4986,6,FALSE)&amp;VLOOKUP(D1295,契約台帳!$A$3:$K$4986,7,FALSE)&amp;VLOOKUP(D1295,契約台帳!$A$3:$K$4986,8,FALSE)&amp;VLOOKUP(D1295,契約台帳!$A$3:$K$4986,9,FALSE)&amp;VLOOKUP(D1295,契約台帳!$A$3:$K$4986,11,FALSE))</f>
        <v>3SYMLBMSNMBF</v>
      </c>
      <c r="G1295" s="256" t="str">
        <f>IF(D1295="","",VLOOKUP(F1295,製品マスタ!$G$5:$H$4999,2,FALSE))</f>
        <v>S</v>
      </c>
      <c r="H1295" s="256" t="str">
        <f>IF(D1295="","",VLOOKUP(F1295,製品マスタ!$G$5:$K$4999,5,FALSE))</f>
        <v>MSNMBF</v>
      </c>
      <c r="I1295" s="200" t="str">
        <f>IF(D1295="","",VLOOKUP(F1295,製品マスタ!$G$5:$L$4999,6,FALSE))</f>
        <v>ＭＥＴＡＬＵＭＹ　ＳＩＬＶＥＲ　Ｎ－ＭＡＴＴＥ　Ｘ４４Ｍ　Ｂ</v>
      </c>
      <c r="J1295" s="203" t="s">
        <v>447</v>
      </c>
      <c r="K1295" s="200">
        <f>IF(D1295="","",VLOOKUP(D1295,契約台帳!$A$3:$L$4986,12,FALSE))</f>
        <v>50</v>
      </c>
      <c r="L1295" s="200" t="str">
        <f>IF(D1295="","",INDEX(製品マスタ!$Q$5:$Q$4999,MATCH('S4'!F1295&amp;'S4'!K1295,製品マスタ!$AO$5:$AO$4999,0)))</f>
        <v>X44</v>
      </c>
      <c r="M1295" s="37">
        <v>1120</v>
      </c>
      <c r="N1295" s="37">
        <v>8000</v>
      </c>
      <c r="O1295" s="153">
        <v>1</v>
      </c>
      <c r="P1295" s="45">
        <v>1</v>
      </c>
      <c r="Q1295" s="54"/>
      <c r="R1295" s="257">
        <f ca="1">IF(D1295="","",IF(OFFSET(D1295,-1,0)&lt;&gt;"","",IF(OR(J1295="リード付け",J1295="巻足し",J1295="巻返しリード付け"),M1295,VLOOKUP(D1295,契約台帳!$A$3:$N$4986,14,FALSE))))</f>
        <v>1120</v>
      </c>
      <c r="S1295" s="258">
        <f ca="1">IF(D1295="","",IF(OFFSET(D1295,-1,0)&lt;&gt;"","",IF(OR(J1295="リード付け",J1295="巻足し",J1295="巻返しリード付け"),M1295,VLOOKUP(D1295,契約台帳!$A$3:$O$4986,15,FALSE))))</f>
        <v>1120</v>
      </c>
      <c r="T1295" s="258">
        <f ca="1">IF(D1295="","",IF(J1295="リード付け",N1295,IF(J1295="巻返しリード付け",N1295,IF(J1295="巻足し",N1295*P1295+OFFSET(N1295,1,0)*OFFSET(P1295,1,0),VLOOKUP(D1295,契約台帳!$A$3:$P$4986,16,FALSE)))))</f>
        <v>4000</v>
      </c>
      <c r="U1295" s="38">
        <v>2</v>
      </c>
      <c r="V1295" s="259">
        <f ca="1">IF(D1295="","",IF(OFFSET(D1295,-2,0)=D1295,"",VLOOKUP(D1295,契約台帳!$A$3:$R$4986,18,FALSE)))</f>
        <v>2</v>
      </c>
      <c r="W1295" s="256" t="str">
        <f ca="1">IF(D1295="","",IF(T1295="","",IF(OR(J1295="巻足し",J1295="巻返しリード付け"),"",IF(J1295="巻返し",VLOOKUP(F1295&amp;K1295&amp;M1295,製品マスタ!$M$5:$AD$4999,18,FALSE),IF(OR(J1295="リード付け",J1295="巻返しリード付け"),"原反コア",IF(J1295="スリット",VLOOKUP(F1295&amp;K1295&amp;R1295,製品マスタ!$N$5:$AD$4999,17,FALSE),""))))))</f>
        <v>6ｲﾝﾁMｺｱ</v>
      </c>
      <c r="X1295" s="256">
        <f ca="1">IF(D1295="","",IF(T1295="","",IF(J1295="巻足し","",IF(J1295="巻返し",VLOOKUP(F1295&amp;K1295&amp;M1295,製品マスタ!$M$5:$AE$4999,19,FALSE),IF(OR(J1295="リード付け",J1295="巻返しリード付け"),"",IF(J1295="スリット",VLOOKUP(F1295&amp;K1295&amp;R1295,製品マスタ!$N$5:$AE$4999,18,FALSE),""))))))</f>
        <v>1125</v>
      </c>
      <c r="Y1295" s="256">
        <f ca="1">IF(D1295="","",IF(T1295="","",VLOOKUP(D1295,契約台帳!$A$3:$Q$4986,17,FALSE)))</f>
        <v>2</v>
      </c>
      <c r="Z1295" s="256" t="str">
        <f ca="1">IF(D1295="","",IF(T1295="","",VLOOKUP(D1295,契約台帳!$A$3:$E$4986,5,FALSE)))</f>
        <v>リンテック㈱</v>
      </c>
      <c r="AA1295" s="54"/>
      <c r="AB1295" s="200" t="s">
        <v>1083</v>
      </c>
      <c r="AC1295" s="31"/>
      <c r="AD1295" s="184"/>
      <c r="AE1295" s="51" t="str">
        <f>IF(F1295="","",+F1295&amp;K1295)</f>
        <v>3SYMLBMSNMBF50</v>
      </c>
      <c r="AF1295" s="52">
        <f>+M1295*N1295*O1295/1000</f>
        <v>8960</v>
      </c>
      <c r="AG1295" s="41">
        <f>IF(AE1295="","",VLOOKUP(AE1295,原価マスタ!$A$2:$AJ$1693,13,FALSE))</f>
        <v>98.8</v>
      </c>
      <c r="AH1295" s="45">
        <f>IF(AG1295="","",+AF1295*AG1295/100)</f>
        <v>8852.48</v>
      </c>
      <c r="AI1295" s="28"/>
      <c r="AJ1295" s="28"/>
      <c r="AK1295" s="28"/>
      <c r="AL1295" s="28"/>
      <c r="AM1295" s="12"/>
      <c r="AN1295" s="12"/>
      <c r="AO1295" s="12"/>
      <c r="AP1295" s="12"/>
      <c r="AQ1295" s="12"/>
      <c r="AR1295" s="13"/>
      <c r="AS1295" s="14"/>
    </row>
    <row r="1296" spans="1:45" s="16" customFormat="1" ht="30.95" hidden="1" customHeight="1" x14ac:dyDescent="0.2">
      <c r="A1296" s="35"/>
      <c r="B1296" s="36"/>
      <c r="C1296" s="43"/>
      <c r="D1296" s="29"/>
      <c r="E1296" s="29"/>
      <c r="F1296" s="255"/>
      <c r="G1296" s="256"/>
      <c r="H1296" s="256"/>
      <c r="I1296" s="200"/>
      <c r="J1296" s="203"/>
      <c r="K1296" s="200"/>
      <c r="L1296" s="200"/>
      <c r="M1296" s="37"/>
      <c r="N1296" s="37"/>
      <c r="O1296" s="153"/>
      <c r="P1296" s="45"/>
      <c r="Q1296" s="54"/>
      <c r="R1296" s="260"/>
      <c r="S1296" s="258"/>
      <c r="T1296" s="258"/>
      <c r="U1296" s="38"/>
      <c r="V1296" s="261"/>
      <c r="W1296" s="256"/>
      <c r="X1296" s="256"/>
      <c r="Y1296" s="256"/>
      <c r="Z1296" s="256"/>
      <c r="AA1296" s="54"/>
      <c r="AB1296" s="280" t="s">
        <v>1810</v>
      </c>
      <c r="AC1296" s="31"/>
      <c r="AD1296" s="184"/>
      <c r="AE1296" s="51"/>
      <c r="AF1296" s="52"/>
      <c r="AG1296" s="41"/>
      <c r="AH1296" s="45"/>
      <c r="AI1296" s="28"/>
      <c r="AJ1296" s="28"/>
      <c r="AK1296" s="28"/>
      <c r="AL1296" s="28"/>
      <c r="AM1296" s="12"/>
      <c r="AN1296" s="12"/>
      <c r="AO1296" s="12"/>
      <c r="AP1296" s="12"/>
      <c r="AQ1296" s="12"/>
      <c r="AR1296" s="13"/>
      <c r="AS1296" s="14"/>
    </row>
    <row r="1297" spans="1:45" s="16" customFormat="1" ht="30.95" hidden="1" customHeight="1" x14ac:dyDescent="0.2">
      <c r="A1297" s="35"/>
      <c r="B1297" s="36"/>
      <c r="C1297" s="43"/>
      <c r="D1297" s="29">
        <v>3731377</v>
      </c>
      <c r="E1297" s="29">
        <v>4151522</v>
      </c>
      <c r="F1297" s="255" t="str">
        <f>IF(D1297="","",VLOOKUP(D1297,契約台帳!$A$3:$K$4986,6,FALSE)&amp;VLOOKUP(D1297,契約台帳!$A$3:$K$4986,7,FALSE)&amp;VLOOKUP(D1297,契約台帳!$A$3:$K$4986,8,FALSE)&amp;VLOOKUP(D1297,契約台帳!$A$3:$K$4986,9,FALSE)&amp;VLOOKUP(D1297,契約台帳!$A$3:$K$4986,11,FALSE))</f>
        <v>3SYMLBMSNMBF</v>
      </c>
      <c r="G1297" s="256" t="str">
        <f>IF(D1297="","",VLOOKUP(F1297,製品マスタ!$G$5:$H$4999,2,FALSE))</f>
        <v>S</v>
      </c>
      <c r="H1297" s="256" t="str">
        <f>IF(D1297="","",VLOOKUP(F1297,製品マスタ!$G$5:$K$4999,5,FALSE))</f>
        <v>MSNMBF</v>
      </c>
      <c r="I1297" s="200" t="str">
        <f>IF(D1297="","",VLOOKUP(F1297,製品マスタ!$G$5:$L$4999,6,FALSE))</f>
        <v>ＭＥＴＡＬＵＭＹ　ＳＩＬＶＥＲ　Ｎ－ＭＡＴＴＥ　Ｘ４４Ｍ　Ｂ</v>
      </c>
      <c r="J1297" s="203" t="s">
        <v>447</v>
      </c>
      <c r="K1297" s="200">
        <f>IF(D1297="","",VLOOKUP(D1297,契約台帳!$A$3:$L$4986,12,FALSE))</f>
        <v>50</v>
      </c>
      <c r="L1297" s="200" t="str">
        <f>IF(D1297="","",INDEX(製品マスタ!$Q$5:$Q$4999,MATCH('S4'!F1297&amp;'S4'!K1297,製品マスタ!$AO$5:$AO$4999,0)))</f>
        <v>X44</v>
      </c>
      <c r="M1297" s="37">
        <v>1120</v>
      </c>
      <c r="N1297" s="37">
        <v>8000</v>
      </c>
      <c r="O1297" s="153">
        <v>2</v>
      </c>
      <c r="P1297" s="45">
        <v>2</v>
      </c>
      <c r="Q1297" s="54"/>
      <c r="R1297" s="257">
        <f ca="1">IF(D1297="","",IF(OFFSET(D1297,-1,0)&lt;&gt;"","",IF(OR(J1297="リード付け",J1297="巻足し",J1297="巻返しリード付け"),M1297,VLOOKUP(D1297,契約台帳!$A$3:$N$4986,14,FALSE))))</f>
        <v>1120</v>
      </c>
      <c r="S1297" s="258">
        <f ca="1">IF(D1297="","",IF(OFFSET(D1297,-1,0)&lt;&gt;"","",IF(OR(J1297="リード付け",J1297="巻足し",J1297="巻返しリード付け"),M1297,VLOOKUP(D1297,契約台帳!$A$3:$O$4986,15,FALSE))))</f>
        <v>1120</v>
      </c>
      <c r="T1297" s="258">
        <f ca="1">IF(D1297="","",IF(J1297="リード付け",N1297,IF(J1297="巻返しリード付け",N1297,IF(J1297="巻足し",N1297*P1297+OFFSET(N1297,1,0)*OFFSET(P1297,1,0),VLOOKUP(D1297,契約台帳!$A$3:$P$4986,16,FALSE)))))</f>
        <v>4000</v>
      </c>
      <c r="U1297" s="38">
        <v>4</v>
      </c>
      <c r="V1297" s="259">
        <f ca="1">IF(D1297="","",IF(OFFSET(D1297,-2,0)=D1297,"",VLOOKUP(D1297,契約台帳!$A$3:$R$4986,18,FALSE)))</f>
        <v>4</v>
      </c>
      <c r="W1297" s="256" t="str">
        <f ca="1">IF(D1297="","",IF(T1297="","",IF(OR(J1297="巻足し",J1297="巻返しリード付け"),"",IF(J1297="巻返し",VLOOKUP(F1297&amp;K1297&amp;M1297,製品マスタ!$M$5:$AD$4999,18,FALSE),IF(OR(J1297="リード付け",J1297="巻返しリード付け"),"原反コア",IF(J1297="スリット",VLOOKUP(F1297&amp;K1297&amp;R1297,製品マスタ!$N$5:$AD$4999,17,FALSE),""))))))</f>
        <v>6ｲﾝﾁMｺｱ</v>
      </c>
      <c r="X1297" s="256">
        <f ca="1">IF(D1297="","",IF(T1297="","",IF(J1297="巻足し","",IF(J1297="巻返し",VLOOKUP(F1297&amp;K1297&amp;M1297,製品マスタ!$M$5:$AE$4999,19,FALSE),IF(OR(J1297="リード付け",J1297="巻返しリード付け"),"",IF(J1297="スリット",VLOOKUP(F1297&amp;K1297&amp;R1297,製品マスタ!$N$5:$AE$4999,18,FALSE),""))))))</f>
        <v>1125</v>
      </c>
      <c r="Y1297" s="256">
        <f ca="1">IF(D1297="","",IF(T1297="","",VLOOKUP(D1297,契約台帳!$A$3:$Q$4986,17,FALSE)))</f>
        <v>2</v>
      </c>
      <c r="Z1297" s="256" t="str">
        <f ca="1">IF(D1297="","",IF(T1297="","",VLOOKUP(D1297,契約台帳!$A$3:$E$4986,5,FALSE)))</f>
        <v>リンテック㈱</v>
      </c>
      <c r="AA1297" s="54"/>
      <c r="AB1297" s="200" t="s">
        <v>1083</v>
      </c>
      <c r="AC1297" s="31"/>
      <c r="AD1297" s="184"/>
      <c r="AE1297" s="51" t="str">
        <f>IF(F1297="","",+F1297&amp;K1297)</f>
        <v>3SYMLBMSNMBF50</v>
      </c>
      <c r="AF1297" s="52">
        <f>+M1297*N1297*O1297/1000</f>
        <v>17920</v>
      </c>
      <c r="AG1297" s="41">
        <f>IF(AE1297="","",VLOOKUP(AE1297,原価マスタ!$A$2:$AJ$1693,13,FALSE))</f>
        <v>98.8</v>
      </c>
      <c r="AH1297" s="45">
        <f>IF(AG1297="","",+AF1297*AG1297/100)</f>
        <v>17704.96</v>
      </c>
      <c r="AI1297" s="28"/>
      <c r="AJ1297" s="28"/>
      <c r="AK1297" s="28"/>
      <c r="AL1297" s="28"/>
      <c r="AM1297" s="12"/>
      <c r="AN1297" s="12"/>
      <c r="AO1297" s="12"/>
      <c r="AP1297" s="12"/>
      <c r="AQ1297" s="12"/>
      <c r="AR1297" s="13"/>
      <c r="AS1297" s="14"/>
    </row>
    <row r="1298" spans="1:45" s="16" customFormat="1" ht="30.95" hidden="1" customHeight="1" x14ac:dyDescent="0.2">
      <c r="A1298" s="35"/>
      <c r="B1298" s="36"/>
      <c r="C1298" s="43"/>
      <c r="D1298" s="29"/>
      <c r="E1298" s="29"/>
      <c r="F1298" s="255"/>
      <c r="G1298" s="256"/>
      <c r="H1298" s="256"/>
      <c r="I1298" s="200"/>
      <c r="J1298" s="203"/>
      <c r="K1298" s="200"/>
      <c r="L1298" s="200"/>
      <c r="M1298" s="37"/>
      <c r="N1298" s="37"/>
      <c r="O1298" s="153"/>
      <c r="P1298" s="45"/>
      <c r="Q1298" s="54"/>
      <c r="R1298" s="260"/>
      <c r="S1298" s="258"/>
      <c r="T1298" s="258"/>
      <c r="U1298" s="38"/>
      <c r="V1298" s="261"/>
      <c r="W1298" s="256"/>
      <c r="X1298" s="256"/>
      <c r="Y1298" s="256"/>
      <c r="Z1298" s="256"/>
      <c r="AA1298" s="54"/>
      <c r="AB1298" s="280" t="s">
        <v>1810</v>
      </c>
      <c r="AC1298" s="31"/>
      <c r="AD1298" s="184"/>
      <c r="AE1298" s="51"/>
      <c r="AF1298" s="52"/>
      <c r="AG1298" s="41"/>
      <c r="AH1298" s="45"/>
      <c r="AI1298" s="28"/>
      <c r="AJ1298" s="28"/>
      <c r="AK1298" s="28"/>
      <c r="AL1298" s="28"/>
      <c r="AM1298" s="12"/>
      <c r="AN1298" s="12"/>
      <c r="AO1298" s="12"/>
      <c r="AP1298" s="12"/>
      <c r="AQ1298" s="12"/>
      <c r="AR1298" s="13"/>
      <c r="AS1298" s="14"/>
    </row>
    <row r="1299" spans="1:45" s="16" customFormat="1" ht="30.95" hidden="1" customHeight="1" x14ac:dyDescent="0.2">
      <c r="A1299" s="35" t="s">
        <v>1748</v>
      </c>
      <c r="B1299" s="36" t="s">
        <v>1743</v>
      </c>
      <c r="C1299" s="43"/>
      <c r="D1299" s="29"/>
      <c r="E1299" s="29"/>
      <c r="F1299" s="255"/>
      <c r="G1299" s="256"/>
      <c r="H1299" s="256"/>
      <c r="I1299" s="200"/>
      <c r="J1299" s="203" t="s">
        <v>1745</v>
      </c>
      <c r="K1299" s="200"/>
      <c r="L1299" s="200"/>
      <c r="M1299" s="37"/>
      <c r="N1299" s="37"/>
      <c r="O1299" s="153"/>
      <c r="P1299" s="45"/>
      <c r="Q1299" s="54"/>
      <c r="R1299" s="260"/>
      <c r="S1299" s="258"/>
      <c r="T1299" s="258"/>
      <c r="U1299" s="38"/>
      <c r="V1299" s="261"/>
      <c r="W1299" s="256"/>
      <c r="X1299" s="256"/>
      <c r="Y1299" s="256"/>
      <c r="Z1299" s="256"/>
      <c r="AA1299" s="54"/>
      <c r="AB1299" s="200"/>
      <c r="AC1299" s="31"/>
      <c r="AD1299" s="184"/>
      <c r="AE1299" s="51"/>
      <c r="AF1299" s="52"/>
      <c r="AG1299" s="41"/>
      <c r="AH1299" s="45"/>
      <c r="AI1299" s="28"/>
      <c r="AJ1299" s="28"/>
      <c r="AK1299" s="28"/>
      <c r="AL1299" s="28"/>
      <c r="AM1299" s="12"/>
      <c r="AN1299" s="12"/>
      <c r="AO1299" s="12"/>
      <c r="AP1299" s="12"/>
      <c r="AQ1299" s="12"/>
      <c r="AR1299" s="13"/>
      <c r="AS1299" s="14"/>
    </row>
    <row r="1300" spans="1:45" s="16" customFormat="1" ht="30.95" hidden="1" customHeight="1" x14ac:dyDescent="0.2">
      <c r="A1300" s="35"/>
      <c r="B1300" s="36"/>
      <c r="C1300" s="43"/>
      <c r="D1300" s="29"/>
      <c r="E1300" s="29"/>
      <c r="F1300" s="255"/>
      <c r="G1300" s="256"/>
      <c r="H1300" s="256"/>
      <c r="I1300" s="200"/>
      <c r="J1300" s="203"/>
      <c r="K1300" s="200"/>
      <c r="L1300" s="200"/>
      <c r="M1300" s="37"/>
      <c r="N1300" s="37"/>
      <c r="O1300" s="153"/>
      <c r="P1300" s="45"/>
      <c r="Q1300" s="54"/>
      <c r="R1300" s="260"/>
      <c r="S1300" s="258"/>
      <c r="T1300" s="258"/>
      <c r="U1300" s="38"/>
      <c r="V1300" s="261"/>
      <c r="W1300" s="256"/>
      <c r="X1300" s="256"/>
      <c r="Y1300" s="256"/>
      <c r="Z1300" s="256"/>
      <c r="AA1300" s="54"/>
      <c r="AB1300" s="200"/>
      <c r="AC1300" s="31"/>
      <c r="AD1300" s="184"/>
      <c r="AE1300" s="51"/>
      <c r="AF1300" s="52"/>
      <c r="AG1300" s="41"/>
      <c r="AH1300" s="45"/>
      <c r="AI1300" s="28"/>
      <c r="AJ1300" s="28"/>
      <c r="AK1300" s="28"/>
      <c r="AL1300" s="28"/>
      <c r="AM1300" s="12"/>
      <c r="AN1300" s="12"/>
      <c r="AO1300" s="12"/>
      <c r="AP1300" s="12"/>
      <c r="AQ1300" s="12"/>
      <c r="AR1300" s="13"/>
      <c r="AS1300" s="14"/>
    </row>
    <row r="1301" spans="1:45" s="16" customFormat="1" ht="30.95" hidden="1" customHeight="1" x14ac:dyDescent="0.2">
      <c r="A1301" s="35" t="s">
        <v>1749</v>
      </c>
      <c r="B1301" s="302" t="s">
        <v>1744</v>
      </c>
      <c r="C1301" s="43"/>
      <c r="D1301" s="29"/>
      <c r="E1301" s="29"/>
      <c r="F1301" s="255"/>
      <c r="G1301" s="256"/>
      <c r="H1301" s="256"/>
      <c r="I1301" s="200"/>
      <c r="J1301" s="203" t="s">
        <v>1745</v>
      </c>
      <c r="K1301" s="200"/>
      <c r="L1301" s="200"/>
      <c r="M1301" s="37"/>
      <c r="N1301" s="37"/>
      <c r="O1301" s="153"/>
      <c r="P1301" s="45"/>
      <c r="Q1301" s="54"/>
      <c r="R1301" s="260"/>
      <c r="S1301" s="258"/>
      <c r="T1301" s="258"/>
      <c r="U1301" s="38"/>
      <c r="V1301" s="261"/>
      <c r="W1301" s="256"/>
      <c r="X1301" s="256"/>
      <c r="Y1301" s="256"/>
      <c r="Z1301" s="256"/>
      <c r="AA1301" s="54"/>
      <c r="AB1301" s="200"/>
      <c r="AC1301" s="31"/>
      <c r="AD1301" s="184"/>
      <c r="AE1301" s="51"/>
      <c r="AF1301" s="52"/>
      <c r="AG1301" s="41"/>
      <c r="AH1301" s="45"/>
      <c r="AI1301" s="28"/>
      <c r="AJ1301" s="28"/>
      <c r="AK1301" s="28"/>
      <c r="AL1301" s="28"/>
      <c r="AM1301" s="12"/>
      <c r="AN1301" s="12"/>
      <c r="AO1301" s="12"/>
      <c r="AP1301" s="12"/>
      <c r="AQ1301" s="12"/>
      <c r="AR1301" s="13"/>
      <c r="AS1301" s="14"/>
    </row>
    <row r="1302" spans="1:45" s="16" customFormat="1" ht="30.95" hidden="1" customHeight="1" x14ac:dyDescent="0.2">
      <c r="A1302" s="35"/>
      <c r="B1302" s="36"/>
      <c r="C1302" s="43"/>
      <c r="D1302" s="29"/>
      <c r="E1302" s="29"/>
      <c r="F1302" s="255"/>
      <c r="G1302" s="256"/>
      <c r="H1302" s="256"/>
      <c r="I1302" s="200"/>
      <c r="J1302" s="203"/>
      <c r="K1302" s="200"/>
      <c r="L1302" s="200"/>
      <c r="M1302" s="37"/>
      <c r="N1302" s="37"/>
      <c r="O1302" s="153"/>
      <c r="P1302" s="45"/>
      <c r="Q1302" s="54"/>
      <c r="R1302" s="260"/>
      <c r="S1302" s="258"/>
      <c r="T1302" s="258"/>
      <c r="U1302" s="38"/>
      <c r="V1302" s="261"/>
      <c r="W1302" s="256"/>
      <c r="X1302" s="256"/>
      <c r="Y1302" s="256"/>
      <c r="Z1302" s="256"/>
      <c r="AA1302" s="54"/>
      <c r="AB1302" s="200"/>
      <c r="AC1302" s="31"/>
      <c r="AD1302" s="184"/>
      <c r="AE1302" s="51"/>
      <c r="AF1302" s="52"/>
      <c r="AG1302" s="41"/>
      <c r="AH1302" s="45"/>
      <c r="AI1302" s="28"/>
      <c r="AJ1302" s="28"/>
      <c r="AK1302" s="28"/>
      <c r="AL1302" s="28"/>
      <c r="AM1302" s="12"/>
      <c r="AN1302" s="12"/>
      <c r="AO1302" s="12"/>
      <c r="AP1302" s="12"/>
      <c r="AQ1302" s="12"/>
      <c r="AR1302" s="13"/>
      <c r="AS1302" s="14"/>
    </row>
    <row r="1303" spans="1:45" s="16" customFormat="1" ht="30.95" hidden="1" customHeight="1" x14ac:dyDescent="0.2">
      <c r="A1303" s="35" t="s">
        <v>1786</v>
      </c>
      <c r="B1303" s="36" t="s">
        <v>1787</v>
      </c>
      <c r="C1303" s="43"/>
      <c r="D1303" s="29"/>
      <c r="E1303" s="29"/>
      <c r="F1303" s="255"/>
      <c r="G1303" s="256"/>
      <c r="H1303" s="256"/>
      <c r="I1303" s="200"/>
      <c r="J1303" s="203"/>
      <c r="K1303" s="200"/>
      <c r="L1303" s="200"/>
      <c r="M1303" s="37"/>
      <c r="N1303" s="37"/>
      <c r="O1303" s="153"/>
      <c r="P1303" s="45"/>
      <c r="Q1303" s="54"/>
      <c r="R1303" s="260"/>
      <c r="S1303" s="258"/>
      <c r="T1303" s="258"/>
      <c r="U1303" s="38"/>
      <c r="V1303" s="261"/>
      <c r="W1303" s="256"/>
      <c r="X1303" s="256"/>
      <c r="Y1303" s="256"/>
      <c r="Z1303" s="256"/>
      <c r="AA1303" s="54"/>
      <c r="AB1303" s="200"/>
      <c r="AC1303" s="31"/>
      <c r="AD1303" s="184"/>
      <c r="AE1303" s="51"/>
      <c r="AF1303" s="52"/>
      <c r="AG1303" s="41"/>
      <c r="AH1303" s="45"/>
      <c r="AI1303" s="28"/>
      <c r="AJ1303" s="28"/>
      <c r="AK1303" s="28"/>
      <c r="AL1303" s="28"/>
      <c r="AM1303" s="12"/>
      <c r="AN1303" s="12"/>
      <c r="AO1303" s="12"/>
      <c r="AP1303" s="12"/>
      <c r="AQ1303" s="12"/>
      <c r="AR1303" s="13"/>
      <c r="AS1303" s="14"/>
    </row>
    <row r="1304" spans="1:45" s="16" customFormat="1" ht="30.95" hidden="1" customHeight="1" x14ac:dyDescent="0.2">
      <c r="A1304" s="35"/>
      <c r="B1304" s="36"/>
      <c r="C1304" s="43"/>
      <c r="D1304" s="29"/>
      <c r="E1304" s="29"/>
      <c r="F1304" s="255"/>
      <c r="G1304" s="256"/>
      <c r="H1304" s="256"/>
      <c r="I1304" s="200"/>
      <c r="J1304" s="203"/>
      <c r="K1304" s="200"/>
      <c r="L1304" s="200"/>
      <c r="M1304" s="37"/>
      <c r="N1304" s="37"/>
      <c r="O1304" s="153"/>
      <c r="P1304" s="45"/>
      <c r="Q1304" s="54"/>
      <c r="R1304" s="260"/>
      <c r="S1304" s="258"/>
      <c r="T1304" s="258"/>
      <c r="U1304" s="38"/>
      <c r="V1304" s="261"/>
      <c r="W1304" s="256"/>
      <c r="X1304" s="256"/>
      <c r="Y1304" s="256"/>
      <c r="Z1304" s="256"/>
      <c r="AA1304" s="54"/>
      <c r="AB1304" s="200"/>
      <c r="AC1304" s="31"/>
      <c r="AD1304" s="184"/>
      <c r="AE1304" s="51"/>
      <c r="AF1304" s="52"/>
      <c r="AG1304" s="41"/>
      <c r="AH1304" s="45"/>
      <c r="AI1304" s="28"/>
      <c r="AJ1304" s="28"/>
      <c r="AK1304" s="28"/>
      <c r="AL1304" s="28"/>
      <c r="AM1304" s="12"/>
      <c r="AN1304" s="12"/>
      <c r="AO1304" s="12"/>
      <c r="AP1304" s="12"/>
      <c r="AQ1304" s="12"/>
      <c r="AR1304" s="13"/>
      <c r="AS1304" s="14"/>
    </row>
    <row r="1305" spans="1:45" s="16" customFormat="1" ht="30.95" hidden="1" customHeight="1" x14ac:dyDescent="0.2">
      <c r="A1305" s="35" t="s">
        <v>1788</v>
      </c>
      <c r="B1305" s="36" t="s">
        <v>1789</v>
      </c>
      <c r="C1305" s="43"/>
      <c r="D1305" s="29">
        <v>3731344</v>
      </c>
      <c r="E1305" s="29">
        <v>4141060</v>
      </c>
      <c r="F1305" s="255" t="str">
        <f>IF(D1305="","",VLOOKUP(D1305,契約台帳!$A$3:$K$4986,6,FALSE)&amp;VLOOKUP(D1305,契約台帳!$A$3:$K$4986,7,FALSE)&amp;VLOOKUP(D1305,契約台帳!$A$3:$K$4986,8,FALSE)&amp;VLOOKUP(D1305,契約台帳!$A$3:$K$4986,9,FALSE)&amp;VLOOKUP(D1305,契約台帳!$A$3:$K$4986,11,FALSE))</f>
        <v>3SNCLBLEYK</v>
      </c>
      <c r="G1305" s="256" t="str">
        <f>IF(D1305="","",VLOOKUP(F1305,製品マスタ!$G$5:$H$4999,2,FALSE))</f>
        <v>S</v>
      </c>
      <c r="H1305" s="256" t="str">
        <f>IF(D1305="","",VLOOKUP(F1305,製品マスタ!$G$5:$K$4999,5,FALSE))</f>
        <v>LEYK</v>
      </c>
      <c r="I1305" s="200" t="str">
        <f>IF(D1305="","",VLOOKUP(F1305,製品マスタ!$G$5:$L$4999,6,FALSE))</f>
        <v>ルミラー　ＥＹＫ</v>
      </c>
      <c r="J1305" s="203" t="s">
        <v>447</v>
      </c>
      <c r="K1305" s="200">
        <f>IF(D1305="","",VLOOKUP(D1305,契約台帳!$A$3:$L$4986,12,FALSE))</f>
        <v>50</v>
      </c>
      <c r="L1305" s="200" t="str">
        <f>IF(D1305="","",INDEX(製品マスタ!$Q$5:$Q$4999,MATCH('S4'!F1305&amp;'S4'!K1305,製品マスタ!$AO$5:$AO$4999,0)))</f>
        <v>T62M</v>
      </c>
      <c r="M1305" s="37">
        <v>1125</v>
      </c>
      <c r="N1305" s="37">
        <v>6100</v>
      </c>
      <c r="O1305" s="153">
        <v>7</v>
      </c>
      <c r="P1305" s="45">
        <v>8</v>
      </c>
      <c r="Q1305" s="54"/>
      <c r="R1305" s="257">
        <f ca="1">IF(D1305="","",IF(OFFSET(D1305,-1,0)&lt;&gt;"","",IF(OR(J1305="リード付け",J1305="巻足し",J1305="巻返しリード付け"),M1305,VLOOKUP(D1305,契約台帳!$A$3:$N$4986,14,FALSE))))</f>
        <v>1120</v>
      </c>
      <c r="S1305" s="258">
        <f ca="1">IF(D1305="","",IF(OFFSET(D1305,-1,0)&lt;&gt;"","",IF(OR(J1305="リード付け",J1305="巻足し",J1305="巻返しリード付け"),M1305,VLOOKUP(D1305,契約台帳!$A$3:$O$4986,15,FALSE))))</f>
        <v>1120</v>
      </c>
      <c r="T1305" s="258">
        <f ca="1">IF(D1305="","",IF(J1305="リード付け",N1305,IF(J1305="巻返しリード付け",N1305,IF(J1305="巻足し",N1305*P1305+OFFSET(N1305,1,0)*OFFSET(P1305,1,0),VLOOKUP(D1305,契約台帳!$A$3:$P$4986,16,FALSE)))))</f>
        <v>6000</v>
      </c>
      <c r="U1305" s="38">
        <v>7</v>
      </c>
      <c r="V1305" s="259">
        <f ca="1">IF(D1305="","",IF(OFFSET(D1305,-2,0)=D1305,"",VLOOKUP(D1305,契約台帳!$A$3:$R$4986,18,FALSE)))</f>
        <v>8</v>
      </c>
      <c r="W1305" s="256" t="str">
        <f ca="1">IF(D1305="","",IF(T1305="","",IF(OR(J1305="巻足し",J1305="巻返しリード付け"),"",IF(J1305="巻返し",VLOOKUP(F1305&amp;K1305&amp;M1305,製品マスタ!$M$5:$AD$4999,18,FALSE),IF(OR(J1305="リード付け",J1305="巻返しリード付け"),"原反コア",IF(J1305="スリット",VLOOKUP(F1305&amp;K1305&amp;R1305,製品マスタ!$N$5:$AD$4999,17,FALSE),""))))))</f>
        <v>6ｲﾝﾁMｺｱ</v>
      </c>
      <c r="X1305" s="256">
        <f ca="1">IF(D1305="","",IF(T1305="","",IF(J1305="巻足し","",IF(J1305="巻返し",VLOOKUP(F1305&amp;K1305&amp;M1305,製品マスタ!$M$5:$AE$4999,19,FALSE),IF(OR(J1305="リード付け",J1305="巻返しリード付け"),"",IF(J1305="スリット",VLOOKUP(F1305&amp;K1305&amp;R1305,製品マスタ!$N$5:$AE$4999,18,FALSE),""))))))</f>
        <v>1140</v>
      </c>
      <c r="Y1305" s="256">
        <f ca="1">IF(D1305="","",IF(T1305="","",VLOOKUP(D1305,契約台帳!$A$3:$Q$4986,17,FALSE)))</f>
        <v>2</v>
      </c>
      <c r="Z1305" s="256" t="str">
        <f ca="1">IF(D1305="","",IF(T1305="","",VLOOKUP(D1305,契約台帳!$A$3:$E$4986,5,FALSE)))</f>
        <v>新タック化成㈱</v>
      </c>
      <c r="AA1305" s="54"/>
      <c r="AB1305" s="200"/>
      <c r="AC1305" s="31"/>
      <c r="AD1305" s="184"/>
      <c r="AE1305" s="51"/>
      <c r="AF1305" s="52"/>
      <c r="AG1305" s="41"/>
      <c r="AH1305" s="45"/>
      <c r="AI1305" s="28"/>
      <c r="AJ1305" s="28"/>
      <c r="AK1305" s="28"/>
      <c r="AL1305" s="28"/>
      <c r="AM1305" s="12"/>
      <c r="AN1305" s="12"/>
      <c r="AO1305" s="12"/>
      <c r="AP1305" s="12"/>
      <c r="AQ1305" s="12"/>
      <c r="AR1305" s="13"/>
      <c r="AS1305" s="14"/>
    </row>
    <row r="1306" spans="1:45" s="16" customFormat="1" ht="30.95" hidden="1" customHeight="1" x14ac:dyDescent="0.2">
      <c r="A1306" s="35"/>
      <c r="B1306" s="36"/>
      <c r="C1306" s="43"/>
      <c r="D1306" s="29"/>
      <c r="E1306" s="29"/>
      <c r="F1306" s="255"/>
      <c r="G1306" s="256"/>
      <c r="H1306" s="256"/>
      <c r="I1306" s="200"/>
      <c r="J1306" s="203"/>
      <c r="K1306" s="200"/>
      <c r="L1306" s="200"/>
      <c r="M1306" s="37"/>
      <c r="N1306" s="37"/>
      <c r="O1306" s="153"/>
      <c r="P1306" s="45"/>
      <c r="Q1306" s="54"/>
      <c r="R1306" s="260"/>
      <c r="S1306" s="258"/>
      <c r="T1306" s="258"/>
      <c r="U1306" s="38"/>
      <c r="V1306" s="261"/>
      <c r="W1306" s="256"/>
      <c r="X1306" s="256"/>
      <c r="Y1306" s="256"/>
      <c r="Z1306" s="256"/>
      <c r="AA1306" s="54"/>
      <c r="AB1306" s="200"/>
      <c r="AC1306" s="31"/>
      <c r="AD1306" s="184"/>
      <c r="AE1306" s="51"/>
      <c r="AF1306" s="52"/>
      <c r="AG1306" s="41"/>
      <c r="AH1306" s="45"/>
      <c r="AI1306" s="28"/>
      <c r="AJ1306" s="28"/>
      <c r="AK1306" s="28"/>
      <c r="AL1306" s="28"/>
      <c r="AM1306" s="12"/>
      <c r="AN1306" s="12"/>
      <c r="AO1306" s="12"/>
      <c r="AP1306" s="12"/>
      <c r="AQ1306" s="12"/>
      <c r="AR1306" s="13"/>
      <c r="AS1306" s="14"/>
    </row>
    <row r="1307" spans="1:45" s="16" customFormat="1" ht="30.95" hidden="1" customHeight="1" x14ac:dyDescent="0.2">
      <c r="A1307" s="35"/>
      <c r="B1307" s="36"/>
      <c r="C1307" s="43"/>
      <c r="D1307" s="29">
        <v>3731345</v>
      </c>
      <c r="E1307" s="29">
        <v>4141049</v>
      </c>
      <c r="F1307" s="255" t="str">
        <f>IF(D1307="","",VLOOKUP(D1307,契約台帳!$A$3:$K$4986,6,FALSE)&amp;VLOOKUP(D1307,契約台帳!$A$3:$K$4986,7,FALSE)&amp;VLOOKUP(D1307,契約台帳!$A$3:$K$4986,8,FALSE)&amp;VLOOKUP(D1307,契約台帳!$A$3:$K$4986,9,FALSE)&amp;VLOOKUP(D1307,契約台帳!$A$3:$K$4986,11,FALSE))</f>
        <v>3SNMCLBEYK</v>
      </c>
      <c r="G1307" s="256" t="str">
        <f>IF(D1307="","",VLOOKUP(F1307,製品マスタ!$G$5:$H$4999,2,FALSE))</f>
        <v>S</v>
      </c>
      <c r="H1307" s="256" t="str">
        <f>IF(D1307="","",VLOOKUP(F1307,製品マスタ!$G$5:$K$4999,5,FALSE))</f>
        <v>EYK</v>
      </c>
      <c r="I1307" s="200" t="str">
        <f>IF(D1307="","",VLOOKUP(F1307,製品マスタ!$G$5:$L$4999,6,FALSE))</f>
        <v>メタルミー　ＥＹＫ</v>
      </c>
      <c r="J1307" s="203" t="s">
        <v>447</v>
      </c>
      <c r="K1307" s="200">
        <f>IF(D1307="","",VLOOKUP(D1307,契約台帳!$A$3:$L$4986,12,FALSE))</f>
        <v>50</v>
      </c>
      <c r="L1307" s="200" t="str">
        <f>IF(D1307="","",INDEX(製品マスタ!$Q$5:$Q$4999,MATCH('S4'!F1307&amp;'S4'!K1307,製品マスタ!$AO$5:$AO$4999,0)))</f>
        <v>T62M</v>
      </c>
      <c r="M1307" s="37">
        <v>1125</v>
      </c>
      <c r="N1307" s="37">
        <v>12200</v>
      </c>
      <c r="O1307" s="153">
        <v>2</v>
      </c>
      <c r="P1307" s="45">
        <v>2</v>
      </c>
      <c r="Q1307" s="54"/>
      <c r="R1307" s="257">
        <f ca="1">IF(D1307="","",IF(OFFSET(D1307,-1,0)&lt;&gt;"","",IF(OR(J1307="リード付け",J1307="巻足し",J1307="巻返しリード付け"),M1307,VLOOKUP(D1307,契約台帳!$A$3:$N$4986,14,FALSE))))</f>
        <v>1120</v>
      </c>
      <c r="S1307" s="258">
        <f ca="1">IF(D1307="","",IF(OFFSET(D1307,-1,0)&lt;&gt;"","",IF(OR(J1307="リード付け",J1307="巻足し",J1307="巻返しリード付け"),M1307,VLOOKUP(D1307,契約台帳!$A$3:$O$4986,15,FALSE))))</f>
        <v>1120</v>
      </c>
      <c r="T1307" s="258">
        <f ca="1">IF(D1307="","",IF(J1307="リード付け",N1307,IF(J1307="巻返しリード付け",N1307,IF(J1307="巻足し",N1307*P1307+OFFSET(N1307,1,0)*OFFSET(P1307,1,0),VLOOKUP(D1307,契約台帳!$A$3:$P$4986,16,FALSE)))))</f>
        <v>6000</v>
      </c>
      <c r="U1307" s="38">
        <v>4</v>
      </c>
      <c r="V1307" s="259">
        <f ca="1">IF(D1307="","",IF(OFFSET(D1307,-2,0)=D1307,"",VLOOKUP(D1307,契約台帳!$A$3:$R$4986,18,FALSE)))</f>
        <v>4</v>
      </c>
      <c r="W1307" s="256" t="str">
        <f ca="1">IF(D1307="","",IF(T1307="","",IF(OR(J1307="巻足し",J1307="巻返しリード付け"),"",IF(J1307="巻返し",VLOOKUP(F1307&amp;K1307&amp;M1307,製品マスタ!$M$5:$AD$4999,18,FALSE),IF(OR(J1307="リード付け",J1307="巻返しリード付け"),"原反コア",IF(J1307="スリット",VLOOKUP(F1307&amp;K1307&amp;R1307,製品マスタ!$N$5:$AD$4999,17,FALSE),""))))))</f>
        <v>6ｲﾝﾁMｺｱ</v>
      </c>
      <c r="X1307" s="256">
        <f ca="1">IF(D1307="","",IF(T1307="","",IF(J1307="巻足し","",IF(J1307="巻返し",VLOOKUP(F1307&amp;K1307&amp;M1307,製品マスタ!$M$5:$AE$4999,19,FALSE),IF(OR(J1307="リード付け",J1307="巻返しリード付け"),"",IF(J1307="スリット",VLOOKUP(F1307&amp;K1307&amp;R1307,製品マスタ!$N$5:$AE$4999,18,FALSE),""))))))</f>
        <v>1140</v>
      </c>
      <c r="Y1307" s="256">
        <f ca="1">IF(D1307="","",IF(T1307="","",VLOOKUP(D1307,契約台帳!$A$3:$Q$4986,17,FALSE)))</f>
        <v>2</v>
      </c>
      <c r="Z1307" s="256" t="str">
        <f ca="1">IF(D1307="","",IF(T1307="","",VLOOKUP(D1307,契約台帳!$A$3:$E$4986,5,FALSE)))</f>
        <v>新タック化成㈱</v>
      </c>
      <c r="AA1307" s="54"/>
      <c r="AB1307" s="200"/>
      <c r="AC1307" s="31"/>
      <c r="AD1307" s="184"/>
      <c r="AE1307" s="51"/>
      <c r="AF1307" s="52"/>
      <c r="AG1307" s="41"/>
      <c r="AH1307" s="45"/>
      <c r="AI1307" s="28"/>
      <c r="AJ1307" s="28"/>
      <c r="AK1307" s="28"/>
      <c r="AL1307" s="28"/>
      <c r="AM1307" s="12"/>
      <c r="AN1307" s="12"/>
      <c r="AO1307" s="12"/>
      <c r="AP1307" s="12"/>
      <c r="AQ1307" s="12"/>
      <c r="AR1307" s="13"/>
      <c r="AS1307" s="14"/>
    </row>
    <row r="1308" spans="1:45" s="16" customFormat="1" ht="30.95" hidden="1" customHeight="1" x14ac:dyDescent="0.2">
      <c r="A1308" s="35"/>
      <c r="B1308" s="36"/>
      <c r="C1308" s="43"/>
      <c r="D1308" s="29"/>
      <c r="E1308" s="29"/>
      <c r="F1308" s="255"/>
      <c r="G1308" s="256"/>
      <c r="H1308" s="256"/>
      <c r="I1308" s="200"/>
      <c r="J1308" s="203"/>
      <c r="K1308" s="200"/>
      <c r="L1308" s="200"/>
      <c r="M1308" s="37"/>
      <c r="N1308" s="37"/>
      <c r="O1308" s="153"/>
      <c r="P1308" s="45"/>
      <c r="Q1308" s="54"/>
      <c r="R1308" s="260"/>
      <c r="S1308" s="258"/>
      <c r="T1308" s="258"/>
      <c r="U1308" s="38"/>
      <c r="V1308" s="261"/>
      <c r="W1308" s="256"/>
      <c r="X1308" s="256"/>
      <c r="Y1308" s="256"/>
      <c r="Z1308" s="256"/>
      <c r="AA1308" s="54"/>
      <c r="AB1308" s="200"/>
      <c r="AC1308" s="31"/>
      <c r="AD1308" s="184"/>
      <c r="AE1308" s="51"/>
      <c r="AF1308" s="52"/>
      <c r="AG1308" s="41"/>
      <c r="AH1308" s="45"/>
      <c r="AI1308" s="28"/>
      <c r="AJ1308" s="28"/>
      <c r="AK1308" s="28"/>
      <c r="AL1308" s="28"/>
      <c r="AM1308" s="12"/>
      <c r="AN1308" s="12"/>
      <c r="AO1308" s="12"/>
      <c r="AP1308" s="12"/>
      <c r="AQ1308" s="12"/>
      <c r="AR1308" s="13"/>
      <c r="AS1308" s="14"/>
    </row>
    <row r="1309" spans="1:45" s="16" customFormat="1" ht="30.95" hidden="1" customHeight="1" x14ac:dyDescent="0.2">
      <c r="A1309" s="35" t="s">
        <v>1790</v>
      </c>
      <c r="B1309" s="36" t="s">
        <v>1791</v>
      </c>
      <c r="C1309" s="43"/>
      <c r="D1309" s="29">
        <v>3732043</v>
      </c>
      <c r="E1309" s="29">
        <v>4141048</v>
      </c>
      <c r="F1309" s="255" t="str">
        <f>IF(D1309="","",VLOOKUP(D1309,契約台帳!$A$3:$K$4986,6,FALSE)&amp;VLOOKUP(D1309,契約台帳!$A$3:$K$4986,7,FALSE)&amp;VLOOKUP(D1309,契約台帳!$A$3:$K$4986,8,FALSE)&amp;VLOOKUP(D1309,契約台帳!$A$3:$K$4986,9,FALSE)&amp;VLOOKUP(D1309,契約台帳!$A$3:$K$4986,11,FALSE))</f>
        <v>3SNMCLBMSNEYK</v>
      </c>
      <c r="G1309" s="256" t="str">
        <f>IF(D1309="","",VLOOKUP(F1309,製品マスタ!$G$5:$H$4999,2,FALSE))</f>
        <v>S</v>
      </c>
      <c r="H1309" s="256" t="str">
        <f>IF(D1309="","",VLOOKUP(F1309,製品マスタ!$G$5:$K$4999,5,FALSE))</f>
        <v>MSNEYK</v>
      </c>
      <c r="I1309" s="200" t="str">
        <f>IF(D1309="","",VLOOKUP(F1309,製品マスタ!$G$5:$L$4999,6,FALSE))</f>
        <v>ＭＳＮ　ＥＹＫ</v>
      </c>
      <c r="J1309" s="203" t="s">
        <v>447</v>
      </c>
      <c r="K1309" s="200">
        <f>IF(D1309="","",VLOOKUP(D1309,契約台帳!$A$3:$L$4986,12,FALSE))</f>
        <v>50</v>
      </c>
      <c r="L1309" s="200" t="str">
        <f>IF(D1309="","",INDEX(製品マスタ!$Q$5:$Q$4999,MATCH('S4'!F1309&amp;'S4'!K1309,製品マスタ!$AO$5:$AO$4999,0)))</f>
        <v>N-MAT</v>
      </c>
      <c r="M1309" s="37">
        <v>1200</v>
      </c>
      <c r="N1309" s="37">
        <v>12000</v>
      </c>
      <c r="O1309" s="153">
        <v>3</v>
      </c>
      <c r="P1309" s="45">
        <v>3</v>
      </c>
      <c r="Q1309" s="54"/>
      <c r="R1309" s="257">
        <f ca="1">IF(D1309="","",IF(OFFSET(D1309,-1,0)&lt;&gt;"","",IF(OR(J1309="リード付け",J1309="巻足し",J1309="巻返しリード付け"),M1309,VLOOKUP(D1309,契約台帳!$A$3:$N$4986,14,FALSE))))</f>
        <v>1200</v>
      </c>
      <c r="S1309" s="258">
        <f ca="1">IF(D1309="","",IF(OFFSET(D1309,-1,0)&lt;&gt;"","",IF(OR(J1309="リード付け",J1309="巻足し",J1309="巻返しリード付け"),M1309,VLOOKUP(D1309,契約台帳!$A$3:$O$4986,15,FALSE))))</f>
        <v>1190</v>
      </c>
      <c r="T1309" s="258">
        <f ca="1">IF(D1309="","",IF(J1309="リード付け",N1309,IF(J1309="巻返しリード付け",N1309,IF(J1309="巻足し",N1309*P1309+OFFSET(N1309,1,0)*OFFSET(P1309,1,0),VLOOKUP(D1309,契約台帳!$A$3:$P$4986,16,FALSE)))))</f>
        <v>6000</v>
      </c>
      <c r="U1309" s="38">
        <v>6</v>
      </c>
      <c r="V1309" s="259">
        <f ca="1">IF(D1309="","",IF(OFFSET(D1309,-2,0)=D1309,"",VLOOKUP(D1309,契約台帳!$A$3:$R$4986,18,FALSE)))</f>
        <v>6</v>
      </c>
      <c r="W1309" s="256" t="str">
        <f ca="1">IF(D1309="","",IF(T1309="","",IF(OR(J1309="巻足し",J1309="巻返しリード付け"),"",IF(J1309="巻返し",VLOOKUP(F1309&amp;K1309&amp;M1309,製品マスタ!$M$5:$AD$4999,18,FALSE),IF(OR(J1309="リード付け",J1309="巻返しリード付け"),"原反コア",IF(J1309="スリット",VLOOKUP(F1309&amp;K1309&amp;R1309,製品マスタ!$N$5:$AD$4999,17,FALSE),""))))))</f>
        <v>6ｲﾝﾁMｺｱ</v>
      </c>
      <c r="X1309" s="256">
        <f ca="1">IF(D1309="","",IF(T1309="","",IF(J1309="巻足し","",IF(J1309="巻返し",VLOOKUP(F1309&amp;K1309&amp;M1309,製品マスタ!$M$5:$AE$4999,19,FALSE),IF(OR(J1309="リード付け",J1309="巻返しリード付け"),"",IF(J1309="スリット",VLOOKUP(F1309&amp;K1309&amp;R1309,製品マスタ!$N$5:$AE$4999,18,FALSE),""))))))</f>
        <v>1220</v>
      </c>
      <c r="Y1309" s="256">
        <f ca="1">IF(D1309="","",IF(T1309="","",VLOOKUP(D1309,契約台帳!$A$3:$Q$4986,17,FALSE)))</f>
        <v>2</v>
      </c>
      <c r="Z1309" s="256" t="str">
        <f ca="1">IF(D1309="","",IF(T1309="","",VLOOKUP(D1309,契約台帳!$A$3:$E$4986,5,FALSE)))</f>
        <v>大阪シーリング印刷㈱</v>
      </c>
      <c r="AA1309" s="54"/>
      <c r="AB1309" s="200"/>
      <c r="AC1309" s="31"/>
      <c r="AD1309" s="184"/>
      <c r="AE1309" s="51"/>
      <c r="AF1309" s="52"/>
      <c r="AG1309" s="41"/>
      <c r="AH1309" s="45"/>
      <c r="AI1309" s="28"/>
      <c r="AJ1309" s="28"/>
      <c r="AK1309" s="28"/>
      <c r="AL1309" s="28"/>
      <c r="AM1309" s="12"/>
      <c r="AN1309" s="12"/>
      <c r="AO1309" s="12"/>
      <c r="AP1309" s="12"/>
      <c r="AQ1309" s="12"/>
      <c r="AR1309" s="13"/>
      <c r="AS1309" s="14"/>
    </row>
    <row r="1310" spans="1:45" s="16" customFormat="1" ht="30.95" hidden="1" customHeight="1" x14ac:dyDescent="0.2">
      <c r="A1310" s="35"/>
      <c r="B1310" s="36"/>
      <c r="C1310" s="43"/>
      <c r="D1310" s="29"/>
      <c r="E1310" s="29"/>
      <c r="F1310" s="255"/>
      <c r="G1310" s="256"/>
      <c r="H1310" s="256"/>
      <c r="I1310" s="200"/>
      <c r="J1310" s="203"/>
      <c r="K1310" s="200"/>
      <c r="L1310" s="200"/>
      <c r="M1310" s="37"/>
      <c r="N1310" s="37"/>
      <c r="O1310" s="153"/>
      <c r="P1310" s="45"/>
      <c r="Q1310" s="54"/>
      <c r="R1310" s="260"/>
      <c r="S1310" s="258"/>
      <c r="T1310" s="258"/>
      <c r="U1310" s="38"/>
      <c r="V1310" s="261"/>
      <c r="W1310" s="256"/>
      <c r="X1310" s="256"/>
      <c r="Y1310" s="256"/>
      <c r="Z1310" s="256"/>
      <c r="AA1310" s="54"/>
      <c r="AB1310" s="200"/>
      <c r="AC1310" s="31"/>
      <c r="AD1310" s="184"/>
      <c r="AE1310" s="51"/>
      <c r="AF1310" s="52"/>
      <c r="AG1310" s="41"/>
      <c r="AH1310" s="45"/>
      <c r="AI1310" s="28"/>
      <c r="AJ1310" s="28"/>
      <c r="AK1310" s="28"/>
      <c r="AL1310" s="28"/>
      <c r="AM1310" s="12"/>
      <c r="AN1310" s="12"/>
      <c r="AO1310" s="12"/>
      <c r="AP1310" s="12"/>
      <c r="AQ1310" s="12"/>
      <c r="AR1310" s="13"/>
      <c r="AS1310" s="14"/>
    </row>
    <row r="1311" spans="1:45" s="16" customFormat="1" ht="30.95" hidden="1" customHeight="1" x14ac:dyDescent="0.2">
      <c r="A1311" s="35"/>
      <c r="B1311" s="36"/>
      <c r="C1311" s="43"/>
      <c r="D1311" s="29">
        <v>3727592</v>
      </c>
      <c r="E1311" s="29">
        <v>4141022</v>
      </c>
      <c r="F1311" s="255" t="str">
        <f>IF(D1311="","",VLOOKUP(D1311,契約台帳!$A$3:$K$4986,6,FALSE)&amp;VLOOKUP(D1311,契約台帳!$A$3:$K$4986,7,FALSE)&amp;VLOOKUP(D1311,契約台帳!$A$3:$K$4986,8,FALSE)&amp;VLOOKUP(D1311,契約台帳!$A$3:$K$4986,9,FALSE)&amp;VLOOKUP(D1311,契約台帳!$A$3:$K$4986,11,FALSE))</f>
        <v>3SNMCLBMSNEYK</v>
      </c>
      <c r="G1311" s="256" t="str">
        <f>IF(D1311="","",VLOOKUP(F1311,製品マスタ!$G$5:$H$4999,2,FALSE))</f>
        <v>S</v>
      </c>
      <c r="H1311" s="256" t="str">
        <f>IF(D1311="","",VLOOKUP(F1311,製品マスタ!$G$5:$K$4999,5,FALSE))</f>
        <v>MSNEYK</v>
      </c>
      <c r="I1311" s="200" t="str">
        <f>IF(D1311="","",VLOOKUP(F1311,製品マスタ!$G$5:$L$4999,6,FALSE))</f>
        <v>ＭＳＮ　ＥＹＫ</v>
      </c>
      <c r="J1311" s="203" t="s">
        <v>447</v>
      </c>
      <c r="K1311" s="200">
        <f>IF(D1311="","",VLOOKUP(D1311,契約台帳!$A$3:$L$4986,12,FALSE))</f>
        <v>50</v>
      </c>
      <c r="L1311" s="200" t="str">
        <f>IF(D1311="","",INDEX(製品マスタ!$Q$5:$Q$4999,MATCH('S4'!F1311&amp;'S4'!K1311,製品マスタ!$AO$5:$AO$4999,0)))</f>
        <v>N-MAT</v>
      </c>
      <c r="M1311" s="37">
        <v>1120</v>
      </c>
      <c r="N1311" s="37">
        <v>8000</v>
      </c>
      <c r="O1311" s="153">
        <v>3</v>
      </c>
      <c r="P1311" s="45">
        <v>3</v>
      </c>
      <c r="Q1311" s="54"/>
      <c r="R1311" s="257">
        <f ca="1">IF(D1311="","",IF(OFFSET(D1311,-1,0)&lt;&gt;"","",IF(OR(J1311="リード付け",J1311="巻足し",J1311="巻返しリード付け"),M1311,VLOOKUP(D1311,契約台帳!$A$3:$N$4986,14,FALSE))))</f>
        <v>1120</v>
      </c>
      <c r="S1311" s="258">
        <f ca="1">IF(D1311="","",IF(OFFSET(D1311,-1,0)&lt;&gt;"","",IF(OR(J1311="リード付け",J1311="巻足し",J1311="巻返しリード付け"),M1311,VLOOKUP(D1311,契約台帳!$A$3:$O$4986,15,FALSE))))</f>
        <v>1120</v>
      </c>
      <c r="T1311" s="258">
        <f ca="1">IF(D1311="","",IF(J1311="リード付け",N1311,IF(J1311="巻返しリード付け",N1311,IF(J1311="巻足し",N1311*P1311+OFFSET(N1311,1,0)*OFFSET(P1311,1,0),VLOOKUP(D1311,契約台帳!$A$3:$P$4986,16,FALSE)))))</f>
        <v>4000</v>
      </c>
      <c r="U1311" s="38">
        <v>6</v>
      </c>
      <c r="V1311" s="259">
        <f ca="1">IF(D1311="","",IF(OFFSET(D1311,-2,0)=D1311,"",VLOOKUP(D1311,契約台帳!$A$3:$R$4986,18,FALSE)))</f>
        <v>6</v>
      </c>
      <c r="W1311" s="256" t="str">
        <f ca="1">IF(D1311="","",IF(T1311="","",IF(OR(J1311="巻足し",J1311="巻返しリード付け"),"",IF(J1311="巻返し",VLOOKUP(F1311&amp;K1311&amp;M1311,製品マスタ!$M$5:$AD$4999,18,FALSE),IF(OR(J1311="リード付け",J1311="巻返しリード付け"),"原反コア",IF(J1311="スリット",VLOOKUP(F1311&amp;K1311&amp;R1311,製品マスタ!$N$5:$AD$4999,17,FALSE),""))))))</f>
        <v>6ｲﾝﾁMｺｱ</v>
      </c>
      <c r="X1311" s="256">
        <f ca="1">IF(D1311="","",IF(T1311="","",IF(J1311="巻足し","",IF(J1311="巻返し",VLOOKUP(F1311&amp;K1311&amp;M1311,製品マスタ!$M$5:$AE$4999,19,FALSE),IF(OR(J1311="リード付け",J1311="巻返しリード付け"),"",IF(J1311="スリット",VLOOKUP(F1311&amp;K1311&amp;R1311,製品マスタ!$N$5:$AE$4999,18,FALSE),""))))))</f>
        <v>1140</v>
      </c>
      <c r="Y1311" s="256">
        <f ca="1">IF(D1311="","",IF(T1311="","",VLOOKUP(D1311,契約台帳!$A$3:$Q$4986,17,FALSE)))</f>
        <v>2</v>
      </c>
      <c r="Z1311" s="256" t="str">
        <f ca="1">IF(D1311="","",IF(T1311="","",VLOOKUP(D1311,契約台帳!$A$3:$E$4986,5,FALSE)))</f>
        <v xml:space="preserve">新タック化成㈱      </v>
      </c>
      <c r="AA1311" s="54"/>
      <c r="AB1311" s="200"/>
      <c r="AC1311" s="31"/>
      <c r="AD1311" s="184"/>
      <c r="AE1311" s="51"/>
      <c r="AF1311" s="52"/>
      <c r="AG1311" s="41"/>
      <c r="AH1311" s="45"/>
      <c r="AI1311" s="28"/>
      <c r="AJ1311" s="28"/>
      <c r="AK1311" s="28"/>
      <c r="AL1311" s="28"/>
      <c r="AM1311" s="12"/>
      <c r="AN1311" s="12"/>
      <c r="AO1311" s="12"/>
      <c r="AP1311" s="12"/>
      <c r="AQ1311" s="12"/>
      <c r="AR1311" s="13"/>
      <c r="AS1311" s="14"/>
    </row>
    <row r="1312" spans="1:45" s="16" customFormat="1" ht="30.95" hidden="1" customHeight="1" x14ac:dyDescent="0.2">
      <c r="A1312" s="35"/>
      <c r="B1312" s="36"/>
      <c r="C1312" s="43"/>
      <c r="D1312" s="29"/>
      <c r="E1312" s="29"/>
      <c r="F1312" s="255"/>
      <c r="G1312" s="256"/>
      <c r="H1312" s="256"/>
      <c r="I1312" s="200"/>
      <c r="J1312" s="203"/>
      <c r="K1312" s="200"/>
      <c r="L1312" s="200"/>
      <c r="M1312" s="37"/>
      <c r="N1312" s="37"/>
      <c r="O1312" s="153"/>
      <c r="P1312" s="45"/>
      <c r="Q1312" s="54"/>
      <c r="R1312" s="260"/>
      <c r="S1312" s="258"/>
      <c r="T1312" s="258"/>
      <c r="U1312" s="38"/>
      <c r="V1312" s="261"/>
      <c r="W1312" s="256"/>
      <c r="X1312" s="256"/>
      <c r="Y1312" s="256"/>
      <c r="Z1312" s="256"/>
      <c r="AA1312" s="54"/>
      <c r="AB1312" s="200"/>
      <c r="AC1312" s="31"/>
      <c r="AD1312" s="184"/>
      <c r="AE1312" s="51"/>
      <c r="AF1312" s="52"/>
      <c r="AG1312" s="41"/>
      <c r="AH1312" s="45"/>
      <c r="AI1312" s="28"/>
      <c r="AJ1312" s="28"/>
      <c r="AK1312" s="28"/>
      <c r="AL1312" s="28"/>
      <c r="AM1312" s="12"/>
      <c r="AN1312" s="12"/>
      <c r="AO1312" s="12"/>
      <c r="AP1312" s="12"/>
      <c r="AQ1312" s="12"/>
      <c r="AR1312" s="13"/>
      <c r="AS1312" s="14"/>
    </row>
    <row r="1313" spans="1:45" s="16" customFormat="1" ht="30.95" hidden="1" customHeight="1" x14ac:dyDescent="0.2">
      <c r="A1313" s="35"/>
      <c r="B1313" s="36"/>
      <c r="C1313" s="43"/>
      <c r="D1313" s="29">
        <v>3731370</v>
      </c>
      <c r="E1313" s="29">
        <v>4141061</v>
      </c>
      <c r="F1313" s="255" t="str">
        <f>IF(D1313="","",VLOOKUP(D1313,契約台帳!$A$3:$K$4986,6,FALSE)&amp;VLOOKUP(D1313,契約台帳!$A$3:$K$4986,7,FALSE)&amp;VLOOKUP(D1313,契約台帳!$A$3:$K$4986,8,FALSE)&amp;VLOOKUP(D1313,契約台帳!$A$3:$K$4986,9,FALSE)&amp;VLOOKUP(D1313,契約台帳!$A$3:$K$4986,11,FALSE))</f>
        <v>3SNCLBLMEYK</v>
      </c>
      <c r="G1313" s="256" t="str">
        <f>IF(D1313="","",VLOOKUP(F1313,製品マスタ!$G$5:$H$4999,2,FALSE))</f>
        <v>S</v>
      </c>
      <c r="H1313" s="256" t="str">
        <f>IF(D1313="","",VLOOKUP(F1313,製品マスタ!$G$5:$K$4999,5,FALSE))</f>
        <v>LMEYK</v>
      </c>
      <c r="I1313" s="200" t="str">
        <f>IF(D1313="","",VLOOKUP(F1313,製品マスタ!$G$5:$L$4999,6,FALSE))</f>
        <v>ルミマットＥＹＫ</v>
      </c>
      <c r="J1313" s="203" t="s">
        <v>447</v>
      </c>
      <c r="K1313" s="200">
        <f>IF(D1313="","",VLOOKUP(D1313,契約台帳!$A$3:$L$4986,12,FALSE))</f>
        <v>38</v>
      </c>
      <c r="L1313" s="200" t="str">
        <f>IF(D1313="","",INDEX(製品マスタ!$Q$5:$Q$4999,MATCH('S4'!F1313&amp;'S4'!K1313,製品マスタ!$AO$5:$AO$4999,0)))</f>
        <v>LUMIMAT</v>
      </c>
      <c r="M1313" s="37">
        <v>1005</v>
      </c>
      <c r="N1313" s="37">
        <v>8000</v>
      </c>
      <c r="O1313" s="153">
        <v>2</v>
      </c>
      <c r="P1313" s="45">
        <v>2</v>
      </c>
      <c r="Q1313" s="54"/>
      <c r="R1313" s="257">
        <f ca="1">IF(D1313="","",IF(OFFSET(D1313,-1,0)&lt;&gt;"","",IF(OR(J1313="リード付け",J1313="巻足し",J1313="巻返しリード付け"),M1313,VLOOKUP(D1313,契約台帳!$A$3:$N$4986,14,FALSE))))</f>
        <v>1005</v>
      </c>
      <c r="S1313" s="258">
        <f ca="1">IF(D1313="","",IF(OFFSET(D1313,-1,0)&lt;&gt;"","",IF(OR(J1313="リード付け",J1313="巻足し",J1313="巻返しリード付け"),M1313,VLOOKUP(D1313,契約台帳!$A$3:$O$4986,15,FALSE))))</f>
        <v>1000</v>
      </c>
      <c r="T1313" s="258">
        <f ca="1">IF(D1313="","",IF(J1313="リード付け",N1313,IF(J1313="巻返しリード付け",N1313,IF(J1313="巻足し",N1313*P1313+OFFSET(N1313,1,0)*OFFSET(P1313,1,0),VLOOKUP(D1313,契約台帳!$A$3:$P$4986,16,FALSE)))))</f>
        <v>4000</v>
      </c>
      <c r="U1313" s="38">
        <v>4</v>
      </c>
      <c r="V1313" s="259">
        <f ca="1">IF(D1313="","",IF(OFFSET(D1313,-2,0)=D1313,"",VLOOKUP(D1313,契約台帳!$A$3:$R$4986,18,FALSE)))</f>
        <v>4</v>
      </c>
      <c r="W1313" s="256" t="str">
        <f ca="1">IF(D1313="","",IF(T1313="","",IF(OR(J1313="巻足し",J1313="巻返しリード付け"),"",IF(J1313="巻返し",VLOOKUP(F1313&amp;K1313&amp;M1313,製品マスタ!$M$5:$AD$4999,18,FALSE),IF(OR(J1313="リード付け",J1313="巻返しリード付け"),"原反コア",IF(J1313="スリット",VLOOKUP(F1313&amp;K1313&amp;R1313,製品マスタ!$N$5:$AD$4999,17,FALSE),""))))))</f>
        <v>3ｲﾝﾁSｺｱ</v>
      </c>
      <c r="X1313" s="256">
        <f ca="1">IF(D1313="","",IF(T1313="","",IF(J1313="巻足し","",IF(J1313="巻返し",VLOOKUP(F1313&amp;K1313&amp;M1313,製品マスタ!$M$5:$AE$4999,19,FALSE),IF(OR(J1313="リード付け",J1313="巻返しリード付け"),"",IF(J1313="スリット",VLOOKUP(F1313&amp;K1313&amp;R1313,製品マスタ!$N$5:$AE$4999,18,FALSE),""))))))</f>
        <v>1015</v>
      </c>
      <c r="Y1313" s="256">
        <f ca="1">IF(D1313="","",IF(T1313="","",VLOOKUP(D1313,契約台帳!$A$3:$Q$4986,17,FALSE)))</f>
        <v>2</v>
      </c>
      <c r="Z1313" s="256" t="str">
        <f ca="1">IF(D1313="","",IF(T1313="","",VLOOKUP(D1313,契約台帳!$A$3:$E$4986,5,FALSE)))</f>
        <v>リンテック㈱</v>
      </c>
      <c r="AA1313" s="54"/>
      <c r="AB1313" s="200"/>
      <c r="AC1313" s="31"/>
      <c r="AD1313" s="184"/>
      <c r="AE1313" s="51"/>
      <c r="AF1313" s="52"/>
      <c r="AG1313" s="41"/>
      <c r="AH1313" s="45"/>
      <c r="AI1313" s="28"/>
      <c r="AJ1313" s="28"/>
      <c r="AK1313" s="28"/>
      <c r="AL1313" s="28"/>
      <c r="AM1313" s="12"/>
      <c r="AN1313" s="12"/>
      <c r="AO1313" s="12"/>
      <c r="AP1313" s="12"/>
      <c r="AQ1313" s="12"/>
      <c r="AR1313" s="13"/>
      <c r="AS1313" s="14"/>
    </row>
    <row r="1314" spans="1:45" s="16" customFormat="1" ht="30.95" hidden="1" customHeight="1" x14ac:dyDescent="0.2">
      <c r="A1314" s="35"/>
      <c r="B1314" s="36"/>
      <c r="C1314" s="43"/>
      <c r="D1314" s="29"/>
      <c r="E1314" s="29"/>
      <c r="F1314" s="255"/>
      <c r="G1314" s="256"/>
      <c r="H1314" s="256"/>
      <c r="I1314" s="200"/>
      <c r="J1314" s="203"/>
      <c r="K1314" s="200"/>
      <c r="L1314" s="200"/>
      <c r="M1314" s="37"/>
      <c r="N1314" s="37"/>
      <c r="O1314" s="153"/>
      <c r="P1314" s="45"/>
      <c r="Q1314" s="54"/>
      <c r="R1314" s="260"/>
      <c r="S1314" s="258"/>
      <c r="T1314" s="258"/>
      <c r="U1314" s="38"/>
      <c r="V1314" s="261"/>
      <c r="W1314" s="256"/>
      <c r="X1314" s="256"/>
      <c r="Y1314" s="256"/>
      <c r="Z1314" s="256"/>
      <c r="AA1314" s="54"/>
      <c r="AB1314" s="200"/>
      <c r="AC1314" s="31"/>
      <c r="AD1314" s="184"/>
      <c r="AE1314" s="51"/>
      <c r="AF1314" s="52"/>
      <c r="AG1314" s="41"/>
      <c r="AH1314" s="45"/>
      <c r="AI1314" s="28"/>
      <c r="AJ1314" s="28"/>
      <c r="AK1314" s="28"/>
      <c r="AL1314" s="28"/>
      <c r="AM1314" s="12"/>
      <c r="AN1314" s="12"/>
      <c r="AO1314" s="12"/>
      <c r="AP1314" s="12"/>
      <c r="AQ1314" s="12"/>
      <c r="AR1314" s="13"/>
      <c r="AS1314" s="14"/>
    </row>
    <row r="1315" spans="1:45" s="16" customFormat="1" ht="30.95" hidden="1" customHeight="1" x14ac:dyDescent="0.2">
      <c r="A1315" s="35" t="s">
        <v>1792</v>
      </c>
      <c r="B1315" s="36" t="s">
        <v>1784</v>
      </c>
      <c r="C1315" s="43"/>
      <c r="D1315" s="29">
        <v>3731356</v>
      </c>
      <c r="E1315" s="29">
        <v>4141046</v>
      </c>
      <c r="F1315" s="255" t="str">
        <f>IF(D1315="","",VLOOKUP(D1315,契約台帳!$A$3:$K$4986,6,FALSE)&amp;VLOOKUP(D1315,契約台帳!$A$3:$K$4986,7,FALSE)&amp;VLOOKUP(D1315,契約台帳!$A$3:$K$4986,8,FALSE)&amp;VLOOKUP(D1315,契約台帳!$A$3:$K$4986,9,FALSE)&amp;VLOOKUP(D1315,契約台帳!$A$3:$K$4986,11,FALSE))</f>
        <v>3SNMCLBNGTVB</v>
      </c>
      <c r="G1315" s="256" t="str">
        <f>IF(D1315="","",VLOOKUP(F1315,製品マスタ!$G$5:$H$4999,2,FALSE))</f>
        <v>S</v>
      </c>
      <c r="H1315" s="256" t="str">
        <f>IF(D1315="","",VLOOKUP(F1315,製品マスタ!$G$5:$K$4999,5,FALSE))</f>
        <v>NGTVB</v>
      </c>
      <c r="I1315" s="200" t="str">
        <f>IF(D1315="","",VLOOKUP(F1315,製品マスタ!$G$5:$L$4999,6,FALSE))</f>
        <v>メタルミー　ネーマー　銀艶ＶＢ</v>
      </c>
      <c r="J1315" s="203" t="s">
        <v>447</v>
      </c>
      <c r="K1315" s="200">
        <f>IF(D1315="","",VLOOKUP(D1315,契約台帳!$A$3:$L$4986,12,FALSE))</f>
        <v>50</v>
      </c>
      <c r="L1315" s="200" t="str">
        <f>IF(D1315="","",INDEX(製品マスタ!$Q$5:$Q$4999,MATCH('S4'!F1315&amp;'S4'!K1315,製品マスタ!$AO$5:$AO$4999,0)))</f>
        <v>T62</v>
      </c>
      <c r="M1315" s="37">
        <v>1040</v>
      </c>
      <c r="N1315" s="37">
        <v>6000</v>
      </c>
      <c r="O1315" s="153">
        <v>1</v>
      </c>
      <c r="P1315" s="45">
        <v>1</v>
      </c>
      <c r="Q1315" s="54"/>
      <c r="R1315" s="257">
        <f ca="1">IF(D1315="","",IF(OFFSET(D1315,-1,0)&lt;&gt;"","",IF(OR(J1315="リード付け",J1315="巻足し",J1315="巻返しリード付け"),M1315,VLOOKUP(D1315,契約台帳!$A$3:$N$4986,14,FALSE))))</f>
        <v>1000</v>
      </c>
      <c r="S1315" s="258">
        <f ca="1">IF(D1315="","",IF(OFFSET(D1315,-1,0)&lt;&gt;"","",IF(OR(J1315="リード付け",J1315="巻足し",J1315="巻返しリード付け"),M1315,VLOOKUP(D1315,契約台帳!$A$3:$O$4986,15,FALSE))))</f>
        <v>1000</v>
      </c>
      <c r="T1315" s="258">
        <f ca="1">IF(D1315="","",IF(J1315="リード付け",N1315,IF(J1315="巻返しリード付け",N1315,IF(J1315="巻足し",N1315*P1315+OFFSET(N1315,1,0)*OFFSET(P1315,1,0),VLOOKUP(D1315,契約台帳!$A$3:$P$4986,16,FALSE)))))</f>
        <v>3000</v>
      </c>
      <c r="U1315" s="38">
        <v>2</v>
      </c>
      <c r="V1315" s="259">
        <f ca="1">IF(D1315="","",IF(OFFSET(D1315,-2,0)=D1315,"",VLOOKUP(D1315,契約台帳!$A$3:$R$4986,18,FALSE)))</f>
        <v>2</v>
      </c>
      <c r="W1315" s="256" t="str">
        <f ca="1">IF(D1315="","",IF(T1315="","",IF(OR(J1315="巻足し",J1315="巻返しリード付け"),"",IF(J1315="巻返し",VLOOKUP(F1315&amp;K1315&amp;M1315,製品マスタ!$M$5:$AD$4999,18,FALSE),IF(OR(J1315="リード付け",J1315="巻返しリード付け"),"原反コア",IF(J1315="スリット",VLOOKUP(F1315&amp;K1315&amp;R1315,製品マスタ!$N$5:$AD$4999,17,FALSE),""))))))</f>
        <v>6ｲﾝﾁMｺｱ</v>
      </c>
      <c r="X1315" s="256">
        <f ca="1">IF(D1315="","",IF(T1315="","",IF(J1315="巻足し","",IF(J1315="巻返し",VLOOKUP(F1315&amp;K1315&amp;M1315,製品マスタ!$M$5:$AE$4999,19,FALSE),IF(OR(J1315="リード付け",J1315="巻返しリード付け"),"",IF(J1315="スリット",VLOOKUP(F1315&amp;K1315&amp;R1315,製品マスタ!$N$5:$AE$4999,18,FALSE),""))))))</f>
        <v>1020</v>
      </c>
      <c r="Y1315" s="256">
        <f ca="1">IF(D1315="","",IF(T1315="","",VLOOKUP(D1315,契約台帳!$A$3:$Q$4986,17,FALSE)))</f>
        <v>2</v>
      </c>
      <c r="Z1315" s="256" t="str">
        <f ca="1">IF(D1315="","",IF(T1315="","",VLOOKUP(D1315,契約台帳!$A$3:$E$4986,5,FALSE)))</f>
        <v>リンテック㈱</v>
      </c>
      <c r="AA1315" s="54"/>
      <c r="AB1315" s="200"/>
      <c r="AC1315" s="31"/>
      <c r="AD1315" s="184"/>
      <c r="AE1315" s="51"/>
      <c r="AF1315" s="52"/>
      <c r="AG1315" s="41"/>
      <c r="AH1315" s="45"/>
      <c r="AI1315" s="28"/>
      <c r="AJ1315" s="28"/>
      <c r="AK1315" s="28"/>
      <c r="AL1315" s="28"/>
      <c r="AM1315" s="12"/>
      <c r="AN1315" s="12"/>
      <c r="AO1315" s="12"/>
      <c r="AP1315" s="12"/>
      <c r="AQ1315" s="12"/>
      <c r="AR1315" s="13"/>
      <c r="AS1315" s="14"/>
    </row>
    <row r="1316" spans="1:45" s="16" customFormat="1" ht="30.95" hidden="1" customHeight="1" x14ac:dyDescent="0.2">
      <c r="A1316" s="35"/>
      <c r="B1316" s="36"/>
      <c r="C1316" s="43"/>
      <c r="D1316" s="29"/>
      <c r="E1316" s="29"/>
      <c r="F1316" s="255"/>
      <c r="G1316" s="256"/>
      <c r="H1316" s="256"/>
      <c r="I1316" s="200"/>
      <c r="J1316" s="203"/>
      <c r="K1316" s="200"/>
      <c r="L1316" s="200"/>
      <c r="M1316" s="37"/>
      <c r="N1316" s="37"/>
      <c r="O1316" s="153"/>
      <c r="P1316" s="45"/>
      <c r="Q1316" s="54"/>
      <c r="R1316" s="260"/>
      <c r="S1316" s="258"/>
      <c r="T1316" s="258"/>
      <c r="U1316" s="38"/>
      <c r="V1316" s="261"/>
      <c r="W1316" s="256"/>
      <c r="X1316" s="256"/>
      <c r="Y1316" s="256"/>
      <c r="Z1316" s="256"/>
      <c r="AA1316" s="54"/>
      <c r="AB1316" s="200"/>
      <c r="AC1316" s="31"/>
      <c r="AD1316" s="184"/>
      <c r="AE1316" s="51"/>
      <c r="AF1316" s="52"/>
      <c r="AG1316" s="41"/>
      <c r="AH1316" s="45"/>
      <c r="AI1316" s="28"/>
      <c r="AJ1316" s="28"/>
      <c r="AK1316" s="28"/>
      <c r="AL1316" s="28"/>
      <c r="AM1316" s="12"/>
      <c r="AN1316" s="12"/>
      <c r="AO1316" s="12"/>
      <c r="AP1316" s="12"/>
      <c r="AQ1316" s="12"/>
      <c r="AR1316" s="13"/>
      <c r="AS1316" s="14"/>
    </row>
    <row r="1317" spans="1:45" s="16" customFormat="1" ht="30.95" hidden="1" customHeight="1" x14ac:dyDescent="0.2">
      <c r="A1317" s="35"/>
      <c r="B1317" s="36"/>
      <c r="C1317" s="43"/>
      <c r="D1317" s="29">
        <v>3731362</v>
      </c>
      <c r="E1317" s="29">
        <v>4141037</v>
      </c>
      <c r="F1317" s="255" t="str">
        <f>IF(D1317="","",VLOOKUP(D1317,契約台帳!$A$3:$K$4986,6,FALSE)&amp;VLOOKUP(D1317,契約台帳!$A$3:$K$4986,7,FALSE)&amp;VLOOKUP(D1317,契約台帳!$A$3:$K$4986,8,FALSE)&amp;VLOOKUP(D1317,契約台帳!$A$3:$K$4986,9,FALSE)&amp;VLOOKUP(D1317,契約台帳!$A$3:$K$4986,11,FALSE))</f>
        <v>33SSNMCLBTETKFV</v>
      </c>
      <c r="G1317" s="256" t="str">
        <f>IF(D1317="","",VLOOKUP(F1317,製品マスタ!$G$5:$H$4999,2,FALSE))</f>
        <v>S</v>
      </c>
      <c r="H1317" s="256" t="str">
        <f>IF(D1317="","",VLOOKUP(F1317,製品マスタ!$G$5:$K$4999,5,FALSE))</f>
        <v>TETKFV</v>
      </c>
      <c r="I1317" s="200" t="str">
        <f>IF(D1317="","",VLOOKUP(F1317,製品マスタ!$G$5:$L$4999,6,FALSE))</f>
        <v>メタルミー　ＴＥＳ艶開封　Ｖ</v>
      </c>
      <c r="J1317" s="203" t="s">
        <v>447</v>
      </c>
      <c r="K1317" s="200">
        <f>IF(D1317="","",VLOOKUP(D1317,契約台帳!$A$3:$L$4986,12,FALSE))</f>
        <v>50</v>
      </c>
      <c r="L1317" s="200" t="str">
        <f>IF(D1317="","",INDEX(製品マスタ!$Q$5:$Q$4999,MATCH('S4'!F1317&amp;'S4'!K1317,製品マスタ!$AO$5:$AO$4999,0)))</f>
        <v>S28SEPA</v>
      </c>
      <c r="M1317" s="37">
        <v>1005</v>
      </c>
      <c r="N1317" s="37">
        <v>8200</v>
      </c>
      <c r="O1317" s="153">
        <v>1</v>
      </c>
      <c r="P1317" s="45">
        <v>1</v>
      </c>
      <c r="Q1317" s="54"/>
      <c r="R1317" s="257">
        <f ca="1">IF(D1317="","",IF(OFFSET(D1317,-1,0)&lt;&gt;"","",IF(OR(J1317="リード付け",J1317="巻足し",J1317="巻返しリード付け"),M1317,VLOOKUP(D1317,契約台帳!$A$3:$N$4986,14,FALSE))))</f>
        <v>1005</v>
      </c>
      <c r="S1317" s="258">
        <f ca="1">IF(D1317="","",IF(OFFSET(D1317,-1,0)&lt;&gt;"","",IF(OR(J1317="リード付け",J1317="巻足し",J1317="巻返しリード付け"),M1317,VLOOKUP(D1317,契約台帳!$A$3:$O$4986,15,FALSE))))</f>
        <v>1000</v>
      </c>
      <c r="T1317" s="258">
        <f ca="1">IF(D1317="","",IF(J1317="リード付け",N1317,IF(J1317="巻返しリード付け",N1317,IF(J1317="巻足し",N1317*P1317+OFFSET(N1317,1,0)*OFFSET(P1317,1,0),VLOOKUP(D1317,契約台帳!$A$3:$P$4986,16,FALSE)))))</f>
        <v>4100</v>
      </c>
      <c r="U1317" s="38">
        <v>2</v>
      </c>
      <c r="V1317" s="259">
        <f ca="1">IF(D1317="","",IF(OFFSET(D1317,-2,0)=D1317,"",VLOOKUP(D1317,契約台帳!$A$3:$R$4986,18,FALSE)))</f>
        <v>2</v>
      </c>
      <c r="W1317" s="256" t="str">
        <f ca="1">IF(D1317="","",IF(T1317="","",IF(OR(J1317="巻足し",J1317="巻返しリード付け"),"",IF(J1317="巻返し",VLOOKUP(F1317&amp;K1317&amp;M1317,製品マスタ!$M$5:$AD$4999,18,FALSE),IF(OR(J1317="リード付け",J1317="巻返しリード付け"),"原反コア",IF(J1317="スリット",VLOOKUP(F1317&amp;K1317&amp;R1317,製品マスタ!$N$5:$AD$4999,17,FALSE),""))))))</f>
        <v>6ｲﾝﾁSｺｱ</v>
      </c>
      <c r="X1317" s="256">
        <f ca="1">IF(D1317="","",IF(T1317="","",IF(J1317="巻足し","",IF(J1317="巻返し",VLOOKUP(F1317&amp;K1317&amp;M1317,製品マスタ!$M$5:$AE$4999,19,FALSE),IF(OR(J1317="リード付け",J1317="巻返しリード付け"),"",IF(J1317="スリット",VLOOKUP(F1317&amp;K1317&amp;R1317,製品マスタ!$N$5:$AE$4999,18,FALSE),""))))))</f>
        <v>1015</v>
      </c>
      <c r="Y1317" s="256">
        <f ca="1">IF(D1317="","",IF(T1317="","",VLOOKUP(D1317,契約台帳!$A$3:$Q$4986,17,FALSE)))</f>
        <v>2</v>
      </c>
      <c r="Z1317" s="256" t="str">
        <f ca="1">IF(D1317="","",IF(T1317="","",VLOOKUP(D1317,契約台帳!$A$3:$E$4986,5,FALSE)))</f>
        <v>リンテック㈱</v>
      </c>
      <c r="AA1317" s="54"/>
      <c r="AB1317" s="200"/>
      <c r="AC1317" s="31"/>
      <c r="AD1317" s="184"/>
      <c r="AE1317" s="51"/>
      <c r="AF1317" s="52"/>
      <c r="AG1317" s="41"/>
      <c r="AH1317" s="45"/>
      <c r="AI1317" s="28"/>
      <c r="AJ1317" s="28"/>
      <c r="AK1317" s="28"/>
      <c r="AL1317" s="28"/>
      <c r="AM1317" s="12"/>
      <c r="AN1317" s="12"/>
      <c r="AO1317" s="12"/>
      <c r="AP1317" s="12"/>
      <c r="AQ1317" s="12"/>
      <c r="AR1317" s="13"/>
      <c r="AS1317" s="14"/>
    </row>
    <row r="1318" spans="1:45" s="16" customFormat="1" ht="30.95" hidden="1" customHeight="1" x14ac:dyDescent="0.2">
      <c r="A1318" s="35"/>
      <c r="B1318" s="36"/>
      <c r="C1318" s="43"/>
      <c r="D1318" s="29"/>
      <c r="E1318" s="29"/>
      <c r="F1318" s="255"/>
      <c r="G1318" s="256"/>
      <c r="H1318" s="256"/>
      <c r="I1318" s="200"/>
      <c r="J1318" s="203"/>
      <c r="K1318" s="200"/>
      <c r="L1318" s="200"/>
      <c r="M1318" s="37"/>
      <c r="N1318" s="37"/>
      <c r="O1318" s="153"/>
      <c r="P1318" s="45"/>
      <c r="Q1318" s="54"/>
      <c r="R1318" s="260"/>
      <c r="S1318" s="258"/>
      <c r="T1318" s="258"/>
      <c r="U1318" s="38"/>
      <c r="V1318" s="261"/>
      <c r="W1318" s="256"/>
      <c r="X1318" s="256"/>
      <c r="Y1318" s="256"/>
      <c r="Z1318" s="256"/>
      <c r="AA1318" s="54"/>
      <c r="AB1318" s="200"/>
      <c r="AC1318" s="31"/>
      <c r="AD1318" s="184"/>
      <c r="AE1318" s="51"/>
      <c r="AF1318" s="52"/>
      <c r="AG1318" s="41"/>
      <c r="AH1318" s="45"/>
      <c r="AI1318" s="28"/>
      <c r="AJ1318" s="28"/>
      <c r="AK1318" s="28"/>
      <c r="AL1318" s="28"/>
      <c r="AM1318" s="12"/>
      <c r="AN1318" s="12"/>
      <c r="AO1318" s="12"/>
      <c r="AP1318" s="12"/>
      <c r="AQ1318" s="12"/>
      <c r="AR1318" s="13"/>
      <c r="AS1318" s="14"/>
    </row>
    <row r="1319" spans="1:45" s="16" customFormat="1" ht="30.95" hidden="1" customHeight="1" x14ac:dyDescent="0.2">
      <c r="A1319" s="35"/>
      <c r="B1319" s="36"/>
      <c r="C1319" s="43"/>
      <c r="D1319" s="29">
        <v>3731359</v>
      </c>
      <c r="E1319" s="29">
        <v>4141034</v>
      </c>
      <c r="F1319" s="255" t="str">
        <f>IF(D1319="","",VLOOKUP(D1319,契約台帳!$A$3:$K$4986,6,FALSE)&amp;VLOOKUP(D1319,契約台帳!$A$3:$K$4986,7,FALSE)&amp;VLOOKUP(D1319,契約台帳!$A$3:$K$4986,8,FALSE)&amp;VLOOKUP(D1319,契約台帳!$A$3:$K$4986,9,FALSE)&amp;VLOOKUP(D1319,契約台帳!$A$3:$K$4986,11,FALSE))</f>
        <v>33SSNMCLBTEKKFV</v>
      </c>
      <c r="G1319" s="256" t="str">
        <f>IF(D1319="","",VLOOKUP(F1319,製品マスタ!$G$5:$H$4999,2,FALSE))</f>
        <v>S</v>
      </c>
      <c r="H1319" s="256" t="str">
        <f>IF(D1319="","",VLOOKUP(F1319,製品マスタ!$G$5:$K$4999,5,FALSE))</f>
        <v>TEKKFV</v>
      </c>
      <c r="I1319" s="200" t="str">
        <f>IF(D1319="","",VLOOKUP(F1319,製品マスタ!$G$5:$L$4999,6,FALSE))</f>
        <v>メタルミー　ＴＥＳ消開封　Ｖ</v>
      </c>
      <c r="J1319" s="203" t="s">
        <v>447</v>
      </c>
      <c r="K1319" s="200">
        <f>IF(D1319="","",VLOOKUP(D1319,契約台帳!$A$3:$L$4986,12,FALSE))</f>
        <v>50</v>
      </c>
      <c r="L1319" s="200" t="str">
        <f>IF(D1319="","",INDEX(製品マスタ!$Q$5:$Q$4999,MATCH('S4'!F1319&amp;'S4'!K1319,製品マスタ!$AO$5:$AO$4999,0)))</f>
        <v>X44SEPA</v>
      </c>
      <c r="M1319" s="37">
        <v>1005</v>
      </c>
      <c r="N1319" s="37">
        <v>12000</v>
      </c>
      <c r="O1319" s="153">
        <v>2</v>
      </c>
      <c r="P1319" s="45">
        <v>2</v>
      </c>
      <c r="Q1319" s="54"/>
      <c r="R1319" s="257">
        <f ca="1">IF(D1319="","",IF(OFFSET(D1319,-1,0)&lt;&gt;"","",IF(OR(J1319="リード付け",J1319="巻足し",J1319="巻返しリード付け"),M1319,VLOOKUP(D1319,契約台帳!$A$3:$N$4986,14,FALSE))))</f>
        <v>1005</v>
      </c>
      <c r="S1319" s="258">
        <f ca="1">IF(D1319="","",IF(OFFSET(D1319,-1,0)&lt;&gt;"","",IF(OR(J1319="リード付け",J1319="巻足し",J1319="巻返しリード付け"),M1319,VLOOKUP(D1319,契約台帳!$A$3:$O$4986,15,FALSE))))</f>
        <v>1000</v>
      </c>
      <c r="T1319" s="258">
        <f ca="1">IF(D1319="","",IF(J1319="リード付け",N1319,IF(J1319="巻返しリード付け",N1319,IF(J1319="巻足し",N1319*P1319+OFFSET(N1319,1,0)*OFFSET(P1319,1,0),VLOOKUP(D1319,契約台帳!$A$3:$P$4986,16,FALSE)))))</f>
        <v>4000</v>
      </c>
      <c r="U1319" s="38">
        <v>6</v>
      </c>
      <c r="V1319" s="259">
        <f ca="1">IF(D1319="","",IF(OFFSET(D1319,-2,0)=D1319,"",VLOOKUP(D1319,契約台帳!$A$3:$R$4986,18,FALSE)))</f>
        <v>6</v>
      </c>
      <c r="W1319" s="256" t="str">
        <f ca="1">IF(D1319="","",IF(T1319="","",IF(OR(J1319="巻足し",J1319="巻返しリード付け"),"",IF(J1319="巻返し",VLOOKUP(F1319&amp;K1319&amp;M1319,製品マスタ!$M$5:$AD$4999,18,FALSE),IF(OR(J1319="リード付け",J1319="巻返しリード付け"),"原反コア",IF(J1319="スリット",VLOOKUP(F1319&amp;K1319&amp;R1319,製品マスタ!$N$5:$AD$4999,17,FALSE),""))))))</f>
        <v>6ｲﾝﾁSｺｱ</v>
      </c>
      <c r="X1319" s="256">
        <f ca="1">IF(D1319="","",IF(T1319="","",IF(J1319="巻足し","",IF(J1319="巻返し",VLOOKUP(F1319&amp;K1319&amp;M1319,製品マスタ!$M$5:$AE$4999,19,FALSE),IF(OR(J1319="リード付け",J1319="巻返しリード付け"),"",IF(J1319="スリット",VLOOKUP(F1319&amp;K1319&amp;R1319,製品マスタ!$N$5:$AE$4999,18,FALSE),""))))))</f>
        <v>1015</v>
      </c>
      <c r="Y1319" s="256">
        <f ca="1">IF(D1319="","",IF(T1319="","",VLOOKUP(D1319,契約台帳!$A$3:$Q$4986,17,FALSE)))</f>
        <v>2</v>
      </c>
      <c r="Z1319" s="256" t="str">
        <f ca="1">IF(D1319="","",IF(T1319="","",VLOOKUP(D1319,契約台帳!$A$3:$E$4986,5,FALSE)))</f>
        <v>リンテック㈱</v>
      </c>
      <c r="AA1319" s="54"/>
      <c r="AB1319" s="200"/>
      <c r="AC1319" s="31"/>
      <c r="AD1319" s="184"/>
      <c r="AE1319" s="51"/>
      <c r="AF1319" s="52"/>
      <c r="AG1319" s="41"/>
      <c r="AH1319" s="45"/>
      <c r="AI1319" s="28"/>
      <c r="AJ1319" s="28"/>
      <c r="AK1319" s="28"/>
      <c r="AL1319" s="28"/>
      <c r="AM1319" s="12"/>
      <c r="AN1319" s="12"/>
      <c r="AO1319" s="12"/>
      <c r="AP1319" s="12"/>
      <c r="AQ1319" s="12"/>
      <c r="AR1319" s="13"/>
      <c r="AS1319" s="14"/>
    </row>
    <row r="1320" spans="1:45" s="16" customFormat="1" ht="30.95" hidden="1" customHeight="1" x14ac:dyDescent="0.2">
      <c r="A1320" s="35"/>
      <c r="B1320" s="36"/>
      <c r="C1320" s="43"/>
      <c r="D1320" s="29"/>
      <c r="E1320" s="29"/>
      <c r="F1320" s="255"/>
      <c r="G1320" s="256"/>
      <c r="H1320" s="256"/>
      <c r="I1320" s="200"/>
      <c r="J1320" s="203"/>
      <c r="K1320" s="200"/>
      <c r="L1320" s="200"/>
      <c r="M1320" s="37"/>
      <c r="N1320" s="37"/>
      <c r="O1320" s="153"/>
      <c r="P1320" s="45"/>
      <c r="Q1320" s="54"/>
      <c r="R1320" s="260"/>
      <c r="S1320" s="258"/>
      <c r="T1320" s="258"/>
      <c r="U1320" s="38"/>
      <c r="V1320" s="261"/>
      <c r="W1320" s="256"/>
      <c r="X1320" s="256"/>
      <c r="Y1320" s="256"/>
      <c r="Z1320" s="256"/>
      <c r="AA1320" s="54"/>
      <c r="AB1320" s="200"/>
      <c r="AC1320" s="31"/>
      <c r="AD1320" s="184"/>
      <c r="AE1320" s="51"/>
      <c r="AF1320" s="52"/>
      <c r="AG1320" s="41"/>
      <c r="AH1320" s="45"/>
      <c r="AI1320" s="28"/>
      <c r="AJ1320" s="28"/>
      <c r="AK1320" s="28"/>
      <c r="AL1320" s="28"/>
      <c r="AM1320" s="12"/>
      <c r="AN1320" s="12"/>
      <c r="AO1320" s="12"/>
      <c r="AP1320" s="12"/>
      <c r="AQ1320" s="12"/>
      <c r="AR1320" s="13"/>
      <c r="AS1320" s="14"/>
    </row>
    <row r="1321" spans="1:45" s="16" customFormat="1" ht="30.95" hidden="1" customHeight="1" x14ac:dyDescent="0.2">
      <c r="A1321" s="35" t="s">
        <v>1793</v>
      </c>
      <c r="B1321" s="36" t="s">
        <v>1785</v>
      </c>
      <c r="C1321" s="43"/>
      <c r="D1321" s="29">
        <v>3731360</v>
      </c>
      <c r="E1321" s="29">
        <v>4141035</v>
      </c>
      <c r="F1321" s="255" t="str">
        <f>IF(D1321="","",VLOOKUP(D1321,契約台帳!$A$3:$K$4986,6,FALSE)&amp;VLOOKUP(D1321,契約台帳!$A$3:$K$4986,7,FALSE)&amp;VLOOKUP(D1321,契約台帳!$A$3:$K$4986,8,FALSE)&amp;VLOOKUP(D1321,契約台帳!$A$3:$K$4986,9,FALSE)&amp;VLOOKUP(D1321,契約台帳!$A$3:$K$4986,11,FALSE))</f>
        <v>33SSNMCLBTEKV0V</v>
      </c>
      <c r="G1321" s="256" t="str">
        <f>IF(D1321="","",VLOOKUP(F1321,製品マスタ!$G$5:$H$4999,2,FALSE))</f>
        <v>S</v>
      </c>
      <c r="H1321" s="256" t="str">
        <f>IF(D1321="","",VLOOKUP(F1321,製品マスタ!$G$5:$K$4999,5,FALSE))</f>
        <v>TEKV0V</v>
      </c>
      <c r="I1321" s="200" t="str">
        <f>IF(D1321="","",VLOOKUP(F1321,製品マスタ!$G$5:$L$4999,6,FALSE))</f>
        <v>メタルミー　ＴＥ－Ｓ消　ＶＯＩＤ　Ｖ</v>
      </c>
      <c r="J1321" s="203" t="s">
        <v>447</v>
      </c>
      <c r="K1321" s="200">
        <f>IF(D1321="","",VLOOKUP(D1321,契約台帳!$A$3:$L$4986,12,FALSE))</f>
        <v>50</v>
      </c>
      <c r="L1321" s="200" t="str">
        <f>IF(D1321="","",INDEX(製品マスタ!$Q$5:$Q$4999,MATCH('S4'!F1321&amp;'S4'!K1321,製品マスタ!$AO$5:$AO$4999,0)))</f>
        <v>X44SEPA</v>
      </c>
      <c r="M1321" s="37">
        <v>1005</v>
      </c>
      <c r="N1321" s="37">
        <v>12000</v>
      </c>
      <c r="O1321" s="153">
        <v>3</v>
      </c>
      <c r="P1321" s="45">
        <v>3</v>
      </c>
      <c r="Q1321" s="54"/>
      <c r="R1321" s="257">
        <f ca="1">IF(D1321="","",IF(OFFSET(D1321,-1,0)&lt;&gt;"","",IF(OR(J1321="リード付け",J1321="巻足し",J1321="巻返しリード付け"),M1321,VLOOKUP(D1321,契約台帳!$A$3:$N$4986,14,FALSE))))</f>
        <v>1005</v>
      </c>
      <c r="S1321" s="258">
        <f ca="1">IF(D1321="","",IF(OFFSET(D1321,-1,0)&lt;&gt;"","",IF(OR(J1321="リード付け",J1321="巻足し",J1321="巻返しリード付け"),M1321,VLOOKUP(D1321,契約台帳!$A$3:$O$4986,15,FALSE))))</f>
        <v>1000</v>
      </c>
      <c r="T1321" s="258">
        <f ca="1">IF(D1321="","",IF(J1321="リード付け",N1321,IF(J1321="巻返しリード付け",N1321,IF(J1321="巻足し",N1321*P1321+OFFSET(N1321,1,0)*OFFSET(P1321,1,0),VLOOKUP(D1321,契約台帳!$A$3:$P$4986,16,FALSE)))))</f>
        <v>4000</v>
      </c>
      <c r="U1321" s="38">
        <v>9</v>
      </c>
      <c r="V1321" s="259">
        <f ca="1">IF(D1321="","",IF(OFFSET(D1321,-2,0)=D1321,"",VLOOKUP(D1321,契約台帳!$A$3:$R$4986,18,FALSE)))</f>
        <v>9</v>
      </c>
      <c r="W1321" s="256" t="str">
        <f ca="1">IF(D1321="","",IF(T1321="","",IF(OR(J1321="巻足し",J1321="巻返しリード付け"),"",IF(J1321="巻返し",VLOOKUP(F1321&amp;K1321&amp;M1321,製品マスタ!$M$5:$AD$4999,18,FALSE),IF(OR(J1321="リード付け",J1321="巻返しリード付け"),"原反コア",IF(J1321="スリット",VLOOKUP(F1321&amp;K1321&amp;R1321,製品マスタ!$N$5:$AD$4999,17,FALSE),""))))))</f>
        <v>6ｲﾝﾁSｺｱ</v>
      </c>
      <c r="X1321" s="256">
        <f ca="1">IF(D1321="","",IF(T1321="","",IF(J1321="巻足し","",IF(J1321="巻返し",VLOOKUP(F1321&amp;K1321&amp;M1321,製品マスタ!$M$5:$AE$4999,19,FALSE),IF(OR(J1321="リード付け",J1321="巻返しリード付け"),"",IF(J1321="スリット",VLOOKUP(F1321&amp;K1321&amp;R1321,製品マスタ!$N$5:$AE$4999,18,FALSE),""))))))</f>
        <v>1015</v>
      </c>
      <c r="Y1321" s="256">
        <f ca="1">IF(D1321="","",IF(T1321="","",VLOOKUP(D1321,契約台帳!$A$3:$Q$4986,17,FALSE)))</f>
        <v>2</v>
      </c>
      <c r="Z1321" s="256" t="str">
        <f ca="1">IF(D1321="","",IF(T1321="","",VLOOKUP(D1321,契約台帳!$A$3:$E$4986,5,FALSE)))</f>
        <v>リンテック㈱</v>
      </c>
      <c r="AA1321" s="54"/>
      <c r="AB1321" s="200"/>
      <c r="AC1321" s="31"/>
      <c r="AD1321" s="184"/>
      <c r="AE1321" s="51"/>
      <c r="AF1321" s="52"/>
      <c r="AG1321" s="41"/>
      <c r="AH1321" s="45"/>
      <c r="AI1321" s="28"/>
      <c r="AJ1321" s="28"/>
      <c r="AK1321" s="28"/>
      <c r="AL1321" s="28"/>
      <c r="AM1321" s="12"/>
      <c r="AN1321" s="12"/>
      <c r="AO1321" s="12"/>
      <c r="AP1321" s="12"/>
      <c r="AQ1321" s="12"/>
      <c r="AR1321" s="13"/>
      <c r="AS1321" s="14"/>
    </row>
    <row r="1322" spans="1:45" s="16" customFormat="1" ht="30.95" hidden="1" customHeight="1" x14ac:dyDescent="0.2">
      <c r="A1322" s="35"/>
      <c r="B1322" s="36"/>
      <c r="C1322" s="43"/>
      <c r="D1322" s="29"/>
      <c r="E1322" s="29"/>
      <c r="F1322" s="255"/>
      <c r="G1322" s="256"/>
      <c r="H1322" s="256"/>
      <c r="I1322" s="200"/>
      <c r="J1322" s="203"/>
      <c r="K1322" s="200"/>
      <c r="L1322" s="200"/>
      <c r="M1322" s="37"/>
      <c r="N1322" s="37"/>
      <c r="O1322" s="153"/>
      <c r="P1322" s="45"/>
      <c r="Q1322" s="54"/>
      <c r="R1322" s="260"/>
      <c r="S1322" s="258"/>
      <c r="T1322" s="258"/>
      <c r="U1322" s="38"/>
      <c r="V1322" s="261"/>
      <c r="W1322" s="256"/>
      <c r="X1322" s="256"/>
      <c r="Y1322" s="256"/>
      <c r="Z1322" s="256"/>
      <c r="AA1322" s="54"/>
      <c r="AB1322" s="200"/>
      <c r="AC1322" s="31"/>
      <c r="AD1322" s="184"/>
      <c r="AE1322" s="51"/>
      <c r="AF1322" s="52"/>
      <c r="AG1322" s="41"/>
      <c r="AH1322" s="45"/>
      <c r="AI1322" s="28"/>
      <c r="AJ1322" s="28"/>
      <c r="AK1322" s="28"/>
      <c r="AL1322" s="28"/>
      <c r="AM1322" s="12"/>
      <c r="AN1322" s="12"/>
      <c r="AO1322" s="12"/>
      <c r="AP1322" s="12"/>
      <c r="AQ1322" s="12"/>
      <c r="AR1322" s="13"/>
      <c r="AS1322" s="14"/>
    </row>
    <row r="1323" spans="1:45" s="16" customFormat="1" ht="30.95" hidden="1" customHeight="1" x14ac:dyDescent="0.2">
      <c r="A1323" s="35"/>
      <c r="B1323" s="36"/>
      <c r="C1323" s="43"/>
      <c r="D1323" s="29">
        <v>3731361</v>
      </c>
      <c r="E1323" s="29">
        <v>4141036</v>
      </c>
      <c r="F1323" s="255" t="str">
        <f>IF(D1323="","",VLOOKUP(D1323,契約台帳!$A$3:$K$4986,6,FALSE)&amp;VLOOKUP(D1323,契約台帳!$A$3:$K$4986,7,FALSE)&amp;VLOOKUP(D1323,契約台帳!$A$3:$K$4986,8,FALSE)&amp;VLOOKUP(D1323,契約台帳!$A$3:$K$4986,9,FALSE)&amp;VLOOKUP(D1323,契約台帳!$A$3:$K$4986,11,FALSE))</f>
        <v>33SSNMCLBTEKV0V</v>
      </c>
      <c r="G1323" s="256" t="str">
        <f>IF(D1323="","",VLOOKUP(F1323,製品マスタ!$G$5:$H$4999,2,FALSE))</f>
        <v>S</v>
      </c>
      <c r="H1323" s="256" t="str">
        <f>IF(D1323="","",VLOOKUP(F1323,製品マスタ!$G$5:$K$4999,5,FALSE))</f>
        <v>TEKV0V</v>
      </c>
      <c r="I1323" s="200" t="str">
        <f>IF(D1323="","",VLOOKUP(F1323,製品マスタ!$G$5:$L$4999,6,FALSE))</f>
        <v>メタルミー　ＴＥ－Ｓ消　ＶＯＩＤ　Ｖ</v>
      </c>
      <c r="J1323" s="203" t="s">
        <v>447</v>
      </c>
      <c r="K1323" s="200">
        <f>IF(D1323="","",VLOOKUP(D1323,契約台帳!$A$3:$L$4986,12,FALSE))</f>
        <v>50</v>
      </c>
      <c r="L1323" s="200" t="str">
        <f>IF(D1323="","",INDEX(製品マスタ!$Q$5:$Q$4999,MATCH('S4'!F1323&amp;'S4'!K1323,製品マスタ!$AO$5:$AO$4999,0)))</f>
        <v>X44SEPA</v>
      </c>
      <c r="M1323" s="37">
        <v>1005</v>
      </c>
      <c r="N1323" s="37">
        <v>12300</v>
      </c>
      <c r="O1323" s="153">
        <v>1</v>
      </c>
      <c r="P1323" s="45">
        <v>1</v>
      </c>
      <c r="Q1323" s="54"/>
      <c r="R1323" s="257">
        <f ca="1">IF(D1323="","",IF(OFFSET(D1323,-1,0)&lt;&gt;"","",IF(OR(J1323="リード付け",J1323="巻足し",J1323="巻返しリード付け"),M1323,VLOOKUP(D1323,契約台帳!$A$3:$N$4986,14,FALSE))))</f>
        <v>1005</v>
      </c>
      <c r="S1323" s="258">
        <f ca="1">IF(D1323="","",IF(OFFSET(D1323,-1,0)&lt;&gt;"","",IF(OR(J1323="リード付け",J1323="巻足し",J1323="巻返しリード付け"),M1323,VLOOKUP(D1323,契約台帳!$A$3:$O$4986,15,FALSE))))</f>
        <v>1000</v>
      </c>
      <c r="T1323" s="258">
        <f ca="1">IF(D1323="","",IF(J1323="リード付け",N1323,IF(J1323="巻返しリード付け",N1323,IF(J1323="巻足し",N1323*P1323+OFFSET(N1323,1,0)*OFFSET(P1323,1,0),VLOOKUP(D1323,契約台帳!$A$3:$P$4986,16,FALSE)))))</f>
        <v>4100</v>
      </c>
      <c r="U1323" s="38">
        <v>3</v>
      </c>
      <c r="V1323" s="259">
        <f ca="1">IF(D1323="","",IF(OFFSET(D1323,-2,0)=D1323,"",VLOOKUP(D1323,契約台帳!$A$3:$R$4986,18,FALSE)))</f>
        <v>3</v>
      </c>
      <c r="W1323" s="256" t="str">
        <f ca="1">IF(D1323="","",IF(T1323="","",IF(OR(J1323="巻足し",J1323="巻返しリード付け"),"",IF(J1323="巻返し",VLOOKUP(F1323&amp;K1323&amp;M1323,製品マスタ!$M$5:$AD$4999,18,FALSE),IF(OR(J1323="リード付け",J1323="巻返しリード付け"),"原反コア",IF(J1323="スリット",VLOOKUP(F1323&amp;K1323&amp;R1323,製品マスタ!$N$5:$AD$4999,17,FALSE),""))))))</f>
        <v>6ｲﾝﾁSｺｱ</v>
      </c>
      <c r="X1323" s="256">
        <f ca="1">IF(D1323="","",IF(T1323="","",IF(J1323="巻足し","",IF(J1323="巻返し",VLOOKUP(F1323&amp;K1323&amp;M1323,製品マスタ!$M$5:$AE$4999,19,FALSE),IF(OR(J1323="リード付け",J1323="巻返しリード付け"),"",IF(J1323="スリット",VLOOKUP(F1323&amp;K1323&amp;R1323,製品マスタ!$N$5:$AE$4999,18,FALSE),""))))))</f>
        <v>1015</v>
      </c>
      <c r="Y1323" s="256">
        <f ca="1">IF(D1323="","",IF(T1323="","",VLOOKUP(D1323,契約台帳!$A$3:$Q$4986,17,FALSE)))</f>
        <v>2</v>
      </c>
      <c r="Z1323" s="256" t="str">
        <f ca="1">IF(D1323="","",IF(T1323="","",VLOOKUP(D1323,契約台帳!$A$3:$E$4986,5,FALSE)))</f>
        <v>リンテック㈱</v>
      </c>
      <c r="AA1323" s="54"/>
      <c r="AB1323" s="200"/>
      <c r="AC1323" s="31"/>
      <c r="AD1323" s="184"/>
      <c r="AE1323" s="51"/>
      <c r="AF1323" s="52"/>
      <c r="AG1323" s="41"/>
      <c r="AH1323" s="45"/>
      <c r="AI1323" s="28"/>
      <c r="AJ1323" s="28"/>
      <c r="AK1323" s="28"/>
      <c r="AL1323" s="28"/>
      <c r="AM1323" s="12"/>
      <c r="AN1323" s="12"/>
      <c r="AO1323" s="12"/>
      <c r="AP1323" s="12"/>
      <c r="AQ1323" s="12"/>
      <c r="AR1323" s="13"/>
      <c r="AS1323" s="14"/>
    </row>
    <row r="1324" spans="1:45" s="16" customFormat="1" ht="30.95" hidden="1" customHeight="1" x14ac:dyDescent="0.2">
      <c r="A1324" s="35"/>
      <c r="B1324" s="36"/>
      <c r="C1324" s="43"/>
      <c r="D1324" s="29"/>
      <c r="E1324" s="29"/>
      <c r="F1324" s="255"/>
      <c r="G1324" s="256"/>
      <c r="H1324" s="256"/>
      <c r="I1324" s="200"/>
      <c r="J1324" s="203"/>
      <c r="K1324" s="200"/>
      <c r="L1324" s="200"/>
      <c r="M1324" s="37"/>
      <c r="N1324" s="37"/>
      <c r="O1324" s="153"/>
      <c r="P1324" s="45"/>
      <c r="Q1324" s="54"/>
      <c r="R1324" s="260"/>
      <c r="S1324" s="258"/>
      <c r="T1324" s="258"/>
      <c r="U1324" s="38"/>
      <c r="V1324" s="261"/>
      <c r="W1324" s="256"/>
      <c r="X1324" s="256"/>
      <c r="Y1324" s="256"/>
      <c r="Z1324" s="256"/>
      <c r="AA1324" s="54"/>
      <c r="AB1324" s="200"/>
      <c r="AC1324" s="31"/>
      <c r="AD1324" s="184"/>
      <c r="AE1324" s="51"/>
      <c r="AF1324" s="52"/>
      <c r="AG1324" s="41"/>
      <c r="AH1324" s="45"/>
      <c r="AI1324" s="28"/>
      <c r="AJ1324" s="28"/>
      <c r="AK1324" s="28"/>
      <c r="AL1324" s="28"/>
      <c r="AM1324" s="12"/>
      <c r="AN1324" s="12"/>
      <c r="AO1324" s="12"/>
      <c r="AP1324" s="12"/>
      <c r="AQ1324" s="12"/>
      <c r="AR1324" s="13"/>
      <c r="AS1324" s="14"/>
    </row>
    <row r="1325" spans="1:45" s="16" customFormat="1" ht="30.95" hidden="1" customHeight="1" x14ac:dyDescent="0.2">
      <c r="A1325" s="35"/>
      <c r="B1325" s="36"/>
      <c r="C1325" s="43"/>
      <c r="D1325" s="29">
        <v>3733362</v>
      </c>
      <c r="E1325" s="29">
        <v>4141063</v>
      </c>
      <c r="F1325" s="255" t="str">
        <f>IF(D1325="","",VLOOKUP(D1325,契約台帳!$A$3:$K$4986,6,FALSE)&amp;VLOOKUP(D1325,契約台帳!$A$3:$K$4986,7,FALSE)&amp;VLOOKUP(D1325,契約台帳!$A$3:$K$4986,8,FALSE)&amp;VLOOKUP(D1325,契約台帳!$A$3:$K$4986,9,FALSE)&amp;VLOOKUP(D1325,契約台帳!$A$3:$K$4986,11,FALSE))</f>
        <v>3TNMCLBHLKTV</v>
      </c>
      <c r="G1325" s="256" t="str">
        <f>IF(D1325="","",VLOOKUP(F1325,製品マスタ!$G$5:$H$4999,2,FALSE))</f>
        <v>T</v>
      </c>
      <c r="H1325" s="256" t="str">
        <f>IF(D1325="","",VLOOKUP(F1325,製品マスタ!$G$5:$K$4999,5,FALSE))</f>
        <v>HLKTV</v>
      </c>
      <c r="I1325" s="200" t="str">
        <f>IF(D1325="","",VLOOKUP(F1325,製品マスタ!$G$5:$L$4999,6,FALSE))</f>
        <v>メタルミー　ヘヤライン金艶　Ｖ</v>
      </c>
      <c r="J1325" s="203" t="s">
        <v>447</v>
      </c>
      <c r="K1325" s="200">
        <f>IF(D1325="","",VLOOKUP(D1325,契約台帳!$A$3:$L$4986,12,FALSE))</f>
        <v>25</v>
      </c>
      <c r="L1325" s="200" t="str">
        <f>IF(D1325="","",INDEX(製品マスタ!$Q$5:$Q$4999,MATCH('S4'!F1325&amp;'S4'!K1325,製品マスタ!$AO$5:$AO$4999,0)))</f>
        <v>HL25/EC</v>
      </c>
      <c r="M1325" s="37">
        <v>1030</v>
      </c>
      <c r="N1325" s="37">
        <v>4000</v>
      </c>
      <c r="O1325" s="153">
        <v>1</v>
      </c>
      <c r="P1325" s="45">
        <v>1</v>
      </c>
      <c r="Q1325" s="54"/>
      <c r="R1325" s="257">
        <f ca="1">IF(D1325="","",IF(OFFSET(D1325,-1,0)&lt;&gt;"","",IF(OR(J1325="リード付け",J1325="巻足し",J1325="巻返しリード付け"),M1325,VLOOKUP(D1325,契約台帳!$A$3:$N$4986,14,FALSE))))</f>
        <v>1000</v>
      </c>
      <c r="S1325" s="258">
        <f ca="1">IF(D1325="","",IF(OFFSET(D1325,-1,0)&lt;&gt;"","",IF(OR(J1325="リード付け",J1325="巻足し",J1325="巻返しリード付け"),M1325,VLOOKUP(D1325,契約台帳!$A$3:$O$4986,15,FALSE))))</f>
        <v>1000</v>
      </c>
      <c r="T1325" s="258">
        <f ca="1">IF(D1325="","",IF(J1325="リード付け",N1325,IF(J1325="巻返しリード付け",N1325,IF(J1325="巻足し",N1325*P1325+OFFSET(N1325,1,0)*OFFSET(P1325,1,0),VLOOKUP(D1325,契約台帳!$A$3:$P$4986,16,FALSE)))))</f>
        <v>2000</v>
      </c>
      <c r="U1325" s="38">
        <v>2</v>
      </c>
      <c r="V1325" s="259">
        <f ca="1">IF(D1325="","",IF(OFFSET(D1325,-2,0)=D1325,"",VLOOKUP(D1325,契約台帳!$A$3:$R$4986,18,FALSE)))</f>
        <v>2</v>
      </c>
      <c r="W1325" s="256" t="str">
        <f ca="1">IF(D1325="","",IF(T1325="","",IF(OR(J1325="巻足し",J1325="巻返しリード付け"),"",IF(J1325="巻返し",VLOOKUP(F1325&amp;K1325&amp;M1325,製品マスタ!$M$5:$AD$4999,18,FALSE),IF(OR(J1325="リード付け",J1325="巻返しリード付け"),"原反コア",IF(J1325="スリット",VLOOKUP(F1325&amp;K1325&amp;R1325,製品マスタ!$N$5:$AD$4999,17,FALSE),""))))))</f>
        <v>6ｲﾝﾁSｺｱ</v>
      </c>
      <c r="X1325" s="256">
        <f ca="1">IF(D1325="","",IF(T1325="","",IF(J1325="巻足し","",IF(J1325="巻返し",VLOOKUP(F1325&amp;K1325&amp;M1325,製品マスタ!$M$5:$AE$4999,19,FALSE),IF(OR(J1325="リード付け",J1325="巻返しリード付け"),"",IF(J1325="スリット",VLOOKUP(F1325&amp;K1325&amp;R1325,製品マスタ!$N$5:$AE$4999,18,FALSE),""))))))</f>
        <v>1015</v>
      </c>
      <c r="Y1325" s="256">
        <f ca="1">IF(D1325="","",IF(T1325="","",VLOOKUP(D1325,契約台帳!$A$3:$Q$4986,17,FALSE)))</f>
        <v>2</v>
      </c>
      <c r="Z1325" s="256" t="str">
        <f ca="1">IF(D1325="","",IF(T1325="","",VLOOKUP(D1325,契約台帳!$A$3:$E$4986,5,FALSE)))</f>
        <v>リンテック㈱</v>
      </c>
      <c r="AA1325" s="54"/>
      <c r="AB1325" s="200" t="s">
        <v>774</v>
      </c>
      <c r="AC1325" s="31"/>
      <c r="AD1325" s="184"/>
      <c r="AE1325" s="51"/>
      <c r="AF1325" s="52"/>
      <c r="AG1325" s="41"/>
      <c r="AH1325" s="45"/>
      <c r="AI1325" s="28"/>
      <c r="AJ1325" s="28"/>
      <c r="AK1325" s="28"/>
      <c r="AL1325" s="28"/>
      <c r="AM1325" s="12"/>
      <c r="AN1325" s="12"/>
      <c r="AO1325" s="12"/>
      <c r="AP1325" s="12"/>
      <c r="AQ1325" s="12"/>
      <c r="AR1325" s="13"/>
      <c r="AS1325" s="14"/>
    </row>
    <row r="1326" spans="1:45" s="16" customFormat="1" ht="30.95" hidden="1" customHeight="1" x14ac:dyDescent="0.2">
      <c r="A1326" s="35"/>
      <c r="B1326" s="36"/>
      <c r="C1326" s="43"/>
      <c r="D1326" s="29"/>
      <c r="E1326" s="29"/>
      <c r="F1326" s="255"/>
      <c r="G1326" s="256"/>
      <c r="H1326" s="256"/>
      <c r="I1326" s="200"/>
      <c r="J1326" s="203"/>
      <c r="K1326" s="200"/>
      <c r="L1326" s="200"/>
      <c r="M1326" s="37"/>
      <c r="N1326" s="37"/>
      <c r="O1326" s="153"/>
      <c r="P1326" s="45"/>
      <c r="Q1326" s="54"/>
      <c r="R1326" s="260"/>
      <c r="S1326" s="258"/>
      <c r="T1326" s="258"/>
      <c r="U1326" s="38"/>
      <c r="V1326" s="261"/>
      <c r="W1326" s="256"/>
      <c r="X1326" s="256"/>
      <c r="Y1326" s="256"/>
      <c r="Z1326" s="256"/>
      <c r="AA1326" s="54"/>
      <c r="AB1326" s="200"/>
      <c r="AC1326" s="31"/>
      <c r="AD1326" s="184"/>
      <c r="AE1326" s="51"/>
      <c r="AF1326" s="52"/>
      <c r="AG1326" s="41"/>
      <c r="AH1326" s="45"/>
      <c r="AI1326" s="28"/>
      <c r="AJ1326" s="28"/>
      <c r="AK1326" s="28"/>
      <c r="AL1326" s="28"/>
      <c r="AM1326" s="12"/>
      <c r="AN1326" s="12"/>
      <c r="AO1326" s="12"/>
      <c r="AP1326" s="12"/>
      <c r="AQ1326" s="12"/>
      <c r="AR1326" s="13"/>
      <c r="AS1326" s="14"/>
    </row>
    <row r="1327" spans="1:45" s="16" customFormat="1" ht="30.95" hidden="1" customHeight="1" x14ac:dyDescent="0.2">
      <c r="A1327" s="35"/>
      <c r="B1327" s="36"/>
      <c r="C1327" s="43"/>
      <c r="D1327" s="29">
        <v>3732679</v>
      </c>
      <c r="E1327" s="29">
        <v>4141056</v>
      </c>
      <c r="F1327" s="255" t="str">
        <f>IF(D1327="","",VLOOKUP(D1327,契約台帳!$A$3:$K$4986,6,FALSE)&amp;VLOOKUP(D1327,契約台帳!$A$3:$K$4986,7,FALSE)&amp;VLOOKUP(D1327,契約台帳!$A$3:$K$4986,8,FALSE)&amp;VLOOKUP(D1327,契約台帳!$A$3:$K$4986,9,FALSE)&amp;VLOOKUP(D1327,契約台帳!$A$3:$K$4986,11,FALSE))</f>
        <v>3TNMCLBHLGKJV</v>
      </c>
      <c r="G1327" s="256" t="str">
        <f>IF(D1327="","",VLOOKUP(F1327,製品マスタ!$G$5:$H$4999,2,FALSE))</f>
        <v>T</v>
      </c>
      <c r="H1327" s="256" t="str">
        <f>IF(D1327="","",VLOOKUP(F1327,製品マスタ!$G$5:$K$4999,5,FALSE))</f>
        <v>HLGKJV</v>
      </c>
      <c r="I1327" s="200" t="str">
        <f>IF(D1327="","",VLOOKUP(F1327,製品マスタ!$G$5:$L$4999,6,FALSE))</f>
        <v>メタルミー　ヘヤライン　銀消Ｖ</v>
      </c>
      <c r="J1327" s="203" t="s">
        <v>447</v>
      </c>
      <c r="K1327" s="200">
        <f>IF(D1327="","",VLOOKUP(D1327,契約台帳!$A$3:$L$4986,12,FALSE))</f>
        <v>50</v>
      </c>
      <c r="L1327" s="200" t="str">
        <f>IF(D1327="","",INDEX(製品マスタ!$Q$5:$Q$4999,MATCH('S4'!F1327&amp;'S4'!K1327,製品マスタ!$AO$5:$AO$4999,0)))</f>
        <v>HL-MAT</v>
      </c>
      <c r="M1327" s="37">
        <v>1005</v>
      </c>
      <c r="N1327" s="37">
        <v>8000</v>
      </c>
      <c r="O1327" s="153">
        <v>1</v>
      </c>
      <c r="P1327" s="45">
        <v>1</v>
      </c>
      <c r="Q1327" s="54"/>
      <c r="R1327" s="257">
        <f ca="1">IF(D1327="","",IF(OFFSET(D1327,-1,0)&lt;&gt;"","",IF(OR(J1327="リード付け",J1327="巻足し",J1327="巻返しリード付け"),M1327,VLOOKUP(D1327,契約台帳!$A$3:$N$4986,14,FALSE))))</f>
        <v>1005</v>
      </c>
      <c r="S1327" s="258">
        <f ca="1">IF(D1327="","",IF(OFFSET(D1327,-1,0)&lt;&gt;"","",IF(OR(J1327="リード付け",J1327="巻足し",J1327="巻返しリード付け"),M1327,VLOOKUP(D1327,契約台帳!$A$3:$O$4986,15,FALSE))))</f>
        <v>1000</v>
      </c>
      <c r="T1327" s="258">
        <f ca="1">IF(D1327="","",IF(J1327="リード付け",N1327,IF(J1327="巻返しリード付け",N1327,IF(J1327="巻足し",N1327*P1327+OFFSET(N1327,1,0)*OFFSET(P1327,1,0),VLOOKUP(D1327,契約台帳!$A$3:$P$4986,16,FALSE)))))</f>
        <v>4000</v>
      </c>
      <c r="U1327" s="38">
        <v>2</v>
      </c>
      <c r="V1327" s="259">
        <f ca="1">IF(D1327="","",IF(OFFSET(D1327,-2,0)=D1327,"",VLOOKUP(D1327,契約台帳!$A$3:$R$4986,18,FALSE)))</f>
        <v>2</v>
      </c>
      <c r="W1327" s="256" t="str">
        <f ca="1">IF(D1327="","",IF(T1327="","",IF(OR(J1327="巻足し",J1327="巻返しリード付け"),"",IF(J1327="巻返し",VLOOKUP(F1327&amp;K1327&amp;M1327,製品マスタ!$M$5:$AD$4999,18,FALSE),IF(OR(J1327="リード付け",J1327="巻返しリード付け"),"原反コア",IF(J1327="スリット",VLOOKUP(F1327&amp;K1327&amp;R1327,製品マスタ!$N$5:$AD$4999,17,FALSE),""))))))</f>
        <v>6ｲﾝﾁSｺｱ</v>
      </c>
      <c r="X1327" s="256">
        <f ca="1">IF(D1327="","",IF(T1327="","",IF(J1327="巻足し","",IF(J1327="巻返し",VLOOKUP(F1327&amp;K1327&amp;M1327,製品マスタ!$M$5:$AE$4999,19,FALSE),IF(OR(J1327="リード付け",J1327="巻返しリード付け"),"",IF(J1327="スリット",VLOOKUP(F1327&amp;K1327&amp;R1327,製品マスタ!$N$5:$AE$4999,18,FALSE),""))))))</f>
        <v>1015</v>
      </c>
      <c r="Y1327" s="256">
        <f ca="1">IF(D1327="","",IF(T1327="","",VLOOKUP(D1327,契約台帳!$A$3:$Q$4986,17,FALSE)))</f>
        <v>2</v>
      </c>
      <c r="Z1327" s="256" t="str">
        <f ca="1">IF(D1327="","",IF(T1327="","",VLOOKUP(D1327,契約台帳!$A$3:$E$4986,5,FALSE)))</f>
        <v>リンテック㈱</v>
      </c>
      <c r="AA1327" s="54"/>
      <c r="AB1327" s="200" t="s">
        <v>774</v>
      </c>
      <c r="AC1327" s="31"/>
      <c r="AD1327" s="184"/>
      <c r="AE1327" s="51"/>
      <c r="AF1327" s="52"/>
      <c r="AG1327" s="41"/>
      <c r="AH1327" s="45"/>
      <c r="AI1327" s="28"/>
      <c r="AJ1327" s="28"/>
      <c r="AK1327" s="28"/>
      <c r="AL1327" s="28"/>
      <c r="AM1327" s="12"/>
      <c r="AN1327" s="12"/>
      <c r="AO1327" s="12"/>
      <c r="AP1327" s="12"/>
      <c r="AQ1327" s="12"/>
      <c r="AR1327" s="13"/>
      <c r="AS1327" s="14"/>
    </row>
    <row r="1328" spans="1:45" s="16" customFormat="1" ht="30.95" hidden="1" customHeight="1" x14ac:dyDescent="0.2">
      <c r="A1328" s="35"/>
      <c r="B1328" s="36"/>
      <c r="C1328" s="43"/>
      <c r="D1328" s="29"/>
      <c r="E1328" s="29"/>
      <c r="F1328" s="255"/>
      <c r="G1328" s="256"/>
      <c r="H1328" s="256"/>
      <c r="I1328" s="200"/>
      <c r="J1328" s="203"/>
      <c r="K1328" s="200"/>
      <c r="L1328" s="200"/>
      <c r="M1328" s="37"/>
      <c r="N1328" s="37"/>
      <c r="O1328" s="153"/>
      <c r="P1328" s="45"/>
      <c r="Q1328" s="54"/>
      <c r="R1328" s="260"/>
      <c r="S1328" s="258"/>
      <c r="T1328" s="258"/>
      <c r="U1328" s="38"/>
      <c r="V1328" s="261"/>
      <c r="W1328" s="256"/>
      <c r="X1328" s="256"/>
      <c r="Y1328" s="256"/>
      <c r="Z1328" s="256"/>
      <c r="AA1328" s="54"/>
      <c r="AB1328" s="200"/>
      <c r="AC1328" s="31"/>
      <c r="AD1328" s="184"/>
      <c r="AE1328" s="51"/>
      <c r="AF1328" s="52"/>
      <c r="AG1328" s="41"/>
      <c r="AH1328" s="45"/>
      <c r="AI1328" s="28"/>
      <c r="AJ1328" s="28"/>
      <c r="AK1328" s="28"/>
      <c r="AL1328" s="28"/>
      <c r="AM1328" s="12"/>
      <c r="AN1328" s="12"/>
      <c r="AO1328" s="12"/>
      <c r="AP1328" s="12"/>
      <c r="AQ1328" s="12"/>
      <c r="AR1328" s="13"/>
      <c r="AS1328" s="14"/>
    </row>
    <row r="1329" spans="1:45" s="16" customFormat="1" ht="30.95" hidden="1" customHeight="1" x14ac:dyDescent="0.2">
      <c r="A1329" s="35" t="s">
        <v>658</v>
      </c>
      <c r="B1329" s="36" t="s">
        <v>445</v>
      </c>
      <c r="C1329" s="43"/>
      <c r="D1329" s="29"/>
      <c r="E1329" s="29"/>
      <c r="F1329" s="255"/>
      <c r="G1329" s="256"/>
      <c r="H1329" s="256"/>
      <c r="I1329" s="200"/>
      <c r="J1329" s="203" t="s">
        <v>448</v>
      </c>
      <c r="K1329" s="200"/>
      <c r="L1329" s="200"/>
      <c r="M1329" s="37"/>
      <c r="N1329" s="37"/>
      <c r="O1329" s="153"/>
      <c r="P1329" s="45"/>
      <c r="Q1329" s="54"/>
      <c r="R1329" s="260"/>
      <c r="S1329" s="258"/>
      <c r="T1329" s="258"/>
      <c r="U1329" s="38"/>
      <c r="V1329" s="261"/>
      <c r="W1329" s="256"/>
      <c r="X1329" s="256"/>
      <c r="Y1329" s="256"/>
      <c r="Z1329" s="256"/>
      <c r="AA1329" s="54"/>
      <c r="AB1329" s="200"/>
      <c r="AC1329" s="31"/>
      <c r="AD1329" s="184"/>
      <c r="AE1329" s="51"/>
      <c r="AF1329" s="52"/>
      <c r="AG1329" s="41"/>
      <c r="AH1329" s="45"/>
      <c r="AI1329" s="28"/>
      <c r="AJ1329" s="28"/>
      <c r="AK1329" s="28"/>
      <c r="AL1329" s="28"/>
      <c r="AM1329" s="12"/>
      <c r="AN1329" s="12"/>
      <c r="AO1329" s="12"/>
      <c r="AP1329" s="12"/>
      <c r="AQ1329" s="12"/>
      <c r="AR1329" s="13"/>
      <c r="AS1329" s="14"/>
    </row>
    <row r="1330" spans="1:45" s="16" customFormat="1" ht="30.95" hidden="1" customHeight="1" x14ac:dyDescent="0.2">
      <c r="A1330" s="35"/>
      <c r="B1330" s="36"/>
      <c r="C1330" s="43"/>
      <c r="D1330" s="29"/>
      <c r="E1330" s="29"/>
      <c r="F1330" s="255"/>
      <c r="G1330" s="256"/>
      <c r="H1330" s="256"/>
      <c r="I1330" s="200"/>
      <c r="J1330" s="203"/>
      <c r="K1330" s="200"/>
      <c r="L1330" s="200"/>
      <c r="M1330" s="37"/>
      <c r="N1330" s="37"/>
      <c r="O1330" s="153"/>
      <c r="P1330" s="45"/>
      <c r="Q1330" s="54"/>
      <c r="R1330" s="260"/>
      <c r="S1330" s="258"/>
      <c r="T1330" s="258"/>
      <c r="U1330" s="38"/>
      <c r="V1330" s="261"/>
      <c r="W1330" s="256"/>
      <c r="X1330" s="256"/>
      <c r="Y1330" s="256"/>
      <c r="Z1330" s="256"/>
      <c r="AA1330" s="54"/>
      <c r="AB1330" s="200"/>
      <c r="AC1330" s="31"/>
      <c r="AD1330" s="184"/>
      <c r="AE1330" s="51"/>
      <c r="AF1330" s="52"/>
      <c r="AG1330" s="41"/>
      <c r="AH1330" s="45"/>
      <c r="AI1330" s="28"/>
      <c r="AJ1330" s="28"/>
      <c r="AK1330" s="28"/>
      <c r="AL1330" s="28"/>
      <c r="AM1330" s="12"/>
      <c r="AN1330" s="12"/>
      <c r="AO1330" s="12"/>
      <c r="AP1330" s="12"/>
      <c r="AQ1330" s="12"/>
      <c r="AR1330" s="13"/>
      <c r="AS1330" s="14"/>
    </row>
    <row r="1331" spans="1:45" s="16" customFormat="1" ht="30.95" hidden="1" customHeight="1" x14ac:dyDescent="0.2">
      <c r="A1331" s="35" t="s">
        <v>659</v>
      </c>
      <c r="B1331" s="302" t="s">
        <v>446</v>
      </c>
      <c r="C1331" s="43"/>
      <c r="D1331" s="29"/>
      <c r="E1331" s="29"/>
      <c r="F1331" s="255"/>
      <c r="G1331" s="256"/>
      <c r="H1331" s="256"/>
      <c r="I1331" s="200"/>
      <c r="J1331" s="203" t="s">
        <v>448</v>
      </c>
      <c r="K1331" s="200"/>
      <c r="L1331" s="200"/>
      <c r="M1331" s="37"/>
      <c r="N1331" s="37"/>
      <c r="O1331" s="153"/>
      <c r="P1331" s="45"/>
      <c r="Q1331" s="54"/>
      <c r="R1331" s="260"/>
      <c r="S1331" s="258"/>
      <c r="T1331" s="258"/>
      <c r="U1331" s="38"/>
      <c r="V1331" s="261"/>
      <c r="W1331" s="256"/>
      <c r="X1331" s="256"/>
      <c r="Y1331" s="256"/>
      <c r="Z1331" s="256"/>
      <c r="AA1331" s="54"/>
      <c r="AB1331" s="200"/>
      <c r="AC1331" s="31"/>
      <c r="AD1331" s="184"/>
      <c r="AE1331" s="51"/>
      <c r="AF1331" s="52"/>
      <c r="AG1331" s="41"/>
      <c r="AH1331" s="45"/>
      <c r="AI1331" s="28"/>
      <c r="AJ1331" s="28"/>
      <c r="AK1331" s="28"/>
      <c r="AL1331" s="28"/>
      <c r="AM1331" s="12"/>
      <c r="AN1331" s="12"/>
      <c r="AO1331" s="12"/>
      <c r="AP1331" s="12"/>
      <c r="AQ1331" s="12"/>
      <c r="AR1331" s="13"/>
      <c r="AS1331" s="14"/>
    </row>
    <row r="1332" spans="1:45" s="16" customFormat="1" ht="30.95" hidden="1" customHeight="1" x14ac:dyDescent="0.2">
      <c r="A1332" s="35"/>
      <c r="B1332" s="36"/>
      <c r="C1332" s="43"/>
      <c r="D1332" s="29"/>
      <c r="E1332" s="29"/>
      <c r="F1332" s="255"/>
      <c r="G1332" s="256"/>
      <c r="H1332" s="256"/>
      <c r="I1332" s="200"/>
      <c r="J1332" s="203"/>
      <c r="K1332" s="200"/>
      <c r="L1332" s="200"/>
      <c r="M1332" s="37"/>
      <c r="N1332" s="37"/>
      <c r="O1332" s="153"/>
      <c r="P1332" s="45"/>
      <c r="Q1332" s="54"/>
      <c r="R1332" s="260"/>
      <c r="S1332" s="258"/>
      <c r="T1332" s="258"/>
      <c r="U1332" s="38"/>
      <c r="V1332" s="261"/>
      <c r="W1332" s="256"/>
      <c r="X1332" s="256"/>
      <c r="Y1332" s="256"/>
      <c r="Z1332" s="256"/>
      <c r="AA1332" s="54"/>
      <c r="AB1332" s="200"/>
      <c r="AC1332" s="31"/>
      <c r="AD1332" s="184"/>
      <c r="AE1332" s="51"/>
      <c r="AF1332" s="52"/>
      <c r="AG1332" s="41"/>
      <c r="AH1332" s="45"/>
      <c r="AI1332" s="28"/>
      <c r="AJ1332" s="28"/>
      <c r="AK1332" s="28"/>
      <c r="AL1332" s="28"/>
      <c r="AM1332" s="12"/>
      <c r="AN1332" s="12"/>
      <c r="AO1332" s="12"/>
      <c r="AP1332" s="12"/>
      <c r="AQ1332" s="12"/>
      <c r="AR1332" s="13"/>
      <c r="AS1332" s="14"/>
    </row>
    <row r="1333" spans="1:45" s="16" customFormat="1" ht="30.95" hidden="1" customHeight="1" x14ac:dyDescent="0.2">
      <c r="A1333" s="35" t="s">
        <v>660</v>
      </c>
      <c r="B1333" s="36" t="s">
        <v>462</v>
      </c>
      <c r="C1333" s="43"/>
      <c r="D1333" s="29">
        <v>3732681</v>
      </c>
      <c r="E1333" s="29">
        <v>4141057</v>
      </c>
      <c r="F1333" s="255" t="str">
        <f>IF(D1333="","",VLOOKUP(D1333,契約台帳!$A$3:$K$4986,6,FALSE)&amp;VLOOKUP(D1333,契約台帳!$A$3:$K$4986,7,FALSE)&amp;VLOOKUP(D1333,契約台帳!$A$3:$K$4986,8,FALSE)&amp;VLOOKUP(D1333,契約台帳!$A$3:$K$4986,9,FALSE)&amp;VLOOKUP(D1333,契約台帳!$A$3:$K$4986,11,FALSE))</f>
        <v>3TNMCLBHLGTV</v>
      </c>
      <c r="G1333" s="256" t="str">
        <f>IF(D1333="","",VLOOKUP(F1333,製品マスタ!$G$5:$H$4999,2,FALSE))</f>
        <v>T</v>
      </c>
      <c r="H1333" s="256" t="str">
        <f>IF(D1333="","",VLOOKUP(F1333,製品マスタ!$G$5:$K$4999,5,FALSE))</f>
        <v>HLGTV</v>
      </c>
      <c r="I1333" s="200" t="str">
        <f>IF(D1333="","",VLOOKUP(F1333,製品マスタ!$G$5:$L$4999,6,FALSE))</f>
        <v>メタルミー　ヘヤライン　銀艶Ｖ</v>
      </c>
      <c r="J1333" s="203" t="s">
        <v>447</v>
      </c>
      <c r="K1333" s="200">
        <f>IF(D1333="","",VLOOKUP(D1333,契約台帳!$A$3:$L$4986,12,FALSE))</f>
        <v>25</v>
      </c>
      <c r="L1333" s="200" t="s">
        <v>178</v>
      </c>
      <c r="M1333" s="37">
        <v>1005</v>
      </c>
      <c r="N1333" s="37">
        <v>8000</v>
      </c>
      <c r="O1333" s="153">
        <v>1</v>
      </c>
      <c r="P1333" s="45">
        <v>1</v>
      </c>
      <c r="Q1333" s="54"/>
      <c r="R1333" s="257">
        <f ca="1">IF(D1333="","",IF(OFFSET(D1333,-1,0)&lt;&gt;"","",IF(OR(J1333="リード付け",J1333="巻足し",J1333="巻返しリード付け"),M1333,VLOOKUP(D1333,契約台帳!$A$3:$N$4986,14,FALSE))))</f>
        <v>1005</v>
      </c>
      <c r="S1333" s="258">
        <f ca="1">IF(D1333="","",IF(OFFSET(D1333,-1,0)&lt;&gt;"","",IF(OR(J1333="リード付け",J1333="巻足し",J1333="巻返しリード付け"),M1333,VLOOKUP(D1333,契約台帳!$A$3:$O$4986,15,FALSE))))</f>
        <v>1000</v>
      </c>
      <c r="T1333" s="258">
        <f ca="1">IF(D1333="","",IF(J1333="リード付け",N1333,IF(J1333="巻返しリード付け",N1333,IF(J1333="巻足し",N1333*P1333+OFFSET(N1333,1,0)*OFFSET(P1333,1,0),VLOOKUP(D1333,契約台帳!$A$3:$P$4986,16,FALSE)))))</f>
        <v>2000</v>
      </c>
      <c r="U1333" s="38">
        <v>4</v>
      </c>
      <c r="V1333" s="259">
        <f ca="1">IF(D1333="","",IF(OFFSET(D1333,-2,0)=D1333,"",VLOOKUP(D1333,契約台帳!$A$3:$R$4986,18,FALSE)))</f>
        <v>4</v>
      </c>
      <c r="W1333" s="256" t="s">
        <v>806</v>
      </c>
      <c r="X1333" s="256">
        <v>1015</v>
      </c>
      <c r="Y1333" s="256">
        <f ca="1">IF(D1333="","",IF(T1333="","",VLOOKUP(D1333,契約台帳!$A$3:$Q$4986,17,FALSE)))</f>
        <v>2</v>
      </c>
      <c r="Z1333" s="256" t="str">
        <f ca="1">IF(D1333="","",IF(T1333="","",VLOOKUP(D1333,契約台帳!$A$3:$E$4986,5,FALSE)))</f>
        <v>リンテック㈱</v>
      </c>
      <c r="AA1333" s="54"/>
      <c r="AB1333" s="200" t="s">
        <v>774</v>
      </c>
      <c r="AC1333" s="31"/>
      <c r="AD1333" s="184"/>
      <c r="AE1333" s="51"/>
      <c r="AF1333" s="52"/>
      <c r="AG1333" s="41"/>
      <c r="AH1333" s="45"/>
      <c r="AI1333" s="28"/>
      <c r="AJ1333" s="28"/>
      <c r="AK1333" s="28"/>
      <c r="AL1333" s="28"/>
      <c r="AM1333" s="12"/>
      <c r="AN1333" s="12"/>
      <c r="AO1333" s="12"/>
      <c r="AP1333" s="12"/>
      <c r="AQ1333" s="12"/>
      <c r="AR1333" s="13"/>
      <c r="AS1333" s="14"/>
    </row>
    <row r="1334" spans="1:45" s="16" customFormat="1" ht="30.95" hidden="1" customHeight="1" x14ac:dyDescent="0.2">
      <c r="A1334" s="35"/>
      <c r="B1334" s="36"/>
      <c r="C1334" s="43"/>
      <c r="D1334" s="29"/>
      <c r="E1334" s="29"/>
      <c r="F1334" s="255"/>
      <c r="G1334" s="256"/>
      <c r="H1334" s="256"/>
      <c r="I1334" s="200"/>
      <c r="J1334" s="203"/>
      <c r="K1334" s="200"/>
      <c r="L1334" s="200"/>
      <c r="M1334" s="37"/>
      <c r="N1334" s="37"/>
      <c r="O1334" s="153"/>
      <c r="P1334" s="45"/>
      <c r="Q1334" s="54"/>
      <c r="R1334" s="260"/>
      <c r="S1334" s="258"/>
      <c r="T1334" s="258"/>
      <c r="U1334" s="38"/>
      <c r="V1334" s="261"/>
      <c r="W1334" s="256"/>
      <c r="X1334" s="256"/>
      <c r="Y1334" s="256"/>
      <c r="Z1334" s="256"/>
      <c r="AA1334" s="54"/>
      <c r="AB1334" s="200"/>
      <c r="AC1334" s="31"/>
      <c r="AD1334" s="184"/>
      <c r="AE1334" s="51"/>
      <c r="AF1334" s="52"/>
      <c r="AG1334" s="41"/>
      <c r="AH1334" s="45"/>
      <c r="AI1334" s="28"/>
      <c r="AJ1334" s="28"/>
      <c r="AK1334" s="28"/>
      <c r="AL1334" s="28"/>
      <c r="AM1334" s="12"/>
      <c r="AN1334" s="12"/>
      <c r="AO1334" s="12"/>
      <c r="AP1334" s="12"/>
      <c r="AQ1334" s="12"/>
      <c r="AR1334" s="13"/>
      <c r="AS1334" s="14"/>
    </row>
    <row r="1335" spans="1:45" s="16" customFormat="1" ht="30.6" hidden="1" customHeight="1" x14ac:dyDescent="0.2">
      <c r="A1335" s="35"/>
      <c r="B1335" s="36"/>
      <c r="C1335" s="43"/>
      <c r="D1335" s="29">
        <v>3732676</v>
      </c>
      <c r="E1335" s="29">
        <v>4141055</v>
      </c>
      <c r="F1335" s="255" t="str">
        <f>IF(D1335="","",VLOOKUP(D1335,契約台帳!$A$3:$K$4986,6,FALSE)&amp;VLOOKUP(D1335,契約台帳!$A$3:$K$4986,7,FALSE)&amp;VLOOKUP(D1335,契約台帳!$A$3:$K$4986,8,FALSE)&amp;VLOOKUP(D1335,契約台帳!$A$3:$K$4986,9,FALSE)&amp;VLOOKUP(D1335,契約台帳!$A$3:$K$4986,11,FALSE))</f>
        <v>3HSNMCLBWCB</v>
      </c>
      <c r="G1335" s="256" t="str">
        <f>IF(D1335="","",VLOOKUP(F1335,製品マスタ!$G$5:$H$4999,2,FALSE))</f>
        <v>S</v>
      </c>
      <c r="H1335" s="256" t="str">
        <f>IF(D1335="","",VLOOKUP(F1335,製品マスタ!$G$5:$K$4999,5,FALSE))</f>
        <v>WCB</v>
      </c>
      <c r="I1335" s="200" t="str">
        <f>IF(D1335="","",VLOOKUP(F1335,製品マスタ!$G$5:$L$4999,6,FALSE))</f>
        <v>メタルミー　ホワイトコート　（Ｂ）</v>
      </c>
      <c r="J1335" s="203" t="s">
        <v>463</v>
      </c>
      <c r="K1335" s="200">
        <f>IF(D1335="","",VLOOKUP(D1335,契約台帳!$A$3:$L$4986,12,FALSE))</f>
        <v>50</v>
      </c>
      <c r="L1335" s="200" t="s">
        <v>1764</v>
      </c>
      <c r="M1335" s="37">
        <v>1195</v>
      </c>
      <c r="N1335" s="37">
        <v>12200</v>
      </c>
      <c r="O1335" s="153">
        <v>1</v>
      </c>
      <c r="P1335" s="45">
        <v>1</v>
      </c>
      <c r="Q1335" s="54"/>
      <c r="R1335" s="257">
        <f ca="1">IF(D1335="","",IF(OFFSET(D1335,-1,0)&lt;&gt;"","",IF(OR(J1335="リード付け",J1335="巻足し",J1335="巻返しリード付け"),M1335,VLOOKUP(D1335,契約台帳!$A$3:$N$4986,14,FALSE))))</f>
        <v>1120</v>
      </c>
      <c r="S1335" s="258">
        <f ca="1">IF(D1335="","",IF(OFFSET(D1335,-1,0)&lt;&gt;"","",IF(OR(J1335="リード付け",J1335="巻足し",J1335="巻返しリード付け"),M1335,VLOOKUP(D1335,契約台帳!$A$3:$O$4986,15,FALSE))))</f>
        <v>1120</v>
      </c>
      <c r="T1335" s="258">
        <v>6000</v>
      </c>
      <c r="U1335" s="38">
        <v>2</v>
      </c>
      <c r="V1335" s="259">
        <f ca="1">IF(D1335="","",IF(OFFSET(D1335,-2,0)=D1335,"",VLOOKUP(D1335,契約台帳!$A$3:$R$4986,18,FALSE)))</f>
        <v>2</v>
      </c>
      <c r="W1335" s="256" t="s">
        <v>806</v>
      </c>
      <c r="X1335" s="256">
        <v>1140</v>
      </c>
      <c r="Y1335" s="256">
        <f>IF(D1335="","",IF(T1335="","",VLOOKUP(D1335,契約台帳!$A$3:$Q$4986,17,FALSE)))</f>
        <v>2</v>
      </c>
      <c r="Z1335" s="256" t="str">
        <f>IF(D1335="","",IF(T1335="","",VLOOKUP(D1335,契約台帳!$A$3:$E$4986,5,FALSE)))</f>
        <v>新タック化成㈱</v>
      </c>
      <c r="AA1335" s="54"/>
      <c r="AB1335" s="200"/>
      <c r="AC1335" s="31"/>
      <c r="AD1335" s="184"/>
      <c r="AE1335" s="51"/>
      <c r="AF1335" s="52"/>
      <c r="AG1335" s="41"/>
      <c r="AH1335" s="45"/>
      <c r="AI1335" s="28"/>
      <c r="AJ1335" s="28"/>
      <c r="AK1335" s="28"/>
      <c r="AL1335" s="28"/>
      <c r="AM1335" s="12"/>
      <c r="AN1335" s="12"/>
      <c r="AO1335" s="12"/>
      <c r="AP1335" s="12"/>
      <c r="AQ1335" s="12"/>
      <c r="AR1335" s="13"/>
      <c r="AS1335" s="14"/>
    </row>
    <row r="1336" spans="1:45" s="16" customFormat="1" ht="30.95" hidden="1" customHeight="1" x14ac:dyDescent="0.2">
      <c r="A1336" s="35"/>
      <c r="B1336" s="36"/>
      <c r="C1336" s="43"/>
      <c r="D1336" s="29"/>
      <c r="E1336" s="29"/>
      <c r="F1336" s="255"/>
      <c r="G1336" s="256"/>
      <c r="H1336" s="256"/>
      <c r="I1336" s="200"/>
      <c r="J1336" s="203"/>
      <c r="K1336" s="200"/>
      <c r="L1336" s="200"/>
      <c r="M1336" s="37"/>
      <c r="N1336" s="37"/>
      <c r="O1336" s="153"/>
      <c r="P1336" s="45"/>
      <c r="Q1336" s="54"/>
      <c r="R1336" s="260"/>
      <c r="S1336" s="258"/>
      <c r="T1336" s="258"/>
      <c r="U1336" s="38"/>
      <c r="V1336" s="261"/>
      <c r="W1336" s="256"/>
      <c r="X1336" s="256"/>
      <c r="Y1336" s="256"/>
      <c r="Z1336" s="256"/>
      <c r="AA1336" s="54"/>
      <c r="AB1336" s="200"/>
      <c r="AC1336" s="31"/>
      <c r="AD1336" s="184"/>
      <c r="AE1336" s="51"/>
      <c r="AF1336" s="52"/>
      <c r="AG1336" s="41"/>
      <c r="AH1336" s="45"/>
      <c r="AI1336" s="28"/>
      <c r="AJ1336" s="28"/>
      <c r="AK1336" s="28"/>
      <c r="AL1336" s="28"/>
      <c r="AM1336" s="12"/>
      <c r="AN1336" s="12"/>
      <c r="AO1336" s="12"/>
      <c r="AP1336" s="12"/>
      <c r="AQ1336" s="12"/>
      <c r="AR1336" s="13"/>
      <c r="AS1336" s="14"/>
    </row>
    <row r="1337" spans="1:45" s="16" customFormat="1" ht="30.95" hidden="1" customHeight="1" x14ac:dyDescent="0.2">
      <c r="A1337" s="35"/>
      <c r="B1337" s="36"/>
      <c r="C1337" s="43"/>
      <c r="D1337" s="29">
        <v>3731344</v>
      </c>
      <c r="E1337" s="29">
        <v>4141062</v>
      </c>
      <c r="F1337" s="255" t="str">
        <f>IF(D1337="","",VLOOKUP(D1337,契約台帳!$A$3:$K$4986,6,FALSE)&amp;VLOOKUP(D1337,契約台帳!$A$3:$K$4986,7,FALSE)&amp;VLOOKUP(D1337,契約台帳!$A$3:$K$4986,8,FALSE)&amp;VLOOKUP(D1337,契約台帳!$A$3:$K$4986,9,FALSE)&amp;VLOOKUP(D1337,契約台帳!$A$3:$K$4986,11,FALSE))</f>
        <v>3SNCLBLEYK</v>
      </c>
      <c r="G1337" s="256" t="str">
        <f>IF(D1337="","",VLOOKUP(F1337,製品マスタ!$G$5:$H$4999,2,FALSE))</f>
        <v>S</v>
      </c>
      <c r="H1337" s="256" t="str">
        <f>IF(D1337="","",VLOOKUP(F1337,製品マスタ!$G$5:$K$4999,5,FALSE))</f>
        <v>LEYK</v>
      </c>
      <c r="I1337" s="200" t="str">
        <f>IF(D1337="","",VLOOKUP(F1337,製品マスタ!$G$5:$L$4999,6,FALSE))</f>
        <v>ルミラー　ＥＹＫ</v>
      </c>
      <c r="J1337" s="203" t="s">
        <v>447</v>
      </c>
      <c r="K1337" s="200">
        <f>IF(D1337="","",VLOOKUP(D1337,契約台帳!$A$3:$L$4986,12,FALSE))</f>
        <v>50</v>
      </c>
      <c r="L1337" s="200" t="str">
        <f>IF(D1337="","",INDEX(製品マスタ!$Q$5:$Q$4999,MATCH('S4'!F1337&amp;'S4'!K1337,製品マスタ!$AO$5:$AO$4999,0)))</f>
        <v>T62M</v>
      </c>
      <c r="M1337" s="37">
        <v>1125</v>
      </c>
      <c r="N1337" s="37">
        <v>6100</v>
      </c>
      <c r="O1337" s="153">
        <v>1</v>
      </c>
      <c r="P1337" s="45">
        <v>8</v>
      </c>
      <c r="Q1337" s="54"/>
      <c r="R1337" s="257">
        <f ca="1">IF(D1337="","",IF(OFFSET(D1337,-1,0)&lt;&gt;"","",IF(OR(J1337="リード付け",J1337="巻足し",J1337="巻返しリード付け"),M1337,VLOOKUP(D1337,契約台帳!$A$3:$N$4986,14,FALSE))))</f>
        <v>1120</v>
      </c>
      <c r="S1337" s="258">
        <f ca="1">IF(D1337="","",IF(OFFSET(D1337,-1,0)&lt;&gt;"","",IF(OR(J1337="リード付け",J1337="巻足し",J1337="巻返しリード付け"),M1337,VLOOKUP(D1337,契約台帳!$A$3:$O$4986,15,FALSE))))</f>
        <v>1120</v>
      </c>
      <c r="T1337" s="258">
        <f ca="1">IF(D1337="","",IF(J1337="リード付け",N1337,IF(J1337="巻返しリード付け",N1337,IF(J1337="巻足し",N1337*P1337+OFFSET(N1337,1,0)*OFFSET(P1337,1,0),VLOOKUP(D1337,契約台帳!$A$3:$P$4986,16,FALSE)))))</f>
        <v>6000</v>
      </c>
      <c r="U1337" s="38">
        <v>1</v>
      </c>
      <c r="V1337" s="259">
        <f ca="1">IF(D1337="","",IF(OFFSET(D1337,-2,0)=D1337,"",VLOOKUP(D1337,契約台帳!$A$3:$R$4986,18,FALSE)))</f>
        <v>8</v>
      </c>
      <c r="W1337" s="256" t="str">
        <f ca="1">IF(D1337="","",IF(T1337="","",IF(OR(J1337="巻足し",J1337="巻返しリード付け"),"",IF(J1337="巻返し",VLOOKUP(F1337&amp;K1337&amp;M1337,製品マスタ!$M$5:$AD$4999,18,FALSE),IF(OR(J1337="リード付け",J1337="巻返しリード付け"),"原反コア",IF(J1337="スリット",VLOOKUP(F1337&amp;K1337&amp;R1337,製品マスタ!$N$5:$AD$4999,17,FALSE),""))))))</f>
        <v>6ｲﾝﾁMｺｱ</v>
      </c>
      <c r="X1337" s="256">
        <f ca="1">IF(D1337="","",IF(T1337="","",IF(J1337="巻足し","",IF(J1337="巻返し",VLOOKUP(F1337&amp;K1337&amp;M1337,製品マスタ!$M$5:$AE$4999,19,FALSE),IF(OR(J1337="リード付け",J1337="巻返しリード付け"),"",IF(J1337="スリット",VLOOKUP(F1337&amp;K1337&amp;R1337,製品マスタ!$N$5:$AE$4999,18,FALSE),""))))))</f>
        <v>1140</v>
      </c>
      <c r="Y1337" s="256">
        <f ca="1">IF(D1337="","",IF(T1337="","",VLOOKUP(D1337,契約台帳!$A$3:$Q$4986,17,FALSE)))</f>
        <v>2</v>
      </c>
      <c r="Z1337" s="256" t="str">
        <f ca="1">IF(D1337="","",IF(T1337="","",VLOOKUP(D1337,契約台帳!$A$3:$E$4986,5,FALSE)))</f>
        <v>新タック化成㈱</v>
      </c>
      <c r="AA1337" s="54"/>
      <c r="AB1337" s="200"/>
      <c r="AC1337" s="31"/>
      <c r="AD1337" s="184"/>
      <c r="AE1337" s="51"/>
      <c r="AF1337" s="52"/>
      <c r="AG1337" s="41"/>
      <c r="AH1337" s="45"/>
      <c r="AI1337" s="28"/>
      <c r="AJ1337" s="28"/>
      <c r="AK1337" s="28"/>
      <c r="AL1337" s="28"/>
      <c r="AM1337" s="12"/>
      <c r="AN1337" s="12"/>
      <c r="AO1337" s="12"/>
      <c r="AP1337" s="12"/>
      <c r="AQ1337" s="12"/>
      <c r="AR1337" s="13"/>
      <c r="AS1337" s="14"/>
    </row>
    <row r="1338" spans="1:45" s="16" customFormat="1" ht="30.95" hidden="1" customHeight="1" x14ac:dyDescent="0.2">
      <c r="A1338" s="35"/>
      <c r="B1338" s="36"/>
      <c r="C1338" s="43"/>
      <c r="D1338" s="29"/>
      <c r="E1338" s="29"/>
      <c r="F1338" s="255"/>
      <c r="G1338" s="256"/>
      <c r="H1338" s="256"/>
      <c r="I1338" s="200"/>
      <c r="J1338" s="203"/>
      <c r="K1338" s="200"/>
      <c r="L1338" s="200"/>
      <c r="M1338" s="37"/>
      <c r="N1338" s="37"/>
      <c r="O1338" s="153"/>
      <c r="P1338" s="45"/>
      <c r="Q1338" s="54"/>
      <c r="R1338" s="260"/>
      <c r="S1338" s="258"/>
      <c r="T1338" s="258"/>
      <c r="U1338" s="38"/>
      <c r="V1338" s="261"/>
      <c r="W1338" s="256"/>
      <c r="X1338" s="256"/>
      <c r="Y1338" s="256"/>
      <c r="Z1338" s="256"/>
      <c r="AA1338" s="54"/>
      <c r="AB1338" s="200"/>
      <c r="AC1338" s="31"/>
      <c r="AD1338" s="184"/>
      <c r="AE1338" s="51"/>
      <c r="AF1338" s="52"/>
      <c r="AG1338" s="41"/>
      <c r="AH1338" s="45"/>
      <c r="AI1338" s="28"/>
      <c r="AJ1338" s="28"/>
      <c r="AK1338" s="28"/>
      <c r="AL1338" s="28"/>
      <c r="AM1338" s="12"/>
      <c r="AN1338" s="12"/>
      <c r="AO1338" s="12"/>
      <c r="AP1338" s="12"/>
      <c r="AQ1338" s="12"/>
      <c r="AR1338" s="13"/>
      <c r="AS1338" s="14"/>
    </row>
    <row r="1339" spans="1:45" s="225" customFormat="1" ht="30.95" hidden="1" customHeight="1" x14ac:dyDescent="0.2">
      <c r="A1339" s="209"/>
      <c r="B1339" s="210"/>
      <c r="C1339" s="262"/>
      <c r="D1339" s="211"/>
      <c r="E1339" s="211"/>
      <c r="F1339" s="263"/>
      <c r="G1339" s="264"/>
      <c r="H1339" s="264"/>
      <c r="I1339" s="265"/>
      <c r="J1339" s="268"/>
      <c r="K1339" s="265"/>
      <c r="L1339" s="265"/>
      <c r="M1339" s="213"/>
      <c r="N1339" s="213"/>
      <c r="O1339" s="269"/>
      <c r="P1339" s="214"/>
      <c r="Q1339" s="206"/>
      <c r="R1339" s="266"/>
      <c r="S1339" s="271"/>
      <c r="T1339" s="271"/>
      <c r="U1339" s="216"/>
      <c r="V1339" s="267"/>
      <c r="W1339" s="264"/>
      <c r="X1339" s="264"/>
      <c r="Y1339" s="264"/>
      <c r="Z1339" s="264"/>
      <c r="AA1339" s="206"/>
      <c r="AB1339" s="265"/>
      <c r="AC1339" s="217"/>
      <c r="AD1339" s="218"/>
      <c r="AE1339" s="219"/>
      <c r="AF1339" s="220"/>
      <c r="AG1339" s="215"/>
      <c r="AH1339" s="226">
        <f>SUM(AH1287:AH1299)</f>
        <v>123319.04000000001</v>
      </c>
      <c r="AI1339" s="221"/>
      <c r="AJ1339" s="221"/>
      <c r="AK1339" s="221"/>
      <c r="AL1339" s="221"/>
      <c r="AM1339" s="222"/>
      <c r="AN1339" s="222"/>
      <c r="AO1339" s="222"/>
      <c r="AP1339" s="222"/>
      <c r="AQ1339" s="222"/>
      <c r="AR1339" s="223"/>
      <c r="AS1339" s="224"/>
    </row>
    <row r="1340" spans="1:45" s="16" customFormat="1" ht="30.95" hidden="1" customHeight="1" x14ac:dyDescent="0.2">
      <c r="A1340" s="35"/>
      <c r="B1340" s="36"/>
      <c r="C1340" s="43"/>
      <c r="D1340" s="29"/>
      <c r="E1340" s="29"/>
      <c r="F1340" s="255"/>
      <c r="G1340" s="256"/>
      <c r="H1340" s="256"/>
      <c r="I1340" s="200"/>
      <c r="J1340" s="203"/>
      <c r="K1340" s="200"/>
      <c r="L1340" s="200"/>
      <c r="M1340" s="37"/>
      <c r="N1340" s="37"/>
      <c r="O1340" s="153"/>
      <c r="P1340" s="45"/>
      <c r="Q1340" s="54"/>
      <c r="R1340" s="260"/>
      <c r="S1340" s="258"/>
      <c r="T1340" s="258"/>
      <c r="U1340" s="38"/>
      <c r="V1340" s="261"/>
      <c r="W1340" s="256"/>
      <c r="X1340" s="256"/>
      <c r="Y1340" s="256"/>
      <c r="Z1340" s="256"/>
      <c r="AA1340" s="54"/>
      <c r="AB1340" s="200"/>
      <c r="AC1340" s="31"/>
      <c r="AD1340" s="184"/>
      <c r="AE1340" s="51"/>
      <c r="AF1340" s="52"/>
      <c r="AG1340" s="41"/>
      <c r="AH1340" s="45"/>
      <c r="AI1340" s="28"/>
      <c r="AJ1340" s="28"/>
      <c r="AK1340" s="28"/>
      <c r="AL1340" s="28"/>
      <c r="AM1340" s="12"/>
      <c r="AN1340" s="12"/>
      <c r="AO1340" s="12"/>
      <c r="AP1340" s="12"/>
      <c r="AQ1340" s="12"/>
      <c r="AR1340" s="13"/>
      <c r="AS1340" s="14"/>
    </row>
    <row r="1341" spans="1:45" s="16" customFormat="1" ht="30.95" hidden="1" customHeight="1" x14ac:dyDescent="0.2">
      <c r="A1341" s="35" t="s">
        <v>661</v>
      </c>
      <c r="B1341" s="36" t="s">
        <v>688</v>
      </c>
      <c r="C1341" s="43"/>
      <c r="D1341" s="29"/>
      <c r="E1341" s="29"/>
      <c r="F1341" s="255"/>
      <c r="G1341" s="256"/>
      <c r="H1341" s="256"/>
      <c r="I1341" s="200"/>
      <c r="J1341" s="203" t="s">
        <v>665</v>
      </c>
      <c r="K1341" s="200"/>
      <c r="L1341" s="200"/>
      <c r="M1341" s="37"/>
      <c r="N1341" s="37"/>
      <c r="O1341" s="153"/>
      <c r="P1341" s="45"/>
      <c r="Q1341" s="54"/>
      <c r="R1341" s="260"/>
      <c r="S1341" s="258"/>
      <c r="T1341" s="258"/>
      <c r="U1341" s="38"/>
      <c r="V1341" s="261"/>
      <c r="W1341" s="256"/>
      <c r="X1341" s="256"/>
      <c r="Y1341" s="256"/>
      <c r="Z1341" s="256"/>
      <c r="AA1341" s="54"/>
      <c r="AB1341" s="200"/>
      <c r="AC1341" s="31"/>
      <c r="AD1341" s="184"/>
      <c r="AE1341" s="51"/>
      <c r="AF1341" s="52"/>
      <c r="AG1341" s="41"/>
      <c r="AH1341" s="45"/>
      <c r="AI1341" s="28"/>
      <c r="AJ1341" s="28"/>
      <c r="AK1341" s="28"/>
      <c r="AL1341" s="28"/>
      <c r="AM1341" s="12"/>
      <c r="AN1341" s="12"/>
      <c r="AO1341" s="12"/>
      <c r="AP1341" s="12"/>
      <c r="AQ1341" s="12"/>
      <c r="AR1341" s="13"/>
      <c r="AS1341" s="14"/>
    </row>
    <row r="1342" spans="1:45" s="16" customFormat="1" ht="30.95" hidden="1" customHeight="1" x14ac:dyDescent="0.2">
      <c r="A1342" s="35"/>
      <c r="B1342" s="36"/>
      <c r="C1342" s="43"/>
      <c r="D1342" s="29"/>
      <c r="E1342" s="29"/>
      <c r="F1342" s="255"/>
      <c r="G1342" s="256"/>
      <c r="H1342" s="256"/>
      <c r="I1342" s="200"/>
      <c r="J1342" s="203"/>
      <c r="K1342" s="200"/>
      <c r="L1342" s="200"/>
      <c r="M1342" s="37"/>
      <c r="N1342" s="37"/>
      <c r="O1342" s="153"/>
      <c r="P1342" s="45"/>
      <c r="Q1342" s="54"/>
      <c r="R1342" s="260"/>
      <c r="S1342" s="258"/>
      <c r="T1342" s="258"/>
      <c r="U1342" s="38"/>
      <c r="V1342" s="261"/>
      <c r="W1342" s="256"/>
      <c r="X1342" s="256"/>
      <c r="Y1342" s="256"/>
      <c r="Z1342" s="256"/>
      <c r="AA1342" s="54"/>
      <c r="AB1342" s="200"/>
      <c r="AC1342" s="31"/>
      <c r="AD1342" s="184"/>
      <c r="AE1342" s="51"/>
      <c r="AF1342" s="52"/>
      <c r="AG1342" s="41"/>
      <c r="AH1342" s="45"/>
      <c r="AI1342" s="28"/>
      <c r="AJ1342" s="28"/>
      <c r="AK1342" s="28"/>
      <c r="AL1342" s="28"/>
      <c r="AM1342" s="12"/>
      <c r="AN1342" s="12"/>
      <c r="AO1342" s="12"/>
      <c r="AP1342" s="12"/>
      <c r="AQ1342" s="12"/>
      <c r="AR1342" s="13"/>
      <c r="AS1342" s="14"/>
    </row>
    <row r="1343" spans="1:45" s="16" customFormat="1" ht="30.95" hidden="1" customHeight="1" x14ac:dyDescent="0.2">
      <c r="A1343" s="35"/>
      <c r="B1343" s="36"/>
      <c r="C1343" s="43"/>
      <c r="D1343" s="29">
        <v>3735117</v>
      </c>
      <c r="E1343" s="29">
        <v>4162175</v>
      </c>
      <c r="F1343" s="255" t="str">
        <f>IF(D1343="","",VLOOKUP(D1343,契約台帳!$A$3:$K$4986,6,FALSE)&amp;VLOOKUP(D1343,契約台帳!$A$3:$K$4986,7,FALSE)&amp;VLOOKUP(D1343,契約台帳!$A$3:$K$4986,8,FALSE)&amp;VLOOKUP(D1343,契約台帳!$A$3:$K$4986,9,FALSE)&amp;VLOOKUP(D1343,契約台帳!$A$3:$K$4986,11,FALSE))</f>
        <v>3HSNMLBMNGTBF</v>
      </c>
      <c r="G1343" s="256" t="str">
        <f>IF(D1343="","",VLOOKUP(F1343,製品マスタ!$G$5:$H$4999,2,FALSE))</f>
        <v>S</v>
      </c>
      <c r="H1343" s="256" t="str">
        <f>IF(D1343="","",VLOOKUP(F1343,製品マスタ!$G$5:$K$4999,5,FALSE))</f>
        <v>MNGTBF</v>
      </c>
      <c r="I1343" s="200" t="str">
        <f>IF(D1343="","",VLOOKUP(F1343,製品マスタ!$G$5:$L$4999,6,FALSE))</f>
        <v>メタルミー　ネーマー　銀艶　Ｂ</v>
      </c>
      <c r="J1343" s="203" t="s">
        <v>935</v>
      </c>
      <c r="K1343" s="200">
        <f>IF(D1343="","",VLOOKUP(D1343,契約台帳!$A$3:$L$4986,12,FALSE))</f>
        <v>50</v>
      </c>
      <c r="L1343" s="200" t="str">
        <f>IF(D1343="","",INDEX(製品マスタ!$Q$5:$Q$4999,MATCH('S4'!F1343&amp;'S4'!K1343,製品マスタ!$AO$5:$AO$4999,0)))</f>
        <v>T62M</v>
      </c>
      <c r="M1343" s="37">
        <v>1195</v>
      </c>
      <c r="N1343" s="37">
        <v>6100</v>
      </c>
      <c r="O1343" s="153">
        <v>6</v>
      </c>
      <c r="P1343" s="45">
        <v>2</v>
      </c>
      <c r="Q1343" s="206">
        <v>45258</v>
      </c>
      <c r="R1343" s="257">
        <f ca="1">IF(D1343="","",IF(OFFSET(D1343,-1,0)&lt;&gt;"","",IF(OR(J1343="リード付け",J1343="巻足し",J1343="巻返しリード付け"),M1343,VLOOKUP(D1343,契約台帳!$A$3:$N$4986,14,FALSE))))</f>
        <v>1195</v>
      </c>
      <c r="S1343" s="258">
        <f ca="1">IF(D1343="","",IF(OFFSET(D1343,-1,0)&lt;&gt;"","",IF(OR(J1343="リード付け",J1343="巻足し",J1343="巻返しリード付け"),M1343,VLOOKUP(D1343,契約台帳!$A$3:$O$4986,15,FALSE))))</f>
        <v>1195</v>
      </c>
      <c r="T1343" s="258">
        <v>10200</v>
      </c>
      <c r="U1343" s="38">
        <v>3</v>
      </c>
      <c r="V1343" s="259">
        <f ca="1">IF(D1343="","",IF(OFFSET(D1343,-2,0)=D1343,"",VLOOKUP(D1343,契約台帳!$A$3:$R$4986,18,FALSE)))</f>
        <v>25</v>
      </c>
      <c r="W1343" s="256" t="str">
        <f>IF(D1343="","",IF(T1343="","",IF(OR(J1343="巻足し",J1343="巻返しリード付け"),"",IF(J1343="巻返し",VLOOKUP(F1343&amp;K1343&amp;M1343,製品マスタ!$M$5:$AD$4999,18,FALSE),IF(OR(J1343="リード付け",J1343="巻返しリード付け"),"原反コア",IF(J1343="スリット",VLOOKUP(F1343&amp;K1343&amp;R1343,製品マスタ!$N$5:$AD$4999,17,FALSE),""))))))</f>
        <v/>
      </c>
      <c r="X1343" s="256" t="str">
        <f>IF(D1343="","",IF(T1343="","",IF(J1343="巻足し","",IF(J1343="巻返し",VLOOKUP(F1343&amp;K1343&amp;M1343,製品マスタ!$M$5:$AE$4999,19,FALSE),IF(OR(J1343="リード付け",J1343="巻返しリード付け"),"",IF(J1343="スリット",VLOOKUP(F1343&amp;K1343&amp;R1343,製品マスタ!$N$5:$AE$4999,18,FALSE),""))))))</f>
        <v/>
      </c>
      <c r="Y1343" s="256">
        <f>IF(D1343="","",IF(T1343="","",VLOOKUP(D1343,契約台帳!$A$3:$Q$4986,17,FALSE)))</f>
        <v>2</v>
      </c>
      <c r="Z1343" s="256" t="str">
        <f>IF(D1343="","",IF(T1343="","",VLOOKUP(D1343,契約台帳!$A$3:$E$4986,5,FALSE)))</f>
        <v>リンテック㈱</v>
      </c>
      <c r="AA1343" s="54"/>
      <c r="AB1343" s="200" t="str">
        <f>IFERROR((VLOOKUP(F1343&amp;K1343&amp;M1343,製品マスタ!$M$5:$AM$4999,27,FALSE)),"")</f>
        <v>原反ケース再利用</v>
      </c>
      <c r="AC1343" s="31"/>
      <c r="AD1343" s="184"/>
      <c r="AE1343" s="51"/>
      <c r="AF1343" s="52">
        <f>+M1343*N1343*O1343/1000</f>
        <v>43737</v>
      </c>
      <c r="AG1343" s="41"/>
      <c r="AH1343" s="45"/>
      <c r="AI1343" s="28"/>
      <c r="AJ1343" s="28"/>
      <c r="AK1343" s="28"/>
      <c r="AL1343" s="28"/>
      <c r="AM1343" s="12"/>
      <c r="AN1343" s="12"/>
      <c r="AO1343" s="12"/>
      <c r="AP1343" s="12"/>
      <c r="AQ1343" s="12"/>
      <c r="AR1343" s="13"/>
      <c r="AS1343" s="14"/>
    </row>
    <row r="1344" spans="1:45" s="16" customFormat="1" ht="30.95" hidden="1" customHeight="1" x14ac:dyDescent="0.2">
      <c r="A1344" s="35"/>
      <c r="B1344" s="36"/>
      <c r="C1344" s="43"/>
      <c r="D1344" s="29"/>
      <c r="E1344" s="29"/>
      <c r="F1344" s="255"/>
      <c r="G1344" s="256"/>
      <c r="H1344" s="256"/>
      <c r="I1344" s="200"/>
      <c r="J1344" s="203"/>
      <c r="K1344" s="200"/>
      <c r="L1344" s="200"/>
      <c r="M1344" s="37"/>
      <c r="N1344" s="37"/>
      <c r="O1344" s="153"/>
      <c r="P1344" s="45"/>
      <c r="Q1344" s="54"/>
      <c r="R1344" s="260"/>
      <c r="S1344" s="258"/>
      <c r="T1344" s="258"/>
      <c r="U1344" s="38"/>
      <c r="V1344" s="261"/>
      <c r="W1344" s="256"/>
      <c r="X1344" s="256"/>
      <c r="Y1344" s="256"/>
      <c r="Z1344" s="256"/>
      <c r="AA1344" s="54"/>
      <c r="AB1344" s="200"/>
      <c r="AC1344" s="31"/>
      <c r="AD1344" s="184"/>
      <c r="AE1344" s="51"/>
      <c r="AF1344" s="52"/>
      <c r="AG1344" s="41"/>
      <c r="AH1344" s="45"/>
      <c r="AI1344" s="28"/>
      <c r="AJ1344" s="28"/>
      <c r="AK1344" s="28"/>
      <c r="AL1344" s="28"/>
      <c r="AM1344" s="12"/>
      <c r="AN1344" s="12"/>
      <c r="AO1344" s="12"/>
      <c r="AP1344" s="12"/>
      <c r="AQ1344" s="12"/>
      <c r="AR1344" s="13"/>
      <c r="AS1344" s="14"/>
    </row>
    <row r="1345" spans="1:45" s="16" customFormat="1" ht="30.95" hidden="1" customHeight="1" x14ac:dyDescent="0.2">
      <c r="A1345" s="35" t="s">
        <v>664</v>
      </c>
      <c r="B1345" s="36" t="s">
        <v>442</v>
      </c>
      <c r="C1345" s="43"/>
      <c r="D1345" s="29">
        <v>3735117</v>
      </c>
      <c r="E1345" s="29">
        <v>4162175</v>
      </c>
      <c r="F1345" s="255" t="str">
        <f>IF(D1345="","",VLOOKUP(D1345,契約台帳!$A$3:$K$4986,6,FALSE)&amp;VLOOKUP(D1345,契約台帳!$A$3:$K$4986,7,FALSE)&amp;VLOOKUP(D1345,契約台帳!$A$3:$K$4986,8,FALSE)&amp;VLOOKUP(D1345,契約台帳!$A$3:$K$4986,9,FALSE)&amp;VLOOKUP(D1345,契約台帳!$A$3:$K$4986,11,FALSE))</f>
        <v>3HSNMLBMNGTBF</v>
      </c>
      <c r="G1345" s="256" t="str">
        <f>IF(D1345="","",VLOOKUP(F1345,製品マスタ!$G$5:$H$4999,2,FALSE))</f>
        <v>S</v>
      </c>
      <c r="H1345" s="256" t="str">
        <f>IF(D1345="","",VLOOKUP(F1345,製品マスタ!$G$5:$K$4999,5,FALSE))</f>
        <v>MNGTBF</v>
      </c>
      <c r="I1345" s="200" t="str">
        <f>IF(D1345="","",VLOOKUP(F1345,製品マスタ!$G$5:$L$4999,6,FALSE))</f>
        <v>メタルミー　ネーマー　銀艶　Ｂ</v>
      </c>
      <c r="J1345" s="203" t="s">
        <v>935</v>
      </c>
      <c r="K1345" s="200">
        <f>IF(D1345="","",VLOOKUP(D1345,契約台帳!$A$3:$L$4986,12,FALSE))</f>
        <v>50</v>
      </c>
      <c r="L1345" s="200" t="str">
        <f>IF(D1345="","",INDEX(製品マスタ!$Q$5:$Q$4999,MATCH('S4'!F1345&amp;'S4'!K1345,製品マスタ!$AO$5:$AO$4999,0)))</f>
        <v>T62M</v>
      </c>
      <c r="M1345" s="37">
        <v>1195</v>
      </c>
      <c r="N1345" s="37">
        <v>6100</v>
      </c>
      <c r="O1345" s="153">
        <v>18</v>
      </c>
      <c r="P1345" s="45">
        <v>2</v>
      </c>
      <c r="Q1345" s="206">
        <v>45258</v>
      </c>
      <c r="R1345" s="257">
        <f ca="1">IF(D1345="","",IF(OFFSET(D1345,-1,0)&lt;&gt;"","",IF(OR(J1345="リード付け",J1345="巻足し",J1345="巻返しリード付け"),M1345,VLOOKUP(D1345,契約台帳!$A$3:$N$4986,14,FALSE))))</f>
        <v>1195</v>
      </c>
      <c r="S1345" s="258">
        <f ca="1">IF(D1345="","",IF(OFFSET(D1345,-1,0)&lt;&gt;"","",IF(OR(J1345="リード付け",J1345="巻足し",J1345="巻返しリード付け"),M1345,VLOOKUP(D1345,契約台帳!$A$3:$O$4986,15,FALSE))))</f>
        <v>1195</v>
      </c>
      <c r="T1345" s="258">
        <v>10200</v>
      </c>
      <c r="U1345" s="38">
        <v>9</v>
      </c>
      <c r="V1345" s="259" t="str">
        <f ca="1">IF(D1345="","",IF(OFFSET(D1345,-2,0)=D1345,"",VLOOKUP(D1345,契約台帳!$A$3:$R$4986,18,FALSE)))</f>
        <v/>
      </c>
      <c r="W1345" s="256" t="str">
        <f>IF(D1345="","",IF(T1345="","",IF(OR(J1345="巻足し",J1345="巻返しリード付け"),"",IF(J1345="巻返し",VLOOKUP(F1345&amp;K1345&amp;M1345,製品マスタ!$M$5:$AD$4999,18,FALSE),IF(OR(J1345="リード付け",J1345="巻返しリード付け"),"原反コア",IF(J1345="スリット",VLOOKUP(F1345&amp;K1345&amp;R1345,製品マスタ!$N$5:$AD$4999,17,FALSE),""))))))</f>
        <v/>
      </c>
      <c r="X1345" s="256" t="str">
        <f>IF(D1345="","",IF(T1345="","",IF(J1345="巻足し","",IF(J1345="巻返し",VLOOKUP(F1345&amp;K1345&amp;M1345,製品マスタ!$M$5:$AE$4999,19,FALSE),IF(OR(J1345="リード付け",J1345="巻返しリード付け"),"",IF(J1345="スリット",VLOOKUP(F1345&amp;K1345&amp;R1345,製品マスタ!$N$5:$AE$4999,18,FALSE),""))))))</f>
        <v/>
      </c>
      <c r="Y1345" s="256">
        <f>IF(D1345="","",IF(T1345="","",VLOOKUP(D1345,契約台帳!$A$3:$Q$4986,17,FALSE)))</f>
        <v>2</v>
      </c>
      <c r="Z1345" s="256" t="str">
        <f>IF(D1345="","",IF(T1345="","",VLOOKUP(D1345,契約台帳!$A$3:$E$4986,5,FALSE)))</f>
        <v>リンテック㈱</v>
      </c>
      <c r="AA1345" s="54"/>
      <c r="AB1345" s="200" t="str">
        <f>IFERROR((VLOOKUP(F1345&amp;K1345&amp;M1345,製品マスタ!$M$5:$AM$4999,27,FALSE)),"")</f>
        <v>原反ケース再利用</v>
      </c>
      <c r="AC1345" s="31"/>
      <c r="AD1345" s="184"/>
      <c r="AE1345" s="51"/>
      <c r="AF1345" s="52">
        <f>+M1345*N1345*O1345/1000</f>
        <v>131211</v>
      </c>
      <c r="AG1345" s="41"/>
      <c r="AH1345" s="45"/>
      <c r="AI1345" s="28"/>
      <c r="AJ1345" s="28"/>
      <c r="AK1345" s="28"/>
      <c r="AL1345" s="28"/>
      <c r="AM1345" s="12"/>
      <c r="AN1345" s="12"/>
      <c r="AO1345" s="12"/>
      <c r="AP1345" s="12"/>
      <c r="AQ1345" s="12"/>
      <c r="AR1345" s="13"/>
      <c r="AS1345" s="14"/>
    </row>
    <row r="1346" spans="1:45" s="16" customFormat="1" ht="30.95" hidden="1" customHeight="1" x14ac:dyDescent="0.2">
      <c r="A1346" s="35"/>
      <c r="B1346" s="36"/>
      <c r="C1346" s="43"/>
      <c r="D1346" s="29"/>
      <c r="E1346" s="29"/>
      <c r="F1346" s="255"/>
      <c r="G1346" s="256"/>
      <c r="H1346" s="256"/>
      <c r="I1346" s="200"/>
      <c r="J1346" s="203"/>
      <c r="K1346" s="200"/>
      <c r="L1346" s="200"/>
      <c r="M1346" s="37"/>
      <c r="N1346" s="37"/>
      <c r="O1346" s="153"/>
      <c r="P1346" s="45"/>
      <c r="Q1346" s="54"/>
      <c r="R1346" s="260"/>
      <c r="S1346" s="258"/>
      <c r="T1346" s="258"/>
      <c r="U1346" s="38"/>
      <c r="V1346" s="261"/>
      <c r="W1346" s="256"/>
      <c r="X1346" s="256"/>
      <c r="Y1346" s="256"/>
      <c r="Z1346" s="256"/>
      <c r="AA1346" s="54"/>
      <c r="AB1346" s="200"/>
      <c r="AC1346" s="31"/>
      <c r="AD1346" s="184"/>
      <c r="AE1346" s="51"/>
      <c r="AF1346" s="52"/>
      <c r="AG1346" s="41"/>
      <c r="AH1346" s="45"/>
      <c r="AI1346" s="28"/>
      <c r="AJ1346" s="28"/>
      <c r="AK1346" s="28"/>
      <c r="AL1346" s="28"/>
      <c r="AM1346" s="12"/>
      <c r="AN1346" s="12"/>
      <c r="AO1346" s="12"/>
      <c r="AP1346" s="12"/>
      <c r="AQ1346" s="12"/>
      <c r="AR1346" s="13"/>
      <c r="AS1346" s="14"/>
    </row>
    <row r="1347" spans="1:45" s="16" customFormat="1" ht="30.95" hidden="1" customHeight="1" x14ac:dyDescent="0.2">
      <c r="A1347" s="35" t="s">
        <v>669</v>
      </c>
      <c r="B1347" s="36" t="s">
        <v>443</v>
      </c>
      <c r="C1347" s="43"/>
      <c r="D1347" s="29">
        <v>3735102</v>
      </c>
      <c r="E1347" s="29">
        <v>4162152</v>
      </c>
      <c r="F1347" s="255" t="str">
        <f>IF(D1347="","",VLOOKUP(D1347,契約台帳!$A$3:$K$4986,6,FALSE)&amp;VLOOKUP(D1347,契約台帳!$A$3:$K$4986,7,FALSE)&amp;VLOOKUP(D1347,契約台帳!$A$3:$K$4986,8,FALSE)&amp;VLOOKUP(D1347,契約台帳!$A$3:$K$4986,9,FALSE)&amp;VLOOKUP(D1347,契約台帳!$A$3:$K$4986,11,FALSE))</f>
        <v>3HSNMCLBWCB</v>
      </c>
      <c r="G1347" s="256" t="str">
        <f>IF(D1347="","",VLOOKUP(F1347,製品マスタ!$G$5:$H$4999,2,FALSE))</f>
        <v>S</v>
      </c>
      <c r="H1347" s="256" t="str">
        <f>IF(D1347="","",VLOOKUP(F1347,製品マスタ!$G$5:$K$4999,5,FALSE))</f>
        <v>WCB</v>
      </c>
      <c r="I1347" s="200" t="str">
        <f>IF(D1347="","",VLOOKUP(F1347,製品マスタ!$G$5:$L$4999,6,FALSE))</f>
        <v>メタルミー　ホワイトコート　（Ｂ）</v>
      </c>
      <c r="J1347" s="203" t="s">
        <v>935</v>
      </c>
      <c r="K1347" s="200">
        <f>IF(D1347="","",VLOOKUP(D1347,契約台帳!$A$3:$L$4986,12,FALSE))</f>
        <v>50</v>
      </c>
      <c r="L1347" s="200" t="s">
        <v>151</v>
      </c>
      <c r="M1347" s="37">
        <v>1195</v>
      </c>
      <c r="N1347" s="37">
        <v>6100</v>
      </c>
      <c r="O1347" s="153">
        <v>2</v>
      </c>
      <c r="P1347" s="45">
        <v>2</v>
      </c>
      <c r="Q1347" s="206">
        <v>45258</v>
      </c>
      <c r="R1347" s="257">
        <f ca="1">IF(D1347="","",IF(OFFSET(D1347,-1,0)&lt;&gt;"","",IF(OR(J1347="リード付け",J1347="巻足し",J1347="巻返しリード付け"),M1347,VLOOKUP(D1347,契約台帳!$A$3:$N$4986,14,FALSE))))</f>
        <v>1195</v>
      </c>
      <c r="S1347" s="258">
        <f ca="1">IF(D1347="","",IF(OFFSET(D1347,-1,0)&lt;&gt;"","",IF(OR(J1347="リード付け",J1347="巻足し",J1347="巻返しリード付け"),M1347,VLOOKUP(D1347,契約台帳!$A$3:$O$4986,15,FALSE))))</f>
        <v>1195</v>
      </c>
      <c r="T1347" s="258">
        <v>10600</v>
      </c>
      <c r="U1347" s="38">
        <v>1</v>
      </c>
      <c r="V1347" s="259">
        <f ca="1">IF(D1347="","",IF(OFFSET(D1347,-2,0)=D1347,"",VLOOKUP(D1347,契約台帳!$A$3:$R$4986,18,FALSE)))</f>
        <v>3</v>
      </c>
      <c r="W1347" s="256" t="str">
        <f>IF(D1347="","",IF(T1347="","",IF(OR(J1347="巻足し",J1347="巻返しリード付け"),"",IF(J1347="巻返し",VLOOKUP(F1347&amp;K1347&amp;M1347,製品マスタ!$M$5:$AD$4999,18,FALSE),IF(OR(J1347="リード付け",J1347="巻返しリード付け"),"原反コア",IF(J1347="スリット",VLOOKUP(F1347&amp;K1347&amp;R1347,製品マスタ!$N$5:$AD$4999,17,FALSE),""))))))</f>
        <v/>
      </c>
      <c r="X1347" s="256" t="str">
        <f>IF(D1347="","",IF(T1347="","",IF(J1347="巻足し","",IF(J1347="巻返し",VLOOKUP(F1347&amp;K1347&amp;M1347,製品マスタ!$M$5:$AE$4999,19,FALSE),IF(OR(J1347="リード付け",J1347="巻返しリード付け"),"",IF(J1347="スリット",VLOOKUP(F1347&amp;K1347&amp;R1347,製品マスタ!$N$5:$AE$4999,18,FALSE),""))))))</f>
        <v/>
      </c>
      <c r="Y1347" s="256">
        <f>IF(D1347="","",IF(T1347="","",VLOOKUP(D1347,契約台帳!$A$3:$Q$4986,17,FALSE)))</f>
        <v>2</v>
      </c>
      <c r="Z1347" s="256" t="str">
        <f>IF(D1347="","",IF(T1347="","",VLOOKUP(D1347,契約台帳!$A$3:$E$4986,5,FALSE)))</f>
        <v>新タック化成㈱</v>
      </c>
      <c r="AA1347" s="54"/>
      <c r="AB1347" s="200" t="str">
        <f>IFERROR((VLOOKUP(F1347&amp;K1347&amp;M1347,製品マスタ!$M$5:$AM$4999,27,FALSE)),"")</f>
        <v/>
      </c>
      <c r="AC1347" s="31"/>
      <c r="AD1347" s="184"/>
      <c r="AE1347" s="51"/>
      <c r="AF1347" s="52">
        <f>+M1347*N1347*O1347/1000</f>
        <v>14579</v>
      </c>
      <c r="AG1347" s="41"/>
      <c r="AH1347" s="45"/>
      <c r="AI1347" s="28"/>
      <c r="AJ1347" s="28"/>
      <c r="AK1347" s="28"/>
      <c r="AL1347" s="28"/>
      <c r="AM1347" s="12"/>
      <c r="AN1347" s="12"/>
      <c r="AO1347" s="12"/>
      <c r="AP1347" s="12"/>
      <c r="AQ1347" s="12"/>
      <c r="AR1347" s="13"/>
      <c r="AS1347" s="14"/>
    </row>
    <row r="1348" spans="1:45" s="16" customFormat="1" ht="30.95" hidden="1" customHeight="1" x14ac:dyDescent="0.2">
      <c r="A1348" s="35"/>
      <c r="B1348" s="36"/>
      <c r="C1348" s="43"/>
      <c r="D1348" s="29"/>
      <c r="E1348" s="29"/>
      <c r="F1348" s="255"/>
      <c r="G1348" s="256"/>
      <c r="H1348" s="256"/>
      <c r="I1348" s="200"/>
      <c r="J1348" s="203"/>
      <c r="K1348" s="200"/>
      <c r="L1348" s="200"/>
      <c r="M1348" s="37"/>
      <c r="N1348" s="37"/>
      <c r="O1348" s="153"/>
      <c r="P1348" s="45"/>
      <c r="Q1348" s="54"/>
      <c r="R1348" s="260"/>
      <c r="S1348" s="258"/>
      <c r="T1348" s="258"/>
      <c r="U1348" s="38"/>
      <c r="V1348" s="261"/>
      <c r="W1348" s="256"/>
      <c r="X1348" s="256"/>
      <c r="Y1348" s="256"/>
      <c r="Z1348" s="256"/>
      <c r="AA1348" s="54"/>
      <c r="AB1348" s="200"/>
      <c r="AC1348" s="31"/>
      <c r="AD1348" s="184"/>
      <c r="AE1348" s="51"/>
      <c r="AF1348" s="52"/>
      <c r="AG1348" s="41"/>
      <c r="AH1348" s="45"/>
      <c r="AI1348" s="28"/>
      <c r="AJ1348" s="28"/>
      <c r="AK1348" s="28"/>
      <c r="AL1348" s="28"/>
      <c r="AM1348" s="12"/>
      <c r="AN1348" s="12"/>
      <c r="AO1348" s="12"/>
      <c r="AP1348" s="12"/>
      <c r="AQ1348" s="12"/>
      <c r="AR1348" s="13"/>
      <c r="AS1348" s="14"/>
    </row>
    <row r="1349" spans="1:45" s="16" customFormat="1" ht="30.95" hidden="1" customHeight="1" x14ac:dyDescent="0.2">
      <c r="A1349" s="35"/>
      <c r="B1349" s="36"/>
      <c r="C1349" s="43"/>
      <c r="D1349" s="29">
        <v>3735102</v>
      </c>
      <c r="E1349" s="29">
        <v>4162152</v>
      </c>
      <c r="F1349" s="255" t="str">
        <f>IF(D1349="","",VLOOKUP(D1349,契約台帳!$A$3:$K$4986,6,FALSE)&amp;VLOOKUP(D1349,契約台帳!$A$3:$K$4986,7,FALSE)&amp;VLOOKUP(D1349,契約台帳!$A$3:$K$4986,8,FALSE)&amp;VLOOKUP(D1349,契約台帳!$A$3:$K$4986,9,FALSE)&amp;VLOOKUP(D1349,契約台帳!$A$3:$K$4986,11,FALSE))</f>
        <v>3HSNMCLBWCB</v>
      </c>
      <c r="G1349" s="256" t="str">
        <f>IF(D1349="","",VLOOKUP(F1349,製品マスタ!$G$5:$H$4999,2,FALSE))</f>
        <v>S</v>
      </c>
      <c r="H1349" s="256" t="str">
        <f>IF(D1349="","",VLOOKUP(F1349,製品マスタ!$G$5:$K$4999,5,FALSE))</f>
        <v>WCB</v>
      </c>
      <c r="I1349" s="200" t="str">
        <f>IF(D1349="","",VLOOKUP(F1349,製品マスタ!$G$5:$L$4999,6,FALSE))</f>
        <v>メタルミー　ホワイトコート　（Ｂ）</v>
      </c>
      <c r="J1349" s="203" t="s">
        <v>464</v>
      </c>
      <c r="K1349" s="200">
        <f>IF(D1349="","",VLOOKUP(D1349,契約台帳!$A$3:$L$4986,12,FALSE))</f>
        <v>50</v>
      </c>
      <c r="L1349" s="200" t="s">
        <v>151</v>
      </c>
      <c r="M1349" s="37">
        <v>1195</v>
      </c>
      <c r="N1349" s="37">
        <v>6100</v>
      </c>
      <c r="O1349" s="153">
        <v>1</v>
      </c>
      <c r="P1349" s="45">
        <v>1</v>
      </c>
      <c r="Q1349" s="206">
        <v>45258</v>
      </c>
      <c r="R1349" s="257">
        <f ca="1">IF(D1349="","",IF(OFFSET(D1349,-1,0)&lt;&gt;"","",IF(OR(J1349="リード付け",J1349="巻足し",J1349="巻返しリード付け"),M1349,VLOOKUP(D1349,契約台帳!$A$3:$N$4986,14,FALSE))))</f>
        <v>1195</v>
      </c>
      <c r="S1349" s="258">
        <f ca="1">IF(D1349="","",IF(OFFSET(D1349,-1,0)&lt;&gt;"","",IF(OR(J1349="リード付け",J1349="巻足し",J1349="巻返しリード付け"),M1349,VLOOKUP(D1349,契約台帳!$A$3:$O$4986,15,FALSE))))</f>
        <v>1195</v>
      </c>
      <c r="T1349" s="258">
        <v>5300</v>
      </c>
      <c r="U1349" s="38">
        <v>1</v>
      </c>
      <c r="V1349" s="259" t="str">
        <f ca="1">IF(D1349="","",IF(OFFSET(D1349,-2,0)=D1349,"",VLOOKUP(D1349,契約台帳!$A$3:$R$4986,18,FALSE)))</f>
        <v/>
      </c>
      <c r="W1349" s="256"/>
      <c r="X1349" s="256" t="str">
        <f>IF(D1349="","",IF(T1349="","",IF(J1349="巻足し","",IF(J1349="巻返し",VLOOKUP(F1349&amp;K1349&amp;M1349,製品マスタ!$M$5:$AE$4999,19,FALSE),IF(OR(J1349="リード付け",J1349="巻返しリード付け"),"",IF(J1349="スリット",VLOOKUP(F1349&amp;K1349&amp;R1349,製品マスタ!$N$5:$AE$4999,18,FALSE),""))))))</f>
        <v/>
      </c>
      <c r="Y1349" s="256">
        <f>IF(D1349="","",IF(T1349="","",VLOOKUP(D1349,契約台帳!$A$3:$Q$4986,17,FALSE)))</f>
        <v>2</v>
      </c>
      <c r="Z1349" s="256" t="str">
        <f>IF(D1349="","",IF(T1349="","",VLOOKUP(D1349,契約台帳!$A$3:$E$4986,5,FALSE)))</f>
        <v>新タック化成㈱</v>
      </c>
      <c r="AA1349" s="54"/>
      <c r="AB1349" s="200" t="str">
        <f>IFERROR((VLOOKUP(F1349&amp;K1349&amp;M1349,製品マスタ!$M$5:$AM$4999,27,FALSE)),"")</f>
        <v/>
      </c>
      <c r="AC1349" s="31"/>
      <c r="AD1349" s="184"/>
      <c r="AE1349" s="51"/>
      <c r="AF1349" s="52">
        <f>+M1349*N1349*O1349/1000</f>
        <v>7289.5</v>
      </c>
      <c r="AG1349" s="41"/>
      <c r="AH1349" s="45"/>
      <c r="AI1349" s="28"/>
      <c r="AJ1349" s="28"/>
      <c r="AK1349" s="28"/>
      <c r="AL1349" s="28"/>
      <c r="AM1349" s="12"/>
      <c r="AN1349" s="12"/>
      <c r="AO1349" s="12"/>
      <c r="AP1349" s="12"/>
      <c r="AQ1349" s="12"/>
      <c r="AR1349" s="13"/>
      <c r="AS1349" s="14"/>
    </row>
    <row r="1350" spans="1:45" s="16" customFormat="1" ht="30.95" hidden="1" customHeight="1" x14ac:dyDescent="0.2">
      <c r="A1350" s="35"/>
      <c r="B1350" s="36"/>
      <c r="C1350" s="43"/>
      <c r="D1350" s="29"/>
      <c r="E1350" s="29"/>
      <c r="F1350" s="255"/>
      <c r="G1350" s="256"/>
      <c r="H1350" s="256"/>
      <c r="I1350" s="200"/>
      <c r="J1350" s="203"/>
      <c r="K1350" s="200"/>
      <c r="L1350" s="200"/>
      <c r="M1350" s="37"/>
      <c r="N1350" s="37"/>
      <c r="O1350" s="153"/>
      <c r="P1350" s="45"/>
      <c r="Q1350" s="54"/>
      <c r="R1350" s="260"/>
      <c r="S1350" s="258"/>
      <c r="T1350" s="258"/>
      <c r="U1350" s="38"/>
      <c r="V1350" s="261"/>
      <c r="W1350" s="256"/>
      <c r="X1350" s="256"/>
      <c r="Y1350" s="256"/>
      <c r="Z1350" s="256"/>
      <c r="AA1350" s="54"/>
      <c r="AB1350" s="200"/>
      <c r="AC1350" s="31"/>
      <c r="AD1350" s="184"/>
      <c r="AE1350" s="51"/>
      <c r="AF1350" s="52"/>
      <c r="AG1350" s="41"/>
      <c r="AH1350" s="45"/>
      <c r="AI1350" s="28"/>
      <c r="AJ1350" s="28"/>
      <c r="AK1350" s="28"/>
      <c r="AL1350" s="28"/>
      <c r="AM1350" s="12"/>
      <c r="AN1350" s="12"/>
      <c r="AO1350" s="12"/>
      <c r="AP1350" s="12"/>
      <c r="AQ1350" s="12"/>
      <c r="AR1350" s="13"/>
      <c r="AS1350" s="14"/>
    </row>
    <row r="1351" spans="1:45" s="16" customFormat="1" ht="30.95" hidden="1" customHeight="1" x14ac:dyDescent="0.2">
      <c r="A1351" s="35"/>
      <c r="B1351" s="36"/>
      <c r="C1351" s="43"/>
      <c r="D1351" s="29">
        <v>3735101</v>
      </c>
      <c r="E1351" s="29">
        <v>4162176</v>
      </c>
      <c r="F1351" s="255" t="str">
        <f>IF(D1351="","",VLOOKUP(D1351,契約台帳!$A$3:$K$4986,6,FALSE)&amp;VLOOKUP(D1351,契約台帳!$A$3:$K$4986,7,FALSE)&amp;VLOOKUP(D1351,契約台帳!$A$3:$K$4986,8,FALSE)&amp;VLOOKUP(D1351,契約台帳!$A$3:$K$4986,9,FALSE)&amp;VLOOKUP(D1351,契約台帳!$A$3:$K$4986,11,FALSE))</f>
        <v>3XSNMCLBEYK</v>
      </c>
      <c r="G1351" s="256" t="str">
        <f>IF(D1351="","",VLOOKUP(F1351,製品マスタ!$G$5:$H$4999,2,FALSE))</f>
        <v>S</v>
      </c>
      <c r="H1351" s="256" t="str">
        <f>IF(D1351="","",VLOOKUP(F1351,製品マスタ!$G$5:$K$4999,5,FALSE))</f>
        <v>EYK</v>
      </c>
      <c r="I1351" s="200" t="str">
        <f>IF(D1351="","",VLOOKUP(F1351,製品マスタ!$G$5:$L$4999,6,FALSE))</f>
        <v>メタルミー　ＥＹＫ</v>
      </c>
      <c r="J1351" s="203" t="s">
        <v>935</v>
      </c>
      <c r="K1351" s="200">
        <f>IF(D1351="","",VLOOKUP(D1351,契約台帳!$A$3:$L$4986,12,FALSE))</f>
        <v>50</v>
      </c>
      <c r="L1351" s="200" t="str">
        <f>IF(D1351="","",INDEX(製品マスタ!$Q$5:$Q$4999,MATCH('S4'!F1351&amp;'S4'!K1351,製品マスタ!$AO$5:$AO$4999,0)))</f>
        <v>T62M</v>
      </c>
      <c r="M1351" s="37">
        <v>1195</v>
      </c>
      <c r="N1351" s="37">
        <v>6100</v>
      </c>
      <c r="O1351" s="153">
        <v>2</v>
      </c>
      <c r="P1351" s="45">
        <v>2</v>
      </c>
      <c r="Q1351" s="206">
        <v>45258</v>
      </c>
      <c r="R1351" s="257">
        <f ca="1">IF(D1351="","",IF(OFFSET(D1351,-1,0)&lt;&gt;"","",IF(OR(J1351="リード付け",J1351="巻足し",J1351="巻返しリード付け"),M1351,VLOOKUP(D1351,契約台帳!$A$3:$N$4986,14,FALSE))))</f>
        <v>1195</v>
      </c>
      <c r="S1351" s="258">
        <f ca="1">IF(D1351="","",IF(OFFSET(D1351,-1,0)&lt;&gt;"","",IF(OR(J1351="リード付け",J1351="巻足し",J1351="巻返しリード付け"),M1351,VLOOKUP(D1351,契約台帳!$A$3:$O$4986,15,FALSE))))</f>
        <v>1195</v>
      </c>
      <c r="T1351" s="258">
        <f ca="1">IF(D1351="","",IF(J1351="リード付け",N1351,IF(J1351="巻返しリード付け",N1351,IF(J1351="巻足し",N1351*P1351+OFFSET(N1351,1,0)*OFFSET(P1351,1,0),VLOOKUP(D1351,契約台帳!$A$3:$P$4986,16,FALSE)))))</f>
        <v>12200</v>
      </c>
      <c r="U1351" s="38">
        <v>1</v>
      </c>
      <c r="V1351" s="259">
        <f ca="1">IF(D1351="","",IF(OFFSET(D1351,-2,0)=D1351,"",VLOOKUP(D1351,契約台帳!$A$3:$R$4986,18,FALSE)))</f>
        <v>2</v>
      </c>
      <c r="W1351" s="256" t="str">
        <f ca="1">IF(D1351="","",IF(T1351="","",IF(OR(J1351="巻足し",J1351="巻返しリード付け"),"",IF(J1351="巻返し",VLOOKUP(F1351&amp;K1351&amp;M1351,製品マスタ!$M$5:$AD$4999,18,FALSE),IF(OR(J1351="リード付け",J1351="巻返しリード付け"),"原反コア",IF(J1351="スリット",VLOOKUP(F1351&amp;K1351&amp;R1351,製品マスタ!$N$5:$AD$4999,17,FALSE),""))))))</f>
        <v/>
      </c>
      <c r="X1351" s="256" t="str">
        <f ca="1">IF(D1351="","",IF(T1351="","",IF(J1351="巻足し","",IF(J1351="巻返し",VLOOKUP(F1351&amp;K1351&amp;M1351,製品マスタ!$M$5:$AE$4999,19,FALSE),IF(OR(J1351="リード付け",J1351="巻返しリード付け"),"",IF(J1351="スリット",VLOOKUP(F1351&amp;K1351&amp;R1351,製品マスタ!$N$5:$AE$4999,18,FALSE),""))))))</f>
        <v/>
      </c>
      <c r="Y1351" s="256">
        <f ca="1">IF(D1351="","",IF(T1351="","",VLOOKUP(D1351,契約台帳!$A$3:$Q$4986,17,FALSE)))</f>
        <v>2</v>
      </c>
      <c r="Z1351" s="256" t="str">
        <f ca="1">IF(D1351="","",IF(T1351="","",VLOOKUP(D1351,契約台帳!$A$3:$E$4986,5,FALSE)))</f>
        <v>新タック化成㈱</v>
      </c>
      <c r="AA1351" s="54"/>
      <c r="AB1351" s="200" t="str">
        <f>IFERROR((VLOOKUP(F1351&amp;K1351&amp;M1351,製品マスタ!$M$5:$AM$4999,27,FALSE)),"")</f>
        <v>原反ケース再利用</v>
      </c>
      <c r="AC1351" s="31"/>
      <c r="AD1351" s="184"/>
      <c r="AE1351" s="51"/>
      <c r="AF1351" s="52">
        <f>+M1351*N1351*O1351/1000</f>
        <v>14579</v>
      </c>
      <c r="AG1351" s="41"/>
      <c r="AH1351" s="45"/>
      <c r="AI1351" s="28"/>
      <c r="AJ1351" s="28"/>
      <c r="AK1351" s="28"/>
      <c r="AL1351" s="28"/>
      <c r="AM1351" s="12"/>
      <c r="AN1351" s="12"/>
      <c r="AO1351" s="12"/>
      <c r="AP1351" s="12"/>
      <c r="AQ1351" s="12"/>
      <c r="AR1351" s="13"/>
      <c r="AS1351" s="14"/>
    </row>
    <row r="1352" spans="1:45" s="16" customFormat="1" ht="30.95" hidden="1" customHeight="1" x14ac:dyDescent="0.2">
      <c r="A1352" s="35"/>
      <c r="B1352" s="36"/>
      <c r="C1352" s="43"/>
      <c r="D1352" s="29"/>
      <c r="E1352" s="29"/>
      <c r="F1352" s="255"/>
      <c r="G1352" s="256"/>
      <c r="H1352" s="256"/>
      <c r="I1352" s="200"/>
      <c r="J1352" s="203"/>
      <c r="K1352" s="200"/>
      <c r="L1352" s="200"/>
      <c r="M1352" s="37"/>
      <c r="N1352" s="37"/>
      <c r="O1352" s="153"/>
      <c r="P1352" s="45"/>
      <c r="Q1352" s="54"/>
      <c r="R1352" s="260"/>
      <c r="S1352" s="258"/>
      <c r="T1352" s="258"/>
      <c r="U1352" s="38"/>
      <c r="V1352" s="261"/>
      <c r="W1352" s="256"/>
      <c r="X1352" s="256"/>
      <c r="Y1352" s="256"/>
      <c r="Z1352" s="256"/>
      <c r="AA1352" s="54"/>
      <c r="AB1352" s="200"/>
      <c r="AC1352" s="31"/>
      <c r="AD1352" s="184"/>
      <c r="AE1352" s="51"/>
      <c r="AF1352" s="52"/>
      <c r="AG1352" s="41"/>
      <c r="AH1352" s="45"/>
      <c r="AI1352" s="28"/>
      <c r="AJ1352" s="28"/>
      <c r="AK1352" s="28"/>
      <c r="AL1352" s="28"/>
      <c r="AM1352" s="12"/>
      <c r="AN1352" s="12"/>
      <c r="AO1352" s="12"/>
      <c r="AP1352" s="12"/>
      <c r="AQ1352" s="12"/>
      <c r="AR1352" s="13"/>
      <c r="AS1352" s="14"/>
    </row>
    <row r="1353" spans="1:45" s="16" customFormat="1" ht="30.95" hidden="1" customHeight="1" x14ac:dyDescent="0.2">
      <c r="A1353" s="35"/>
      <c r="B1353" s="36"/>
      <c r="C1353" s="43"/>
      <c r="D1353" s="29">
        <v>3735903</v>
      </c>
      <c r="E1353" s="29">
        <v>4162177</v>
      </c>
      <c r="F1353" s="255" t="str">
        <f>IF(D1353="","",VLOOKUP(D1353,契約台帳!$A$3:$K$4986,6,FALSE)&amp;VLOOKUP(D1353,契約台帳!$A$3:$K$4986,7,FALSE)&amp;VLOOKUP(D1353,契約台帳!$A$3:$K$4986,8,FALSE)&amp;VLOOKUP(D1353,契約台帳!$A$3:$K$4986,9,FALSE)&amp;VLOOKUP(D1353,契約台帳!$A$3:$K$4986,11,FALSE))</f>
        <v>3SNMCLBMSNEYK</v>
      </c>
      <c r="G1353" s="256" t="str">
        <f>IF(D1353="","",VLOOKUP(F1353,製品マスタ!$G$5:$H$4999,2,FALSE))</f>
        <v>S</v>
      </c>
      <c r="H1353" s="256" t="str">
        <f>IF(D1353="","",VLOOKUP(F1353,製品マスタ!$G$5:$K$4999,5,FALSE))</f>
        <v>MSNEYK</v>
      </c>
      <c r="I1353" s="200" t="str">
        <f>IF(D1353="","",VLOOKUP(F1353,製品マスタ!$G$5:$L$4999,6,FALSE))</f>
        <v>ＭＳＮ　ＥＹＫ</v>
      </c>
      <c r="J1353" s="203" t="s">
        <v>935</v>
      </c>
      <c r="K1353" s="200">
        <f>IF(D1353="","",VLOOKUP(D1353,契約台帳!$A$3:$L$4986,12,FALSE))</f>
        <v>50</v>
      </c>
      <c r="L1353" s="200" t="str">
        <f>IF(D1353="","",INDEX(製品マスタ!$Q$5:$Q$4999,MATCH('S4'!F1353&amp;'S4'!K1353,製品マスタ!$AO$5:$AO$4999,0)))</f>
        <v>N-MAT</v>
      </c>
      <c r="M1353" s="37">
        <v>1120</v>
      </c>
      <c r="N1353" s="37">
        <v>4000</v>
      </c>
      <c r="O1353" s="153">
        <v>6</v>
      </c>
      <c r="P1353" s="45">
        <v>3</v>
      </c>
      <c r="Q1353" s="206">
        <v>45245</v>
      </c>
      <c r="R1353" s="257">
        <f ca="1">IF(D1353="","",IF(OFFSET(D1353,-1,0)&lt;&gt;"","",IF(OR(J1353="リード付け",J1353="巻足し",J1353="巻返しリード付け"),M1353,VLOOKUP(D1353,契約台帳!$A$3:$N$4986,14,FALSE))))</f>
        <v>1120</v>
      </c>
      <c r="S1353" s="258">
        <f ca="1">IF(D1353="","",IF(OFFSET(D1353,-1,0)&lt;&gt;"","",IF(OR(J1353="リード付け",J1353="巻足し",J1353="巻返しリード付け"),M1353,VLOOKUP(D1353,契約台帳!$A$3:$O$4986,15,FALSE))))</f>
        <v>1120</v>
      </c>
      <c r="T1353" s="258">
        <f ca="1">IF(D1353="","",IF(J1353="リード付け",N1353,IF(J1353="巻返しリード付け",N1353,IF(J1353="巻足し",N1353*P1353+OFFSET(N1353,1,0)*OFFSET(P1353,1,0),VLOOKUP(D1353,契約台帳!$A$3:$P$4986,16,FALSE)))))</f>
        <v>12000</v>
      </c>
      <c r="U1353" s="38">
        <v>2</v>
      </c>
      <c r="V1353" s="259">
        <f ca="1">IF(D1353="","",IF(OFFSET(D1353,-2,0)=D1353,"",VLOOKUP(D1353,契約台帳!$A$3:$R$4986,18,FALSE)))</f>
        <v>6</v>
      </c>
      <c r="W1353" s="256" t="str">
        <f ca="1">IF(D1353="","",IF(T1353="","",IF(OR(J1353="巻足し",J1353="巻返しリード付け"),"",IF(J1353="巻返し",VLOOKUP(F1353&amp;K1353&amp;M1353,製品マスタ!$M$5:$AD$4999,18,FALSE),IF(OR(J1353="リード付け",J1353="巻返しリード付け"),"原反コア",IF(J1353="スリット",VLOOKUP(F1353&amp;K1353&amp;R1353,製品マスタ!$N$5:$AD$4999,17,FALSE),""))))))</f>
        <v/>
      </c>
      <c r="X1353" s="256" t="str">
        <f ca="1">IF(D1353="","",IF(T1353="","",IF(J1353="巻足し","",IF(J1353="巻返し",VLOOKUP(F1353&amp;K1353&amp;M1353,製品マスタ!$M$5:$AE$4999,19,FALSE),IF(OR(J1353="リード付け",J1353="巻返しリード付け"),"",IF(J1353="スリット",VLOOKUP(F1353&amp;K1353&amp;R1353,製品マスタ!$N$5:$AE$4999,18,FALSE),""))))))</f>
        <v/>
      </c>
      <c r="Y1353" s="256">
        <f ca="1">IF(D1353="","",IF(T1353="","",VLOOKUP(D1353,契約台帳!$A$3:$Q$4986,17,FALSE)))</f>
        <v>2</v>
      </c>
      <c r="Z1353" s="256" t="str">
        <f ca="1">IF(D1353="","",IF(T1353="","",VLOOKUP(D1353,契約台帳!$A$3:$E$4986,5,FALSE)))</f>
        <v>新タック化成㈱</v>
      </c>
      <c r="AA1353" s="54"/>
      <c r="AB1353" s="200" t="str">
        <f>IFERROR((VLOOKUP(F1353&amp;K1353&amp;M1353,製品マスタ!$M$5:$AM$4999,27,FALSE)),"")</f>
        <v>原反ケース再利用</v>
      </c>
      <c r="AC1353" s="31"/>
      <c r="AD1353" s="184"/>
      <c r="AE1353" s="51"/>
      <c r="AF1353" s="52">
        <f>+M1353*N1353*O1353/1000</f>
        <v>26880</v>
      </c>
      <c r="AG1353" s="41"/>
      <c r="AH1353" s="45"/>
      <c r="AI1353" s="28"/>
      <c r="AJ1353" s="28"/>
      <c r="AK1353" s="28"/>
      <c r="AL1353" s="28"/>
      <c r="AM1353" s="12"/>
      <c r="AN1353" s="12"/>
      <c r="AO1353" s="12"/>
      <c r="AP1353" s="12"/>
      <c r="AQ1353" s="12"/>
      <c r="AR1353" s="13"/>
      <c r="AS1353" s="14"/>
    </row>
    <row r="1354" spans="1:45" s="16" customFormat="1" ht="30.95" hidden="1" customHeight="1" x14ac:dyDescent="0.2">
      <c r="A1354" s="35"/>
      <c r="B1354" s="36"/>
      <c r="C1354" s="43"/>
      <c r="D1354" s="29"/>
      <c r="E1354" s="29"/>
      <c r="F1354" s="255"/>
      <c r="G1354" s="256"/>
      <c r="H1354" s="256"/>
      <c r="I1354" s="200"/>
      <c r="J1354" s="203"/>
      <c r="K1354" s="200"/>
      <c r="L1354" s="200"/>
      <c r="M1354" s="37"/>
      <c r="N1354" s="37"/>
      <c r="O1354" s="153"/>
      <c r="P1354" s="45"/>
      <c r="Q1354" s="54"/>
      <c r="R1354" s="260"/>
      <c r="S1354" s="258"/>
      <c r="T1354" s="258"/>
      <c r="U1354" s="38"/>
      <c r="V1354" s="261"/>
      <c r="W1354" s="256"/>
      <c r="X1354" s="256"/>
      <c r="Y1354" s="256"/>
      <c r="Z1354" s="256"/>
      <c r="AA1354" s="54"/>
      <c r="AB1354" s="200"/>
      <c r="AC1354" s="31"/>
      <c r="AD1354" s="184"/>
      <c r="AE1354" s="51"/>
      <c r="AF1354" s="52"/>
      <c r="AG1354" s="41"/>
      <c r="AH1354" s="45"/>
      <c r="AI1354" s="28"/>
      <c r="AJ1354" s="28"/>
      <c r="AK1354" s="28"/>
      <c r="AL1354" s="28"/>
      <c r="AM1354" s="12"/>
      <c r="AN1354" s="12"/>
      <c r="AO1354" s="12"/>
      <c r="AP1354" s="12"/>
      <c r="AQ1354" s="12"/>
      <c r="AR1354" s="13"/>
      <c r="AS1354" s="14"/>
    </row>
    <row r="1355" spans="1:45" s="16" customFormat="1" ht="30.95" hidden="1" customHeight="1" x14ac:dyDescent="0.2">
      <c r="A1355" s="35" t="s">
        <v>670</v>
      </c>
      <c r="B1355" s="36" t="s">
        <v>444</v>
      </c>
      <c r="C1355" s="43"/>
      <c r="D1355" s="29">
        <v>3735105</v>
      </c>
      <c r="E1355" s="29">
        <v>4162158</v>
      </c>
      <c r="F1355" s="255" t="str">
        <f>IF(D1355="","",VLOOKUP(D1355,契約台帳!$A$3:$K$4986,6,FALSE)&amp;VLOOKUP(D1355,契約台帳!$A$3:$K$4986,7,FALSE)&amp;VLOOKUP(D1355,契約台帳!$A$3:$K$4986,8,FALSE)&amp;VLOOKUP(D1355,契約台帳!$A$3:$K$4986,9,FALSE)&amp;VLOOKUP(D1355,契約台帳!$A$3:$K$4986,11,FALSE))</f>
        <v>3SNMLBMNGKKBF</v>
      </c>
      <c r="G1355" s="256" t="str">
        <f>IF(D1355="","",VLOOKUP(F1355,製品マスタ!$G$5:$H$4999,2,FALSE))</f>
        <v>S</v>
      </c>
      <c r="H1355" s="256" t="str">
        <f>IF(D1355="","",VLOOKUP(F1355,製品マスタ!$G$5:$K$4999,5,FALSE))</f>
        <v>MNGKKBF</v>
      </c>
      <c r="I1355" s="200" t="str">
        <f>IF(D1355="","",VLOOKUP(F1355,製品マスタ!$G$5:$L$4999,6,FALSE))</f>
        <v>メタルミー　ネーマー銀消改　Ｂ</v>
      </c>
      <c r="J1355" s="203" t="s">
        <v>935</v>
      </c>
      <c r="K1355" s="200">
        <f>IF(D1355="","",VLOOKUP(D1355,契約台帳!$A$3:$L$4986,12,FALSE))</f>
        <v>25</v>
      </c>
      <c r="L1355" s="200" t="str">
        <f>IF(D1355="","",INDEX(製品マスタ!$Q$5:$Q$4999,MATCH('S4'!F1355&amp;'S4'!K1355,製品マスタ!$AO$5:$AO$4999,0)))</f>
        <v>FMATS99</v>
      </c>
      <c r="M1355" s="37">
        <v>1120</v>
      </c>
      <c r="N1355" s="37">
        <v>4000</v>
      </c>
      <c r="O1355" s="153">
        <v>9</v>
      </c>
      <c r="P1355" s="45">
        <v>3</v>
      </c>
      <c r="Q1355" s="206">
        <v>45261</v>
      </c>
      <c r="R1355" s="257">
        <f ca="1">IF(D1355="","",IF(OFFSET(D1355,-1,0)&lt;&gt;"","",IF(OR(J1355="リード付け",J1355="巻足し",J1355="巻返しリード付け"),M1355,VLOOKUP(D1355,契約台帳!$A$3:$N$4986,14,FALSE))))</f>
        <v>1120</v>
      </c>
      <c r="S1355" s="258">
        <f ca="1">IF(D1355="","",IF(OFFSET(D1355,-1,0)&lt;&gt;"","",IF(OR(J1355="リード付け",J1355="巻足し",J1355="巻返しリード付け"),M1355,VLOOKUP(D1355,契約台帳!$A$3:$O$4986,15,FALSE))))</f>
        <v>1120</v>
      </c>
      <c r="T1355" s="258">
        <f ca="1">IF(D1355="","",IF(J1355="リード付け",N1355,IF(J1355="巻返しリード付け",N1355,IF(J1355="巻足し",N1355*P1355+OFFSET(N1355,1,0)*OFFSET(P1355,1,0),VLOOKUP(D1355,契約台帳!$A$3:$P$4986,16,FALSE)))))</f>
        <v>12000</v>
      </c>
      <c r="U1355" s="38">
        <v>3</v>
      </c>
      <c r="V1355" s="259">
        <f ca="1">IF(D1355="","",IF(OFFSET(D1355,-2,0)=D1355,"",VLOOKUP(D1355,契約台帳!$A$3:$R$4986,18,FALSE)))</f>
        <v>9</v>
      </c>
      <c r="W1355" s="256" t="str">
        <f ca="1">IF(D1355="","",IF(T1355="","",IF(OR(J1355="巻足し",J1355="巻返しリード付け"),"",IF(J1355="巻返し",VLOOKUP(F1355&amp;K1355&amp;M1355,製品マスタ!$M$5:$AD$4999,18,FALSE),IF(OR(J1355="リード付け",J1355="巻返しリード付け"),"原反コア",IF(J1355="スリット",VLOOKUP(F1355&amp;K1355&amp;R1355,製品マスタ!$N$5:$AD$4999,17,FALSE),""))))))</f>
        <v/>
      </c>
      <c r="X1355" s="256" t="str">
        <f ca="1">IF(D1355="","",IF(T1355="","",IF(J1355="巻足し","",IF(J1355="巻返し",VLOOKUP(F1355&amp;K1355&amp;M1355,製品マスタ!$M$5:$AE$4999,19,FALSE),IF(OR(J1355="リード付け",J1355="巻返しリード付け"),"",IF(J1355="スリット",VLOOKUP(F1355&amp;K1355&amp;R1355,製品マスタ!$N$5:$AE$4999,18,FALSE),""))))))</f>
        <v/>
      </c>
      <c r="Y1355" s="256">
        <f ca="1">IF(D1355="","",IF(T1355="","",VLOOKUP(D1355,契約台帳!$A$3:$Q$4986,17,FALSE)))</f>
        <v>2</v>
      </c>
      <c r="Z1355" s="256" t="str">
        <f ca="1">IF(D1355="","",IF(T1355="","",VLOOKUP(D1355,契約台帳!$A$3:$E$4986,5,FALSE)))</f>
        <v>リンテック㈱</v>
      </c>
      <c r="AA1355" s="54"/>
      <c r="AB1355" s="200">
        <f>IFERROR((VLOOKUP(F1355&amp;K1355&amp;M1355,製品マスタ!$M$5:$AM$4999,27,FALSE)),"")</f>
        <v>0</v>
      </c>
      <c r="AC1355" s="31"/>
      <c r="AD1355" s="184"/>
      <c r="AE1355" s="51"/>
      <c r="AF1355" s="52">
        <f>+M1355*N1355*O1355/1000</f>
        <v>40320</v>
      </c>
      <c r="AG1355" s="41"/>
      <c r="AH1355" s="45"/>
      <c r="AI1355" s="28"/>
      <c r="AJ1355" s="28"/>
      <c r="AK1355" s="28"/>
      <c r="AL1355" s="28"/>
      <c r="AM1355" s="12"/>
      <c r="AN1355" s="12"/>
      <c r="AO1355" s="12"/>
      <c r="AP1355" s="12"/>
      <c r="AQ1355" s="12"/>
      <c r="AR1355" s="13"/>
      <c r="AS1355" s="14"/>
    </row>
    <row r="1356" spans="1:45" s="16" customFormat="1" ht="30.95" hidden="1" customHeight="1" x14ac:dyDescent="0.2">
      <c r="A1356" s="35"/>
      <c r="B1356" s="36"/>
      <c r="C1356" s="43"/>
      <c r="D1356" s="29"/>
      <c r="E1356" s="29"/>
      <c r="F1356" s="255"/>
      <c r="G1356" s="256"/>
      <c r="H1356" s="256"/>
      <c r="I1356" s="200"/>
      <c r="J1356" s="203"/>
      <c r="K1356" s="200"/>
      <c r="L1356" s="200"/>
      <c r="M1356" s="37"/>
      <c r="N1356" s="37"/>
      <c r="O1356" s="153"/>
      <c r="P1356" s="45"/>
      <c r="Q1356" s="54"/>
      <c r="R1356" s="260"/>
      <c r="S1356" s="258"/>
      <c r="T1356" s="258"/>
      <c r="U1356" s="38"/>
      <c r="V1356" s="261"/>
      <c r="W1356" s="256"/>
      <c r="X1356" s="256"/>
      <c r="Y1356" s="256"/>
      <c r="Z1356" s="256"/>
      <c r="AA1356" s="54"/>
      <c r="AB1356" s="200"/>
      <c r="AC1356" s="31"/>
      <c r="AD1356" s="184"/>
      <c r="AE1356" s="51"/>
      <c r="AF1356" s="52"/>
      <c r="AG1356" s="41"/>
      <c r="AH1356" s="45"/>
      <c r="AI1356" s="28"/>
      <c r="AJ1356" s="28"/>
      <c r="AK1356" s="28"/>
      <c r="AL1356" s="28"/>
      <c r="AM1356" s="12"/>
      <c r="AN1356" s="12"/>
      <c r="AO1356" s="12"/>
      <c r="AP1356" s="12"/>
      <c r="AQ1356" s="12"/>
      <c r="AR1356" s="13"/>
      <c r="AS1356" s="14"/>
    </row>
    <row r="1357" spans="1:45" s="16" customFormat="1" ht="30.95" hidden="1" customHeight="1" x14ac:dyDescent="0.2">
      <c r="A1357" s="35"/>
      <c r="B1357" s="36"/>
      <c r="C1357" s="43"/>
      <c r="D1357" s="29">
        <v>3735110</v>
      </c>
      <c r="E1357" s="29">
        <v>4162153</v>
      </c>
      <c r="F1357" s="255" t="str">
        <f>IF(D1357="","",VLOOKUP(D1357,契約台帳!$A$3:$K$4986,6,FALSE)&amp;VLOOKUP(D1357,契約台帳!$A$3:$K$4986,7,FALSE)&amp;VLOOKUP(D1357,契約台帳!$A$3:$K$4986,8,FALSE)&amp;VLOOKUP(D1357,契約台帳!$A$3:$K$4986,9,FALSE)&amp;VLOOKUP(D1357,契約台帳!$A$3:$K$4986,11,FALSE))</f>
        <v>3SNMLBMNGKBF</v>
      </c>
      <c r="G1357" s="256" t="str">
        <f>IF(D1357="","",VLOOKUP(F1357,製品マスタ!$G$5:$H$4999,2,FALSE))</f>
        <v>S</v>
      </c>
      <c r="H1357" s="256" t="str">
        <f>IF(D1357="","",VLOOKUP(F1357,製品マスタ!$G$5:$K$4999,5,FALSE))</f>
        <v>MNGKBF</v>
      </c>
      <c r="I1357" s="200" t="str">
        <f>IF(D1357="","",VLOOKUP(F1357,製品マスタ!$G$5:$L$4999,6,FALSE))</f>
        <v>メタルミー　ネーマー銀消　Ｂ</v>
      </c>
      <c r="J1357" s="203" t="s">
        <v>935</v>
      </c>
      <c r="K1357" s="200">
        <f>IF(D1357="","",VLOOKUP(D1357,契約台帳!$A$3:$L$4986,12,FALSE))</f>
        <v>25</v>
      </c>
      <c r="L1357" s="200" t="str">
        <f>IF(D1357="","",INDEX(製品マスタ!$Q$5:$Q$4999,MATCH('S4'!F1357&amp;'S4'!K1357,製品マスタ!$AO$5:$AO$4999,0)))</f>
        <v>LUMIMAT</v>
      </c>
      <c r="M1357" s="37">
        <v>1050</v>
      </c>
      <c r="N1357" s="37">
        <v>4000</v>
      </c>
      <c r="O1357" s="153">
        <v>2</v>
      </c>
      <c r="P1357" s="45">
        <v>2</v>
      </c>
      <c r="Q1357" s="206">
        <v>45261</v>
      </c>
      <c r="R1357" s="257">
        <f ca="1">IF(D1357="","",IF(OFFSET(D1357,-1,0)&lt;&gt;"","",IF(OR(J1357="リード付け",J1357="巻足し",J1357="巻返しリード付け"),M1357,VLOOKUP(D1357,契約台帳!$A$3:$N$4986,14,FALSE))))</f>
        <v>1050</v>
      </c>
      <c r="S1357" s="258">
        <f ca="1">IF(D1357="","",IF(OFFSET(D1357,-1,0)&lt;&gt;"","",IF(OR(J1357="リード付け",J1357="巻足し",J1357="巻返しリード付け"),M1357,VLOOKUP(D1357,契約台帳!$A$3:$O$4986,15,FALSE))))</f>
        <v>1050</v>
      </c>
      <c r="T1357" s="258">
        <f ca="1">IF(D1357="","",IF(J1357="リード付け",N1357,IF(J1357="巻返しリード付け",N1357,IF(J1357="巻足し",N1357*P1357+OFFSET(N1357,1,0)*OFFSET(P1357,1,0),VLOOKUP(D1357,契約台帳!$A$3:$P$4986,16,FALSE)))))</f>
        <v>8000</v>
      </c>
      <c r="U1357" s="38">
        <v>1</v>
      </c>
      <c r="V1357" s="259">
        <f ca="1">IF(D1357="","",IF(OFFSET(D1357,-2,0)=D1357,"",VLOOKUP(D1357,契約台帳!$A$3:$R$4986,18,FALSE)))</f>
        <v>2</v>
      </c>
      <c r="W1357" s="256" t="str">
        <f ca="1">IF(D1357="","",IF(T1357="","",IF(OR(J1357="巻足し",J1357="巻返しリード付け"),"",IF(J1357="巻返し",VLOOKUP(F1357&amp;K1357&amp;M1357,製品マスタ!$M$5:$AD$4999,18,FALSE),IF(OR(J1357="リード付け",J1357="巻返しリード付け"),"原反コア",IF(J1357="スリット",VLOOKUP(F1357&amp;K1357&amp;R1357,製品マスタ!$N$5:$AD$4999,17,FALSE),""))))))</f>
        <v/>
      </c>
      <c r="X1357" s="256" t="str">
        <f ca="1">IF(D1357="","",IF(T1357="","",IF(J1357="巻足し","",IF(J1357="巻返し",VLOOKUP(F1357&amp;K1357&amp;M1357,製品マスタ!$M$5:$AE$4999,19,FALSE),IF(OR(J1357="リード付け",J1357="巻返しリード付け"),"",IF(J1357="スリット",VLOOKUP(F1357&amp;K1357&amp;R1357,製品マスタ!$N$5:$AE$4999,18,FALSE),""))))))</f>
        <v/>
      </c>
      <c r="Y1357" s="256">
        <f ca="1">IF(D1357="","",IF(T1357="","",VLOOKUP(D1357,契約台帳!$A$3:$Q$4986,17,FALSE)))</f>
        <v>2</v>
      </c>
      <c r="Z1357" s="256" t="str">
        <f ca="1">IF(D1357="","",IF(T1357="","",VLOOKUP(D1357,契約台帳!$A$3:$E$4986,5,FALSE)))</f>
        <v>リンテック㈱</v>
      </c>
      <c r="AA1357" s="54"/>
      <c r="AB1357" s="200">
        <f>IFERROR((VLOOKUP(F1357&amp;K1357&amp;M1357,製品マスタ!$M$5:$AM$4999,27,FALSE)),"")</f>
        <v>0</v>
      </c>
      <c r="AC1357" s="31"/>
      <c r="AD1357" s="184"/>
      <c r="AE1357" s="51"/>
      <c r="AF1357" s="52">
        <f>+M1357*N1357*O1357/1000</f>
        <v>8400</v>
      </c>
      <c r="AG1357" s="41"/>
      <c r="AH1357" s="45"/>
      <c r="AI1357" s="28"/>
      <c r="AJ1357" s="28"/>
      <c r="AK1357" s="28"/>
      <c r="AL1357" s="28"/>
      <c r="AM1357" s="12"/>
      <c r="AN1357" s="12"/>
      <c r="AO1357" s="12"/>
      <c r="AP1357" s="12"/>
      <c r="AQ1357" s="12"/>
      <c r="AR1357" s="13"/>
      <c r="AS1357" s="14"/>
    </row>
    <row r="1358" spans="1:45" s="16" customFormat="1" ht="30.95" hidden="1" customHeight="1" x14ac:dyDescent="0.2">
      <c r="A1358" s="35"/>
      <c r="B1358" s="36"/>
      <c r="C1358" s="43"/>
      <c r="D1358" s="29"/>
      <c r="E1358" s="29"/>
      <c r="F1358" s="255"/>
      <c r="G1358" s="256"/>
      <c r="H1358" s="256"/>
      <c r="I1358" s="200"/>
      <c r="J1358" s="203"/>
      <c r="K1358" s="200"/>
      <c r="L1358" s="200"/>
      <c r="M1358" s="37"/>
      <c r="N1358" s="37"/>
      <c r="O1358" s="153"/>
      <c r="P1358" s="45"/>
      <c r="Q1358" s="54"/>
      <c r="R1358" s="260"/>
      <c r="S1358" s="258"/>
      <c r="T1358" s="258"/>
      <c r="U1358" s="38"/>
      <c r="V1358" s="261"/>
      <c r="W1358" s="256"/>
      <c r="X1358" s="256"/>
      <c r="Y1358" s="256"/>
      <c r="Z1358" s="256"/>
      <c r="AA1358" s="54"/>
      <c r="AB1358" s="200"/>
      <c r="AC1358" s="31"/>
      <c r="AD1358" s="184"/>
      <c r="AE1358" s="51"/>
      <c r="AF1358" s="52"/>
      <c r="AG1358" s="41"/>
      <c r="AH1358" s="45"/>
      <c r="AI1358" s="28"/>
      <c r="AJ1358" s="28"/>
      <c r="AK1358" s="28"/>
      <c r="AL1358" s="28"/>
      <c r="AM1358" s="12"/>
      <c r="AN1358" s="12"/>
      <c r="AO1358" s="12"/>
      <c r="AP1358" s="12"/>
      <c r="AQ1358" s="12"/>
      <c r="AR1358" s="13"/>
      <c r="AS1358" s="14"/>
    </row>
    <row r="1359" spans="1:45" s="16" customFormat="1" ht="30.95" hidden="1" customHeight="1" x14ac:dyDescent="0.2">
      <c r="A1359" s="35"/>
      <c r="B1359" s="36"/>
      <c r="C1359" s="43"/>
      <c r="D1359" s="29">
        <v>3735111</v>
      </c>
      <c r="E1359" s="29">
        <v>4162155</v>
      </c>
      <c r="F1359" s="255" t="str">
        <f>IF(D1359="","",VLOOKUP(D1359,契約台帳!$A$3:$K$4986,6,FALSE)&amp;VLOOKUP(D1359,契約台帳!$A$3:$K$4986,7,FALSE)&amp;VLOOKUP(D1359,契約台帳!$A$3:$K$4986,8,FALSE)&amp;VLOOKUP(D1359,契約台帳!$A$3:$K$4986,9,FALSE)&amp;VLOOKUP(D1359,契約台帳!$A$3:$K$4986,11,FALSE))</f>
        <v>3SNMLBMNGKBF</v>
      </c>
      <c r="G1359" s="256" t="str">
        <f>IF(D1359="","",VLOOKUP(F1359,製品マスタ!$G$5:$H$4999,2,FALSE))</f>
        <v>S</v>
      </c>
      <c r="H1359" s="256" t="str">
        <f>IF(D1359="","",VLOOKUP(F1359,製品マスタ!$G$5:$K$4999,5,FALSE))</f>
        <v>MNGKBF</v>
      </c>
      <c r="I1359" s="200" t="str">
        <f>IF(D1359="","",VLOOKUP(F1359,製品マスタ!$G$5:$L$4999,6,FALSE))</f>
        <v>メタルミー　ネーマー銀消　Ｂ</v>
      </c>
      <c r="J1359" s="203" t="s">
        <v>935</v>
      </c>
      <c r="K1359" s="200">
        <f>IF(D1359="","",VLOOKUP(D1359,契約台帳!$A$3:$L$4986,12,FALSE))</f>
        <v>50</v>
      </c>
      <c r="L1359" s="200" t="str">
        <f>IF(D1359="","",INDEX(製品マスタ!$Q$5:$Q$4999,MATCH('S4'!F1359&amp;'S4'!K1359,製品マスタ!$AO$5:$AO$4999,0)))</f>
        <v>MAT</v>
      </c>
      <c r="M1359" s="37">
        <v>1050</v>
      </c>
      <c r="N1359" s="37">
        <v>4100</v>
      </c>
      <c r="O1359" s="153">
        <v>3</v>
      </c>
      <c r="P1359" s="45">
        <v>3</v>
      </c>
      <c r="Q1359" s="206">
        <v>45261</v>
      </c>
      <c r="R1359" s="257">
        <f ca="1">IF(D1359="","",IF(OFFSET(D1359,-1,0)&lt;&gt;"","",IF(OR(J1359="リード付け",J1359="巻足し",J1359="巻返しリード付け"),M1359,VLOOKUP(D1359,契約台帳!$A$3:$N$4986,14,FALSE))))</f>
        <v>1050</v>
      </c>
      <c r="S1359" s="258">
        <f ca="1">IF(D1359="","",IF(OFFSET(D1359,-1,0)&lt;&gt;"","",IF(OR(J1359="リード付け",J1359="巻足し",J1359="巻返しリード付け"),M1359,VLOOKUP(D1359,契約台帳!$A$3:$O$4986,15,FALSE))))</f>
        <v>1050</v>
      </c>
      <c r="T1359" s="258">
        <f ca="1">IF(D1359="","",IF(J1359="リード付け",N1359,IF(J1359="巻返しリード付け",N1359,IF(J1359="巻足し",N1359*P1359+OFFSET(N1359,1,0)*OFFSET(P1359,1,0),VLOOKUP(D1359,契約台帳!$A$3:$P$4986,16,FALSE)))))</f>
        <v>12300</v>
      </c>
      <c r="U1359" s="38">
        <v>1</v>
      </c>
      <c r="V1359" s="259">
        <f ca="1">IF(D1359="","",IF(OFFSET(D1359,-2,0)=D1359,"",VLOOKUP(D1359,契約台帳!$A$3:$R$4986,18,FALSE)))</f>
        <v>3</v>
      </c>
      <c r="W1359" s="256" t="str">
        <f ca="1">IF(D1359="","",IF(T1359="","",IF(OR(J1359="巻足し",J1359="巻返しリード付け"),"",IF(J1359="巻返し",VLOOKUP(F1359&amp;K1359&amp;M1359,製品マスタ!$M$5:$AD$4999,18,FALSE),IF(OR(J1359="リード付け",J1359="巻返しリード付け"),"原反コア",IF(J1359="スリット",VLOOKUP(F1359&amp;K1359&amp;R1359,製品マスタ!$N$5:$AD$4999,17,FALSE),""))))))</f>
        <v/>
      </c>
      <c r="X1359" s="256" t="str">
        <f ca="1">IF(D1359="","",IF(T1359="","",IF(J1359="巻足し","",IF(J1359="巻返し",VLOOKUP(F1359&amp;K1359&amp;M1359,製品マスタ!$M$5:$AE$4999,19,FALSE),IF(OR(J1359="リード付け",J1359="巻返しリード付け"),"",IF(J1359="スリット",VLOOKUP(F1359&amp;K1359&amp;R1359,製品マスタ!$N$5:$AE$4999,18,FALSE),""))))))</f>
        <v/>
      </c>
      <c r="Y1359" s="256">
        <f ca="1">IF(D1359="","",IF(T1359="","",VLOOKUP(D1359,契約台帳!$A$3:$Q$4986,17,FALSE)))</f>
        <v>2</v>
      </c>
      <c r="Z1359" s="256" t="str">
        <f ca="1">IF(D1359="","",IF(T1359="","",VLOOKUP(D1359,契約台帳!$A$3:$E$4986,5,FALSE)))</f>
        <v>リンテック㈱</v>
      </c>
      <c r="AA1359" s="54"/>
      <c r="AB1359" s="200">
        <f>IFERROR((VLOOKUP(F1359&amp;K1359&amp;M1359,製品マスタ!$M$5:$AM$4999,27,FALSE)),"")</f>
        <v>0</v>
      </c>
      <c r="AC1359" s="31"/>
      <c r="AD1359" s="184"/>
      <c r="AE1359" s="51"/>
      <c r="AF1359" s="52">
        <f>+M1359*N1359*O1359/1000</f>
        <v>12915</v>
      </c>
      <c r="AG1359" s="41"/>
      <c r="AH1359" s="45"/>
      <c r="AI1359" s="28"/>
      <c r="AJ1359" s="28"/>
      <c r="AK1359" s="28"/>
      <c r="AL1359" s="28"/>
      <c r="AM1359" s="12"/>
      <c r="AN1359" s="12"/>
      <c r="AO1359" s="12"/>
      <c r="AP1359" s="12"/>
      <c r="AQ1359" s="12"/>
      <c r="AR1359" s="13"/>
      <c r="AS1359" s="14"/>
    </row>
    <row r="1360" spans="1:45" s="16" customFormat="1" ht="30.95" hidden="1" customHeight="1" x14ac:dyDescent="0.2">
      <c r="A1360" s="35"/>
      <c r="B1360" s="36"/>
      <c r="C1360" s="43"/>
      <c r="D1360" s="29"/>
      <c r="E1360" s="29"/>
      <c r="F1360" s="255"/>
      <c r="G1360" s="256"/>
      <c r="H1360" s="256"/>
      <c r="I1360" s="200"/>
      <c r="J1360" s="203"/>
      <c r="K1360" s="200"/>
      <c r="L1360" s="200"/>
      <c r="M1360" s="37"/>
      <c r="N1360" s="37"/>
      <c r="O1360" s="153"/>
      <c r="P1360" s="45"/>
      <c r="Q1360" s="54"/>
      <c r="R1360" s="260"/>
      <c r="S1360" s="258"/>
      <c r="T1360" s="258"/>
      <c r="U1360" s="38"/>
      <c r="V1360" s="261"/>
      <c r="W1360" s="256"/>
      <c r="X1360" s="256"/>
      <c r="Y1360" s="256"/>
      <c r="Z1360" s="256"/>
      <c r="AA1360" s="54"/>
      <c r="AB1360" s="200"/>
      <c r="AC1360" s="31"/>
      <c r="AD1360" s="184"/>
      <c r="AE1360" s="51"/>
      <c r="AF1360" s="52"/>
      <c r="AG1360" s="41"/>
      <c r="AH1360" s="45"/>
      <c r="AI1360" s="28"/>
      <c r="AJ1360" s="28"/>
      <c r="AK1360" s="28"/>
      <c r="AL1360" s="28"/>
      <c r="AM1360" s="12"/>
      <c r="AN1360" s="12"/>
      <c r="AO1360" s="12"/>
      <c r="AP1360" s="12"/>
      <c r="AQ1360" s="12"/>
      <c r="AR1360" s="13"/>
      <c r="AS1360" s="14"/>
    </row>
    <row r="1361" spans="1:45" s="16" customFormat="1" ht="30.95" hidden="1" customHeight="1" x14ac:dyDescent="0.2">
      <c r="A1361" s="35"/>
      <c r="B1361" s="36"/>
      <c r="C1361" s="43"/>
      <c r="D1361" s="29">
        <v>3735109</v>
      </c>
      <c r="E1361" s="29">
        <v>4162154</v>
      </c>
      <c r="F1361" s="255" t="str">
        <f>IF(D1361="","",VLOOKUP(D1361,契約台帳!$A$3:$K$4986,6,FALSE)&amp;VLOOKUP(D1361,契約台帳!$A$3:$K$4986,7,FALSE)&amp;VLOOKUP(D1361,契約台帳!$A$3:$K$4986,8,FALSE)&amp;VLOOKUP(D1361,契約台帳!$A$3:$K$4986,9,FALSE)&amp;VLOOKUP(D1361,契約台帳!$A$3:$K$4986,11,FALSE))</f>
        <v>3SNMLBMNGKBF</v>
      </c>
      <c r="G1361" s="256" t="str">
        <f>IF(D1361="","",VLOOKUP(F1361,製品マスタ!$G$5:$H$4999,2,FALSE))</f>
        <v>S</v>
      </c>
      <c r="H1361" s="256" t="str">
        <f>IF(D1361="","",VLOOKUP(F1361,製品マスタ!$G$5:$K$4999,5,FALSE))</f>
        <v>MNGKBF</v>
      </c>
      <c r="I1361" s="200" t="str">
        <f>IF(D1361="","",VLOOKUP(F1361,製品マスタ!$G$5:$L$4999,6,FALSE))</f>
        <v>メタルミー　ネーマー銀消　Ｂ</v>
      </c>
      <c r="J1361" s="203" t="s">
        <v>935</v>
      </c>
      <c r="K1361" s="200">
        <f>IF(D1361="","",VLOOKUP(D1361,契約台帳!$A$3:$L$4986,12,FALSE))</f>
        <v>38</v>
      </c>
      <c r="L1361" s="200" t="str">
        <f>IF(D1361="","",INDEX(製品マスタ!$Q$5:$Q$4999,MATCH('S4'!F1361&amp;'S4'!K1361,製品マスタ!$AO$5:$AO$4999,0)))</f>
        <v>LUMIMAT</v>
      </c>
      <c r="M1361" s="37">
        <v>1005</v>
      </c>
      <c r="N1361" s="37">
        <v>4100</v>
      </c>
      <c r="O1361" s="153">
        <v>2</v>
      </c>
      <c r="P1361" s="45">
        <v>2</v>
      </c>
      <c r="Q1361" s="206">
        <v>45261</v>
      </c>
      <c r="R1361" s="257">
        <f ca="1">IF(D1361="","",IF(OFFSET(D1361,-1,0)&lt;&gt;"","",IF(OR(J1361="リード付け",J1361="巻足し",J1361="巻返しリード付け"),M1361,VLOOKUP(D1361,契約台帳!$A$3:$N$4986,14,FALSE))))</f>
        <v>1005</v>
      </c>
      <c r="S1361" s="258">
        <f ca="1">IF(D1361="","",IF(OFFSET(D1361,-1,0)&lt;&gt;"","",IF(OR(J1361="リード付け",J1361="巻足し",J1361="巻返しリード付け"),M1361,VLOOKUP(D1361,契約台帳!$A$3:$O$4986,15,FALSE))))</f>
        <v>1005</v>
      </c>
      <c r="T1361" s="258">
        <f ca="1">IF(D1361="","",IF(J1361="リード付け",N1361,IF(J1361="巻返しリード付け",N1361,IF(J1361="巻足し",N1361*P1361+OFFSET(N1361,1,0)*OFFSET(P1361,1,0),VLOOKUP(D1361,契約台帳!$A$3:$P$4986,16,FALSE)))))</f>
        <v>8200</v>
      </c>
      <c r="U1361" s="38">
        <v>1</v>
      </c>
      <c r="V1361" s="259">
        <f ca="1">IF(D1361="","",IF(OFFSET(D1361,-2,0)=D1361,"",VLOOKUP(D1361,契約台帳!$A$3:$R$4986,18,FALSE)))</f>
        <v>2</v>
      </c>
      <c r="W1361" s="256" t="str">
        <f ca="1">IF(D1361="","",IF(T1361="","",IF(OR(J1361="巻足し",J1361="巻返しリード付け"),"",IF(J1361="巻返し",VLOOKUP(F1361&amp;K1361&amp;M1361,製品マスタ!$M$5:$AD$4999,18,FALSE),IF(OR(J1361="リード付け",J1361="巻返しリード付け"),"原反コア",IF(J1361="スリット",VLOOKUP(F1361&amp;K1361&amp;R1361,製品マスタ!$N$5:$AD$4999,17,FALSE),""))))))</f>
        <v/>
      </c>
      <c r="X1361" s="256" t="str">
        <f ca="1">IF(D1361="","",IF(T1361="","",IF(J1361="巻足し","",IF(J1361="巻返し",VLOOKUP(F1361&amp;K1361&amp;M1361,製品マスタ!$M$5:$AE$4999,19,FALSE),IF(OR(J1361="リード付け",J1361="巻返しリード付け"),"",IF(J1361="スリット",VLOOKUP(F1361&amp;K1361&amp;R1361,製品マスタ!$N$5:$AE$4999,18,FALSE),""))))))</f>
        <v/>
      </c>
      <c r="Y1361" s="256">
        <f ca="1">IF(D1361="","",IF(T1361="","",VLOOKUP(D1361,契約台帳!$A$3:$Q$4986,17,FALSE)))</f>
        <v>2</v>
      </c>
      <c r="Z1361" s="256" t="str">
        <f ca="1">IF(D1361="","",IF(T1361="","",VLOOKUP(D1361,契約台帳!$A$3:$E$4986,5,FALSE)))</f>
        <v>リンテック㈱</v>
      </c>
      <c r="AA1361" s="54"/>
      <c r="AB1361" s="200">
        <f>IFERROR((VLOOKUP(F1361&amp;K1361&amp;M1361,製品マスタ!$M$5:$AM$4999,27,FALSE)),"")</f>
        <v>0</v>
      </c>
      <c r="AC1361" s="31"/>
      <c r="AD1361" s="184"/>
      <c r="AE1361" s="51"/>
      <c r="AF1361" s="52">
        <f>+M1361*N1361*O1361/1000</f>
        <v>8241</v>
      </c>
      <c r="AG1361" s="41"/>
      <c r="AH1361" s="45"/>
      <c r="AI1361" s="28"/>
      <c r="AJ1361" s="28"/>
      <c r="AK1361" s="28"/>
      <c r="AL1361" s="28"/>
      <c r="AM1361" s="12"/>
      <c r="AN1361" s="12"/>
      <c r="AO1361" s="12"/>
      <c r="AP1361" s="12"/>
      <c r="AQ1361" s="12"/>
      <c r="AR1361" s="13"/>
      <c r="AS1361" s="14"/>
    </row>
    <row r="1362" spans="1:45" s="16" customFormat="1" ht="30.95" hidden="1" customHeight="1" x14ac:dyDescent="0.2">
      <c r="A1362" s="35"/>
      <c r="B1362" s="36"/>
      <c r="C1362" s="43"/>
      <c r="D1362" s="29"/>
      <c r="E1362" s="29"/>
      <c r="F1362" s="255"/>
      <c r="G1362" s="256"/>
      <c r="H1362" s="256"/>
      <c r="I1362" s="200"/>
      <c r="J1362" s="203"/>
      <c r="K1362" s="200"/>
      <c r="L1362" s="200"/>
      <c r="M1362" s="37"/>
      <c r="N1362" s="37"/>
      <c r="O1362" s="153"/>
      <c r="P1362" s="45"/>
      <c r="Q1362" s="54"/>
      <c r="R1362" s="260"/>
      <c r="S1362" s="258"/>
      <c r="T1362" s="258"/>
      <c r="U1362" s="38"/>
      <c r="V1362" s="261"/>
      <c r="W1362" s="256"/>
      <c r="X1362" s="256"/>
      <c r="Y1362" s="256"/>
      <c r="Z1362" s="256"/>
      <c r="AA1362" s="54"/>
      <c r="AB1362" s="200"/>
      <c r="AC1362" s="31"/>
      <c r="AD1362" s="184"/>
      <c r="AE1362" s="51"/>
      <c r="AF1362" s="52"/>
      <c r="AG1362" s="41"/>
      <c r="AH1362" s="45"/>
      <c r="AI1362" s="28"/>
      <c r="AJ1362" s="28"/>
      <c r="AK1362" s="28"/>
      <c r="AL1362" s="28"/>
      <c r="AM1362" s="12"/>
      <c r="AN1362" s="12"/>
      <c r="AO1362" s="12"/>
      <c r="AP1362" s="12"/>
      <c r="AQ1362" s="12"/>
      <c r="AR1362" s="13"/>
      <c r="AS1362" s="14"/>
    </row>
    <row r="1363" spans="1:45" s="16" customFormat="1" ht="30.95" hidden="1" customHeight="1" x14ac:dyDescent="0.2">
      <c r="A1363" s="35"/>
      <c r="B1363" s="36"/>
      <c r="C1363" s="43"/>
      <c r="D1363" s="29">
        <v>3735120</v>
      </c>
      <c r="E1363" s="29">
        <v>4162178</v>
      </c>
      <c r="F1363" s="255" t="str">
        <f>IF(D1363="","",VLOOKUP(D1363,契約台帳!$A$3:$K$4986,6,FALSE)&amp;VLOOKUP(D1363,契約台帳!$A$3:$K$4986,7,FALSE)&amp;VLOOKUP(D1363,契約台帳!$A$3:$K$4986,8,FALSE)&amp;VLOOKUP(D1363,契約台帳!$A$3:$K$4986,9,FALSE)&amp;VLOOKUP(D1363,契約台帳!$A$3:$K$4986,11,FALSE))</f>
        <v>3SNMLBMNNGKBF</v>
      </c>
      <c r="G1363" s="256" t="str">
        <f>IF(D1363="","",VLOOKUP(F1363,製品マスタ!$G$5:$H$4999,2,FALSE))</f>
        <v>S</v>
      </c>
      <c r="H1363" s="256" t="str">
        <f>IF(D1363="","",VLOOKUP(F1363,製品マスタ!$G$5:$K$4999,5,FALSE))</f>
        <v>MNNGKBF</v>
      </c>
      <c r="I1363" s="200" t="str">
        <f>IF(D1363="","",VLOOKUP(F1363,製品マスタ!$G$5:$L$4999,6,FALSE))</f>
        <v>メタルミー　ニューネーマー銀消　Ｂ</v>
      </c>
      <c r="J1363" s="203" t="s">
        <v>935</v>
      </c>
      <c r="K1363" s="200">
        <f>IF(D1363="","",VLOOKUP(D1363,契約台帳!$A$3:$L$4986,12,FALSE))</f>
        <v>25</v>
      </c>
      <c r="L1363" s="200" t="str">
        <f>IF(D1363="","",INDEX(製品マスタ!$Q$5:$Q$4999,MATCH('S4'!F1363&amp;'S4'!K1363,製品マスタ!$AO$5:$AO$4999,0)))</f>
        <v>X44C</v>
      </c>
      <c r="M1363" s="37">
        <v>1005</v>
      </c>
      <c r="N1363" s="37">
        <v>8000</v>
      </c>
      <c r="O1363" s="153">
        <v>2</v>
      </c>
      <c r="P1363" s="45">
        <v>2</v>
      </c>
      <c r="Q1363" s="206">
        <v>45261</v>
      </c>
      <c r="R1363" s="257">
        <f ca="1">IF(D1363="","",IF(OFFSET(D1363,-1,0)&lt;&gt;"","",IF(OR(J1363="リード付け",J1363="巻足し",J1363="巻返しリード付け"),M1363,VLOOKUP(D1363,契約台帳!$A$3:$N$4986,14,FALSE))))</f>
        <v>1005</v>
      </c>
      <c r="S1363" s="258">
        <f ca="1">IF(D1363="","",IF(OFFSET(D1363,-1,0)&lt;&gt;"","",IF(OR(J1363="リード付け",J1363="巻足し",J1363="巻返しリード付け"),M1363,VLOOKUP(D1363,契約台帳!$A$3:$O$4986,15,FALSE))))</f>
        <v>1005</v>
      </c>
      <c r="T1363" s="258">
        <f ca="1">IF(D1363="","",IF(J1363="リード付け",N1363,IF(J1363="巻返しリード付け",N1363,IF(J1363="巻足し",N1363*P1363+OFFSET(N1363,1,0)*OFFSET(P1363,1,0),VLOOKUP(D1363,契約台帳!$A$3:$P$4986,16,FALSE)))))</f>
        <v>16000</v>
      </c>
      <c r="U1363" s="38">
        <v>1</v>
      </c>
      <c r="V1363" s="259">
        <f ca="1">IF(D1363="","",IF(OFFSET(D1363,-2,0)=D1363,"",VLOOKUP(D1363,契約台帳!$A$3:$R$4986,18,FALSE)))</f>
        <v>4</v>
      </c>
      <c r="W1363" s="256" t="str">
        <f ca="1">IF(D1363="","",IF(T1363="","",IF(OR(J1363="巻足し",J1363="巻返しリード付け"),"",IF(J1363="巻返し",VLOOKUP(F1363&amp;K1363&amp;M1363,製品マスタ!$M$5:$AD$4999,18,FALSE),IF(OR(J1363="リード付け",J1363="巻返しリード付け"),"原反コア",IF(J1363="スリット",VLOOKUP(F1363&amp;K1363&amp;R1363,製品マスタ!$N$5:$AD$4999,17,FALSE),""))))))</f>
        <v/>
      </c>
      <c r="X1363" s="256" t="str">
        <f ca="1">IF(D1363="","",IF(T1363="","",IF(J1363="巻足し","",IF(J1363="巻返し",VLOOKUP(F1363&amp;K1363&amp;M1363,製品マスタ!$M$5:$AE$4999,19,FALSE),IF(OR(J1363="リード付け",J1363="巻返しリード付け"),"",IF(J1363="スリット",VLOOKUP(F1363&amp;K1363&amp;R1363,製品マスタ!$N$5:$AE$4999,18,FALSE),""))))))</f>
        <v/>
      </c>
      <c r="Y1363" s="256">
        <f ca="1">IF(D1363="","",IF(T1363="","",VLOOKUP(D1363,契約台帳!$A$3:$Q$4986,17,FALSE)))</f>
        <v>2</v>
      </c>
      <c r="Z1363" s="256" t="str">
        <f ca="1">IF(D1363="","",IF(T1363="","",VLOOKUP(D1363,契約台帳!$A$3:$E$4986,5,FALSE)))</f>
        <v>リンテック㈱</v>
      </c>
      <c r="AA1363" s="54"/>
      <c r="AB1363" s="200">
        <f>IFERROR((VLOOKUP(F1363&amp;K1363&amp;M1363,製品マスタ!$M$5:$AM$4999,27,FALSE)),"")</f>
        <v>0</v>
      </c>
      <c r="AC1363" s="31"/>
      <c r="AD1363" s="184"/>
      <c r="AE1363" s="51"/>
      <c r="AF1363" s="52">
        <f>+M1363*N1363*O1363/1000</f>
        <v>16080</v>
      </c>
      <c r="AG1363" s="41"/>
      <c r="AH1363" s="45"/>
      <c r="AI1363" s="28"/>
      <c r="AJ1363" s="28"/>
      <c r="AK1363" s="28"/>
      <c r="AL1363" s="28"/>
      <c r="AM1363" s="12"/>
      <c r="AN1363" s="12"/>
      <c r="AO1363" s="12"/>
      <c r="AP1363" s="12"/>
      <c r="AQ1363" s="12"/>
      <c r="AR1363" s="13"/>
      <c r="AS1363" s="14"/>
    </row>
    <row r="1364" spans="1:45" s="16" customFormat="1" ht="30.95" hidden="1" customHeight="1" x14ac:dyDescent="0.2">
      <c r="A1364" s="35"/>
      <c r="B1364" s="36"/>
      <c r="C1364" s="43"/>
      <c r="D1364" s="29"/>
      <c r="E1364" s="29"/>
      <c r="F1364" s="255"/>
      <c r="G1364" s="256"/>
      <c r="H1364" s="256"/>
      <c r="I1364" s="200"/>
      <c r="J1364" s="203"/>
      <c r="K1364" s="200"/>
      <c r="L1364" s="200"/>
      <c r="M1364" s="37"/>
      <c r="N1364" s="37"/>
      <c r="O1364" s="153"/>
      <c r="P1364" s="45"/>
      <c r="Q1364" s="54"/>
      <c r="R1364" s="260"/>
      <c r="S1364" s="258"/>
      <c r="T1364" s="258"/>
      <c r="U1364" s="38"/>
      <c r="V1364" s="261"/>
      <c r="W1364" s="256"/>
      <c r="X1364" s="256"/>
      <c r="Y1364" s="256"/>
      <c r="Z1364" s="256"/>
      <c r="AA1364" s="54"/>
      <c r="AB1364" s="200"/>
      <c r="AC1364" s="31"/>
      <c r="AD1364" s="184"/>
      <c r="AE1364" s="51"/>
      <c r="AF1364" s="52"/>
      <c r="AG1364" s="41"/>
      <c r="AH1364" s="45"/>
      <c r="AI1364" s="28"/>
      <c r="AJ1364" s="28"/>
      <c r="AK1364" s="28"/>
      <c r="AL1364" s="28"/>
      <c r="AM1364" s="12"/>
      <c r="AN1364" s="12"/>
      <c r="AO1364" s="12"/>
      <c r="AP1364" s="12"/>
      <c r="AQ1364" s="12"/>
      <c r="AR1364" s="13"/>
      <c r="AS1364" s="14"/>
    </row>
    <row r="1365" spans="1:45" s="16" customFormat="1" ht="30.95" hidden="1" customHeight="1" x14ac:dyDescent="0.2">
      <c r="A1365" s="35" t="s">
        <v>671</v>
      </c>
      <c r="B1365" s="36" t="s">
        <v>445</v>
      </c>
      <c r="C1365" s="43"/>
      <c r="D1365" s="29"/>
      <c r="E1365" s="29"/>
      <c r="F1365" s="255"/>
      <c r="G1365" s="256"/>
      <c r="H1365" s="256"/>
      <c r="I1365" s="200"/>
      <c r="J1365" s="203" t="s">
        <v>448</v>
      </c>
      <c r="K1365" s="200"/>
      <c r="L1365" s="200"/>
      <c r="M1365" s="37"/>
      <c r="N1365" s="37"/>
      <c r="O1365" s="153"/>
      <c r="P1365" s="45"/>
      <c r="Q1365" s="54"/>
      <c r="R1365" s="260"/>
      <c r="S1365" s="258"/>
      <c r="T1365" s="258"/>
      <c r="U1365" s="38"/>
      <c r="V1365" s="261"/>
      <c r="W1365" s="256"/>
      <c r="X1365" s="256"/>
      <c r="Y1365" s="256"/>
      <c r="Z1365" s="256"/>
      <c r="AA1365" s="54"/>
      <c r="AB1365" s="200"/>
      <c r="AC1365" s="31"/>
      <c r="AD1365" s="184"/>
      <c r="AE1365" s="51"/>
      <c r="AF1365" s="52"/>
      <c r="AG1365" s="41"/>
      <c r="AH1365" s="45"/>
      <c r="AI1365" s="28"/>
      <c r="AJ1365" s="28"/>
      <c r="AK1365" s="28"/>
      <c r="AL1365" s="28"/>
      <c r="AM1365" s="12"/>
      <c r="AN1365" s="12"/>
      <c r="AO1365" s="12"/>
      <c r="AP1365" s="12"/>
      <c r="AQ1365" s="12"/>
      <c r="AR1365" s="13"/>
      <c r="AS1365" s="14"/>
    </row>
    <row r="1366" spans="1:45" s="16" customFormat="1" ht="30.95" hidden="1" customHeight="1" x14ac:dyDescent="0.2">
      <c r="A1366" s="35"/>
      <c r="B1366" s="36"/>
      <c r="C1366" s="43"/>
      <c r="D1366" s="29"/>
      <c r="E1366" s="29"/>
      <c r="F1366" s="255"/>
      <c r="G1366" s="256"/>
      <c r="H1366" s="256"/>
      <c r="I1366" s="200"/>
      <c r="J1366" s="203"/>
      <c r="K1366" s="200"/>
      <c r="L1366" s="200"/>
      <c r="M1366" s="37"/>
      <c r="N1366" s="37"/>
      <c r="O1366" s="153"/>
      <c r="P1366" s="45"/>
      <c r="Q1366" s="54"/>
      <c r="R1366" s="260"/>
      <c r="S1366" s="258"/>
      <c r="T1366" s="258"/>
      <c r="U1366" s="38"/>
      <c r="V1366" s="261"/>
      <c r="W1366" s="256"/>
      <c r="X1366" s="256"/>
      <c r="Y1366" s="256"/>
      <c r="Z1366" s="256"/>
      <c r="AA1366" s="54"/>
      <c r="AB1366" s="200"/>
      <c r="AC1366" s="31"/>
      <c r="AD1366" s="184"/>
      <c r="AE1366" s="51"/>
      <c r="AF1366" s="52"/>
      <c r="AG1366" s="41"/>
      <c r="AH1366" s="45"/>
      <c r="AI1366" s="28"/>
      <c r="AJ1366" s="28"/>
      <c r="AK1366" s="28"/>
      <c r="AL1366" s="28"/>
      <c r="AM1366" s="12"/>
      <c r="AN1366" s="12"/>
      <c r="AO1366" s="12"/>
      <c r="AP1366" s="12"/>
      <c r="AQ1366" s="12"/>
      <c r="AR1366" s="13"/>
      <c r="AS1366" s="14"/>
    </row>
    <row r="1367" spans="1:45" s="16" customFormat="1" ht="30.95" hidden="1" customHeight="1" x14ac:dyDescent="0.2">
      <c r="A1367" s="35" t="s">
        <v>672</v>
      </c>
      <c r="B1367" s="302" t="s">
        <v>446</v>
      </c>
      <c r="C1367" s="43"/>
      <c r="D1367" s="29"/>
      <c r="E1367" s="29"/>
      <c r="F1367" s="255"/>
      <c r="G1367" s="256"/>
      <c r="H1367" s="256"/>
      <c r="I1367" s="200"/>
      <c r="J1367" s="203" t="s">
        <v>448</v>
      </c>
      <c r="K1367" s="200"/>
      <c r="L1367" s="200"/>
      <c r="M1367" s="37"/>
      <c r="N1367" s="37"/>
      <c r="O1367" s="153"/>
      <c r="P1367" s="45"/>
      <c r="Q1367" s="54"/>
      <c r="R1367" s="260"/>
      <c r="S1367" s="258"/>
      <c r="T1367" s="258"/>
      <c r="U1367" s="38"/>
      <c r="V1367" s="261"/>
      <c r="W1367" s="256"/>
      <c r="X1367" s="256"/>
      <c r="Y1367" s="256"/>
      <c r="Z1367" s="256"/>
      <c r="AA1367" s="54"/>
      <c r="AB1367" s="200"/>
      <c r="AC1367" s="31"/>
      <c r="AD1367" s="184"/>
      <c r="AE1367" s="51"/>
      <c r="AF1367" s="52"/>
      <c r="AG1367" s="41"/>
      <c r="AH1367" s="45"/>
      <c r="AI1367" s="28"/>
      <c r="AJ1367" s="28"/>
      <c r="AK1367" s="28"/>
      <c r="AL1367" s="28"/>
      <c r="AM1367" s="12"/>
      <c r="AN1367" s="12"/>
      <c r="AO1367" s="12"/>
      <c r="AP1367" s="12"/>
      <c r="AQ1367" s="12"/>
      <c r="AR1367" s="13"/>
      <c r="AS1367" s="14"/>
    </row>
    <row r="1368" spans="1:45" s="16" customFormat="1" ht="30.95" hidden="1" customHeight="1" x14ac:dyDescent="0.2">
      <c r="A1368" s="35"/>
      <c r="B1368" s="36"/>
      <c r="C1368" s="43"/>
      <c r="D1368" s="29"/>
      <c r="E1368" s="29"/>
      <c r="F1368" s="255"/>
      <c r="G1368" s="256"/>
      <c r="H1368" s="256"/>
      <c r="I1368" s="200"/>
      <c r="J1368" s="203"/>
      <c r="K1368" s="200"/>
      <c r="L1368" s="200"/>
      <c r="M1368" s="37"/>
      <c r="N1368" s="37"/>
      <c r="O1368" s="153"/>
      <c r="P1368" s="45"/>
      <c r="Q1368" s="54"/>
      <c r="R1368" s="260"/>
      <c r="S1368" s="258"/>
      <c r="T1368" s="258"/>
      <c r="U1368" s="38"/>
      <c r="V1368" s="261"/>
      <c r="W1368" s="256"/>
      <c r="X1368" s="256"/>
      <c r="Y1368" s="256"/>
      <c r="Z1368" s="256"/>
      <c r="AA1368" s="54"/>
      <c r="AB1368" s="200"/>
      <c r="AC1368" s="31"/>
      <c r="AD1368" s="184"/>
      <c r="AE1368" s="51"/>
      <c r="AF1368" s="52"/>
      <c r="AG1368" s="41"/>
      <c r="AH1368" s="45"/>
      <c r="AI1368" s="28"/>
      <c r="AJ1368" s="28"/>
      <c r="AK1368" s="28"/>
      <c r="AL1368" s="28"/>
      <c r="AM1368" s="12"/>
      <c r="AN1368" s="12"/>
      <c r="AO1368" s="12"/>
      <c r="AP1368" s="12"/>
      <c r="AQ1368" s="12"/>
      <c r="AR1368" s="13"/>
      <c r="AS1368" s="14"/>
    </row>
    <row r="1369" spans="1:45" s="16" customFormat="1" ht="30.95" hidden="1" customHeight="1" x14ac:dyDescent="0.2">
      <c r="A1369" s="35" t="s">
        <v>673</v>
      </c>
      <c r="B1369" s="36" t="s">
        <v>462</v>
      </c>
      <c r="C1369" s="43"/>
      <c r="D1369" s="29">
        <v>3735121</v>
      </c>
      <c r="E1369" s="29">
        <v>4162166</v>
      </c>
      <c r="F1369" s="255" t="str">
        <f>IF(D1369="","",VLOOKUP(D1369,契約台帳!$A$3:$K$4986,6,FALSE)&amp;VLOOKUP(D1369,契約台帳!$A$3:$K$4986,7,FALSE)&amp;VLOOKUP(D1369,契約台帳!$A$3:$K$4986,8,FALSE)&amp;VLOOKUP(D1369,契約台帳!$A$3:$K$4986,9,FALSE)&amp;VLOOKUP(D1369,契約台帳!$A$3:$K$4986,11,FALSE))</f>
        <v>3SNMLBMNNGKBF</v>
      </c>
      <c r="G1369" s="256" t="str">
        <f>IF(D1369="","",VLOOKUP(F1369,製品マスタ!$G$5:$H$4999,2,FALSE))</f>
        <v>S</v>
      </c>
      <c r="H1369" s="256" t="str">
        <f>IF(D1369="","",VLOOKUP(F1369,製品マスタ!$G$5:$K$4999,5,FALSE))</f>
        <v>MNNGKBF</v>
      </c>
      <c r="I1369" s="200" t="str">
        <f>IF(D1369="","",VLOOKUP(F1369,製品マスタ!$G$5:$L$4999,6,FALSE))</f>
        <v>メタルミー　ニューネーマー銀消　Ｂ</v>
      </c>
      <c r="J1369" s="203" t="s">
        <v>935</v>
      </c>
      <c r="K1369" s="200">
        <f>IF(D1369="","",VLOOKUP(D1369,契約台帳!$A$3:$L$4986,12,FALSE))</f>
        <v>50</v>
      </c>
      <c r="L1369" s="200" t="str">
        <f>IF(D1369="","",INDEX(製品マスタ!$Q$5:$Q$4999,MATCH('S4'!F1369&amp;'S4'!K1369,製品マスタ!$AO$5:$AO$4999,0)))</f>
        <v>X44</v>
      </c>
      <c r="M1369" s="37">
        <v>1000</v>
      </c>
      <c r="N1369" s="37">
        <v>4000</v>
      </c>
      <c r="O1369" s="153">
        <v>6</v>
      </c>
      <c r="P1369" s="45">
        <v>3</v>
      </c>
      <c r="Q1369" s="206">
        <v>45261</v>
      </c>
      <c r="R1369" s="257">
        <f ca="1">IF(D1369="","",IF(OFFSET(D1369,-1,0)&lt;&gt;"","",IF(OR(J1369="リード付け",J1369="巻足し",J1369="巻返しリード付け"),M1369,VLOOKUP(D1369,契約台帳!$A$3:$N$4986,14,FALSE))))</f>
        <v>1000</v>
      </c>
      <c r="S1369" s="258">
        <f ca="1">IF(D1369="","",IF(OFFSET(D1369,-1,0)&lt;&gt;"","",IF(OR(J1369="リード付け",J1369="巻足し",J1369="巻返しリード付け"),M1369,VLOOKUP(D1369,契約台帳!$A$3:$O$4986,15,FALSE))))</f>
        <v>1000</v>
      </c>
      <c r="T1369" s="258">
        <f ca="1">IF(D1369="","",IF(J1369="リード付け",N1369,IF(J1369="巻返しリード付け",N1369,IF(J1369="巻足し",N1369*P1369+OFFSET(N1369,1,0)*OFFSET(P1369,1,0),VLOOKUP(D1369,契約台帳!$A$3:$P$4986,16,FALSE)))))</f>
        <v>12000</v>
      </c>
      <c r="U1369" s="38">
        <v>2</v>
      </c>
      <c r="V1369" s="259">
        <f ca="1">IF(D1369="","",IF(OFFSET(D1369,-2,0)=D1369,"",VLOOKUP(D1369,契約台帳!$A$3:$R$4986,18,FALSE)))</f>
        <v>10</v>
      </c>
      <c r="W1369" s="256" t="str">
        <f ca="1">IF(D1369="","",IF(T1369="","",IF(OR(J1369="巻足し",J1369="巻返しリード付け"),"",IF(J1369="巻返し",VLOOKUP(F1369&amp;K1369&amp;M1369,製品マスタ!$M$5:$AD$4999,18,FALSE),IF(OR(J1369="リード付け",J1369="巻返しリード付け"),"原反コア",IF(J1369="スリット",VLOOKUP(F1369&amp;K1369&amp;R1369,製品マスタ!$N$5:$AD$4999,17,FALSE),""))))))</f>
        <v/>
      </c>
      <c r="X1369" s="256" t="str">
        <f ca="1">IF(D1369="","",IF(T1369="","",IF(J1369="巻足し","",IF(J1369="巻返し",VLOOKUP(F1369&amp;K1369&amp;M1369,製品マスタ!$M$5:$AE$4999,19,FALSE),IF(OR(J1369="リード付け",J1369="巻返しリード付け"),"",IF(J1369="スリット",VLOOKUP(F1369&amp;K1369&amp;R1369,製品マスタ!$N$5:$AE$4999,18,FALSE),""))))))</f>
        <v/>
      </c>
      <c r="Y1369" s="256">
        <f ca="1">IF(D1369="","",IF(T1369="","",VLOOKUP(D1369,契約台帳!$A$3:$Q$4986,17,FALSE)))</f>
        <v>2</v>
      </c>
      <c r="Z1369" s="256" t="str">
        <f ca="1">IF(D1369="","",IF(T1369="","",VLOOKUP(D1369,契約台帳!$A$3:$E$4986,5,FALSE)))</f>
        <v>リンテック㈱</v>
      </c>
      <c r="AA1369" s="54"/>
      <c r="AB1369" s="200" t="str">
        <f>IFERROR((VLOOKUP(F1369&amp;K1369&amp;M1369,製品マスタ!$M$5:$AM$4999,27,FALSE)),"")</f>
        <v>原反ケース再利用</v>
      </c>
      <c r="AC1369" s="31"/>
      <c r="AD1369" s="184"/>
      <c r="AE1369" s="51"/>
      <c r="AF1369" s="52">
        <f>+M1369*N1369*O1369/1000</f>
        <v>24000</v>
      </c>
      <c r="AG1369" s="41"/>
      <c r="AH1369" s="45"/>
      <c r="AI1369" s="28"/>
      <c r="AJ1369" s="28"/>
      <c r="AK1369" s="28"/>
      <c r="AL1369" s="28"/>
      <c r="AM1369" s="12"/>
      <c r="AN1369" s="12"/>
      <c r="AO1369" s="12"/>
      <c r="AP1369" s="12"/>
      <c r="AQ1369" s="12"/>
      <c r="AR1369" s="13"/>
      <c r="AS1369" s="14"/>
    </row>
    <row r="1370" spans="1:45" s="16" customFormat="1" ht="30.95" hidden="1" customHeight="1" x14ac:dyDescent="0.2">
      <c r="A1370" s="35"/>
      <c r="B1370" s="36"/>
      <c r="C1370" s="43"/>
      <c r="D1370" s="29"/>
      <c r="E1370" s="29"/>
      <c r="F1370" s="255"/>
      <c r="G1370" s="256"/>
      <c r="H1370" s="256"/>
      <c r="I1370" s="200"/>
      <c r="J1370" s="203"/>
      <c r="K1370" s="200"/>
      <c r="L1370" s="200"/>
      <c r="M1370" s="37"/>
      <c r="N1370" s="37"/>
      <c r="O1370" s="153"/>
      <c r="P1370" s="45"/>
      <c r="Q1370" s="54"/>
      <c r="R1370" s="260"/>
      <c r="S1370" s="258"/>
      <c r="T1370" s="258"/>
      <c r="U1370" s="38"/>
      <c r="V1370" s="261"/>
      <c r="W1370" s="256"/>
      <c r="X1370" s="256"/>
      <c r="Y1370" s="256"/>
      <c r="Z1370" s="256"/>
      <c r="AA1370" s="54"/>
      <c r="AB1370" s="200"/>
      <c r="AC1370" s="31"/>
      <c r="AD1370" s="184"/>
      <c r="AE1370" s="51"/>
      <c r="AF1370" s="52"/>
      <c r="AG1370" s="41"/>
      <c r="AH1370" s="45"/>
      <c r="AI1370" s="28"/>
      <c r="AJ1370" s="28"/>
      <c r="AK1370" s="28"/>
      <c r="AL1370" s="28"/>
      <c r="AM1370" s="12"/>
      <c r="AN1370" s="12"/>
      <c r="AO1370" s="12"/>
      <c r="AP1370" s="12"/>
      <c r="AQ1370" s="12"/>
      <c r="AR1370" s="13"/>
      <c r="AS1370" s="14"/>
    </row>
    <row r="1371" spans="1:45" s="16" customFormat="1" ht="30.95" hidden="1" customHeight="1" x14ac:dyDescent="0.2">
      <c r="A1371" s="35"/>
      <c r="B1371" s="36"/>
      <c r="C1371" s="43"/>
      <c r="D1371" s="29">
        <v>3735121</v>
      </c>
      <c r="E1371" s="29">
        <v>4162166</v>
      </c>
      <c r="F1371" s="255" t="str">
        <f>IF(D1371="","",VLOOKUP(D1371,契約台帳!$A$3:$K$4986,6,FALSE)&amp;VLOOKUP(D1371,契約台帳!$A$3:$K$4986,7,FALSE)&amp;VLOOKUP(D1371,契約台帳!$A$3:$K$4986,8,FALSE)&amp;VLOOKUP(D1371,契約台帳!$A$3:$K$4986,9,FALSE)&amp;VLOOKUP(D1371,契約台帳!$A$3:$K$4986,11,FALSE))</f>
        <v>3SNMLBMNNGKBF</v>
      </c>
      <c r="G1371" s="256" t="str">
        <f>IF(D1371="","",VLOOKUP(F1371,製品マスタ!$G$5:$H$4999,2,FALSE))</f>
        <v>S</v>
      </c>
      <c r="H1371" s="256" t="str">
        <f>IF(D1371="","",VLOOKUP(F1371,製品マスタ!$G$5:$K$4999,5,FALSE))</f>
        <v>MNNGKBF</v>
      </c>
      <c r="I1371" s="200" t="str">
        <f>IF(D1371="","",VLOOKUP(F1371,製品マスタ!$G$5:$L$4999,6,FALSE))</f>
        <v>メタルミー　ニューネーマー銀消　Ｂ</v>
      </c>
      <c r="J1371" s="203" t="s">
        <v>935</v>
      </c>
      <c r="K1371" s="200">
        <f>IF(D1371="","",VLOOKUP(D1371,契約台帳!$A$3:$L$4986,12,FALSE))</f>
        <v>50</v>
      </c>
      <c r="L1371" s="200" t="str">
        <f>IF(D1371="","",INDEX(製品マスタ!$Q$5:$Q$4999,MATCH('S4'!F1371&amp;'S4'!K1371,製品マスタ!$AO$5:$AO$4999,0)))</f>
        <v>X44</v>
      </c>
      <c r="M1371" s="37">
        <v>1000</v>
      </c>
      <c r="N1371" s="37">
        <v>4000</v>
      </c>
      <c r="O1371" s="153">
        <v>4</v>
      </c>
      <c r="P1371" s="45">
        <v>2</v>
      </c>
      <c r="Q1371" s="206">
        <v>45261</v>
      </c>
      <c r="R1371" s="257">
        <f ca="1">IF(D1371="","",IF(OFFSET(D1371,-1,0)&lt;&gt;"","",IF(OR(J1371="リード付け",J1371="巻足し",J1371="巻返しリード付け"),M1371,VLOOKUP(D1371,契約台帳!$A$3:$N$4986,14,FALSE))))</f>
        <v>1000</v>
      </c>
      <c r="S1371" s="258">
        <f ca="1">IF(D1371="","",IF(OFFSET(D1371,-1,0)&lt;&gt;"","",IF(OR(J1371="リード付け",J1371="巻足し",J1371="巻返しリード付け"),M1371,VLOOKUP(D1371,契約台帳!$A$3:$O$4986,15,FALSE))))</f>
        <v>1000</v>
      </c>
      <c r="T1371" s="258">
        <f ca="1">IF(D1371="","",IF(J1371="リード付け",N1371,IF(J1371="巻返しリード付け",N1371,IF(J1371="巻足し",N1371*P1371+OFFSET(N1371,1,0)*OFFSET(P1371,1,0),VLOOKUP(D1371,契約台帳!$A$3:$P$4986,16,FALSE)))))</f>
        <v>8000</v>
      </c>
      <c r="U1371" s="38">
        <v>2</v>
      </c>
      <c r="V1371" s="259" t="str">
        <f ca="1">IF(D1371="","",IF(OFFSET(D1371,-2,0)=D1371,"",VLOOKUP(D1371,契約台帳!$A$3:$R$4986,18,FALSE)))</f>
        <v/>
      </c>
      <c r="W1371" s="256" t="str">
        <f ca="1">IF(D1371="","",IF(T1371="","",IF(OR(J1371="巻足し",J1371="巻返しリード付け"),"",IF(J1371="巻返し",VLOOKUP(F1371&amp;K1371&amp;M1371,製品マスタ!$M$5:$AD$4999,18,FALSE),IF(OR(J1371="リード付け",J1371="巻返しリード付け"),"原反コア",IF(J1371="スリット",VLOOKUP(F1371&amp;K1371&amp;R1371,製品マスタ!$N$5:$AD$4999,17,FALSE),""))))))</f>
        <v/>
      </c>
      <c r="X1371" s="256" t="str">
        <f ca="1">IF(D1371="","",IF(T1371="","",IF(J1371="巻足し","",IF(J1371="巻返し",VLOOKUP(F1371&amp;K1371&amp;M1371,製品マスタ!$M$5:$AE$4999,19,FALSE),IF(OR(J1371="リード付け",J1371="巻返しリード付け"),"",IF(J1371="スリット",VLOOKUP(F1371&amp;K1371&amp;R1371,製品マスタ!$N$5:$AE$4999,18,FALSE),""))))))</f>
        <v/>
      </c>
      <c r="Y1371" s="256">
        <f ca="1">IF(D1371="","",IF(T1371="","",VLOOKUP(D1371,契約台帳!$A$3:$Q$4986,17,FALSE)))</f>
        <v>2</v>
      </c>
      <c r="Z1371" s="256" t="str">
        <f ca="1">IF(D1371="","",IF(T1371="","",VLOOKUP(D1371,契約台帳!$A$3:$E$4986,5,FALSE)))</f>
        <v>リンテック㈱</v>
      </c>
      <c r="AA1371" s="54"/>
      <c r="AB1371" s="200" t="str">
        <f>IFERROR((VLOOKUP(F1371&amp;K1371&amp;M1371,製品マスタ!$M$5:$AM$4999,27,FALSE)),"")</f>
        <v>原反ケース再利用</v>
      </c>
      <c r="AC1371" s="31"/>
      <c r="AD1371" s="184"/>
      <c r="AE1371" s="51"/>
      <c r="AF1371" s="52">
        <f>+M1371*N1371*O1371/1000</f>
        <v>16000</v>
      </c>
      <c r="AG1371" s="41"/>
      <c r="AH1371" s="45"/>
      <c r="AI1371" s="28"/>
      <c r="AJ1371" s="28"/>
      <c r="AK1371" s="28"/>
      <c r="AL1371" s="28"/>
      <c r="AM1371" s="12"/>
      <c r="AN1371" s="12"/>
      <c r="AO1371" s="12"/>
      <c r="AP1371" s="12"/>
      <c r="AQ1371" s="12"/>
      <c r="AR1371" s="13"/>
      <c r="AS1371" s="14"/>
    </row>
    <row r="1372" spans="1:45" s="16" customFormat="1" ht="30.95" hidden="1" customHeight="1" x14ac:dyDescent="0.2">
      <c r="A1372" s="35"/>
      <c r="B1372" s="36"/>
      <c r="C1372" s="43"/>
      <c r="D1372" s="29"/>
      <c r="E1372" s="29"/>
      <c r="F1372" s="255"/>
      <c r="G1372" s="256"/>
      <c r="H1372" s="256"/>
      <c r="I1372" s="200"/>
      <c r="J1372" s="203"/>
      <c r="K1372" s="200"/>
      <c r="L1372" s="200"/>
      <c r="M1372" s="37"/>
      <c r="N1372" s="37"/>
      <c r="O1372" s="153"/>
      <c r="P1372" s="45"/>
      <c r="Q1372" s="54"/>
      <c r="R1372" s="260"/>
      <c r="S1372" s="258"/>
      <c r="T1372" s="258"/>
      <c r="U1372" s="38"/>
      <c r="V1372" s="261"/>
      <c r="W1372" s="256"/>
      <c r="X1372" s="256"/>
      <c r="Y1372" s="256"/>
      <c r="Z1372" s="256"/>
      <c r="AA1372" s="54"/>
      <c r="AB1372" s="200"/>
      <c r="AC1372" s="31"/>
      <c r="AD1372" s="184"/>
      <c r="AE1372" s="51"/>
      <c r="AF1372" s="52"/>
      <c r="AG1372" s="41"/>
      <c r="AH1372" s="45"/>
      <c r="AI1372" s="28"/>
      <c r="AJ1372" s="28"/>
      <c r="AK1372" s="28"/>
      <c r="AL1372" s="28"/>
      <c r="AM1372" s="12"/>
      <c r="AN1372" s="12"/>
      <c r="AO1372" s="12"/>
      <c r="AP1372" s="12"/>
      <c r="AQ1372" s="12"/>
      <c r="AR1372" s="13"/>
      <c r="AS1372" s="14"/>
    </row>
    <row r="1373" spans="1:45" s="16" customFormat="1" ht="30.6" hidden="1" customHeight="1" x14ac:dyDescent="0.2">
      <c r="A1373" s="35"/>
      <c r="B1373" s="36"/>
      <c r="C1373" s="43"/>
      <c r="D1373" s="29">
        <v>3735122</v>
      </c>
      <c r="E1373" s="29">
        <v>4162149</v>
      </c>
      <c r="F1373" s="255" t="str">
        <f>IF(D1373="","",VLOOKUP(D1373,契約台帳!$A$3:$K$4986,6,FALSE)&amp;VLOOKUP(D1373,契約台帳!$A$3:$K$4986,7,FALSE)&amp;VLOOKUP(D1373,契約台帳!$A$3:$K$4986,8,FALSE)&amp;VLOOKUP(D1373,契約台帳!$A$3:$K$4986,9,FALSE)&amp;VLOOKUP(D1373,契約台帳!$A$3:$K$4986,11,FALSE))</f>
        <v>33SSNMCLBTEKKFV</v>
      </c>
      <c r="G1373" s="256" t="str">
        <f>IF(D1373="","",VLOOKUP(F1373,製品マスタ!$G$5:$H$4999,2,FALSE))</f>
        <v>S</v>
      </c>
      <c r="H1373" s="256" t="str">
        <f>IF(D1373="","",VLOOKUP(F1373,製品マスタ!$G$5:$K$4999,5,FALSE))</f>
        <v>TEKKFV</v>
      </c>
      <c r="I1373" s="200" t="str">
        <f>IF(D1373="","",VLOOKUP(F1373,製品マスタ!$G$5:$L$4999,6,FALSE))</f>
        <v>メタルミー　ＴＥＳ消開封　Ｖ</v>
      </c>
      <c r="J1373" s="203" t="s">
        <v>935</v>
      </c>
      <c r="K1373" s="200">
        <f>IF(D1373="","",VLOOKUP(D1373,契約台帳!$A$3:$L$4986,12,FALSE))</f>
        <v>50</v>
      </c>
      <c r="L1373" s="200" t="str">
        <f>IF(D1373="","",INDEX(製品マスタ!$Q$5:$Q$4999,MATCH('S4'!F1373&amp;'S4'!K1373,製品マスタ!$AO$5:$AO$4999,0)))</f>
        <v>X44SEPA</v>
      </c>
      <c r="M1373" s="37">
        <v>1005</v>
      </c>
      <c r="N1373" s="37">
        <v>4000</v>
      </c>
      <c r="O1373" s="153">
        <v>4</v>
      </c>
      <c r="P1373" s="45">
        <v>2</v>
      </c>
      <c r="Q1373" s="206">
        <v>45264</v>
      </c>
      <c r="R1373" s="257">
        <f ca="1">IF(D1373="","",IF(OFFSET(D1373,-1,0)&lt;&gt;"","",IF(OR(J1373="リード付け",J1373="巻足し",J1373="巻返しリード付け"),M1373,VLOOKUP(D1373,契約台帳!$A$3:$N$4986,14,FALSE))))</f>
        <v>1005</v>
      </c>
      <c r="S1373" s="258">
        <f ca="1">IF(D1373="","",IF(OFFSET(D1373,-1,0)&lt;&gt;"","",IF(OR(J1373="リード付け",J1373="巻足し",J1373="巻返しリード付け"),M1373,VLOOKUP(D1373,契約台帳!$A$3:$O$4986,15,FALSE))))</f>
        <v>1005</v>
      </c>
      <c r="T1373" s="258">
        <f ca="1">IF(D1373="","",IF(J1373="リード付け",N1373,IF(J1373="巻返しリード付け",N1373,IF(J1373="巻足し",N1373*P1373+OFFSET(N1373,1,0)*OFFSET(P1373,1,0),VLOOKUP(D1373,契約台帳!$A$3:$P$4986,16,FALSE)))))</f>
        <v>8000</v>
      </c>
      <c r="U1373" s="38">
        <v>2</v>
      </c>
      <c r="V1373" s="259">
        <f ca="1">IF(D1373="","",IF(OFFSET(D1373,-2,0)=D1373,"",VLOOKUP(D1373,契約台帳!$A$3:$R$4986,18,FALSE)))</f>
        <v>4</v>
      </c>
      <c r="W1373" s="256" t="str">
        <f ca="1">IF(D1373="","",IF(T1373="","",IF(OR(J1373="巻足し",J1373="巻返しリード付け"),"",IF(J1373="巻返し",VLOOKUP(F1373&amp;K1373&amp;M1373,製品マスタ!$M$5:$AD$4999,18,FALSE),IF(OR(J1373="リード付け",J1373="巻返しリード付け"),"原反コア",IF(J1373="スリット",VLOOKUP(F1373&amp;K1373&amp;R1373,製品マスタ!$N$5:$AD$4999,17,FALSE),""))))))</f>
        <v/>
      </c>
      <c r="X1373" s="256" t="str">
        <f ca="1">IF(D1373="","",IF(T1373="","",IF(J1373="巻足し","",IF(J1373="巻返し",VLOOKUP(F1373&amp;K1373&amp;M1373,製品マスタ!$M$5:$AE$4999,19,FALSE),IF(OR(J1373="リード付け",J1373="巻返しリード付け"),"",IF(J1373="スリット",VLOOKUP(F1373&amp;K1373&amp;R1373,製品マスタ!$N$5:$AE$4999,18,FALSE),""))))))</f>
        <v/>
      </c>
      <c r="Y1373" s="256">
        <f ca="1">IF(D1373="","",IF(T1373="","",VLOOKUP(D1373,契約台帳!$A$3:$Q$4986,17,FALSE)))</f>
        <v>2</v>
      </c>
      <c r="Z1373" s="256" t="str">
        <f ca="1">IF(D1373="","",IF(T1373="","",VLOOKUP(D1373,契約台帳!$A$3:$E$4986,5,FALSE)))</f>
        <v>リンテック㈱</v>
      </c>
      <c r="AA1373" s="54"/>
      <c r="AB1373" s="200">
        <f>IFERROR((VLOOKUP(F1373&amp;K1373&amp;M1373,製品マスタ!$M$5:$AM$4999,27,FALSE)),"")</f>
        <v>0</v>
      </c>
      <c r="AC1373" s="31"/>
      <c r="AD1373" s="184"/>
      <c r="AE1373" s="51"/>
      <c r="AF1373" s="52">
        <f>+M1373*N1373*O1373/1000</f>
        <v>16080</v>
      </c>
      <c r="AG1373" s="41"/>
      <c r="AH1373" s="45"/>
      <c r="AI1373" s="28"/>
      <c r="AJ1373" s="28"/>
      <c r="AK1373" s="28"/>
      <c r="AL1373" s="28"/>
      <c r="AM1373" s="12"/>
      <c r="AN1373" s="12"/>
      <c r="AO1373" s="12"/>
      <c r="AP1373" s="12"/>
      <c r="AQ1373" s="12"/>
      <c r="AR1373" s="13"/>
      <c r="AS1373" s="14"/>
    </row>
    <row r="1374" spans="1:45" s="16" customFormat="1" ht="30.95" hidden="1" customHeight="1" x14ac:dyDescent="0.2">
      <c r="A1374" s="35"/>
      <c r="B1374" s="36"/>
      <c r="C1374" s="43"/>
      <c r="D1374" s="29"/>
      <c r="E1374" s="29"/>
      <c r="F1374" s="255"/>
      <c r="G1374" s="256"/>
      <c r="H1374" s="256"/>
      <c r="I1374" s="200"/>
      <c r="J1374" s="203"/>
      <c r="K1374" s="200"/>
      <c r="L1374" s="200"/>
      <c r="M1374" s="37"/>
      <c r="N1374" s="37"/>
      <c r="O1374" s="153"/>
      <c r="P1374" s="45"/>
      <c r="Q1374" s="54"/>
      <c r="R1374" s="260"/>
      <c r="S1374" s="258"/>
      <c r="T1374" s="258"/>
      <c r="U1374" s="38"/>
      <c r="V1374" s="261"/>
      <c r="W1374" s="256"/>
      <c r="X1374" s="256"/>
      <c r="Y1374" s="256"/>
      <c r="Z1374" s="256"/>
      <c r="AA1374" s="54"/>
      <c r="AB1374" s="200"/>
      <c r="AC1374" s="31"/>
      <c r="AD1374" s="184"/>
      <c r="AE1374" s="51"/>
      <c r="AF1374" s="52"/>
      <c r="AG1374" s="41"/>
      <c r="AH1374" s="45"/>
      <c r="AI1374" s="28"/>
      <c r="AJ1374" s="28"/>
      <c r="AK1374" s="28"/>
      <c r="AL1374" s="28"/>
      <c r="AM1374" s="12"/>
      <c r="AN1374" s="12"/>
      <c r="AO1374" s="12"/>
      <c r="AP1374" s="12"/>
      <c r="AQ1374" s="12"/>
      <c r="AR1374" s="13"/>
      <c r="AS1374" s="14"/>
    </row>
    <row r="1375" spans="1:45" s="16" customFormat="1" ht="30.6" hidden="1" customHeight="1" x14ac:dyDescent="0.2">
      <c r="A1375" s="35"/>
      <c r="B1375" s="36"/>
      <c r="C1375" s="43"/>
      <c r="D1375" s="29">
        <v>3735123</v>
      </c>
      <c r="E1375" s="29">
        <v>4162150</v>
      </c>
      <c r="F1375" s="255" t="str">
        <f>IF(D1375="","",VLOOKUP(D1375,契約台帳!$A$3:$K$4986,6,FALSE)&amp;VLOOKUP(D1375,契約台帳!$A$3:$K$4986,7,FALSE)&amp;VLOOKUP(D1375,契約台帳!$A$3:$K$4986,8,FALSE)&amp;VLOOKUP(D1375,契約台帳!$A$3:$K$4986,9,FALSE)&amp;VLOOKUP(D1375,契約台帳!$A$3:$K$4986,11,FALSE))</f>
        <v>33SSNMCLBTEKV0V</v>
      </c>
      <c r="G1375" s="256" t="str">
        <f>IF(D1375="","",VLOOKUP(F1375,製品マスタ!$G$5:$H$4999,2,FALSE))</f>
        <v>S</v>
      </c>
      <c r="H1375" s="256" t="str">
        <f>IF(D1375="","",VLOOKUP(F1375,製品マスタ!$G$5:$K$4999,5,FALSE))</f>
        <v>TEKV0V</v>
      </c>
      <c r="I1375" s="200" t="str">
        <f>IF(D1375="","",VLOOKUP(F1375,製品マスタ!$G$5:$L$4999,6,FALSE))</f>
        <v>メタルミー　ＴＥ－Ｓ消　ＶＯＩＤ　Ｖ</v>
      </c>
      <c r="J1375" s="203" t="s">
        <v>935</v>
      </c>
      <c r="K1375" s="200">
        <f>IF(D1375="","",VLOOKUP(D1375,契約台帳!$A$3:$L$4986,12,FALSE))</f>
        <v>50</v>
      </c>
      <c r="L1375" s="200" t="str">
        <f>IF(D1375="","",INDEX(製品マスタ!$Q$5:$Q$4999,MATCH('S4'!F1375&amp;'S4'!K1375,製品マスタ!$AO$5:$AO$4999,0)))</f>
        <v>X44SEPA</v>
      </c>
      <c r="M1375" s="37">
        <v>1005</v>
      </c>
      <c r="N1375" s="37">
        <v>4000</v>
      </c>
      <c r="O1375" s="153">
        <v>3</v>
      </c>
      <c r="P1375" s="45">
        <v>3</v>
      </c>
      <c r="Q1375" s="206">
        <v>45264</v>
      </c>
      <c r="R1375" s="257">
        <f ca="1">IF(D1375="","",IF(OFFSET(D1375,-1,0)&lt;&gt;"","",IF(OR(J1375="リード付け",J1375="巻足し",J1375="巻返しリード付け"),M1375,VLOOKUP(D1375,契約台帳!$A$3:$N$4986,14,FALSE))))</f>
        <v>1005</v>
      </c>
      <c r="S1375" s="258">
        <f ca="1">IF(D1375="","",IF(OFFSET(D1375,-1,0)&lt;&gt;"","",IF(OR(J1375="リード付け",J1375="巻足し",J1375="巻返しリード付け"),M1375,VLOOKUP(D1375,契約台帳!$A$3:$O$4986,15,FALSE))))</f>
        <v>1005</v>
      </c>
      <c r="T1375" s="258">
        <f ca="1">IF(D1375="","",IF(J1375="リード付け",N1375,IF(J1375="巻返しリード付け",N1375,IF(J1375="巻足し",N1375*P1375+OFFSET(N1375,1,0)*OFFSET(P1375,1,0),VLOOKUP(D1375,契約台帳!$A$3:$P$4986,16,FALSE)))))</f>
        <v>12000</v>
      </c>
      <c r="U1375" s="38">
        <v>1</v>
      </c>
      <c r="V1375" s="259">
        <f ca="1">IF(D1375="","",IF(OFFSET(D1375,-2,0)=D1375,"",VLOOKUP(D1375,契約台帳!$A$3:$R$4986,18,FALSE)))</f>
        <v>5</v>
      </c>
      <c r="W1375" s="256" t="str">
        <f ca="1">IF(D1375="","",IF(T1375="","",IF(OR(J1375="巻足し",J1375="巻返しリード付け"),"",IF(J1375="巻返し",VLOOKUP(F1375&amp;K1375&amp;M1375,製品マスタ!$M$5:$AD$4999,18,FALSE),IF(OR(J1375="リード付け",J1375="巻返しリード付け"),"原反コア",IF(J1375="スリット",VLOOKUP(F1375&amp;K1375&amp;R1375,製品マスタ!$N$5:$AD$4999,17,FALSE),""))))))</f>
        <v/>
      </c>
      <c r="X1375" s="256" t="str">
        <f ca="1">IF(D1375="","",IF(T1375="","",IF(J1375="巻足し","",IF(J1375="巻返し",VLOOKUP(F1375&amp;K1375&amp;M1375,製品マスタ!$M$5:$AE$4999,19,FALSE),IF(OR(J1375="リード付け",J1375="巻返しリード付け"),"",IF(J1375="スリット",VLOOKUP(F1375&amp;K1375&amp;R1375,製品マスタ!$N$5:$AE$4999,18,FALSE),""))))))</f>
        <v/>
      </c>
      <c r="Y1375" s="256">
        <f ca="1">IF(D1375="","",IF(T1375="","",VLOOKUP(D1375,契約台帳!$A$3:$Q$4986,17,FALSE)))</f>
        <v>2</v>
      </c>
      <c r="Z1375" s="256" t="str">
        <f ca="1">IF(D1375="","",IF(T1375="","",VLOOKUP(D1375,契約台帳!$A$3:$E$4986,5,FALSE)))</f>
        <v>リンテック㈱</v>
      </c>
      <c r="AA1375" s="54"/>
      <c r="AB1375" s="200">
        <f>IFERROR((VLOOKUP(F1375&amp;K1375&amp;M1375,製品マスタ!$M$5:$AM$4999,27,FALSE)),"")</f>
        <v>0</v>
      </c>
      <c r="AC1375" s="31"/>
      <c r="AD1375" s="184"/>
      <c r="AE1375" s="51"/>
      <c r="AF1375" s="52">
        <f>+M1375*N1375*O1375/1000</f>
        <v>12060</v>
      </c>
      <c r="AG1375" s="41"/>
      <c r="AH1375" s="45"/>
      <c r="AI1375" s="28"/>
      <c r="AJ1375" s="28"/>
      <c r="AK1375" s="28"/>
      <c r="AL1375" s="28"/>
      <c r="AM1375" s="12"/>
      <c r="AN1375" s="12"/>
      <c r="AO1375" s="12"/>
      <c r="AP1375" s="12"/>
      <c r="AQ1375" s="12"/>
      <c r="AR1375" s="13"/>
      <c r="AS1375" s="14"/>
    </row>
    <row r="1376" spans="1:45" s="16" customFormat="1" ht="30.95" hidden="1" customHeight="1" x14ac:dyDescent="0.2">
      <c r="A1376" s="35"/>
      <c r="B1376" s="36"/>
      <c r="C1376" s="43"/>
      <c r="D1376" s="29"/>
      <c r="E1376" s="29"/>
      <c r="F1376" s="255"/>
      <c r="G1376" s="256"/>
      <c r="H1376" s="256"/>
      <c r="I1376" s="200"/>
      <c r="J1376" s="203"/>
      <c r="K1376" s="200"/>
      <c r="L1376" s="200"/>
      <c r="M1376" s="37"/>
      <c r="N1376" s="37"/>
      <c r="O1376" s="153"/>
      <c r="P1376" s="45"/>
      <c r="Q1376" s="54"/>
      <c r="R1376" s="260"/>
      <c r="S1376" s="258"/>
      <c r="T1376" s="258"/>
      <c r="U1376" s="38"/>
      <c r="V1376" s="261"/>
      <c r="W1376" s="256"/>
      <c r="X1376" s="256"/>
      <c r="Y1376" s="256"/>
      <c r="Z1376" s="256"/>
      <c r="AA1376" s="54"/>
      <c r="AB1376" s="200"/>
      <c r="AC1376" s="31"/>
      <c r="AD1376" s="184"/>
      <c r="AE1376" s="51"/>
      <c r="AF1376" s="52"/>
      <c r="AG1376" s="41"/>
      <c r="AH1376" s="45"/>
      <c r="AI1376" s="28"/>
      <c r="AJ1376" s="28"/>
      <c r="AK1376" s="28"/>
      <c r="AL1376" s="28"/>
      <c r="AM1376" s="12"/>
      <c r="AN1376" s="12"/>
      <c r="AO1376" s="12"/>
      <c r="AP1376" s="12"/>
      <c r="AQ1376" s="12"/>
      <c r="AR1376" s="13"/>
      <c r="AS1376" s="14"/>
    </row>
    <row r="1377" spans="1:45" s="16" customFormat="1" ht="30.6" hidden="1" customHeight="1" x14ac:dyDescent="0.2">
      <c r="A1377" s="35"/>
      <c r="B1377" s="36"/>
      <c r="C1377" s="43"/>
      <c r="D1377" s="29">
        <v>3735123</v>
      </c>
      <c r="E1377" s="29">
        <v>4162150</v>
      </c>
      <c r="F1377" s="255" t="str">
        <f>IF(D1377="","",VLOOKUP(D1377,契約台帳!$A$3:$K$4986,6,FALSE)&amp;VLOOKUP(D1377,契約台帳!$A$3:$K$4986,7,FALSE)&amp;VLOOKUP(D1377,契約台帳!$A$3:$K$4986,8,FALSE)&amp;VLOOKUP(D1377,契約台帳!$A$3:$K$4986,9,FALSE)&amp;VLOOKUP(D1377,契約台帳!$A$3:$K$4986,11,FALSE))</f>
        <v>33SSNMCLBTEKV0V</v>
      </c>
      <c r="G1377" s="256" t="str">
        <f>IF(D1377="","",VLOOKUP(F1377,製品マスタ!$G$5:$H$4999,2,FALSE))</f>
        <v>S</v>
      </c>
      <c r="H1377" s="256" t="str">
        <f>IF(D1377="","",VLOOKUP(F1377,製品マスタ!$G$5:$K$4999,5,FALSE))</f>
        <v>TEKV0V</v>
      </c>
      <c r="I1377" s="200" t="str">
        <f>IF(D1377="","",VLOOKUP(F1377,製品マスタ!$G$5:$L$4999,6,FALSE))</f>
        <v>メタルミー　ＴＥ－Ｓ消　ＶＯＩＤ　Ｖ</v>
      </c>
      <c r="J1377" s="203" t="s">
        <v>935</v>
      </c>
      <c r="K1377" s="200">
        <f>IF(D1377="","",VLOOKUP(D1377,契約台帳!$A$3:$L$4986,12,FALSE))</f>
        <v>50</v>
      </c>
      <c r="L1377" s="200" t="str">
        <f>IF(D1377="","",INDEX(製品マスタ!$Q$5:$Q$4999,MATCH('S4'!F1377&amp;'S4'!K1377,製品マスタ!$AO$5:$AO$4999,0)))</f>
        <v>X44SEPA</v>
      </c>
      <c r="M1377" s="37">
        <v>1005</v>
      </c>
      <c r="N1377" s="37">
        <v>4000</v>
      </c>
      <c r="O1377" s="153">
        <v>2</v>
      </c>
      <c r="P1377" s="45">
        <v>2</v>
      </c>
      <c r="Q1377" s="206">
        <v>45264</v>
      </c>
      <c r="R1377" s="257">
        <f ca="1">IF(D1377="","",IF(OFFSET(D1377,-1,0)&lt;&gt;"","",IF(OR(J1377="リード付け",J1377="巻足し",J1377="巻返しリード付け"),M1377,VLOOKUP(D1377,契約台帳!$A$3:$N$4986,14,FALSE))))</f>
        <v>1005</v>
      </c>
      <c r="S1377" s="258">
        <f ca="1">IF(D1377="","",IF(OFFSET(D1377,-1,0)&lt;&gt;"","",IF(OR(J1377="リード付け",J1377="巻足し",J1377="巻返しリード付け"),M1377,VLOOKUP(D1377,契約台帳!$A$3:$O$4986,15,FALSE))))</f>
        <v>1005</v>
      </c>
      <c r="T1377" s="258">
        <f ca="1">IF(D1377="","",IF(J1377="リード付け",N1377,IF(J1377="巻返しリード付け",N1377,IF(J1377="巻足し",N1377*P1377+OFFSET(N1377,1,0)*OFFSET(P1377,1,0),VLOOKUP(D1377,契約台帳!$A$3:$P$4986,16,FALSE)))))</f>
        <v>8000</v>
      </c>
      <c r="U1377" s="38">
        <v>1</v>
      </c>
      <c r="V1377" s="259" t="str">
        <f ca="1">IF(D1377="","",IF(OFFSET(D1377,-2,0)=D1377,"",VLOOKUP(D1377,契約台帳!$A$3:$R$4986,18,FALSE)))</f>
        <v/>
      </c>
      <c r="W1377" s="256" t="str">
        <f ca="1">IF(D1377="","",IF(T1377="","",IF(OR(J1377="巻足し",J1377="巻返しリード付け"),"",IF(J1377="巻返し",VLOOKUP(F1377&amp;K1377&amp;M1377,製品マスタ!$M$5:$AD$4999,18,FALSE),IF(OR(J1377="リード付け",J1377="巻返しリード付け"),"原反コア",IF(J1377="スリット",VLOOKUP(F1377&amp;K1377&amp;R1377,製品マスタ!$N$5:$AD$4999,17,FALSE),""))))))</f>
        <v/>
      </c>
      <c r="X1377" s="256" t="str">
        <f ca="1">IF(D1377="","",IF(T1377="","",IF(J1377="巻足し","",IF(J1377="巻返し",VLOOKUP(F1377&amp;K1377&amp;M1377,製品マスタ!$M$5:$AE$4999,19,FALSE),IF(OR(J1377="リード付け",J1377="巻返しリード付け"),"",IF(J1377="スリット",VLOOKUP(F1377&amp;K1377&amp;R1377,製品マスタ!$N$5:$AE$4999,18,FALSE),""))))))</f>
        <v/>
      </c>
      <c r="Y1377" s="256">
        <f ca="1">IF(D1377="","",IF(T1377="","",VLOOKUP(D1377,契約台帳!$A$3:$Q$4986,17,FALSE)))</f>
        <v>2</v>
      </c>
      <c r="Z1377" s="256" t="str">
        <f ca="1">IF(D1377="","",IF(T1377="","",VLOOKUP(D1377,契約台帳!$A$3:$E$4986,5,FALSE)))</f>
        <v>リンテック㈱</v>
      </c>
      <c r="AA1377" s="54"/>
      <c r="AB1377" s="200">
        <f>IFERROR((VLOOKUP(F1377&amp;K1377&amp;M1377,製品マスタ!$M$5:$AM$4999,27,FALSE)),"")</f>
        <v>0</v>
      </c>
      <c r="AC1377" s="31"/>
      <c r="AD1377" s="184"/>
      <c r="AE1377" s="51"/>
      <c r="AF1377" s="52">
        <f>+M1377*N1377*O1377/1000</f>
        <v>8040</v>
      </c>
      <c r="AG1377" s="41"/>
      <c r="AH1377" s="45"/>
      <c r="AI1377" s="28"/>
      <c r="AJ1377" s="28"/>
      <c r="AK1377" s="28"/>
      <c r="AL1377" s="28"/>
      <c r="AM1377" s="12"/>
      <c r="AN1377" s="12"/>
      <c r="AO1377" s="12"/>
      <c r="AP1377" s="12"/>
      <c r="AQ1377" s="12"/>
      <c r="AR1377" s="13"/>
      <c r="AS1377" s="14"/>
    </row>
    <row r="1378" spans="1:45" s="16" customFormat="1" ht="30.95" hidden="1" customHeight="1" x14ac:dyDescent="0.2">
      <c r="A1378" s="35"/>
      <c r="B1378" s="36"/>
      <c r="C1378" s="43"/>
      <c r="D1378" s="29"/>
      <c r="E1378" s="29"/>
      <c r="F1378" s="255"/>
      <c r="G1378" s="256"/>
      <c r="H1378" s="256"/>
      <c r="I1378" s="200"/>
      <c r="J1378" s="203"/>
      <c r="K1378" s="200"/>
      <c r="L1378" s="200"/>
      <c r="M1378" s="37"/>
      <c r="N1378" s="37"/>
      <c r="O1378" s="153"/>
      <c r="P1378" s="45"/>
      <c r="Q1378" s="54"/>
      <c r="R1378" s="260"/>
      <c r="S1378" s="258"/>
      <c r="T1378" s="258"/>
      <c r="U1378" s="38"/>
      <c r="V1378" s="261"/>
      <c r="W1378" s="256"/>
      <c r="X1378" s="256"/>
      <c r="Y1378" s="256"/>
      <c r="Z1378" s="256"/>
      <c r="AA1378" s="54"/>
      <c r="AB1378" s="200"/>
      <c r="AC1378" s="31"/>
      <c r="AD1378" s="184"/>
      <c r="AE1378" s="51"/>
      <c r="AF1378" s="52"/>
      <c r="AG1378" s="41"/>
      <c r="AH1378" s="45"/>
      <c r="AI1378" s="28"/>
      <c r="AJ1378" s="28"/>
      <c r="AK1378" s="28"/>
      <c r="AL1378" s="28"/>
      <c r="AM1378" s="12"/>
      <c r="AN1378" s="12"/>
      <c r="AO1378" s="12"/>
      <c r="AP1378" s="12"/>
      <c r="AQ1378" s="12"/>
      <c r="AR1378" s="13"/>
      <c r="AS1378" s="14"/>
    </row>
    <row r="1379" spans="1:45" s="16" customFormat="1" ht="30.6" hidden="1" customHeight="1" x14ac:dyDescent="0.2">
      <c r="A1379" s="35" t="s">
        <v>1879</v>
      </c>
      <c r="B1379" s="36" t="s">
        <v>1880</v>
      </c>
      <c r="C1379" s="43"/>
      <c r="D1379" s="29">
        <v>3727606</v>
      </c>
      <c r="E1379" s="29">
        <v>4162147</v>
      </c>
      <c r="F1379" s="255" t="str">
        <f>IF(D1379="","",VLOOKUP(D1379,契約台帳!$A$3:$K$4986,6,FALSE)&amp;VLOOKUP(D1379,契約台帳!$A$3:$K$4986,7,FALSE)&amp;VLOOKUP(D1379,契約台帳!$A$3:$K$4986,8,FALSE)&amp;VLOOKUP(D1379,契約台帳!$A$3:$K$4986,9,FALSE)&amp;VLOOKUP(D1379,契約台帳!$A$3:$K$4986,11,FALSE))</f>
        <v>3TNMCLBHLGTV</v>
      </c>
      <c r="G1379" s="256" t="str">
        <f>IF(D1379="","",VLOOKUP(F1379,製品マスタ!$G$5:$H$4999,2,FALSE))</f>
        <v>T</v>
      </c>
      <c r="H1379" s="256" t="str">
        <f>IF(D1379="","",VLOOKUP(F1379,製品マスタ!$G$5:$K$4999,5,FALSE))</f>
        <v>HLGTV</v>
      </c>
      <c r="I1379" s="200" t="str">
        <f>IF(D1379="","",VLOOKUP(F1379,製品マスタ!$G$5:$L$4999,6,FALSE))</f>
        <v>メタルミー　ヘヤライン　銀艶Ｖ</v>
      </c>
      <c r="J1379" s="203" t="s">
        <v>935</v>
      </c>
      <c r="K1379" s="200">
        <f>IF(D1379="","",VLOOKUP(D1379,契約台帳!$A$3:$L$4986,12,FALSE))</f>
        <v>50</v>
      </c>
      <c r="L1379" s="200" t="str">
        <f>IF(D1379="","",INDEX(製品マスタ!$Q$5:$Q$4999,MATCH('S4'!F1379&amp;'S4'!K1379,製品マスタ!$AO$5:$AO$4999,0)))</f>
        <v>BRIGHT</v>
      </c>
      <c r="M1379" s="37">
        <v>1005</v>
      </c>
      <c r="N1379" s="37">
        <v>4100</v>
      </c>
      <c r="O1379" s="153">
        <v>3</v>
      </c>
      <c r="P1379" s="45">
        <v>3</v>
      </c>
      <c r="Q1379" s="206">
        <v>45195</v>
      </c>
      <c r="R1379" s="257">
        <f ca="1">IF(D1379="","",IF(OFFSET(D1379,-1,0)&lt;&gt;"","",IF(OR(J1379="リード付け",J1379="巻足し",J1379="巻返しリード付け"),M1379,VLOOKUP(D1379,契約台帳!$A$3:$N$4986,14,FALSE))))</f>
        <v>1005</v>
      </c>
      <c r="S1379" s="258">
        <f ca="1">IF(D1379="","",IF(OFFSET(D1379,-1,0)&lt;&gt;"","",IF(OR(J1379="リード付け",J1379="巻足し",J1379="巻返しリード付け"),M1379,VLOOKUP(D1379,契約台帳!$A$3:$O$4986,15,FALSE))))</f>
        <v>1005</v>
      </c>
      <c r="T1379" s="258">
        <f ca="1">IF(D1379="","",IF(J1379="リード付け",N1379,IF(J1379="巻返しリード付け",N1379,IF(J1379="巻足し",N1379*P1379+OFFSET(N1379,1,0)*OFFSET(P1379,1,0),VLOOKUP(D1379,契約台帳!$A$3:$P$4986,16,FALSE)))))</f>
        <v>12300</v>
      </c>
      <c r="U1379" s="38">
        <v>1</v>
      </c>
      <c r="V1379" s="259">
        <f ca="1">IF(D1379="","",IF(OFFSET(D1379,-2,0)=D1379,"",VLOOKUP(D1379,契約台帳!$A$3:$R$4986,18,FALSE)))</f>
        <v>5</v>
      </c>
      <c r="W1379" s="256" t="str">
        <f ca="1">IF(D1379="","",IF(T1379="","",IF(OR(J1379="巻足し",J1379="巻返しリード付け"),"",IF(J1379="巻返し",VLOOKUP(F1379&amp;K1379&amp;M1379,製品マスタ!$M$5:$AD$4999,18,FALSE),IF(OR(J1379="リード付け",J1379="巻返しリード付け"),"原反コア",IF(J1379="スリット",VLOOKUP(F1379&amp;K1379&amp;R1379,製品マスタ!$N$5:$AD$4999,17,FALSE),""))))))</f>
        <v/>
      </c>
      <c r="X1379" s="256" t="str">
        <f ca="1">IF(D1379="","",IF(T1379="","",IF(J1379="巻足し","",IF(J1379="巻返し",VLOOKUP(F1379&amp;K1379&amp;M1379,製品マスタ!$M$5:$AE$4999,19,FALSE),IF(OR(J1379="リード付け",J1379="巻返しリード付け"),"",IF(J1379="スリット",VLOOKUP(F1379&amp;K1379&amp;R1379,製品マスタ!$N$5:$AE$4999,18,FALSE),""))))))</f>
        <v/>
      </c>
      <c r="Y1379" s="256">
        <f ca="1">IF(D1379="","",IF(T1379="","",VLOOKUP(D1379,契約台帳!$A$3:$Q$4986,17,FALSE)))</f>
        <v>2</v>
      </c>
      <c r="Z1379" s="256" t="str">
        <f ca="1">IF(D1379="","",IF(T1379="","",VLOOKUP(D1379,契約台帳!$A$3:$E$4986,5,FALSE)))</f>
        <v xml:space="preserve">リンテック㈱        </v>
      </c>
      <c r="AA1379" s="54"/>
      <c r="AB1379" s="200" t="s">
        <v>774</v>
      </c>
      <c r="AC1379" s="31"/>
      <c r="AD1379" s="184"/>
      <c r="AE1379" s="51"/>
      <c r="AF1379" s="52">
        <f>+M1379*N1379*O1379/1000</f>
        <v>12361.5</v>
      </c>
      <c r="AG1379" s="41"/>
      <c r="AH1379" s="45"/>
      <c r="AI1379" s="28"/>
      <c r="AJ1379" s="28"/>
      <c r="AK1379" s="28"/>
      <c r="AL1379" s="28"/>
      <c r="AM1379" s="12"/>
      <c r="AN1379" s="12"/>
      <c r="AO1379" s="12"/>
      <c r="AP1379" s="12"/>
      <c r="AQ1379" s="12"/>
      <c r="AR1379" s="13"/>
      <c r="AS1379" s="14"/>
    </row>
    <row r="1380" spans="1:45" s="16" customFormat="1" ht="30.95" hidden="1" customHeight="1" x14ac:dyDescent="0.2">
      <c r="A1380" s="35"/>
      <c r="B1380" s="36"/>
      <c r="C1380" s="43"/>
      <c r="D1380" s="29"/>
      <c r="E1380" s="29"/>
      <c r="F1380" s="255"/>
      <c r="G1380" s="256"/>
      <c r="H1380" s="256"/>
      <c r="I1380" s="200"/>
      <c r="J1380" s="203"/>
      <c r="K1380" s="200"/>
      <c r="L1380" s="200"/>
      <c r="M1380" s="37"/>
      <c r="N1380" s="37"/>
      <c r="O1380" s="153"/>
      <c r="P1380" s="45"/>
      <c r="Q1380" s="54"/>
      <c r="R1380" s="260"/>
      <c r="S1380" s="258"/>
      <c r="T1380" s="258"/>
      <c r="U1380" s="38"/>
      <c r="V1380" s="261"/>
      <c r="W1380" s="256"/>
      <c r="X1380" s="256"/>
      <c r="Y1380" s="256"/>
      <c r="Z1380" s="256"/>
      <c r="AA1380" s="54"/>
      <c r="AB1380" s="200"/>
      <c r="AC1380" s="31"/>
      <c r="AD1380" s="184"/>
      <c r="AE1380" s="51"/>
      <c r="AF1380" s="52"/>
      <c r="AG1380" s="41"/>
      <c r="AH1380" s="45"/>
      <c r="AI1380" s="28"/>
      <c r="AJ1380" s="28"/>
      <c r="AK1380" s="28"/>
      <c r="AL1380" s="28"/>
      <c r="AM1380" s="12"/>
      <c r="AN1380" s="12"/>
      <c r="AO1380" s="12"/>
      <c r="AP1380" s="12"/>
      <c r="AQ1380" s="12"/>
      <c r="AR1380" s="13"/>
      <c r="AS1380" s="14"/>
    </row>
    <row r="1381" spans="1:45" s="16" customFormat="1" ht="30.95" hidden="1" customHeight="1" x14ac:dyDescent="0.2">
      <c r="A1381" s="35"/>
      <c r="B1381" s="36"/>
      <c r="C1381" s="43"/>
      <c r="D1381" s="29">
        <v>3732680</v>
      </c>
      <c r="E1381" s="29">
        <v>4162143</v>
      </c>
      <c r="F1381" s="255" t="str">
        <f>IF(D1381="","",VLOOKUP(D1381,契約台帳!$A$3:$K$4986,6,FALSE)&amp;VLOOKUP(D1381,契約台帳!$A$3:$K$4986,7,FALSE)&amp;VLOOKUP(D1381,契約台帳!$A$3:$K$4986,8,FALSE)&amp;VLOOKUP(D1381,契約台帳!$A$3:$K$4986,9,FALSE)&amp;VLOOKUP(D1381,契約台帳!$A$3:$K$4986,11,FALSE))</f>
        <v>3TNMCLBHLGTV</v>
      </c>
      <c r="G1381" s="256" t="str">
        <f>IF(D1381="","",VLOOKUP(F1381,製品マスタ!$G$5:$H$4999,2,FALSE))</f>
        <v>T</v>
      </c>
      <c r="H1381" s="256" t="str">
        <f>IF(D1381="","",VLOOKUP(F1381,製品マスタ!$G$5:$K$4999,5,FALSE))</f>
        <v>HLGTV</v>
      </c>
      <c r="I1381" s="200" t="str">
        <f>IF(D1381="","",VLOOKUP(F1381,製品マスタ!$G$5:$L$4999,6,FALSE))</f>
        <v>メタルミー　ヘヤライン　銀艶Ｖ</v>
      </c>
      <c r="J1381" s="203" t="s">
        <v>935</v>
      </c>
      <c r="K1381" s="200">
        <f>IF(D1381="","",VLOOKUP(D1381,契約台帳!$A$3:$L$4986,12,FALSE))</f>
        <v>50</v>
      </c>
      <c r="L1381" s="200" t="str">
        <f>IF(D1381="","",INDEX(製品マスタ!$Q$5:$Q$4999,MATCH('S4'!F1381&amp;'S4'!K1381,製品マスタ!$AO$5:$AO$4999,0)))</f>
        <v>BRIGHT</v>
      </c>
      <c r="M1381" s="37">
        <v>1005</v>
      </c>
      <c r="N1381" s="37">
        <v>4100</v>
      </c>
      <c r="O1381" s="153">
        <v>3</v>
      </c>
      <c r="P1381" s="45">
        <v>3</v>
      </c>
      <c r="Q1381" s="206">
        <v>45237</v>
      </c>
      <c r="R1381" s="257">
        <f ca="1">IF(D1381="","",IF(OFFSET(D1381,-1,0)&lt;&gt;"","",IF(OR(J1381="リード付け",J1381="巻足し",J1381="巻返しリード付け"),M1381,VLOOKUP(D1381,契約台帳!$A$3:$N$4986,14,FALSE))))</f>
        <v>1005</v>
      </c>
      <c r="S1381" s="258">
        <f ca="1">IF(D1381="","",IF(OFFSET(D1381,-1,0)&lt;&gt;"","",IF(OR(J1381="リード付け",J1381="巻足し",J1381="巻返しリード付け"),M1381,VLOOKUP(D1381,契約台帳!$A$3:$O$4986,15,FALSE))))</f>
        <v>1005</v>
      </c>
      <c r="T1381" s="258">
        <f ca="1">IF(D1381="","",IF(J1381="リード付け",N1381,IF(J1381="巻返しリード付け",N1381,IF(J1381="巻足し",N1381*P1381+OFFSET(N1381,1,0)*OFFSET(P1381,1,0),VLOOKUP(D1381,契約台帳!$A$3:$P$4986,16,FALSE)))))</f>
        <v>12300</v>
      </c>
      <c r="U1381" s="38">
        <v>1</v>
      </c>
      <c r="V1381" s="259">
        <f ca="1">IF(D1381="","",IF(OFFSET(D1381,-2,0)=D1381,"",VLOOKUP(D1381,契約台帳!$A$3:$R$4986,18,FALSE)))</f>
        <v>4</v>
      </c>
      <c r="W1381" s="256" t="str">
        <f ca="1">IF(D1381="","",IF(T1381="","",IF(OR(J1381="巻足し",J1381="巻返しリード付け"),"",IF(J1381="巻返し",VLOOKUP(F1381&amp;K1381&amp;M1381,製品マスタ!$M$5:$AD$4999,18,FALSE),IF(OR(J1381="リード付け",J1381="巻返しリード付け"),"原反コア",IF(J1381="スリット",VLOOKUP(F1381&amp;K1381&amp;R1381,製品マスタ!$N$5:$AD$4999,17,FALSE),""))))))</f>
        <v/>
      </c>
      <c r="X1381" s="256" t="str">
        <f ca="1">IF(D1381="","",IF(T1381="","",IF(J1381="巻足し","",IF(J1381="巻返し",VLOOKUP(F1381&amp;K1381&amp;M1381,製品マスタ!$M$5:$AE$4999,19,FALSE),IF(OR(J1381="リード付け",J1381="巻返しリード付け"),"",IF(J1381="スリット",VLOOKUP(F1381&amp;K1381&amp;R1381,製品マスタ!$N$5:$AE$4999,18,FALSE),""))))))</f>
        <v/>
      </c>
      <c r="Y1381" s="256">
        <f ca="1">IF(D1381="","",IF(T1381="","",VLOOKUP(D1381,契約台帳!$A$3:$Q$4986,17,FALSE)))</f>
        <v>2</v>
      </c>
      <c r="Z1381" s="256" t="str">
        <f ca="1">IF(D1381="","",IF(T1381="","",VLOOKUP(D1381,契約台帳!$A$3:$E$4986,5,FALSE)))</f>
        <v>リンテック㈱</v>
      </c>
      <c r="AA1381" s="54"/>
      <c r="AB1381" s="200" t="s">
        <v>774</v>
      </c>
      <c r="AC1381" s="31"/>
      <c r="AD1381" s="184"/>
      <c r="AE1381" s="51"/>
      <c r="AF1381" s="52">
        <f>+M1381*N1381*O1381/1000</f>
        <v>12361.5</v>
      </c>
      <c r="AG1381" s="41"/>
      <c r="AH1381" s="45"/>
      <c r="AI1381" s="28"/>
      <c r="AJ1381" s="28"/>
      <c r="AK1381" s="28"/>
      <c r="AL1381" s="28"/>
      <c r="AM1381" s="12"/>
      <c r="AN1381" s="12"/>
      <c r="AO1381" s="12"/>
      <c r="AP1381" s="12"/>
      <c r="AQ1381" s="12"/>
      <c r="AR1381" s="13"/>
      <c r="AS1381" s="14"/>
    </row>
    <row r="1382" spans="1:45" s="16" customFormat="1" ht="30.95" hidden="1" customHeight="1" x14ac:dyDescent="0.2">
      <c r="A1382" s="35"/>
      <c r="B1382" s="36"/>
      <c r="C1382" s="43"/>
      <c r="D1382" s="29"/>
      <c r="E1382" s="29"/>
      <c r="F1382" s="255"/>
      <c r="G1382" s="256"/>
      <c r="H1382" s="256"/>
      <c r="I1382" s="200"/>
      <c r="J1382" s="203"/>
      <c r="K1382" s="200"/>
      <c r="L1382" s="200"/>
      <c r="M1382" s="37"/>
      <c r="N1382" s="37"/>
      <c r="O1382" s="153"/>
      <c r="P1382" s="45"/>
      <c r="Q1382" s="54"/>
      <c r="R1382" s="260"/>
      <c r="S1382" s="258"/>
      <c r="T1382" s="258"/>
      <c r="U1382" s="38"/>
      <c r="V1382" s="261"/>
      <c r="W1382" s="256"/>
      <c r="X1382" s="256"/>
      <c r="Y1382" s="256"/>
      <c r="Z1382" s="256"/>
      <c r="AA1382" s="54"/>
      <c r="AB1382" s="200"/>
      <c r="AC1382" s="31"/>
      <c r="AD1382" s="184"/>
      <c r="AE1382" s="51"/>
      <c r="AF1382" s="52"/>
      <c r="AG1382" s="41"/>
      <c r="AH1382" s="45"/>
      <c r="AI1382" s="28"/>
      <c r="AJ1382" s="28"/>
      <c r="AK1382" s="28"/>
      <c r="AL1382" s="28"/>
      <c r="AM1382" s="12"/>
      <c r="AN1382" s="12"/>
      <c r="AO1382" s="12"/>
      <c r="AP1382" s="12"/>
      <c r="AQ1382" s="12"/>
      <c r="AR1382" s="13"/>
      <c r="AS1382" s="14"/>
    </row>
    <row r="1383" spans="1:45" s="16" customFormat="1" ht="30.95" hidden="1" customHeight="1" x14ac:dyDescent="0.2">
      <c r="A1383" s="35"/>
      <c r="B1383" s="36"/>
      <c r="C1383" s="43"/>
      <c r="D1383" s="29" t="s">
        <v>1276</v>
      </c>
      <c r="E1383" s="29" t="s">
        <v>1277</v>
      </c>
      <c r="F1383" s="255" t="s">
        <v>1304</v>
      </c>
      <c r="G1383" s="256" t="s">
        <v>269</v>
      </c>
      <c r="H1383" s="256" t="s">
        <v>1318</v>
      </c>
      <c r="I1383" s="200" t="s">
        <v>1316</v>
      </c>
      <c r="J1383" s="203" t="s">
        <v>935</v>
      </c>
      <c r="K1383" s="200">
        <v>50</v>
      </c>
      <c r="L1383" s="200" t="s">
        <v>1320</v>
      </c>
      <c r="M1383" s="37">
        <v>1000</v>
      </c>
      <c r="N1383" s="37">
        <v>2000</v>
      </c>
      <c r="O1383" s="153">
        <v>1</v>
      </c>
      <c r="P1383" s="45">
        <v>1</v>
      </c>
      <c r="Q1383" s="206">
        <v>45259</v>
      </c>
      <c r="R1383" s="257">
        <v>1000</v>
      </c>
      <c r="S1383" s="258">
        <v>1000</v>
      </c>
      <c r="T1383" s="258">
        <v>2500</v>
      </c>
      <c r="U1383" s="38">
        <v>1</v>
      </c>
      <c r="V1383" s="259">
        <v>2</v>
      </c>
      <c r="W1383" s="256" t="s">
        <v>928</v>
      </c>
      <c r="X1383" s="256" t="s">
        <v>928</v>
      </c>
      <c r="Y1383" s="256">
        <v>2</v>
      </c>
      <c r="Z1383" s="256" t="s">
        <v>116</v>
      </c>
      <c r="AA1383" s="54"/>
      <c r="AB1383" s="200" t="s">
        <v>774</v>
      </c>
      <c r="AC1383" s="31"/>
      <c r="AD1383" s="184"/>
      <c r="AE1383" s="51"/>
      <c r="AF1383" s="52"/>
      <c r="AG1383" s="41"/>
      <c r="AH1383" s="45"/>
      <c r="AI1383" s="28"/>
      <c r="AJ1383" s="28"/>
      <c r="AK1383" s="28"/>
      <c r="AL1383" s="28"/>
      <c r="AM1383" s="12"/>
      <c r="AN1383" s="12"/>
      <c r="AO1383" s="12"/>
      <c r="AP1383" s="12"/>
      <c r="AQ1383" s="12"/>
      <c r="AR1383" s="13"/>
      <c r="AS1383" s="14"/>
    </row>
    <row r="1384" spans="1:45" s="16" customFormat="1" ht="30.95" hidden="1" customHeight="1" x14ac:dyDescent="0.2">
      <c r="A1384" s="35"/>
      <c r="B1384" s="36"/>
      <c r="C1384" s="43"/>
      <c r="D1384" s="29" t="s">
        <v>1276</v>
      </c>
      <c r="E1384" s="29" t="s">
        <v>1277</v>
      </c>
      <c r="F1384" s="255" t="s">
        <v>1304</v>
      </c>
      <c r="G1384" s="256" t="s">
        <v>269</v>
      </c>
      <c r="H1384" s="256" t="s">
        <v>1319</v>
      </c>
      <c r="I1384" s="200" t="s">
        <v>1317</v>
      </c>
      <c r="J1384" s="203" t="s">
        <v>935</v>
      </c>
      <c r="K1384" s="200">
        <v>25</v>
      </c>
      <c r="L1384" s="200" t="s">
        <v>831</v>
      </c>
      <c r="M1384" s="37">
        <v>1000</v>
      </c>
      <c r="N1384" s="37">
        <v>500</v>
      </c>
      <c r="O1384" s="153">
        <v>1</v>
      </c>
      <c r="P1384" s="45"/>
      <c r="Q1384" s="206">
        <v>45259</v>
      </c>
      <c r="R1384" s="257" t="s">
        <v>928</v>
      </c>
      <c r="S1384" s="258" t="s">
        <v>928</v>
      </c>
      <c r="T1384" s="258">
        <v>0</v>
      </c>
      <c r="U1384" s="38"/>
      <c r="V1384" s="259"/>
      <c r="W1384" s="256" t="s">
        <v>928</v>
      </c>
      <c r="X1384" s="256" t="s">
        <v>928</v>
      </c>
      <c r="Y1384" s="256">
        <v>2</v>
      </c>
      <c r="Z1384" s="256" t="s">
        <v>116</v>
      </c>
      <c r="AA1384" s="54"/>
      <c r="AB1384" s="200" t="s">
        <v>774</v>
      </c>
      <c r="AC1384" s="31"/>
      <c r="AD1384" s="184"/>
      <c r="AE1384" s="51"/>
      <c r="AF1384" s="52"/>
      <c r="AG1384" s="41"/>
      <c r="AH1384" s="45"/>
      <c r="AI1384" s="28"/>
      <c r="AJ1384" s="28"/>
      <c r="AK1384" s="28"/>
      <c r="AL1384" s="28"/>
      <c r="AM1384" s="12"/>
      <c r="AN1384" s="12"/>
      <c r="AO1384" s="12"/>
      <c r="AP1384" s="12"/>
      <c r="AQ1384" s="12"/>
      <c r="AR1384" s="13"/>
      <c r="AS1384" s="14"/>
    </row>
    <row r="1385" spans="1:45" s="16" customFormat="1" ht="30.95" hidden="1" customHeight="1" x14ac:dyDescent="0.2">
      <c r="A1385" s="35"/>
      <c r="B1385" s="36"/>
      <c r="C1385" s="43"/>
      <c r="D1385" s="29"/>
      <c r="E1385" s="29"/>
      <c r="F1385" s="255"/>
      <c r="G1385" s="256"/>
      <c r="H1385" s="256"/>
      <c r="I1385" s="200"/>
      <c r="J1385" s="203"/>
      <c r="K1385" s="200"/>
      <c r="L1385" s="200"/>
      <c r="M1385" s="37"/>
      <c r="N1385" s="37"/>
      <c r="O1385" s="153"/>
      <c r="P1385" s="45"/>
      <c r="Q1385" s="54"/>
      <c r="R1385" s="260"/>
      <c r="S1385" s="258"/>
      <c r="T1385" s="258"/>
      <c r="U1385" s="38"/>
      <c r="V1385" s="261"/>
      <c r="W1385" s="256"/>
      <c r="X1385" s="256"/>
      <c r="Y1385" s="256"/>
      <c r="Z1385" s="256"/>
      <c r="AA1385" s="54"/>
      <c r="AB1385" s="200"/>
      <c r="AC1385" s="31"/>
      <c r="AD1385" s="184"/>
      <c r="AE1385" s="51"/>
      <c r="AF1385" s="52"/>
      <c r="AG1385" s="41"/>
      <c r="AH1385" s="45"/>
      <c r="AI1385" s="28"/>
      <c r="AJ1385" s="28"/>
      <c r="AK1385" s="28"/>
      <c r="AL1385" s="28"/>
      <c r="AM1385" s="12"/>
      <c r="AN1385" s="12"/>
      <c r="AO1385" s="12"/>
      <c r="AP1385" s="12"/>
      <c r="AQ1385" s="12"/>
      <c r="AR1385" s="13"/>
      <c r="AS1385" s="14"/>
    </row>
    <row r="1386" spans="1:45" s="16" customFormat="1" ht="30.95" hidden="1" customHeight="1" x14ac:dyDescent="0.2">
      <c r="A1386" s="35"/>
      <c r="B1386" s="36"/>
      <c r="C1386" s="43"/>
      <c r="D1386" s="29">
        <v>3735118</v>
      </c>
      <c r="E1386" s="29">
        <v>4162183</v>
      </c>
      <c r="F1386" s="255" t="str">
        <f>IF(D1386="","",VLOOKUP(D1386,契約台帳!$A$3:$K$4986,6,FALSE)&amp;VLOOKUP(D1386,契約台帳!$A$3:$K$4986,7,FALSE)&amp;VLOOKUP(D1386,契約台帳!$A$3:$K$4986,8,FALSE)&amp;VLOOKUP(D1386,契約台帳!$A$3:$K$4986,9,FALSE)&amp;VLOOKUP(D1386,契約台帳!$A$3:$K$4986,11,FALSE))</f>
        <v>3SNMLBMNGTBF</v>
      </c>
      <c r="G1386" s="256" t="str">
        <f>IF(D1386="","",VLOOKUP(F1386,製品マスタ!$G$5:$H$4999,2,FALSE))</f>
        <v>S</v>
      </c>
      <c r="H1386" s="256" t="str">
        <f>IF(D1386="","",VLOOKUP(F1386,製品マスタ!$G$5:$K$4999,5,FALSE))</f>
        <v>MNGTBF</v>
      </c>
      <c r="I1386" s="200" t="str">
        <f>IF(D1386="","",VLOOKUP(F1386,製品マスタ!$G$5:$L$4999,6,FALSE))</f>
        <v>メタルミー　ネーマー　銀艶　Ｂ</v>
      </c>
      <c r="J1386" s="203" t="s">
        <v>935</v>
      </c>
      <c r="K1386" s="200">
        <f>IF(D1386="","",VLOOKUP(D1386,契約台帳!$A$3:$L$4986,12,FALSE))</f>
        <v>50</v>
      </c>
      <c r="L1386" s="200" t="str">
        <f>IF(D1386="","",INDEX(製品マスタ!$Q$5:$Q$4999,MATCH('S4'!F1386&amp;'S4'!K1386,製品マスタ!$AO$5:$AO$4999,0)))</f>
        <v>T62</v>
      </c>
      <c r="M1386" s="37">
        <v>1120</v>
      </c>
      <c r="N1386" s="37">
        <v>5000</v>
      </c>
      <c r="O1386" s="153">
        <v>4</v>
      </c>
      <c r="P1386" s="45">
        <v>2</v>
      </c>
      <c r="Q1386" s="206">
        <v>45264</v>
      </c>
      <c r="R1386" s="257">
        <f ca="1">IF(D1386="","",IF(OFFSET(D1386,-1,0)&lt;&gt;"","",IF(OR(J1386="リード付け",J1386="巻足し",J1386="巻返しリード付け"),M1386,VLOOKUP(D1386,契約台帳!$A$3:$N$4986,14,FALSE))))</f>
        <v>1120</v>
      </c>
      <c r="S1386" s="258">
        <f ca="1">IF(D1386="","",IF(OFFSET(D1386,-1,0)&lt;&gt;"","",IF(OR(J1386="リード付け",J1386="巻足し",J1386="巻返しリード付け"),M1386,VLOOKUP(D1386,契約台帳!$A$3:$O$4986,15,FALSE))))</f>
        <v>1120</v>
      </c>
      <c r="T1386" s="258">
        <f ca="1">IF(D1386="","",IF(J1386="リード付け",N1386,IF(J1386="巻返しリード付け",N1386,IF(J1386="巻足し",N1386*P1386+OFFSET(N1386,1,0)*OFFSET(P1386,1,0),VLOOKUP(D1386,契約台帳!$A$3:$P$4986,16,FALSE)))))</f>
        <v>10000</v>
      </c>
      <c r="U1386" s="38">
        <v>2</v>
      </c>
      <c r="V1386" s="259">
        <f ca="1">IF(D1386="","",IF(OFFSET(D1386,-2,0)=D1386,"",VLOOKUP(D1386,契約台帳!$A$3:$R$4986,18,FALSE)))</f>
        <v>4</v>
      </c>
      <c r="W1386" s="256" t="str">
        <f ca="1">IF(D1386="","",IF(T1386="","",IF(OR(J1386="巻足し",J1386="巻返しリード付け"),"",IF(J1386="巻返し",VLOOKUP(F1386&amp;K1386&amp;M1386,製品マスタ!$M$5:$AD$4999,18,FALSE),IF(OR(J1386="リード付け",J1386="巻返しリード付け"),"原反コア",IF(J1386="スリット",VLOOKUP(F1386&amp;K1386&amp;R1386,製品マスタ!$N$5:$AD$4999,17,FALSE),""))))))</f>
        <v/>
      </c>
      <c r="X1386" s="256" t="str">
        <f ca="1">IF(D1386="","",IF(T1386="","",IF(J1386="巻足し","",IF(J1386="巻返し",VLOOKUP(F1386&amp;K1386&amp;M1386,製品マスタ!$M$5:$AE$4999,19,FALSE),IF(OR(J1386="リード付け",J1386="巻返しリード付け"),"",IF(J1386="スリット",VLOOKUP(F1386&amp;K1386&amp;R1386,製品マスタ!$N$5:$AE$4999,18,FALSE),""))))))</f>
        <v/>
      </c>
      <c r="Y1386" s="256">
        <f ca="1">IF(D1386="","",IF(T1386="","",VLOOKUP(D1386,契約台帳!$A$3:$Q$4986,17,FALSE)))</f>
        <v>2</v>
      </c>
      <c r="Z1386" s="256" t="str">
        <f ca="1">IF(D1386="","",IF(T1386="","",VLOOKUP(D1386,契約台帳!$A$3:$E$4986,5,FALSE)))</f>
        <v>リンテック㈱</v>
      </c>
      <c r="AA1386" s="54"/>
      <c r="AB1386" s="200" t="str">
        <f>IFERROR((VLOOKUP(F1386&amp;K1386&amp;M1386,製品マスタ!$M$5:$AM$4999,27,FALSE)),"")</f>
        <v>原反ケース再利用</v>
      </c>
      <c r="AC1386" s="31"/>
      <c r="AD1386" s="184"/>
      <c r="AE1386" s="51"/>
      <c r="AF1386" s="52">
        <f>+M1386*N1386*O1386/1000</f>
        <v>22400</v>
      </c>
      <c r="AG1386" s="41"/>
      <c r="AH1386" s="45"/>
      <c r="AI1386" s="28"/>
      <c r="AJ1386" s="28"/>
      <c r="AK1386" s="28"/>
      <c r="AL1386" s="28"/>
      <c r="AM1386" s="12"/>
      <c r="AN1386" s="12"/>
      <c r="AO1386" s="12"/>
      <c r="AP1386" s="12"/>
      <c r="AQ1386" s="12"/>
      <c r="AR1386" s="13"/>
      <c r="AS1386" s="14"/>
    </row>
    <row r="1387" spans="1:45" s="16" customFormat="1" ht="30.95" hidden="1" customHeight="1" x14ac:dyDescent="0.2">
      <c r="A1387" s="35"/>
      <c r="B1387" s="36"/>
      <c r="C1387" s="43"/>
      <c r="D1387" s="29"/>
      <c r="E1387" s="29"/>
      <c r="F1387" s="255"/>
      <c r="G1387" s="256"/>
      <c r="H1387" s="256"/>
      <c r="I1387" s="279" t="s">
        <v>1875</v>
      </c>
      <c r="J1387" s="203"/>
      <c r="K1387" s="200"/>
      <c r="L1387" s="200"/>
      <c r="M1387" s="37"/>
      <c r="N1387" s="37"/>
      <c r="O1387" s="153"/>
      <c r="P1387" s="45"/>
      <c r="Q1387" s="54"/>
      <c r="R1387" s="260"/>
      <c r="S1387" s="258"/>
      <c r="T1387" s="258"/>
      <c r="U1387" s="38"/>
      <c r="V1387" s="261"/>
      <c r="W1387" s="256"/>
      <c r="X1387" s="256"/>
      <c r="Y1387" s="256"/>
      <c r="Z1387" s="256"/>
      <c r="AA1387" s="54"/>
      <c r="AB1387" s="200"/>
      <c r="AC1387" s="31"/>
      <c r="AD1387" s="184"/>
      <c r="AE1387" s="51"/>
      <c r="AF1387" s="52"/>
      <c r="AG1387" s="41"/>
      <c r="AH1387" s="45"/>
      <c r="AI1387" s="28"/>
      <c r="AJ1387" s="28"/>
      <c r="AK1387" s="28"/>
      <c r="AL1387" s="28"/>
      <c r="AM1387" s="12"/>
      <c r="AN1387" s="12"/>
      <c r="AO1387" s="12"/>
      <c r="AP1387" s="12"/>
      <c r="AQ1387" s="12"/>
      <c r="AR1387" s="13"/>
      <c r="AS1387" s="14"/>
    </row>
    <row r="1388" spans="1:45" s="16" customFormat="1" ht="30.95" hidden="1" customHeight="1" x14ac:dyDescent="0.2">
      <c r="A1388" s="35"/>
      <c r="B1388" s="36"/>
      <c r="C1388" s="43"/>
      <c r="D1388" s="29">
        <v>3735119</v>
      </c>
      <c r="E1388" s="29">
        <v>4162185</v>
      </c>
      <c r="F1388" s="255" t="str">
        <f>IF(D1388="","",VLOOKUP(D1388,契約台帳!$A$3:$K$4986,6,FALSE)&amp;VLOOKUP(D1388,契約台帳!$A$3:$K$4986,7,FALSE)&amp;VLOOKUP(D1388,契約台帳!$A$3:$K$4986,8,FALSE)&amp;VLOOKUP(D1388,契約台帳!$A$3:$K$4986,9,FALSE)&amp;VLOOKUP(D1388,契約台帳!$A$3:$K$4986,11,FALSE))</f>
        <v>3XSNMLBMNGTBF</v>
      </c>
      <c r="G1388" s="256" t="str">
        <f>IF(D1388="","",VLOOKUP(F1388,製品マスタ!$G$5:$H$4999,2,FALSE))</f>
        <v>S</v>
      </c>
      <c r="H1388" s="256" t="str">
        <f>IF(D1388="","",VLOOKUP(F1388,製品マスタ!$G$5:$K$4999,5,FALSE))</f>
        <v>MNGTBF</v>
      </c>
      <c r="I1388" s="200" t="str">
        <f>IF(D1388="","",VLOOKUP(F1388,製品マスタ!$G$5:$L$4999,6,FALSE))</f>
        <v>メタルミー　ネーマー　銀艶　Ｂ</v>
      </c>
      <c r="J1388" s="203" t="s">
        <v>935</v>
      </c>
      <c r="K1388" s="200">
        <f>IF(D1388="","",VLOOKUP(D1388,契約台帳!$A$3:$L$4986,12,FALSE))</f>
        <v>50</v>
      </c>
      <c r="L1388" s="200" t="str">
        <f>IF(D1388="","",INDEX(製品マスタ!$Q$5:$Q$4999,MATCH('S4'!F1388&amp;'S4'!K1388,製品マスタ!$AO$5:$AO$4999,0)))</f>
        <v>T62</v>
      </c>
      <c r="M1388" s="37">
        <v>1120</v>
      </c>
      <c r="N1388" s="37">
        <v>5000</v>
      </c>
      <c r="O1388" s="153">
        <v>4</v>
      </c>
      <c r="P1388" s="45">
        <v>2</v>
      </c>
      <c r="Q1388" s="206">
        <v>45264</v>
      </c>
      <c r="R1388" s="257">
        <f ca="1">IF(D1388="","",IF(OFFSET(D1388,-1,0)&lt;&gt;"","",IF(OR(J1388="リード付け",J1388="巻足し",J1388="巻返しリード付け"),M1388,VLOOKUP(D1388,契約台帳!$A$3:$N$4986,14,FALSE))))</f>
        <v>1120</v>
      </c>
      <c r="S1388" s="258">
        <f ca="1">IF(D1388="","",IF(OFFSET(D1388,-1,0)&lt;&gt;"","",IF(OR(J1388="リード付け",J1388="巻足し",J1388="巻返しリード付け"),M1388,VLOOKUP(D1388,契約台帳!$A$3:$O$4986,15,FALSE))))</f>
        <v>1120</v>
      </c>
      <c r="T1388" s="258">
        <f ca="1">IF(D1388="","",IF(J1388="リード付け",N1388,IF(J1388="巻返しリード付け",N1388,IF(J1388="巻足し",N1388*P1388+OFFSET(N1388,1,0)*OFFSET(P1388,1,0),VLOOKUP(D1388,契約台帳!$A$3:$P$4986,16,FALSE)))))</f>
        <v>10000</v>
      </c>
      <c r="U1388" s="38">
        <v>2</v>
      </c>
      <c r="V1388" s="259">
        <f ca="1">IF(D1388="","",IF(OFFSET(D1388,-2,0)=D1388,"",VLOOKUP(D1388,契約台帳!$A$3:$R$4986,18,FALSE)))</f>
        <v>4</v>
      </c>
      <c r="W1388" s="256" t="str">
        <f ca="1">IF(D1388="","",IF(T1388="","",IF(OR(J1388="巻足し",J1388="巻返しリード付け"),"",IF(J1388="巻返し",VLOOKUP(F1388&amp;K1388&amp;M1388,製品マスタ!$M$5:$AD$4999,18,FALSE),IF(OR(J1388="リード付け",J1388="巻返しリード付け"),"原反コア",IF(J1388="スリット",VLOOKUP(F1388&amp;K1388&amp;R1388,製品マスタ!$N$5:$AD$4999,17,FALSE),""))))))</f>
        <v/>
      </c>
      <c r="X1388" s="256" t="str">
        <f ca="1">IF(D1388="","",IF(T1388="","",IF(J1388="巻足し","",IF(J1388="巻返し",VLOOKUP(F1388&amp;K1388&amp;M1388,製品マスタ!$M$5:$AE$4999,19,FALSE),IF(OR(J1388="リード付け",J1388="巻返しリード付け"),"",IF(J1388="スリット",VLOOKUP(F1388&amp;K1388&amp;R1388,製品マスタ!$N$5:$AE$4999,18,FALSE),""))))))</f>
        <v/>
      </c>
      <c r="Y1388" s="256">
        <f ca="1">IF(D1388="","",IF(T1388="","",VLOOKUP(D1388,契約台帳!$A$3:$Q$4986,17,FALSE)))</f>
        <v>2</v>
      </c>
      <c r="Z1388" s="256" t="str">
        <f ca="1">IF(D1388="","",IF(T1388="","",VLOOKUP(D1388,契約台帳!$A$3:$E$4986,5,FALSE)))</f>
        <v>リンテック㈱</v>
      </c>
      <c r="AA1388" s="54"/>
      <c r="AB1388" s="200" t="str">
        <f>IFERROR((VLOOKUP(F1388&amp;K1388&amp;M1388,製品マスタ!$M$5:$AM$4999,27,FALSE)),"")</f>
        <v>原反ケース再利用</v>
      </c>
      <c r="AC1388" s="31"/>
      <c r="AD1388" s="184"/>
      <c r="AE1388" s="51"/>
      <c r="AF1388" s="52">
        <f>+M1388*N1388*O1388/1000</f>
        <v>22400</v>
      </c>
      <c r="AG1388" s="41"/>
      <c r="AH1388" s="45"/>
      <c r="AI1388" s="28"/>
      <c r="AJ1388" s="28"/>
      <c r="AK1388" s="28"/>
      <c r="AL1388" s="28"/>
      <c r="AM1388" s="12"/>
      <c r="AN1388" s="12"/>
      <c r="AO1388" s="12"/>
      <c r="AP1388" s="12"/>
      <c r="AQ1388" s="12"/>
      <c r="AR1388" s="13"/>
      <c r="AS1388" s="14"/>
    </row>
    <row r="1389" spans="1:45" s="16" customFormat="1" ht="30.95" hidden="1" customHeight="1" x14ac:dyDescent="0.2">
      <c r="A1389" s="35"/>
      <c r="B1389" s="36"/>
      <c r="C1389" s="43"/>
      <c r="D1389" s="29"/>
      <c r="E1389" s="29"/>
      <c r="F1389" s="255"/>
      <c r="G1389" s="256"/>
      <c r="H1389" s="256"/>
      <c r="I1389" s="279" t="s">
        <v>1876</v>
      </c>
      <c r="J1389" s="203"/>
      <c r="K1389" s="200"/>
      <c r="L1389" s="200"/>
      <c r="M1389" s="37"/>
      <c r="N1389" s="37"/>
      <c r="O1389" s="153"/>
      <c r="P1389" s="45"/>
      <c r="Q1389" s="54"/>
      <c r="R1389" s="260"/>
      <c r="S1389" s="258"/>
      <c r="T1389" s="258"/>
      <c r="U1389" s="38"/>
      <c r="V1389" s="261"/>
      <c r="W1389" s="256"/>
      <c r="X1389" s="256"/>
      <c r="Y1389" s="256"/>
      <c r="Z1389" s="256"/>
      <c r="AA1389" s="54"/>
      <c r="AB1389" s="200"/>
      <c r="AC1389" s="31"/>
      <c r="AD1389" s="184"/>
      <c r="AE1389" s="51"/>
      <c r="AF1389" s="52"/>
      <c r="AG1389" s="41"/>
      <c r="AH1389" s="45"/>
      <c r="AI1389" s="28"/>
      <c r="AJ1389" s="28"/>
      <c r="AK1389" s="28"/>
      <c r="AL1389" s="28"/>
      <c r="AM1389" s="12"/>
      <c r="AN1389" s="12"/>
      <c r="AO1389" s="12"/>
      <c r="AP1389" s="12"/>
      <c r="AQ1389" s="12"/>
      <c r="AR1389" s="13"/>
      <c r="AS1389" s="14"/>
    </row>
    <row r="1390" spans="1:45" s="16" customFormat="1" ht="30.95" hidden="1" customHeight="1" x14ac:dyDescent="0.2">
      <c r="A1390" s="35" t="s">
        <v>674</v>
      </c>
      <c r="B1390" s="36" t="s">
        <v>688</v>
      </c>
      <c r="C1390" s="43"/>
      <c r="D1390" s="29">
        <v>3735128</v>
      </c>
      <c r="E1390" s="29">
        <v>4162180</v>
      </c>
      <c r="F1390" s="255" t="str">
        <f>IF(D1390="","",VLOOKUP(D1390,契約台帳!$A$3:$K$4986,6,FALSE)&amp;VLOOKUP(D1390,契約台帳!$A$3:$K$4986,7,FALSE)&amp;VLOOKUP(D1390,契約台帳!$A$3:$K$4986,8,FALSE)&amp;VLOOKUP(D1390,契約台帳!$A$3:$K$4986,9,FALSE)&amp;VLOOKUP(D1390,契約台帳!$A$3:$K$4986,11,FALSE))</f>
        <v>3SNMLBMNQR66F</v>
      </c>
      <c r="G1390" s="256" t="str">
        <f>IF(D1390="","",VLOOKUP(F1390,製品マスタ!$G$5:$H$4999,2,FALSE))</f>
        <v>S</v>
      </c>
      <c r="H1390" s="256" t="str">
        <f>IF(D1390="","",VLOOKUP(F1390,製品マスタ!$G$5:$K$4999,5,FALSE))</f>
        <v>MNQR66F</v>
      </c>
      <c r="I1390" s="200" t="str">
        <f>IF(D1390="","",VLOOKUP(F1390,製品マスタ!$G$5:$L$4999,6,FALSE))</f>
        <v>ＱＲ６６蒸着品</v>
      </c>
      <c r="J1390" s="203" t="s">
        <v>935</v>
      </c>
      <c r="K1390" s="200">
        <f>IF(D1390="","",VLOOKUP(D1390,契約台帳!$A$3:$L$4986,12,FALSE))</f>
        <v>25</v>
      </c>
      <c r="L1390" s="200" t="str">
        <f>IF(D1390="","",INDEX(製品マスタ!$Q$5:$Q$4999,MATCH('S4'!F1390&amp;'S4'!K1390,製品マスタ!$AO$5:$AO$4999,0)))</f>
        <v>E315</v>
      </c>
      <c r="M1390" s="37">
        <v>1100</v>
      </c>
      <c r="N1390" s="37">
        <v>6000</v>
      </c>
      <c r="O1390" s="153">
        <v>16</v>
      </c>
      <c r="P1390" s="45">
        <v>4</v>
      </c>
      <c r="Q1390" s="206">
        <v>45266</v>
      </c>
      <c r="R1390" s="257">
        <f ca="1">IF(D1390="","",IF(OFFSET(D1390,-1,0)&lt;&gt;"","",IF(OR(J1390="リード付け",J1390="巻足し",J1390="巻返しリード付け"),M1390,VLOOKUP(D1390,契約台帳!$A$3:$N$4986,14,FALSE))))</f>
        <v>1100</v>
      </c>
      <c r="S1390" s="258">
        <f ca="1">IF(D1390="","",IF(OFFSET(D1390,-1,0)&lt;&gt;"","",IF(OR(J1390="リード付け",J1390="巻足し",J1390="巻返しリード付け"),M1390,VLOOKUP(D1390,契約台帳!$A$3:$O$4986,15,FALSE))))</f>
        <v>1100</v>
      </c>
      <c r="T1390" s="258">
        <f ca="1">IF(D1390="","",IF(J1390="リード付け",N1390,IF(J1390="巻返しリード付け",N1390,IF(J1390="巻足し",N1390*P1390+OFFSET(N1390,1,0)*OFFSET(P1390,1,0),VLOOKUP(D1390,契約台帳!$A$3:$P$4986,16,FALSE)))))</f>
        <v>24000</v>
      </c>
      <c r="U1390" s="38">
        <v>4</v>
      </c>
      <c r="V1390" s="259">
        <f ca="1">IF(D1390="","",IF(OFFSET(D1390,-2,0)=D1390,"",VLOOKUP(D1390,契約台帳!$A$3:$R$4986,18,FALSE)))</f>
        <v>20</v>
      </c>
      <c r="W1390" s="256" t="str">
        <f ca="1">IF(D1390="","",IF(T1390="","",IF(OR(J1390="巻足し",J1390="巻返しリード付け"),"",IF(J1390="巻返し",VLOOKUP(F1390&amp;K1390&amp;M1390,製品マスタ!$M$5:$AD$4999,18,FALSE),IF(OR(J1390="リード付け",J1390="巻返しリード付け"),"原反コア",IF(J1390="スリット",VLOOKUP(F1390&amp;K1390&amp;R1390,製品マスタ!$N$5:$AD$4999,17,FALSE),""))))))</f>
        <v/>
      </c>
      <c r="X1390" s="256" t="str">
        <f ca="1">IF(D1390="","",IF(T1390="","",IF(J1390="巻足し","",IF(J1390="巻返し",VLOOKUP(F1390&amp;K1390&amp;M1390,製品マスタ!$M$5:$AE$4999,19,FALSE),IF(OR(J1390="リード付け",J1390="巻返しリード付け"),"",IF(J1390="スリット",VLOOKUP(F1390&amp;K1390&amp;R1390,製品マスタ!$N$5:$AE$4999,18,FALSE),""))))))</f>
        <v/>
      </c>
      <c r="Y1390" s="256">
        <f ca="1">IF(D1390="","",IF(T1390="","",VLOOKUP(D1390,契約台帳!$A$3:$Q$4986,17,FALSE)))</f>
        <v>2</v>
      </c>
      <c r="Z1390" s="256" t="str">
        <f ca="1">IF(D1390="","",IF(T1390="","",VLOOKUP(D1390,契約台帳!$A$3:$E$4986,5,FALSE)))</f>
        <v>リンテック㈱</v>
      </c>
      <c r="AA1390" s="54"/>
      <c r="AB1390" s="200" t="str">
        <f>IFERROR((VLOOKUP(F1390&amp;K1390&amp;M1390,製品マスタ!$M$5:$AM$4999,27,FALSE)),"")</f>
        <v>原反ケース再利用</v>
      </c>
      <c r="AC1390" s="31"/>
      <c r="AD1390" s="184"/>
      <c r="AE1390" s="51"/>
      <c r="AF1390" s="52">
        <f>+M1390*N1390*O1390/1000</f>
        <v>105600</v>
      </c>
      <c r="AG1390" s="41"/>
      <c r="AH1390" s="45"/>
      <c r="AI1390" s="28"/>
      <c r="AJ1390" s="28"/>
      <c r="AK1390" s="28"/>
      <c r="AL1390" s="28"/>
      <c r="AM1390" s="12"/>
      <c r="AN1390" s="12"/>
      <c r="AO1390" s="12"/>
      <c r="AP1390" s="12"/>
      <c r="AQ1390" s="12"/>
      <c r="AR1390" s="13"/>
      <c r="AS1390" s="14"/>
    </row>
    <row r="1391" spans="1:45" s="16" customFormat="1" ht="30.95" hidden="1" customHeight="1" x14ac:dyDescent="0.2">
      <c r="A1391" s="35"/>
      <c r="B1391" s="36"/>
      <c r="C1391" s="43"/>
      <c r="D1391" s="29"/>
      <c r="E1391" s="29"/>
      <c r="F1391" s="255"/>
      <c r="G1391" s="256"/>
      <c r="H1391" s="256"/>
      <c r="I1391" s="200"/>
      <c r="J1391" s="203"/>
      <c r="K1391" s="200"/>
      <c r="L1391" s="200"/>
      <c r="M1391" s="37"/>
      <c r="N1391" s="37"/>
      <c r="O1391" s="153"/>
      <c r="P1391" s="45"/>
      <c r="Q1391" s="54"/>
      <c r="R1391" s="260"/>
      <c r="S1391" s="258"/>
      <c r="T1391" s="258"/>
      <c r="U1391" s="38"/>
      <c r="V1391" s="261"/>
      <c r="W1391" s="256"/>
      <c r="X1391" s="256"/>
      <c r="Y1391" s="256"/>
      <c r="Z1391" s="256"/>
      <c r="AA1391" s="54"/>
      <c r="AB1391" s="200"/>
      <c r="AC1391" s="31"/>
      <c r="AD1391" s="184"/>
      <c r="AE1391" s="51"/>
      <c r="AF1391" s="52"/>
      <c r="AG1391" s="41"/>
      <c r="AH1391" s="45"/>
      <c r="AI1391" s="28"/>
      <c r="AJ1391" s="28"/>
      <c r="AK1391" s="28"/>
      <c r="AL1391" s="28"/>
      <c r="AM1391" s="12"/>
      <c r="AN1391" s="12"/>
      <c r="AO1391" s="12"/>
      <c r="AP1391" s="12"/>
      <c r="AQ1391" s="12"/>
      <c r="AR1391" s="13"/>
      <c r="AS1391" s="14"/>
    </row>
    <row r="1392" spans="1:45" s="16" customFormat="1" ht="30.95" hidden="1" customHeight="1" x14ac:dyDescent="0.2">
      <c r="A1392" s="35" t="s">
        <v>675</v>
      </c>
      <c r="B1392" s="36" t="s">
        <v>443</v>
      </c>
      <c r="C1392" s="43"/>
      <c r="D1392" s="29">
        <v>3735128</v>
      </c>
      <c r="E1392" s="29">
        <v>4162180</v>
      </c>
      <c r="F1392" s="255" t="str">
        <f>IF(D1392="","",VLOOKUP(D1392,契約台帳!$A$3:$K$4986,6,FALSE)&amp;VLOOKUP(D1392,契約台帳!$A$3:$K$4986,7,FALSE)&amp;VLOOKUP(D1392,契約台帳!$A$3:$K$4986,8,FALSE)&amp;VLOOKUP(D1392,契約台帳!$A$3:$K$4986,9,FALSE)&amp;VLOOKUP(D1392,契約台帳!$A$3:$K$4986,11,FALSE))</f>
        <v>3SNMLBMNQR66F</v>
      </c>
      <c r="G1392" s="256" t="str">
        <f>IF(D1392="","",VLOOKUP(F1392,製品マスタ!$G$5:$H$4999,2,FALSE))</f>
        <v>S</v>
      </c>
      <c r="H1392" s="256" t="str">
        <f>IF(D1392="","",VLOOKUP(F1392,製品マスタ!$G$5:$K$4999,5,FALSE))</f>
        <v>MNQR66F</v>
      </c>
      <c r="I1392" s="200" t="str">
        <f>IF(D1392="","",VLOOKUP(F1392,製品マスタ!$G$5:$L$4999,6,FALSE))</f>
        <v>ＱＲ６６蒸着品</v>
      </c>
      <c r="J1392" s="203" t="s">
        <v>935</v>
      </c>
      <c r="K1392" s="200">
        <f>IF(D1392="","",VLOOKUP(D1392,契約台帳!$A$3:$L$4986,12,FALSE))</f>
        <v>25</v>
      </c>
      <c r="L1392" s="200" t="str">
        <f>IF(D1392="","",INDEX(製品マスタ!$Q$5:$Q$4999,MATCH('S4'!F1392&amp;'S4'!K1392,製品マスタ!$AO$5:$AO$4999,0)))</f>
        <v>E315</v>
      </c>
      <c r="M1392" s="37">
        <v>1100</v>
      </c>
      <c r="N1392" s="37">
        <v>6000</v>
      </c>
      <c r="O1392" s="153">
        <v>4</v>
      </c>
      <c r="P1392" s="45">
        <v>4</v>
      </c>
      <c r="Q1392" s="206">
        <v>45266</v>
      </c>
      <c r="R1392" s="257">
        <f ca="1">IF(D1392="","",IF(OFFSET(D1392,-1,0)&lt;&gt;"","",IF(OR(J1392="リード付け",J1392="巻足し",J1392="巻返しリード付け"),M1392,VLOOKUP(D1392,契約台帳!$A$3:$N$4986,14,FALSE))))</f>
        <v>1100</v>
      </c>
      <c r="S1392" s="258">
        <f ca="1">IF(D1392="","",IF(OFFSET(D1392,-1,0)&lt;&gt;"","",IF(OR(J1392="リード付け",J1392="巻足し",J1392="巻返しリード付け"),M1392,VLOOKUP(D1392,契約台帳!$A$3:$O$4986,15,FALSE))))</f>
        <v>1100</v>
      </c>
      <c r="T1392" s="258">
        <f ca="1">IF(D1392="","",IF(J1392="リード付け",N1392,IF(J1392="巻返しリード付け",N1392,IF(J1392="巻足し",N1392*P1392+OFFSET(N1392,1,0)*OFFSET(P1392,1,0),VLOOKUP(D1392,契約台帳!$A$3:$P$4986,16,FALSE)))))</f>
        <v>24000</v>
      </c>
      <c r="U1392" s="38">
        <v>1</v>
      </c>
      <c r="V1392" s="259" t="str">
        <f ca="1">IF(D1392="","",IF(OFFSET(D1392,-2,0)=D1392,"",VLOOKUP(D1392,契約台帳!$A$3:$R$4986,18,FALSE)))</f>
        <v/>
      </c>
      <c r="W1392" s="256" t="str">
        <f ca="1">IF(D1392="","",IF(T1392="","",IF(OR(J1392="巻足し",J1392="巻返しリード付け"),"",IF(J1392="巻返し",VLOOKUP(F1392&amp;K1392&amp;M1392,製品マスタ!$M$5:$AD$4999,18,FALSE),IF(OR(J1392="リード付け",J1392="巻返しリード付け"),"原反コア",IF(J1392="スリット",VLOOKUP(F1392&amp;K1392&amp;R1392,製品マスタ!$N$5:$AD$4999,17,FALSE),""))))))</f>
        <v/>
      </c>
      <c r="X1392" s="256" t="str">
        <f ca="1">IF(D1392="","",IF(T1392="","",IF(J1392="巻足し","",IF(J1392="巻返し",VLOOKUP(F1392&amp;K1392&amp;M1392,製品マスタ!$M$5:$AE$4999,19,FALSE),IF(OR(J1392="リード付け",J1392="巻返しリード付け"),"",IF(J1392="スリット",VLOOKUP(F1392&amp;K1392&amp;R1392,製品マスタ!$N$5:$AE$4999,18,FALSE),""))))))</f>
        <v/>
      </c>
      <c r="Y1392" s="256">
        <f ca="1">IF(D1392="","",IF(T1392="","",VLOOKUP(D1392,契約台帳!$A$3:$Q$4986,17,FALSE)))</f>
        <v>2</v>
      </c>
      <c r="Z1392" s="256" t="str">
        <f ca="1">IF(D1392="","",IF(T1392="","",VLOOKUP(D1392,契約台帳!$A$3:$E$4986,5,FALSE)))</f>
        <v>リンテック㈱</v>
      </c>
      <c r="AA1392" s="54"/>
      <c r="AB1392" s="200" t="str">
        <f>IFERROR((VLOOKUP(F1392&amp;K1392&amp;M1392,製品マスタ!$M$5:$AM$4999,27,FALSE)),"")</f>
        <v>原反ケース再利用</v>
      </c>
      <c r="AC1392" s="31"/>
      <c r="AD1392" s="184"/>
      <c r="AE1392" s="51"/>
      <c r="AF1392" s="52">
        <f>+M1392*N1392*O1392/1000</f>
        <v>26400</v>
      </c>
      <c r="AG1392" s="41"/>
      <c r="AH1392" s="45"/>
      <c r="AI1392" s="28"/>
      <c r="AJ1392" s="28"/>
      <c r="AK1392" s="28"/>
      <c r="AL1392" s="28"/>
      <c r="AM1392" s="12"/>
      <c r="AN1392" s="12"/>
      <c r="AO1392" s="12"/>
      <c r="AP1392" s="12"/>
      <c r="AQ1392" s="12"/>
      <c r="AR1392" s="13"/>
      <c r="AS1392" s="14"/>
    </row>
    <row r="1393" spans="1:45" s="16" customFormat="1" ht="30.95" hidden="1" customHeight="1" x14ac:dyDescent="0.2">
      <c r="A1393" s="35"/>
      <c r="B1393" s="36"/>
      <c r="C1393" s="43"/>
      <c r="D1393" s="29"/>
      <c r="E1393" s="29"/>
      <c r="F1393" s="255"/>
      <c r="G1393" s="256"/>
      <c r="H1393" s="256"/>
      <c r="I1393" s="200"/>
      <c r="J1393" s="203"/>
      <c r="K1393" s="200"/>
      <c r="L1393" s="200"/>
      <c r="M1393" s="37"/>
      <c r="N1393" s="37"/>
      <c r="O1393" s="153"/>
      <c r="P1393" s="45"/>
      <c r="Q1393" s="54"/>
      <c r="R1393" s="260"/>
      <c r="S1393" s="258"/>
      <c r="T1393" s="258"/>
      <c r="U1393" s="38"/>
      <c r="V1393" s="261"/>
      <c r="W1393" s="256"/>
      <c r="X1393" s="256"/>
      <c r="Y1393" s="256"/>
      <c r="Z1393" s="256"/>
      <c r="AA1393" s="54"/>
      <c r="AB1393" s="200"/>
      <c r="AC1393" s="31"/>
      <c r="AD1393" s="184"/>
      <c r="AE1393" s="51"/>
      <c r="AF1393" s="52"/>
      <c r="AG1393" s="41"/>
      <c r="AH1393" s="45"/>
      <c r="AI1393" s="28"/>
      <c r="AJ1393" s="28"/>
      <c r="AK1393" s="28"/>
      <c r="AL1393" s="28"/>
      <c r="AM1393" s="12"/>
      <c r="AN1393" s="12"/>
      <c r="AO1393" s="12"/>
      <c r="AP1393" s="12"/>
      <c r="AQ1393" s="12"/>
      <c r="AR1393" s="13"/>
      <c r="AS1393" s="14"/>
    </row>
    <row r="1394" spans="1:45" s="16" customFormat="1" ht="30.95" hidden="1" customHeight="1" x14ac:dyDescent="0.2">
      <c r="A1394" s="35"/>
      <c r="B1394" s="36"/>
      <c r="C1394" s="43"/>
      <c r="D1394" s="29">
        <v>3735127</v>
      </c>
      <c r="E1394" s="29">
        <v>4162179</v>
      </c>
      <c r="F1394" s="255" t="str">
        <f>IF(D1394="","",VLOOKUP(D1394,契約台帳!$A$3:$K$4986,6,FALSE)&amp;VLOOKUP(D1394,契約台帳!$A$3:$K$4986,7,FALSE)&amp;VLOOKUP(D1394,契約台帳!$A$3:$K$4986,8,FALSE)&amp;VLOOKUP(D1394,契約台帳!$A$3:$K$4986,9,FALSE)&amp;VLOOKUP(D1394,契約台帳!$A$3:$K$4986,11,FALSE))</f>
        <v>3SNMLBMNQR66F</v>
      </c>
      <c r="G1394" s="256" t="str">
        <f>IF(D1394="","",VLOOKUP(F1394,製品マスタ!$G$5:$H$4999,2,FALSE))</f>
        <v>S</v>
      </c>
      <c r="H1394" s="256" t="str">
        <f>IF(D1394="","",VLOOKUP(F1394,製品マスタ!$G$5:$K$4999,5,FALSE))</f>
        <v>MNQR66F</v>
      </c>
      <c r="I1394" s="200" t="str">
        <f>IF(D1394="","",VLOOKUP(F1394,製品マスタ!$G$5:$L$4999,6,FALSE))</f>
        <v>ＱＲ６６蒸着品</v>
      </c>
      <c r="J1394" s="203" t="s">
        <v>935</v>
      </c>
      <c r="K1394" s="200">
        <f>IF(D1394="","",VLOOKUP(D1394,契約台帳!$A$3:$L$4986,12,FALSE))</f>
        <v>25</v>
      </c>
      <c r="L1394" s="200" t="str">
        <f>IF(D1394="","",INDEX(製品マスタ!$Q$5:$Q$4999,MATCH('S4'!F1394&amp;'S4'!K1394,製品マスタ!$AO$5:$AO$4999,0)))</f>
        <v>E315</v>
      </c>
      <c r="M1394" s="37">
        <v>1000</v>
      </c>
      <c r="N1394" s="37">
        <v>6000</v>
      </c>
      <c r="O1394" s="153">
        <v>3</v>
      </c>
      <c r="P1394" s="45">
        <v>3</v>
      </c>
      <c r="Q1394" s="206">
        <v>45266</v>
      </c>
      <c r="R1394" s="257">
        <f ca="1">IF(D1394="","",IF(OFFSET(D1394,-1,0)&lt;&gt;"","",IF(OR(J1394="リード付け",J1394="巻足し",J1394="巻返しリード付け"),M1394,VLOOKUP(D1394,契約台帳!$A$3:$N$4986,14,FALSE))))</f>
        <v>1000</v>
      </c>
      <c r="S1394" s="258">
        <f ca="1">IF(D1394="","",IF(OFFSET(D1394,-1,0)&lt;&gt;"","",IF(OR(J1394="リード付け",J1394="巻足し",J1394="巻返しリード付け"),M1394,VLOOKUP(D1394,契約台帳!$A$3:$O$4986,15,FALSE))))</f>
        <v>1000</v>
      </c>
      <c r="T1394" s="258">
        <f ca="1">IF(D1394="","",IF(J1394="リード付け",N1394,IF(J1394="巻返しリード付け",N1394,IF(J1394="巻足し",N1394*P1394+OFFSET(N1394,1,0)*OFFSET(P1394,1,0),VLOOKUP(D1394,契約台帳!$A$3:$P$4986,16,FALSE)))))</f>
        <v>18000</v>
      </c>
      <c r="U1394" s="38">
        <v>1</v>
      </c>
      <c r="V1394" s="259">
        <f ca="1">IF(D1394="","",IF(OFFSET(D1394,-2,0)=D1394,"",VLOOKUP(D1394,契約台帳!$A$3:$R$4986,18,FALSE)))</f>
        <v>3</v>
      </c>
      <c r="W1394" s="256" t="str">
        <f ca="1">IF(D1394="","",IF(T1394="","",IF(OR(J1394="巻足し",J1394="巻返しリード付け"),"",IF(J1394="巻返し",VLOOKUP(F1394&amp;K1394&amp;M1394,製品マスタ!$M$5:$AD$4999,18,FALSE),IF(OR(J1394="リード付け",J1394="巻返しリード付け"),"原反コア",IF(J1394="スリット",VLOOKUP(F1394&amp;K1394&amp;R1394,製品マスタ!$N$5:$AD$4999,17,FALSE),""))))))</f>
        <v/>
      </c>
      <c r="X1394" s="256" t="str">
        <f ca="1">IF(D1394="","",IF(T1394="","",IF(J1394="巻足し","",IF(J1394="巻返し",VLOOKUP(F1394&amp;K1394&amp;M1394,製品マスタ!$M$5:$AE$4999,19,FALSE),IF(OR(J1394="リード付け",J1394="巻返しリード付け"),"",IF(J1394="スリット",VLOOKUP(F1394&amp;K1394&amp;R1394,製品マスタ!$N$5:$AE$4999,18,FALSE),""))))))</f>
        <v/>
      </c>
      <c r="Y1394" s="256">
        <f ca="1">IF(D1394="","",IF(T1394="","",VLOOKUP(D1394,契約台帳!$A$3:$Q$4986,17,FALSE)))</f>
        <v>2</v>
      </c>
      <c r="Z1394" s="256" t="str">
        <f ca="1">IF(D1394="","",IF(T1394="","",VLOOKUP(D1394,契約台帳!$A$3:$E$4986,5,FALSE)))</f>
        <v>リンテック㈱</v>
      </c>
      <c r="AA1394" s="54"/>
      <c r="AB1394" s="200" t="str">
        <f>IFERROR((VLOOKUP(F1394&amp;K1394&amp;M1394,製品マスタ!$M$5:$AM$4999,27,FALSE)),"")</f>
        <v>原反ケース再利用</v>
      </c>
      <c r="AC1394" s="31"/>
      <c r="AD1394" s="184"/>
      <c r="AE1394" s="51"/>
      <c r="AF1394" s="52">
        <f>+M1394*N1394*O1394/1000</f>
        <v>18000</v>
      </c>
      <c r="AG1394" s="41"/>
      <c r="AH1394" s="45"/>
      <c r="AI1394" s="28"/>
      <c r="AJ1394" s="28"/>
      <c r="AK1394" s="28"/>
      <c r="AL1394" s="28"/>
      <c r="AM1394" s="12"/>
      <c r="AN1394" s="12"/>
      <c r="AO1394" s="12"/>
      <c r="AP1394" s="12"/>
      <c r="AQ1394" s="12"/>
      <c r="AR1394" s="13"/>
      <c r="AS1394" s="14"/>
    </row>
    <row r="1395" spans="1:45" s="16" customFormat="1" ht="30.95" hidden="1" customHeight="1" x14ac:dyDescent="0.2">
      <c r="A1395" s="35"/>
      <c r="B1395" s="36"/>
      <c r="C1395" s="43"/>
      <c r="D1395" s="29"/>
      <c r="E1395" s="29"/>
      <c r="F1395" s="255"/>
      <c r="G1395" s="256"/>
      <c r="H1395" s="256"/>
      <c r="I1395" s="200"/>
      <c r="J1395" s="203"/>
      <c r="K1395" s="200"/>
      <c r="L1395" s="200"/>
      <c r="M1395" s="37"/>
      <c r="N1395" s="37"/>
      <c r="O1395" s="153"/>
      <c r="P1395" s="45"/>
      <c r="Q1395" s="54"/>
      <c r="R1395" s="260"/>
      <c r="S1395" s="258"/>
      <c r="T1395" s="258"/>
      <c r="U1395" s="38"/>
      <c r="V1395" s="261"/>
      <c r="W1395" s="256"/>
      <c r="X1395" s="256"/>
      <c r="Y1395" s="256"/>
      <c r="Z1395" s="256"/>
      <c r="AA1395" s="54"/>
      <c r="AB1395" s="200"/>
      <c r="AC1395" s="31"/>
      <c r="AD1395" s="184"/>
      <c r="AE1395" s="51"/>
      <c r="AF1395" s="52"/>
      <c r="AG1395" s="41"/>
      <c r="AH1395" s="45"/>
      <c r="AI1395" s="28"/>
      <c r="AJ1395" s="28"/>
      <c r="AK1395" s="28"/>
      <c r="AL1395" s="28"/>
      <c r="AM1395" s="12"/>
      <c r="AN1395" s="12"/>
      <c r="AO1395" s="12"/>
      <c r="AP1395" s="12"/>
      <c r="AQ1395" s="12"/>
      <c r="AR1395" s="13"/>
      <c r="AS1395" s="14"/>
    </row>
    <row r="1396" spans="1:45" s="16" customFormat="1" ht="30.95" hidden="1" customHeight="1" x14ac:dyDescent="0.2">
      <c r="A1396" s="35"/>
      <c r="B1396" s="36"/>
      <c r="C1396" s="43"/>
      <c r="D1396" s="29">
        <v>3735107</v>
      </c>
      <c r="E1396" s="29">
        <v>4162160</v>
      </c>
      <c r="F1396" s="255" t="str">
        <f>IF(D1396="","",VLOOKUP(D1396,契約台帳!$A$3:$K$4986,6,FALSE)&amp;VLOOKUP(D1396,契約台帳!$A$3:$K$4986,7,FALSE)&amp;VLOOKUP(D1396,契約台帳!$A$3:$K$4986,8,FALSE)&amp;VLOOKUP(D1396,契約台帳!$A$3:$K$4986,9,FALSE)&amp;VLOOKUP(D1396,契約台帳!$A$3:$K$4986,11,FALSE))</f>
        <v>3SNMLBMNGKKBF</v>
      </c>
      <c r="G1396" s="256" t="str">
        <f>IF(D1396="","",VLOOKUP(F1396,製品マスタ!$G$5:$H$4999,2,FALSE))</f>
        <v>S</v>
      </c>
      <c r="H1396" s="256" t="str">
        <f>IF(D1396="","",VLOOKUP(F1396,製品マスタ!$G$5:$K$4999,5,FALSE))</f>
        <v>MNGKKBF</v>
      </c>
      <c r="I1396" s="200" t="str">
        <f>IF(D1396="","",VLOOKUP(F1396,製品マスタ!$G$5:$L$4999,6,FALSE))</f>
        <v>メタルミー　ネーマー銀消改　Ｂ</v>
      </c>
      <c r="J1396" s="203" t="s">
        <v>935</v>
      </c>
      <c r="K1396" s="200">
        <f>IF(D1396="","",VLOOKUP(D1396,契約台帳!$A$3:$L$4986,12,FALSE))</f>
        <v>50</v>
      </c>
      <c r="L1396" s="200" t="str">
        <f>IF(D1396="","",INDEX(製品マスタ!$Q$5:$Q$4999,MATCH('S4'!F1396&amp;'S4'!K1396,製品マスタ!$AO$5:$AO$4999,0)))</f>
        <v>S99-MAT</v>
      </c>
      <c r="M1396" s="37">
        <v>1120</v>
      </c>
      <c r="N1396" s="37">
        <v>4000</v>
      </c>
      <c r="O1396" s="153">
        <v>9</v>
      </c>
      <c r="P1396" s="45">
        <v>3</v>
      </c>
      <c r="Q1396" s="206">
        <v>45266</v>
      </c>
      <c r="R1396" s="257">
        <f ca="1">IF(D1396="","",IF(OFFSET(D1396,-1,0)&lt;&gt;"","",IF(OR(J1396="リード付け",J1396="巻足し",J1396="巻返しリード付け"),M1396,VLOOKUP(D1396,契約台帳!$A$3:$N$4986,14,FALSE))))</f>
        <v>1120</v>
      </c>
      <c r="S1396" s="258">
        <f ca="1">IF(D1396="","",IF(OFFSET(D1396,-1,0)&lt;&gt;"","",IF(OR(J1396="リード付け",J1396="巻足し",J1396="巻返しリード付け"),M1396,VLOOKUP(D1396,契約台帳!$A$3:$O$4986,15,FALSE))))</f>
        <v>1120</v>
      </c>
      <c r="T1396" s="258">
        <f ca="1">IF(D1396="","",IF(J1396="リード付け",N1396,IF(J1396="巻返しリード付け",N1396,IF(J1396="巻足し",N1396*P1396+OFFSET(N1396,1,0)*OFFSET(P1396,1,0),VLOOKUP(D1396,契約台帳!$A$3:$P$4986,16,FALSE)))))</f>
        <v>12000</v>
      </c>
      <c r="U1396" s="38">
        <v>3</v>
      </c>
      <c r="V1396" s="259">
        <f ca="1">IF(D1396="","",IF(OFFSET(D1396,-2,0)=D1396,"",VLOOKUP(D1396,契約台帳!$A$3:$R$4986,18,FALSE)))</f>
        <v>15</v>
      </c>
      <c r="W1396" s="256" t="str">
        <f ca="1">IF(D1396="","",IF(T1396="","",IF(OR(J1396="巻足し",J1396="巻返しリード付け"),"",IF(J1396="巻返し",VLOOKUP(F1396&amp;K1396&amp;M1396,製品マスタ!$M$5:$AD$4999,18,FALSE),IF(OR(J1396="リード付け",J1396="巻返しリード付け"),"原反コア",IF(J1396="スリット",VLOOKUP(F1396&amp;K1396&amp;R1396,製品マスタ!$N$5:$AD$4999,17,FALSE),""))))))</f>
        <v/>
      </c>
      <c r="X1396" s="256" t="str">
        <f ca="1">IF(D1396="","",IF(T1396="","",IF(J1396="巻足し","",IF(J1396="巻返し",VLOOKUP(F1396&amp;K1396&amp;M1396,製品マスタ!$M$5:$AE$4999,19,FALSE),IF(OR(J1396="リード付け",J1396="巻返しリード付け"),"",IF(J1396="スリット",VLOOKUP(F1396&amp;K1396&amp;R1396,製品マスタ!$N$5:$AE$4999,18,FALSE),""))))))</f>
        <v/>
      </c>
      <c r="Y1396" s="256">
        <f ca="1">IF(D1396="","",IF(T1396="","",VLOOKUP(D1396,契約台帳!$A$3:$Q$4986,17,FALSE)))</f>
        <v>2</v>
      </c>
      <c r="Z1396" s="256" t="str">
        <f ca="1">IF(D1396="","",IF(T1396="","",VLOOKUP(D1396,契約台帳!$A$3:$E$4986,5,FALSE)))</f>
        <v>リンテック㈱</v>
      </c>
      <c r="AA1396" s="54"/>
      <c r="AB1396" s="200">
        <f>IFERROR((VLOOKUP(F1396&amp;K1396&amp;M1396,製品マスタ!$M$5:$AM$4999,27,FALSE)),"")</f>
        <v>0</v>
      </c>
      <c r="AC1396" s="31"/>
      <c r="AD1396" s="184"/>
      <c r="AE1396" s="51"/>
      <c r="AF1396" s="52">
        <f>+M1396*N1396*O1396/1000</f>
        <v>40320</v>
      </c>
      <c r="AG1396" s="41"/>
      <c r="AH1396" s="45"/>
      <c r="AI1396" s="28"/>
      <c r="AJ1396" s="28"/>
      <c r="AK1396" s="28"/>
      <c r="AL1396" s="28"/>
      <c r="AM1396" s="12"/>
      <c r="AN1396" s="12"/>
      <c r="AO1396" s="12"/>
      <c r="AP1396" s="12"/>
      <c r="AQ1396" s="12"/>
      <c r="AR1396" s="13"/>
      <c r="AS1396" s="14"/>
    </row>
    <row r="1397" spans="1:45" s="16" customFormat="1" ht="30.95" hidden="1" customHeight="1" x14ac:dyDescent="0.2">
      <c r="A1397" s="35"/>
      <c r="B1397" s="36"/>
      <c r="C1397" s="43"/>
      <c r="D1397" s="29"/>
      <c r="E1397" s="29"/>
      <c r="F1397" s="255"/>
      <c r="G1397" s="256"/>
      <c r="H1397" s="256"/>
      <c r="I1397" s="200"/>
      <c r="J1397" s="203"/>
      <c r="K1397" s="200"/>
      <c r="L1397" s="200"/>
      <c r="M1397" s="37"/>
      <c r="N1397" s="37"/>
      <c r="O1397" s="153"/>
      <c r="P1397" s="45"/>
      <c r="Q1397" s="54"/>
      <c r="R1397" s="260"/>
      <c r="S1397" s="258"/>
      <c r="T1397" s="258"/>
      <c r="U1397" s="38"/>
      <c r="V1397" s="261"/>
      <c r="W1397" s="256"/>
      <c r="X1397" s="256"/>
      <c r="Y1397" s="256"/>
      <c r="Z1397" s="256"/>
      <c r="AA1397" s="54"/>
      <c r="AB1397" s="200"/>
      <c r="AC1397" s="31"/>
      <c r="AD1397" s="184"/>
      <c r="AE1397" s="51"/>
      <c r="AF1397" s="52"/>
      <c r="AG1397" s="41"/>
      <c r="AH1397" s="45"/>
      <c r="AI1397" s="28"/>
      <c r="AJ1397" s="28"/>
      <c r="AK1397" s="28"/>
      <c r="AL1397" s="28"/>
      <c r="AM1397" s="12"/>
      <c r="AN1397" s="12"/>
      <c r="AO1397" s="12"/>
      <c r="AP1397" s="12"/>
      <c r="AQ1397" s="12"/>
      <c r="AR1397" s="13"/>
      <c r="AS1397" s="14"/>
    </row>
    <row r="1398" spans="1:45" s="16" customFormat="1" ht="30.95" hidden="1" customHeight="1" x14ac:dyDescent="0.2">
      <c r="A1398" s="35" t="s">
        <v>676</v>
      </c>
      <c r="B1398" s="36" t="s">
        <v>444</v>
      </c>
      <c r="C1398" s="43"/>
      <c r="D1398" s="29">
        <v>3735107</v>
      </c>
      <c r="E1398" s="29">
        <v>4162160</v>
      </c>
      <c r="F1398" s="255" t="str">
        <f>IF(D1398="","",VLOOKUP(D1398,契約台帳!$A$3:$K$4986,6,FALSE)&amp;VLOOKUP(D1398,契約台帳!$A$3:$K$4986,7,FALSE)&amp;VLOOKUP(D1398,契約台帳!$A$3:$K$4986,8,FALSE)&amp;VLOOKUP(D1398,契約台帳!$A$3:$K$4986,9,FALSE)&amp;VLOOKUP(D1398,契約台帳!$A$3:$K$4986,11,FALSE))</f>
        <v>3SNMLBMNGKKBF</v>
      </c>
      <c r="G1398" s="256" t="str">
        <f>IF(D1398="","",VLOOKUP(F1398,製品マスタ!$G$5:$H$4999,2,FALSE))</f>
        <v>S</v>
      </c>
      <c r="H1398" s="256" t="str">
        <f>IF(D1398="","",VLOOKUP(F1398,製品マスタ!$G$5:$K$4999,5,FALSE))</f>
        <v>MNGKKBF</v>
      </c>
      <c r="I1398" s="200" t="str">
        <f>IF(D1398="","",VLOOKUP(F1398,製品マスタ!$G$5:$L$4999,6,FALSE))</f>
        <v>メタルミー　ネーマー銀消改　Ｂ</v>
      </c>
      <c r="J1398" s="203" t="s">
        <v>935</v>
      </c>
      <c r="K1398" s="200">
        <f>IF(D1398="","",VLOOKUP(D1398,契約台帳!$A$3:$L$4986,12,FALSE))</f>
        <v>50</v>
      </c>
      <c r="L1398" s="200" t="str">
        <f>IF(D1398="","",INDEX(製品マスタ!$Q$5:$Q$4999,MATCH('S4'!F1398&amp;'S4'!K1398,製品マスタ!$AO$5:$AO$4999,0)))</f>
        <v>S99-MAT</v>
      </c>
      <c r="M1398" s="37">
        <v>1120</v>
      </c>
      <c r="N1398" s="37">
        <v>4000</v>
      </c>
      <c r="O1398" s="153">
        <v>6</v>
      </c>
      <c r="P1398" s="45">
        <v>3</v>
      </c>
      <c r="Q1398" s="206">
        <v>45266</v>
      </c>
      <c r="R1398" s="257">
        <f ca="1">IF(D1398="","",IF(OFFSET(D1398,-1,0)&lt;&gt;"","",IF(OR(J1398="リード付け",J1398="巻足し",J1398="巻返しリード付け"),M1398,VLOOKUP(D1398,契約台帳!$A$3:$N$4986,14,FALSE))))</f>
        <v>1120</v>
      </c>
      <c r="S1398" s="258">
        <f ca="1">IF(D1398="","",IF(OFFSET(D1398,-1,0)&lt;&gt;"","",IF(OR(J1398="リード付け",J1398="巻足し",J1398="巻返しリード付け"),M1398,VLOOKUP(D1398,契約台帳!$A$3:$O$4986,15,FALSE))))</f>
        <v>1120</v>
      </c>
      <c r="T1398" s="258">
        <f ca="1">IF(D1398="","",IF(J1398="リード付け",N1398,IF(J1398="巻返しリード付け",N1398,IF(J1398="巻足し",N1398*P1398+OFFSET(N1398,1,0)*OFFSET(P1398,1,0),VLOOKUP(D1398,契約台帳!$A$3:$P$4986,16,FALSE)))))</f>
        <v>12000</v>
      </c>
      <c r="U1398" s="38">
        <v>2</v>
      </c>
      <c r="V1398" s="259" t="str">
        <f ca="1">IF(D1398="","",IF(OFFSET(D1398,-2,0)=D1398,"",VLOOKUP(D1398,契約台帳!$A$3:$R$4986,18,FALSE)))</f>
        <v/>
      </c>
      <c r="W1398" s="256" t="str">
        <f ca="1">IF(D1398="","",IF(T1398="","",IF(OR(J1398="巻足し",J1398="巻返しリード付け"),"",IF(J1398="巻返し",VLOOKUP(F1398&amp;K1398&amp;M1398,製品マスタ!$M$5:$AD$4999,18,FALSE),IF(OR(J1398="リード付け",J1398="巻返しリード付け"),"原反コア",IF(J1398="スリット",VLOOKUP(F1398&amp;K1398&amp;R1398,製品マスタ!$N$5:$AD$4999,17,FALSE),""))))))</f>
        <v/>
      </c>
      <c r="X1398" s="256" t="str">
        <f ca="1">IF(D1398="","",IF(T1398="","",IF(J1398="巻足し","",IF(J1398="巻返し",VLOOKUP(F1398&amp;K1398&amp;M1398,製品マスタ!$M$5:$AE$4999,19,FALSE),IF(OR(J1398="リード付け",J1398="巻返しリード付け"),"",IF(J1398="スリット",VLOOKUP(F1398&amp;K1398&amp;R1398,製品マスタ!$N$5:$AE$4999,18,FALSE),""))))))</f>
        <v/>
      </c>
      <c r="Y1398" s="256">
        <f ca="1">IF(D1398="","",IF(T1398="","",VLOOKUP(D1398,契約台帳!$A$3:$Q$4986,17,FALSE)))</f>
        <v>2</v>
      </c>
      <c r="Z1398" s="256" t="str">
        <f ca="1">IF(D1398="","",IF(T1398="","",VLOOKUP(D1398,契約台帳!$A$3:$E$4986,5,FALSE)))</f>
        <v>リンテック㈱</v>
      </c>
      <c r="AA1398" s="54"/>
      <c r="AB1398" s="200">
        <f>IFERROR((VLOOKUP(F1398&amp;K1398&amp;M1398,製品マスタ!$M$5:$AM$4999,27,FALSE)),"")</f>
        <v>0</v>
      </c>
      <c r="AC1398" s="31"/>
      <c r="AD1398" s="184"/>
      <c r="AE1398" s="51"/>
      <c r="AF1398" s="52">
        <f>+M1398*N1398*O1398/1000</f>
        <v>26880</v>
      </c>
      <c r="AG1398" s="41"/>
      <c r="AH1398" s="45"/>
      <c r="AI1398" s="28"/>
      <c r="AJ1398" s="28"/>
      <c r="AK1398" s="28"/>
      <c r="AL1398" s="28"/>
      <c r="AM1398" s="12"/>
      <c r="AN1398" s="12"/>
      <c r="AO1398" s="12"/>
      <c r="AP1398" s="12"/>
      <c r="AQ1398" s="12"/>
      <c r="AR1398" s="13"/>
      <c r="AS1398" s="14"/>
    </row>
    <row r="1399" spans="1:45" s="16" customFormat="1" ht="30.95" hidden="1" customHeight="1" x14ac:dyDescent="0.2">
      <c r="A1399" s="35"/>
      <c r="B1399" s="36"/>
      <c r="C1399" s="43"/>
      <c r="D1399" s="29"/>
      <c r="E1399" s="29"/>
      <c r="F1399" s="255"/>
      <c r="G1399" s="256"/>
      <c r="H1399" s="256"/>
      <c r="I1399" s="200"/>
      <c r="J1399" s="203"/>
      <c r="K1399" s="200"/>
      <c r="L1399" s="200"/>
      <c r="M1399" s="37"/>
      <c r="N1399" s="37"/>
      <c r="O1399" s="153"/>
      <c r="P1399" s="45"/>
      <c r="Q1399" s="54"/>
      <c r="R1399" s="260"/>
      <c r="S1399" s="258"/>
      <c r="T1399" s="258"/>
      <c r="U1399" s="38"/>
      <c r="V1399" s="261"/>
      <c r="W1399" s="256"/>
      <c r="X1399" s="256"/>
      <c r="Y1399" s="256"/>
      <c r="Z1399" s="256"/>
      <c r="AA1399" s="54"/>
      <c r="AB1399" s="200"/>
      <c r="AC1399" s="31"/>
      <c r="AD1399" s="184"/>
      <c r="AE1399" s="51"/>
      <c r="AF1399" s="52"/>
      <c r="AG1399" s="41"/>
      <c r="AH1399" s="45"/>
      <c r="AI1399" s="28"/>
      <c r="AJ1399" s="28"/>
      <c r="AK1399" s="28"/>
      <c r="AL1399" s="28"/>
      <c r="AM1399" s="12"/>
      <c r="AN1399" s="12"/>
      <c r="AO1399" s="12"/>
      <c r="AP1399" s="12"/>
      <c r="AQ1399" s="12"/>
      <c r="AR1399" s="13"/>
      <c r="AS1399" s="14"/>
    </row>
    <row r="1400" spans="1:45" s="16" customFormat="1" ht="30.95" hidden="1" customHeight="1" x14ac:dyDescent="0.2">
      <c r="A1400" s="35"/>
      <c r="B1400" s="36"/>
      <c r="C1400" s="43"/>
      <c r="D1400" s="29">
        <v>3735108</v>
      </c>
      <c r="E1400" s="29">
        <v>4162161</v>
      </c>
      <c r="F1400" s="255" t="str">
        <f>IF(D1400="","",VLOOKUP(D1400,契約台帳!$A$3:$K$4986,6,FALSE)&amp;VLOOKUP(D1400,契約台帳!$A$3:$K$4986,7,FALSE)&amp;VLOOKUP(D1400,契約台帳!$A$3:$K$4986,8,FALSE)&amp;VLOOKUP(D1400,契約台帳!$A$3:$K$4986,9,FALSE)&amp;VLOOKUP(D1400,契約台帳!$A$3:$K$4986,11,FALSE))</f>
        <v>3SNMLBMNGKKBF</v>
      </c>
      <c r="G1400" s="256" t="str">
        <f>IF(D1400="","",VLOOKUP(F1400,製品マスタ!$G$5:$H$4999,2,FALSE))</f>
        <v>S</v>
      </c>
      <c r="H1400" s="256" t="str">
        <f>IF(D1400="","",VLOOKUP(F1400,製品マスタ!$G$5:$K$4999,5,FALSE))</f>
        <v>MNGKKBF</v>
      </c>
      <c r="I1400" s="200" t="str">
        <f>IF(D1400="","",VLOOKUP(F1400,製品マスタ!$G$5:$L$4999,6,FALSE))</f>
        <v>メタルミー　ネーマー銀消改　Ｂ</v>
      </c>
      <c r="J1400" s="203" t="s">
        <v>935</v>
      </c>
      <c r="K1400" s="200">
        <f>IF(D1400="","",VLOOKUP(D1400,契約台帳!$A$3:$L$4986,12,FALSE))</f>
        <v>50</v>
      </c>
      <c r="L1400" s="200" t="str">
        <f>IF(D1400="","",INDEX(製品マスタ!$Q$5:$Q$4999,MATCH('S4'!F1400&amp;'S4'!K1400,製品マスタ!$AO$5:$AO$4999,0)))</f>
        <v>S99-MAT</v>
      </c>
      <c r="M1400" s="37">
        <v>1120</v>
      </c>
      <c r="N1400" s="37">
        <v>4000</v>
      </c>
      <c r="O1400" s="153">
        <v>12</v>
      </c>
      <c r="P1400" s="45">
        <v>3</v>
      </c>
      <c r="Q1400" s="206">
        <v>45268</v>
      </c>
      <c r="R1400" s="257">
        <f ca="1">IF(D1400="","",IF(OFFSET(D1400,-1,0)&lt;&gt;"","",IF(OR(J1400="リード付け",J1400="巻足し",J1400="巻返しリード付け"),M1400,VLOOKUP(D1400,契約台帳!$A$3:$N$4986,14,FALSE))))</f>
        <v>1120</v>
      </c>
      <c r="S1400" s="258">
        <f ca="1">IF(D1400="","",IF(OFFSET(D1400,-1,0)&lt;&gt;"","",IF(OR(J1400="リード付け",J1400="巻足し",J1400="巻返しリード付け"),M1400,VLOOKUP(D1400,契約台帳!$A$3:$O$4986,15,FALSE))))</f>
        <v>1120</v>
      </c>
      <c r="T1400" s="258">
        <f ca="1">IF(D1400="","",IF(J1400="リード付け",N1400,IF(J1400="巻返しリード付け",N1400,IF(J1400="巻足し",N1400*P1400+OFFSET(N1400,1,0)*OFFSET(P1400,1,0),VLOOKUP(D1400,契約台帳!$A$3:$P$4986,16,FALSE)))))</f>
        <v>12000</v>
      </c>
      <c r="U1400" s="38">
        <v>4</v>
      </c>
      <c r="V1400" s="259">
        <f ca="1">IF(D1400="","",IF(OFFSET(D1400,-2,0)=D1400,"",VLOOKUP(D1400,契約台帳!$A$3:$R$4986,18,FALSE)))</f>
        <v>15</v>
      </c>
      <c r="W1400" s="256" t="str">
        <f ca="1">IF(D1400="","",IF(T1400="","",IF(OR(J1400="巻足し",J1400="巻返しリード付け"),"",IF(J1400="巻返し",VLOOKUP(F1400&amp;K1400&amp;M1400,製品マスタ!$M$5:$AD$4999,18,FALSE),IF(OR(J1400="リード付け",J1400="巻返しリード付け"),"原反コア",IF(J1400="スリット",VLOOKUP(F1400&amp;K1400&amp;R1400,製品マスタ!$N$5:$AD$4999,17,FALSE),""))))))</f>
        <v/>
      </c>
      <c r="X1400" s="256" t="str">
        <f ca="1">IF(D1400="","",IF(T1400="","",IF(J1400="巻足し","",IF(J1400="巻返し",VLOOKUP(F1400&amp;K1400&amp;M1400,製品マスタ!$M$5:$AE$4999,19,FALSE),IF(OR(J1400="リード付け",J1400="巻返しリード付け"),"",IF(J1400="スリット",VLOOKUP(F1400&amp;K1400&amp;R1400,製品マスタ!$N$5:$AE$4999,18,FALSE),""))))))</f>
        <v/>
      </c>
      <c r="Y1400" s="256">
        <f ca="1">IF(D1400="","",IF(T1400="","",VLOOKUP(D1400,契約台帳!$A$3:$Q$4986,17,FALSE)))</f>
        <v>2</v>
      </c>
      <c r="Z1400" s="256" t="str">
        <f ca="1">IF(D1400="","",IF(T1400="","",VLOOKUP(D1400,契約台帳!$A$3:$E$4986,5,FALSE)))</f>
        <v>リンテック㈱</v>
      </c>
      <c r="AA1400" s="54"/>
      <c r="AB1400" s="200">
        <f>IFERROR((VLOOKUP(F1400&amp;K1400&amp;M1400,製品マスタ!$M$5:$AM$4999,27,FALSE)),"")</f>
        <v>0</v>
      </c>
      <c r="AC1400" s="31"/>
      <c r="AD1400" s="184"/>
      <c r="AE1400" s="51"/>
      <c r="AF1400" s="52">
        <f>+M1400*N1400*O1400/1000</f>
        <v>53760</v>
      </c>
      <c r="AG1400" s="41"/>
      <c r="AH1400" s="45"/>
      <c r="AI1400" s="28"/>
      <c r="AJ1400" s="28"/>
      <c r="AK1400" s="28"/>
      <c r="AL1400" s="28"/>
      <c r="AM1400" s="12"/>
      <c r="AN1400" s="12"/>
      <c r="AO1400" s="12"/>
      <c r="AP1400" s="12"/>
      <c r="AQ1400" s="12"/>
      <c r="AR1400" s="13"/>
      <c r="AS1400" s="14"/>
    </row>
    <row r="1401" spans="1:45" s="16" customFormat="1" ht="30.95" hidden="1" customHeight="1" x14ac:dyDescent="0.2">
      <c r="A1401" s="35"/>
      <c r="B1401" s="36"/>
      <c r="C1401" s="43"/>
      <c r="D1401" s="29"/>
      <c r="E1401" s="29"/>
      <c r="F1401" s="255"/>
      <c r="G1401" s="256"/>
      <c r="H1401" s="256"/>
      <c r="I1401" s="200"/>
      <c r="J1401" s="203"/>
      <c r="K1401" s="200"/>
      <c r="L1401" s="200"/>
      <c r="M1401" s="37"/>
      <c r="N1401" s="37"/>
      <c r="O1401" s="153"/>
      <c r="P1401" s="45"/>
      <c r="Q1401" s="54"/>
      <c r="R1401" s="260"/>
      <c r="S1401" s="258"/>
      <c r="T1401" s="258"/>
      <c r="U1401" s="38"/>
      <c r="V1401" s="261"/>
      <c r="W1401" s="256"/>
      <c r="X1401" s="256"/>
      <c r="Y1401" s="256"/>
      <c r="Z1401" s="256"/>
      <c r="AA1401" s="54"/>
      <c r="AB1401" s="200"/>
      <c r="AC1401" s="31"/>
      <c r="AD1401" s="184"/>
      <c r="AE1401" s="51"/>
      <c r="AF1401" s="52"/>
      <c r="AG1401" s="41"/>
      <c r="AH1401" s="45"/>
      <c r="AI1401" s="28"/>
      <c r="AJ1401" s="28"/>
      <c r="AK1401" s="28"/>
      <c r="AL1401" s="28"/>
      <c r="AM1401" s="12"/>
      <c r="AN1401" s="12"/>
      <c r="AO1401" s="12"/>
      <c r="AP1401" s="12"/>
      <c r="AQ1401" s="12"/>
      <c r="AR1401" s="13"/>
      <c r="AS1401" s="14"/>
    </row>
    <row r="1402" spans="1:45" s="16" customFormat="1" ht="30.95" hidden="1" customHeight="1" x14ac:dyDescent="0.2">
      <c r="A1402" s="35" t="s">
        <v>1831</v>
      </c>
      <c r="B1402" s="36" t="s">
        <v>1832</v>
      </c>
      <c r="C1402" s="43"/>
      <c r="D1402" s="29"/>
      <c r="E1402" s="29"/>
      <c r="F1402" s="255"/>
      <c r="G1402" s="256"/>
      <c r="H1402" s="256"/>
      <c r="I1402" s="200"/>
      <c r="J1402" s="203" t="s">
        <v>448</v>
      </c>
      <c r="K1402" s="200"/>
      <c r="L1402" s="200"/>
      <c r="M1402" s="37"/>
      <c r="N1402" s="37"/>
      <c r="O1402" s="153"/>
      <c r="P1402" s="45"/>
      <c r="Q1402" s="54"/>
      <c r="R1402" s="260"/>
      <c r="S1402" s="258"/>
      <c r="T1402" s="258"/>
      <c r="U1402" s="38"/>
      <c r="V1402" s="261"/>
      <c r="W1402" s="256"/>
      <c r="X1402" s="256"/>
      <c r="Y1402" s="256"/>
      <c r="Z1402" s="256"/>
      <c r="AA1402" s="54"/>
      <c r="AB1402" s="200"/>
      <c r="AC1402" s="31"/>
      <c r="AD1402" s="184"/>
      <c r="AE1402" s="51"/>
      <c r="AF1402" s="52"/>
      <c r="AG1402" s="41"/>
      <c r="AH1402" s="45"/>
      <c r="AI1402" s="28"/>
      <c r="AJ1402" s="28"/>
      <c r="AK1402" s="28"/>
      <c r="AL1402" s="28"/>
      <c r="AM1402" s="12"/>
      <c r="AN1402" s="12"/>
      <c r="AO1402" s="12"/>
      <c r="AP1402" s="12"/>
      <c r="AQ1402" s="12"/>
      <c r="AR1402" s="13"/>
      <c r="AS1402" s="14"/>
    </row>
    <row r="1403" spans="1:45" s="16" customFormat="1" ht="30.95" hidden="1" customHeight="1" x14ac:dyDescent="0.2">
      <c r="A1403" s="35"/>
      <c r="B1403" s="36"/>
      <c r="C1403" s="43"/>
      <c r="D1403" s="29"/>
      <c r="E1403" s="29"/>
      <c r="F1403" s="255"/>
      <c r="G1403" s="256"/>
      <c r="H1403" s="256"/>
      <c r="I1403" s="200"/>
      <c r="J1403" s="203"/>
      <c r="K1403" s="200"/>
      <c r="L1403" s="200"/>
      <c r="M1403" s="37"/>
      <c r="N1403" s="37"/>
      <c r="O1403" s="153"/>
      <c r="P1403" s="45"/>
      <c r="Q1403" s="54"/>
      <c r="R1403" s="260"/>
      <c r="S1403" s="258"/>
      <c r="T1403" s="258"/>
      <c r="U1403" s="38"/>
      <c r="V1403" s="261"/>
      <c r="W1403" s="256"/>
      <c r="X1403" s="256"/>
      <c r="Y1403" s="256"/>
      <c r="Z1403" s="256"/>
      <c r="AA1403" s="54"/>
      <c r="AB1403" s="200"/>
      <c r="AC1403" s="31"/>
      <c r="AD1403" s="184"/>
      <c r="AE1403" s="51"/>
      <c r="AF1403" s="52"/>
      <c r="AG1403" s="41"/>
      <c r="AH1403" s="45"/>
      <c r="AI1403" s="28"/>
      <c r="AJ1403" s="28"/>
      <c r="AK1403" s="28"/>
      <c r="AL1403" s="28"/>
      <c r="AM1403" s="12"/>
      <c r="AN1403" s="12"/>
      <c r="AO1403" s="12"/>
      <c r="AP1403" s="12"/>
      <c r="AQ1403" s="12"/>
      <c r="AR1403" s="13"/>
      <c r="AS1403" s="14"/>
    </row>
    <row r="1404" spans="1:45" s="16" customFormat="1" ht="30.95" hidden="1" customHeight="1" x14ac:dyDescent="0.2">
      <c r="A1404" s="35" t="s">
        <v>1833</v>
      </c>
      <c r="B1404" s="36" t="s">
        <v>1834</v>
      </c>
      <c r="C1404" s="43"/>
      <c r="D1404" s="29"/>
      <c r="E1404" s="29"/>
      <c r="F1404" s="255"/>
      <c r="G1404" s="256"/>
      <c r="H1404" s="256"/>
      <c r="I1404" s="200"/>
      <c r="J1404" s="203" t="s">
        <v>448</v>
      </c>
      <c r="K1404" s="200"/>
      <c r="L1404" s="200"/>
      <c r="M1404" s="37"/>
      <c r="N1404" s="37"/>
      <c r="O1404" s="153"/>
      <c r="P1404" s="45"/>
      <c r="Q1404" s="54"/>
      <c r="R1404" s="260"/>
      <c r="S1404" s="258"/>
      <c r="T1404" s="258"/>
      <c r="U1404" s="38"/>
      <c r="V1404" s="261"/>
      <c r="W1404" s="256"/>
      <c r="X1404" s="256"/>
      <c r="Y1404" s="256"/>
      <c r="Z1404" s="256"/>
      <c r="AA1404" s="54"/>
      <c r="AB1404" s="200"/>
      <c r="AC1404" s="31"/>
      <c r="AD1404" s="184"/>
      <c r="AE1404" s="51"/>
      <c r="AF1404" s="52"/>
      <c r="AG1404" s="41"/>
      <c r="AH1404" s="45"/>
      <c r="AI1404" s="28"/>
      <c r="AJ1404" s="28"/>
      <c r="AK1404" s="28"/>
      <c r="AL1404" s="28"/>
      <c r="AM1404" s="12"/>
      <c r="AN1404" s="12"/>
      <c r="AO1404" s="12"/>
      <c r="AP1404" s="12"/>
      <c r="AQ1404" s="12"/>
      <c r="AR1404" s="13"/>
      <c r="AS1404" s="14"/>
    </row>
    <row r="1405" spans="1:45" s="16" customFormat="1" ht="30.95" hidden="1" customHeight="1" x14ac:dyDescent="0.2">
      <c r="A1405" s="35"/>
      <c r="B1405" s="36"/>
      <c r="C1405" s="43"/>
      <c r="D1405" s="29"/>
      <c r="E1405" s="29"/>
      <c r="F1405" s="255"/>
      <c r="G1405" s="256"/>
      <c r="H1405" s="256"/>
      <c r="I1405" s="200"/>
      <c r="J1405" s="203"/>
      <c r="K1405" s="200"/>
      <c r="L1405" s="200"/>
      <c r="M1405" s="37"/>
      <c r="N1405" s="37"/>
      <c r="O1405" s="153"/>
      <c r="P1405" s="45"/>
      <c r="Q1405" s="54"/>
      <c r="R1405" s="260"/>
      <c r="S1405" s="258"/>
      <c r="T1405" s="258"/>
      <c r="U1405" s="38"/>
      <c r="V1405" s="261"/>
      <c r="W1405" s="256"/>
      <c r="X1405" s="256"/>
      <c r="Y1405" s="256"/>
      <c r="Z1405" s="256"/>
      <c r="AA1405" s="54"/>
      <c r="AB1405" s="200"/>
      <c r="AC1405" s="31"/>
      <c r="AD1405" s="184"/>
      <c r="AE1405" s="51"/>
      <c r="AF1405" s="52"/>
      <c r="AG1405" s="41"/>
      <c r="AH1405" s="45"/>
      <c r="AI1405" s="28"/>
      <c r="AJ1405" s="28"/>
      <c r="AK1405" s="28"/>
      <c r="AL1405" s="28"/>
      <c r="AM1405" s="12"/>
      <c r="AN1405" s="12"/>
      <c r="AO1405" s="12"/>
      <c r="AP1405" s="12"/>
      <c r="AQ1405" s="12"/>
      <c r="AR1405" s="13"/>
      <c r="AS1405" s="14"/>
    </row>
    <row r="1406" spans="1:45" s="16" customFormat="1" ht="30.95" hidden="1" customHeight="1" x14ac:dyDescent="0.2">
      <c r="A1406" s="35" t="s">
        <v>1835</v>
      </c>
      <c r="B1406" s="36" t="s">
        <v>1836</v>
      </c>
      <c r="C1406" s="43"/>
      <c r="D1406" s="29">
        <v>3735108</v>
      </c>
      <c r="E1406" s="29">
        <v>4162161</v>
      </c>
      <c r="F1406" s="255" t="str">
        <f>IF(D1406="","",VLOOKUP(D1406,契約台帳!$A$3:$K$4986,6,FALSE)&amp;VLOOKUP(D1406,契約台帳!$A$3:$K$4986,7,FALSE)&amp;VLOOKUP(D1406,契約台帳!$A$3:$K$4986,8,FALSE)&amp;VLOOKUP(D1406,契約台帳!$A$3:$K$4986,9,FALSE)&amp;VLOOKUP(D1406,契約台帳!$A$3:$K$4986,11,FALSE))</f>
        <v>3SNMLBMNGKKBF</v>
      </c>
      <c r="G1406" s="256" t="str">
        <f>IF(D1406="","",VLOOKUP(F1406,製品マスタ!$G$5:$H$4999,2,FALSE))</f>
        <v>S</v>
      </c>
      <c r="H1406" s="256" t="str">
        <f>IF(D1406="","",VLOOKUP(F1406,製品マスタ!$G$5:$K$4999,5,FALSE))</f>
        <v>MNGKKBF</v>
      </c>
      <c r="I1406" s="200" t="str">
        <f>IF(D1406="","",VLOOKUP(F1406,製品マスタ!$G$5:$L$4999,6,FALSE))</f>
        <v>メタルミー　ネーマー銀消改　Ｂ</v>
      </c>
      <c r="J1406" s="203" t="s">
        <v>935</v>
      </c>
      <c r="K1406" s="200">
        <f>IF(D1406="","",VLOOKUP(D1406,契約台帳!$A$3:$L$4986,12,FALSE))</f>
        <v>50</v>
      </c>
      <c r="L1406" s="200" t="str">
        <f>IF(D1406="","",INDEX(製品マスタ!$Q$5:$Q$4999,MATCH('S4'!F1406&amp;'S4'!K1406,製品マスタ!$AO$5:$AO$4999,0)))</f>
        <v>S99-MAT</v>
      </c>
      <c r="M1406" s="37">
        <v>1120</v>
      </c>
      <c r="N1406" s="37">
        <v>4000</v>
      </c>
      <c r="O1406" s="153">
        <v>3</v>
      </c>
      <c r="P1406" s="45">
        <v>3</v>
      </c>
      <c r="Q1406" s="206">
        <v>45268</v>
      </c>
      <c r="R1406" s="257">
        <f ca="1">IF(D1406="","",IF(OFFSET(D1406,-1,0)&lt;&gt;"","",IF(OR(J1406="リード付け",J1406="巻足し",J1406="巻返しリード付け"),M1406,VLOOKUP(D1406,契約台帳!$A$3:$N$4986,14,FALSE))))</f>
        <v>1120</v>
      </c>
      <c r="S1406" s="258">
        <f ca="1">IF(D1406="","",IF(OFFSET(D1406,-1,0)&lt;&gt;"","",IF(OR(J1406="リード付け",J1406="巻足し",J1406="巻返しリード付け"),M1406,VLOOKUP(D1406,契約台帳!$A$3:$O$4986,15,FALSE))))</f>
        <v>1120</v>
      </c>
      <c r="T1406" s="258">
        <f ca="1">IF(D1406="","",IF(J1406="リード付け",N1406,IF(J1406="巻返しリード付け",N1406,IF(J1406="巻足し",N1406*P1406+OFFSET(N1406,1,0)*OFFSET(P1406,1,0),VLOOKUP(D1406,契約台帳!$A$3:$P$4986,16,FALSE)))))</f>
        <v>12000</v>
      </c>
      <c r="U1406" s="38">
        <v>1</v>
      </c>
      <c r="V1406" s="259">
        <f ca="1">IF(D1406="","",IF(OFFSET(D1406,-2,0)=D1406,"",VLOOKUP(D1406,契約台帳!$A$3:$R$4986,18,FALSE)))</f>
        <v>15</v>
      </c>
      <c r="W1406" s="256" t="str">
        <f ca="1">IF(D1406="","",IF(T1406="","",IF(OR(J1406="巻足し",J1406="巻返しリード付け"),"",IF(J1406="巻返し",VLOOKUP(F1406&amp;K1406&amp;M1406,製品マスタ!$M$5:$AD$4999,18,FALSE),IF(OR(J1406="リード付け",J1406="巻返しリード付け"),"原反コア",IF(J1406="スリット",VLOOKUP(F1406&amp;K1406&amp;R1406,製品マスタ!$N$5:$AD$4999,17,FALSE),""))))))</f>
        <v/>
      </c>
      <c r="X1406" s="256" t="str">
        <f ca="1">IF(D1406="","",IF(T1406="","",IF(J1406="巻足し","",IF(J1406="巻返し",VLOOKUP(F1406&amp;K1406&amp;M1406,製品マスタ!$M$5:$AE$4999,19,FALSE),IF(OR(J1406="リード付け",J1406="巻返しリード付け"),"",IF(J1406="スリット",VLOOKUP(F1406&amp;K1406&amp;R1406,製品マスタ!$N$5:$AE$4999,18,FALSE),""))))))</f>
        <v/>
      </c>
      <c r="Y1406" s="256">
        <f ca="1">IF(D1406="","",IF(T1406="","",VLOOKUP(D1406,契約台帳!$A$3:$Q$4986,17,FALSE)))</f>
        <v>2</v>
      </c>
      <c r="Z1406" s="256" t="str">
        <f ca="1">IF(D1406="","",IF(T1406="","",VLOOKUP(D1406,契約台帳!$A$3:$E$4986,5,FALSE)))</f>
        <v>リンテック㈱</v>
      </c>
      <c r="AA1406" s="54"/>
      <c r="AB1406" s="200">
        <f>IFERROR((VLOOKUP(F1406&amp;K1406&amp;M1406,製品マスタ!$M$5:$AM$4999,27,FALSE)),"")</f>
        <v>0</v>
      </c>
      <c r="AC1406" s="31"/>
      <c r="AD1406" s="184"/>
      <c r="AE1406" s="51"/>
      <c r="AF1406" s="52">
        <f>+M1406*N1406*O1406/1000</f>
        <v>13440</v>
      </c>
      <c r="AG1406" s="41"/>
      <c r="AH1406" s="45"/>
      <c r="AI1406" s="28"/>
      <c r="AJ1406" s="28"/>
      <c r="AK1406" s="28"/>
      <c r="AL1406" s="28"/>
      <c r="AM1406" s="12"/>
      <c r="AN1406" s="12"/>
      <c r="AO1406" s="12"/>
      <c r="AP1406" s="12"/>
      <c r="AQ1406" s="12"/>
      <c r="AR1406" s="13"/>
      <c r="AS1406" s="14"/>
    </row>
    <row r="1407" spans="1:45" s="16" customFormat="1" ht="30.95" hidden="1" customHeight="1" x14ac:dyDescent="0.2">
      <c r="A1407" s="35"/>
      <c r="B1407" s="36"/>
      <c r="C1407" s="43"/>
      <c r="D1407" s="29"/>
      <c r="E1407" s="29"/>
      <c r="F1407" s="255"/>
      <c r="G1407" s="256"/>
      <c r="H1407" s="256"/>
      <c r="I1407" s="200"/>
      <c r="J1407" s="203"/>
      <c r="K1407" s="200"/>
      <c r="L1407" s="200"/>
      <c r="M1407" s="37"/>
      <c r="N1407" s="37"/>
      <c r="O1407" s="153"/>
      <c r="P1407" s="45"/>
      <c r="Q1407" s="54"/>
      <c r="R1407" s="260"/>
      <c r="S1407" s="258"/>
      <c r="T1407" s="258"/>
      <c r="U1407" s="38"/>
      <c r="V1407" s="261"/>
      <c r="W1407" s="256"/>
      <c r="X1407" s="256"/>
      <c r="Y1407" s="256"/>
      <c r="Z1407" s="256"/>
      <c r="AA1407" s="54"/>
      <c r="AB1407" s="200"/>
      <c r="AC1407" s="31"/>
      <c r="AD1407" s="184"/>
      <c r="AE1407" s="51"/>
      <c r="AF1407" s="52"/>
      <c r="AG1407" s="41"/>
      <c r="AH1407" s="45"/>
      <c r="AI1407" s="28"/>
      <c r="AJ1407" s="28"/>
      <c r="AK1407" s="28"/>
      <c r="AL1407" s="28"/>
      <c r="AM1407" s="12"/>
      <c r="AN1407" s="12"/>
      <c r="AO1407" s="12"/>
      <c r="AP1407" s="12"/>
      <c r="AQ1407" s="12"/>
      <c r="AR1407" s="13"/>
      <c r="AS1407" s="14"/>
    </row>
    <row r="1408" spans="1:45" s="16" customFormat="1" ht="30.95" hidden="1" customHeight="1" x14ac:dyDescent="0.2">
      <c r="A1408" s="35"/>
      <c r="B1408" s="36"/>
      <c r="C1408" s="43"/>
      <c r="D1408" s="29">
        <v>3735112</v>
      </c>
      <c r="E1408" s="29">
        <v>4162156</v>
      </c>
      <c r="F1408" s="255" t="str">
        <f>IF(D1408="","",VLOOKUP(D1408,契約台帳!$A$3:$K$4986,6,FALSE)&amp;VLOOKUP(D1408,契約台帳!$A$3:$K$4986,7,FALSE)&amp;VLOOKUP(D1408,契約台帳!$A$3:$K$4986,8,FALSE)&amp;VLOOKUP(D1408,契約台帳!$A$3:$K$4986,9,FALSE)&amp;VLOOKUP(D1408,契約台帳!$A$3:$K$4986,11,FALSE))</f>
        <v>3SNMLBMNGKBF</v>
      </c>
      <c r="G1408" s="256" t="str">
        <f>IF(D1408="","",VLOOKUP(F1408,製品マスタ!$G$5:$H$4999,2,FALSE))</f>
        <v>S</v>
      </c>
      <c r="H1408" s="256" t="str">
        <f>IF(D1408="","",VLOOKUP(F1408,製品マスタ!$G$5:$K$4999,5,FALSE))</f>
        <v>MNGKBF</v>
      </c>
      <c r="I1408" s="200" t="str">
        <f>IF(D1408="","",VLOOKUP(F1408,製品マスタ!$G$5:$L$4999,6,FALSE))</f>
        <v>メタルミー　ネーマー銀消　Ｂ</v>
      </c>
      <c r="J1408" s="203" t="s">
        <v>935</v>
      </c>
      <c r="K1408" s="200">
        <f>IF(D1408="","",VLOOKUP(D1408,契約台帳!$A$3:$L$4986,12,FALSE))</f>
        <v>75</v>
      </c>
      <c r="L1408" s="200" t="str">
        <f>IF(D1408="","",INDEX(製品マスタ!$Q$5:$Q$4999,MATCH('S4'!F1408&amp;'S4'!K1408,製品マスタ!$AO$5:$AO$4999,0)))</f>
        <v>MAT</v>
      </c>
      <c r="M1408" s="37">
        <v>1050</v>
      </c>
      <c r="N1408" s="37">
        <v>2000</v>
      </c>
      <c r="O1408" s="153">
        <v>2</v>
      </c>
      <c r="P1408" s="45">
        <v>2</v>
      </c>
      <c r="Q1408" s="206">
        <v>45271</v>
      </c>
      <c r="R1408" s="257">
        <f ca="1">IF(D1408="","",IF(OFFSET(D1408,-1,0)&lt;&gt;"","",IF(OR(J1408="リード付け",J1408="巻足し",J1408="巻返しリード付け"),M1408,VLOOKUP(D1408,契約台帳!$A$3:$N$4986,14,FALSE))))</f>
        <v>1050</v>
      </c>
      <c r="S1408" s="258">
        <f ca="1">IF(D1408="","",IF(OFFSET(D1408,-1,0)&lt;&gt;"","",IF(OR(J1408="リード付け",J1408="巻足し",J1408="巻返しリード付け"),M1408,VLOOKUP(D1408,契約台帳!$A$3:$O$4986,15,FALSE))))</f>
        <v>1050</v>
      </c>
      <c r="T1408" s="258">
        <f ca="1">IF(D1408="","",IF(J1408="リード付け",N1408,IF(J1408="巻返しリード付け",N1408,IF(J1408="巻足し",N1408*P1408+OFFSET(N1408,1,0)*OFFSET(P1408,1,0),VLOOKUP(D1408,契約台帳!$A$3:$P$4986,16,FALSE)))))</f>
        <v>4000</v>
      </c>
      <c r="U1408" s="38">
        <v>1</v>
      </c>
      <c r="V1408" s="259">
        <f ca="1">IF(D1408="","",IF(OFFSET(D1408,-2,0)=D1408,"",VLOOKUP(D1408,契約台帳!$A$3:$R$4986,18,FALSE)))</f>
        <v>2</v>
      </c>
      <c r="W1408" s="256" t="str">
        <f ca="1">IF(D1408="","",IF(T1408="","",IF(OR(J1408="巻足し",J1408="巻返しリード付け"),"",IF(J1408="巻返し",VLOOKUP(F1408&amp;K1408&amp;M1408,製品マスタ!$M$5:$AD$4999,18,FALSE),IF(OR(J1408="リード付け",J1408="巻返しリード付け"),"原反コア",IF(J1408="スリット",VLOOKUP(F1408&amp;K1408&amp;R1408,製品マスタ!$N$5:$AD$4999,17,FALSE),""))))))</f>
        <v/>
      </c>
      <c r="X1408" s="256" t="str">
        <f ca="1">IF(D1408="","",IF(T1408="","",IF(J1408="巻足し","",IF(J1408="巻返し",VLOOKUP(F1408&amp;K1408&amp;M1408,製品マスタ!$M$5:$AE$4999,19,FALSE),IF(OR(J1408="リード付け",J1408="巻返しリード付け"),"",IF(J1408="スリット",VLOOKUP(F1408&amp;K1408&amp;R1408,製品マスタ!$N$5:$AE$4999,18,FALSE),""))))))</f>
        <v/>
      </c>
      <c r="Y1408" s="256">
        <f ca="1">IF(D1408="","",IF(T1408="","",VLOOKUP(D1408,契約台帳!$A$3:$Q$4986,17,FALSE)))</f>
        <v>2</v>
      </c>
      <c r="Z1408" s="256" t="str">
        <f ca="1">IF(D1408="","",IF(T1408="","",VLOOKUP(D1408,契約台帳!$A$3:$E$4986,5,FALSE)))</f>
        <v>リンテック㈱</v>
      </c>
      <c r="AA1408" s="54"/>
      <c r="AB1408" s="200">
        <f>IFERROR((VLOOKUP(F1408&amp;K1408&amp;M1408,製品マスタ!$M$5:$AM$4999,27,FALSE)),"")</f>
        <v>0</v>
      </c>
      <c r="AC1408" s="31"/>
      <c r="AD1408" s="184"/>
      <c r="AE1408" s="51"/>
      <c r="AF1408" s="52">
        <f>+M1408*N1408*O1408/1000</f>
        <v>4200</v>
      </c>
      <c r="AG1408" s="41"/>
      <c r="AH1408" s="45"/>
      <c r="AI1408" s="28"/>
      <c r="AJ1408" s="28"/>
      <c r="AK1408" s="28"/>
      <c r="AL1408" s="28"/>
      <c r="AM1408" s="12"/>
      <c r="AN1408" s="12"/>
      <c r="AO1408" s="12"/>
      <c r="AP1408" s="12"/>
      <c r="AQ1408" s="12"/>
      <c r="AR1408" s="13"/>
      <c r="AS1408" s="14"/>
    </row>
    <row r="1409" spans="1:45" s="16" customFormat="1" ht="30.95" hidden="1" customHeight="1" x14ac:dyDescent="0.2">
      <c r="A1409" s="35"/>
      <c r="B1409" s="36"/>
      <c r="C1409" s="43"/>
      <c r="D1409" s="29"/>
      <c r="E1409" s="29"/>
      <c r="F1409" s="255"/>
      <c r="G1409" s="256"/>
      <c r="H1409" s="256"/>
      <c r="I1409" s="200"/>
      <c r="J1409" s="203"/>
      <c r="K1409" s="200"/>
      <c r="L1409" s="200"/>
      <c r="M1409" s="37"/>
      <c r="N1409" s="37"/>
      <c r="O1409" s="153"/>
      <c r="P1409" s="45"/>
      <c r="Q1409" s="54"/>
      <c r="R1409" s="260"/>
      <c r="S1409" s="258"/>
      <c r="T1409" s="258"/>
      <c r="U1409" s="38"/>
      <c r="V1409" s="261"/>
      <c r="W1409" s="256"/>
      <c r="X1409" s="256"/>
      <c r="Y1409" s="256"/>
      <c r="Z1409" s="256"/>
      <c r="AA1409" s="54"/>
      <c r="AB1409" s="200"/>
      <c r="AC1409" s="31"/>
      <c r="AD1409" s="184"/>
      <c r="AE1409" s="51"/>
      <c r="AF1409" s="52"/>
      <c r="AG1409" s="41"/>
      <c r="AH1409" s="45"/>
      <c r="AI1409" s="28"/>
      <c r="AJ1409" s="28"/>
      <c r="AK1409" s="28"/>
      <c r="AL1409" s="28"/>
      <c r="AM1409" s="12"/>
      <c r="AN1409" s="12"/>
      <c r="AO1409" s="12"/>
      <c r="AP1409" s="12"/>
      <c r="AQ1409" s="12"/>
      <c r="AR1409" s="13"/>
      <c r="AS1409" s="14"/>
    </row>
    <row r="1410" spans="1:45" s="16" customFormat="1" ht="30.6" hidden="1" customHeight="1" x14ac:dyDescent="0.2">
      <c r="A1410" s="35"/>
      <c r="B1410" s="36"/>
      <c r="C1410" s="43"/>
      <c r="D1410" s="29">
        <v>3735104</v>
      </c>
      <c r="E1410" s="29">
        <v>4162157</v>
      </c>
      <c r="F1410" s="255" t="str">
        <f>IF(D1410="","",VLOOKUP(D1410,契約台帳!$A$3:$K$4986,6,FALSE)&amp;VLOOKUP(D1410,契約台帳!$A$3:$K$4986,7,FALSE)&amp;VLOOKUP(D1410,契約台帳!$A$3:$K$4986,8,FALSE)&amp;VLOOKUP(D1410,契約台帳!$A$3:$K$4986,9,FALSE)&amp;VLOOKUP(D1410,契約台帳!$A$3:$K$4986,11,FALSE))</f>
        <v>3SNMLBMNGKKBF</v>
      </c>
      <c r="G1410" s="256" t="str">
        <f>IF(D1410="","",VLOOKUP(F1410,製品マスタ!$G$5:$H$4999,2,FALSE))</f>
        <v>S</v>
      </c>
      <c r="H1410" s="256" t="str">
        <f>IF(D1410="","",VLOOKUP(F1410,製品マスタ!$G$5:$K$4999,5,FALSE))</f>
        <v>MNGKKBF</v>
      </c>
      <c r="I1410" s="200" t="str">
        <f>IF(D1410="","",VLOOKUP(F1410,製品マスタ!$G$5:$L$4999,6,FALSE))</f>
        <v>メタルミー　ネーマー銀消改　Ｂ</v>
      </c>
      <c r="J1410" s="203" t="s">
        <v>935</v>
      </c>
      <c r="K1410" s="200">
        <f>IF(D1410="","",VLOOKUP(D1410,契約台帳!$A$3:$L$4986,12,FALSE))</f>
        <v>25</v>
      </c>
      <c r="L1410" s="200" t="str">
        <f>IF(D1410="","",INDEX(製品マスタ!$Q$5:$Q$4999,MATCH('S4'!F1410&amp;'S4'!K1410,製品マスタ!$AO$5:$AO$4999,0)))</f>
        <v>FMATS99</v>
      </c>
      <c r="M1410" s="37">
        <v>1000</v>
      </c>
      <c r="N1410" s="37">
        <v>4000</v>
      </c>
      <c r="O1410" s="153">
        <v>2</v>
      </c>
      <c r="P1410" s="45">
        <v>2</v>
      </c>
      <c r="Q1410" s="206">
        <v>45268</v>
      </c>
      <c r="R1410" s="257">
        <f ca="1">IF(D1410="","",IF(OFFSET(D1410,-1,0)&lt;&gt;"","",IF(OR(J1410="リード付け",J1410="巻足し",J1410="巻返しリード付け"),M1410,VLOOKUP(D1410,契約台帳!$A$3:$N$4986,14,FALSE))))</f>
        <v>1000</v>
      </c>
      <c r="S1410" s="258">
        <f ca="1">IF(D1410="","",IF(OFFSET(D1410,-1,0)&lt;&gt;"","",IF(OR(J1410="リード付け",J1410="巻足し",J1410="巻返しリード付け"),M1410,VLOOKUP(D1410,契約台帳!$A$3:$O$4986,15,FALSE))))</f>
        <v>1000</v>
      </c>
      <c r="T1410" s="258">
        <f ca="1">IF(D1410="","",IF(J1410="リード付け",N1410,IF(J1410="巻返しリード付け",N1410,IF(J1410="巻足し",N1410*P1410+OFFSET(N1410,1,0)*OFFSET(P1410,1,0),VLOOKUP(D1410,契約台帳!$A$3:$P$4986,16,FALSE)))))</f>
        <v>8000</v>
      </c>
      <c r="U1410" s="38">
        <v>1</v>
      </c>
      <c r="V1410" s="259">
        <f ca="1">IF(D1410="","",IF(OFFSET(D1410,-2,0)=D1410,"",VLOOKUP(D1410,契約台帳!$A$3:$R$4986,18,FALSE)))</f>
        <v>2</v>
      </c>
      <c r="W1410" s="256" t="str">
        <f ca="1">IF(D1410="","",IF(T1410="","",IF(OR(J1410="巻足し",J1410="巻返しリード付け"),"",IF(J1410="巻返し",VLOOKUP(F1410&amp;K1410&amp;M1410,製品マスタ!$M$5:$AD$4999,18,FALSE),IF(OR(J1410="リード付け",J1410="巻返しリード付け"),"原反コア",IF(J1410="スリット",VLOOKUP(F1410&amp;K1410&amp;R1410,製品マスタ!$N$5:$AD$4999,17,FALSE),""))))))</f>
        <v/>
      </c>
      <c r="X1410" s="256" t="str">
        <f ca="1">IF(D1410="","",IF(T1410="","",IF(J1410="巻足し","",IF(J1410="巻返し",VLOOKUP(F1410&amp;K1410&amp;M1410,製品マスタ!$M$5:$AE$4999,19,FALSE),IF(OR(J1410="リード付け",J1410="巻返しリード付け"),"",IF(J1410="スリット",VLOOKUP(F1410&amp;K1410&amp;R1410,製品マスタ!$N$5:$AE$4999,18,FALSE),""))))))</f>
        <v/>
      </c>
      <c r="Y1410" s="256">
        <f ca="1">IF(D1410="","",IF(T1410="","",VLOOKUP(D1410,契約台帳!$A$3:$Q$4986,17,FALSE)))</f>
        <v>2</v>
      </c>
      <c r="Z1410" s="256" t="str">
        <f ca="1">IF(D1410="","",IF(T1410="","",VLOOKUP(D1410,契約台帳!$A$3:$E$4986,5,FALSE)))</f>
        <v>リンテック㈱</v>
      </c>
      <c r="AA1410" s="54"/>
      <c r="AB1410" s="200">
        <f>IFERROR((VLOOKUP(F1410&amp;K1410&amp;M1410,製品マスタ!$M$5:$AM$4999,27,FALSE)),"")</f>
        <v>0</v>
      </c>
      <c r="AC1410" s="31"/>
      <c r="AD1410" s="184"/>
      <c r="AE1410" s="51"/>
      <c r="AF1410" s="52">
        <f>+M1410*N1410*O1410/1000</f>
        <v>8000</v>
      </c>
      <c r="AG1410" s="41"/>
      <c r="AH1410" s="45"/>
      <c r="AI1410" s="28"/>
      <c r="AJ1410" s="28"/>
      <c r="AK1410" s="28"/>
      <c r="AL1410" s="28"/>
      <c r="AM1410" s="12"/>
      <c r="AN1410" s="12"/>
      <c r="AO1410" s="12"/>
      <c r="AP1410" s="12"/>
      <c r="AQ1410" s="12"/>
      <c r="AR1410" s="13"/>
      <c r="AS1410" s="14"/>
    </row>
    <row r="1411" spans="1:45" s="16" customFormat="1" ht="30.95" hidden="1" customHeight="1" x14ac:dyDescent="0.2">
      <c r="A1411" s="35"/>
      <c r="B1411" s="36"/>
      <c r="C1411" s="43"/>
      <c r="D1411" s="29"/>
      <c r="E1411" s="29"/>
      <c r="F1411" s="255"/>
      <c r="G1411" s="256"/>
      <c r="H1411" s="256"/>
      <c r="I1411" s="200"/>
      <c r="J1411" s="203"/>
      <c r="K1411" s="200"/>
      <c r="L1411" s="200"/>
      <c r="M1411" s="37"/>
      <c r="N1411" s="37"/>
      <c r="O1411" s="153"/>
      <c r="P1411" s="45"/>
      <c r="Q1411" s="54"/>
      <c r="R1411" s="260"/>
      <c r="S1411" s="258"/>
      <c r="T1411" s="258"/>
      <c r="U1411" s="38"/>
      <c r="V1411" s="261"/>
      <c r="W1411" s="256"/>
      <c r="X1411" s="256"/>
      <c r="Y1411" s="256"/>
      <c r="Z1411" s="256"/>
      <c r="AA1411" s="54"/>
      <c r="AB1411" s="200"/>
      <c r="AC1411" s="31"/>
      <c r="AD1411" s="184"/>
      <c r="AE1411" s="51"/>
      <c r="AF1411" s="52"/>
      <c r="AG1411" s="41"/>
      <c r="AH1411" s="45"/>
      <c r="AI1411" s="28"/>
      <c r="AJ1411" s="28"/>
      <c r="AK1411" s="28"/>
      <c r="AL1411" s="28"/>
      <c r="AM1411" s="12"/>
      <c r="AN1411" s="12"/>
      <c r="AO1411" s="12"/>
      <c r="AP1411" s="12"/>
      <c r="AQ1411" s="12"/>
      <c r="AR1411" s="13"/>
      <c r="AS1411" s="14"/>
    </row>
    <row r="1412" spans="1:45" s="16" customFormat="1" ht="30.6" hidden="1" customHeight="1" x14ac:dyDescent="0.2">
      <c r="A1412" s="35"/>
      <c r="B1412" s="36"/>
      <c r="C1412" s="43"/>
      <c r="D1412" s="29">
        <v>3735106</v>
      </c>
      <c r="E1412" s="29">
        <v>4162159</v>
      </c>
      <c r="F1412" s="255" t="str">
        <f>IF(D1412="","",VLOOKUP(D1412,契約台帳!$A$3:$K$4986,6,FALSE)&amp;VLOOKUP(D1412,契約台帳!$A$3:$K$4986,7,FALSE)&amp;VLOOKUP(D1412,契約台帳!$A$3:$K$4986,8,FALSE)&amp;VLOOKUP(D1412,契約台帳!$A$3:$K$4986,9,FALSE)&amp;VLOOKUP(D1412,契約台帳!$A$3:$K$4986,11,FALSE))</f>
        <v>3SNMLBMNGKKBF</v>
      </c>
      <c r="G1412" s="256" t="str">
        <f>IF(D1412="","",VLOOKUP(F1412,製品マスタ!$G$5:$H$4999,2,FALSE))</f>
        <v>S</v>
      </c>
      <c r="H1412" s="256" t="str">
        <f>IF(D1412="","",VLOOKUP(F1412,製品マスタ!$G$5:$K$4999,5,FALSE))</f>
        <v>MNGKKBF</v>
      </c>
      <c r="I1412" s="200" t="str">
        <f>IF(D1412="","",VLOOKUP(F1412,製品マスタ!$G$5:$L$4999,6,FALSE))</f>
        <v>メタルミー　ネーマー銀消改　Ｂ</v>
      </c>
      <c r="J1412" s="203" t="s">
        <v>935</v>
      </c>
      <c r="K1412" s="200">
        <f>IF(D1412="","",VLOOKUP(D1412,契約台帳!$A$3:$L$4986,12,FALSE))</f>
        <v>50</v>
      </c>
      <c r="L1412" s="200" t="str">
        <f>IF(D1412="","",INDEX(製品マスタ!$Q$5:$Q$4999,MATCH('S4'!F1412&amp;'S4'!K1412,製品マスタ!$AO$5:$AO$4999,0)))</f>
        <v>S99-MAT</v>
      </c>
      <c r="M1412" s="37">
        <v>1000</v>
      </c>
      <c r="N1412" s="37">
        <v>4000</v>
      </c>
      <c r="O1412" s="153">
        <v>3</v>
      </c>
      <c r="P1412" s="45">
        <v>3</v>
      </c>
      <c r="Q1412" s="206">
        <v>45271</v>
      </c>
      <c r="R1412" s="257">
        <f ca="1">IF(D1412="","",IF(OFFSET(D1412,-1,0)&lt;&gt;"","",IF(OR(J1412="リード付け",J1412="巻足し",J1412="巻返しリード付け"),M1412,VLOOKUP(D1412,契約台帳!$A$3:$N$4986,14,FALSE))))</f>
        <v>1000</v>
      </c>
      <c r="S1412" s="258">
        <f ca="1">IF(D1412="","",IF(OFFSET(D1412,-1,0)&lt;&gt;"","",IF(OR(J1412="リード付け",J1412="巻足し",J1412="巻返しリード付け"),M1412,VLOOKUP(D1412,契約台帳!$A$3:$O$4986,15,FALSE))))</f>
        <v>1000</v>
      </c>
      <c r="T1412" s="258">
        <f ca="1">IF(D1412="","",IF(J1412="リード付け",N1412,IF(J1412="巻返しリード付け",N1412,IF(J1412="巻足し",N1412*P1412+OFFSET(N1412,1,0)*OFFSET(P1412,1,0),VLOOKUP(D1412,契約台帳!$A$3:$P$4986,16,FALSE)))))</f>
        <v>12000</v>
      </c>
      <c r="U1412" s="38">
        <v>1</v>
      </c>
      <c r="V1412" s="259">
        <f ca="1">IF(D1412="","",IF(OFFSET(D1412,-2,0)=D1412,"",VLOOKUP(D1412,契約台帳!$A$3:$R$4986,18,FALSE)))</f>
        <v>3</v>
      </c>
      <c r="W1412" s="256" t="str">
        <f ca="1">IF(D1412="","",IF(T1412="","",IF(OR(J1412="巻足し",J1412="巻返しリード付け"),"",IF(J1412="巻返し",VLOOKUP(F1412&amp;K1412&amp;M1412,製品マスタ!$M$5:$AD$4999,18,FALSE),IF(OR(J1412="リード付け",J1412="巻返しリード付け"),"原反コア",IF(J1412="スリット",VLOOKUP(F1412&amp;K1412&amp;R1412,製品マスタ!$N$5:$AD$4999,17,FALSE),""))))))</f>
        <v/>
      </c>
      <c r="X1412" s="256" t="str">
        <f ca="1">IF(D1412="","",IF(T1412="","",IF(J1412="巻足し","",IF(J1412="巻返し",VLOOKUP(F1412&amp;K1412&amp;M1412,製品マスタ!$M$5:$AE$4999,19,FALSE),IF(OR(J1412="リード付け",J1412="巻返しリード付け"),"",IF(J1412="スリット",VLOOKUP(F1412&amp;K1412&amp;R1412,製品マスタ!$N$5:$AE$4999,18,FALSE),""))))))</f>
        <v/>
      </c>
      <c r="Y1412" s="256">
        <f ca="1">IF(D1412="","",IF(T1412="","",VLOOKUP(D1412,契約台帳!$A$3:$Q$4986,17,FALSE)))</f>
        <v>2</v>
      </c>
      <c r="Z1412" s="256" t="str">
        <f ca="1">IF(D1412="","",IF(T1412="","",VLOOKUP(D1412,契約台帳!$A$3:$E$4986,5,FALSE)))</f>
        <v>リンテック㈱</v>
      </c>
      <c r="AA1412" s="54"/>
      <c r="AB1412" s="200">
        <f>IFERROR((VLOOKUP(F1412&amp;K1412&amp;M1412,製品マスタ!$M$5:$AM$4999,27,FALSE)),"")</f>
        <v>0</v>
      </c>
      <c r="AC1412" s="31"/>
      <c r="AD1412" s="184"/>
      <c r="AE1412" s="51"/>
      <c r="AF1412" s="52">
        <f>+M1412*N1412*O1412/1000</f>
        <v>12000</v>
      </c>
      <c r="AG1412" s="41"/>
      <c r="AH1412" s="45"/>
      <c r="AI1412" s="28"/>
      <c r="AJ1412" s="28"/>
      <c r="AK1412" s="28"/>
      <c r="AL1412" s="28"/>
      <c r="AM1412" s="12"/>
      <c r="AN1412" s="12"/>
      <c r="AO1412" s="12"/>
      <c r="AP1412" s="12"/>
      <c r="AQ1412" s="12"/>
      <c r="AR1412" s="13"/>
      <c r="AS1412" s="14"/>
    </row>
    <row r="1413" spans="1:45" s="16" customFormat="1" ht="30.95" hidden="1" customHeight="1" x14ac:dyDescent="0.2">
      <c r="A1413" s="35"/>
      <c r="B1413" s="36"/>
      <c r="C1413" s="43"/>
      <c r="D1413" s="29"/>
      <c r="E1413" s="29"/>
      <c r="F1413" s="255"/>
      <c r="G1413" s="256"/>
      <c r="H1413" s="256"/>
      <c r="I1413" s="200"/>
      <c r="J1413" s="203"/>
      <c r="K1413" s="200"/>
      <c r="L1413" s="200"/>
      <c r="M1413" s="37"/>
      <c r="N1413" s="37"/>
      <c r="O1413" s="153"/>
      <c r="P1413" s="45"/>
      <c r="Q1413" s="54"/>
      <c r="R1413" s="260"/>
      <c r="S1413" s="258"/>
      <c r="T1413" s="258"/>
      <c r="U1413" s="38"/>
      <c r="V1413" s="261"/>
      <c r="W1413" s="256"/>
      <c r="X1413" s="256"/>
      <c r="Y1413" s="256"/>
      <c r="Z1413" s="256"/>
      <c r="AA1413" s="54"/>
      <c r="AB1413" s="200"/>
      <c r="AC1413" s="31"/>
      <c r="AD1413" s="184"/>
      <c r="AE1413" s="51"/>
      <c r="AF1413" s="52"/>
      <c r="AG1413" s="41"/>
      <c r="AH1413" s="45"/>
      <c r="AI1413" s="28"/>
      <c r="AJ1413" s="28"/>
      <c r="AK1413" s="28"/>
      <c r="AL1413" s="28"/>
      <c r="AM1413" s="12"/>
      <c r="AN1413" s="12"/>
      <c r="AO1413" s="12"/>
      <c r="AP1413" s="12"/>
      <c r="AQ1413" s="12"/>
      <c r="AR1413" s="13"/>
      <c r="AS1413" s="14"/>
    </row>
    <row r="1414" spans="1:45" s="16" customFormat="1" ht="30.6" hidden="1" customHeight="1" x14ac:dyDescent="0.2">
      <c r="A1414" s="35"/>
      <c r="B1414" s="36"/>
      <c r="C1414" s="43"/>
      <c r="D1414" s="29">
        <v>3735113</v>
      </c>
      <c r="E1414" s="29">
        <v>4162170</v>
      </c>
      <c r="F1414" s="255" t="str">
        <f>IF(D1414="","",VLOOKUP(D1414,契約台帳!$A$3:$K$4986,6,FALSE)&amp;VLOOKUP(D1414,契約台帳!$A$3:$K$4986,7,FALSE)&amp;VLOOKUP(D1414,契約台帳!$A$3:$K$4986,8,FALSE)&amp;VLOOKUP(D1414,契約台帳!$A$3:$K$4986,9,FALSE)&amp;VLOOKUP(D1414,契約台帳!$A$3:$K$4986,11,FALSE))</f>
        <v>3SNMCLBNGKVB</v>
      </c>
      <c r="G1414" s="256" t="str">
        <f>IF(D1414="","",VLOOKUP(F1414,製品マスタ!$G$5:$H$4999,2,FALSE))</f>
        <v>S</v>
      </c>
      <c r="H1414" s="256" t="str">
        <f>IF(D1414="","",VLOOKUP(F1414,製品マスタ!$G$5:$K$4999,5,FALSE))</f>
        <v>NGKVB</v>
      </c>
      <c r="I1414" s="200" t="str">
        <f>IF(D1414="","",VLOOKUP(F1414,製品マスタ!$G$5:$L$4999,6,FALSE))</f>
        <v>メタルミー　ネーマー銀消　ＶＢ</v>
      </c>
      <c r="J1414" s="203" t="s">
        <v>935</v>
      </c>
      <c r="K1414" s="200">
        <f>IF(D1414="","",VLOOKUP(D1414,契約台帳!$A$3:$L$4986,12,FALSE))</f>
        <v>50</v>
      </c>
      <c r="L1414" s="200" t="str">
        <f>IF(D1414="","",INDEX(製品マスタ!$Q$5:$Q$4999,MATCH('S4'!F1414&amp;'S4'!K1414,製品マスタ!$AO$5:$AO$4999,0)))</f>
        <v>MAT</v>
      </c>
      <c r="M1414" s="37">
        <v>1005</v>
      </c>
      <c r="N1414" s="37">
        <v>4100</v>
      </c>
      <c r="O1414" s="153">
        <v>6</v>
      </c>
      <c r="P1414" s="45">
        <v>3</v>
      </c>
      <c r="Q1414" s="206">
        <v>45271</v>
      </c>
      <c r="R1414" s="257">
        <f ca="1">IF(D1414="","",IF(OFFSET(D1414,-1,0)&lt;&gt;"","",IF(OR(J1414="リード付け",J1414="巻足し",J1414="巻返しリード付け"),M1414,VLOOKUP(D1414,契約台帳!$A$3:$N$4986,14,FALSE))))</f>
        <v>1005</v>
      </c>
      <c r="S1414" s="258">
        <f ca="1">IF(D1414="","",IF(OFFSET(D1414,-1,0)&lt;&gt;"","",IF(OR(J1414="リード付け",J1414="巻足し",J1414="巻返しリード付け"),M1414,VLOOKUP(D1414,契約台帳!$A$3:$O$4986,15,FALSE))))</f>
        <v>1005</v>
      </c>
      <c r="T1414" s="258">
        <f ca="1">IF(D1414="","",IF(J1414="リード付け",N1414,IF(J1414="巻返しリード付け",N1414,IF(J1414="巻足し",N1414*P1414+OFFSET(N1414,1,0)*OFFSET(P1414,1,0),VLOOKUP(D1414,契約台帳!$A$3:$P$4986,16,FALSE)))))</f>
        <v>12300</v>
      </c>
      <c r="U1414" s="38">
        <v>2</v>
      </c>
      <c r="V1414" s="259">
        <f ca="1">IF(D1414="","",IF(OFFSET(D1414,-2,0)=D1414,"",VLOOKUP(D1414,契約台帳!$A$3:$R$4986,18,FALSE)))</f>
        <v>6</v>
      </c>
      <c r="W1414" s="256" t="str">
        <f ca="1">IF(D1414="","",IF(T1414="","",IF(OR(J1414="巻足し",J1414="巻返しリード付け"),"",IF(J1414="巻返し",VLOOKUP(F1414&amp;K1414&amp;M1414,製品マスタ!$M$5:$AD$4999,18,FALSE),IF(OR(J1414="リード付け",J1414="巻返しリード付け"),"原反コア",IF(J1414="スリット",VLOOKUP(F1414&amp;K1414&amp;R1414,製品マスタ!$N$5:$AD$4999,17,FALSE),""))))))</f>
        <v/>
      </c>
      <c r="X1414" s="256" t="str">
        <f ca="1">IF(D1414="","",IF(T1414="","",IF(J1414="巻足し","",IF(J1414="巻返し",VLOOKUP(F1414&amp;K1414&amp;M1414,製品マスタ!$M$5:$AE$4999,19,FALSE),IF(OR(J1414="リード付け",J1414="巻返しリード付け"),"",IF(J1414="スリット",VLOOKUP(F1414&amp;K1414&amp;R1414,製品マスタ!$N$5:$AE$4999,18,FALSE),""))))))</f>
        <v/>
      </c>
      <c r="Y1414" s="256">
        <f ca="1">IF(D1414="","",IF(T1414="","",VLOOKUP(D1414,契約台帳!$A$3:$Q$4986,17,FALSE)))</f>
        <v>2</v>
      </c>
      <c r="Z1414" s="256" t="str">
        <f ca="1">IF(D1414="","",IF(T1414="","",VLOOKUP(D1414,契約台帳!$A$3:$E$4986,5,FALSE)))</f>
        <v>リンテック㈱</v>
      </c>
      <c r="AA1414" s="54"/>
      <c r="AB1414" s="200">
        <f>IFERROR((VLOOKUP(F1414&amp;K1414&amp;M1414,製品マスタ!$M$5:$AM$4999,27,FALSE)),"")</f>
        <v>0</v>
      </c>
      <c r="AC1414" s="31"/>
      <c r="AD1414" s="184"/>
      <c r="AE1414" s="51"/>
      <c r="AF1414" s="52">
        <f>+M1414*N1414*O1414/1000</f>
        <v>24723</v>
      </c>
      <c r="AG1414" s="41"/>
      <c r="AH1414" s="45"/>
      <c r="AI1414" s="28"/>
      <c r="AJ1414" s="28"/>
      <c r="AK1414" s="28"/>
      <c r="AL1414" s="28"/>
      <c r="AM1414" s="12"/>
      <c r="AN1414" s="12"/>
      <c r="AO1414" s="12"/>
      <c r="AP1414" s="12"/>
      <c r="AQ1414" s="12"/>
      <c r="AR1414" s="13"/>
      <c r="AS1414" s="14"/>
    </row>
    <row r="1415" spans="1:45" s="16" customFormat="1" ht="30.95" hidden="1" customHeight="1" x14ac:dyDescent="0.2">
      <c r="A1415" s="35"/>
      <c r="B1415" s="36"/>
      <c r="C1415" s="43"/>
      <c r="D1415" s="29"/>
      <c r="E1415" s="29"/>
      <c r="F1415" s="255"/>
      <c r="G1415" s="256"/>
      <c r="H1415" s="256"/>
      <c r="I1415" s="200"/>
      <c r="J1415" s="203"/>
      <c r="K1415" s="200"/>
      <c r="L1415" s="200"/>
      <c r="M1415" s="37"/>
      <c r="N1415" s="37"/>
      <c r="O1415" s="153"/>
      <c r="P1415" s="45"/>
      <c r="Q1415" s="54"/>
      <c r="R1415" s="260"/>
      <c r="S1415" s="258"/>
      <c r="T1415" s="258"/>
      <c r="U1415" s="38"/>
      <c r="V1415" s="261"/>
      <c r="W1415" s="256"/>
      <c r="X1415" s="256"/>
      <c r="Y1415" s="256"/>
      <c r="Z1415" s="256"/>
      <c r="AA1415" s="54"/>
      <c r="AB1415" s="200"/>
      <c r="AC1415" s="31"/>
      <c r="AD1415" s="184"/>
      <c r="AE1415" s="51"/>
      <c r="AF1415" s="52"/>
      <c r="AG1415" s="41"/>
      <c r="AH1415" s="45"/>
      <c r="AI1415" s="28"/>
      <c r="AJ1415" s="28"/>
      <c r="AK1415" s="28"/>
      <c r="AL1415" s="28"/>
      <c r="AM1415" s="12"/>
      <c r="AN1415" s="12"/>
      <c r="AO1415" s="12"/>
      <c r="AP1415" s="12"/>
      <c r="AQ1415" s="12"/>
      <c r="AR1415" s="13"/>
      <c r="AS1415" s="14"/>
    </row>
    <row r="1416" spans="1:45" s="16" customFormat="1" ht="30.6" hidden="1" customHeight="1" x14ac:dyDescent="0.2">
      <c r="A1416" s="35" t="s">
        <v>1881</v>
      </c>
      <c r="B1416" s="36" t="s">
        <v>1880</v>
      </c>
      <c r="C1416" s="43"/>
      <c r="D1416" s="29">
        <v>3735125</v>
      </c>
      <c r="E1416" s="29">
        <v>4162171</v>
      </c>
      <c r="F1416" s="255" t="str">
        <f>IF(D1416="","",VLOOKUP(D1416,契約台帳!$A$3:$K$4986,6,FALSE)&amp;VLOOKUP(D1416,契約台帳!$A$3:$K$4986,7,FALSE)&amp;VLOOKUP(D1416,契約台帳!$A$3:$K$4986,8,FALSE)&amp;VLOOKUP(D1416,契約台帳!$A$3:$K$4986,9,FALSE)&amp;VLOOKUP(D1416,契約台帳!$A$3:$K$4986,11,FALSE))</f>
        <v>3SNMCLBTETV0V</v>
      </c>
      <c r="G1416" s="256" t="str">
        <f>IF(D1416="","",VLOOKUP(F1416,製品マスタ!$G$5:$H$4999,2,FALSE))</f>
        <v>S</v>
      </c>
      <c r="H1416" s="256" t="str">
        <f>IF(D1416="","",VLOOKUP(F1416,製品マスタ!$G$5:$K$4999,5,FALSE))</f>
        <v>TETV0V</v>
      </c>
      <c r="I1416" s="200" t="str">
        <f>IF(D1416="","",VLOOKUP(F1416,製品マスタ!$G$5:$L$4999,6,FALSE))</f>
        <v>メタルミー　ＴＥＳ艶ＶＯＩＤＶ</v>
      </c>
      <c r="J1416" s="203" t="s">
        <v>935</v>
      </c>
      <c r="K1416" s="200">
        <f>IF(D1416="","",VLOOKUP(D1416,契約台帳!$A$3:$L$4986,12,FALSE))</f>
        <v>50</v>
      </c>
      <c r="L1416" s="200" t="str">
        <f>IF(D1416="","",INDEX(製品マスタ!$Q$5:$Q$4999,MATCH('S4'!F1416&amp;'S4'!K1416,製品マスタ!$AO$5:$AO$4999,0)))</f>
        <v>S28SEPA</v>
      </c>
      <c r="M1416" s="37">
        <v>1005</v>
      </c>
      <c r="N1416" s="37">
        <v>4100</v>
      </c>
      <c r="O1416" s="153">
        <v>2</v>
      </c>
      <c r="P1416" s="45">
        <v>2</v>
      </c>
      <c r="Q1416" s="206">
        <v>45271</v>
      </c>
      <c r="R1416" s="257">
        <f ca="1">IF(D1416="","",IF(OFFSET(D1416,-1,0)&lt;&gt;"","",IF(OR(J1416="リード付け",J1416="巻足し",J1416="巻返しリード付け"),M1416,VLOOKUP(D1416,契約台帳!$A$3:$N$4986,14,FALSE))))</f>
        <v>1005</v>
      </c>
      <c r="S1416" s="258">
        <f ca="1">IF(D1416="","",IF(OFFSET(D1416,-1,0)&lt;&gt;"","",IF(OR(J1416="リード付け",J1416="巻足し",J1416="巻返しリード付け"),M1416,VLOOKUP(D1416,契約台帳!$A$3:$O$4986,15,FALSE))))</f>
        <v>1005</v>
      </c>
      <c r="T1416" s="258">
        <f ca="1">IF(D1416="","",IF(J1416="リード付け",N1416,IF(J1416="巻返しリード付け",N1416,IF(J1416="巻足し",N1416*P1416+OFFSET(N1416,1,0)*OFFSET(P1416,1,0),VLOOKUP(D1416,契約台帳!$A$3:$P$4986,16,FALSE)))))</f>
        <v>8200</v>
      </c>
      <c r="U1416" s="38">
        <v>1</v>
      </c>
      <c r="V1416" s="259">
        <f ca="1">IF(D1416="","",IF(OFFSET(D1416,-2,0)=D1416,"",VLOOKUP(D1416,契約台帳!$A$3:$R$4986,18,FALSE)))</f>
        <v>2</v>
      </c>
      <c r="W1416" s="256" t="str">
        <f ca="1">IF(D1416="","",IF(T1416="","",IF(OR(J1416="巻足し",J1416="巻返しリード付け"),"",IF(J1416="巻返し",VLOOKUP(F1416&amp;K1416&amp;M1416,製品マスタ!$M$5:$AD$4999,18,FALSE),IF(OR(J1416="リード付け",J1416="巻返しリード付け"),"原反コア",IF(J1416="スリット",VLOOKUP(F1416&amp;K1416&amp;R1416,製品マスタ!$N$5:$AD$4999,17,FALSE),""))))))</f>
        <v/>
      </c>
      <c r="X1416" s="256" t="str">
        <f ca="1">IF(D1416="","",IF(T1416="","",IF(J1416="巻足し","",IF(J1416="巻返し",VLOOKUP(F1416&amp;K1416&amp;M1416,製品マスタ!$M$5:$AE$4999,19,FALSE),IF(OR(J1416="リード付け",J1416="巻返しリード付け"),"",IF(J1416="スリット",VLOOKUP(F1416&amp;K1416&amp;R1416,製品マスタ!$N$5:$AE$4999,18,FALSE),""))))))</f>
        <v/>
      </c>
      <c r="Y1416" s="256">
        <f ca="1">IF(D1416="","",IF(T1416="","",VLOOKUP(D1416,契約台帳!$A$3:$Q$4986,17,FALSE)))</f>
        <v>2</v>
      </c>
      <c r="Z1416" s="256" t="str">
        <f ca="1">IF(D1416="","",IF(T1416="","",VLOOKUP(D1416,契約台帳!$A$3:$E$4986,5,FALSE)))</f>
        <v>リンテック㈱</v>
      </c>
      <c r="AA1416" s="54"/>
      <c r="AB1416" s="200">
        <f>IFERROR((VLOOKUP(F1416&amp;K1416&amp;M1416,製品マスタ!$M$5:$AM$4999,27,FALSE)),"")</f>
        <v>0</v>
      </c>
      <c r="AC1416" s="31"/>
      <c r="AD1416" s="184"/>
      <c r="AE1416" s="51"/>
      <c r="AF1416" s="52">
        <f>+M1416*N1416*O1416/1000</f>
        <v>8241</v>
      </c>
      <c r="AG1416" s="41"/>
      <c r="AH1416" s="45"/>
      <c r="AI1416" s="28"/>
      <c r="AJ1416" s="28"/>
      <c r="AK1416" s="28"/>
      <c r="AL1416" s="28"/>
      <c r="AM1416" s="12"/>
      <c r="AN1416" s="12"/>
      <c r="AO1416" s="12"/>
      <c r="AP1416" s="12"/>
      <c r="AQ1416" s="12"/>
      <c r="AR1416" s="13"/>
      <c r="AS1416" s="14"/>
    </row>
    <row r="1417" spans="1:45" s="16" customFormat="1" ht="30.95" hidden="1" customHeight="1" x14ac:dyDescent="0.2">
      <c r="A1417" s="35"/>
      <c r="B1417" s="36"/>
      <c r="C1417" s="43"/>
      <c r="D1417" s="29"/>
      <c r="E1417" s="29"/>
      <c r="F1417" s="255"/>
      <c r="G1417" s="256"/>
      <c r="H1417" s="256"/>
      <c r="I1417" s="200"/>
      <c r="J1417" s="203"/>
      <c r="K1417" s="200"/>
      <c r="L1417" s="200"/>
      <c r="M1417" s="37"/>
      <c r="N1417" s="37"/>
      <c r="O1417" s="153"/>
      <c r="P1417" s="45"/>
      <c r="Q1417" s="54"/>
      <c r="R1417" s="260"/>
      <c r="S1417" s="258"/>
      <c r="T1417" s="258"/>
      <c r="U1417" s="38"/>
      <c r="V1417" s="261"/>
      <c r="W1417" s="256"/>
      <c r="X1417" s="256"/>
      <c r="Y1417" s="256"/>
      <c r="Z1417" s="256"/>
      <c r="AA1417" s="54"/>
      <c r="AB1417" s="200"/>
      <c r="AC1417" s="31"/>
      <c r="AD1417" s="184"/>
      <c r="AE1417" s="51"/>
      <c r="AF1417" s="52"/>
      <c r="AG1417" s="41"/>
      <c r="AH1417" s="45"/>
      <c r="AI1417" s="28"/>
      <c r="AJ1417" s="28"/>
      <c r="AK1417" s="28"/>
      <c r="AL1417" s="28"/>
      <c r="AM1417" s="12"/>
      <c r="AN1417" s="12"/>
      <c r="AO1417" s="12"/>
      <c r="AP1417" s="12"/>
      <c r="AQ1417" s="12"/>
      <c r="AR1417" s="13"/>
      <c r="AS1417" s="14"/>
    </row>
    <row r="1418" spans="1:45" s="16" customFormat="1" ht="30.6" hidden="1" customHeight="1" x14ac:dyDescent="0.2">
      <c r="A1418" s="35"/>
      <c r="B1418" s="36"/>
      <c r="C1418" s="43"/>
      <c r="D1418" s="29">
        <v>3735124</v>
      </c>
      <c r="E1418" s="29">
        <v>4162151</v>
      </c>
      <c r="F1418" s="255" t="str">
        <f>IF(D1418="","",VLOOKUP(D1418,契約台帳!$A$3:$K$4986,6,FALSE)&amp;VLOOKUP(D1418,契約台帳!$A$3:$K$4986,7,FALSE)&amp;VLOOKUP(D1418,契約台帳!$A$3:$K$4986,8,FALSE)&amp;VLOOKUP(D1418,契約台帳!$A$3:$K$4986,9,FALSE)&amp;VLOOKUP(D1418,契約台帳!$A$3:$K$4986,11,FALSE))</f>
        <v>33SSNMCLBTETKFV</v>
      </c>
      <c r="G1418" s="256" t="str">
        <f>IF(D1418="","",VLOOKUP(F1418,製品マスタ!$G$5:$H$4999,2,FALSE))</f>
        <v>S</v>
      </c>
      <c r="H1418" s="256" t="str">
        <f>IF(D1418="","",VLOOKUP(F1418,製品マスタ!$G$5:$K$4999,5,FALSE))</f>
        <v>TETKFV</v>
      </c>
      <c r="I1418" s="200" t="str">
        <f>IF(D1418="","",VLOOKUP(F1418,製品マスタ!$G$5:$L$4999,6,FALSE))</f>
        <v>メタルミー　ＴＥＳ艶開封　Ｖ</v>
      </c>
      <c r="J1418" s="203" t="s">
        <v>935</v>
      </c>
      <c r="K1418" s="200">
        <f>IF(D1418="","",VLOOKUP(D1418,契約台帳!$A$3:$L$4986,12,FALSE))</f>
        <v>50</v>
      </c>
      <c r="L1418" s="200" t="str">
        <f>IF(D1418="","",INDEX(製品マスタ!$Q$5:$Q$4999,MATCH('S4'!F1418&amp;'S4'!K1418,製品マスタ!$AO$5:$AO$4999,0)))</f>
        <v>S28SEPA</v>
      </c>
      <c r="M1418" s="37">
        <v>1005</v>
      </c>
      <c r="N1418" s="37">
        <v>4100</v>
      </c>
      <c r="O1418" s="153">
        <v>9</v>
      </c>
      <c r="P1418" s="45">
        <v>3</v>
      </c>
      <c r="Q1418" s="206">
        <v>45271</v>
      </c>
      <c r="R1418" s="257">
        <f ca="1">IF(D1418="","",IF(OFFSET(D1418,-1,0)&lt;&gt;"","",IF(OR(J1418="リード付け",J1418="巻足し",J1418="巻返しリード付け"),M1418,VLOOKUP(D1418,契約台帳!$A$3:$N$4986,14,FALSE))))</f>
        <v>1005</v>
      </c>
      <c r="S1418" s="258">
        <f ca="1">IF(D1418="","",IF(OFFSET(D1418,-1,0)&lt;&gt;"","",IF(OR(J1418="リード付け",J1418="巻足し",J1418="巻返しリード付け"),M1418,VLOOKUP(D1418,契約台帳!$A$3:$O$4986,15,FALSE))))</f>
        <v>1005</v>
      </c>
      <c r="T1418" s="258">
        <f ca="1">IF(D1418="","",IF(J1418="リード付け",N1418,IF(J1418="巻返しリード付け",N1418,IF(J1418="巻足し",N1418*P1418+OFFSET(N1418,1,0)*OFFSET(P1418,1,0),VLOOKUP(D1418,契約台帳!$A$3:$P$4986,16,FALSE)))))</f>
        <v>12300</v>
      </c>
      <c r="U1418" s="38">
        <v>3</v>
      </c>
      <c r="V1418" s="259">
        <f ca="1">IF(D1418="","",IF(OFFSET(D1418,-2,0)=D1418,"",VLOOKUP(D1418,契約台帳!$A$3:$R$4986,18,FALSE)))</f>
        <v>9</v>
      </c>
      <c r="W1418" s="256" t="str">
        <f ca="1">IF(D1418="","",IF(T1418="","",IF(OR(J1418="巻足し",J1418="巻返しリード付け"),"",IF(J1418="巻返し",VLOOKUP(F1418&amp;K1418&amp;M1418,製品マスタ!$M$5:$AD$4999,18,FALSE),IF(OR(J1418="リード付け",J1418="巻返しリード付け"),"原反コア",IF(J1418="スリット",VLOOKUP(F1418&amp;K1418&amp;R1418,製品マスタ!$N$5:$AD$4999,17,FALSE),""))))))</f>
        <v/>
      </c>
      <c r="X1418" s="256" t="str">
        <f ca="1">IF(D1418="","",IF(T1418="","",IF(J1418="巻足し","",IF(J1418="巻返し",VLOOKUP(F1418&amp;K1418&amp;M1418,製品マスタ!$M$5:$AE$4999,19,FALSE),IF(OR(J1418="リード付け",J1418="巻返しリード付け"),"",IF(J1418="スリット",VLOOKUP(F1418&amp;K1418&amp;R1418,製品マスタ!$N$5:$AE$4999,18,FALSE),""))))))</f>
        <v/>
      </c>
      <c r="Y1418" s="256">
        <f ca="1">IF(D1418="","",IF(T1418="","",VLOOKUP(D1418,契約台帳!$A$3:$Q$4986,17,FALSE)))</f>
        <v>2</v>
      </c>
      <c r="Z1418" s="256" t="str">
        <f ca="1">IF(D1418="","",IF(T1418="","",VLOOKUP(D1418,契約台帳!$A$3:$E$4986,5,FALSE)))</f>
        <v>リンテック㈱</v>
      </c>
      <c r="AA1418" s="54"/>
      <c r="AB1418" s="200">
        <f>IFERROR((VLOOKUP(F1418&amp;K1418&amp;M1418,製品マスタ!$M$5:$AM$4999,27,FALSE)),"")</f>
        <v>0</v>
      </c>
      <c r="AC1418" s="31"/>
      <c r="AD1418" s="184"/>
      <c r="AE1418" s="51"/>
      <c r="AF1418" s="52">
        <f>+M1418*N1418*O1418/1000</f>
        <v>37084.5</v>
      </c>
      <c r="AG1418" s="41"/>
      <c r="AH1418" s="45"/>
      <c r="AI1418" s="28"/>
      <c r="AJ1418" s="28"/>
      <c r="AK1418" s="28"/>
      <c r="AL1418" s="28"/>
      <c r="AM1418" s="12"/>
      <c r="AN1418" s="12"/>
      <c r="AO1418" s="12"/>
      <c r="AP1418" s="12"/>
      <c r="AQ1418" s="12"/>
      <c r="AR1418" s="13"/>
      <c r="AS1418" s="14"/>
    </row>
    <row r="1419" spans="1:45" s="16" customFormat="1" ht="30.95" hidden="1" customHeight="1" x14ac:dyDescent="0.2">
      <c r="A1419" s="35"/>
      <c r="B1419" s="36"/>
      <c r="C1419" s="43"/>
      <c r="D1419" s="29"/>
      <c r="E1419" s="29"/>
      <c r="F1419" s="255"/>
      <c r="G1419" s="256"/>
      <c r="H1419" s="256"/>
      <c r="I1419" s="200"/>
      <c r="J1419" s="203"/>
      <c r="K1419" s="200"/>
      <c r="L1419" s="200"/>
      <c r="M1419" s="37"/>
      <c r="N1419" s="37"/>
      <c r="O1419" s="153"/>
      <c r="P1419" s="45"/>
      <c r="Q1419" s="54"/>
      <c r="R1419" s="260"/>
      <c r="S1419" s="258"/>
      <c r="T1419" s="258"/>
      <c r="U1419" s="38"/>
      <c r="V1419" s="261"/>
      <c r="W1419" s="256"/>
      <c r="X1419" s="256"/>
      <c r="Y1419" s="256"/>
      <c r="Z1419" s="256"/>
      <c r="AA1419" s="54"/>
      <c r="AB1419" s="200"/>
      <c r="AC1419" s="31"/>
      <c r="AD1419" s="184"/>
      <c r="AE1419" s="51"/>
      <c r="AF1419" s="52"/>
      <c r="AG1419" s="41"/>
      <c r="AH1419" s="45"/>
      <c r="AI1419" s="28"/>
      <c r="AJ1419" s="28"/>
      <c r="AK1419" s="28"/>
      <c r="AL1419" s="28"/>
      <c r="AM1419" s="12"/>
      <c r="AN1419" s="12"/>
      <c r="AO1419" s="12"/>
      <c r="AP1419" s="12"/>
      <c r="AQ1419" s="12"/>
      <c r="AR1419" s="13"/>
      <c r="AS1419" s="14"/>
    </row>
    <row r="1420" spans="1:45" s="16" customFormat="1" ht="30.6" hidden="1" customHeight="1" x14ac:dyDescent="0.2">
      <c r="A1420" s="35"/>
      <c r="B1420" s="36"/>
      <c r="C1420" s="43"/>
      <c r="D1420" s="29">
        <v>3735129</v>
      </c>
      <c r="E1420" s="29">
        <v>4162172</v>
      </c>
      <c r="F1420" s="255" t="str">
        <f>IF(D1420="","",VLOOKUP(D1420,契約台帳!$A$3:$K$4986,6,FALSE)&amp;VLOOKUP(D1420,契約台帳!$A$3:$K$4986,7,FALSE)&amp;VLOOKUP(D1420,契約台帳!$A$3:$K$4986,8,FALSE)&amp;VLOOKUP(D1420,契約台帳!$A$3:$K$4986,9,FALSE)&amp;VLOOKUP(D1420,契約台帳!$A$3:$K$4986,11,FALSE))</f>
        <v>3TNMCLBHLGKJV</v>
      </c>
      <c r="G1420" s="256" t="str">
        <f>IF(D1420="","",VLOOKUP(F1420,製品マスタ!$G$5:$H$4999,2,FALSE))</f>
        <v>T</v>
      </c>
      <c r="H1420" s="256" t="str">
        <f>IF(D1420="","",VLOOKUP(F1420,製品マスタ!$G$5:$K$4999,5,FALSE))</f>
        <v>HLGKJV</v>
      </c>
      <c r="I1420" s="200" t="str">
        <f>IF(D1420="","",VLOOKUP(F1420,製品マスタ!$G$5:$L$4999,6,FALSE))</f>
        <v>メタルミー　ヘヤライン　銀消Ｖ</v>
      </c>
      <c r="J1420" s="203" t="s">
        <v>935</v>
      </c>
      <c r="K1420" s="200">
        <f>IF(D1420="","",VLOOKUP(D1420,契約台帳!$A$3:$L$4986,12,FALSE))</f>
        <v>50</v>
      </c>
      <c r="L1420" s="200" t="str">
        <f>IF(D1420="","",INDEX(製品マスタ!$Q$5:$Q$4999,MATCH('S4'!F1420&amp;'S4'!K1420,製品マスタ!$AO$5:$AO$4999,0)))</f>
        <v>HL-MAT</v>
      </c>
      <c r="M1420" s="37">
        <v>1005</v>
      </c>
      <c r="N1420" s="37">
        <v>4000</v>
      </c>
      <c r="O1420" s="153">
        <v>2</v>
      </c>
      <c r="P1420" s="45">
        <v>2</v>
      </c>
      <c r="Q1420" s="206">
        <v>45272</v>
      </c>
      <c r="R1420" s="257">
        <f ca="1">IF(D1420="","",IF(OFFSET(D1420,-1,0)&lt;&gt;"","",IF(OR(J1420="リード付け",J1420="巻足し",J1420="巻返しリード付け"),M1420,VLOOKUP(D1420,契約台帳!$A$3:$N$4986,14,FALSE))))</f>
        <v>1005</v>
      </c>
      <c r="S1420" s="258">
        <f ca="1">IF(D1420="","",IF(OFFSET(D1420,-1,0)&lt;&gt;"","",IF(OR(J1420="リード付け",J1420="巻足し",J1420="巻返しリード付け"),M1420,VLOOKUP(D1420,契約台帳!$A$3:$O$4986,15,FALSE))))</f>
        <v>1005</v>
      </c>
      <c r="T1420" s="258">
        <f ca="1">IF(D1420="","",IF(J1420="リード付け",N1420,IF(J1420="巻返しリード付け",N1420,IF(J1420="巻足し",N1420*P1420+OFFSET(N1420,1,0)*OFFSET(P1420,1,0),VLOOKUP(D1420,契約台帳!$A$3:$P$4986,16,FALSE)))))</f>
        <v>8000</v>
      </c>
      <c r="U1420" s="38">
        <v>1</v>
      </c>
      <c r="V1420" s="259">
        <f ca="1">IF(D1420="","",IF(OFFSET(D1420,-2,0)=D1420,"",VLOOKUP(D1420,契約台帳!$A$3:$R$4986,18,FALSE)))</f>
        <v>4</v>
      </c>
      <c r="W1420" s="256" t="str">
        <f ca="1">IF(D1420="","",IF(T1420="","",IF(OR(J1420="巻足し",J1420="巻返しリード付け"),"",IF(J1420="巻返し",VLOOKUP(F1420&amp;K1420&amp;M1420,製品マスタ!$M$5:$AD$4999,18,FALSE),IF(OR(J1420="リード付け",J1420="巻返しリード付け"),"原反コア",IF(J1420="スリット",VLOOKUP(F1420&amp;K1420&amp;R1420,製品マスタ!$N$5:$AD$4999,17,FALSE),""))))))</f>
        <v/>
      </c>
      <c r="X1420" s="256" t="str">
        <f ca="1">IF(D1420="","",IF(T1420="","",IF(J1420="巻足し","",IF(J1420="巻返し",VLOOKUP(F1420&amp;K1420&amp;M1420,製品マスタ!$M$5:$AE$4999,19,FALSE),IF(OR(J1420="リード付け",J1420="巻返しリード付け"),"",IF(J1420="スリット",VLOOKUP(F1420&amp;K1420&amp;R1420,製品マスタ!$N$5:$AE$4999,18,FALSE),""))))))</f>
        <v/>
      </c>
      <c r="Y1420" s="256">
        <f ca="1">IF(D1420="","",IF(T1420="","",VLOOKUP(D1420,契約台帳!$A$3:$Q$4986,17,FALSE)))</f>
        <v>2</v>
      </c>
      <c r="Z1420" s="256" t="str">
        <f ca="1">IF(D1420="","",IF(T1420="","",VLOOKUP(D1420,契約台帳!$A$3:$E$4986,5,FALSE)))</f>
        <v>リンテック㈱</v>
      </c>
      <c r="AA1420" s="54"/>
      <c r="AB1420" s="200">
        <f>IFERROR((VLOOKUP(F1420&amp;K1420&amp;M1420,製品マスタ!$M$5:$AM$4999,27,FALSE)),"")</f>
        <v>0</v>
      </c>
      <c r="AC1420" s="31"/>
      <c r="AD1420" s="184"/>
      <c r="AE1420" s="51"/>
      <c r="AF1420" s="52">
        <f>+M1420*N1420*O1420/1000</f>
        <v>8040</v>
      </c>
      <c r="AG1420" s="41"/>
      <c r="AH1420" s="45"/>
      <c r="AI1420" s="28"/>
      <c r="AJ1420" s="28"/>
      <c r="AK1420" s="28"/>
      <c r="AL1420" s="28"/>
      <c r="AM1420" s="12"/>
      <c r="AN1420" s="12"/>
      <c r="AO1420" s="12"/>
      <c r="AP1420" s="12"/>
      <c r="AQ1420" s="12"/>
      <c r="AR1420" s="13"/>
      <c r="AS1420" s="14"/>
    </row>
    <row r="1421" spans="1:45" s="16" customFormat="1" ht="30.95" hidden="1" customHeight="1" x14ac:dyDescent="0.2">
      <c r="A1421" s="35"/>
      <c r="B1421" s="36"/>
      <c r="C1421" s="43"/>
      <c r="D1421" s="29"/>
      <c r="E1421" s="29"/>
      <c r="F1421" s="255"/>
      <c r="G1421" s="256"/>
      <c r="H1421" s="256"/>
      <c r="I1421" s="200"/>
      <c r="J1421" s="203"/>
      <c r="K1421" s="200"/>
      <c r="L1421" s="200"/>
      <c r="M1421" s="37"/>
      <c r="N1421" s="37"/>
      <c r="O1421" s="153"/>
      <c r="P1421" s="45"/>
      <c r="Q1421" s="54"/>
      <c r="R1421" s="260"/>
      <c r="S1421" s="258"/>
      <c r="T1421" s="258"/>
      <c r="U1421" s="38"/>
      <c r="V1421" s="261"/>
      <c r="W1421" s="256"/>
      <c r="X1421" s="256"/>
      <c r="Y1421" s="256"/>
      <c r="Z1421" s="256"/>
      <c r="AA1421" s="54"/>
      <c r="AB1421" s="200"/>
      <c r="AC1421" s="31"/>
      <c r="AD1421" s="184"/>
      <c r="AE1421" s="51"/>
      <c r="AF1421" s="52"/>
      <c r="AG1421" s="41"/>
      <c r="AH1421" s="45"/>
      <c r="AI1421" s="28"/>
      <c r="AJ1421" s="28"/>
      <c r="AK1421" s="28"/>
      <c r="AL1421" s="28"/>
      <c r="AM1421" s="12"/>
      <c r="AN1421" s="12"/>
      <c r="AO1421" s="12"/>
      <c r="AP1421" s="12"/>
      <c r="AQ1421" s="12"/>
      <c r="AR1421" s="13"/>
      <c r="AS1421" s="14"/>
    </row>
    <row r="1422" spans="1:45" s="16" customFormat="1" ht="30.95" hidden="1" customHeight="1" x14ac:dyDescent="0.2">
      <c r="A1422" s="35"/>
      <c r="B1422" s="36"/>
      <c r="C1422" s="43"/>
      <c r="D1422" s="29">
        <v>3732680</v>
      </c>
      <c r="E1422" s="29">
        <v>4162184</v>
      </c>
      <c r="F1422" s="255" t="str">
        <f>IF(D1422="","",VLOOKUP(D1422,契約台帳!$A$3:$K$4986,6,FALSE)&amp;VLOOKUP(D1422,契約台帳!$A$3:$K$4986,7,FALSE)&amp;VLOOKUP(D1422,契約台帳!$A$3:$K$4986,8,FALSE)&amp;VLOOKUP(D1422,契約台帳!$A$3:$K$4986,9,FALSE)&amp;VLOOKUP(D1422,契約台帳!$A$3:$K$4986,11,FALSE))</f>
        <v>3TNMCLBHLGTV</v>
      </c>
      <c r="G1422" s="256" t="str">
        <f>IF(D1422="","",VLOOKUP(F1422,製品マスタ!$G$5:$H$4999,2,FALSE))</f>
        <v>T</v>
      </c>
      <c r="H1422" s="256" t="str">
        <f>IF(D1422="","",VLOOKUP(F1422,製品マスタ!$G$5:$K$4999,5,FALSE))</f>
        <v>HLGTV</v>
      </c>
      <c r="I1422" s="200" t="str">
        <f>IF(D1422="","",VLOOKUP(F1422,製品マスタ!$G$5:$L$4999,6,FALSE))</f>
        <v>メタルミー　ヘヤライン　銀艶Ｖ</v>
      </c>
      <c r="J1422" s="203" t="s">
        <v>935</v>
      </c>
      <c r="K1422" s="200">
        <f>IF(D1422="","",VLOOKUP(D1422,契約台帳!$A$3:$L$4986,12,FALSE))</f>
        <v>50</v>
      </c>
      <c r="L1422" s="200" t="str">
        <f>IF(D1422="","",INDEX(製品マスタ!$Q$5:$Q$4999,MATCH('S4'!F1422&amp;'S4'!K1422,製品マスタ!$AO$5:$AO$4999,0)))</f>
        <v>BRIGHT</v>
      </c>
      <c r="M1422" s="37">
        <v>1005</v>
      </c>
      <c r="N1422" s="37">
        <v>4100</v>
      </c>
      <c r="O1422" s="153">
        <v>1</v>
      </c>
      <c r="P1422" s="45">
        <v>2</v>
      </c>
      <c r="Q1422" s="206">
        <v>45237</v>
      </c>
      <c r="R1422" s="257">
        <f ca="1">IF(D1422="","",IF(OFFSET(D1422,-1,0)&lt;&gt;"","",IF(OR(J1422="リード付け",J1422="巻足し",J1422="巻返しリード付け"),M1422,VLOOKUP(D1422,契約台帳!$A$3:$N$4986,14,FALSE))))</f>
        <v>1005</v>
      </c>
      <c r="S1422" s="258">
        <f ca="1">IF(D1422="","",IF(OFFSET(D1422,-1,0)&lt;&gt;"","",IF(OR(J1422="リード付け",J1422="巻足し",J1422="巻返しリード付け"),M1422,VLOOKUP(D1422,契約台帳!$A$3:$O$4986,15,FALSE))))</f>
        <v>1005</v>
      </c>
      <c r="T1422" s="258">
        <f ca="1">IF(D1422="","",IF(J1422="リード付け",N1422,IF(J1422="巻返しリード付け",N1422,IF(J1422="巻足し",N1422*P1422+OFFSET(N1422,1,0)*OFFSET(P1422,1,0),VLOOKUP(D1422,契約台帳!$A$3:$P$4986,16,FALSE)))))</f>
        <v>8200</v>
      </c>
      <c r="U1422" s="38">
        <v>1</v>
      </c>
      <c r="V1422" s="259">
        <f ca="1">IF(D1422="","",IF(OFFSET(D1422,-2,0)=D1422,"",VLOOKUP(D1422,契約台帳!$A$3:$R$4986,18,FALSE)))</f>
        <v>4</v>
      </c>
      <c r="W1422" s="256" t="str">
        <f ca="1">IF(D1422="","",IF(T1422="","",IF(OR(J1422="巻足し",J1422="巻返しリード付け"),"",IF(J1422="巻返し",VLOOKUP(F1422&amp;K1422&amp;M1422,製品マスタ!$M$5:$AD$4999,18,FALSE),IF(OR(J1422="リード付け",J1422="巻返しリード付け"),"原反コア",IF(J1422="スリット",VLOOKUP(F1422&amp;K1422&amp;R1422,製品マスタ!$N$5:$AD$4999,17,FALSE),""))))))</f>
        <v/>
      </c>
      <c r="X1422" s="256" t="str">
        <f ca="1">IF(D1422="","",IF(T1422="","",IF(J1422="巻足し","",IF(J1422="巻返し",VLOOKUP(F1422&amp;K1422&amp;M1422,製品マスタ!$M$5:$AE$4999,19,FALSE),IF(OR(J1422="リード付け",J1422="巻返しリード付け"),"",IF(J1422="スリット",VLOOKUP(F1422&amp;K1422&amp;R1422,製品マスタ!$N$5:$AE$4999,18,FALSE),""))))))</f>
        <v/>
      </c>
      <c r="Y1422" s="256">
        <f ca="1">IF(D1422="","",IF(T1422="","",VLOOKUP(D1422,契約台帳!$A$3:$Q$4986,17,FALSE)))</f>
        <v>2</v>
      </c>
      <c r="Z1422" s="256" t="str">
        <f ca="1">IF(D1422="","",IF(T1422="","",VLOOKUP(D1422,契約台帳!$A$3:$E$4986,5,FALSE)))</f>
        <v>リンテック㈱</v>
      </c>
      <c r="AA1422" s="54"/>
      <c r="AB1422" s="200" t="s">
        <v>774</v>
      </c>
      <c r="AC1422" s="31"/>
      <c r="AD1422" s="184"/>
      <c r="AE1422" s="51"/>
      <c r="AF1422" s="52">
        <f>+M1422*N1422*O1422/1000</f>
        <v>4120.5</v>
      </c>
      <c r="AG1422" s="41"/>
      <c r="AH1422" s="45"/>
      <c r="AI1422" s="28"/>
      <c r="AJ1422" s="28"/>
      <c r="AK1422" s="28"/>
      <c r="AL1422" s="28"/>
      <c r="AM1422" s="12"/>
      <c r="AN1422" s="12"/>
      <c r="AO1422" s="12"/>
      <c r="AP1422" s="12"/>
      <c r="AQ1422" s="12"/>
      <c r="AR1422" s="13"/>
      <c r="AS1422" s="14"/>
    </row>
    <row r="1423" spans="1:45" s="16" customFormat="1" ht="30.95" hidden="1" customHeight="1" x14ac:dyDescent="0.2">
      <c r="A1423" s="35"/>
      <c r="B1423" s="36"/>
      <c r="C1423" s="43"/>
      <c r="D1423" s="29">
        <v>3735131</v>
      </c>
      <c r="E1423" s="29"/>
      <c r="F1423" s="255" t="str">
        <f>IF(D1423="","",VLOOKUP(D1423,契約台帳!$A$3:$K$4986,6,FALSE)&amp;VLOOKUP(D1423,契約台帳!$A$3:$K$4986,7,FALSE)&amp;VLOOKUP(D1423,契約台帳!$A$3:$K$4986,8,FALSE)&amp;VLOOKUP(D1423,契約台帳!$A$3:$K$4986,9,FALSE)&amp;VLOOKUP(D1423,契約台帳!$A$3:$K$4986,11,FALSE))</f>
        <v>3TNMCLBHLGTV</v>
      </c>
      <c r="G1423" s="256" t="str">
        <f>IF(D1423="","",VLOOKUP(F1423,製品マスタ!$G$5:$H$4999,2,FALSE))</f>
        <v>T</v>
      </c>
      <c r="H1423" s="256" t="str">
        <f>IF(D1423="","",VLOOKUP(F1423,製品マスタ!$G$5:$K$4999,5,FALSE))</f>
        <v>HLGTV</v>
      </c>
      <c r="I1423" s="200" t="str">
        <f>IF(D1423="","",VLOOKUP(F1423,製品マスタ!$G$5:$L$4999,6,FALSE))</f>
        <v>メタルミー　ヘヤライン　銀艶Ｖ</v>
      </c>
      <c r="J1423" s="203" t="s">
        <v>935</v>
      </c>
      <c r="K1423" s="200">
        <f>IF(D1423="","",VLOOKUP(D1423,契約台帳!$A$3:$L$4986,12,FALSE))</f>
        <v>50</v>
      </c>
      <c r="L1423" s="200" t="str">
        <f>IF(D1423="","",INDEX(製品マスタ!$Q$5:$Q$4999,MATCH('S4'!F1423&amp;'S4'!K1423,製品マスタ!$AO$5:$AO$4999,0)))</f>
        <v>BRIGHT</v>
      </c>
      <c r="M1423" s="37">
        <v>1005</v>
      </c>
      <c r="N1423" s="37">
        <v>4100</v>
      </c>
      <c r="O1423" s="153">
        <v>1</v>
      </c>
      <c r="P1423" s="45"/>
      <c r="Q1423" s="206">
        <v>45272</v>
      </c>
      <c r="R1423" s="257" t="str">
        <f ca="1">IF(D1423="","",IF(OFFSET(D1423,-1,0)&lt;&gt;"","",IF(OR(J1423="リード付け",J1423="巻足し",J1423="巻返しリード付け"),M1423,VLOOKUP(D1423,契約台帳!$A$3:$N$4986,14,FALSE))))</f>
        <v/>
      </c>
      <c r="S1423" s="258" t="str">
        <f ca="1">IF(D1423="","",IF(OFFSET(D1423,-1,0)&lt;&gt;"","",IF(OR(J1423="リード付け",J1423="巻足し",J1423="巻返しリード付け"),M1423,VLOOKUP(D1423,契約台帳!$A$3:$O$4986,15,FALSE))))</f>
        <v/>
      </c>
      <c r="T1423" s="258">
        <f ca="1">IF(D1423="","",IF(J1423="リード付け",N1423,IF(J1423="巻返しリード付け",N1423,IF(J1423="巻足し",N1423*P1423+OFFSET(N1423,1,0)*OFFSET(P1423,1,0),VLOOKUP(D1423,契約台帳!$A$3:$P$4986,16,FALSE)))))</f>
        <v>0</v>
      </c>
      <c r="U1423" s="38"/>
      <c r="V1423" s="259">
        <f ca="1">IF(D1423="","",IF(OFFSET(D1423,-2,0)=D1423,"",VLOOKUP(D1423,契約台帳!$A$3:$R$4986,18,FALSE)))</f>
        <v>3</v>
      </c>
      <c r="W1423" s="256" t="str">
        <f ca="1">IF(D1423="","",IF(T1423="","",IF(OR(J1423="巻足し",J1423="巻返しリード付け"),"",IF(J1423="巻返し",VLOOKUP(F1423&amp;K1423&amp;M1423,製品マスタ!$M$5:$AD$4999,18,FALSE),IF(OR(J1423="リード付け",J1423="巻返しリード付け"),"原反コア",IF(J1423="スリット",VLOOKUP(F1423&amp;K1423&amp;R1423,製品マスタ!$N$5:$AD$4999,17,FALSE),""))))))</f>
        <v/>
      </c>
      <c r="X1423" s="256" t="str">
        <f ca="1">IF(D1423="","",IF(T1423="","",IF(J1423="巻足し","",IF(J1423="巻返し",VLOOKUP(F1423&amp;K1423&amp;M1423,製品マスタ!$M$5:$AE$4999,19,FALSE),IF(OR(J1423="リード付け",J1423="巻返しリード付け"),"",IF(J1423="スリット",VLOOKUP(F1423&amp;K1423&amp;R1423,製品マスタ!$N$5:$AE$4999,18,FALSE),""))))))</f>
        <v/>
      </c>
      <c r="Y1423" s="256">
        <f ca="1">IF(D1423="","",IF(T1423="","",VLOOKUP(D1423,契約台帳!$A$3:$Q$4986,17,FALSE)))</f>
        <v>2</v>
      </c>
      <c r="Z1423" s="256" t="str">
        <f ca="1">IF(D1423="","",IF(T1423="","",VLOOKUP(D1423,契約台帳!$A$3:$E$4986,5,FALSE)))</f>
        <v>リンテック㈱</v>
      </c>
      <c r="AA1423" s="54"/>
      <c r="AB1423" s="200" t="s">
        <v>774</v>
      </c>
      <c r="AC1423" s="31"/>
      <c r="AD1423" s="184"/>
      <c r="AE1423" s="51"/>
      <c r="AF1423" s="52">
        <f>+M1423*N1423*O1423/1000</f>
        <v>4120.5</v>
      </c>
      <c r="AG1423" s="41"/>
      <c r="AH1423" s="45"/>
      <c r="AI1423" s="28"/>
      <c r="AJ1423" s="28"/>
      <c r="AK1423" s="28"/>
      <c r="AL1423" s="28"/>
      <c r="AM1423" s="12"/>
      <c r="AN1423" s="12"/>
      <c r="AO1423" s="12"/>
      <c r="AP1423" s="12"/>
      <c r="AQ1423" s="12"/>
      <c r="AR1423" s="13"/>
      <c r="AS1423" s="14"/>
    </row>
    <row r="1424" spans="1:45" s="16" customFormat="1" ht="30.95" hidden="1" customHeight="1" x14ac:dyDescent="0.2">
      <c r="A1424" s="35"/>
      <c r="B1424" s="36"/>
      <c r="C1424" s="43"/>
      <c r="D1424" s="29"/>
      <c r="E1424" s="29"/>
      <c r="F1424" s="255"/>
      <c r="G1424" s="256"/>
      <c r="H1424" s="256"/>
      <c r="I1424" s="200"/>
      <c r="J1424" s="203"/>
      <c r="K1424" s="200"/>
      <c r="L1424" s="200"/>
      <c r="M1424" s="37"/>
      <c r="N1424" s="37"/>
      <c r="O1424" s="153"/>
      <c r="P1424" s="45"/>
      <c r="Q1424" s="54"/>
      <c r="R1424" s="260"/>
      <c r="S1424" s="258"/>
      <c r="T1424" s="258"/>
      <c r="U1424" s="38"/>
      <c r="V1424" s="261"/>
      <c r="W1424" s="256"/>
      <c r="X1424" s="256"/>
      <c r="Y1424" s="256"/>
      <c r="Z1424" s="256"/>
      <c r="AA1424" s="54"/>
      <c r="AB1424" s="200"/>
      <c r="AC1424" s="31"/>
      <c r="AD1424" s="184"/>
      <c r="AE1424" s="51"/>
      <c r="AF1424" s="52"/>
      <c r="AG1424" s="41"/>
      <c r="AH1424" s="45"/>
      <c r="AI1424" s="28"/>
      <c r="AJ1424" s="28"/>
      <c r="AK1424" s="28"/>
      <c r="AL1424" s="28"/>
      <c r="AM1424" s="12"/>
      <c r="AN1424" s="12"/>
      <c r="AO1424" s="12"/>
      <c r="AP1424" s="12"/>
      <c r="AQ1424" s="12"/>
      <c r="AR1424" s="13"/>
      <c r="AS1424" s="14"/>
    </row>
    <row r="1425" spans="1:45" s="16" customFormat="1" ht="30.95" hidden="1" customHeight="1" x14ac:dyDescent="0.2">
      <c r="A1425" s="35" t="s">
        <v>1877</v>
      </c>
      <c r="B1425" s="36" t="s">
        <v>1878</v>
      </c>
      <c r="C1425" s="43"/>
      <c r="D1425" s="29">
        <v>3735131</v>
      </c>
      <c r="E1425" s="29">
        <v>4162174</v>
      </c>
      <c r="F1425" s="255" t="str">
        <f>IF(D1425="","",VLOOKUP(D1425,契約台帳!$A$3:$K$4986,6,FALSE)&amp;VLOOKUP(D1425,契約台帳!$A$3:$K$4986,7,FALSE)&amp;VLOOKUP(D1425,契約台帳!$A$3:$K$4986,8,FALSE)&amp;VLOOKUP(D1425,契約台帳!$A$3:$K$4986,9,FALSE)&amp;VLOOKUP(D1425,契約台帳!$A$3:$K$4986,11,FALSE))</f>
        <v>3TNMCLBHLGTV</v>
      </c>
      <c r="G1425" s="256" t="str">
        <f>IF(D1425="","",VLOOKUP(F1425,製品マスタ!$G$5:$H$4999,2,FALSE))</f>
        <v>T</v>
      </c>
      <c r="H1425" s="256" t="str">
        <f>IF(D1425="","",VLOOKUP(F1425,製品マスタ!$G$5:$K$4999,5,FALSE))</f>
        <v>HLGTV</v>
      </c>
      <c r="I1425" s="200" t="str">
        <f>IF(D1425="","",VLOOKUP(F1425,製品マスタ!$G$5:$L$4999,6,FALSE))</f>
        <v>メタルミー　ヘヤライン　銀艶Ｖ</v>
      </c>
      <c r="J1425" s="203" t="s">
        <v>935</v>
      </c>
      <c r="K1425" s="200">
        <f>IF(D1425="","",VLOOKUP(D1425,契約台帳!$A$3:$L$4986,12,FALSE))</f>
        <v>50</v>
      </c>
      <c r="L1425" s="200" t="str">
        <f>IF(D1425="","",INDEX(製品マスタ!$Q$5:$Q$4999,MATCH('S4'!F1425&amp;'S4'!K1425,製品マスタ!$AO$5:$AO$4999,0)))</f>
        <v>BRIGHT</v>
      </c>
      <c r="M1425" s="37">
        <v>1005</v>
      </c>
      <c r="N1425" s="37">
        <v>4100</v>
      </c>
      <c r="O1425" s="153">
        <v>2</v>
      </c>
      <c r="P1425" s="45">
        <v>2</v>
      </c>
      <c r="Q1425" s="206">
        <v>45272</v>
      </c>
      <c r="R1425" s="257">
        <f ca="1">IF(D1425="","",IF(OFFSET(D1425,-1,0)&lt;&gt;"","",IF(OR(J1425="リード付け",J1425="巻足し",J1425="巻返しリード付け"),M1425,VLOOKUP(D1425,契約台帳!$A$3:$N$4986,14,FALSE))))</f>
        <v>1005</v>
      </c>
      <c r="S1425" s="258">
        <f ca="1">IF(D1425="","",IF(OFFSET(D1425,-1,0)&lt;&gt;"","",IF(OR(J1425="リード付け",J1425="巻足し",J1425="巻返しリード付け"),M1425,VLOOKUP(D1425,契約台帳!$A$3:$O$4986,15,FALSE))))</f>
        <v>1005</v>
      </c>
      <c r="T1425" s="258">
        <f ca="1">IF(D1425="","",IF(J1425="リード付け",N1425,IF(J1425="巻返しリード付け",N1425,IF(J1425="巻足し",N1425*P1425+OFFSET(N1425,1,0)*OFFSET(P1425,1,0),VLOOKUP(D1425,契約台帳!$A$3:$P$4986,16,FALSE)))))</f>
        <v>8200</v>
      </c>
      <c r="U1425" s="38">
        <v>1</v>
      </c>
      <c r="V1425" s="259" t="str">
        <f ca="1">IF(D1425="","",IF(OFFSET(D1425,-2,0)=D1425,"",VLOOKUP(D1425,契約台帳!$A$3:$R$4986,18,FALSE)))</f>
        <v/>
      </c>
      <c r="W1425" s="256" t="str">
        <f ca="1">IF(D1425="","",IF(T1425="","",IF(OR(J1425="巻足し",J1425="巻返しリード付け"),"",IF(J1425="巻返し",VLOOKUP(F1425&amp;K1425&amp;M1425,製品マスタ!$M$5:$AD$4999,18,FALSE),IF(OR(J1425="リード付け",J1425="巻返しリード付け"),"原反コア",IF(J1425="スリット",VLOOKUP(F1425&amp;K1425&amp;R1425,製品マスタ!$N$5:$AD$4999,17,FALSE),""))))))</f>
        <v/>
      </c>
      <c r="X1425" s="256" t="str">
        <f ca="1">IF(D1425="","",IF(T1425="","",IF(J1425="巻足し","",IF(J1425="巻返し",VLOOKUP(F1425&amp;K1425&amp;M1425,製品マスタ!$M$5:$AE$4999,19,FALSE),IF(OR(J1425="リード付け",J1425="巻返しリード付け"),"",IF(J1425="スリット",VLOOKUP(F1425&amp;K1425&amp;R1425,製品マスタ!$N$5:$AE$4999,18,FALSE),""))))))</f>
        <v/>
      </c>
      <c r="Y1425" s="256">
        <f ca="1">IF(D1425="","",IF(T1425="","",VLOOKUP(D1425,契約台帳!$A$3:$Q$4986,17,FALSE)))</f>
        <v>2</v>
      </c>
      <c r="Z1425" s="256" t="str">
        <f ca="1">IF(D1425="","",IF(T1425="","",VLOOKUP(D1425,契約台帳!$A$3:$E$4986,5,FALSE)))</f>
        <v>リンテック㈱</v>
      </c>
      <c r="AA1425" s="54"/>
      <c r="AB1425" s="200" t="s">
        <v>774</v>
      </c>
      <c r="AC1425" s="31"/>
      <c r="AD1425" s="184"/>
      <c r="AE1425" s="51"/>
      <c r="AF1425" s="52">
        <f>+M1425*N1425*O1425/1000</f>
        <v>8241</v>
      </c>
      <c r="AG1425" s="41"/>
      <c r="AH1425" s="45"/>
      <c r="AI1425" s="28"/>
      <c r="AJ1425" s="28"/>
      <c r="AK1425" s="28"/>
      <c r="AL1425" s="28"/>
      <c r="AM1425" s="12"/>
      <c r="AN1425" s="12"/>
      <c r="AO1425" s="12"/>
      <c r="AP1425" s="12"/>
      <c r="AQ1425" s="12"/>
      <c r="AR1425" s="13"/>
      <c r="AS1425" s="14"/>
    </row>
    <row r="1426" spans="1:45" s="16" customFormat="1" ht="30.95" hidden="1" customHeight="1" x14ac:dyDescent="0.2">
      <c r="A1426" s="35"/>
      <c r="B1426" s="36"/>
      <c r="C1426" s="43"/>
      <c r="D1426" s="29"/>
      <c r="E1426" s="29"/>
      <c r="F1426" s="255"/>
      <c r="G1426" s="256"/>
      <c r="H1426" s="256"/>
      <c r="I1426" s="200"/>
      <c r="J1426" s="203"/>
      <c r="K1426" s="200"/>
      <c r="L1426" s="200"/>
      <c r="M1426" s="37"/>
      <c r="N1426" s="37"/>
      <c r="O1426" s="153"/>
      <c r="P1426" s="45"/>
      <c r="Q1426" s="54"/>
      <c r="R1426" s="260"/>
      <c r="S1426" s="258"/>
      <c r="T1426" s="258"/>
      <c r="U1426" s="38"/>
      <c r="V1426" s="261"/>
      <c r="W1426" s="256"/>
      <c r="X1426" s="256"/>
      <c r="Y1426" s="256"/>
      <c r="Z1426" s="256"/>
      <c r="AA1426" s="54"/>
      <c r="AB1426" s="200"/>
      <c r="AC1426" s="31"/>
      <c r="AD1426" s="184"/>
      <c r="AE1426" s="51"/>
      <c r="AF1426" s="52"/>
      <c r="AG1426" s="41"/>
      <c r="AH1426" s="45"/>
      <c r="AI1426" s="28"/>
      <c r="AJ1426" s="28"/>
      <c r="AK1426" s="28"/>
      <c r="AL1426" s="28"/>
      <c r="AM1426" s="12"/>
      <c r="AN1426" s="12"/>
      <c r="AO1426" s="12"/>
      <c r="AP1426" s="12"/>
      <c r="AQ1426" s="12"/>
      <c r="AR1426" s="13"/>
      <c r="AS1426" s="14"/>
    </row>
    <row r="1427" spans="1:45" s="16" customFormat="1" ht="30.6" hidden="1" customHeight="1" x14ac:dyDescent="0.2">
      <c r="A1427" s="35"/>
      <c r="B1427" s="36"/>
      <c r="C1427" s="43"/>
      <c r="D1427" s="29">
        <v>3735130</v>
      </c>
      <c r="E1427" s="29">
        <v>4162173</v>
      </c>
      <c r="F1427" s="255" t="str">
        <f>IF(D1427="","",VLOOKUP(D1427,契約台帳!$A$3:$K$4986,6,FALSE)&amp;VLOOKUP(D1427,契約台帳!$A$3:$K$4986,7,FALSE)&amp;VLOOKUP(D1427,契約台帳!$A$3:$K$4986,8,FALSE)&amp;VLOOKUP(D1427,契約台帳!$A$3:$K$4986,9,FALSE)&amp;VLOOKUP(D1427,契約台帳!$A$3:$K$4986,11,FALSE))</f>
        <v>3TNMCLBHLGTV</v>
      </c>
      <c r="G1427" s="256" t="str">
        <f>IF(D1427="","",VLOOKUP(F1427,製品マスタ!$G$5:$H$4999,2,FALSE))</f>
        <v>T</v>
      </c>
      <c r="H1427" s="256" t="str">
        <f>IF(D1427="","",VLOOKUP(F1427,製品マスタ!$G$5:$K$4999,5,FALSE))</f>
        <v>HLGTV</v>
      </c>
      <c r="I1427" s="200" t="str">
        <f>IF(D1427="","",VLOOKUP(F1427,製品マスタ!$G$5:$L$4999,6,FALSE))</f>
        <v>メタルミー　ヘヤライン　銀艶Ｖ</v>
      </c>
      <c r="J1427" s="203" t="s">
        <v>464</v>
      </c>
      <c r="K1427" s="200">
        <f>IF(D1427="","",VLOOKUP(D1427,契約台帳!$A$3:$L$4986,12,FALSE))</f>
        <v>25</v>
      </c>
      <c r="L1427" s="200" t="s">
        <v>178</v>
      </c>
      <c r="M1427" s="37">
        <v>1005</v>
      </c>
      <c r="N1427" s="37">
        <v>8000</v>
      </c>
      <c r="O1427" s="153">
        <v>1</v>
      </c>
      <c r="P1427" s="45">
        <v>1</v>
      </c>
      <c r="Q1427" s="206">
        <v>45272</v>
      </c>
      <c r="R1427" s="257">
        <f ca="1">IF(D1427="","",IF(OFFSET(D1427,-1,0)&lt;&gt;"","",IF(OR(J1427="リード付け",J1427="巻足し",J1427="巻返しリード付け"),M1427,VLOOKUP(D1427,契約台帳!$A$3:$N$4986,14,FALSE))))</f>
        <v>1005</v>
      </c>
      <c r="S1427" s="258">
        <f ca="1">IF(D1427="","",IF(OFFSET(D1427,-1,0)&lt;&gt;"","",IF(OR(J1427="リード付け",J1427="巻足し",J1427="巻返しリード付け"),M1427,VLOOKUP(D1427,契約台帳!$A$3:$O$4986,15,FALSE))))</f>
        <v>1005</v>
      </c>
      <c r="T1427" s="258">
        <f ca="1">IF(D1427="","",IF(J1427="リード付け",N1427,IF(J1427="巻返しリード付け",N1427,IF(J1427="巻足し",N1427*P1427+OFFSET(N1427,1,0)*OFFSET(P1427,1,0),VLOOKUP(D1427,契約台帳!$A$3:$P$4986,16,FALSE)))))</f>
        <v>8000</v>
      </c>
      <c r="U1427" s="38">
        <v>1</v>
      </c>
      <c r="V1427" s="259">
        <f ca="1">IF(D1427="","",IF(OFFSET(D1427,-2,0)=D1427,"",VLOOKUP(D1427,契約台帳!$A$3:$R$4986,18,FALSE)))</f>
        <v>4</v>
      </c>
      <c r="W1427" s="256" t="str">
        <f ca="1">IF(D1427="","",IF(T1427="","",IF(OR(J1427="巻足し",J1427="巻返しリード付け"),"",IF(J1427="巻返し",VLOOKUP(F1427&amp;K1427&amp;M1427,製品マスタ!$M$5:$AD$4999,18,FALSE),IF(OR(J1427="リード付け",J1427="巻返しリード付け"),"原反コア",IF(J1427="スリット",VLOOKUP(F1427&amp;K1427&amp;R1427,製品マスタ!$N$5:$AD$4999,17,FALSE),""))))))</f>
        <v>原反コア</v>
      </c>
      <c r="X1427" s="256" t="str">
        <f ca="1">IF(D1427="","",IF(T1427="","",IF(J1427="巻足し","",IF(J1427="巻返し",VLOOKUP(F1427&amp;K1427&amp;M1427,製品マスタ!$M$5:$AE$4999,19,FALSE),IF(OR(J1427="リード付け",J1427="巻返しリード付け"),"",IF(J1427="スリット",VLOOKUP(F1427&amp;K1427&amp;R1427,製品マスタ!$N$5:$AE$4999,18,FALSE),""))))))</f>
        <v/>
      </c>
      <c r="Y1427" s="256">
        <f ca="1">IF(D1427="","",IF(T1427="","",VLOOKUP(D1427,契約台帳!$A$3:$Q$4986,17,FALSE)))</f>
        <v>2</v>
      </c>
      <c r="Z1427" s="256" t="str">
        <f ca="1">IF(D1427="","",IF(T1427="","",VLOOKUP(D1427,契約台帳!$A$3:$E$4986,5,FALSE)))</f>
        <v>リンテック㈱</v>
      </c>
      <c r="AA1427" s="54"/>
      <c r="AB1427" s="200" t="s">
        <v>774</v>
      </c>
      <c r="AC1427" s="31"/>
      <c r="AD1427" s="184"/>
      <c r="AE1427" s="51"/>
      <c r="AF1427" s="52">
        <f>+M1427*N1427*O1427/1000</f>
        <v>8040</v>
      </c>
      <c r="AG1427" s="41"/>
      <c r="AH1427" s="45"/>
      <c r="AI1427" s="28"/>
      <c r="AJ1427" s="28"/>
      <c r="AK1427" s="28"/>
      <c r="AL1427" s="28"/>
      <c r="AM1427" s="12"/>
      <c r="AN1427" s="12"/>
      <c r="AO1427" s="12"/>
      <c r="AP1427" s="12"/>
      <c r="AQ1427" s="12"/>
      <c r="AR1427" s="13"/>
      <c r="AS1427" s="14"/>
    </row>
    <row r="1428" spans="1:45" s="16" customFormat="1" ht="30.95" hidden="1" customHeight="1" x14ac:dyDescent="0.2">
      <c r="A1428" s="35"/>
      <c r="B1428" s="36"/>
      <c r="C1428" s="43"/>
      <c r="D1428" s="29"/>
      <c r="E1428" s="29"/>
      <c r="F1428" s="255"/>
      <c r="G1428" s="256"/>
      <c r="H1428" s="256"/>
      <c r="I1428" s="200"/>
      <c r="J1428" s="203"/>
      <c r="K1428" s="200"/>
      <c r="L1428" s="200"/>
      <c r="M1428" s="37"/>
      <c r="N1428" s="37"/>
      <c r="O1428" s="153"/>
      <c r="P1428" s="45"/>
      <c r="Q1428" s="54"/>
      <c r="R1428" s="260"/>
      <c r="S1428" s="258"/>
      <c r="T1428" s="258"/>
      <c r="U1428" s="38"/>
      <c r="V1428" s="261"/>
      <c r="W1428" s="256"/>
      <c r="X1428" s="256"/>
      <c r="Y1428" s="256"/>
      <c r="Z1428" s="256"/>
      <c r="AA1428" s="54"/>
      <c r="AB1428" s="200"/>
      <c r="AC1428" s="31"/>
      <c r="AD1428" s="184"/>
      <c r="AE1428" s="51"/>
      <c r="AF1428" s="52"/>
      <c r="AG1428" s="41"/>
      <c r="AH1428" s="45"/>
      <c r="AI1428" s="28"/>
      <c r="AJ1428" s="28"/>
      <c r="AK1428" s="28"/>
      <c r="AL1428" s="28"/>
      <c r="AM1428" s="12"/>
      <c r="AN1428" s="12"/>
      <c r="AO1428" s="12"/>
      <c r="AP1428" s="12"/>
      <c r="AQ1428" s="12"/>
      <c r="AR1428" s="13"/>
      <c r="AS1428" s="14"/>
    </row>
    <row r="1429" spans="1:45" s="16" customFormat="1" ht="30.95" hidden="1" customHeight="1" x14ac:dyDescent="0.2">
      <c r="A1429" s="35" t="s">
        <v>683</v>
      </c>
      <c r="B1429" s="36" t="s">
        <v>443</v>
      </c>
      <c r="C1429" s="43"/>
      <c r="D1429" s="29">
        <v>3731350</v>
      </c>
      <c r="E1429" s="29">
        <v>4162108</v>
      </c>
      <c r="F1429" s="255" t="str">
        <f>IF(D1429="","",VLOOKUP(D1429,契約台帳!$A$3:$K$4986,6,FALSE)&amp;VLOOKUP(D1429,契約台帳!$A$3:$K$4986,7,FALSE)&amp;VLOOKUP(D1429,契約台帳!$A$3:$K$4986,8,FALSE)&amp;VLOOKUP(D1429,契約台帳!$A$3:$K$4986,9,FALSE)&amp;VLOOKUP(D1429,契約台帳!$A$3:$K$4986,11,FALSE))</f>
        <v>3SNMLBMNGKKBF</v>
      </c>
      <c r="G1429" s="256" t="str">
        <f>IF(D1429="","",VLOOKUP(F1429,製品マスタ!$G$5:$H$4999,2,FALSE))</f>
        <v>S</v>
      </c>
      <c r="H1429" s="256" t="str">
        <f>IF(D1429="","",VLOOKUP(F1429,製品マスタ!$G$5:$K$4999,5,FALSE))</f>
        <v>MNGKKBF</v>
      </c>
      <c r="I1429" s="200" t="str">
        <f>IF(D1429="","",VLOOKUP(F1429,製品マスタ!$G$5:$L$4999,6,FALSE))</f>
        <v>メタルミー　ネーマー銀消改　Ｂ</v>
      </c>
      <c r="J1429" s="203" t="s">
        <v>935</v>
      </c>
      <c r="K1429" s="200">
        <f>IF(D1429="","",VLOOKUP(D1429,契約台帳!$A$3:$L$4986,12,FALSE))</f>
        <v>50</v>
      </c>
      <c r="L1429" s="200" t="str">
        <f>IF(D1429="","",INDEX(製品マスタ!$Q$5:$Q$4999,MATCH('S4'!F1429&amp;'S4'!K1429,製品マスタ!$AO$5:$AO$4999,0)))</f>
        <v>S99-MAT</v>
      </c>
      <c r="M1429" s="37">
        <v>1120</v>
      </c>
      <c r="N1429" s="37">
        <v>4000</v>
      </c>
      <c r="O1429" s="153">
        <v>18</v>
      </c>
      <c r="P1429" s="45">
        <v>3</v>
      </c>
      <c r="Q1429" s="206">
        <v>45240</v>
      </c>
      <c r="R1429" s="257">
        <f ca="1">IF(D1429="","",IF(OFFSET(D1429,-1,0)&lt;&gt;"","",IF(OR(J1429="リード付け",J1429="巻足し",J1429="巻返しリード付け"),M1429,VLOOKUP(D1429,契約台帳!$A$3:$N$4986,14,FALSE))))</f>
        <v>1120</v>
      </c>
      <c r="S1429" s="258">
        <f ca="1">IF(D1429="","",IF(OFFSET(D1429,-1,0)&lt;&gt;"","",IF(OR(J1429="リード付け",J1429="巻足し",J1429="巻返しリード付け"),M1429,VLOOKUP(D1429,契約台帳!$A$3:$O$4986,15,FALSE))))</f>
        <v>1120</v>
      </c>
      <c r="T1429" s="258">
        <f ca="1">IF(D1429="","",IF(J1429="リード付け",N1429,IF(J1429="巻返しリード付け",N1429,IF(J1429="巻足し",N1429*P1429+OFFSET(N1429,1,0)*OFFSET(P1429,1,0),VLOOKUP(D1429,契約台帳!$A$3:$P$4986,16,FALSE)))))</f>
        <v>12000</v>
      </c>
      <c r="U1429" s="38">
        <v>6</v>
      </c>
      <c r="V1429" s="259">
        <f ca="1">IF(D1429="","",IF(OFFSET(D1429,-2,0)=D1429,"",VLOOKUP(D1429,契約台帳!$A$3:$R$4986,18,FALSE)))</f>
        <v>18</v>
      </c>
      <c r="W1429" s="256" t="str">
        <f ca="1">IF(D1429="","",IF(T1429="","",IF(OR(J1429="巻足し",J1429="巻返しリード付け"),"",IF(J1429="巻返し",VLOOKUP(F1429&amp;K1429&amp;M1429,製品マスタ!$M$5:$AD$4999,18,FALSE),IF(OR(J1429="リード付け",J1429="巻返しリード付け"),"原反コア",IF(J1429="スリット",VLOOKUP(F1429&amp;K1429&amp;R1429,製品マスタ!$N$5:$AD$4999,17,FALSE),""))))))</f>
        <v/>
      </c>
      <c r="X1429" s="256" t="str">
        <f ca="1">IF(D1429="","",IF(T1429="","",IF(J1429="巻足し","",IF(J1429="巻返し",VLOOKUP(F1429&amp;K1429&amp;M1429,製品マスタ!$M$5:$AE$4999,19,FALSE),IF(OR(J1429="リード付け",J1429="巻返しリード付け"),"",IF(J1429="スリット",VLOOKUP(F1429&amp;K1429&amp;R1429,製品マスタ!$N$5:$AE$4999,18,FALSE),""))))))</f>
        <v/>
      </c>
      <c r="Y1429" s="256">
        <f ca="1">IF(D1429="","",IF(T1429="","",VLOOKUP(D1429,契約台帳!$A$3:$Q$4986,17,FALSE)))</f>
        <v>2</v>
      </c>
      <c r="Z1429" s="256" t="str">
        <f ca="1">IF(D1429="","",IF(T1429="","",VLOOKUP(D1429,契約台帳!$A$3:$E$4986,5,FALSE)))</f>
        <v>リンテック㈱</v>
      </c>
      <c r="AA1429" s="54"/>
      <c r="AB1429" s="200">
        <f>IFERROR((VLOOKUP(F1429&amp;K1429&amp;M1429,製品マスタ!$M$5:$AM$4999,27,FALSE)),"")</f>
        <v>0</v>
      </c>
      <c r="AC1429" s="31"/>
      <c r="AD1429" s="184"/>
      <c r="AE1429" s="51"/>
      <c r="AF1429" s="52">
        <f>+M1429*N1429*O1429/1000</f>
        <v>80640</v>
      </c>
      <c r="AG1429" s="41"/>
      <c r="AH1429" s="45"/>
      <c r="AI1429" s="28"/>
      <c r="AJ1429" s="28"/>
      <c r="AK1429" s="28"/>
      <c r="AL1429" s="28"/>
      <c r="AM1429" s="12"/>
      <c r="AN1429" s="12"/>
      <c r="AO1429" s="12"/>
      <c r="AP1429" s="12"/>
      <c r="AQ1429" s="12"/>
      <c r="AR1429" s="13"/>
      <c r="AS1429" s="14"/>
    </row>
    <row r="1430" spans="1:45" s="16" customFormat="1" ht="30.95" hidden="1" customHeight="1" x14ac:dyDescent="0.2">
      <c r="A1430" s="35"/>
      <c r="B1430" s="36"/>
      <c r="C1430" s="43"/>
      <c r="D1430" s="29"/>
      <c r="E1430" s="29"/>
      <c r="F1430" s="255"/>
      <c r="G1430" s="256"/>
      <c r="H1430" s="256"/>
      <c r="I1430" s="279"/>
      <c r="J1430" s="203"/>
      <c r="K1430" s="200"/>
      <c r="L1430" s="200"/>
      <c r="M1430" s="37"/>
      <c r="N1430" s="37"/>
      <c r="O1430" s="153"/>
      <c r="P1430" s="45"/>
      <c r="Q1430" s="54"/>
      <c r="R1430" s="260"/>
      <c r="S1430" s="258"/>
      <c r="T1430" s="258"/>
      <c r="U1430" s="38"/>
      <c r="V1430" s="261"/>
      <c r="W1430" s="256"/>
      <c r="X1430" s="256"/>
      <c r="Y1430" s="256"/>
      <c r="Z1430" s="256"/>
      <c r="AA1430" s="54"/>
      <c r="AB1430" s="200"/>
      <c r="AC1430" s="31"/>
      <c r="AD1430" s="184"/>
      <c r="AE1430" s="51"/>
      <c r="AF1430" s="52"/>
      <c r="AG1430" s="41"/>
      <c r="AH1430" s="45"/>
      <c r="AI1430" s="28"/>
      <c r="AJ1430" s="28"/>
      <c r="AK1430" s="28"/>
      <c r="AL1430" s="28"/>
      <c r="AM1430" s="12"/>
      <c r="AN1430" s="12"/>
      <c r="AO1430" s="12"/>
      <c r="AP1430" s="12"/>
      <c r="AQ1430" s="12"/>
      <c r="AR1430" s="13"/>
      <c r="AS1430" s="14"/>
    </row>
    <row r="1431" spans="1:45" s="16" customFormat="1" ht="30.95" hidden="1" customHeight="1" x14ac:dyDescent="0.2">
      <c r="A1431" s="35"/>
      <c r="B1431" s="36"/>
      <c r="C1431" s="43"/>
      <c r="D1431" s="29">
        <v>3735116</v>
      </c>
      <c r="E1431" s="29">
        <v>4162162</v>
      </c>
      <c r="F1431" s="255" t="str">
        <f>IF(D1431="","",VLOOKUP(D1431,契約台帳!$A$3:$K$4986,6,FALSE)&amp;VLOOKUP(D1431,契約台帳!$A$3:$K$4986,7,FALSE)&amp;VLOOKUP(D1431,契約台帳!$A$3:$K$4986,8,FALSE)&amp;VLOOKUP(D1431,契約台帳!$A$3:$K$4986,9,FALSE)&amp;VLOOKUP(D1431,契約台帳!$A$3:$K$4986,11,FALSE))</f>
        <v>3SNMLBMNGTBF</v>
      </c>
      <c r="G1431" s="256" t="str">
        <f>IF(D1431="","",VLOOKUP(F1431,製品マスタ!$G$5:$H$4999,2,FALSE))</f>
        <v>S</v>
      </c>
      <c r="H1431" s="256" t="str">
        <f>IF(D1431="","",VLOOKUP(F1431,製品マスタ!$G$5:$K$4999,5,FALSE))</f>
        <v>MNGTBF</v>
      </c>
      <c r="I1431" s="200" t="str">
        <f>IF(D1431="","",VLOOKUP(F1431,製品マスタ!$G$5:$L$4999,6,FALSE))</f>
        <v>メタルミー　ネーマー　銀艶　Ｂ</v>
      </c>
      <c r="J1431" s="203" t="s">
        <v>464</v>
      </c>
      <c r="K1431" s="200">
        <f>IF(D1431="","",VLOOKUP(D1431,契約台帳!$A$3:$L$4986,12,FALSE))</f>
        <v>25</v>
      </c>
      <c r="L1431" s="200" t="str">
        <f>IF(D1431="","",INDEX(製品マスタ!$Q$5:$Q$4999,MATCH('S4'!F1431&amp;'S4'!K1431,製品マスタ!$AO$5:$AO$4999,0)))</f>
        <v>T62M</v>
      </c>
      <c r="M1431" s="37">
        <v>1005</v>
      </c>
      <c r="N1431" s="37">
        <v>12100</v>
      </c>
      <c r="O1431" s="153">
        <v>5</v>
      </c>
      <c r="P1431" s="45">
        <v>1</v>
      </c>
      <c r="Q1431" s="206">
        <v>45274</v>
      </c>
      <c r="R1431" s="257">
        <f ca="1">IF(D1431="","",IF(OFFSET(D1431,-1,0)&lt;&gt;"","",IF(OR(J1431="リード付け",J1431="巻足し",J1431="巻返しリード付け"),M1431,VLOOKUP(D1431,契約台帳!$A$3:$N$4986,14,FALSE))))</f>
        <v>1005</v>
      </c>
      <c r="S1431" s="258">
        <f ca="1">IF(D1431="","",IF(OFFSET(D1431,-1,0)&lt;&gt;"","",IF(OR(J1431="リード付け",J1431="巻足し",J1431="巻返しリード付け"),M1431,VLOOKUP(D1431,契約台帳!$A$3:$O$4986,15,FALSE))))</f>
        <v>1005</v>
      </c>
      <c r="T1431" s="258">
        <f ca="1">IF(D1431="","",IF(J1431="リード付け",N1431,IF(J1431="巻返しリード付け",N1431,IF(J1431="巻足し",N1431*P1431+OFFSET(N1431,1,0)*OFFSET(P1431,1,0),VLOOKUP(D1431,契約台帳!$A$3:$P$4986,16,FALSE)))))</f>
        <v>12100</v>
      </c>
      <c r="U1431" s="38">
        <v>5</v>
      </c>
      <c r="V1431" s="259">
        <f ca="1">IF(D1431="","",IF(OFFSET(D1431,-2,0)=D1431,"",VLOOKUP(D1431,契約台帳!$A$3:$R$4986,18,FALSE)))</f>
        <v>15</v>
      </c>
      <c r="W1431" s="256" t="str">
        <f ca="1">IF(D1431="","",IF(T1431="","",IF(OR(J1431="巻足し",J1431="巻返しリード付け"),"",IF(J1431="巻返し",VLOOKUP(F1431&amp;K1431&amp;M1431,製品マスタ!$M$5:$AD$4999,18,FALSE),IF(OR(J1431="リード付け",J1431="巻返しリード付け"),"原反コア",IF(J1431="スリット",VLOOKUP(F1431&amp;K1431&amp;R1431,製品マスタ!$N$5:$AD$4999,17,FALSE),""))))))</f>
        <v>原反コア</v>
      </c>
      <c r="X1431" s="256" t="str">
        <f ca="1">IF(D1431="","",IF(T1431="","",IF(J1431="巻足し","",IF(J1431="巻返し",VLOOKUP(F1431&amp;K1431&amp;M1431,製品マスタ!$M$5:$AE$4999,19,FALSE),IF(OR(J1431="リード付け",J1431="巻返しリード付け"),"",IF(J1431="スリット",VLOOKUP(F1431&amp;K1431&amp;R1431,製品マスタ!$N$5:$AE$4999,18,FALSE),""))))))</f>
        <v/>
      </c>
      <c r="Y1431" s="256">
        <f ca="1">IF(D1431="","",IF(T1431="","",VLOOKUP(D1431,契約台帳!$A$3:$Q$4986,17,FALSE)))</f>
        <v>2</v>
      </c>
      <c r="Z1431" s="256" t="str">
        <f ca="1">IF(D1431="","",IF(T1431="","",VLOOKUP(D1431,契約台帳!$A$3:$E$4986,5,FALSE)))</f>
        <v>リンテック㈱</v>
      </c>
      <c r="AA1431" s="54"/>
      <c r="AB1431" s="200">
        <f>IFERROR((VLOOKUP(F1431&amp;K1431&amp;M1431,製品マスタ!$M$5:$AM$4999,27,FALSE)),"")</f>
        <v>0</v>
      </c>
      <c r="AC1431" s="31"/>
      <c r="AD1431" s="184"/>
      <c r="AE1431" s="51"/>
      <c r="AF1431" s="52">
        <f>+M1431*N1431*O1431/1000</f>
        <v>60802.5</v>
      </c>
      <c r="AG1431" s="41"/>
      <c r="AH1431" s="45"/>
      <c r="AI1431" s="28"/>
      <c r="AJ1431" s="28"/>
      <c r="AK1431" s="28"/>
      <c r="AL1431" s="28"/>
      <c r="AM1431" s="12"/>
      <c r="AN1431" s="12"/>
      <c r="AO1431" s="12"/>
      <c r="AP1431" s="12"/>
      <c r="AQ1431" s="12"/>
      <c r="AR1431" s="13"/>
      <c r="AS1431" s="14"/>
    </row>
    <row r="1432" spans="1:45" s="16" customFormat="1" ht="30.95" hidden="1" customHeight="1" x14ac:dyDescent="0.2">
      <c r="A1432" s="35"/>
      <c r="B1432" s="36"/>
      <c r="C1432" s="43"/>
      <c r="D1432" s="29"/>
      <c r="E1432" s="29"/>
      <c r="F1432" s="255"/>
      <c r="G1432" s="256"/>
      <c r="H1432" s="256"/>
      <c r="I1432" s="200"/>
      <c r="J1432" s="203"/>
      <c r="K1432" s="200"/>
      <c r="L1432" s="200"/>
      <c r="M1432" s="37"/>
      <c r="N1432" s="37"/>
      <c r="O1432" s="153"/>
      <c r="P1432" s="45"/>
      <c r="Q1432" s="54"/>
      <c r="R1432" s="260"/>
      <c r="S1432" s="258"/>
      <c r="T1432" s="258"/>
      <c r="U1432" s="38"/>
      <c r="V1432" s="261"/>
      <c r="W1432" s="256"/>
      <c r="X1432" s="256"/>
      <c r="Y1432" s="256"/>
      <c r="Z1432" s="256"/>
      <c r="AA1432" s="54"/>
      <c r="AB1432" s="200"/>
      <c r="AC1432" s="31"/>
      <c r="AD1432" s="184"/>
      <c r="AE1432" s="51"/>
      <c r="AF1432" s="52"/>
      <c r="AG1432" s="41"/>
      <c r="AH1432" s="45"/>
      <c r="AI1432" s="28"/>
      <c r="AJ1432" s="28"/>
      <c r="AK1432" s="28"/>
      <c r="AL1432" s="28"/>
      <c r="AM1432" s="12"/>
      <c r="AN1432" s="12"/>
      <c r="AO1432" s="12"/>
      <c r="AP1432" s="12"/>
      <c r="AQ1432" s="12"/>
      <c r="AR1432" s="13"/>
      <c r="AS1432" s="14"/>
    </row>
    <row r="1433" spans="1:45" s="16" customFormat="1" ht="30.95" hidden="1" customHeight="1" x14ac:dyDescent="0.2">
      <c r="A1433" s="35"/>
      <c r="B1433" s="36"/>
      <c r="C1433" s="43"/>
      <c r="D1433" s="29">
        <v>3737453</v>
      </c>
      <c r="E1433" s="29">
        <v>4162187</v>
      </c>
      <c r="F1433" s="255" t="str">
        <f>IF(D1433="","",VLOOKUP(D1433,契約台帳!$A$3:$K$4986,6,FALSE)&amp;VLOOKUP(D1433,契約台帳!$A$3:$K$4986,7,FALSE)&amp;VLOOKUP(D1433,契約台帳!$A$3:$K$4986,8,FALSE)&amp;VLOOKUP(D1433,契約台帳!$A$3:$K$4986,9,FALSE)&amp;VLOOKUP(D1433,契約台帳!$A$3:$K$4986,11,FALSE))</f>
        <v>3SYMLBMSNMBF</v>
      </c>
      <c r="G1433" s="256" t="str">
        <f>IF(D1433="","",VLOOKUP(F1433,製品マスタ!$G$5:$H$4999,2,FALSE))</f>
        <v>S</v>
      </c>
      <c r="H1433" s="256" t="str">
        <f>IF(D1433="","",VLOOKUP(F1433,製品マスタ!$G$5:$K$4999,5,FALSE))</f>
        <v>MSNMBF</v>
      </c>
      <c r="I1433" s="200" t="str">
        <f>IF(D1433="","",VLOOKUP(F1433,製品マスタ!$G$5:$L$4999,6,FALSE))</f>
        <v>ＭＥＴＡＬＵＭＹ　ＳＩＬＶＥＲ　Ｎ－ＭＡＴＴＥ　Ｘ４４Ｍ　Ｂ</v>
      </c>
      <c r="J1433" s="203" t="s">
        <v>935</v>
      </c>
      <c r="K1433" s="200">
        <f>IF(D1433="","",VLOOKUP(D1433,契約台帳!$A$3:$L$4986,12,FALSE))</f>
        <v>50</v>
      </c>
      <c r="L1433" s="200" t="str">
        <f>IF(D1433="","",INDEX(製品マスタ!$Q$5:$Q$4999,MATCH('S4'!F1433&amp;'S4'!K1433,製品マスタ!$AO$5:$AO$4999,0)))</f>
        <v>X44</v>
      </c>
      <c r="M1433" s="37">
        <v>1120</v>
      </c>
      <c r="N1433" s="37">
        <v>4000</v>
      </c>
      <c r="O1433" s="153">
        <v>4</v>
      </c>
      <c r="P1433" s="45">
        <v>2</v>
      </c>
      <c r="Q1433" s="206">
        <v>45274</v>
      </c>
      <c r="R1433" s="257">
        <f ca="1">IF(D1433="","",IF(OFFSET(D1433,-1,0)&lt;&gt;"","",IF(OR(J1433="リード付け",J1433="巻足し",J1433="巻返しリード付け"),M1433,VLOOKUP(D1433,契約台帳!$A$3:$N$4986,14,FALSE))))</f>
        <v>1120</v>
      </c>
      <c r="S1433" s="258">
        <f ca="1">IF(D1433="","",IF(OFFSET(D1433,-1,0)&lt;&gt;"","",IF(OR(J1433="リード付け",J1433="巻足し",J1433="巻返しリード付け"),M1433,VLOOKUP(D1433,契約台帳!$A$3:$O$4986,15,FALSE))))</f>
        <v>1120</v>
      </c>
      <c r="T1433" s="258">
        <f ca="1">IF(D1433="","",IF(J1433="リード付け",N1433,IF(J1433="巻返しリード付け",N1433,IF(J1433="巻足し",N1433*P1433+OFFSET(N1433,1,0)*OFFSET(P1433,1,0),VLOOKUP(D1433,契約台帳!$A$3:$P$4986,16,FALSE)))))</f>
        <v>8000</v>
      </c>
      <c r="U1433" s="38">
        <v>2</v>
      </c>
      <c r="V1433" s="259">
        <f ca="1">IF(D1433="","",IF(OFFSET(D1433,-2,0)=D1433,"",VLOOKUP(D1433,契約台帳!$A$3:$R$4986,18,FALSE)))</f>
        <v>4</v>
      </c>
      <c r="W1433" s="256" t="str">
        <f ca="1">IF(D1433="","",IF(T1433="","",IF(OR(J1433="巻足し",J1433="巻返しリード付け"),"",IF(J1433="巻返し",VLOOKUP(F1433&amp;K1433&amp;M1433,製品マスタ!$M$5:$AD$4999,18,FALSE),IF(OR(J1433="リード付け",J1433="巻返しリード付け"),"原反コア",IF(J1433="スリット",VLOOKUP(F1433&amp;K1433&amp;R1433,製品マスタ!$N$5:$AD$4999,17,FALSE),""))))))</f>
        <v/>
      </c>
      <c r="X1433" s="256" t="str">
        <f ca="1">IF(D1433="","",IF(T1433="","",IF(J1433="巻足し","",IF(J1433="巻返し",VLOOKUP(F1433&amp;K1433&amp;M1433,製品マスタ!$M$5:$AE$4999,19,FALSE),IF(OR(J1433="リード付け",J1433="巻返しリード付け"),"",IF(J1433="スリット",VLOOKUP(F1433&amp;K1433&amp;R1433,製品マスタ!$N$5:$AE$4999,18,FALSE),""))))))</f>
        <v/>
      </c>
      <c r="Y1433" s="256">
        <f ca="1">IF(D1433="","",IF(T1433="","",VLOOKUP(D1433,契約台帳!$A$3:$Q$4986,17,FALSE)))</f>
        <v>2</v>
      </c>
      <c r="Z1433" s="256" t="str">
        <f ca="1">IF(D1433="","",IF(T1433="","",VLOOKUP(D1433,契約台帳!$A$3:$E$4986,5,FALSE)))</f>
        <v>リンテック㈱</v>
      </c>
      <c r="AA1433" s="54"/>
      <c r="AB1433" s="200">
        <f>IFERROR((VLOOKUP(F1433&amp;K1433&amp;M1433,製品マスタ!$M$5:$AM$4999,27,FALSE)),"")</f>
        <v>0</v>
      </c>
      <c r="AC1433" s="31"/>
      <c r="AD1433" s="184"/>
      <c r="AE1433" s="51"/>
      <c r="AF1433" s="52">
        <f>+M1433*N1433*O1433/1000</f>
        <v>17920</v>
      </c>
      <c r="AG1433" s="41"/>
      <c r="AH1433" s="45"/>
      <c r="AI1433" s="28"/>
      <c r="AJ1433" s="28"/>
      <c r="AK1433" s="28"/>
      <c r="AL1433" s="28"/>
      <c r="AM1433" s="12"/>
      <c r="AN1433" s="12"/>
      <c r="AO1433" s="12"/>
      <c r="AP1433" s="12"/>
      <c r="AQ1433" s="12"/>
      <c r="AR1433" s="13"/>
      <c r="AS1433" s="14"/>
    </row>
    <row r="1434" spans="1:45" s="16" customFormat="1" ht="30.95" hidden="1" customHeight="1" x14ac:dyDescent="0.2">
      <c r="A1434" s="35"/>
      <c r="B1434" s="36"/>
      <c r="C1434" s="43"/>
      <c r="D1434" s="29"/>
      <c r="E1434" s="29"/>
      <c r="F1434" s="255"/>
      <c r="G1434" s="256"/>
      <c r="H1434" s="256"/>
      <c r="I1434" s="200"/>
      <c r="J1434" s="203"/>
      <c r="K1434" s="200"/>
      <c r="L1434" s="200"/>
      <c r="M1434" s="37"/>
      <c r="N1434" s="37"/>
      <c r="O1434" s="153"/>
      <c r="P1434" s="45"/>
      <c r="Q1434" s="54"/>
      <c r="R1434" s="260"/>
      <c r="S1434" s="258"/>
      <c r="T1434" s="258"/>
      <c r="U1434" s="38"/>
      <c r="V1434" s="261"/>
      <c r="W1434" s="256"/>
      <c r="X1434" s="256"/>
      <c r="Y1434" s="256"/>
      <c r="Z1434" s="256"/>
      <c r="AA1434" s="54"/>
      <c r="AB1434" s="200"/>
      <c r="AC1434" s="31"/>
      <c r="AD1434" s="184"/>
      <c r="AE1434" s="51"/>
      <c r="AF1434" s="52"/>
      <c r="AG1434" s="41"/>
      <c r="AH1434" s="45"/>
      <c r="AI1434" s="28"/>
      <c r="AJ1434" s="28"/>
      <c r="AK1434" s="28"/>
      <c r="AL1434" s="28"/>
      <c r="AM1434" s="12"/>
      <c r="AN1434" s="12"/>
      <c r="AO1434" s="12"/>
      <c r="AP1434" s="12"/>
      <c r="AQ1434" s="12"/>
      <c r="AR1434" s="13"/>
      <c r="AS1434" s="14"/>
    </row>
    <row r="1435" spans="1:45" s="16" customFormat="1" ht="30.95" hidden="1" customHeight="1" x14ac:dyDescent="0.2">
      <c r="A1435" s="35" t="s">
        <v>1887</v>
      </c>
      <c r="B1435" s="36" t="s">
        <v>444</v>
      </c>
      <c r="C1435" s="43"/>
      <c r="D1435" s="29">
        <v>3732646</v>
      </c>
      <c r="E1435" s="29">
        <v>4162135</v>
      </c>
      <c r="F1435" s="255" t="str">
        <f>IF(D1435="","",VLOOKUP(D1435,契約台帳!$A$3:$K$4986,6,FALSE)&amp;VLOOKUP(D1435,契約台帳!$A$3:$K$4986,7,FALSE)&amp;VLOOKUP(D1435,契約台帳!$A$3:$K$4986,8,FALSE)&amp;VLOOKUP(D1435,契約台帳!$A$3:$K$4986,9,FALSE)&amp;VLOOKUP(D1435,契約台帳!$A$3:$K$4986,11,FALSE))</f>
        <v>3SNMCLBMSNEYK</v>
      </c>
      <c r="G1435" s="256" t="str">
        <f>IF(D1435="","",VLOOKUP(F1435,製品マスタ!$G$5:$H$4999,2,FALSE))</f>
        <v>S</v>
      </c>
      <c r="H1435" s="256" t="str">
        <f>IF(D1435="","",VLOOKUP(F1435,製品マスタ!$G$5:$K$4999,5,FALSE))</f>
        <v>MSNEYK</v>
      </c>
      <c r="I1435" s="200" t="str">
        <f>IF(D1435="","",VLOOKUP(F1435,製品マスタ!$G$5:$L$4999,6,FALSE))</f>
        <v>ＭＳＮ　ＥＹＫ</v>
      </c>
      <c r="J1435" s="203" t="s">
        <v>935</v>
      </c>
      <c r="K1435" s="200">
        <f>IF(D1435="","",VLOOKUP(D1435,契約台帳!$A$3:$L$4986,12,FALSE))</f>
        <v>50</v>
      </c>
      <c r="L1435" s="200" t="str">
        <f>IF(D1435="","",INDEX(製品マスタ!$Q$5:$Q$4999,MATCH('S4'!F1435&amp;'S4'!K1435,製品マスタ!$AO$5:$AO$4999,0)))</f>
        <v>N-MAT</v>
      </c>
      <c r="M1435" s="37">
        <v>1200</v>
      </c>
      <c r="N1435" s="37">
        <v>6000</v>
      </c>
      <c r="O1435" s="153">
        <v>4</v>
      </c>
      <c r="P1435" s="45">
        <v>2</v>
      </c>
      <c r="Q1435" s="206">
        <v>45275</v>
      </c>
      <c r="R1435" s="257">
        <f ca="1">IF(D1435="","",IF(OFFSET(D1435,-1,0)&lt;&gt;"","",IF(OR(J1435="リード付け",J1435="巻足し",J1435="巻返しリード付け"),M1435,VLOOKUP(D1435,契約台帳!$A$3:$N$4986,14,FALSE))))</f>
        <v>1200</v>
      </c>
      <c r="S1435" s="258">
        <f ca="1">IF(D1435="","",IF(OFFSET(D1435,-1,0)&lt;&gt;"","",IF(OR(J1435="リード付け",J1435="巻足し",J1435="巻返しリード付け"),M1435,VLOOKUP(D1435,契約台帳!$A$3:$O$4986,15,FALSE))))</f>
        <v>1200</v>
      </c>
      <c r="T1435" s="258">
        <f ca="1">IF(D1435="","",IF(J1435="リード付け",N1435,IF(J1435="巻返しリード付け",N1435,IF(J1435="巻足し",N1435*P1435+OFFSET(N1435,1,0)*OFFSET(P1435,1,0),VLOOKUP(D1435,契約台帳!$A$3:$P$4986,16,FALSE)))))</f>
        <v>12000</v>
      </c>
      <c r="U1435" s="38">
        <v>2</v>
      </c>
      <c r="V1435" s="259">
        <f ca="1">IF(D1435="","",IF(OFFSET(D1435,-2,0)=D1435,"",VLOOKUP(D1435,契約台帳!$A$3:$R$4986,18,FALSE)))</f>
        <v>4</v>
      </c>
      <c r="W1435" s="256" t="str">
        <f ca="1">IF(D1435="","",IF(T1435="","",IF(OR(J1435="巻足し",J1435="巻返しリード付け"),"",IF(J1435="巻返し",VLOOKUP(F1435&amp;K1435&amp;M1435,製品マスタ!$M$5:$AD$4999,18,FALSE),IF(OR(J1435="リード付け",J1435="巻返しリード付け"),"原反コア",IF(J1435="スリット",VLOOKUP(F1435&amp;K1435&amp;R1435,製品マスタ!$N$5:$AD$4999,17,FALSE),""))))))</f>
        <v/>
      </c>
      <c r="X1435" s="256" t="str">
        <f ca="1">IF(D1435="","",IF(T1435="","",IF(J1435="巻足し","",IF(J1435="巻返し",VLOOKUP(F1435&amp;K1435&amp;M1435,製品マスタ!$M$5:$AE$4999,19,FALSE),IF(OR(J1435="リード付け",J1435="巻返しリード付け"),"",IF(J1435="スリット",VLOOKUP(F1435&amp;K1435&amp;R1435,製品マスタ!$N$5:$AE$4999,18,FALSE),""))))))</f>
        <v/>
      </c>
      <c r="Y1435" s="256">
        <f ca="1">IF(D1435="","",IF(T1435="","",VLOOKUP(D1435,契約台帳!$A$3:$Q$4986,17,FALSE)))</f>
        <v>2</v>
      </c>
      <c r="Z1435" s="256" t="str">
        <f ca="1">IF(D1435="","",IF(T1435="","",VLOOKUP(D1435,契約台帳!$A$3:$E$4986,5,FALSE)))</f>
        <v>大阪シーリング印刷㈱</v>
      </c>
      <c r="AA1435" s="54"/>
      <c r="AB1435" s="200" t="str">
        <f>IFERROR((VLOOKUP(F1435&amp;K1435&amp;M1435,製品マスタ!$M$5:$AM$4999,27,FALSE)),"")</f>
        <v>原反ケース再利用</v>
      </c>
      <c r="AC1435" s="31"/>
      <c r="AD1435" s="184"/>
      <c r="AE1435" s="51"/>
      <c r="AF1435" s="52">
        <f>+M1435*N1435*O1435/1000</f>
        <v>28800</v>
      </c>
      <c r="AG1435" s="41"/>
      <c r="AH1435" s="45"/>
      <c r="AI1435" s="28"/>
      <c r="AJ1435" s="28"/>
      <c r="AK1435" s="28"/>
      <c r="AL1435" s="28"/>
      <c r="AM1435" s="12"/>
      <c r="AN1435" s="12"/>
      <c r="AO1435" s="12"/>
      <c r="AP1435" s="12"/>
      <c r="AQ1435" s="12"/>
      <c r="AR1435" s="13"/>
      <c r="AS1435" s="14"/>
    </row>
    <row r="1436" spans="1:45" s="16" customFormat="1" ht="30.95" hidden="1" customHeight="1" x14ac:dyDescent="0.2">
      <c r="A1436" s="35"/>
      <c r="B1436" s="36"/>
      <c r="C1436" s="43"/>
      <c r="D1436" s="29"/>
      <c r="E1436" s="29"/>
      <c r="F1436" s="255"/>
      <c r="G1436" s="256"/>
      <c r="H1436" s="256"/>
      <c r="I1436" s="200"/>
      <c r="J1436" s="203"/>
      <c r="K1436" s="200"/>
      <c r="L1436" s="200"/>
      <c r="M1436" s="37"/>
      <c r="N1436" s="37"/>
      <c r="O1436" s="153"/>
      <c r="P1436" s="45"/>
      <c r="Q1436" s="54"/>
      <c r="R1436" s="260"/>
      <c r="S1436" s="258"/>
      <c r="T1436" s="258"/>
      <c r="U1436" s="38"/>
      <c r="V1436" s="261"/>
      <c r="W1436" s="256"/>
      <c r="X1436" s="256"/>
      <c r="Y1436" s="256"/>
      <c r="Z1436" s="256"/>
      <c r="AA1436" s="54"/>
      <c r="AB1436" s="200"/>
      <c r="AC1436" s="31"/>
      <c r="AD1436" s="184"/>
      <c r="AE1436" s="51"/>
      <c r="AF1436" s="52"/>
      <c r="AG1436" s="41"/>
      <c r="AH1436" s="45"/>
      <c r="AI1436" s="28"/>
      <c r="AJ1436" s="28"/>
      <c r="AK1436" s="28"/>
      <c r="AL1436" s="28"/>
      <c r="AM1436" s="12"/>
      <c r="AN1436" s="12"/>
      <c r="AO1436" s="12"/>
      <c r="AP1436" s="12"/>
      <c r="AQ1436" s="12"/>
      <c r="AR1436" s="13"/>
      <c r="AS1436" s="14"/>
    </row>
    <row r="1437" spans="1:45" s="16" customFormat="1" ht="30.95" hidden="1" customHeight="1" x14ac:dyDescent="0.2">
      <c r="A1437" s="35" t="s">
        <v>1837</v>
      </c>
      <c r="B1437" s="36" t="s">
        <v>1832</v>
      </c>
      <c r="C1437" s="43"/>
      <c r="D1437" s="29"/>
      <c r="E1437" s="29"/>
      <c r="F1437" s="255"/>
      <c r="G1437" s="256"/>
      <c r="H1437" s="256"/>
      <c r="I1437" s="200"/>
      <c r="J1437" s="203" t="s">
        <v>448</v>
      </c>
      <c r="K1437" s="200"/>
      <c r="L1437" s="200"/>
      <c r="M1437" s="37"/>
      <c r="N1437" s="37"/>
      <c r="O1437" s="153"/>
      <c r="P1437" s="45"/>
      <c r="Q1437" s="54"/>
      <c r="R1437" s="260"/>
      <c r="S1437" s="258"/>
      <c r="T1437" s="258"/>
      <c r="U1437" s="38"/>
      <c r="V1437" s="261"/>
      <c r="W1437" s="256"/>
      <c r="X1437" s="256"/>
      <c r="Y1437" s="256"/>
      <c r="Z1437" s="256"/>
      <c r="AA1437" s="54"/>
      <c r="AB1437" s="200"/>
      <c r="AC1437" s="31"/>
      <c r="AD1437" s="184"/>
      <c r="AE1437" s="51"/>
      <c r="AF1437" s="52"/>
      <c r="AG1437" s="41"/>
      <c r="AH1437" s="45"/>
      <c r="AI1437" s="28"/>
      <c r="AJ1437" s="28"/>
      <c r="AK1437" s="28"/>
      <c r="AL1437" s="28"/>
      <c r="AM1437" s="12"/>
      <c r="AN1437" s="12"/>
      <c r="AO1437" s="12"/>
      <c r="AP1437" s="12"/>
      <c r="AQ1437" s="12"/>
      <c r="AR1437" s="13"/>
      <c r="AS1437" s="14"/>
    </row>
    <row r="1438" spans="1:45" s="16" customFormat="1" ht="30.95" hidden="1" customHeight="1" x14ac:dyDescent="0.2">
      <c r="A1438" s="35"/>
      <c r="B1438" s="36"/>
      <c r="C1438" s="43"/>
      <c r="D1438" s="29"/>
      <c r="E1438" s="29"/>
      <c r="F1438" s="255"/>
      <c r="G1438" s="256"/>
      <c r="H1438" s="256"/>
      <c r="I1438" s="200"/>
      <c r="J1438" s="203"/>
      <c r="K1438" s="200"/>
      <c r="L1438" s="200"/>
      <c r="M1438" s="37"/>
      <c r="N1438" s="37"/>
      <c r="O1438" s="153"/>
      <c r="P1438" s="45"/>
      <c r="Q1438" s="54"/>
      <c r="R1438" s="260"/>
      <c r="S1438" s="258"/>
      <c r="T1438" s="258"/>
      <c r="U1438" s="38"/>
      <c r="V1438" s="261"/>
      <c r="W1438" s="256"/>
      <c r="X1438" s="256"/>
      <c r="Y1438" s="256"/>
      <c r="Z1438" s="256"/>
      <c r="AA1438" s="54"/>
      <c r="AB1438" s="200"/>
      <c r="AC1438" s="31"/>
      <c r="AD1438" s="184"/>
      <c r="AE1438" s="51"/>
      <c r="AF1438" s="52"/>
      <c r="AG1438" s="41"/>
      <c r="AH1438" s="45"/>
      <c r="AI1438" s="28"/>
      <c r="AJ1438" s="28"/>
      <c r="AK1438" s="28"/>
      <c r="AL1438" s="28"/>
      <c r="AM1438" s="12"/>
      <c r="AN1438" s="12"/>
      <c r="AO1438" s="12"/>
      <c r="AP1438" s="12"/>
      <c r="AQ1438" s="12"/>
      <c r="AR1438" s="13"/>
      <c r="AS1438" s="14"/>
    </row>
    <row r="1439" spans="1:45" s="16" customFormat="1" ht="30.95" hidden="1" customHeight="1" x14ac:dyDescent="0.2">
      <c r="A1439" s="35" t="s">
        <v>1838</v>
      </c>
      <c r="B1439" s="36" t="s">
        <v>1834</v>
      </c>
      <c r="C1439" s="43"/>
      <c r="D1439" s="29"/>
      <c r="E1439" s="29"/>
      <c r="F1439" s="255"/>
      <c r="G1439" s="256"/>
      <c r="H1439" s="256"/>
      <c r="I1439" s="200"/>
      <c r="J1439" s="203" t="s">
        <v>448</v>
      </c>
      <c r="K1439" s="200"/>
      <c r="L1439" s="200"/>
      <c r="M1439" s="37"/>
      <c r="N1439" s="37"/>
      <c r="O1439" s="153"/>
      <c r="P1439" s="45"/>
      <c r="Q1439" s="54"/>
      <c r="R1439" s="260"/>
      <c r="S1439" s="258"/>
      <c r="T1439" s="258"/>
      <c r="U1439" s="38"/>
      <c r="V1439" s="261"/>
      <c r="W1439" s="256"/>
      <c r="X1439" s="256"/>
      <c r="Y1439" s="256"/>
      <c r="Z1439" s="256"/>
      <c r="AA1439" s="54"/>
      <c r="AB1439" s="200"/>
      <c r="AC1439" s="31"/>
      <c r="AD1439" s="184"/>
      <c r="AE1439" s="51"/>
      <c r="AF1439" s="52"/>
      <c r="AG1439" s="41"/>
      <c r="AH1439" s="45"/>
      <c r="AI1439" s="28"/>
      <c r="AJ1439" s="28"/>
      <c r="AK1439" s="28"/>
      <c r="AL1439" s="28"/>
      <c r="AM1439" s="12"/>
      <c r="AN1439" s="12"/>
      <c r="AO1439" s="12"/>
      <c r="AP1439" s="12"/>
      <c r="AQ1439" s="12"/>
      <c r="AR1439" s="13"/>
      <c r="AS1439" s="14"/>
    </row>
    <row r="1440" spans="1:45" s="16" customFormat="1" ht="30.95" hidden="1" customHeight="1" x14ac:dyDescent="0.2">
      <c r="A1440" s="35"/>
      <c r="B1440" s="36"/>
      <c r="C1440" s="43"/>
      <c r="D1440" s="29"/>
      <c r="E1440" s="29"/>
      <c r="F1440" s="255"/>
      <c r="G1440" s="256"/>
      <c r="H1440" s="256"/>
      <c r="I1440" s="200"/>
      <c r="J1440" s="203"/>
      <c r="K1440" s="200"/>
      <c r="L1440" s="200"/>
      <c r="M1440" s="37"/>
      <c r="N1440" s="37"/>
      <c r="O1440" s="153"/>
      <c r="P1440" s="45"/>
      <c r="Q1440" s="54"/>
      <c r="R1440" s="260"/>
      <c r="S1440" s="258"/>
      <c r="T1440" s="258"/>
      <c r="U1440" s="38"/>
      <c r="V1440" s="261"/>
      <c r="W1440" s="256"/>
      <c r="X1440" s="256"/>
      <c r="Y1440" s="256"/>
      <c r="Z1440" s="256"/>
      <c r="AA1440" s="54"/>
      <c r="AB1440" s="200"/>
      <c r="AC1440" s="31"/>
      <c r="AD1440" s="184"/>
      <c r="AE1440" s="51"/>
      <c r="AF1440" s="52"/>
      <c r="AG1440" s="41"/>
      <c r="AH1440" s="45"/>
      <c r="AI1440" s="28"/>
      <c r="AJ1440" s="28"/>
      <c r="AK1440" s="28"/>
      <c r="AL1440" s="28"/>
      <c r="AM1440" s="12"/>
      <c r="AN1440" s="12"/>
      <c r="AO1440" s="12"/>
      <c r="AP1440" s="12"/>
      <c r="AQ1440" s="12"/>
      <c r="AR1440" s="13"/>
      <c r="AS1440" s="14"/>
    </row>
    <row r="1441" spans="1:45" s="16" customFormat="1" ht="30.95" hidden="1" customHeight="1" x14ac:dyDescent="0.2">
      <c r="A1441" s="35" t="s">
        <v>678</v>
      </c>
      <c r="B1441" s="36" t="s">
        <v>462</v>
      </c>
      <c r="C1441" s="43"/>
      <c r="D1441" s="29">
        <v>3735102</v>
      </c>
      <c r="E1441" s="29">
        <v>4141067</v>
      </c>
      <c r="F1441" s="255" t="str">
        <f>IF(D1441="","",VLOOKUP(D1441,契約台帳!$A$3:$K$4986,6,FALSE)&amp;VLOOKUP(D1441,契約台帳!$A$3:$K$4986,7,FALSE)&amp;VLOOKUP(D1441,契約台帳!$A$3:$K$4986,8,FALSE)&amp;VLOOKUP(D1441,契約台帳!$A$3:$K$4986,9,FALSE)&amp;VLOOKUP(D1441,契約台帳!$A$3:$K$4986,11,FALSE))</f>
        <v>3HSNMCLBWCB</v>
      </c>
      <c r="G1441" s="256" t="str">
        <f>IF(D1441="","",VLOOKUP(F1441,製品マスタ!$G$5:$H$4999,2,FALSE))</f>
        <v>S</v>
      </c>
      <c r="H1441" s="256" t="str">
        <f>IF(D1441="","",VLOOKUP(F1441,製品マスタ!$G$5:$K$4999,5,FALSE))</f>
        <v>WCB</v>
      </c>
      <c r="I1441" s="200" t="str">
        <f>IF(D1441="","",VLOOKUP(F1441,製品マスタ!$G$5:$L$4999,6,FALSE))</f>
        <v>メタルミー　ホワイトコート　（Ｂ）</v>
      </c>
      <c r="J1441" s="203" t="s">
        <v>463</v>
      </c>
      <c r="K1441" s="200">
        <f>IF(D1441="","",VLOOKUP(D1441,契約台帳!$A$3:$L$4986,12,FALSE))</f>
        <v>50</v>
      </c>
      <c r="L1441" s="200" t="s">
        <v>1764</v>
      </c>
      <c r="M1441" s="37">
        <v>1195</v>
      </c>
      <c r="N1441" s="37">
        <v>10600</v>
      </c>
      <c r="O1441" s="153">
        <v>1</v>
      </c>
      <c r="P1441" s="45">
        <v>1</v>
      </c>
      <c r="Q1441" s="54"/>
      <c r="R1441" s="257">
        <f ca="1">IF(D1441="","",IF(OFFSET(D1441,-1,0)&lt;&gt;"","",IF(OR(J1441="リード付け",J1441="巻足し",J1441="巻返しリード付け"),M1441,VLOOKUP(D1441,契約台帳!$A$3:$N$4986,14,FALSE))))</f>
        <v>1120</v>
      </c>
      <c r="S1441" s="258">
        <f ca="1">IF(D1441="","",IF(OFFSET(D1441,-1,0)&lt;&gt;"","",IF(OR(J1441="リード付け",J1441="巻足し",J1441="巻返しリード付け"),M1441,VLOOKUP(D1441,契約台帳!$A$3:$O$4986,15,FALSE))))</f>
        <v>1120</v>
      </c>
      <c r="T1441" s="258">
        <f ca="1">IF(D1441="","",IF(J1441="リード付け",N1441,IF(J1441="巻返しリード付け",N1441,IF(J1441="巻足し",N1441*P1441+OFFSET(N1441,1,0)*OFFSET(P1441,1,0),VLOOKUP(D1441,契約台帳!$A$3:$P$4986,16,FALSE)))))</f>
        <v>5000</v>
      </c>
      <c r="U1441" s="38">
        <v>2</v>
      </c>
      <c r="V1441" s="259">
        <f ca="1">IF(D1441="","",IF(OFFSET(D1441,-2,0)=D1441,"",VLOOKUP(D1441,契約台帳!$A$3:$R$4986,18,FALSE)))</f>
        <v>3</v>
      </c>
      <c r="W1441" s="256" t="s">
        <v>806</v>
      </c>
      <c r="X1441" s="256">
        <v>1140</v>
      </c>
      <c r="Y1441" s="256">
        <f ca="1">IF(D1441="","",IF(T1441="","",VLOOKUP(D1441,契約台帳!$A$3:$Q$4986,17,FALSE)))</f>
        <v>2</v>
      </c>
      <c r="Z1441" s="256" t="str">
        <f ca="1">IF(D1441="","",IF(T1441="","",VLOOKUP(D1441,契約台帳!$A$3:$E$4986,5,FALSE)))</f>
        <v>新タック化成㈱</v>
      </c>
      <c r="AA1441" s="54"/>
      <c r="AB1441" s="200"/>
      <c r="AC1441" s="31"/>
      <c r="AD1441" s="184"/>
      <c r="AE1441" s="51"/>
      <c r="AF1441" s="52"/>
      <c r="AG1441" s="41"/>
      <c r="AH1441" s="45"/>
      <c r="AI1441" s="28"/>
      <c r="AJ1441" s="28"/>
      <c r="AK1441" s="28"/>
      <c r="AL1441" s="28"/>
      <c r="AM1441" s="12"/>
      <c r="AN1441" s="12"/>
      <c r="AO1441" s="12"/>
      <c r="AP1441" s="12"/>
      <c r="AQ1441" s="12"/>
      <c r="AR1441" s="13"/>
      <c r="AS1441" s="14"/>
    </row>
    <row r="1442" spans="1:45" s="16" customFormat="1" ht="30.95" hidden="1" customHeight="1" x14ac:dyDescent="0.2">
      <c r="A1442" s="35"/>
      <c r="B1442" s="36"/>
      <c r="C1442" s="43"/>
      <c r="D1442" s="29"/>
      <c r="E1442" s="29"/>
      <c r="F1442" s="255"/>
      <c r="G1442" s="256"/>
      <c r="H1442" s="256"/>
      <c r="I1442" s="200"/>
      <c r="J1442" s="203"/>
      <c r="K1442" s="200"/>
      <c r="L1442" s="200"/>
      <c r="M1442" s="37"/>
      <c r="N1442" s="37"/>
      <c r="O1442" s="153"/>
      <c r="P1442" s="45"/>
      <c r="Q1442" s="54"/>
      <c r="R1442" s="260"/>
      <c r="S1442" s="258"/>
      <c r="T1442" s="258"/>
      <c r="U1442" s="38"/>
      <c r="V1442" s="261"/>
      <c r="W1442" s="256"/>
      <c r="X1442" s="256"/>
      <c r="Y1442" s="256"/>
      <c r="Z1442" s="256"/>
      <c r="AA1442" s="54"/>
      <c r="AB1442" s="200"/>
      <c r="AC1442" s="31"/>
      <c r="AD1442" s="184"/>
      <c r="AE1442" s="51"/>
      <c r="AF1442" s="52"/>
      <c r="AG1442" s="41"/>
      <c r="AH1442" s="45"/>
      <c r="AI1442" s="28"/>
      <c r="AJ1442" s="28"/>
      <c r="AK1442" s="28"/>
      <c r="AL1442" s="28"/>
      <c r="AM1442" s="12"/>
      <c r="AN1442" s="12"/>
      <c r="AO1442" s="12"/>
      <c r="AP1442" s="12"/>
      <c r="AQ1442" s="12"/>
      <c r="AR1442" s="13"/>
      <c r="AS1442" s="14"/>
    </row>
    <row r="1443" spans="1:45" s="16" customFormat="1" ht="30.95" hidden="1" customHeight="1" x14ac:dyDescent="0.2">
      <c r="A1443" s="35"/>
      <c r="B1443" s="36"/>
      <c r="C1443" s="43"/>
      <c r="D1443" s="29">
        <v>3735102</v>
      </c>
      <c r="E1443" s="29">
        <v>4141067</v>
      </c>
      <c r="F1443" s="255" t="str">
        <f>IF(D1443="","",VLOOKUP(D1443,契約台帳!$A$3:$K$4986,6,FALSE)&amp;VLOOKUP(D1443,契約台帳!$A$3:$K$4986,7,FALSE)&amp;VLOOKUP(D1443,契約台帳!$A$3:$K$4986,8,FALSE)&amp;VLOOKUP(D1443,契約台帳!$A$3:$K$4986,9,FALSE)&amp;VLOOKUP(D1443,契約台帳!$A$3:$K$4986,11,FALSE))</f>
        <v>3HSNMCLBWCB</v>
      </c>
      <c r="G1443" s="256" t="str">
        <f>IF(D1443="","",VLOOKUP(F1443,製品マスタ!$G$5:$H$4999,2,FALSE))</f>
        <v>S</v>
      </c>
      <c r="H1443" s="256" t="str">
        <f>IF(D1443="","",VLOOKUP(F1443,製品マスタ!$G$5:$K$4999,5,FALSE))</f>
        <v>WCB</v>
      </c>
      <c r="I1443" s="200" t="str">
        <f>IF(D1443="","",VLOOKUP(F1443,製品マスタ!$G$5:$L$4999,6,FALSE))</f>
        <v>メタルミー　ホワイトコート　（Ｂ）</v>
      </c>
      <c r="J1443" s="203" t="s">
        <v>463</v>
      </c>
      <c r="K1443" s="200">
        <f>IF(D1443="","",VLOOKUP(D1443,契約台帳!$A$3:$L$4986,12,FALSE))</f>
        <v>50</v>
      </c>
      <c r="L1443" s="200" t="s">
        <v>1764</v>
      </c>
      <c r="M1443" s="37">
        <v>1195</v>
      </c>
      <c r="N1443" s="37">
        <v>5300</v>
      </c>
      <c r="O1443" s="153">
        <v>1</v>
      </c>
      <c r="P1443" s="45">
        <v>1</v>
      </c>
      <c r="Q1443" s="54"/>
      <c r="R1443" s="257">
        <f ca="1">IF(D1443="","",IF(OFFSET(D1443,-1,0)&lt;&gt;"","",IF(OR(J1443="リード付け",J1443="巻足し",J1443="巻返しリード付け"),M1443,VLOOKUP(D1443,契約台帳!$A$3:$N$4986,14,FALSE))))</f>
        <v>1120</v>
      </c>
      <c r="S1443" s="258">
        <f ca="1">IF(D1443="","",IF(OFFSET(D1443,-1,0)&lt;&gt;"","",IF(OR(J1443="リード付け",J1443="巻足し",J1443="巻返しリード付け"),M1443,VLOOKUP(D1443,契約台帳!$A$3:$O$4986,15,FALSE))))</f>
        <v>1120</v>
      </c>
      <c r="T1443" s="258">
        <f ca="1">IF(D1443="","",IF(J1443="リード付け",N1443,IF(J1443="巻返しリード付け",N1443,IF(J1443="巻足し",N1443*P1443+OFFSET(N1443,1,0)*OFFSET(P1443,1,0),VLOOKUP(D1443,契約台帳!$A$3:$P$4986,16,FALSE)))))</f>
        <v>5000</v>
      </c>
      <c r="U1443" s="38">
        <v>1</v>
      </c>
      <c r="V1443" s="259" t="str">
        <f ca="1">IF(D1443="","",IF(OFFSET(D1443,-2,0)=D1443,"",VLOOKUP(D1443,契約台帳!$A$3:$R$4986,18,FALSE)))</f>
        <v/>
      </c>
      <c r="W1443" s="256" t="s">
        <v>806</v>
      </c>
      <c r="X1443" s="256">
        <v>1140</v>
      </c>
      <c r="Y1443" s="256">
        <f ca="1">IF(D1443="","",IF(T1443="","",VLOOKUP(D1443,契約台帳!$A$3:$Q$4986,17,FALSE)))</f>
        <v>2</v>
      </c>
      <c r="Z1443" s="256" t="str">
        <f ca="1">IF(D1443="","",IF(T1443="","",VLOOKUP(D1443,契約台帳!$A$3:$E$4986,5,FALSE)))</f>
        <v>新タック化成㈱</v>
      </c>
      <c r="AA1443" s="54"/>
      <c r="AB1443" s="200"/>
      <c r="AC1443" s="31"/>
      <c r="AD1443" s="184"/>
      <c r="AE1443" s="51"/>
      <c r="AF1443" s="52"/>
      <c r="AG1443" s="41"/>
      <c r="AH1443" s="45"/>
      <c r="AI1443" s="28"/>
      <c r="AJ1443" s="28"/>
      <c r="AK1443" s="28"/>
      <c r="AL1443" s="28"/>
      <c r="AM1443" s="12"/>
      <c r="AN1443" s="12"/>
      <c r="AO1443" s="12"/>
      <c r="AP1443" s="12"/>
      <c r="AQ1443" s="12"/>
      <c r="AR1443" s="13"/>
      <c r="AS1443" s="14"/>
    </row>
    <row r="1444" spans="1:45" s="16" customFormat="1" ht="30.95" hidden="1" customHeight="1" x14ac:dyDescent="0.2">
      <c r="A1444" s="35"/>
      <c r="B1444" s="36"/>
      <c r="C1444" s="43"/>
      <c r="D1444" s="29"/>
      <c r="E1444" s="29"/>
      <c r="F1444" s="255"/>
      <c r="G1444" s="256"/>
      <c r="H1444" s="256"/>
      <c r="I1444" s="200"/>
      <c r="J1444" s="203"/>
      <c r="K1444" s="200"/>
      <c r="L1444" s="200"/>
      <c r="M1444" s="37"/>
      <c r="N1444" s="37"/>
      <c r="O1444" s="153"/>
      <c r="P1444" s="45"/>
      <c r="Q1444" s="54"/>
      <c r="R1444" s="260"/>
      <c r="S1444" s="258"/>
      <c r="T1444" s="258"/>
      <c r="U1444" s="38"/>
      <c r="V1444" s="261"/>
      <c r="W1444" s="256"/>
      <c r="X1444" s="256"/>
      <c r="Y1444" s="256"/>
      <c r="Z1444" s="256"/>
      <c r="AA1444" s="54"/>
      <c r="AB1444" s="200"/>
      <c r="AC1444" s="31"/>
      <c r="AD1444" s="184"/>
      <c r="AE1444" s="51"/>
      <c r="AF1444" s="52"/>
      <c r="AG1444" s="41"/>
      <c r="AH1444" s="45"/>
      <c r="AI1444" s="28"/>
      <c r="AJ1444" s="28"/>
      <c r="AK1444" s="28"/>
      <c r="AL1444" s="28"/>
      <c r="AM1444" s="12"/>
      <c r="AN1444" s="12"/>
      <c r="AO1444" s="12"/>
      <c r="AP1444" s="12"/>
      <c r="AQ1444" s="12"/>
      <c r="AR1444" s="13"/>
      <c r="AS1444" s="14"/>
    </row>
    <row r="1445" spans="1:45" s="16" customFormat="1" ht="30.95" hidden="1" customHeight="1" x14ac:dyDescent="0.2">
      <c r="A1445" s="35" t="s">
        <v>1854</v>
      </c>
      <c r="B1445" s="36" t="s">
        <v>1849</v>
      </c>
      <c r="C1445" s="43"/>
      <c r="D1445" s="29"/>
      <c r="E1445" s="29"/>
      <c r="F1445" s="255"/>
      <c r="G1445" s="256"/>
      <c r="H1445" s="256"/>
      <c r="I1445" s="200"/>
      <c r="J1445" s="203"/>
      <c r="K1445" s="200"/>
      <c r="L1445" s="200"/>
      <c r="M1445" s="37"/>
      <c r="N1445" s="37"/>
      <c r="O1445" s="153"/>
      <c r="P1445" s="45"/>
      <c r="Q1445" s="54"/>
      <c r="R1445" s="260"/>
      <c r="S1445" s="258"/>
      <c r="T1445" s="258"/>
      <c r="U1445" s="38"/>
      <c r="V1445" s="261"/>
      <c r="W1445" s="256"/>
      <c r="X1445" s="256"/>
      <c r="Y1445" s="256"/>
      <c r="Z1445" s="256"/>
      <c r="AA1445" s="54"/>
      <c r="AB1445" s="200"/>
      <c r="AC1445" s="31"/>
      <c r="AD1445" s="184"/>
      <c r="AE1445" s="51"/>
      <c r="AF1445" s="52"/>
      <c r="AG1445" s="41"/>
      <c r="AH1445" s="45"/>
      <c r="AI1445" s="28"/>
      <c r="AJ1445" s="28"/>
      <c r="AK1445" s="28"/>
      <c r="AL1445" s="28"/>
      <c r="AM1445" s="12"/>
      <c r="AN1445" s="12"/>
      <c r="AO1445" s="12"/>
      <c r="AP1445" s="12"/>
      <c r="AQ1445" s="12"/>
      <c r="AR1445" s="13"/>
      <c r="AS1445" s="14"/>
    </row>
    <row r="1446" spans="1:45" s="16" customFormat="1" ht="30.95" hidden="1" customHeight="1" x14ac:dyDescent="0.2">
      <c r="A1446" s="35"/>
      <c r="B1446" s="36"/>
      <c r="C1446" s="43"/>
      <c r="D1446" s="29"/>
      <c r="E1446" s="29"/>
      <c r="F1446" s="255"/>
      <c r="G1446" s="256"/>
      <c r="H1446" s="256"/>
      <c r="I1446" s="200"/>
      <c r="J1446" s="203"/>
      <c r="K1446" s="200"/>
      <c r="L1446" s="200"/>
      <c r="M1446" s="37"/>
      <c r="N1446" s="37"/>
      <c r="O1446" s="153"/>
      <c r="P1446" s="45"/>
      <c r="Q1446" s="54"/>
      <c r="R1446" s="260"/>
      <c r="S1446" s="258"/>
      <c r="T1446" s="258"/>
      <c r="U1446" s="38"/>
      <c r="V1446" s="261"/>
      <c r="W1446" s="256"/>
      <c r="X1446" s="256"/>
      <c r="Y1446" s="256"/>
      <c r="Z1446" s="256"/>
      <c r="AA1446" s="54"/>
      <c r="AB1446" s="200"/>
      <c r="AC1446" s="31"/>
      <c r="AD1446" s="184"/>
      <c r="AE1446" s="51"/>
      <c r="AF1446" s="52"/>
      <c r="AG1446" s="41"/>
      <c r="AH1446" s="45"/>
      <c r="AI1446" s="28"/>
      <c r="AJ1446" s="28"/>
      <c r="AK1446" s="28"/>
      <c r="AL1446" s="28"/>
      <c r="AM1446" s="12"/>
      <c r="AN1446" s="12"/>
      <c r="AO1446" s="12"/>
      <c r="AP1446" s="12"/>
      <c r="AQ1446" s="12"/>
      <c r="AR1446" s="13"/>
      <c r="AS1446" s="14"/>
    </row>
    <row r="1447" spans="1:45" s="16" customFormat="1" ht="30.95" hidden="1" customHeight="1" x14ac:dyDescent="0.2">
      <c r="A1447" s="35" t="s">
        <v>1855</v>
      </c>
      <c r="B1447" s="36" t="s">
        <v>1850</v>
      </c>
      <c r="C1447" s="43"/>
      <c r="D1447" s="29">
        <v>3735101</v>
      </c>
      <c r="E1447" s="29">
        <v>4141076</v>
      </c>
      <c r="F1447" s="255" t="str">
        <f>IF(D1447="","",VLOOKUP(D1447,契約台帳!$A$3:$K$4986,6,FALSE)&amp;VLOOKUP(D1447,契約台帳!$A$3:$K$4986,7,FALSE)&amp;VLOOKUP(D1447,契約台帳!$A$3:$K$4986,8,FALSE)&amp;VLOOKUP(D1447,契約台帳!$A$3:$K$4986,9,FALSE)&amp;VLOOKUP(D1447,契約台帳!$A$3:$K$4986,11,FALSE))</f>
        <v>3XSNMCLBEYK</v>
      </c>
      <c r="G1447" s="256" t="str">
        <f>IF(D1447="","",VLOOKUP(F1447,製品マスタ!$G$5:$H$4999,2,FALSE))</f>
        <v>S</v>
      </c>
      <c r="H1447" s="256" t="str">
        <f>IF(D1447="","",VLOOKUP(F1447,製品マスタ!$G$5:$K$4999,5,FALSE))</f>
        <v>EYK</v>
      </c>
      <c r="I1447" s="200" t="str">
        <f>IF(D1447="","",VLOOKUP(F1447,製品マスタ!$G$5:$L$4999,6,FALSE))</f>
        <v>メタルミー　ＥＹＫ</v>
      </c>
      <c r="J1447" s="203" t="s">
        <v>447</v>
      </c>
      <c r="K1447" s="200">
        <f>IF(D1447="","",VLOOKUP(D1447,契約台帳!$A$3:$L$4986,12,FALSE))</f>
        <v>50</v>
      </c>
      <c r="L1447" s="200" t="str">
        <f>IF(D1447="","",INDEX(製品マスタ!$Q$5:$Q$4999,MATCH('S4'!F1447&amp;'S4'!K1447,製品マスタ!$AO$5:$AO$4999,0)))</f>
        <v>T62M</v>
      </c>
      <c r="M1447" s="37">
        <v>1195</v>
      </c>
      <c r="N1447" s="37">
        <v>12200</v>
      </c>
      <c r="O1447" s="153">
        <v>1</v>
      </c>
      <c r="P1447" s="45">
        <v>1</v>
      </c>
      <c r="Q1447" s="54"/>
      <c r="R1447" s="257">
        <f ca="1">IF(D1447="","",IF(OFFSET(D1447,-1,0)&lt;&gt;"","",IF(OR(J1447="リード付け",J1447="巻足し",J1447="巻返しリード付け"),M1447,VLOOKUP(D1447,契約台帳!$A$3:$N$4986,14,FALSE))))</f>
        <v>1120</v>
      </c>
      <c r="S1447" s="258">
        <f ca="1">IF(D1447="","",IF(OFFSET(D1447,-1,0)&lt;&gt;"","",IF(OR(J1447="リード付け",J1447="巻足し",J1447="巻返しリード付け"),M1447,VLOOKUP(D1447,契約台帳!$A$3:$O$4986,15,FALSE))))</f>
        <v>1120</v>
      </c>
      <c r="T1447" s="258">
        <f ca="1">IF(D1447="","",IF(J1447="リード付け",N1447,IF(J1447="巻返しリード付け",N1447,IF(J1447="巻足し",N1447*P1447+OFFSET(N1447,1,0)*OFFSET(P1447,1,0),VLOOKUP(D1447,契約台帳!$A$3:$P$4986,16,FALSE)))))</f>
        <v>6000</v>
      </c>
      <c r="U1447" s="38">
        <v>2</v>
      </c>
      <c r="V1447" s="259">
        <f ca="1">IF(D1447="","",IF(OFFSET(D1447,-2,0)=D1447,"",VLOOKUP(D1447,契約台帳!$A$3:$R$4986,18,FALSE)))</f>
        <v>2</v>
      </c>
      <c r="W1447" s="256" t="str">
        <f ca="1">IF(D1447="","",IF(T1447="","",IF(OR(J1447="巻足し",J1447="巻返しリード付け"),"",IF(J1447="巻返し",VLOOKUP(F1447&amp;K1447&amp;M1447,製品マスタ!$M$5:$AD$4999,18,FALSE),IF(OR(J1447="リード付け",J1447="巻返しリード付け"),"原反コア",IF(J1447="スリット",VLOOKUP(F1447&amp;K1447&amp;R1447,製品マスタ!$N$5:$AD$4999,17,FALSE),""))))))</f>
        <v>6ｲﾝﾁMｺｱ</v>
      </c>
      <c r="X1447" s="256">
        <f ca="1">IF(D1447="","",IF(T1447="","",IF(J1447="巻足し","",IF(J1447="巻返し",VLOOKUP(F1447&amp;K1447&amp;M1447,製品マスタ!$M$5:$AE$4999,19,FALSE),IF(OR(J1447="リード付け",J1447="巻返しリード付け"),"",IF(J1447="スリット",VLOOKUP(F1447&amp;K1447&amp;R1447,製品マスタ!$N$5:$AE$4999,18,FALSE),""))))))</f>
        <v>1140</v>
      </c>
      <c r="Y1447" s="256">
        <f ca="1">IF(D1447="","",IF(T1447="","",VLOOKUP(D1447,契約台帳!$A$3:$Q$4986,17,FALSE)))</f>
        <v>2</v>
      </c>
      <c r="Z1447" s="256" t="str">
        <f ca="1">IF(D1447="","",IF(T1447="","",VLOOKUP(D1447,契約台帳!$A$3:$E$4986,5,FALSE)))</f>
        <v>新タック化成㈱</v>
      </c>
      <c r="AA1447" s="54"/>
      <c r="AB1447" s="200"/>
      <c r="AC1447" s="31"/>
      <c r="AD1447" s="184"/>
      <c r="AE1447" s="51"/>
      <c r="AF1447" s="52"/>
      <c r="AG1447" s="41"/>
      <c r="AH1447" s="45"/>
      <c r="AI1447" s="28"/>
      <c r="AJ1447" s="28"/>
      <c r="AK1447" s="28"/>
      <c r="AL1447" s="28"/>
      <c r="AM1447" s="12"/>
      <c r="AN1447" s="12"/>
      <c r="AO1447" s="12"/>
      <c r="AP1447" s="12"/>
      <c r="AQ1447" s="12"/>
      <c r="AR1447" s="13"/>
      <c r="AS1447" s="14"/>
    </row>
    <row r="1448" spans="1:45" s="16" customFormat="1" ht="30.95" hidden="1" customHeight="1" x14ac:dyDescent="0.2">
      <c r="A1448" s="35"/>
      <c r="B1448" s="36"/>
      <c r="C1448" s="43"/>
      <c r="D1448" s="29"/>
      <c r="E1448" s="29"/>
      <c r="F1448" s="255"/>
      <c r="G1448" s="256"/>
      <c r="H1448" s="256"/>
      <c r="I1448" s="200"/>
      <c r="J1448" s="203"/>
      <c r="K1448" s="200"/>
      <c r="L1448" s="200"/>
      <c r="M1448" s="37"/>
      <c r="N1448" s="37"/>
      <c r="O1448" s="153"/>
      <c r="P1448" s="45"/>
      <c r="Q1448" s="54"/>
      <c r="R1448" s="260"/>
      <c r="S1448" s="258"/>
      <c r="T1448" s="258"/>
      <c r="U1448" s="38"/>
      <c r="V1448" s="261"/>
      <c r="W1448" s="256"/>
      <c r="X1448" s="256"/>
      <c r="Y1448" s="256"/>
      <c r="Z1448" s="256"/>
      <c r="AA1448" s="54"/>
      <c r="AB1448" s="200"/>
      <c r="AC1448" s="31"/>
      <c r="AD1448" s="184"/>
      <c r="AE1448" s="51"/>
      <c r="AF1448" s="52"/>
      <c r="AG1448" s="41"/>
      <c r="AH1448" s="45"/>
      <c r="AI1448" s="28"/>
      <c r="AJ1448" s="28"/>
      <c r="AK1448" s="28"/>
      <c r="AL1448" s="28"/>
      <c r="AM1448" s="12"/>
      <c r="AN1448" s="12"/>
      <c r="AO1448" s="12"/>
      <c r="AP1448" s="12"/>
      <c r="AQ1448" s="12"/>
      <c r="AR1448" s="13"/>
      <c r="AS1448" s="14"/>
    </row>
    <row r="1449" spans="1:45" s="16" customFormat="1" ht="30.95" hidden="1" customHeight="1" x14ac:dyDescent="0.2">
      <c r="A1449" s="35"/>
      <c r="B1449" s="36"/>
      <c r="C1449" s="43"/>
      <c r="D1449" s="29">
        <v>3732646</v>
      </c>
      <c r="E1449" s="29">
        <v>4141050</v>
      </c>
      <c r="F1449" s="255" t="str">
        <f>IF(D1449="","",VLOOKUP(D1449,契約台帳!$A$3:$K$4986,6,FALSE)&amp;VLOOKUP(D1449,契約台帳!$A$3:$K$4986,7,FALSE)&amp;VLOOKUP(D1449,契約台帳!$A$3:$K$4986,8,FALSE)&amp;VLOOKUP(D1449,契約台帳!$A$3:$K$4986,9,FALSE)&amp;VLOOKUP(D1449,契約台帳!$A$3:$K$4986,11,FALSE))</f>
        <v>3SNMCLBMSNEYK</v>
      </c>
      <c r="G1449" s="256" t="str">
        <f>IF(D1449="","",VLOOKUP(F1449,製品マスタ!$G$5:$H$4999,2,FALSE))</f>
        <v>S</v>
      </c>
      <c r="H1449" s="256" t="str">
        <f>IF(D1449="","",VLOOKUP(F1449,製品マスタ!$G$5:$K$4999,5,FALSE))</f>
        <v>MSNEYK</v>
      </c>
      <c r="I1449" s="200" t="str">
        <f>IF(D1449="","",VLOOKUP(F1449,製品マスタ!$G$5:$L$4999,6,FALSE))</f>
        <v>ＭＳＮ　ＥＹＫ</v>
      </c>
      <c r="J1449" s="203" t="s">
        <v>447</v>
      </c>
      <c r="K1449" s="200">
        <f>IF(D1449="","",VLOOKUP(D1449,契約台帳!$A$3:$L$4986,12,FALSE))</f>
        <v>50</v>
      </c>
      <c r="L1449" s="200" t="str">
        <f>IF(D1449="","",INDEX(製品マスタ!$Q$5:$Q$4999,MATCH('S4'!F1449&amp;'S4'!K1449,製品マスタ!$AO$5:$AO$4999,0)))</f>
        <v>N-MAT</v>
      </c>
      <c r="M1449" s="37">
        <v>1200</v>
      </c>
      <c r="N1449" s="37">
        <v>12000</v>
      </c>
      <c r="O1449" s="153">
        <v>1</v>
      </c>
      <c r="P1449" s="45">
        <v>2</v>
      </c>
      <c r="Q1449" s="54"/>
      <c r="R1449" s="257">
        <f ca="1">IF(D1449="","",IF(OFFSET(D1449,-1,0)&lt;&gt;"","",IF(OR(J1449="リード付け",J1449="巻足し",J1449="巻返しリード付け"),M1449,VLOOKUP(D1449,契約台帳!$A$3:$N$4986,14,FALSE))))</f>
        <v>1200</v>
      </c>
      <c r="S1449" s="258">
        <f ca="1">IF(D1449="","",IF(OFFSET(D1449,-1,0)&lt;&gt;"","",IF(OR(J1449="リード付け",J1449="巻足し",J1449="巻返しリード付け"),M1449,VLOOKUP(D1449,契約台帳!$A$3:$O$4986,15,FALSE))))</f>
        <v>1190</v>
      </c>
      <c r="T1449" s="258">
        <f ca="1">IF(D1449="","",IF(J1449="リード付け",N1449,IF(J1449="巻返しリード付け",N1449,IF(J1449="巻足し",N1449*P1449+OFFSET(N1449,1,0)*OFFSET(P1449,1,0),VLOOKUP(D1449,契約台帳!$A$3:$P$4986,16,FALSE)))))</f>
        <v>6000</v>
      </c>
      <c r="U1449" s="38">
        <v>2</v>
      </c>
      <c r="V1449" s="259">
        <f ca="1">IF(D1449="","",IF(OFFSET(D1449,-2,0)=D1449,"",VLOOKUP(D1449,契約台帳!$A$3:$R$4986,18,FALSE)))</f>
        <v>4</v>
      </c>
      <c r="W1449" s="256" t="str">
        <f ca="1">IF(D1449="","",IF(T1449="","",IF(OR(J1449="巻足し",J1449="巻返しリード付け"),"",IF(J1449="巻返し",VLOOKUP(F1449&amp;K1449&amp;M1449,製品マスタ!$M$5:$AD$4999,18,FALSE),IF(OR(J1449="リード付け",J1449="巻返しリード付け"),"原反コア",IF(J1449="スリット",VLOOKUP(F1449&amp;K1449&amp;R1449,製品マスタ!$N$5:$AD$4999,17,FALSE),""))))))</f>
        <v>6ｲﾝﾁMｺｱ</v>
      </c>
      <c r="X1449" s="256">
        <f ca="1">IF(D1449="","",IF(T1449="","",IF(J1449="巻足し","",IF(J1449="巻返し",VLOOKUP(F1449&amp;K1449&amp;M1449,製品マスタ!$M$5:$AE$4999,19,FALSE),IF(OR(J1449="リード付け",J1449="巻返しリード付け"),"",IF(J1449="スリット",VLOOKUP(F1449&amp;K1449&amp;R1449,製品マスタ!$N$5:$AE$4999,18,FALSE),""))))))</f>
        <v>1220</v>
      </c>
      <c r="Y1449" s="256">
        <f ca="1">IF(D1449="","",IF(T1449="","",VLOOKUP(D1449,契約台帳!$A$3:$Q$4986,17,FALSE)))</f>
        <v>2</v>
      </c>
      <c r="Z1449" s="256" t="str">
        <f ca="1">IF(D1449="","",IF(T1449="","",VLOOKUP(D1449,契約台帳!$A$3:$E$4986,5,FALSE)))</f>
        <v>大阪シーリング印刷㈱</v>
      </c>
      <c r="AA1449" s="54"/>
      <c r="AB1449" s="200"/>
      <c r="AC1449" s="31"/>
      <c r="AD1449" s="184"/>
      <c r="AE1449" s="51"/>
      <c r="AF1449" s="52"/>
      <c r="AG1449" s="41"/>
      <c r="AH1449" s="45"/>
      <c r="AI1449" s="28"/>
      <c r="AJ1449" s="28"/>
      <c r="AK1449" s="28"/>
      <c r="AL1449" s="28"/>
      <c r="AM1449" s="12"/>
      <c r="AN1449" s="12"/>
      <c r="AO1449" s="12"/>
      <c r="AP1449" s="12"/>
      <c r="AQ1449" s="12"/>
      <c r="AR1449" s="13"/>
      <c r="AS1449" s="14"/>
    </row>
    <row r="1450" spans="1:45" s="16" customFormat="1" ht="30.95" hidden="1" customHeight="1" x14ac:dyDescent="0.2">
      <c r="A1450" s="35"/>
      <c r="B1450" s="36"/>
      <c r="C1450" s="43"/>
      <c r="D1450" s="29"/>
      <c r="E1450" s="29"/>
      <c r="F1450" s="255"/>
      <c r="G1450" s="256"/>
      <c r="H1450" s="256"/>
      <c r="I1450" s="200"/>
      <c r="J1450" s="203"/>
      <c r="K1450" s="200"/>
      <c r="L1450" s="200"/>
      <c r="M1450" s="37"/>
      <c r="N1450" s="37"/>
      <c r="O1450" s="153"/>
      <c r="P1450" s="45"/>
      <c r="Q1450" s="54"/>
      <c r="R1450" s="260"/>
      <c r="S1450" s="258"/>
      <c r="T1450" s="258"/>
      <c r="U1450" s="38"/>
      <c r="V1450" s="261"/>
      <c r="W1450" s="256"/>
      <c r="X1450" s="256"/>
      <c r="Y1450" s="256"/>
      <c r="Z1450" s="256"/>
      <c r="AA1450" s="54"/>
      <c r="AB1450" s="200"/>
      <c r="AC1450" s="31"/>
      <c r="AD1450" s="184"/>
      <c r="AE1450" s="51"/>
      <c r="AF1450" s="52"/>
      <c r="AG1450" s="41"/>
      <c r="AH1450" s="45"/>
      <c r="AI1450" s="28"/>
      <c r="AJ1450" s="28"/>
      <c r="AK1450" s="28"/>
      <c r="AL1450" s="28"/>
      <c r="AM1450" s="12"/>
      <c r="AN1450" s="12"/>
      <c r="AO1450" s="12"/>
      <c r="AP1450" s="12"/>
      <c r="AQ1450" s="12"/>
      <c r="AR1450" s="13"/>
      <c r="AS1450" s="14"/>
    </row>
    <row r="1451" spans="1:45" s="16" customFormat="1" ht="30.95" hidden="1" customHeight="1" x14ac:dyDescent="0.2">
      <c r="A1451" s="35"/>
      <c r="B1451" s="36"/>
      <c r="C1451" s="43"/>
      <c r="D1451" s="29">
        <v>3735903</v>
      </c>
      <c r="E1451" s="29">
        <v>4141078</v>
      </c>
      <c r="F1451" s="255" t="str">
        <f>IF(D1451="","",VLOOKUP(D1451,契約台帳!$A$3:$K$4986,6,FALSE)&amp;VLOOKUP(D1451,契約台帳!$A$3:$K$4986,7,FALSE)&amp;VLOOKUP(D1451,契約台帳!$A$3:$K$4986,8,FALSE)&amp;VLOOKUP(D1451,契約台帳!$A$3:$K$4986,9,FALSE)&amp;VLOOKUP(D1451,契約台帳!$A$3:$K$4986,11,FALSE))</f>
        <v>3SNMCLBMSNEYK</v>
      </c>
      <c r="G1451" s="256" t="str">
        <f>IF(D1451="","",VLOOKUP(F1451,製品マスタ!$G$5:$H$4999,2,FALSE))</f>
        <v>S</v>
      </c>
      <c r="H1451" s="256" t="str">
        <f>IF(D1451="","",VLOOKUP(F1451,製品マスタ!$G$5:$K$4999,5,FALSE))</f>
        <v>MSNEYK</v>
      </c>
      <c r="I1451" s="200" t="str">
        <f>IF(D1451="","",VLOOKUP(F1451,製品マスタ!$G$5:$L$4999,6,FALSE))</f>
        <v>ＭＳＮ　ＥＹＫ</v>
      </c>
      <c r="J1451" s="203" t="s">
        <v>447</v>
      </c>
      <c r="K1451" s="200">
        <f>IF(D1451="","",VLOOKUP(D1451,契約台帳!$A$3:$L$4986,12,FALSE))</f>
        <v>50</v>
      </c>
      <c r="L1451" s="200" t="str">
        <f>IF(D1451="","",INDEX(製品マスタ!$Q$5:$Q$4999,MATCH('S4'!F1451&amp;'S4'!K1451,製品マスタ!$AO$5:$AO$4999,0)))</f>
        <v>N-MAT</v>
      </c>
      <c r="M1451" s="37">
        <v>1120</v>
      </c>
      <c r="N1451" s="37">
        <v>12000</v>
      </c>
      <c r="O1451" s="153">
        <v>2</v>
      </c>
      <c r="P1451" s="45">
        <v>2</v>
      </c>
      <c r="Q1451" s="54"/>
      <c r="R1451" s="257">
        <f ca="1">IF(D1451="","",IF(OFFSET(D1451,-1,0)&lt;&gt;"","",IF(OR(J1451="リード付け",J1451="巻足し",J1451="巻返しリード付け"),M1451,VLOOKUP(D1451,契約台帳!$A$3:$N$4986,14,FALSE))))</f>
        <v>1120</v>
      </c>
      <c r="S1451" s="258">
        <f ca="1">IF(D1451="","",IF(OFFSET(D1451,-1,0)&lt;&gt;"","",IF(OR(J1451="リード付け",J1451="巻足し",J1451="巻返しリード付け"),M1451,VLOOKUP(D1451,契約台帳!$A$3:$O$4986,15,FALSE))))</f>
        <v>1120</v>
      </c>
      <c r="T1451" s="258">
        <f ca="1">IF(D1451="","",IF(J1451="リード付け",N1451,IF(J1451="巻返しリード付け",N1451,IF(J1451="巻足し",N1451*P1451+OFFSET(N1451,1,0)*OFFSET(P1451,1,0),VLOOKUP(D1451,契約台帳!$A$3:$P$4986,16,FALSE)))))</f>
        <v>4000</v>
      </c>
      <c r="U1451" s="38">
        <v>6</v>
      </c>
      <c r="V1451" s="259">
        <f ca="1">IF(D1451="","",IF(OFFSET(D1451,-2,0)=D1451,"",VLOOKUP(D1451,契約台帳!$A$3:$R$4986,18,FALSE)))</f>
        <v>6</v>
      </c>
      <c r="W1451" s="256" t="str">
        <f ca="1">IF(D1451="","",IF(T1451="","",IF(OR(J1451="巻足し",J1451="巻返しリード付け"),"",IF(J1451="巻返し",VLOOKUP(F1451&amp;K1451&amp;M1451,製品マスタ!$M$5:$AD$4999,18,FALSE),IF(OR(J1451="リード付け",J1451="巻返しリード付け"),"原反コア",IF(J1451="スリット",VLOOKUP(F1451&amp;K1451&amp;R1451,製品マスタ!$N$5:$AD$4999,17,FALSE),""))))))</f>
        <v>6ｲﾝﾁMｺｱ</v>
      </c>
      <c r="X1451" s="256">
        <f ca="1">IF(D1451="","",IF(T1451="","",IF(J1451="巻足し","",IF(J1451="巻返し",VLOOKUP(F1451&amp;K1451&amp;M1451,製品マスタ!$M$5:$AE$4999,19,FALSE),IF(OR(J1451="リード付け",J1451="巻返しリード付け"),"",IF(J1451="スリット",VLOOKUP(F1451&amp;K1451&amp;R1451,製品マスタ!$N$5:$AE$4999,18,FALSE),""))))))</f>
        <v>1140</v>
      </c>
      <c r="Y1451" s="256">
        <f ca="1">IF(D1451="","",IF(T1451="","",VLOOKUP(D1451,契約台帳!$A$3:$Q$4986,17,FALSE)))</f>
        <v>2</v>
      </c>
      <c r="Z1451" s="256" t="str">
        <f ca="1">IF(D1451="","",IF(T1451="","",VLOOKUP(D1451,契約台帳!$A$3:$E$4986,5,FALSE)))</f>
        <v>新タック化成㈱</v>
      </c>
      <c r="AA1451" s="54"/>
      <c r="AB1451" s="200"/>
      <c r="AC1451" s="31"/>
      <c r="AD1451" s="184"/>
      <c r="AE1451" s="51"/>
      <c r="AF1451" s="52"/>
      <c r="AG1451" s="41"/>
      <c r="AH1451" s="45"/>
      <c r="AI1451" s="28"/>
      <c r="AJ1451" s="28"/>
      <c r="AK1451" s="28"/>
      <c r="AL1451" s="28"/>
      <c r="AM1451" s="12"/>
      <c r="AN1451" s="12"/>
      <c r="AO1451" s="12"/>
      <c r="AP1451" s="12"/>
      <c r="AQ1451" s="12"/>
      <c r="AR1451" s="13"/>
      <c r="AS1451" s="14"/>
    </row>
    <row r="1452" spans="1:45" s="16" customFormat="1" ht="30.95" hidden="1" customHeight="1" x14ac:dyDescent="0.2">
      <c r="A1452" s="35"/>
      <c r="B1452" s="36"/>
      <c r="C1452" s="43"/>
      <c r="D1452" s="29"/>
      <c r="E1452" s="29"/>
      <c r="F1452" s="255"/>
      <c r="G1452" s="256"/>
      <c r="H1452" s="256"/>
      <c r="I1452" s="200"/>
      <c r="J1452" s="203"/>
      <c r="K1452" s="200"/>
      <c r="L1452" s="200"/>
      <c r="M1452" s="37"/>
      <c r="N1452" s="37"/>
      <c r="O1452" s="153"/>
      <c r="P1452" s="45"/>
      <c r="Q1452" s="54"/>
      <c r="R1452" s="260"/>
      <c r="S1452" s="258"/>
      <c r="T1452" s="258"/>
      <c r="U1452" s="38"/>
      <c r="V1452" s="261"/>
      <c r="W1452" s="256"/>
      <c r="X1452" s="256"/>
      <c r="Y1452" s="256"/>
      <c r="Z1452" s="256"/>
      <c r="AA1452" s="54"/>
      <c r="AB1452" s="200"/>
      <c r="AC1452" s="31"/>
      <c r="AD1452" s="184"/>
      <c r="AE1452" s="51"/>
      <c r="AF1452" s="52"/>
      <c r="AG1452" s="41"/>
      <c r="AH1452" s="45"/>
      <c r="AI1452" s="28"/>
      <c r="AJ1452" s="28"/>
      <c r="AK1452" s="28"/>
      <c r="AL1452" s="28"/>
      <c r="AM1452" s="12"/>
      <c r="AN1452" s="12"/>
      <c r="AO1452" s="12"/>
      <c r="AP1452" s="12"/>
      <c r="AQ1452" s="12"/>
      <c r="AR1452" s="13"/>
      <c r="AS1452" s="14"/>
    </row>
    <row r="1453" spans="1:45" s="16" customFormat="1" ht="30.95" hidden="1" customHeight="1" x14ac:dyDescent="0.2">
      <c r="A1453" s="35" t="s">
        <v>686</v>
      </c>
      <c r="B1453" s="36" t="s">
        <v>443</v>
      </c>
      <c r="C1453" s="43"/>
      <c r="D1453" s="29">
        <v>3735132</v>
      </c>
      <c r="E1453" s="29">
        <v>4141077</v>
      </c>
      <c r="F1453" s="255" t="str">
        <f>IF(D1453="","",VLOOKUP(D1453,契約台帳!$A$3:$K$4986,6,FALSE)&amp;VLOOKUP(D1453,契約台帳!$A$3:$K$4986,7,FALSE)&amp;VLOOKUP(D1453,契約台帳!$A$3:$K$4986,8,FALSE)&amp;VLOOKUP(D1453,契約台帳!$A$3:$K$4986,9,FALSE)&amp;VLOOKUP(D1453,契約台帳!$A$3:$K$4986,11,FALSE))</f>
        <v>3SNCLBLMEYK</v>
      </c>
      <c r="G1453" s="256" t="str">
        <f>IF(D1453="","",VLOOKUP(F1453,製品マスタ!$G$5:$H$4999,2,FALSE))</f>
        <v>S</v>
      </c>
      <c r="H1453" s="256" t="str">
        <f>IF(D1453="","",VLOOKUP(F1453,製品マスタ!$G$5:$K$4999,5,FALSE))</f>
        <v>LMEYK</v>
      </c>
      <c r="I1453" s="200" t="str">
        <f>IF(D1453="","",VLOOKUP(F1453,製品マスタ!$G$5:$L$4999,6,FALSE))</f>
        <v>ルミマットＥＹＫ</v>
      </c>
      <c r="J1453" s="203" t="s">
        <v>447</v>
      </c>
      <c r="K1453" s="200">
        <f>IF(D1453="","",VLOOKUP(D1453,契約台帳!$A$3:$L$4986,12,FALSE))</f>
        <v>38</v>
      </c>
      <c r="L1453" s="200" t="str">
        <f>IF(D1453="","",INDEX(製品マスタ!$Q$5:$Q$4999,MATCH('S4'!F1453&amp;'S4'!K1453,製品マスタ!$AO$5:$AO$4999,0)))</f>
        <v>LUMIMAT</v>
      </c>
      <c r="M1453" s="37">
        <v>1005</v>
      </c>
      <c r="N1453" s="37">
        <v>8000</v>
      </c>
      <c r="O1453" s="153">
        <v>1</v>
      </c>
      <c r="P1453" s="45">
        <v>1</v>
      </c>
      <c r="Q1453" s="54"/>
      <c r="R1453" s="257">
        <f ca="1">IF(D1453="","",IF(OFFSET(D1453,-1,0)&lt;&gt;"","",IF(OR(J1453="リード付け",J1453="巻足し",J1453="巻返しリード付け"),M1453,VLOOKUP(D1453,契約台帳!$A$3:$N$4986,14,FALSE))))</f>
        <v>1005</v>
      </c>
      <c r="S1453" s="258">
        <f ca="1">IF(D1453="","",IF(OFFSET(D1453,-1,0)&lt;&gt;"","",IF(OR(J1453="リード付け",J1453="巻足し",J1453="巻返しリード付け"),M1453,VLOOKUP(D1453,契約台帳!$A$3:$O$4986,15,FALSE))))</f>
        <v>1000</v>
      </c>
      <c r="T1453" s="258">
        <f ca="1">IF(D1453="","",IF(J1453="リード付け",N1453,IF(J1453="巻返しリード付け",N1453,IF(J1453="巻足し",N1453*P1453+OFFSET(N1453,1,0)*OFFSET(P1453,1,0),VLOOKUP(D1453,契約台帳!$A$3:$P$4986,16,FALSE)))))</f>
        <v>4000</v>
      </c>
      <c r="U1453" s="38">
        <v>2</v>
      </c>
      <c r="V1453" s="259">
        <f ca="1">IF(D1453="","",IF(OFFSET(D1453,-2,0)=D1453,"",VLOOKUP(D1453,契約台帳!$A$3:$R$4986,18,FALSE)))</f>
        <v>2</v>
      </c>
      <c r="W1453" s="256" t="str">
        <f ca="1">IF(D1453="","",IF(T1453="","",IF(OR(J1453="巻足し",J1453="巻返しリード付け"),"",IF(J1453="巻返し",VLOOKUP(F1453&amp;K1453&amp;M1453,製品マスタ!$M$5:$AD$4999,18,FALSE),IF(OR(J1453="リード付け",J1453="巻返しリード付け"),"原反コア",IF(J1453="スリット",VLOOKUP(F1453&amp;K1453&amp;R1453,製品マスタ!$N$5:$AD$4999,17,FALSE),""))))))</f>
        <v>3ｲﾝﾁSｺｱ</v>
      </c>
      <c r="X1453" s="256">
        <f ca="1">IF(D1453="","",IF(T1453="","",IF(J1453="巻足し","",IF(J1453="巻返し",VLOOKUP(F1453&amp;K1453&amp;M1453,製品マスタ!$M$5:$AE$4999,19,FALSE),IF(OR(J1453="リード付け",J1453="巻返しリード付け"),"",IF(J1453="スリット",VLOOKUP(F1453&amp;K1453&amp;R1453,製品マスタ!$N$5:$AE$4999,18,FALSE),""))))))</f>
        <v>1015</v>
      </c>
      <c r="Y1453" s="256">
        <f ca="1">IF(D1453="","",IF(T1453="","",VLOOKUP(D1453,契約台帳!$A$3:$Q$4986,17,FALSE)))</f>
        <v>2</v>
      </c>
      <c r="Z1453" s="256" t="str">
        <f ca="1">IF(D1453="","",IF(T1453="","",VLOOKUP(D1453,契約台帳!$A$3:$E$4986,5,FALSE)))</f>
        <v>リンテック㈱</v>
      </c>
      <c r="AA1453" s="54"/>
      <c r="AB1453" s="200"/>
      <c r="AC1453" s="31"/>
      <c r="AD1453" s="184"/>
      <c r="AE1453" s="51"/>
      <c r="AF1453" s="52"/>
      <c r="AG1453" s="41"/>
      <c r="AH1453" s="45"/>
      <c r="AI1453" s="28"/>
      <c r="AJ1453" s="28"/>
      <c r="AK1453" s="28"/>
      <c r="AL1453" s="28"/>
      <c r="AM1453" s="12"/>
      <c r="AN1453" s="12"/>
      <c r="AO1453" s="12"/>
      <c r="AP1453" s="12"/>
      <c r="AQ1453" s="12"/>
      <c r="AR1453" s="13"/>
      <c r="AS1453" s="14"/>
    </row>
    <row r="1454" spans="1:45" s="16" customFormat="1" ht="30.95" hidden="1" customHeight="1" x14ac:dyDescent="0.2">
      <c r="A1454" s="35"/>
      <c r="B1454" s="36"/>
      <c r="C1454" s="43"/>
      <c r="D1454" s="29"/>
      <c r="E1454" s="29"/>
      <c r="F1454" s="255"/>
      <c r="G1454" s="256"/>
      <c r="H1454" s="256"/>
      <c r="I1454" s="200"/>
      <c r="J1454" s="203"/>
      <c r="K1454" s="200"/>
      <c r="L1454" s="200"/>
      <c r="M1454" s="37"/>
      <c r="N1454" s="37"/>
      <c r="O1454" s="153"/>
      <c r="P1454" s="45"/>
      <c r="Q1454" s="54"/>
      <c r="R1454" s="260"/>
      <c r="S1454" s="258"/>
      <c r="T1454" s="258"/>
      <c r="U1454" s="38"/>
      <c r="V1454" s="261"/>
      <c r="W1454" s="256"/>
      <c r="X1454" s="256"/>
      <c r="Y1454" s="256"/>
      <c r="Z1454" s="256"/>
      <c r="AA1454" s="54"/>
      <c r="AB1454" s="200"/>
      <c r="AC1454" s="31"/>
      <c r="AD1454" s="184"/>
      <c r="AE1454" s="51"/>
      <c r="AF1454" s="52"/>
      <c r="AG1454" s="41"/>
      <c r="AH1454" s="45"/>
      <c r="AI1454" s="28"/>
      <c r="AJ1454" s="28"/>
      <c r="AK1454" s="28"/>
      <c r="AL1454" s="28"/>
      <c r="AM1454" s="12"/>
      <c r="AN1454" s="12"/>
      <c r="AO1454" s="12"/>
      <c r="AP1454" s="12"/>
      <c r="AQ1454" s="12"/>
      <c r="AR1454" s="13"/>
      <c r="AS1454" s="14"/>
    </row>
    <row r="1455" spans="1:45" s="16" customFormat="1" ht="30.95" hidden="1" customHeight="1" x14ac:dyDescent="0.2">
      <c r="A1455" s="35"/>
      <c r="B1455" s="36"/>
      <c r="C1455" s="43"/>
      <c r="D1455" s="29">
        <v>3735124</v>
      </c>
      <c r="E1455" s="29">
        <v>4141066</v>
      </c>
      <c r="F1455" s="255" t="str">
        <f>IF(D1455="","",VLOOKUP(D1455,契約台帳!$A$3:$K$4986,6,FALSE)&amp;VLOOKUP(D1455,契約台帳!$A$3:$K$4986,7,FALSE)&amp;VLOOKUP(D1455,契約台帳!$A$3:$K$4986,8,FALSE)&amp;VLOOKUP(D1455,契約台帳!$A$3:$K$4986,9,FALSE)&amp;VLOOKUP(D1455,契約台帳!$A$3:$K$4986,11,FALSE))</f>
        <v>33SSNMCLBTETKFV</v>
      </c>
      <c r="G1455" s="256" t="str">
        <f>IF(D1455="","",VLOOKUP(F1455,製品マスタ!$G$5:$H$4999,2,FALSE))</f>
        <v>S</v>
      </c>
      <c r="H1455" s="256" t="str">
        <f>IF(D1455="","",VLOOKUP(F1455,製品マスタ!$G$5:$K$4999,5,FALSE))</f>
        <v>TETKFV</v>
      </c>
      <c r="I1455" s="200" t="str">
        <f>IF(D1455="","",VLOOKUP(F1455,製品マスタ!$G$5:$L$4999,6,FALSE))</f>
        <v>メタルミー　ＴＥＳ艶開封　Ｖ</v>
      </c>
      <c r="J1455" s="203" t="s">
        <v>447</v>
      </c>
      <c r="K1455" s="200">
        <f>IF(D1455="","",VLOOKUP(D1455,契約台帳!$A$3:$L$4986,12,FALSE))</f>
        <v>50</v>
      </c>
      <c r="L1455" s="200" t="str">
        <f>IF(D1455="","",INDEX(製品マスタ!$Q$5:$Q$4999,MATCH('S4'!F1455&amp;'S4'!K1455,製品マスタ!$AO$5:$AO$4999,0)))</f>
        <v>S28SEPA</v>
      </c>
      <c r="M1455" s="37">
        <v>1005</v>
      </c>
      <c r="N1455" s="37">
        <v>12300</v>
      </c>
      <c r="O1455" s="153">
        <v>3</v>
      </c>
      <c r="P1455" s="45">
        <v>3</v>
      </c>
      <c r="Q1455" s="54"/>
      <c r="R1455" s="257">
        <f ca="1">IF(D1455="","",IF(OFFSET(D1455,-1,0)&lt;&gt;"","",IF(OR(J1455="リード付け",J1455="巻足し",J1455="巻返しリード付け"),M1455,VLOOKUP(D1455,契約台帳!$A$3:$N$4986,14,FALSE))))</f>
        <v>1005</v>
      </c>
      <c r="S1455" s="258">
        <f ca="1">IF(D1455="","",IF(OFFSET(D1455,-1,0)&lt;&gt;"","",IF(OR(J1455="リード付け",J1455="巻足し",J1455="巻返しリード付け"),M1455,VLOOKUP(D1455,契約台帳!$A$3:$O$4986,15,FALSE))))</f>
        <v>1000</v>
      </c>
      <c r="T1455" s="258">
        <f ca="1">IF(D1455="","",IF(J1455="リード付け",N1455,IF(J1455="巻返しリード付け",N1455,IF(J1455="巻足し",N1455*P1455+OFFSET(N1455,1,0)*OFFSET(P1455,1,0),VLOOKUP(D1455,契約台帳!$A$3:$P$4986,16,FALSE)))))</f>
        <v>4100</v>
      </c>
      <c r="U1455" s="38">
        <v>9</v>
      </c>
      <c r="V1455" s="259">
        <f ca="1">IF(D1455="","",IF(OFFSET(D1455,-2,0)=D1455,"",VLOOKUP(D1455,契約台帳!$A$3:$R$4986,18,FALSE)))</f>
        <v>9</v>
      </c>
      <c r="W1455" s="256" t="str">
        <f ca="1">IF(D1455="","",IF(T1455="","",IF(OR(J1455="巻足し",J1455="巻返しリード付け"),"",IF(J1455="巻返し",VLOOKUP(F1455&amp;K1455&amp;M1455,製品マスタ!$M$5:$AD$4999,18,FALSE),IF(OR(J1455="リード付け",J1455="巻返しリード付け"),"原反コア",IF(J1455="スリット",VLOOKUP(F1455&amp;K1455&amp;R1455,製品マスタ!$N$5:$AD$4999,17,FALSE),""))))))</f>
        <v>6ｲﾝﾁSｺｱ</v>
      </c>
      <c r="X1455" s="256">
        <f ca="1">IF(D1455="","",IF(T1455="","",IF(J1455="巻足し","",IF(J1455="巻返し",VLOOKUP(F1455&amp;K1455&amp;M1455,製品マスタ!$M$5:$AE$4999,19,FALSE),IF(OR(J1455="リード付け",J1455="巻返しリード付け"),"",IF(J1455="スリット",VLOOKUP(F1455&amp;K1455&amp;R1455,製品マスタ!$N$5:$AE$4999,18,FALSE),""))))))</f>
        <v>1015</v>
      </c>
      <c r="Y1455" s="256">
        <f ca="1">IF(D1455="","",IF(T1455="","",VLOOKUP(D1455,契約台帳!$A$3:$Q$4986,17,FALSE)))</f>
        <v>2</v>
      </c>
      <c r="Z1455" s="256" t="str">
        <f ca="1">IF(D1455="","",IF(T1455="","",VLOOKUP(D1455,契約台帳!$A$3:$E$4986,5,FALSE)))</f>
        <v>リンテック㈱</v>
      </c>
      <c r="AA1455" s="54"/>
      <c r="AB1455" s="200"/>
      <c r="AC1455" s="31"/>
      <c r="AD1455" s="184"/>
      <c r="AE1455" s="51"/>
      <c r="AF1455" s="52"/>
      <c r="AG1455" s="41"/>
      <c r="AH1455" s="45"/>
      <c r="AI1455" s="28"/>
      <c r="AJ1455" s="28"/>
      <c r="AK1455" s="28"/>
      <c r="AL1455" s="28"/>
      <c r="AM1455" s="12"/>
      <c r="AN1455" s="12"/>
      <c r="AO1455" s="12"/>
      <c r="AP1455" s="12"/>
      <c r="AQ1455" s="12"/>
      <c r="AR1455" s="13"/>
      <c r="AS1455" s="14"/>
    </row>
    <row r="1456" spans="1:45" s="16" customFormat="1" ht="30.95" hidden="1" customHeight="1" x14ac:dyDescent="0.2">
      <c r="A1456" s="35"/>
      <c r="B1456" s="36"/>
      <c r="C1456" s="43"/>
      <c r="D1456" s="29"/>
      <c r="E1456" s="29"/>
      <c r="F1456" s="255"/>
      <c r="G1456" s="256"/>
      <c r="H1456" s="256"/>
      <c r="I1456" s="200"/>
      <c r="J1456" s="203"/>
      <c r="K1456" s="200"/>
      <c r="L1456" s="200"/>
      <c r="M1456" s="37"/>
      <c r="N1456" s="37"/>
      <c r="O1456" s="153"/>
      <c r="P1456" s="45"/>
      <c r="Q1456" s="54"/>
      <c r="R1456" s="260"/>
      <c r="S1456" s="258"/>
      <c r="T1456" s="258"/>
      <c r="U1456" s="38"/>
      <c r="V1456" s="261"/>
      <c r="W1456" s="256"/>
      <c r="X1456" s="256"/>
      <c r="Y1456" s="256"/>
      <c r="Z1456" s="256"/>
      <c r="AA1456" s="54"/>
      <c r="AB1456" s="200"/>
      <c r="AC1456" s="31"/>
      <c r="AD1456" s="184"/>
      <c r="AE1456" s="51"/>
      <c r="AF1456" s="52"/>
      <c r="AG1456" s="41"/>
      <c r="AH1456" s="45"/>
      <c r="AI1456" s="28"/>
      <c r="AJ1456" s="28"/>
      <c r="AK1456" s="28"/>
      <c r="AL1456" s="28"/>
      <c r="AM1456" s="12"/>
      <c r="AN1456" s="12"/>
      <c r="AO1456" s="12"/>
      <c r="AP1456" s="12"/>
      <c r="AQ1456" s="12"/>
      <c r="AR1456" s="13"/>
      <c r="AS1456" s="14"/>
    </row>
    <row r="1457" spans="1:45" s="16" customFormat="1" ht="30.95" hidden="1" customHeight="1" x14ac:dyDescent="0.2">
      <c r="A1457" s="35"/>
      <c r="B1457" s="36"/>
      <c r="C1457" s="43"/>
      <c r="D1457" s="29">
        <v>3735125</v>
      </c>
      <c r="E1457" s="29">
        <v>4141072</v>
      </c>
      <c r="F1457" s="255" t="str">
        <f>IF(D1457="","",VLOOKUP(D1457,契約台帳!$A$3:$K$4986,6,FALSE)&amp;VLOOKUP(D1457,契約台帳!$A$3:$K$4986,7,FALSE)&amp;VLOOKUP(D1457,契約台帳!$A$3:$K$4986,8,FALSE)&amp;VLOOKUP(D1457,契約台帳!$A$3:$K$4986,9,FALSE)&amp;VLOOKUP(D1457,契約台帳!$A$3:$K$4986,11,FALSE))</f>
        <v>3SNMCLBTETV0V</v>
      </c>
      <c r="G1457" s="256" t="str">
        <f>IF(D1457="","",VLOOKUP(F1457,製品マスタ!$G$5:$H$4999,2,FALSE))</f>
        <v>S</v>
      </c>
      <c r="H1457" s="256" t="str">
        <f>IF(D1457="","",VLOOKUP(F1457,製品マスタ!$G$5:$K$4999,5,FALSE))</f>
        <v>TETV0V</v>
      </c>
      <c r="I1457" s="200" t="str">
        <f>IF(D1457="","",VLOOKUP(F1457,製品マスタ!$G$5:$L$4999,6,FALSE))</f>
        <v>メタルミー　ＴＥＳ艶ＶＯＩＤＶ</v>
      </c>
      <c r="J1457" s="203" t="s">
        <v>447</v>
      </c>
      <c r="K1457" s="200">
        <f>IF(D1457="","",VLOOKUP(D1457,契約台帳!$A$3:$L$4986,12,FALSE))</f>
        <v>50</v>
      </c>
      <c r="L1457" s="200" t="str">
        <f>IF(D1457="","",INDEX(製品マスタ!$Q$5:$Q$4999,MATCH('S4'!F1457&amp;'S4'!K1457,製品マスタ!$AO$5:$AO$4999,0)))</f>
        <v>S28SEPA</v>
      </c>
      <c r="M1457" s="37">
        <v>1005</v>
      </c>
      <c r="N1457" s="37">
        <v>8200</v>
      </c>
      <c r="O1457" s="153">
        <v>1</v>
      </c>
      <c r="P1457" s="45">
        <v>1</v>
      </c>
      <c r="Q1457" s="54"/>
      <c r="R1457" s="257">
        <f ca="1">IF(D1457="","",IF(OFFSET(D1457,-1,0)&lt;&gt;"","",IF(OR(J1457="リード付け",J1457="巻足し",J1457="巻返しリード付け"),M1457,VLOOKUP(D1457,契約台帳!$A$3:$N$4986,14,FALSE))))</f>
        <v>1005</v>
      </c>
      <c r="S1457" s="258">
        <f ca="1">IF(D1457="","",IF(OFFSET(D1457,-1,0)&lt;&gt;"","",IF(OR(J1457="リード付け",J1457="巻足し",J1457="巻返しリード付け"),M1457,VLOOKUP(D1457,契約台帳!$A$3:$O$4986,15,FALSE))))</f>
        <v>1000</v>
      </c>
      <c r="T1457" s="258">
        <f ca="1">IF(D1457="","",IF(J1457="リード付け",N1457,IF(J1457="巻返しリード付け",N1457,IF(J1457="巻足し",N1457*P1457+OFFSET(N1457,1,0)*OFFSET(P1457,1,0),VLOOKUP(D1457,契約台帳!$A$3:$P$4986,16,FALSE)))))</f>
        <v>4100</v>
      </c>
      <c r="U1457" s="38">
        <v>2</v>
      </c>
      <c r="V1457" s="259">
        <f ca="1">IF(D1457="","",IF(OFFSET(D1457,-2,0)=D1457,"",VLOOKUP(D1457,契約台帳!$A$3:$R$4986,18,FALSE)))</f>
        <v>2</v>
      </c>
      <c r="W1457" s="256" t="str">
        <f ca="1">IF(D1457="","",IF(T1457="","",IF(OR(J1457="巻足し",J1457="巻返しリード付け"),"",IF(J1457="巻返し",VLOOKUP(F1457&amp;K1457&amp;M1457,製品マスタ!$M$5:$AD$4999,18,FALSE),IF(OR(J1457="リード付け",J1457="巻返しリード付け"),"原反コア",IF(J1457="スリット",VLOOKUP(F1457&amp;K1457&amp;R1457,製品マスタ!$N$5:$AD$4999,17,FALSE),""))))))</f>
        <v>6ｲﾝﾁSｺｱ</v>
      </c>
      <c r="X1457" s="256">
        <f ca="1">IF(D1457="","",IF(T1457="","",IF(J1457="巻足し","",IF(J1457="巻返し",VLOOKUP(F1457&amp;K1457&amp;M1457,製品マスタ!$M$5:$AE$4999,19,FALSE),IF(OR(J1457="リード付け",J1457="巻返しリード付け"),"",IF(J1457="スリット",VLOOKUP(F1457&amp;K1457&amp;R1457,製品マスタ!$N$5:$AE$4999,18,FALSE),""))))))</f>
        <v>1015</v>
      </c>
      <c r="Y1457" s="256">
        <f ca="1">IF(D1457="","",IF(T1457="","",VLOOKUP(D1457,契約台帳!$A$3:$Q$4986,17,FALSE)))</f>
        <v>2</v>
      </c>
      <c r="Z1457" s="256" t="str">
        <f ca="1">IF(D1457="","",IF(T1457="","",VLOOKUP(D1457,契約台帳!$A$3:$E$4986,5,FALSE)))</f>
        <v>リンテック㈱</v>
      </c>
      <c r="AA1457" s="54"/>
      <c r="AB1457" s="200"/>
      <c r="AC1457" s="31"/>
      <c r="AD1457" s="184"/>
      <c r="AE1457" s="51"/>
      <c r="AF1457" s="52"/>
      <c r="AG1457" s="41"/>
      <c r="AH1457" s="45"/>
      <c r="AI1457" s="28"/>
      <c r="AJ1457" s="28"/>
      <c r="AK1457" s="28"/>
      <c r="AL1457" s="28"/>
      <c r="AM1457" s="12"/>
      <c r="AN1457" s="12"/>
      <c r="AO1457" s="12"/>
      <c r="AP1457" s="12"/>
      <c r="AQ1457" s="12"/>
      <c r="AR1457" s="13"/>
      <c r="AS1457" s="14"/>
    </row>
    <row r="1458" spans="1:45" s="16" customFormat="1" ht="30.95" hidden="1" customHeight="1" x14ac:dyDescent="0.2">
      <c r="A1458" s="35"/>
      <c r="B1458" s="36"/>
      <c r="C1458" s="43"/>
      <c r="D1458" s="29"/>
      <c r="E1458" s="29"/>
      <c r="F1458" s="255"/>
      <c r="G1458" s="256"/>
      <c r="H1458" s="256"/>
      <c r="I1458" s="200"/>
      <c r="J1458" s="203"/>
      <c r="K1458" s="200"/>
      <c r="L1458" s="200"/>
      <c r="M1458" s="37"/>
      <c r="N1458" s="37"/>
      <c r="O1458" s="153"/>
      <c r="P1458" s="45"/>
      <c r="Q1458" s="54"/>
      <c r="R1458" s="260"/>
      <c r="S1458" s="258"/>
      <c r="T1458" s="258"/>
      <c r="U1458" s="38"/>
      <c r="V1458" s="261"/>
      <c r="W1458" s="256"/>
      <c r="X1458" s="256"/>
      <c r="Y1458" s="256"/>
      <c r="Z1458" s="256"/>
      <c r="AA1458" s="54"/>
      <c r="AB1458" s="200"/>
      <c r="AC1458" s="31"/>
      <c r="AD1458" s="184"/>
      <c r="AE1458" s="51"/>
      <c r="AF1458" s="52"/>
      <c r="AG1458" s="41"/>
      <c r="AH1458" s="45"/>
      <c r="AI1458" s="28"/>
      <c r="AJ1458" s="28"/>
      <c r="AK1458" s="28"/>
      <c r="AL1458" s="28"/>
      <c r="AM1458" s="12"/>
      <c r="AN1458" s="12"/>
      <c r="AO1458" s="12"/>
      <c r="AP1458" s="12"/>
      <c r="AQ1458" s="12"/>
      <c r="AR1458" s="13"/>
      <c r="AS1458" s="14"/>
    </row>
    <row r="1459" spans="1:45" s="16" customFormat="1" ht="30.95" hidden="1" customHeight="1" x14ac:dyDescent="0.2">
      <c r="A1459" s="35" t="s">
        <v>687</v>
      </c>
      <c r="B1459" s="36" t="s">
        <v>444</v>
      </c>
      <c r="C1459" s="43"/>
      <c r="D1459" s="29">
        <v>3735113</v>
      </c>
      <c r="E1459" s="29">
        <v>4141071</v>
      </c>
      <c r="F1459" s="255" t="str">
        <f>IF(D1459="","",VLOOKUP(D1459,契約台帳!$A$3:$K$4986,6,FALSE)&amp;VLOOKUP(D1459,契約台帳!$A$3:$K$4986,7,FALSE)&amp;VLOOKUP(D1459,契約台帳!$A$3:$K$4986,8,FALSE)&amp;VLOOKUP(D1459,契約台帳!$A$3:$K$4986,9,FALSE)&amp;VLOOKUP(D1459,契約台帳!$A$3:$K$4986,11,FALSE))</f>
        <v>3SNMCLBNGKVB</v>
      </c>
      <c r="G1459" s="256" t="str">
        <f>IF(D1459="","",VLOOKUP(F1459,製品マスタ!$G$5:$H$4999,2,FALSE))</f>
        <v>S</v>
      </c>
      <c r="H1459" s="256" t="str">
        <f>IF(D1459="","",VLOOKUP(F1459,製品マスタ!$G$5:$K$4999,5,FALSE))</f>
        <v>NGKVB</v>
      </c>
      <c r="I1459" s="200" t="str">
        <f>IF(D1459="","",VLOOKUP(F1459,製品マスタ!$G$5:$L$4999,6,FALSE))</f>
        <v>メタルミー　ネーマー銀消　ＶＢ</v>
      </c>
      <c r="J1459" s="203" t="s">
        <v>447</v>
      </c>
      <c r="K1459" s="200">
        <f>IF(D1459="","",VLOOKUP(D1459,契約台帳!$A$3:$L$4986,12,FALSE))</f>
        <v>50</v>
      </c>
      <c r="L1459" s="200" t="str">
        <f>IF(D1459="","",INDEX(製品マスタ!$Q$5:$Q$4999,MATCH('S4'!F1459&amp;'S4'!K1459,製品マスタ!$AO$5:$AO$4999,0)))</f>
        <v>MAT</v>
      </c>
      <c r="M1459" s="37">
        <v>1005</v>
      </c>
      <c r="N1459" s="37">
        <v>12300</v>
      </c>
      <c r="O1459" s="153">
        <v>2</v>
      </c>
      <c r="P1459" s="45">
        <v>2</v>
      </c>
      <c r="Q1459" s="54"/>
      <c r="R1459" s="257">
        <f ca="1">IF(D1459="","",IF(OFFSET(D1459,-1,0)&lt;&gt;"","",IF(OR(J1459="リード付け",J1459="巻足し",J1459="巻返しリード付け"),M1459,VLOOKUP(D1459,契約台帳!$A$3:$N$4986,14,FALSE))))</f>
        <v>1005</v>
      </c>
      <c r="S1459" s="258">
        <f ca="1">IF(D1459="","",IF(OFFSET(D1459,-1,0)&lt;&gt;"","",IF(OR(J1459="リード付け",J1459="巻足し",J1459="巻返しリード付け"),M1459,VLOOKUP(D1459,契約台帳!$A$3:$O$4986,15,FALSE))))</f>
        <v>1000</v>
      </c>
      <c r="T1459" s="258">
        <f ca="1">IF(D1459="","",IF(J1459="リード付け",N1459,IF(J1459="巻返しリード付け",N1459,IF(J1459="巻足し",N1459*P1459+OFFSET(N1459,1,0)*OFFSET(P1459,1,0),VLOOKUP(D1459,契約台帳!$A$3:$P$4986,16,FALSE)))))</f>
        <v>4100</v>
      </c>
      <c r="U1459" s="38">
        <v>6</v>
      </c>
      <c r="V1459" s="259">
        <f ca="1">IF(D1459="","",IF(OFFSET(D1459,-2,0)=D1459,"",VLOOKUP(D1459,契約台帳!$A$3:$R$4986,18,FALSE)))</f>
        <v>6</v>
      </c>
      <c r="W1459" s="256" t="str">
        <f ca="1">IF(D1459="","",IF(T1459="","",IF(OR(J1459="巻足し",J1459="巻返しリード付け"),"",IF(J1459="巻返し",VLOOKUP(F1459&amp;K1459&amp;M1459,製品マスタ!$M$5:$AD$4999,18,FALSE),IF(OR(J1459="リード付け",J1459="巻返しリード付け"),"原反コア",IF(J1459="スリット",VLOOKUP(F1459&amp;K1459&amp;R1459,製品マスタ!$N$5:$AD$4999,17,FALSE),""))))))</f>
        <v>6ｲﾝﾁMｺｱ</v>
      </c>
      <c r="X1459" s="256">
        <f ca="1">IF(D1459="","",IF(T1459="","",IF(J1459="巻足し","",IF(J1459="巻返し",VLOOKUP(F1459&amp;K1459&amp;M1459,製品マスタ!$M$5:$AE$4999,19,FALSE),IF(OR(J1459="リード付け",J1459="巻返しリード付け"),"",IF(J1459="スリット",VLOOKUP(F1459&amp;K1459&amp;R1459,製品マスタ!$N$5:$AE$4999,18,FALSE),""))))))</f>
        <v>1020</v>
      </c>
      <c r="Y1459" s="256">
        <f ca="1">IF(D1459="","",IF(T1459="","",VLOOKUP(D1459,契約台帳!$A$3:$Q$4986,17,FALSE)))</f>
        <v>2</v>
      </c>
      <c r="Z1459" s="256" t="str">
        <f ca="1">IF(D1459="","",IF(T1459="","",VLOOKUP(D1459,契約台帳!$A$3:$E$4986,5,FALSE)))</f>
        <v>リンテック㈱</v>
      </c>
      <c r="AA1459" s="54"/>
      <c r="AB1459" s="200"/>
      <c r="AC1459" s="31"/>
      <c r="AD1459" s="184"/>
      <c r="AE1459" s="51"/>
      <c r="AF1459" s="52"/>
      <c r="AG1459" s="41"/>
      <c r="AH1459" s="45"/>
      <c r="AI1459" s="28"/>
      <c r="AJ1459" s="28"/>
      <c r="AK1459" s="28"/>
      <c r="AL1459" s="28"/>
      <c r="AM1459" s="12"/>
      <c r="AN1459" s="12"/>
      <c r="AO1459" s="12"/>
      <c r="AP1459" s="12"/>
      <c r="AQ1459" s="12"/>
      <c r="AR1459" s="13"/>
      <c r="AS1459" s="14"/>
    </row>
    <row r="1460" spans="1:45" s="16" customFormat="1" ht="30.95" hidden="1" customHeight="1" x14ac:dyDescent="0.2">
      <c r="A1460" s="35"/>
      <c r="B1460" s="36"/>
      <c r="C1460" s="43"/>
      <c r="D1460" s="29"/>
      <c r="E1460" s="29"/>
      <c r="F1460" s="255"/>
      <c r="G1460" s="256"/>
      <c r="H1460" s="256"/>
      <c r="I1460" s="200"/>
      <c r="J1460" s="203"/>
      <c r="K1460" s="200"/>
      <c r="L1460" s="200"/>
      <c r="M1460" s="37"/>
      <c r="N1460" s="37"/>
      <c r="O1460" s="153"/>
      <c r="P1460" s="45"/>
      <c r="Q1460" s="54"/>
      <c r="R1460" s="260"/>
      <c r="S1460" s="258"/>
      <c r="T1460" s="258"/>
      <c r="U1460" s="38"/>
      <c r="V1460" s="261"/>
      <c r="W1460" s="256"/>
      <c r="X1460" s="256"/>
      <c r="Y1460" s="256"/>
      <c r="Z1460" s="256"/>
      <c r="AA1460" s="54"/>
      <c r="AB1460" s="200"/>
      <c r="AC1460" s="31"/>
      <c r="AD1460" s="184"/>
      <c r="AE1460" s="51"/>
      <c r="AF1460" s="52"/>
      <c r="AG1460" s="41"/>
      <c r="AH1460" s="45"/>
      <c r="AI1460" s="28"/>
      <c r="AJ1460" s="28"/>
      <c r="AK1460" s="28"/>
      <c r="AL1460" s="28"/>
      <c r="AM1460" s="12"/>
      <c r="AN1460" s="12"/>
      <c r="AO1460" s="12"/>
      <c r="AP1460" s="12"/>
      <c r="AQ1460" s="12"/>
      <c r="AR1460" s="13"/>
      <c r="AS1460" s="14"/>
    </row>
    <row r="1461" spans="1:45" s="16" customFormat="1" ht="30.95" hidden="1" customHeight="1" x14ac:dyDescent="0.2">
      <c r="A1461" s="35"/>
      <c r="B1461" s="36"/>
      <c r="C1461" s="43"/>
      <c r="D1461" s="29">
        <v>3735122</v>
      </c>
      <c r="E1461" s="29">
        <v>4141064</v>
      </c>
      <c r="F1461" s="255" t="str">
        <f>IF(D1461="","",VLOOKUP(D1461,契約台帳!$A$3:$K$4986,6,FALSE)&amp;VLOOKUP(D1461,契約台帳!$A$3:$K$4986,7,FALSE)&amp;VLOOKUP(D1461,契約台帳!$A$3:$K$4986,8,FALSE)&amp;VLOOKUP(D1461,契約台帳!$A$3:$K$4986,9,FALSE)&amp;VLOOKUP(D1461,契約台帳!$A$3:$K$4986,11,FALSE))</f>
        <v>33SSNMCLBTEKKFV</v>
      </c>
      <c r="G1461" s="256" t="str">
        <f>IF(D1461="","",VLOOKUP(F1461,製品マスタ!$G$5:$H$4999,2,FALSE))</f>
        <v>S</v>
      </c>
      <c r="H1461" s="256" t="str">
        <f>IF(D1461="","",VLOOKUP(F1461,製品マスタ!$G$5:$K$4999,5,FALSE))</f>
        <v>TEKKFV</v>
      </c>
      <c r="I1461" s="200" t="str">
        <f>IF(D1461="","",VLOOKUP(F1461,製品マスタ!$G$5:$L$4999,6,FALSE))</f>
        <v>メタルミー　ＴＥＳ消開封　Ｖ</v>
      </c>
      <c r="J1461" s="203" t="s">
        <v>447</v>
      </c>
      <c r="K1461" s="200">
        <f>IF(D1461="","",VLOOKUP(D1461,契約台帳!$A$3:$L$4986,12,FALSE))</f>
        <v>50</v>
      </c>
      <c r="L1461" s="200" t="str">
        <f>IF(D1461="","",INDEX(製品マスタ!$Q$5:$Q$4999,MATCH('S4'!F1461&amp;'S4'!K1461,製品マスタ!$AO$5:$AO$4999,0)))</f>
        <v>X44SEPA</v>
      </c>
      <c r="M1461" s="37">
        <v>1005</v>
      </c>
      <c r="N1461" s="37">
        <v>8000</v>
      </c>
      <c r="O1461" s="153">
        <v>2</v>
      </c>
      <c r="P1461" s="45">
        <v>2</v>
      </c>
      <c r="Q1461" s="54"/>
      <c r="R1461" s="257">
        <f ca="1">IF(D1461="","",IF(OFFSET(D1461,-1,0)&lt;&gt;"","",IF(OR(J1461="リード付け",J1461="巻足し",J1461="巻返しリード付け"),M1461,VLOOKUP(D1461,契約台帳!$A$3:$N$4986,14,FALSE))))</f>
        <v>1005</v>
      </c>
      <c r="S1461" s="258">
        <f ca="1">IF(D1461="","",IF(OFFSET(D1461,-1,0)&lt;&gt;"","",IF(OR(J1461="リード付け",J1461="巻足し",J1461="巻返しリード付け"),M1461,VLOOKUP(D1461,契約台帳!$A$3:$O$4986,15,FALSE))))</f>
        <v>1000</v>
      </c>
      <c r="T1461" s="258">
        <f ca="1">IF(D1461="","",IF(J1461="リード付け",N1461,IF(J1461="巻返しリード付け",N1461,IF(J1461="巻足し",N1461*P1461+OFFSET(N1461,1,0)*OFFSET(P1461,1,0),VLOOKUP(D1461,契約台帳!$A$3:$P$4986,16,FALSE)))))</f>
        <v>4000</v>
      </c>
      <c r="U1461" s="38">
        <v>4</v>
      </c>
      <c r="V1461" s="259">
        <f ca="1">IF(D1461="","",IF(OFFSET(D1461,-2,0)=D1461,"",VLOOKUP(D1461,契約台帳!$A$3:$R$4986,18,FALSE)))</f>
        <v>4</v>
      </c>
      <c r="W1461" s="256" t="str">
        <f ca="1">IF(D1461="","",IF(T1461="","",IF(OR(J1461="巻足し",J1461="巻返しリード付け"),"",IF(J1461="巻返し",VLOOKUP(F1461&amp;K1461&amp;M1461,製品マスタ!$M$5:$AD$4999,18,FALSE),IF(OR(J1461="リード付け",J1461="巻返しリード付け"),"原反コア",IF(J1461="スリット",VLOOKUP(F1461&amp;K1461&amp;R1461,製品マスタ!$N$5:$AD$4999,17,FALSE),""))))))</f>
        <v>6ｲﾝﾁSｺｱ</v>
      </c>
      <c r="X1461" s="256">
        <f ca="1">IF(D1461="","",IF(T1461="","",IF(J1461="巻足し","",IF(J1461="巻返し",VLOOKUP(F1461&amp;K1461&amp;M1461,製品マスタ!$M$5:$AE$4999,19,FALSE),IF(OR(J1461="リード付け",J1461="巻返しリード付け"),"",IF(J1461="スリット",VLOOKUP(F1461&amp;K1461&amp;R1461,製品マスタ!$N$5:$AE$4999,18,FALSE),""))))))</f>
        <v>1015</v>
      </c>
      <c r="Y1461" s="256">
        <f ca="1">IF(D1461="","",IF(T1461="","",VLOOKUP(D1461,契約台帳!$A$3:$Q$4986,17,FALSE)))</f>
        <v>2</v>
      </c>
      <c r="Z1461" s="256" t="str">
        <f ca="1">IF(D1461="","",IF(T1461="","",VLOOKUP(D1461,契約台帳!$A$3:$E$4986,5,FALSE)))</f>
        <v>リンテック㈱</v>
      </c>
      <c r="AA1461" s="54"/>
      <c r="AB1461" s="200"/>
      <c r="AC1461" s="31"/>
      <c r="AD1461" s="184"/>
      <c r="AE1461" s="51"/>
      <c r="AF1461" s="52"/>
      <c r="AG1461" s="41"/>
      <c r="AH1461" s="45"/>
      <c r="AI1461" s="28"/>
      <c r="AJ1461" s="28"/>
      <c r="AK1461" s="28"/>
      <c r="AL1461" s="28"/>
      <c r="AM1461" s="12"/>
      <c r="AN1461" s="12"/>
      <c r="AO1461" s="12"/>
      <c r="AP1461" s="12"/>
      <c r="AQ1461" s="12"/>
      <c r="AR1461" s="13"/>
      <c r="AS1461" s="14"/>
    </row>
    <row r="1462" spans="1:45" s="16" customFormat="1" ht="30.95" hidden="1" customHeight="1" x14ac:dyDescent="0.2">
      <c r="A1462" s="35"/>
      <c r="B1462" s="36"/>
      <c r="C1462" s="43"/>
      <c r="D1462" s="29"/>
      <c r="E1462" s="29"/>
      <c r="F1462" s="255"/>
      <c r="G1462" s="256"/>
      <c r="H1462" s="256"/>
      <c r="I1462" s="200"/>
      <c r="J1462" s="203"/>
      <c r="K1462" s="200"/>
      <c r="L1462" s="200"/>
      <c r="M1462" s="37"/>
      <c r="N1462" s="37"/>
      <c r="O1462" s="153"/>
      <c r="P1462" s="45"/>
      <c r="Q1462" s="54"/>
      <c r="R1462" s="260"/>
      <c r="S1462" s="258"/>
      <c r="T1462" s="258"/>
      <c r="U1462" s="38"/>
      <c r="V1462" s="261"/>
      <c r="W1462" s="256"/>
      <c r="X1462" s="256"/>
      <c r="Y1462" s="256"/>
      <c r="Z1462" s="256"/>
      <c r="AA1462" s="54"/>
      <c r="AB1462" s="200"/>
      <c r="AC1462" s="31"/>
      <c r="AD1462" s="184"/>
      <c r="AE1462" s="51"/>
      <c r="AF1462" s="52"/>
      <c r="AG1462" s="41"/>
      <c r="AH1462" s="45"/>
      <c r="AI1462" s="28"/>
      <c r="AJ1462" s="28"/>
      <c r="AK1462" s="28"/>
      <c r="AL1462" s="28"/>
      <c r="AM1462" s="12"/>
      <c r="AN1462" s="12"/>
      <c r="AO1462" s="12"/>
      <c r="AP1462" s="12"/>
      <c r="AQ1462" s="12"/>
      <c r="AR1462" s="13"/>
      <c r="AS1462" s="14"/>
    </row>
    <row r="1463" spans="1:45" s="16" customFormat="1" ht="30.95" hidden="1" customHeight="1" x14ac:dyDescent="0.2">
      <c r="A1463" s="35"/>
      <c r="B1463" s="36"/>
      <c r="C1463" s="43"/>
      <c r="D1463" s="29">
        <v>3735123</v>
      </c>
      <c r="E1463" s="29">
        <v>4141065</v>
      </c>
      <c r="F1463" s="255" t="str">
        <f>IF(D1463="","",VLOOKUP(D1463,契約台帳!$A$3:$K$4986,6,FALSE)&amp;VLOOKUP(D1463,契約台帳!$A$3:$K$4986,7,FALSE)&amp;VLOOKUP(D1463,契約台帳!$A$3:$K$4986,8,FALSE)&amp;VLOOKUP(D1463,契約台帳!$A$3:$K$4986,9,FALSE)&amp;VLOOKUP(D1463,契約台帳!$A$3:$K$4986,11,FALSE))</f>
        <v>33SSNMCLBTEKV0V</v>
      </c>
      <c r="G1463" s="256" t="str">
        <f>IF(D1463="","",VLOOKUP(F1463,製品マスタ!$G$5:$H$4999,2,FALSE))</f>
        <v>S</v>
      </c>
      <c r="H1463" s="256" t="str">
        <f>IF(D1463="","",VLOOKUP(F1463,製品マスタ!$G$5:$K$4999,5,FALSE))</f>
        <v>TEKV0V</v>
      </c>
      <c r="I1463" s="200" t="str">
        <f>IF(D1463="","",VLOOKUP(F1463,製品マスタ!$G$5:$L$4999,6,FALSE))</f>
        <v>メタルミー　ＴＥ－Ｓ消　ＶＯＩＤ　Ｖ</v>
      </c>
      <c r="J1463" s="203" t="s">
        <v>447</v>
      </c>
      <c r="K1463" s="200">
        <f>IF(D1463="","",VLOOKUP(D1463,契約台帳!$A$3:$L$4986,12,FALSE))</f>
        <v>50</v>
      </c>
      <c r="L1463" s="200" t="str">
        <f>IF(D1463="","",INDEX(製品マスタ!$Q$5:$Q$4999,MATCH('S4'!F1463&amp;'S4'!K1463,製品マスタ!$AO$5:$AO$4999,0)))</f>
        <v>X44SEPA</v>
      </c>
      <c r="M1463" s="37">
        <v>1005</v>
      </c>
      <c r="N1463" s="37">
        <v>12000</v>
      </c>
      <c r="O1463" s="153">
        <v>1</v>
      </c>
      <c r="P1463" s="45">
        <v>1</v>
      </c>
      <c r="Q1463" s="54"/>
      <c r="R1463" s="257">
        <f ca="1">IF(D1463="","",IF(OFFSET(D1463,-1,0)&lt;&gt;"","",IF(OR(J1463="リード付け",J1463="巻足し",J1463="巻返しリード付け"),M1463,VLOOKUP(D1463,契約台帳!$A$3:$N$4986,14,FALSE))))</f>
        <v>1005</v>
      </c>
      <c r="S1463" s="258">
        <f ca="1">IF(D1463="","",IF(OFFSET(D1463,-1,0)&lt;&gt;"","",IF(OR(J1463="リード付け",J1463="巻足し",J1463="巻返しリード付け"),M1463,VLOOKUP(D1463,契約台帳!$A$3:$O$4986,15,FALSE))))</f>
        <v>1000</v>
      </c>
      <c r="T1463" s="258">
        <f ca="1">IF(D1463="","",IF(J1463="リード付け",N1463,IF(J1463="巻返しリード付け",N1463,IF(J1463="巻足し",N1463*P1463+OFFSET(N1463,1,0)*OFFSET(P1463,1,0),VLOOKUP(D1463,契約台帳!$A$3:$P$4986,16,FALSE)))))</f>
        <v>4000</v>
      </c>
      <c r="U1463" s="38">
        <v>3</v>
      </c>
      <c r="V1463" s="259">
        <f ca="1">IF(D1463="","",IF(OFFSET(D1463,-2,0)=D1463,"",VLOOKUP(D1463,契約台帳!$A$3:$R$4986,18,FALSE)))</f>
        <v>5</v>
      </c>
      <c r="W1463" s="256" t="str">
        <f ca="1">IF(D1463="","",IF(T1463="","",IF(OR(J1463="巻足し",J1463="巻返しリード付け"),"",IF(J1463="巻返し",VLOOKUP(F1463&amp;K1463&amp;M1463,製品マスタ!$M$5:$AD$4999,18,FALSE),IF(OR(J1463="リード付け",J1463="巻返しリード付け"),"原反コア",IF(J1463="スリット",VLOOKUP(F1463&amp;K1463&amp;R1463,製品マスタ!$N$5:$AD$4999,17,FALSE),""))))))</f>
        <v>6ｲﾝﾁSｺｱ</v>
      </c>
      <c r="X1463" s="256">
        <f ca="1">IF(D1463="","",IF(T1463="","",IF(J1463="巻足し","",IF(J1463="巻返し",VLOOKUP(F1463&amp;K1463&amp;M1463,製品マスタ!$M$5:$AE$4999,19,FALSE),IF(OR(J1463="リード付け",J1463="巻返しリード付け"),"",IF(J1463="スリット",VLOOKUP(F1463&amp;K1463&amp;R1463,製品マスタ!$N$5:$AE$4999,18,FALSE),""))))))</f>
        <v>1015</v>
      </c>
      <c r="Y1463" s="256">
        <f ca="1">IF(D1463="","",IF(T1463="","",VLOOKUP(D1463,契約台帳!$A$3:$Q$4986,17,FALSE)))</f>
        <v>2</v>
      </c>
      <c r="Z1463" s="256" t="str">
        <f ca="1">IF(D1463="","",IF(T1463="","",VLOOKUP(D1463,契約台帳!$A$3:$E$4986,5,FALSE)))</f>
        <v>リンテック㈱</v>
      </c>
      <c r="AA1463" s="54"/>
      <c r="AB1463" s="200"/>
      <c r="AC1463" s="31"/>
      <c r="AD1463" s="184"/>
      <c r="AE1463" s="51"/>
      <c r="AF1463" s="52"/>
      <c r="AG1463" s="41"/>
      <c r="AH1463" s="45"/>
      <c r="AI1463" s="28"/>
      <c r="AJ1463" s="28"/>
      <c r="AK1463" s="28"/>
      <c r="AL1463" s="28"/>
      <c r="AM1463" s="12"/>
      <c r="AN1463" s="12"/>
      <c r="AO1463" s="12"/>
      <c r="AP1463" s="12"/>
      <c r="AQ1463" s="12"/>
      <c r="AR1463" s="13"/>
      <c r="AS1463" s="14"/>
    </row>
    <row r="1464" spans="1:45" s="16" customFormat="1" ht="30.95" hidden="1" customHeight="1" x14ac:dyDescent="0.2">
      <c r="A1464" s="35"/>
      <c r="B1464" s="36"/>
      <c r="C1464" s="43"/>
      <c r="D1464" s="29"/>
      <c r="E1464" s="29"/>
      <c r="F1464" s="255"/>
      <c r="G1464" s="256"/>
      <c r="H1464" s="256"/>
      <c r="I1464" s="200"/>
      <c r="J1464" s="203"/>
      <c r="K1464" s="200"/>
      <c r="L1464" s="200"/>
      <c r="M1464" s="37"/>
      <c r="N1464" s="37"/>
      <c r="O1464" s="153"/>
      <c r="P1464" s="45"/>
      <c r="Q1464" s="54"/>
      <c r="R1464" s="260"/>
      <c r="S1464" s="258"/>
      <c r="T1464" s="258"/>
      <c r="U1464" s="38"/>
      <c r="V1464" s="261"/>
      <c r="W1464" s="256"/>
      <c r="X1464" s="256"/>
      <c r="Y1464" s="256"/>
      <c r="Z1464" s="256"/>
      <c r="AA1464" s="54"/>
      <c r="AB1464" s="200"/>
      <c r="AC1464" s="31"/>
      <c r="AD1464" s="184"/>
      <c r="AE1464" s="51"/>
      <c r="AF1464" s="52"/>
      <c r="AG1464" s="41"/>
      <c r="AH1464" s="45"/>
      <c r="AI1464" s="28"/>
      <c r="AJ1464" s="28"/>
      <c r="AK1464" s="28"/>
      <c r="AL1464" s="28"/>
      <c r="AM1464" s="12"/>
      <c r="AN1464" s="12"/>
      <c r="AO1464" s="12"/>
      <c r="AP1464" s="12"/>
      <c r="AQ1464" s="12"/>
      <c r="AR1464" s="13"/>
      <c r="AS1464" s="14"/>
    </row>
    <row r="1465" spans="1:45" s="16" customFormat="1" ht="30.95" hidden="1" customHeight="1" x14ac:dyDescent="0.2">
      <c r="A1465" s="35" t="s">
        <v>732</v>
      </c>
      <c r="B1465" s="36" t="s">
        <v>445</v>
      </c>
      <c r="C1465" s="43"/>
      <c r="D1465" s="29">
        <v>3735123</v>
      </c>
      <c r="E1465" s="29">
        <v>4141065</v>
      </c>
      <c r="F1465" s="255" t="str">
        <f>IF(D1465="","",VLOOKUP(D1465,契約台帳!$A$3:$K$4986,6,FALSE)&amp;VLOOKUP(D1465,契約台帳!$A$3:$K$4986,7,FALSE)&amp;VLOOKUP(D1465,契約台帳!$A$3:$K$4986,8,FALSE)&amp;VLOOKUP(D1465,契約台帳!$A$3:$K$4986,9,FALSE)&amp;VLOOKUP(D1465,契約台帳!$A$3:$K$4986,11,FALSE))</f>
        <v>33SSNMCLBTEKV0V</v>
      </c>
      <c r="G1465" s="256" t="str">
        <f>IF(D1465="","",VLOOKUP(F1465,製品マスタ!$G$5:$H$4999,2,FALSE))</f>
        <v>S</v>
      </c>
      <c r="H1465" s="256" t="str">
        <f>IF(D1465="","",VLOOKUP(F1465,製品マスタ!$G$5:$K$4999,5,FALSE))</f>
        <v>TEKV0V</v>
      </c>
      <c r="I1465" s="200" t="str">
        <f>IF(D1465="","",VLOOKUP(F1465,製品マスタ!$G$5:$L$4999,6,FALSE))</f>
        <v>メタルミー　ＴＥ－Ｓ消　ＶＯＩＤ　Ｖ</v>
      </c>
      <c r="J1465" s="203" t="s">
        <v>447</v>
      </c>
      <c r="K1465" s="200">
        <f>IF(D1465="","",VLOOKUP(D1465,契約台帳!$A$3:$L$4986,12,FALSE))</f>
        <v>50</v>
      </c>
      <c r="L1465" s="200" t="str">
        <f>IF(D1465="","",INDEX(製品マスタ!$Q$5:$Q$4999,MATCH('S4'!F1465&amp;'S4'!K1465,製品マスタ!$AO$5:$AO$4999,0)))</f>
        <v>X44SEPA</v>
      </c>
      <c r="M1465" s="37">
        <v>1005</v>
      </c>
      <c r="N1465" s="37">
        <v>8000</v>
      </c>
      <c r="O1465" s="153">
        <v>1</v>
      </c>
      <c r="P1465" s="45">
        <v>1</v>
      </c>
      <c r="Q1465" s="54"/>
      <c r="R1465" s="257">
        <f ca="1">IF(D1465="","",IF(OFFSET(D1465,-1,0)&lt;&gt;"","",IF(OR(J1465="リード付け",J1465="巻足し",J1465="巻返しリード付け"),M1465,VLOOKUP(D1465,契約台帳!$A$3:$N$4986,14,FALSE))))</f>
        <v>1005</v>
      </c>
      <c r="S1465" s="258">
        <f ca="1">IF(D1465="","",IF(OFFSET(D1465,-1,0)&lt;&gt;"","",IF(OR(J1465="リード付け",J1465="巻足し",J1465="巻返しリード付け"),M1465,VLOOKUP(D1465,契約台帳!$A$3:$O$4986,15,FALSE))))</f>
        <v>1000</v>
      </c>
      <c r="T1465" s="258">
        <f ca="1">IF(D1465="","",IF(J1465="リード付け",N1465,IF(J1465="巻返しリード付け",N1465,IF(J1465="巻足し",N1465*P1465+OFFSET(N1465,1,0)*OFFSET(P1465,1,0),VLOOKUP(D1465,契約台帳!$A$3:$P$4986,16,FALSE)))))</f>
        <v>4000</v>
      </c>
      <c r="U1465" s="38">
        <v>2</v>
      </c>
      <c r="V1465" s="259" t="str">
        <f ca="1">IF(D1465="","",IF(OFFSET(D1465,-2,0)=D1465,"",VLOOKUP(D1465,契約台帳!$A$3:$R$4986,18,FALSE)))</f>
        <v/>
      </c>
      <c r="W1465" s="256" t="str">
        <f ca="1">IF(D1465="","",IF(T1465="","",IF(OR(J1465="巻足し",J1465="巻返しリード付け"),"",IF(J1465="巻返し",VLOOKUP(F1465&amp;K1465&amp;M1465,製品マスタ!$M$5:$AD$4999,18,FALSE),IF(OR(J1465="リード付け",J1465="巻返しリード付け"),"原反コア",IF(J1465="スリット",VLOOKUP(F1465&amp;K1465&amp;R1465,製品マスタ!$N$5:$AD$4999,17,FALSE),""))))))</f>
        <v>6ｲﾝﾁSｺｱ</v>
      </c>
      <c r="X1465" s="256">
        <f ca="1">IF(D1465="","",IF(T1465="","",IF(J1465="巻足し","",IF(J1465="巻返し",VLOOKUP(F1465&amp;K1465&amp;M1465,製品マスタ!$M$5:$AE$4999,19,FALSE),IF(OR(J1465="リード付け",J1465="巻返しリード付け"),"",IF(J1465="スリット",VLOOKUP(F1465&amp;K1465&amp;R1465,製品マスタ!$N$5:$AE$4999,18,FALSE),""))))))</f>
        <v>1015</v>
      </c>
      <c r="Y1465" s="256">
        <f ca="1">IF(D1465="","",IF(T1465="","",VLOOKUP(D1465,契約台帳!$A$3:$Q$4986,17,FALSE)))</f>
        <v>2</v>
      </c>
      <c r="Z1465" s="256" t="str">
        <f ca="1">IF(D1465="","",IF(T1465="","",VLOOKUP(D1465,契約台帳!$A$3:$E$4986,5,FALSE)))</f>
        <v>リンテック㈱</v>
      </c>
      <c r="AA1465" s="54"/>
      <c r="AB1465" s="200"/>
      <c r="AC1465" s="31"/>
      <c r="AD1465" s="184"/>
      <c r="AE1465" s="51"/>
      <c r="AF1465" s="52"/>
      <c r="AG1465" s="41"/>
      <c r="AH1465" s="45"/>
      <c r="AI1465" s="28"/>
      <c r="AJ1465" s="28"/>
      <c r="AK1465" s="28"/>
      <c r="AL1465" s="28"/>
      <c r="AM1465" s="12"/>
      <c r="AN1465" s="12"/>
      <c r="AO1465" s="12"/>
      <c r="AP1465" s="12"/>
      <c r="AQ1465" s="12"/>
      <c r="AR1465" s="13"/>
      <c r="AS1465" s="14"/>
    </row>
    <row r="1466" spans="1:45" s="16" customFormat="1" ht="30.95" hidden="1" customHeight="1" x14ac:dyDescent="0.2">
      <c r="A1466" s="35"/>
      <c r="B1466" s="36"/>
      <c r="C1466" s="43"/>
      <c r="D1466" s="29"/>
      <c r="E1466" s="29"/>
      <c r="F1466" s="255"/>
      <c r="G1466" s="256"/>
      <c r="H1466" s="256"/>
      <c r="I1466" s="200"/>
      <c r="J1466" s="203"/>
      <c r="K1466" s="200"/>
      <c r="L1466" s="200"/>
      <c r="M1466" s="37"/>
      <c r="N1466" s="37"/>
      <c r="O1466" s="153"/>
      <c r="P1466" s="45"/>
      <c r="Q1466" s="54"/>
      <c r="R1466" s="260"/>
      <c r="S1466" s="258"/>
      <c r="T1466" s="258"/>
      <c r="U1466" s="38"/>
      <c r="V1466" s="261"/>
      <c r="W1466" s="256"/>
      <c r="X1466" s="256"/>
      <c r="Y1466" s="256"/>
      <c r="Z1466" s="256"/>
      <c r="AA1466" s="54"/>
      <c r="AB1466" s="200"/>
      <c r="AC1466" s="31"/>
      <c r="AD1466" s="184"/>
      <c r="AE1466" s="51"/>
      <c r="AF1466" s="52"/>
      <c r="AG1466" s="41"/>
      <c r="AH1466" s="45"/>
      <c r="AI1466" s="28"/>
      <c r="AJ1466" s="28"/>
      <c r="AK1466" s="28"/>
      <c r="AL1466" s="28"/>
      <c r="AM1466" s="12"/>
      <c r="AN1466" s="12"/>
      <c r="AO1466" s="12"/>
      <c r="AP1466" s="12"/>
      <c r="AQ1466" s="12"/>
      <c r="AR1466" s="13"/>
      <c r="AS1466" s="14"/>
    </row>
    <row r="1467" spans="1:45" s="16" customFormat="1" ht="30.95" hidden="1" customHeight="1" x14ac:dyDescent="0.2">
      <c r="A1467" s="35"/>
      <c r="B1467" s="36"/>
      <c r="C1467" s="43"/>
      <c r="D1467" s="29">
        <v>3735129</v>
      </c>
      <c r="E1467" s="29">
        <v>4141073</v>
      </c>
      <c r="F1467" s="255" t="str">
        <f>IF(D1467="","",VLOOKUP(D1467,契約台帳!$A$3:$K$4986,6,FALSE)&amp;VLOOKUP(D1467,契約台帳!$A$3:$K$4986,7,FALSE)&amp;VLOOKUP(D1467,契約台帳!$A$3:$K$4986,8,FALSE)&amp;VLOOKUP(D1467,契約台帳!$A$3:$K$4986,9,FALSE)&amp;VLOOKUP(D1467,契約台帳!$A$3:$K$4986,11,FALSE))</f>
        <v>3TNMCLBHLGKJV</v>
      </c>
      <c r="G1467" s="256" t="str">
        <f>IF(D1467="","",VLOOKUP(F1467,製品マスタ!$G$5:$H$4999,2,FALSE))</f>
        <v>T</v>
      </c>
      <c r="H1467" s="256" t="str">
        <f>IF(D1467="","",VLOOKUP(F1467,製品マスタ!$G$5:$K$4999,5,FALSE))</f>
        <v>HLGKJV</v>
      </c>
      <c r="I1467" s="200" t="str">
        <f>IF(D1467="","",VLOOKUP(F1467,製品マスタ!$G$5:$L$4999,6,FALSE))</f>
        <v>メタルミー　ヘヤライン　銀消Ｖ</v>
      </c>
      <c r="J1467" s="203" t="s">
        <v>447</v>
      </c>
      <c r="K1467" s="200">
        <f>IF(D1467="","",VLOOKUP(D1467,契約台帳!$A$3:$L$4986,12,FALSE))</f>
        <v>50</v>
      </c>
      <c r="L1467" s="200" t="str">
        <f>IF(D1467="","",INDEX(製品マスタ!$Q$5:$Q$4999,MATCH('S4'!F1467&amp;'S4'!K1467,製品マスタ!$AO$5:$AO$4999,0)))</f>
        <v>HL-MAT</v>
      </c>
      <c r="M1467" s="37">
        <v>1005</v>
      </c>
      <c r="N1467" s="37">
        <v>8000</v>
      </c>
      <c r="O1467" s="153">
        <v>1</v>
      </c>
      <c r="P1467" s="45">
        <v>1</v>
      </c>
      <c r="Q1467" s="54"/>
      <c r="R1467" s="257">
        <f ca="1">IF(D1467="","",IF(OFFSET(D1467,-1,0)&lt;&gt;"","",IF(OR(J1467="リード付け",J1467="巻足し",J1467="巻返しリード付け"),M1467,VLOOKUP(D1467,契約台帳!$A$3:$N$4986,14,FALSE))))</f>
        <v>1005</v>
      </c>
      <c r="S1467" s="258">
        <f ca="1">IF(D1467="","",IF(OFFSET(D1467,-1,0)&lt;&gt;"","",IF(OR(J1467="リード付け",J1467="巻足し",J1467="巻返しリード付け"),M1467,VLOOKUP(D1467,契約台帳!$A$3:$O$4986,15,FALSE))))</f>
        <v>1000</v>
      </c>
      <c r="T1467" s="258">
        <f ca="1">IF(D1467="","",IF(J1467="リード付け",N1467,IF(J1467="巻返しリード付け",N1467,IF(J1467="巻足し",N1467*P1467+OFFSET(N1467,1,0)*OFFSET(P1467,1,0),VLOOKUP(D1467,契約台帳!$A$3:$P$4986,16,FALSE)))))</f>
        <v>2000</v>
      </c>
      <c r="U1467" s="38">
        <v>4</v>
      </c>
      <c r="V1467" s="259">
        <f ca="1">IF(D1467="","",IF(OFFSET(D1467,-2,0)=D1467,"",VLOOKUP(D1467,契約台帳!$A$3:$R$4986,18,FALSE)))</f>
        <v>4</v>
      </c>
      <c r="W1467" s="256" t="str">
        <f ca="1">IF(D1467="","",IF(T1467="","",IF(OR(J1467="巻足し",J1467="巻返しリード付け"),"",IF(J1467="巻返し",VLOOKUP(F1467&amp;K1467&amp;M1467,製品マスタ!$M$5:$AD$4999,18,FALSE),IF(OR(J1467="リード付け",J1467="巻返しリード付け"),"原反コア",IF(J1467="スリット",VLOOKUP(F1467&amp;K1467&amp;R1467,製品マスタ!$N$5:$AD$4999,17,FALSE),""))))))</f>
        <v>6ｲﾝﾁSｺｱ</v>
      </c>
      <c r="X1467" s="256">
        <f ca="1">IF(D1467="","",IF(T1467="","",IF(J1467="巻足し","",IF(J1467="巻返し",VLOOKUP(F1467&amp;K1467&amp;M1467,製品マスタ!$M$5:$AE$4999,19,FALSE),IF(OR(J1467="リード付け",J1467="巻返しリード付け"),"",IF(J1467="スリット",VLOOKUP(F1467&amp;K1467&amp;R1467,製品マスタ!$N$5:$AE$4999,18,FALSE),""))))))</f>
        <v>1015</v>
      </c>
      <c r="Y1467" s="256">
        <f ca="1">IF(D1467="","",IF(T1467="","",VLOOKUP(D1467,契約台帳!$A$3:$Q$4986,17,FALSE)))</f>
        <v>2</v>
      </c>
      <c r="Z1467" s="256" t="str">
        <f ca="1">IF(D1467="","",IF(T1467="","",VLOOKUP(D1467,契約台帳!$A$3:$E$4986,5,FALSE)))</f>
        <v>リンテック㈱</v>
      </c>
      <c r="AA1467" s="54"/>
      <c r="AB1467" s="200" t="s">
        <v>774</v>
      </c>
      <c r="AC1467" s="31"/>
      <c r="AD1467" s="184"/>
      <c r="AE1467" s="51"/>
      <c r="AF1467" s="52"/>
      <c r="AG1467" s="41"/>
      <c r="AH1467" s="45"/>
      <c r="AI1467" s="28"/>
      <c r="AJ1467" s="28"/>
      <c r="AK1467" s="28"/>
      <c r="AL1467" s="28"/>
      <c r="AM1467" s="12"/>
      <c r="AN1467" s="12"/>
      <c r="AO1467" s="12"/>
      <c r="AP1467" s="12"/>
      <c r="AQ1467" s="12"/>
      <c r="AR1467" s="13"/>
      <c r="AS1467" s="14"/>
    </row>
    <row r="1468" spans="1:45" s="16" customFormat="1" ht="30.95" hidden="1" customHeight="1" x14ac:dyDescent="0.2">
      <c r="A1468" s="35"/>
      <c r="B1468" s="36"/>
      <c r="C1468" s="43"/>
      <c r="D1468" s="29"/>
      <c r="E1468" s="29"/>
      <c r="F1468" s="255"/>
      <c r="G1468" s="256"/>
      <c r="H1468" s="256"/>
      <c r="I1468" s="200"/>
      <c r="J1468" s="203"/>
      <c r="K1468" s="200"/>
      <c r="L1468" s="200"/>
      <c r="M1468" s="37"/>
      <c r="N1468" s="37"/>
      <c r="O1468" s="153"/>
      <c r="P1468" s="45"/>
      <c r="Q1468" s="54"/>
      <c r="R1468" s="260"/>
      <c r="S1468" s="258"/>
      <c r="T1468" s="258"/>
      <c r="U1468" s="38"/>
      <c r="V1468" s="261"/>
      <c r="W1468" s="256"/>
      <c r="X1468" s="256"/>
      <c r="Y1468" s="256"/>
      <c r="Z1468" s="256"/>
      <c r="AA1468" s="54"/>
      <c r="AB1468" s="200"/>
      <c r="AC1468" s="31"/>
      <c r="AD1468" s="184"/>
      <c r="AE1468" s="51"/>
      <c r="AF1468" s="52"/>
      <c r="AG1468" s="41"/>
      <c r="AH1468" s="45"/>
      <c r="AI1468" s="28"/>
      <c r="AJ1468" s="28"/>
      <c r="AK1468" s="28"/>
      <c r="AL1468" s="28"/>
      <c r="AM1468" s="12"/>
      <c r="AN1468" s="12"/>
      <c r="AO1468" s="12"/>
      <c r="AP1468" s="12"/>
      <c r="AQ1468" s="12"/>
      <c r="AR1468" s="13"/>
      <c r="AS1468" s="14"/>
    </row>
    <row r="1469" spans="1:45" s="16" customFormat="1" ht="30.95" hidden="1" customHeight="1" x14ac:dyDescent="0.2">
      <c r="A1469" s="35"/>
      <c r="B1469" s="36"/>
      <c r="C1469" s="43"/>
      <c r="D1469" s="29">
        <v>3727606</v>
      </c>
      <c r="E1469" s="29">
        <v>4141033</v>
      </c>
      <c r="F1469" s="255" t="str">
        <f>IF(D1469="","",VLOOKUP(D1469,契約台帳!$A$3:$K$4986,6,FALSE)&amp;VLOOKUP(D1469,契約台帳!$A$3:$K$4986,7,FALSE)&amp;VLOOKUP(D1469,契約台帳!$A$3:$K$4986,8,FALSE)&amp;VLOOKUP(D1469,契約台帳!$A$3:$K$4986,9,FALSE)&amp;VLOOKUP(D1469,契約台帳!$A$3:$K$4986,11,FALSE))</f>
        <v>3TNMCLBHLGTV</v>
      </c>
      <c r="G1469" s="256" t="str">
        <f>IF(D1469="","",VLOOKUP(F1469,製品マスタ!$G$5:$H$4999,2,FALSE))</f>
        <v>T</v>
      </c>
      <c r="H1469" s="256" t="str">
        <f>IF(D1469="","",VLOOKUP(F1469,製品マスタ!$G$5:$K$4999,5,FALSE))</f>
        <v>HLGTV</v>
      </c>
      <c r="I1469" s="200" t="str">
        <f>IF(D1469="","",VLOOKUP(F1469,製品マスタ!$G$5:$L$4999,6,FALSE))</f>
        <v>メタルミー　ヘヤライン　銀艶Ｖ</v>
      </c>
      <c r="J1469" s="203" t="s">
        <v>447</v>
      </c>
      <c r="K1469" s="200">
        <f>IF(D1469="","",VLOOKUP(D1469,契約台帳!$A$3:$L$4986,12,FALSE))</f>
        <v>50</v>
      </c>
      <c r="L1469" s="200" t="str">
        <f>IF(D1469="","",INDEX(製品マスタ!$Q$5:$Q$4999,MATCH('S4'!F1469&amp;'S4'!K1469,製品マスタ!$AO$5:$AO$4999,0)))</f>
        <v>BRIGHT</v>
      </c>
      <c r="M1469" s="37">
        <v>1005</v>
      </c>
      <c r="N1469" s="37">
        <v>12300</v>
      </c>
      <c r="O1469" s="153">
        <v>1</v>
      </c>
      <c r="P1469" s="45">
        <v>1</v>
      </c>
      <c r="Q1469" s="54"/>
      <c r="R1469" s="257">
        <f ca="1">IF(D1469="","",IF(OFFSET(D1469,-1,0)&lt;&gt;"","",IF(OR(J1469="リード付け",J1469="巻足し",J1469="巻返しリード付け"),M1469,VLOOKUP(D1469,契約台帳!$A$3:$N$4986,14,FALSE))))</f>
        <v>1005</v>
      </c>
      <c r="S1469" s="258">
        <f ca="1">IF(D1469="","",IF(OFFSET(D1469,-1,0)&lt;&gt;"","",IF(OR(J1469="リード付け",J1469="巻足し",J1469="巻返しリード付け"),M1469,VLOOKUP(D1469,契約台帳!$A$3:$O$4986,15,FALSE))))</f>
        <v>1000</v>
      </c>
      <c r="T1469" s="258">
        <f ca="1">IF(D1469="","",IF(J1469="リード付け",N1469,IF(J1469="巻返しリード付け",N1469,IF(J1469="巻足し",N1469*P1469+OFFSET(N1469,1,0)*OFFSET(P1469,1,0),VLOOKUP(D1469,契約台帳!$A$3:$P$4986,16,FALSE)))))</f>
        <v>4100</v>
      </c>
      <c r="U1469" s="38">
        <v>3</v>
      </c>
      <c r="V1469" s="259">
        <f ca="1">IF(D1469="","",IF(OFFSET(D1469,-2,0)=D1469,"",VLOOKUP(D1469,契約台帳!$A$3:$R$4986,18,FALSE)))</f>
        <v>5</v>
      </c>
      <c r="W1469" s="256" t="str">
        <f ca="1">IF(D1469="","",IF(T1469="","",IF(OR(J1469="巻足し",J1469="巻返しリード付け"),"",IF(J1469="巻返し",VLOOKUP(F1469&amp;K1469&amp;M1469,製品マスタ!$M$5:$AD$4999,18,FALSE),IF(OR(J1469="リード付け",J1469="巻返しリード付け"),"原反コア",IF(J1469="スリット",VLOOKUP(F1469&amp;K1469&amp;R1469,製品マスタ!$N$5:$AD$4999,17,FALSE),""))))))</f>
        <v>6ｲﾝﾁSｺｱ</v>
      </c>
      <c r="X1469" s="256">
        <f ca="1">IF(D1469="","",IF(T1469="","",IF(J1469="巻足し","",IF(J1469="巻返し",VLOOKUP(F1469&amp;K1469&amp;M1469,製品マスタ!$M$5:$AE$4999,19,FALSE),IF(OR(J1469="リード付け",J1469="巻返しリード付け"),"",IF(J1469="スリット",VLOOKUP(F1469&amp;K1469&amp;R1469,製品マスタ!$N$5:$AE$4999,18,FALSE),""))))))</f>
        <v>1015</v>
      </c>
      <c r="Y1469" s="256">
        <f ca="1">IF(D1469="","",IF(T1469="","",VLOOKUP(D1469,契約台帳!$A$3:$Q$4986,17,FALSE)))</f>
        <v>2</v>
      </c>
      <c r="Z1469" s="256" t="str">
        <f ca="1">IF(D1469="","",IF(T1469="","",VLOOKUP(D1469,契約台帳!$A$3:$E$4986,5,FALSE)))</f>
        <v xml:space="preserve">リンテック㈱        </v>
      </c>
      <c r="AA1469" s="54"/>
      <c r="AB1469" s="200" t="s">
        <v>774</v>
      </c>
      <c r="AC1469" s="31"/>
      <c r="AD1469" s="184"/>
      <c r="AE1469" s="51"/>
      <c r="AF1469" s="52"/>
      <c r="AG1469" s="41"/>
      <c r="AH1469" s="45"/>
      <c r="AI1469" s="28"/>
      <c r="AJ1469" s="28"/>
      <c r="AK1469" s="28"/>
      <c r="AL1469" s="28"/>
      <c r="AM1469" s="12"/>
      <c r="AN1469" s="12"/>
      <c r="AO1469" s="12"/>
      <c r="AP1469" s="12"/>
      <c r="AQ1469" s="12"/>
      <c r="AR1469" s="13"/>
      <c r="AS1469" s="14"/>
    </row>
    <row r="1470" spans="1:45" s="16" customFormat="1" ht="30.95" hidden="1" customHeight="1" x14ac:dyDescent="0.2">
      <c r="A1470" s="35"/>
      <c r="B1470" s="36"/>
      <c r="C1470" s="43"/>
      <c r="D1470" s="29"/>
      <c r="E1470" s="29"/>
      <c r="F1470" s="255"/>
      <c r="G1470" s="256"/>
      <c r="H1470" s="256"/>
      <c r="I1470" s="200"/>
      <c r="J1470" s="203"/>
      <c r="K1470" s="200"/>
      <c r="L1470" s="200"/>
      <c r="M1470" s="37"/>
      <c r="N1470" s="37"/>
      <c r="O1470" s="153"/>
      <c r="P1470" s="45"/>
      <c r="Q1470" s="54"/>
      <c r="R1470" s="260"/>
      <c r="S1470" s="258"/>
      <c r="T1470" s="258"/>
      <c r="U1470" s="38"/>
      <c r="V1470" s="261"/>
      <c r="W1470" s="256"/>
      <c r="X1470" s="256"/>
      <c r="Y1470" s="256"/>
      <c r="Z1470" s="256"/>
      <c r="AA1470" s="54"/>
      <c r="AB1470" s="200"/>
      <c r="AC1470" s="31"/>
      <c r="AD1470" s="184"/>
      <c r="AE1470" s="51"/>
      <c r="AF1470" s="52"/>
      <c r="AG1470" s="41"/>
      <c r="AH1470" s="45"/>
      <c r="AI1470" s="28"/>
      <c r="AJ1470" s="28"/>
      <c r="AK1470" s="28"/>
      <c r="AL1470" s="28"/>
      <c r="AM1470" s="12"/>
      <c r="AN1470" s="12"/>
      <c r="AO1470" s="12"/>
      <c r="AP1470" s="12"/>
      <c r="AQ1470" s="12"/>
      <c r="AR1470" s="13"/>
      <c r="AS1470" s="14"/>
    </row>
    <row r="1471" spans="1:45" s="16" customFormat="1" ht="30.95" hidden="1" customHeight="1" x14ac:dyDescent="0.2">
      <c r="A1471" s="35"/>
      <c r="B1471" s="36"/>
      <c r="C1471" s="43"/>
      <c r="D1471" s="29">
        <v>3732680</v>
      </c>
      <c r="E1471" s="29">
        <v>4041058</v>
      </c>
      <c r="F1471" s="255" t="str">
        <f>IF(D1471="","",VLOOKUP(D1471,契約台帳!$A$3:$K$4986,6,FALSE)&amp;VLOOKUP(D1471,契約台帳!$A$3:$K$4986,7,FALSE)&amp;VLOOKUP(D1471,契約台帳!$A$3:$K$4986,8,FALSE)&amp;VLOOKUP(D1471,契約台帳!$A$3:$K$4986,9,FALSE)&amp;VLOOKUP(D1471,契約台帳!$A$3:$K$4986,11,FALSE))</f>
        <v>3TNMCLBHLGTV</v>
      </c>
      <c r="G1471" s="256" t="str">
        <f>IF(D1471="","",VLOOKUP(F1471,製品マスタ!$G$5:$H$4999,2,FALSE))</f>
        <v>T</v>
      </c>
      <c r="H1471" s="256" t="str">
        <f>IF(D1471="","",VLOOKUP(F1471,製品マスタ!$G$5:$K$4999,5,FALSE))</f>
        <v>HLGTV</v>
      </c>
      <c r="I1471" s="200" t="str">
        <f>IF(D1471="","",VLOOKUP(F1471,製品マスタ!$G$5:$L$4999,6,FALSE))</f>
        <v>メタルミー　ヘヤライン　銀艶Ｖ</v>
      </c>
      <c r="J1471" s="203" t="s">
        <v>447</v>
      </c>
      <c r="K1471" s="200">
        <f>IF(D1471="","",VLOOKUP(D1471,契約台帳!$A$3:$L$4986,12,FALSE))</f>
        <v>50</v>
      </c>
      <c r="L1471" s="200" t="str">
        <f>IF(D1471="","",INDEX(製品マスタ!$Q$5:$Q$4999,MATCH('S4'!F1471&amp;'S4'!K1471,製品マスタ!$AO$5:$AO$4999,0)))</f>
        <v>BRIGHT</v>
      </c>
      <c r="M1471" s="37">
        <v>1005</v>
      </c>
      <c r="N1471" s="37">
        <v>12300</v>
      </c>
      <c r="O1471" s="153">
        <v>1</v>
      </c>
      <c r="P1471" s="45">
        <v>1</v>
      </c>
      <c r="Q1471" s="54"/>
      <c r="R1471" s="257">
        <f ca="1">IF(D1471="","",IF(OFFSET(D1471,-1,0)&lt;&gt;"","",IF(OR(J1471="リード付け",J1471="巻足し",J1471="巻返しリード付け"),M1471,VLOOKUP(D1471,契約台帳!$A$3:$N$4986,14,FALSE))))</f>
        <v>1005</v>
      </c>
      <c r="S1471" s="258">
        <f ca="1">IF(D1471="","",IF(OFFSET(D1471,-1,0)&lt;&gt;"","",IF(OR(J1471="リード付け",J1471="巻足し",J1471="巻返しリード付け"),M1471,VLOOKUP(D1471,契約台帳!$A$3:$O$4986,15,FALSE))))</f>
        <v>1000</v>
      </c>
      <c r="T1471" s="258">
        <f ca="1">IF(D1471="","",IF(J1471="リード付け",N1471,IF(J1471="巻返しリード付け",N1471,IF(J1471="巻足し",N1471*P1471+OFFSET(N1471,1,0)*OFFSET(P1471,1,0),VLOOKUP(D1471,契約台帳!$A$3:$P$4986,16,FALSE)))))</f>
        <v>4100</v>
      </c>
      <c r="U1471" s="38">
        <v>3</v>
      </c>
      <c r="V1471" s="259">
        <f ca="1">IF(D1471="","",IF(OFFSET(D1471,-2,0)=D1471,"",VLOOKUP(D1471,契約台帳!$A$3:$R$4986,18,FALSE)))</f>
        <v>4</v>
      </c>
      <c r="W1471" s="256" t="str">
        <f ca="1">IF(D1471="","",IF(T1471="","",IF(OR(J1471="巻足し",J1471="巻返しリード付け"),"",IF(J1471="巻返し",VLOOKUP(F1471&amp;K1471&amp;M1471,製品マスタ!$M$5:$AD$4999,18,FALSE),IF(OR(J1471="リード付け",J1471="巻返しリード付け"),"原反コア",IF(J1471="スリット",VLOOKUP(F1471&amp;K1471&amp;R1471,製品マスタ!$N$5:$AD$4999,17,FALSE),""))))))</f>
        <v>6ｲﾝﾁSｺｱ</v>
      </c>
      <c r="X1471" s="256">
        <f ca="1">IF(D1471="","",IF(T1471="","",IF(J1471="巻足し","",IF(J1471="巻返し",VLOOKUP(F1471&amp;K1471&amp;M1471,製品マスタ!$M$5:$AE$4999,19,FALSE),IF(OR(J1471="リード付け",J1471="巻返しリード付け"),"",IF(J1471="スリット",VLOOKUP(F1471&amp;K1471&amp;R1471,製品マスタ!$N$5:$AE$4999,18,FALSE),""))))))</f>
        <v>1015</v>
      </c>
      <c r="Y1471" s="256">
        <f ca="1">IF(D1471="","",IF(T1471="","",VLOOKUP(D1471,契約台帳!$A$3:$Q$4986,17,FALSE)))</f>
        <v>2</v>
      </c>
      <c r="Z1471" s="256" t="str">
        <f ca="1">IF(D1471="","",IF(T1471="","",VLOOKUP(D1471,契約台帳!$A$3:$E$4986,5,FALSE)))</f>
        <v>リンテック㈱</v>
      </c>
      <c r="AA1471" s="54"/>
      <c r="AB1471" s="200" t="s">
        <v>774</v>
      </c>
      <c r="AC1471" s="31"/>
      <c r="AD1471" s="184"/>
      <c r="AE1471" s="51"/>
      <c r="AF1471" s="52"/>
      <c r="AG1471" s="41"/>
      <c r="AH1471" s="45"/>
      <c r="AI1471" s="28"/>
      <c r="AJ1471" s="28"/>
      <c r="AK1471" s="28"/>
      <c r="AL1471" s="28"/>
      <c r="AM1471" s="12"/>
      <c r="AN1471" s="12"/>
      <c r="AO1471" s="12"/>
      <c r="AP1471" s="12"/>
      <c r="AQ1471" s="12"/>
      <c r="AR1471" s="13"/>
      <c r="AS1471" s="14"/>
    </row>
    <row r="1472" spans="1:45" s="16" customFormat="1" ht="30.95" hidden="1" customHeight="1" x14ac:dyDescent="0.2">
      <c r="A1472" s="35"/>
      <c r="B1472" s="36"/>
      <c r="C1472" s="43"/>
      <c r="D1472" s="29"/>
      <c r="E1472" s="29"/>
      <c r="F1472" s="255"/>
      <c r="G1472" s="256"/>
      <c r="H1472" s="256"/>
      <c r="I1472" s="200"/>
      <c r="J1472" s="203"/>
      <c r="K1472" s="200"/>
      <c r="L1472" s="200"/>
      <c r="M1472" s="37"/>
      <c r="N1472" s="37"/>
      <c r="O1472" s="153"/>
      <c r="P1472" s="45"/>
      <c r="Q1472" s="54"/>
      <c r="R1472" s="260"/>
      <c r="S1472" s="258"/>
      <c r="T1472" s="258"/>
      <c r="U1472" s="38"/>
      <c r="V1472" s="261"/>
      <c r="W1472" s="256"/>
      <c r="X1472" s="256"/>
      <c r="Y1472" s="256"/>
      <c r="Z1472" s="256"/>
      <c r="AA1472" s="54"/>
      <c r="AB1472" s="200"/>
      <c r="AC1472" s="31"/>
      <c r="AD1472" s="184"/>
      <c r="AE1472" s="51"/>
      <c r="AF1472" s="52"/>
      <c r="AG1472" s="41"/>
      <c r="AH1472" s="45"/>
      <c r="AI1472" s="28"/>
      <c r="AJ1472" s="28"/>
      <c r="AK1472" s="28"/>
      <c r="AL1472" s="28"/>
      <c r="AM1472" s="12"/>
      <c r="AN1472" s="12"/>
      <c r="AO1472" s="12"/>
      <c r="AP1472" s="12"/>
      <c r="AQ1472" s="12"/>
      <c r="AR1472" s="13"/>
      <c r="AS1472" s="14"/>
    </row>
    <row r="1473" spans="1:45" s="16" customFormat="1" ht="30.95" hidden="1" customHeight="1" x14ac:dyDescent="0.2">
      <c r="A1473" s="35" t="s">
        <v>733</v>
      </c>
      <c r="B1473" s="36" t="s">
        <v>446</v>
      </c>
      <c r="C1473" s="43"/>
      <c r="D1473" s="29"/>
      <c r="E1473" s="29"/>
      <c r="F1473" s="255"/>
      <c r="G1473" s="256"/>
      <c r="H1473" s="256"/>
      <c r="I1473" s="200"/>
      <c r="J1473" s="203" t="s">
        <v>448</v>
      </c>
      <c r="K1473" s="200"/>
      <c r="L1473" s="200"/>
      <c r="M1473" s="37"/>
      <c r="N1473" s="37"/>
      <c r="O1473" s="153"/>
      <c r="P1473" s="45"/>
      <c r="Q1473" s="54"/>
      <c r="R1473" s="260"/>
      <c r="S1473" s="258"/>
      <c r="T1473" s="258"/>
      <c r="U1473" s="38"/>
      <c r="V1473" s="261"/>
      <c r="W1473" s="256"/>
      <c r="X1473" s="256"/>
      <c r="Y1473" s="256"/>
      <c r="Z1473" s="256"/>
      <c r="AA1473" s="54"/>
      <c r="AB1473" s="200"/>
      <c r="AC1473" s="31"/>
      <c r="AD1473" s="184"/>
      <c r="AE1473" s="51"/>
      <c r="AF1473" s="52"/>
      <c r="AG1473" s="41"/>
      <c r="AH1473" s="45"/>
      <c r="AI1473" s="28"/>
      <c r="AJ1473" s="28"/>
      <c r="AK1473" s="28"/>
      <c r="AL1473" s="28"/>
      <c r="AM1473" s="12"/>
      <c r="AN1473" s="12"/>
      <c r="AO1473" s="12"/>
      <c r="AP1473" s="12"/>
      <c r="AQ1473" s="12"/>
      <c r="AR1473" s="13"/>
      <c r="AS1473" s="14"/>
    </row>
    <row r="1474" spans="1:45" s="16" customFormat="1" ht="30.95" hidden="1" customHeight="1" x14ac:dyDescent="0.2">
      <c r="A1474" s="35"/>
      <c r="B1474" s="36"/>
      <c r="C1474" s="43"/>
      <c r="D1474" s="29"/>
      <c r="E1474" s="29"/>
      <c r="F1474" s="255"/>
      <c r="G1474" s="256"/>
      <c r="H1474" s="256"/>
      <c r="I1474" s="200"/>
      <c r="J1474" s="203"/>
      <c r="K1474" s="200"/>
      <c r="L1474" s="200"/>
      <c r="M1474" s="37"/>
      <c r="N1474" s="37"/>
      <c r="O1474" s="153"/>
      <c r="P1474" s="45"/>
      <c r="Q1474" s="54"/>
      <c r="R1474" s="260"/>
      <c r="S1474" s="258"/>
      <c r="T1474" s="258"/>
      <c r="U1474" s="38"/>
      <c r="V1474" s="261"/>
      <c r="W1474" s="256"/>
      <c r="X1474" s="256"/>
      <c r="Y1474" s="256"/>
      <c r="Z1474" s="256"/>
      <c r="AA1474" s="54"/>
      <c r="AB1474" s="200"/>
      <c r="AC1474" s="31"/>
      <c r="AD1474" s="184"/>
      <c r="AE1474" s="51"/>
      <c r="AF1474" s="52"/>
      <c r="AG1474" s="41"/>
      <c r="AH1474" s="45"/>
      <c r="AI1474" s="28"/>
      <c r="AJ1474" s="28"/>
      <c r="AK1474" s="28"/>
      <c r="AL1474" s="28"/>
      <c r="AM1474" s="12"/>
      <c r="AN1474" s="12"/>
      <c r="AO1474" s="12"/>
      <c r="AP1474" s="12"/>
      <c r="AQ1474" s="12"/>
      <c r="AR1474" s="13"/>
      <c r="AS1474" s="14"/>
    </row>
    <row r="1475" spans="1:45" s="16" customFormat="1" ht="30.95" hidden="1" customHeight="1" x14ac:dyDescent="0.2">
      <c r="A1475" s="35" t="s">
        <v>734</v>
      </c>
      <c r="B1475" s="36" t="s">
        <v>462</v>
      </c>
      <c r="C1475" s="43"/>
      <c r="D1475" s="29">
        <v>3732680</v>
      </c>
      <c r="E1475" s="29">
        <v>4041058</v>
      </c>
      <c r="F1475" s="255" t="str">
        <f>IF(D1475="","",VLOOKUP(D1475,契約台帳!$A$3:$K$4986,6,FALSE)&amp;VLOOKUP(D1475,契約台帳!$A$3:$K$4986,7,FALSE)&amp;VLOOKUP(D1475,契約台帳!$A$3:$K$4986,8,FALSE)&amp;VLOOKUP(D1475,契約台帳!$A$3:$K$4986,9,FALSE)&amp;VLOOKUP(D1475,契約台帳!$A$3:$K$4986,11,FALSE))</f>
        <v>3TNMCLBHLGTV</v>
      </c>
      <c r="G1475" s="256" t="str">
        <f>IF(D1475="","",VLOOKUP(F1475,製品マスタ!$G$5:$H$4999,2,FALSE))</f>
        <v>T</v>
      </c>
      <c r="H1475" s="256" t="str">
        <f>IF(D1475="","",VLOOKUP(F1475,製品マスタ!$G$5:$K$4999,5,FALSE))</f>
        <v>HLGTV</v>
      </c>
      <c r="I1475" s="200" t="str">
        <f>IF(D1475="","",VLOOKUP(F1475,製品マスタ!$G$5:$L$4999,6,FALSE))</f>
        <v>メタルミー　ヘヤライン　銀艶Ｖ</v>
      </c>
      <c r="J1475" s="203" t="s">
        <v>447</v>
      </c>
      <c r="K1475" s="200">
        <f>IF(D1475="","",VLOOKUP(D1475,契約台帳!$A$3:$L$4986,12,FALSE))</f>
        <v>50</v>
      </c>
      <c r="L1475" s="200" t="str">
        <f>IF(D1475="","",INDEX(製品マスタ!$Q$5:$Q$4999,MATCH('S4'!F1475&amp;'S4'!K1475,製品マスタ!$AO$5:$AO$4999,0)))</f>
        <v>BRIGHT</v>
      </c>
      <c r="M1475" s="37">
        <v>1005</v>
      </c>
      <c r="N1475" s="37">
        <v>8200</v>
      </c>
      <c r="O1475" s="153">
        <v>1</v>
      </c>
      <c r="P1475" s="45">
        <v>1</v>
      </c>
      <c r="Q1475" s="54"/>
      <c r="R1475" s="257">
        <f ca="1">IF(D1475="","",IF(OFFSET(D1475,-1,0)&lt;&gt;"","",IF(OR(J1475="リード付け",J1475="巻足し",J1475="巻返しリード付け"),M1475,VLOOKUP(D1475,契約台帳!$A$3:$N$4986,14,FALSE))))</f>
        <v>1005</v>
      </c>
      <c r="S1475" s="258">
        <f ca="1">IF(D1475="","",IF(OFFSET(D1475,-1,0)&lt;&gt;"","",IF(OR(J1475="リード付け",J1475="巻足し",J1475="巻返しリード付け"),M1475,VLOOKUP(D1475,契約台帳!$A$3:$O$4986,15,FALSE))))</f>
        <v>1000</v>
      </c>
      <c r="T1475" s="258">
        <f ca="1">IF(D1475="","",IF(J1475="リード付け",N1475,IF(J1475="巻返しリード付け",N1475,IF(J1475="巻足し",N1475*P1475+OFFSET(N1475,1,0)*OFFSET(P1475,1,0),VLOOKUP(D1475,契約台帳!$A$3:$P$4986,16,FALSE)))))</f>
        <v>4100</v>
      </c>
      <c r="U1475" s="38">
        <v>1</v>
      </c>
      <c r="V1475" s="259">
        <f ca="1">IF(D1475="","",IF(OFFSET(D1475,-2,0)=D1475,"",VLOOKUP(D1475,契約台帳!$A$3:$R$4986,18,FALSE)))</f>
        <v>4</v>
      </c>
      <c r="W1475" s="256" t="str">
        <f ca="1">IF(D1475="","",IF(T1475="","",IF(OR(J1475="巻足し",J1475="巻返しリード付け"),"",IF(J1475="巻返し",VLOOKUP(F1475&amp;K1475&amp;M1475,製品マスタ!$M$5:$AD$4999,18,FALSE),IF(OR(J1475="リード付け",J1475="巻返しリード付け"),"原反コア",IF(J1475="スリット",VLOOKUP(F1475&amp;K1475&amp;R1475,製品マスタ!$N$5:$AD$4999,17,FALSE),""))))))</f>
        <v>6ｲﾝﾁSｺｱ</v>
      </c>
      <c r="X1475" s="256">
        <f ca="1">IF(D1475="","",IF(T1475="","",IF(J1475="巻足し","",IF(J1475="巻返し",VLOOKUP(F1475&amp;K1475&amp;M1475,製品マスタ!$M$5:$AE$4999,19,FALSE),IF(OR(J1475="リード付け",J1475="巻返しリード付け"),"",IF(J1475="スリット",VLOOKUP(F1475&amp;K1475&amp;R1475,製品マスタ!$N$5:$AE$4999,18,FALSE),""))))))</f>
        <v>1015</v>
      </c>
      <c r="Y1475" s="256">
        <f ca="1">IF(D1475="","",IF(T1475="","",VLOOKUP(D1475,契約台帳!$A$3:$Q$4986,17,FALSE)))</f>
        <v>2</v>
      </c>
      <c r="Z1475" s="256" t="str">
        <f ca="1">IF(D1475="","",IF(T1475="","",VLOOKUP(D1475,契約台帳!$A$3:$E$4986,5,FALSE)))</f>
        <v>リンテック㈱</v>
      </c>
      <c r="AA1475" s="54"/>
      <c r="AB1475" s="200" t="s">
        <v>774</v>
      </c>
      <c r="AC1475" s="31"/>
      <c r="AD1475" s="184"/>
      <c r="AE1475" s="51"/>
      <c r="AF1475" s="52"/>
      <c r="AG1475" s="41"/>
      <c r="AH1475" s="45"/>
      <c r="AI1475" s="28"/>
      <c r="AJ1475" s="28"/>
      <c r="AK1475" s="28"/>
      <c r="AL1475" s="28"/>
      <c r="AM1475" s="12"/>
      <c r="AN1475" s="12"/>
      <c r="AO1475" s="12"/>
      <c r="AP1475" s="12"/>
      <c r="AQ1475" s="12"/>
      <c r="AR1475" s="13"/>
      <c r="AS1475" s="14"/>
    </row>
    <row r="1476" spans="1:45" s="16" customFormat="1" ht="30.95" hidden="1" customHeight="1" x14ac:dyDescent="0.2">
      <c r="A1476" s="35"/>
      <c r="B1476" s="36"/>
      <c r="C1476" s="43"/>
      <c r="D1476" s="29">
        <v>3735131</v>
      </c>
      <c r="E1476" s="29"/>
      <c r="F1476" s="255" t="str">
        <f>IF(D1476="","",VLOOKUP(D1476,契約台帳!$A$3:$K$4986,6,FALSE)&amp;VLOOKUP(D1476,契約台帳!$A$3:$K$4986,7,FALSE)&amp;VLOOKUP(D1476,契約台帳!$A$3:$K$4986,8,FALSE)&amp;VLOOKUP(D1476,契約台帳!$A$3:$K$4986,9,FALSE)&amp;VLOOKUP(D1476,契約台帳!$A$3:$K$4986,11,FALSE))</f>
        <v>3TNMCLBHLGTV</v>
      </c>
      <c r="G1476" s="256" t="str">
        <f>IF(D1476="","",VLOOKUP(F1476,製品マスタ!$G$5:$H$4999,2,FALSE))</f>
        <v>T</v>
      </c>
      <c r="H1476" s="256" t="str">
        <f>IF(D1476="","",VLOOKUP(F1476,製品マスタ!$G$5:$K$4999,5,FALSE))</f>
        <v>HLGTV</v>
      </c>
      <c r="I1476" s="200" t="str">
        <f>IF(D1476="","",VLOOKUP(F1476,製品マスタ!$G$5:$L$4999,6,FALSE))</f>
        <v>メタルミー　ヘヤライン　銀艶Ｖ</v>
      </c>
      <c r="J1476" s="203" t="s">
        <v>447</v>
      </c>
      <c r="K1476" s="200">
        <f>IF(D1476="","",VLOOKUP(D1476,契約台帳!$A$3:$L$4986,12,FALSE))</f>
        <v>50</v>
      </c>
      <c r="L1476" s="200" t="str">
        <f>IF(D1476="","",INDEX(製品マスタ!$Q$5:$Q$4999,MATCH('S4'!F1476&amp;'S4'!K1476,製品マスタ!$AO$5:$AO$4999,0)))</f>
        <v>BRIGHT</v>
      </c>
      <c r="M1476" s="37">
        <v>1005</v>
      </c>
      <c r="N1476" s="37"/>
      <c r="O1476" s="153"/>
      <c r="P1476" s="45"/>
      <c r="Q1476" s="54"/>
      <c r="R1476" s="257" t="str">
        <f ca="1">IF(D1476="","",IF(OFFSET(D1476,-1,0)&lt;&gt;"","",IF(OR(J1476="リード付け",J1476="巻足し",J1476="巻返しリード付け"),M1476,VLOOKUP(D1476,契約台帳!$A$3:$N$4986,14,FALSE))))</f>
        <v/>
      </c>
      <c r="S1476" s="258" t="str">
        <f ca="1">IF(D1476="","",IF(OFFSET(D1476,-1,0)&lt;&gt;"","",IF(OR(J1476="リード付け",J1476="巻足し",J1476="巻返しリード付け"),M1476,VLOOKUP(D1476,契約台帳!$A$3:$O$4986,15,FALSE))))</f>
        <v/>
      </c>
      <c r="T1476" s="258">
        <f ca="1">IF(D1476="","",IF(J1476="リード付け",N1476,IF(J1476="巻返しリード付け",N1476,IF(J1476="巻足し",N1476*P1476+OFFSET(N1476,1,0)*OFFSET(P1476,1,0),VLOOKUP(D1476,契約台帳!$A$3:$P$4986,16,FALSE)))))</f>
        <v>4100</v>
      </c>
      <c r="U1476" s="38">
        <v>1</v>
      </c>
      <c r="V1476" s="259">
        <f ca="1">IF(D1476="","",IF(OFFSET(D1476,-2,0)=D1476,"",VLOOKUP(D1476,契約台帳!$A$3:$R$4986,18,FALSE)))</f>
        <v>3</v>
      </c>
      <c r="W1476" s="256" t="str">
        <f ca="1">IF(D1476="","",IF(T1476="","",IF(OR(J1476="巻足し",J1476="巻返しリード付け"),"",IF(J1476="巻返し",VLOOKUP(F1476&amp;K1476&amp;M1476,製品マスタ!$M$5:$AD$4999,18,FALSE),IF(OR(J1476="リード付け",J1476="巻返しリード付け"),"原反コア",IF(J1476="スリット",VLOOKUP(F1476&amp;K1476&amp;R1476,製品マスタ!$N$5:$AD$4999,17,FALSE),""))))))</f>
        <v>6ｲﾝﾁSｺｱ</v>
      </c>
      <c r="X1476" s="256">
        <f ca="1">IF(D1476="","",IF(T1476="","",IF(J1476="巻足し","",IF(J1476="巻返し",VLOOKUP(F1476&amp;K1476&amp;M1476,製品マスタ!$M$5:$AE$4999,19,FALSE),IF(OR(J1476="リード付け",J1476="巻返しリード付け"),"",IF(J1476="スリット",VLOOKUP(F1476&amp;K1476&amp;R1476,製品マスタ!$N$5:$AE$4999,18,FALSE),""))))))</f>
        <v>1015</v>
      </c>
      <c r="Y1476" s="256">
        <f ca="1">IF(D1476="","",IF(T1476="","",VLOOKUP(D1476,契約台帳!$A$3:$Q$4986,17,FALSE)))</f>
        <v>2</v>
      </c>
      <c r="Z1476" s="256" t="str">
        <f ca="1">IF(D1476="","",IF(T1476="","",VLOOKUP(D1476,契約台帳!$A$3:$E$4986,5,FALSE)))</f>
        <v>リンテック㈱</v>
      </c>
      <c r="AA1476" s="54"/>
      <c r="AB1476" s="200" t="s">
        <v>774</v>
      </c>
      <c r="AC1476" s="31"/>
      <c r="AD1476" s="184"/>
      <c r="AE1476" s="51"/>
      <c r="AF1476" s="52"/>
      <c r="AG1476" s="41"/>
      <c r="AH1476" s="45"/>
      <c r="AI1476" s="28"/>
      <c r="AJ1476" s="28"/>
      <c r="AK1476" s="28"/>
      <c r="AL1476" s="28"/>
      <c r="AM1476" s="12"/>
      <c r="AN1476" s="12"/>
      <c r="AO1476" s="12"/>
      <c r="AP1476" s="12"/>
      <c r="AQ1476" s="12"/>
      <c r="AR1476" s="13"/>
      <c r="AS1476" s="14"/>
    </row>
    <row r="1477" spans="1:45" s="16" customFormat="1" ht="30.95" hidden="1" customHeight="1" x14ac:dyDescent="0.2">
      <c r="A1477" s="35"/>
      <c r="B1477" s="36"/>
      <c r="C1477" s="43"/>
      <c r="D1477" s="29"/>
      <c r="E1477" s="29"/>
      <c r="F1477" s="255"/>
      <c r="G1477" s="256"/>
      <c r="H1477" s="256"/>
      <c r="I1477" s="200"/>
      <c r="J1477" s="203"/>
      <c r="K1477" s="200"/>
      <c r="L1477" s="200"/>
      <c r="M1477" s="37"/>
      <c r="N1477" s="37"/>
      <c r="O1477" s="153"/>
      <c r="P1477" s="45"/>
      <c r="Q1477" s="54"/>
      <c r="R1477" s="260"/>
      <c r="S1477" s="258"/>
      <c r="T1477" s="258"/>
      <c r="U1477" s="38"/>
      <c r="V1477" s="261"/>
      <c r="W1477" s="256"/>
      <c r="X1477" s="256"/>
      <c r="Y1477" s="256"/>
      <c r="Z1477" s="256"/>
      <c r="AA1477" s="54"/>
      <c r="AB1477" s="200"/>
      <c r="AC1477" s="31"/>
      <c r="AD1477" s="184"/>
      <c r="AE1477" s="51"/>
      <c r="AF1477" s="52"/>
      <c r="AG1477" s="41"/>
      <c r="AH1477" s="45"/>
      <c r="AI1477" s="28"/>
      <c r="AJ1477" s="28"/>
      <c r="AK1477" s="28"/>
      <c r="AL1477" s="28"/>
      <c r="AM1477" s="12"/>
      <c r="AN1477" s="12"/>
      <c r="AO1477" s="12"/>
      <c r="AP1477" s="12"/>
      <c r="AQ1477" s="12"/>
      <c r="AR1477" s="13"/>
      <c r="AS1477" s="14"/>
    </row>
    <row r="1478" spans="1:45" s="16" customFormat="1" ht="30.95" hidden="1" customHeight="1" x14ac:dyDescent="0.2">
      <c r="A1478" s="35"/>
      <c r="B1478" s="36"/>
      <c r="C1478" s="43"/>
      <c r="D1478" s="29">
        <v>3735130</v>
      </c>
      <c r="E1478" s="29">
        <v>4141074</v>
      </c>
      <c r="F1478" s="255" t="str">
        <f>IF(D1478="","",VLOOKUP(D1478,契約台帳!$A$3:$K$4986,6,FALSE)&amp;VLOOKUP(D1478,契約台帳!$A$3:$K$4986,7,FALSE)&amp;VLOOKUP(D1478,契約台帳!$A$3:$K$4986,8,FALSE)&amp;VLOOKUP(D1478,契約台帳!$A$3:$K$4986,9,FALSE)&amp;VLOOKUP(D1478,契約台帳!$A$3:$K$4986,11,FALSE))</f>
        <v>3TNMCLBHLGTV</v>
      </c>
      <c r="G1478" s="256" t="str">
        <f>IF(D1478="","",VLOOKUP(F1478,製品マスタ!$G$5:$H$4999,2,FALSE))</f>
        <v>T</v>
      </c>
      <c r="H1478" s="256" t="str">
        <f>IF(D1478="","",VLOOKUP(F1478,製品マスタ!$G$5:$K$4999,5,FALSE))</f>
        <v>HLGTV</v>
      </c>
      <c r="I1478" s="200" t="str">
        <f>IF(D1478="","",VLOOKUP(F1478,製品マスタ!$G$5:$L$4999,6,FALSE))</f>
        <v>メタルミー　ヘヤライン　銀艶Ｖ</v>
      </c>
      <c r="J1478" s="203" t="s">
        <v>447</v>
      </c>
      <c r="K1478" s="200">
        <f>IF(D1478="","",VLOOKUP(D1478,契約台帳!$A$3:$L$4986,12,FALSE))</f>
        <v>25</v>
      </c>
      <c r="L1478" s="200" t="s">
        <v>178</v>
      </c>
      <c r="M1478" s="37">
        <v>1005</v>
      </c>
      <c r="N1478" s="37">
        <v>8000</v>
      </c>
      <c r="O1478" s="153">
        <v>1</v>
      </c>
      <c r="P1478" s="45">
        <v>1</v>
      </c>
      <c r="Q1478" s="54"/>
      <c r="R1478" s="257">
        <f ca="1">IF(D1478="","",IF(OFFSET(D1478,-1,0)&lt;&gt;"","",IF(OR(J1478="リード付け",J1478="巻足し",J1478="巻返しリード付け"),M1478,VLOOKUP(D1478,契約台帳!$A$3:$N$4986,14,FALSE))))</f>
        <v>1005</v>
      </c>
      <c r="S1478" s="258">
        <f ca="1">IF(D1478="","",IF(OFFSET(D1478,-1,0)&lt;&gt;"","",IF(OR(J1478="リード付け",J1478="巻足し",J1478="巻返しリード付け"),M1478,VLOOKUP(D1478,契約台帳!$A$3:$O$4986,15,FALSE))))</f>
        <v>1000</v>
      </c>
      <c r="T1478" s="258">
        <f ca="1">IF(D1478="","",IF(J1478="リード付け",N1478,IF(J1478="巻返しリード付け",N1478,IF(J1478="巻足し",N1478*P1478+OFFSET(N1478,1,0)*OFFSET(P1478,1,0),VLOOKUP(D1478,契約台帳!$A$3:$P$4986,16,FALSE)))))</f>
        <v>2000</v>
      </c>
      <c r="U1478" s="38">
        <v>4</v>
      </c>
      <c r="V1478" s="259">
        <f ca="1">IF(D1478="","",IF(OFFSET(D1478,-2,0)=D1478,"",VLOOKUP(D1478,契約台帳!$A$3:$R$4986,18,FALSE)))</f>
        <v>4</v>
      </c>
      <c r="W1478" s="256" t="s">
        <v>806</v>
      </c>
      <c r="X1478" s="256">
        <v>1015</v>
      </c>
      <c r="Y1478" s="256">
        <f ca="1">IF(D1478="","",IF(T1478="","",VLOOKUP(D1478,契約台帳!$A$3:$Q$4986,17,FALSE)))</f>
        <v>2</v>
      </c>
      <c r="Z1478" s="256" t="str">
        <f ca="1">IF(D1478="","",IF(T1478="","",VLOOKUP(D1478,契約台帳!$A$3:$E$4986,5,FALSE)))</f>
        <v>リンテック㈱</v>
      </c>
      <c r="AA1478" s="54"/>
      <c r="AB1478" s="200" t="s">
        <v>774</v>
      </c>
      <c r="AC1478" s="31"/>
      <c r="AD1478" s="184"/>
      <c r="AE1478" s="51"/>
      <c r="AF1478" s="52"/>
      <c r="AG1478" s="41"/>
      <c r="AH1478" s="45"/>
      <c r="AI1478" s="28"/>
      <c r="AJ1478" s="28"/>
      <c r="AK1478" s="28"/>
      <c r="AL1478" s="28"/>
      <c r="AM1478" s="12"/>
      <c r="AN1478" s="12"/>
      <c r="AO1478" s="12"/>
      <c r="AP1478" s="12"/>
      <c r="AQ1478" s="12"/>
      <c r="AR1478" s="13"/>
      <c r="AS1478" s="14"/>
    </row>
    <row r="1479" spans="1:45" s="16" customFormat="1" ht="30.95" hidden="1" customHeight="1" x14ac:dyDescent="0.2">
      <c r="A1479" s="35"/>
      <c r="B1479" s="36"/>
      <c r="C1479" s="43"/>
      <c r="D1479" s="29"/>
      <c r="E1479" s="29"/>
      <c r="F1479" s="255"/>
      <c r="G1479" s="256"/>
      <c r="H1479" s="256"/>
      <c r="I1479" s="200"/>
      <c r="J1479" s="203"/>
      <c r="K1479" s="200"/>
      <c r="L1479" s="200"/>
      <c r="M1479" s="37"/>
      <c r="N1479" s="37"/>
      <c r="O1479" s="153"/>
      <c r="P1479" s="45"/>
      <c r="Q1479" s="54"/>
      <c r="R1479" s="260"/>
      <c r="S1479" s="258"/>
      <c r="T1479" s="258"/>
      <c r="U1479" s="38"/>
      <c r="V1479" s="261"/>
      <c r="W1479" s="256"/>
      <c r="X1479" s="256"/>
      <c r="Y1479" s="256"/>
      <c r="Z1479" s="256"/>
      <c r="AA1479" s="54"/>
      <c r="AB1479" s="200"/>
      <c r="AC1479" s="31"/>
      <c r="AD1479" s="184"/>
      <c r="AE1479" s="51"/>
      <c r="AF1479" s="52"/>
      <c r="AG1479" s="41"/>
      <c r="AH1479" s="45"/>
      <c r="AI1479" s="28"/>
      <c r="AJ1479" s="28"/>
      <c r="AK1479" s="28"/>
      <c r="AL1479" s="28"/>
      <c r="AM1479" s="12"/>
      <c r="AN1479" s="12"/>
      <c r="AO1479" s="12"/>
      <c r="AP1479" s="12"/>
      <c r="AQ1479" s="12"/>
      <c r="AR1479" s="13"/>
      <c r="AS1479" s="14"/>
    </row>
    <row r="1480" spans="1:45" s="16" customFormat="1" ht="30.6" hidden="1" customHeight="1" x14ac:dyDescent="0.2">
      <c r="A1480" s="35" t="s">
        <v>1856</v>
      </c>
      <c r="B1480" s="36" t="s">
        <v>1849</v>
      </c>
      <c r="C1480" s="43"/>
      <c r="D1480" s="29" t="s">
        <v>1276</v>
      </c>
      <c r="E1480" s="29" t="s">
        <v>1277</v>
      </c>
      <c r="F1480" s="255" t="s">
        <v>1304</v>
      </c>
      <c r="G1480" s="256" t="s">
        <v>269</v>
      </c>
      <c r="H1480" s="256" t="s">
        <v>1318</v>
      </c>
      <c r="I1480" s="200" t="s">
        <v>1316</v>
      </c>
      <c r="J1480" s="30" t="s">
        <v>447</v>
      </c>
      <c r="K1480" s="200">
        <v>50</v>
      </c>
      <c r="L1480" s="200" t="s">
        <v>1320</v>
      </c>
      <c r="M1480" s="37">
        <v>1000</v>
      </c>
      <c r="N1480" s="37">
        <v>2000</v>
      </c>
      <c r="O1480" s="153">
        <v>1</v>
      </c>
      <c r="P1480" s="338"/>
      <c r="Q1480" s="54"/>
      <c r="R1480" s="257">
        <v>1000</v>
      </c>
      <c r="S1480" s="258">
        <v>1000</v>
      </c>
      <c r="T1480" s="258">
        <v>2000</v>
      </c>
      <c r="U1480" s="38">
        <v>1</v>
      </c>
      <c r="V1480" s="259">
        <v>1</v>
      </c>
      <c r="W1480" s="256" t="s">
        <v>806</v>
      </c>
      <c r="X1480" s="256">
        <v>1015</v>
      </c>
      <c r="Y1480" s="256">
        <v>2</v>
      </c>
      <c r="Z1480" s="256" t="s">
        <v>116</v>
      </c>
      <c r="AA1480" s="54" t="s">
        <v>1254</v>
      </c>
      <c r="AB1480" s="200" t="s">
        <v>774</v>
      </c>
      <c r="AC1480" s="31"/>
      <c r="AD1480" s="184"/>
      <c r="AE1480" s="51"/>
      <c r="AF1480" s="52"/>
      <c r="AG1480" s="41"/>
      <c r="AH1480" s="45"/>
      <c r="AI1480" s="28"/>
      <c r="AJ1480" s="28"/>
      <c r="AK1480" s="28"/>
      <c r="AL1480" s="28"/>
      <c r="AM1480" s="12"/>
      <c r="AN1480" s="12"/>
      <c r="AO1480" s="12"/>
      <c r="AP1480" s="12"/>
      <c r="AQ1480" s="12"/>
      <c r="AR1480" s="13"/>
      <c r="AS1480" s="14"/>
    </row>
    <row r="1481" spans="1:45" s="16" customFormat="1" ht="30.95" hidden="1" customHeight="1" x14ac:dyDescent="0.2">
      <c r="A1481" s="35"/>
      <c r="B1481" s="36"/>
      <c r="C1481" s="43"/>
      <c r="D1481" s="29" t="s">
        <v>1276</v>
      </c>
      <c r="E1481" s="29" t="s">
        <v>1277</v>
      </c>
      <c r="F1481" s="255" t="s">
        <v>1304</v>
      </c>
      <c r="G1481" s="256" t="s">
        <v>269</v>
      </c>
      <c r="H1481" s="256" t="s">
        <v>1319</v>
      </c>
      <c r="I1481" s="200" t="s">
        <v>1317</v>
      </c>
      <c r="J1481" s="30"/>
      <c r="K1481" s="200">
        <v>25</v>
      </c>
      <c r="L1481" s="200" t="s">
        <v>831</v>
      </c>
      <c r="M1481" s="37">
        <v>1000</v>
      </c>
      <c r="N1481" s="37">
        <v>500</v>
      </c>
      <c r="O1481" s="153"/>
      <c r="P1481" s="338"/>
      <c r="Q1481" s="54"/>
      <c r="R1481" s="260">
        <v>1000</v>
      </c>
      <c r="S1481" s="258">
        <v>1000</v>
      </c>
      <c r="T1481" s="258">
        <v>500</v>
      </c>
      <c r="U1481" s="38">
        <v>1</v>
      </c>
      <c r="V1481" s="261">
        <v>1</v>
      </c>
      <c r="W1481" s="256"/>
      <c r="X1481" s="256"/>
      <c r="Y1481" s="256"/>
      <c r="Z1481" s="256"/>
      <c r="AA1481" s="54" t="s">
        <v>1254</v>
      </c>
      <c r="AB1481" s="200" t="s">
        <v>774</v>
      </c>
      <c r="AC1481" s="31"/>
      <c r="AD1481" s="184"/>
      <c r="AE1481" s="51"/>
      <c r="AF1481" s="52"/>
      <c r="AG1481" s="41"/>
      <c r="AH1481" s="45"/>
      <c r="AI1481" s="28"/>
      <c r="AJ1481" s="28"/>
      <c r="AK1481" s="28"/>
      <c r="AL1481" s="28"/>
      <c r="AM1481" s="12"/>
      <c r="AN1481" s="12"/>
      <c r="AO1481" s="12"/>
      <c r="AP1481" s="12"/>
      <c r="AQ1481" s="12"/>
      <c r="AR1481" s="13"/>
      <c r="AS1481" s="14"/>
    </row>
    <row r="1482" spans="1:45" s="16" customFormat="1" ht="30.95" hidden="1" customHeight="1" x14ac:dyDescent="0.2">
      <c r="A1482" s="35"/>
      <c r="B1482" s="36"/>
      <c r="C1482" s="43"/>
      <c r="D1482" s="29"/>
      <c r="E1482" s="29"/>
      <c r="F1482" s="255"/>
      <c r="G1482" s="256"/>
      <c r="H1482" s="256"/>
      <c r="I1482" s="200"/>
      <c r="J1482" s="203"/>
      <c r="K1482" s="200"/>
      <c r="L1482" s="200"/>
      <c r="M1482" s="37"/>
      <c r="N1482" s="37"/>
      <c r="O1482" s="153"/>
      <c r="P1482" s="45"/>
      <c r="Q1482" s="54"/>
      <c r="R1482" s="260"/>
      <c r="S1482" s="258"/>
      <c r="T1482" s="258"/>
      <c r="U1482" s="38"/>
      <c r="V1482" s="261"/>
      <c r="W1482" s="256"/>
      <c r="X1482" s="256"/>
      <c r="Y1482" s="256"/>
      <c r="Z1482" s="256"/>
      <c r="AA1482" s="54"/>
      <c r="AB1482" s="200"/>
      <c r="AC1482" s="31"/>
      <c r="AD1482" s="184"/>
      <c r="AE1482" s="51"/>
      <c r="AF1482" s="52"/>
      <c r="AG1482" s="41"/>
      <c r="AH1482" s="45"/>
      <c r="AI1482" s="28"/>
      <c r="AJ1482" s="28"/>
      <c r="AK1482" s="28"/>
      <c r="AL1482" s="28"/>
      <c r="AM1482" s="12"/>
      <c r="AN1482" s="12"/>
      <c r="AO1482" s="12"/>
      <c r="AP1482" s="12"/>
      <c r="AQ1482" s="12"/>
      <c r="AR1482" s="13"/>
      <c r="AS1482" s="14"/>
    </row>
    <row r="1483" spans="1:45" s="16" customFormat="1" ht="30.95" hidden="1" customHeight="1" x14ac:dyDescent="0.2">
      <c r="A1483" s="35" t="s">
        <v>1857</v>
      </c>
      <c r="B1483" s="36" t="s">
        <v>1850</v>
      </c>
      <c r="C1483" s="43"/>
      <c r="D1483" s="29"/>
      <c r="E1483" s="29"/>
      <c r="F1483" s="255"/>
      <c r="G1483" s="256"/>
      <c r="H1483" s="256"/>
      <c r="I1483" s="200"/>
      <c r="J1483" s="203" t="s">
        <v>1893</v>
      </c>
      <c r="K1483" s="200"/>
      <c r="L1483" s="200"/>
      <c r="M1483" s="37"/>
      <c r="N1483" s="37"/>
      <c r="O1483" s="153"/>
      <c r="P1483" s="45"/>
      <c r="Q1483" s="54"/>
      <c r="R1483" s="260"/>
      <c r="S1483" s="258"/>
      <c r="T1483" s="258"/>
      <c r="U1483" s="38"/>
      <c r="V1483" s="261"/>
      <c r="W1483" s="256"/>
      <c r="X1483" s="256"/>
      <c r="Y1483" s="256"/>
      <c r="Z1483" s="256"/>
      <c r="AA1483" s="54"/>
      <c r="AB1483" s="200"/>
      <c r="AC1483" s="31"/>
      <c r="AD1483" s="184"/>
      <c r="AE1483" s="51"/>
      <c r="AF1483" s="52"/>
      <c r="AG1483" s="41"/>
      <c r="AH1483" s="45"/>
      <c r="AI1483" s="28"/>
      <c r="AJ1483" s="28"/>
      <c r="AK1483" s="28"/>
      <c r="AL1483" s="28"/>
      <c r="AM1483" s="12"/>
      <c r="AN1483" s="12"/>
      <c r="AO1483" s="12"/>
      <c r="AP1483" s="12"/>
      <c r="AQ1483" s="12"/>
      <c r="AR1483" s="13"/>
      <c r="AS1483" s="14"/>
    </row>
    <row r="1484" spans="1:45" s="16" customFormat="1" ht="30.95" hidden="1" customHeight="1" x14ac:dyDescent="0.2">
      <c r="A1484" s="35"/>
      <c r="B1484" s="36"/>
      <c r="C1484" s="43"/>
      <c r="D1484" s="29"/>
      <c r="E1484" s="29"/>
      <c r="F1484" s="255"/>
      <c r="G1484" s="256"/>
      <c r="H1484" s="256"/>
      <c r="I1484" s="200"/>
      <c r="J1484" s="203"/>
      <c r="K1484" s="200"/>
      <c r="L1484" s="200"/>
      <c r="M1484" s="37"/>
      <c r="N1484" s="37"/>
      <c r="O1484" s="153"/>
      <c r="P1484" s="45"/>
      <c r="Q1484" s="54"/>
      <c r="R1484" s="260"/>
      <c r="S1484" s="258"/>
      <c r="T1484" s="258"/>
      <c r="U1484" s="38"/>
      <c r="V1484" s="261"/>
      <c r="W1484" s="256"/>
      <c r="X1484" s="256"/>
      <c r="Y1484" s="256"/>
      <c r="Z1484" s="256"/>
      <c r="AA1484" s="54"/>
      <c r="AB1484" s="200"/>
      <c r="AC1484" s="31"/>
      <c r="AD1484" s="184"/>
      <c r="AE1484" s="51"/>
      <c r="AF1484" s="52"/>
      <c r="AG1484" s="41"/>
      <c r="AH1484" s="45"/>
      <c r="AI1484" s="28"/>
      <c r="AJ1484" s="28"/>
      <c r="AK1484" s="28"/>
      <c r="AL1484" s="28"/>
      <c r="AM1484" s="12"/>
      <c r="AN1484" s="12"/>
      <c r="AO1484" s="12"/>
      <c r="AP1484" s="12"/>
      <c r="AQ1484" s="12"/>
      <c r="AR1484" s="13"/>
      <c r="AS1484" s="14"/>
    </row>
    <row r="1485" spans="1:45" s="16" customFormat="1" ht="30.95" hidden="1" customHeight="1" x14ac:dyDescent="0.2">
      <c r="A1485" s="35" t="s">
        <v>1858</v>
      </c>
      <c r="B1485" s="36" t="s">
        <v>1851</v>
      </c>
      <c r="C1485" s="43"/>
      <c r="D1485" s="29"/>
      <c r="E1485" s="29"/>
      <c r="F1485" s="255"/>
      <c r="G1485" s="256"/>
      <c r="H1485" s="256"/>
      <c r="I1485" s="200"/>
      <c r="J1485" s="203" t="s">
        <v>1894</v>
      </c>
      <c r="K1485" s="200"/>
      <c r="L1485" s="200"/>
      <c r="M1485" s="37"/>
      <c r="N1485" s="37"/>
      <c r="O1485" s="153"/>
      <c r="P1485" s="45"/>
      <c r="Q1485" s="54"/>
      <c r="R1485" s="260"/>
      <c r="S1485" s="258"/>
      <c r="T1485" s="258"/>
      <c r="U1485" s="38"/>
      <c r="V1485" s="261"/>
      <c r="W1485" s="256"/>
      <c r="X1485" s="256"/>
      <c r="Y1485" s="256"/>
      <c r="Z1485" s="256"/>
      <c r="AA1485" s="54"/>
      <c r="AB1485" s="200"/>
      <c r="AC1485" s="31"/>
      <c r="AD1485" s="184"/>
      <c r="AE1485" s="51"/>
      <c r="AF1485" s="52"/>
      <c r="AG1485" s="41"/>
      <c r="AH1485" s="45"/>
      <c r="AI1485" s="28"/>
      <c r="AJ1485" s="28"/>
      <c r="AK1485" s="28"/>
      <c r="AL1485" s="28"/>
      <c r="AM1485" s="12"/>
      <c r="AN1485" s="12"/>
      <c r="AO1485" s="12"/>
      <c r="AP1485" s="12"/>
      <c r="AQ1485" s="12"/>
      <c r="AR1485" s="13"/>
      <c r="AS1485" s="14"/>
    </row>
    <row r="1486" spans="1:45" s="16" customFormat="1" ht="30.95" hidden="1" customHeight="1" x14ac:dyDescent="0.2">
      <c r="A1486" s="35"/>
      <c r="B1486" s="36"/>
      <c r="C1486" s="43"/>
      <c r="D1486" s="29"/>
      <c r="E1486" s="29"/>
      <c r="F1486" s="255"/>
      <c r="G1486" s="256"/>
      <c r="H1486" s="256"/>
      <c r="I1486" s="200"/>
      <c r="J1486" s="203"/>
      <c r="K1486" s="200"/>
      <c r="L1486" s="200"/>
      <c r="M1486" s="37"/>
      <c r="N1486" s="37"/>
      <c r="O1486" s="153"/>
      <c r="P1486" s="45"/>
      <c r="Q1486" s="54"/>
      <c r="R1486" s="260"/>
      <c r="S1486" s="258"/>
      <c r="T1486" s="258"/>
      <c r="U1486" s="38"/>
      <c r="V1486" s="261"/>
      <c r="W1486" s="256"/>
      <c r="X1486" s="256"/>
      <c r="Y1486" s="256"/>
      <c r="Z1486" s="256"/>
      <c r="AA1486" s="54"/>
      <c r="AB1486" s="200"/>
      <c r="AC1486" s="31"/>
      <c r="AD1486" s="184"/>
      <c r="AE1486" s="51"/>
      <c r="AF1486" s="52"/>
      <c r="AG1486" s="41"/>
      <c r="AH1486" s="45"/>
      <c r="AI1486" s="28"/>
      <c r="AJ1486" s="28"/>
      <c r="AK1486" s="28"/>
      <c r="AL1486" s="28"/>
      <c r="AM1486" s="12"/>
      <c r="AN1486" s="12"/>
      <c r="AO1486" s="12"/>
      <c r="AP1486" s="12"/>
      <c r="AQ1486" s="12"/>
      <c r="AR1486" s="13"/>
      <c r="AS1486" s="14"/>
    </row>
    <row r="1487" spans="1:45" s="16" customFormat="1" ht="30.95" hidden="1" customHeight="1" x14ac:dyDescent="0.2">
      <c r="A1487" s="35" t="s">
        <v>1873</v>
      </c>
      <c r="B1487" s="36" t="s">
        <v>1847</v>
      </c>
      <c r="C1487" s="43"/>
      <c r="D1487" s="29"/>
      <c r="E1487" s="29"/>
      <c r="F1487" s="255"/>
      <c r="G1487" s="256"/>
      <c r="H1487" s="256"/>
      <c r="I1487" s="200"/>
      <c r="J1487" s="203" t="s">
        <v>1872</v>
      </c>
      <c r="K1487" s="200"/>
      <c r="L1487" s="200"/>
      <c r="M1487" s="37"/>
      <c r="N1487" s="37"/>
      <c r="O1487" s="153"/>
      <c r="P1487" s="45"/>
      <c r="Q1487" s="54"/>
      <c r="R1487" s="260"/>
      <c r="S1487" s="258"/>
      <c r="T1487" s="258"/>
      <c r="U1487" s="38"/>
      <c r="V1487" s="261"/>
      <c r="W1487" s="256"/>
      <c r="X1487" s="256"/>
      <c r="Y1487" s="256"/>
      <c r="Z1487" s="256"/>
      <c r="AA1487" s="54"/>
      <c r="AB1487" s="200"/>
      <c r="AC1487" s="31"/>
      <c r="AD1487" s="184"/>
      <c r="AE1487" s="51"/>
      <c r="AF1487" s="52"/>
      <c r="AG1487" s="41"/>
      <c r="AH1487" s="45"/>
      <c r="AI1487" s="28"/>
      <c r="AJ1487" s="28"/>
      <c r="AK1487" s="28"/>
      <c r="AL1487" s="28"/>
      <c r="AM1487" s="12"/>
      <c r="AN1487" s="12"/>
      <c r="AO1487" s="12"/>
      <c r="AP1487" s="12"/>
      <c r="AQ1487" s="12"/>
      <c r="AR1487" s="13"/>
      <c r="AS1487" s="14"/>
    </row>
    <row r="1488" spans="1:45" s="16" customFormat="1" ht="30.95" hidden="1" customHeight="1" x14ac:dyDescent="0.2">
      <c r="A1488" s="35"/>
      <c r="B1488" s="36"/>
      <c r="C1488" s="43"/>
      <c r="D1488" s="29"/>
      <c r="E1488" s="29"/>
      <c r="F1488" s="255"/>
      <c r="G1488" s="256"/>
      <c r="H1488" s="256"/>
      <c r="I1488" s="200"/>
      <c r="J1488" s="203"/>
      <c r="K1488" s="200"/>
      <c r="L1488" s="200"/>
      <c r="M1488" s="37"/>
      <c r="N1488" s="37"/>
      <c r="O1488" s="153"/>
      <c r="P1488" s="45"/>
      <c r="Q1488" s="54"/>
      <c r="R1488" s="260"/>
      <c r="S1488" s="258"/>
      <c r="T1488" s="258"/>
      <c r="U1488" s="38"/>
      <c r="V1488" s="261"/>
      <c r="W1488" s="256"/>
      <c r="X1488" s="256"/>
      <c r="Y1488" s="256"/>
      <c r="Z1488" s="256"/>
      <c r="AA1488" s="54"/>
      <c r="AB1488" s="200"/>
      <c r="AC1488" s="31"/>
      <c r="AD1488" s="184"/>
      <c r="AE1488" s="51"/>
      <c r="AF1488" s="52"/>
      <c r="AG1488" s="41"/>
      <c r="AH1488" s="45"/>
      <c r="AI1488" s="28"/>
      <c r="AJ1488" s="28"/>
      <c r="AK1488" s="28"/>
      <c r="AL1488" s="28"/>
      <c r="AM1488" s="12"/>
      <c r="AN1488" s="12"/>
      <c r="AO1488" s="12"/>
      <c r="AP1488" s="12"/>
      <c r="AQ1488" s="12"/>
      <c r="AR1488" s="13"/>
      <c r="AS1488" s="14"/>
    </row>
    <row r="1489" spans="1:45" s="16" customFormat="1" ht="30.95" hidden="1" customHeight="1" x14ac:dyDescent="0.2">
      <c r="A1489" s="35" t="s">
        <v>1860</v>
      </c>
      <c r="B1489" s="36" t="s">
        <v>1397</v>
      </c>
      <c r="C1489" s="43"/>
      <c r="D1489" s="29"/>
      <c r="E1489" s="29"/>
      <c r="F1489" s="255"/>
      <c r="G1489" s="256"/>
      <c r="H1489" s="256"/>
      <c r="I1489" s="200"/>
      <c r="J1489" s="203" t="s">
        <v>1872</v>
      </c>
      <c r="K1489" s="200"/>
      <c r="L1489" s="200"/>
      <c r="M1489" s="37"/>
      <c r="N1489" s="37"/>
      <c r="O1489" s="153"/>
      <c r="P1489" s="45"/>
      <c r="Q1489" s="54"/>
      <c r="R1489" s="260"/>
      <c r="S1489" s="258"/>
      <c r="T1489" s="258"/>
      <c r="U1489" s="38"/>
      <c r="V1489" s="261"/>
      <c r="W1489" s="256"/>
      <c r="X1489" s="256"/>
      <c r="Y1489" s="256"/>
      <c r="Z1489" s="256"/>
      <c r="AA1489" s="54"/>
      <c r="AB1489" s="200"/>
      <c r="AC1489" s="31"/>
      <c r="AD1489" s="184"/>
      <c r="AE1489" s="51"/>
      <c r="AF1489" s="52"/>
      <c r="AG1489" s="41"/>
      <c r="AH1489" s="45"/>
      <c r="AI1489" s="28"/>
      <c r="AJ1489" s="28"/>
      <c r="AK1489" s="28"/>
      <c r="AL1489" s="28"/>
      <c r="AM1489" s="12"/>
      <c r="AN1489" s="12"/>
      <c r="AO1489" s="12"/>
      <c r="AP1489" s="12"/>
      <c r="AQ1489" s="12"/>
      <c r="AR1489" s="13"/>
      <c r="AS1489" s="14"/>
    </row>
    <row r="1490" spans="1:45" s="16" customFormat="1" ht="30.95" hidden="1" customHeight="1" x14ac:dyDescent="0.2">
      <c r="A1490" s="35"/>
      <c r="B1490" s="36"/>
      <c r="C1490" s="43"/>
      <c r="D1490" s="29"/>
      <c r="E1490" s="29"/>
      <c r="F1490" s="255"/>
      <c r="G1490" s="256"/>
      <c r="H1490" s="256"/>
      <c r="I1490" s="200"/>
      <c r="J1490" s="203"/>
      <c r="K1490" s="200"/>
      <c r="L1490" s="200"/>
      <c r="M1490" s="37"/>
      <c r="N1490" s="37"/>
      <c r="O1490" s="153"/>
      <c r="P1490" s="45"/>
      <c r="Q1490" s="54"/>
      <c r="R1490" s="260"/>
      <c r="S1490" s="258"/>
      <c r="T1490" s="258"/>
      <c r="U1490" s="38"/>
      <c r="V1490" s="261"/>
      <c r="W1490" s="256"/>
      <c r="X1490" s="256"/>
      <c r="Y1490" s="256"/>
      <c r="Z1490" s="256"/>
      <c r="AA1490" s="54"/>
      <c r="AB1490" s="200"/>
      <c r="AC1490" s="31"/>
      <c r="AD1490" s="184"/>
      <c r="AE1490" s="51"/>
      <c r="AF1490" s="52"/>
      <c r="AG1490" s="41"/>
      <c r="AH1490" s="45"/>
      <c r="AI1490" s="28"/>
      <c r="AJ1490" s="28"/>
      <c r="AK1490" s="28"/>
      <c r="AL1490" s="28"/>
      <c r="AM1490" s="12"/>
      <c r="AN1490" s="12"/>
      <c r="AO1490" s="12"/>
      <c r="AP1490" s="12"/>
      <c r="AQ1490" s="12"/>
      <c r="AR1490" s="13"/>
      <c r="AS1490" s="14"/>
    </row>
    <row r="1491" spans="1:45" s="16" customFormat="1" ht="30.95" hidden="1" customHeight="1" x14ac:dyDescent="0.2">
      <c r="A1491" s="35" t="s">
        <v>1861</v>
      </c>
      <c r="B1491" s="36" t="s">
        <v>392</v>
      </c>
      <c r="C1491" s="43"/>
      <c r="D1491" s="29"/>
      <c r="E1491" s="29"/>
      <c r="F1491" s="255"/>
      <c r="G1491" s="256"/>
      <c r="H1491" s="256"/>
      <c r="I1491" s="200"/>
      <c r="J1491" s="203" t="s">
        <v>1872</v>
      </c>
      <c r="K1491" s="200"/>
      <c r="L1491" s="200"/>
      <c r="M1491" s="37"/>
      <c r="N1491" s="37"/>
      <c r="O1491" s="153"/>
      <c r="P1491" s="45"/>
      <c r="Q1491" s="54"/>
      <c r="R1491" s="260"/>
      <c r="S1491" s="258"/>
      <c r="T1491" s="258"/>
      <c r="U1491" s="38"/>
      <c r="V1491" s="261"/>
      <c r="W1491" s="256"/>
      <c r="X1491" s="256"/>
      <c r="Y1491" s="256"/>
      <c r="Z1491" s="256"/>
      <c r="AA1491" s="54"/>
      <c r="AB1491" s="200"/>
      <c r="AC1491" s="31"/>
      <c r="AD1491" s="184"/>
      <c r="AE1491" s="51"/>
      <c r="AF1491" s="52"/>
      <c r="AG1491" s="41"/>
      <c r="AH1491" s="45"/>
      <c r="AI1491" s="28"/>
      <c r="AJ1491" s="28"/>
      <c r="AK1491" s="28"/>
      <c r="AL1491" s="28"/>
      <c r="AM1491" s="12"/>
      <c r="AN1491" s="12"/>
      <c r="AO1491" s="12"/>
      <c r="AP1491" s="12"/>
      <c r="AQ1491" s="12"/>
      <c r="AR1491" s="13"/>
      <c r="AS1491" s="14"/>
    </row>
    <row r="1492" spans="1:45" s="16" customFormat="1" ht="30.95" hidden="1" customHeight="1" x14ac:dyDescent="0.2">
      <c r="A1492" s="35"/>
      <c r="B1492" s="36"/>
      <c r="C1492" s="43"/>
      <c r="D1492" s="29"/>
      <c r="E1492" s="29"/>
      <c r="F1492" s="255"/>
      <c r="G1492" s="256"/>
      <c r="H1492" s="256"/>
      <c r="I1492" s="200"/>
      <c r="J1492" s="203"/>
      <c r="K1492" s="200"/>
      <c r="L1492" s="200"/>
      <c r="M1492" s="37"/>
      <c r="N1492" s="37"/>
      <c r="O1492" s="153"/>
      <c r="P1492" s="45"/>
      <c r="Q1492" s="54"/>
      <c r="R1492" s="260"/>
      <c r="S1492" s="258"/>
      <c r="T1492" s="258"/>
      <c r="U1492" s="38"/>
      <c r="V1492" s="261"/>
      <c r="W1492" s="256"/>
      <c r="X1492" s="256"/>
      <c r="Y1492" s="256"/>
      <c r="Z1492" s="256"/>
      <c r="AA1492" s="54"/>
      <c r="AB1492" s="200"/>
      <c r="AC1492" s="31"/>
      <c r="AD1492" s="184"/>
      <c r="AE1492" s="51"/>
      <c r="AF1492" s="52"/>
      <c r="AG1492" s="41"/>
      <c r="AH1492" s="45"/>
      <c r="AI1492" s="28"/>
      <c r="AJ1492" s="28"/>
      <c r="AK1492" s="28"/>
      <c r="AL1492" s="28"/>
      <c r="AM1492" s="12"/>
      <c r="AN1492" s="12"/>
      <c r="AO1492" s="12"/>
      <c r="AP1492" s="12"/>
      <c r="AQ1492" s="12"/>
      <c r="AR1492" s="13"/>
      <c r="AS1492" s="14"/>
    </row>
    <row r="1493" spans="1:45" s="16" customFormat="1" ht="30.95" hidden="1" customHeight="1" x14ac:dyDescent="0.2">
      <c r="A1493" s="35" t="s">
        <v>1862</v>
      </c>
      <c r="B1493" s="36" t="s">
        <v>1402</v>
      </c>
      <c r="C1493" s="43"/>
      <c r="D1493" s="29"/>
      <c r="E1493" s="29"/>
      <c r="F1493" s="255"/>
      <c r="G1493" s="256"/>
      <c r="H1493" s="256"/>
      <c r="I1493" s="200"/>
      <c r="J1493" s="203" t="s">
        <v>1872</v>
      </c>
      <c r="K1493" s="200"/>
      <c r="L1493" s="200"/>
      <c r="M1493" s="37"/>
      <c r="N1493" s="37"/>
      <c r="O1493" s="153"/>
      <c r="P1493" s="45"/>
      <c r="Q1493" s="54"/>
      <c r="R1493" s="260"/>
      <c r="S1493" s="258"/>
      <c r="T1493" s="258"/>
      <c r="U1493" s="38"/>
      <c r="V1493" s="261"/>
      <c r="W1493" s="256"/>
      <c r="X1493" s="256"/>
      <c r="Y1493" s="256"/>
      <c r="Z1493" s="256"/>
      <c r="AA1493" s="54"/>
      <c r="AB1493" s="200"/>
      <c r="AC1493" s="31"/>
      <c r="AD1493" s="184"/>
      <c r="AE1493" s="51"/>
      <c r="AF1493" s="52"/>
      <c r="AG1493" s="41"/>
      <c r="AH1493" s="45"/>
      <c r="AI1493" s="28"/>
      <c r="AJ1493" s="28"/>
      <c r="AK1493" s="28"/>
      <c r="AL1493" s="28"/>
      <c r="AM1493" s="12"/>
      <c r="AN1493" s="12"/>
      <c r="AO1493" s="12"/>
      <c r="AP1493" s="12"/>
      <c r="AQ1493" s="12"/>
      <c r="AR1493" s="13"/>
      <c r="AS1493" s="14"/>
    </row>
    <row r="1494" spans="1:45" s="16" customFormat="1" ht="30.95" hidden="1" customHeight="1" x14ac:dyDescent="0.2">
      <c r="A1494" s="35"/>
      <c r="B1494" s="36"/>
      <c r="C1494" s="43"/>
      <c r="D1494" s="29"/>
      <c r="E1494" s="29"/>
      <c r="F1494" s="255"/>
      <c r="G1494" s="256"/>
      <c r="H1494" s="256"/>
      <c r="I1494" s="200"/>
      <c r="J1494" s="203"/>
      <c r="K1494" s="200"/>
      <c r="L1494" s="200"/>
      <c r="M1494" s="37"/>
      <c r="N1494" s="37"/>
      <c r="O1494" s="153"/>
      <c r="P1494" s="45"/>
      <c r="Q1494" s="54"/>
      <c r="R1494" s="260"/>
      <c r="S1494" s="258"/>
      <c r="T1494" s="258"/>
      <c r="U1494" s="38"/>
      <c r="V1494" s="261"/>
      <c r="W1494" s="256"/>
      <c r="X1494" s="256"/>
      <c r="Y1494" s="256"/>
      <c r="Z1494" s="256"/>
      <c r="AA1494" s="54"/>
      <c r="AB1494" s="200"/>
      <c r="AC1494" s="31"/>
      <c r="AD1494" s="184"/>
      <c r="AE1494" s="51"/>
      <c r="AF1494" s="52"/>
      <c r="AG1494" s="41"/>
      <c r="AH1494" s="45"/>
      <c r="AI1494" s="28"/>
      <c r="AJ1494" s="28"/>
      <c r="AK1494" s="28"/>
      <c r="AL1494" s="28"/>
      <c r="AM1494" s="12"/>
      <c r="AN1494" s="12"/>
      <c r="AO1494" s="12"/>
      <c r="AP1494" s="12"/>
      <c r="AQ1494" s="12"/>
      <c r="AR1494" s="13"/>
      <c r="AS1494" s="14"/>
    </row>
    <row r="1495" spans="1:45" s="16" customFormat="1" ht="30.95" hidden="1" customHeight="1" x14ac:dyDescent="0.2">
      <c r="A1495" s="35" t="s">
        <v>1863</v>
      </c>
      <c r="B1495" s="36" t="s">
        <v>1405</v>
      </c>
      <c r="C1495" s="43"/>
      <c r="D1495" s="29"/>
      <c r="E1495" s="29"/>
      <c r="F1495" s="255"/>
      <c r="G1495" s="256"/>
      <c r="H1495" s="256"/>
      <c r="I1495" s="200"/>
      <c r="J1495" s="203" t="s">
        <v>1872</v>
      </c>
      <c r="K1495" s="200"/>
      <c r="L1495" s="200"/>
      <c r="M1495" s="37"/>
      <c r="N1495" s="37"/>
      <c r="O1495" s="153"/>
      <c r="P1495" s="45"/>
      <c r="Q1495" s="54"/>
      <c r="R1495" s="260"/>
      <c r="S1495" s="258"/>
      <c r="T1495" s="258"/>
      <c r="U1495" s="38"/>
      <c r="V1495" s="261"/>
      <c r="W1495" s="256"/>
      <c r="X1495" s="256"/>
      <c r="Y1495" s="256"/>
      <c r="Z1495" s="256"/>
      <c r="AA1495" s="54"/>
      <c r="AB1495" s="200"/>
      <c r="AC1495" s="31"/>
      <c r="AD1495" s="184"/>
      <c r="AE1495" s="51"/>
      <c r="AF1495" s="52"/>
      <c r="AG1495" s="41"/>
      <c r="AH1495" s="45"/>
      <c r="AI1495" s="28"/>
      <c r="AJ1495" s="28"/>
      <c r="AK1495" s="28"/>
      <c r="AL1495" s="28"/>
      <c r="AM1495" s="12"/>
      <c r="AN1495" s="12"/>
      <c r="AO1495" s="12"/>
      <c r="AP1495" s="12"/>
      <c r="AQ1495" s="12"/>
      <c r="AR1495" s="13"/>
      <c r="AS1495" s="14"/>
    </row>
    <row r="1496" spans="1:45" s="16" customFormat="1" ht="30.95" hidden="1" customHeight="1" x14ac:dyDescent="0.2">
      <c r="A1496" s="35"/>
      <c r="B1496" s="36"/>
      <c r="C1496" s="43"/>
      <c r="D1496" s="29"/>
      <c r="E1496" s="29"/>
      <c r="F1496" s="255"/>
      <c r="G1496" s="256"/>
      <c r="H1496" s="256"/>
      <c r="I1496" s="200"/>
      <c r="J1496" s="203"/>
      <c r="K1496" s="200"/>
      <c r="L1496" s="200"/>
      <c r="M1496" s="37"/>
      <c r="N1496" s="37"/>
      <c r="O1496" s="153"/>
      <c r="P1496" s="45"/>
      <c r="Q1496" s="54"/>
      <c r="R1496" s="260"/>
      <c r="S1496" s="258"/>
      <c r="T1496" s="258"/>
      <c r="U1496" s="38"/>
      <c r="V1496" s="261"/>
      <c r="W1496" s="256"/>
      <c r="X1496" s="256"/>
      <c r="Y1496" s="256"/>
      <c r="Z1496" s="256"/>
      <c r="AA1496" s="54"/>
      <c r="AB1496" s="200"/>
      <c r="AC1496" s="31"/>
      <c r="AD1496" s="184"/>
      <c r="AE1496" s="51"/>
      <c r="AF1496" s="52"/>
      <c r="AG1496" s="41"/>
      <c r="AH1496" s="45"/>
      <c r="AI1496" s="28"/>
      <c r="AJ1496" s="28"/>
      <c r="AK1496" s="28"/>
      <c r="AL1496" s="28"/>
      <c r="AM1496" s="12"/>
      <c r="AN1496" s="12"/>
      <c r="AO1496" s="12"/>
      <c r="AP1496" s="12"/>
      <c r="AQ1496" s="12"/>
      <c r="AR1496" s="13"/>
      <c r="AS1496" s="14"/>
    </row>
    <row r="1497" spans="1:45" s="16" customFormat="1" ht="30.95" hidden="1" customHeight="1" x14ac:dyDescent="0.2">
      <c r="A1497" s="35" t="s">
        <v>1864</v>
      </c>
      <c r="B1497" s="36" t="s">
        <v>1412</v>
      </c>
      <c r="C1497" s="43"/>
      <c r="D1497" s="29"/>
      <c r="E1497" s="29"/>
      <c r="F1497" s="255"/>
      <c r="G1497" s="256"/>
      <c r="H1497" s="256"/>
      <c r="I1497" s="200"/>
      <c r="J1497" s="203" t="s">
        <v>1872</v>
      </c>
      <c r="K1497" s="200"/>
      <c r="L1497" s="200"/>
      <c r="M1497" s="37"/>
      <c r="N1497" s="37"/>
      <c r="O1497" s="153"/>
      <c r="P1497" s="45"/>
      <c r="Q1497" s="54"/>
      <c r="R1497" s="260"/>
      <c r="S1497" s="258"/>
      <c r="T1497" s="258"/>
      <c r="U1497" s="38"/>
      <c r="V1497" s="261"/>
      <c r="W1497" s="256"/>
      <c r="X1497" s="256"/>
      <c r="Y1497" s="256"/>
      <c r="Z1497" s="256"/>
      <c r="AA1497" s="54"/>
      <c r="AB1497" s="200"/>
      <c r="AC1497" s="31"/>
      <c r="AD1497" s="184"/>
      <c r="AE1497" s="51"/>
      <c r="AF1497" s="52"/>
      <c r="AG1497" s="41"/>
      <c r="AH1497" s="45"/>
      <c r="AI1497" s="28"/>
      <c r="AJ1497" s="28"/>
      <c r="AK1497" s="28"/>
      <c r="AL1497" s="28"/>
      <c r="AM1497" s="12"/>
      <c r="AN1497" s="12"/>
      <c r="AO1497" s="12"/>
      <c r="AP1497" s="12"/>
      <c r="AQ1497" s="12"/>
      <c r="AR1497" s="13"/>
      <c r="AS1497" s="14"/>
    </row>
    <row r="1498" spans="1:45" s="16" customFormat="1" ht="30.95" hidden="1" customHeight="1" x14ac:dyDescent="0.2">
      <c r="A1498" s="35"/>
      <c r="B1498" s="36"/>
      <c r="C1498" s="43"/>
      <c r="D1498" s="29"/>
      <c r="E1498" s="29"/>
      <c r="F1498" s="255"/>
      <c r="G1498" s="256"/>
      <c r="H1498" s="256"/>
      <c r="I1498" s="200"/>
      <c r="J1498" s="203"/>
      <c r="K1498" s="200"/>
      <c r="L1498" s="200"/>
      <c r="M1498" s="37"/>
      <c r="N1498" s="37"/>
      <c r="O1498" s="153"/>
      <c r="P1498" s="45"/>
      <c r="Q1498" s="54"/>
      <c r="R1498" s="260"/>
      <c r="S1498" s="258"/>
      <c r="T1498" s="258"/>
      <c r="U1498" s="38"/>
      <c r="V1498" s="261"/>
      <c r="W1498" s="256"/>
      <c r="X1498" s="256"/>
      <c r="Y1498" s="256"/>
      <c r="Z1498" s="256"/>
      <c r="AA1498" s="54"/>
      <c r="AB1498" s="200"/>
      <c r="AC1498" s="31"/>
      <c r="AD1498" s="184"/>
      <c r="AE1498" s="51"/>
      <c r="AF1498" s="52"/>
      <c r="AG1498" s="41"/>
      <c r="AH1498" s="45"/>
      <c r="AI1498" s="28"/>
      <c r="AJ1498" s="28"/>
      <c r="AK1498" s="28"/>
      <c r="AL1498" s="28"/>
      <c r="AM1498" s="12"/>
      <c r="AN1498" s="12"/>
      <c r="AO1498" s="12"/>
      <c r="AP1498" s="12"/>
      <c r="AQ1498" s="12"/>
      <c r="AR1498" s="13"/>
      <c r="AS1498" s="14"/>
    </row>
    <row r="1499" spans="1:45" s="16" customFormat="1" ht="30.95" hidden="1" customHeight="1" x14ac:dyDescent="0.2">
      <c r="A1499" s="35" t="s">
        <v>1865</v>
      </c>
      <c r="B1499" s="36" t="s">
        <v>1408</v>
      </c>
      <c r="C1499" s="43"/>
      <c r="D1499" s="29"/>
      <c r="E1499" s="29"/>
      <c r="F1499" s="255"/>
      <c r="G1499" s="256"/>
      <c r="H1499" s="256"/>
      <c r="I1499" s="200"/>
      <c r="J1499" s="203" t="s">
        <v>1872</v>
      </c>
      <c r="K1499" s="200"/>
      <c r="L1499" s="200"/>
      <c r="M1499" s="37"/>
      <c r="N1499" s="37"/>
      <c r="O1499" s="153"/>
      <c r="P1499" s="45"/>
      <c r="Q1499" s="54"/>
      <c r="R1499" s="260"/>
      <c r="S1499" s="258"/>
      <c r="T1499" s="258"/>
      <c r="U1499" s="38"/>
      <c r="V1499" s="261"/>
      <c r="W1499" s="256"/>
      <c r="X1499" s="256"/>
      <c r="Y1499" s="256"/>
      <c r="Z1499" s="256"/>
      <c r="AA1499" s="54"/>
      <c r="AB1499" s="200"/>
      <c r="AC1499" s="31"/>
      <c r="AD1499" s="184"/>
      <c r="AE1499" s="51"/>
      <c r="AF1499" s="52"/>
      <c r="AG1499" s="41"/>
      <c r="AH1499" s="45"/>
      <c r="AI1499" s="28"/>
      <c r="AJ1499" s="28"/>
      <c r="AK1499" s="28"/>
      <c r="AL1499" s="28"/>
      <c r="AM1499" s="12"/>
      <c r="AN1499" s="12"/>
      <c r="AO1499" s="12"/>
      <c r="AP1499" s="12"/>
      <c r="AQ1499" s="12"/>
      <c r="AR1499" s="13"/>
      <c r="AS1499" s="14"/>
    </row>
    <row r="1500" spans="1:45" s="16" customFormat="1" ht="30.95" hidden="1" customHeight="1" x14ac:dyDescent="0.2">
      <c r="A1500" s="35"/>
      <c r="B1500" s="36"/>
      <c r="C1500" s="43"/>
      <c r="D1500" s="29"/>
      <c r="E1500" s="29"/>
      <c r="F1500" s="255"/>
      <c r="G1500" s="256"/>
      <c r="H1500" s="256"/>
      <c r="I1500" s="200"/>
      <c r="J1500" s="203"/>
      <c r="K1500" s="200"/>
      <c r="L1500" s="200"/>
      <c r="M1500" s="37"/>
      <c r="N1500" s="37"/>
      <c r="O1500" s="153"/>
      <c r="P1500" s="45"/>
      <c r="Q1500" s="54"/>
      <c r="R1500" s="260"/>
      <c r="S1500" s="258"/>
      <c r="T1500" s="258"/>
      <c r="U1500" s="38"/>
      <c r="V1500" s="261"/>
      <c r="W1500" s="256"/>
      <c r="X1500" s="256"/>
      <c r="Y1500" s="256"/>
      <c r="Z1500" s="256"/>
      <c r="AA1500" s="54"/>
      <c r="AB1500" s="200"/>
      <c r="AC1500" s="31"/>
      <c r="AD1500" s="184"/>
      <c r="AE1500" s="51"/>
      <c r="AF1500" s="52"/>
      <c r="AG1500" s="41"/>
      <c r="AH1500" s="45"/>
      <c r="AI1500" s="28"/>
      <c r="AJ1500" s="28"/>
      <c r="AK1500" s="28"/>
      <c r="AL1500" s="28"/>
      <c r="AM1500" s="12"/>
      <c r="AN1500" s="12"/>
      <c r="AO1500" s="12"/>
      <c r="AP1500" s="12"/>
      <c r="AQ1500" s="12"/>
      <c r="AR1500" s="13"/>
      <c r="AS1500" s="14"/>
    </row>
    <row r="1501" spans="1:45" s="16" customFormat="1" ht="30.95" hidden="1" customHeight="1" x14ac:dyDescent="0.2">
      <c r="A1501" s="35" t="s">
        <v>1866</v>
      </c>
      <c r="B1501" s="36" t="s">
        <v>1409</v>
      </c>
      <c r="C1501" s="43"/>
      <c r="D1501" s="29"/>
      <c r="E1501" s="29"/>
      <c r="F1501" s="255"/>
      <c r="G1501" s="256"/>
      <c r="H1501" s="256"/>
      <c r="I1501" s="200"/>
      <c r="J1501" s="203" t="s">
        <v>1871</v>
      </c>
      <c r="K1501" s="200"/>
      <c r="L1501" s="200"/>
      <c r="M1501" s="37"/>
      <c r="N1501" s="37"/>
      <c r="O1501" s="153"/>
      <c r="P1501" s="45"/>
      <c r="Q1501" s="54"/>
      <c r="R1501" s="260"/>
      <c r="S1501" s="258"/>
      <c r="T1501" s="258"/>
      <c r="U1501" s="38"/>
      <c r="V1501" s="261"/>
      <c r="W1501" s="256"/>
      <c r="X1501" s="256"/>
      <c r="Y1501" s="256"/>
      <c r="Z1501" s="256"/>
      <c r="AA1501" s="54"/>
      <c r="AB1501" s="200"/>
      <c r="AC1501" s="31"/>
      <c r="AD1501" s="184"/>
      <c r="AE1501" s="51"/>
      <c r="AF1501" s="52"/>
      <c r="AG1501" s="41"/>
      <c r="AH1501" s="45"/>
      <c r="AI1501" s="28"/>
      <c r="AJ1501" s="28"/>
      <c r="AK1501" s="28"/>
      <c r="AL1501" s="28"/>
      <c r="AM1501" s="12"/>
      <c r="AN1501" s="12"/>
      <c r="AO1501" s="12"/>
      <c r="AP1501" s="12"/>
      <c r="AQ1501" s="12"/>
      <c r="AR1501" s="13"/>
      <c r="AS1501" s="14"/>
    </row>
    <row r="1502" spans="1:45" s="16" customFormat="1" ht="30.95" hidden="1" customHeight="1" x14ac:dyDescent="0.2">
      <c r="A1502" s="35"/>
      <c r="B1502" s="36"/>
      <c r="C1502" s="43"/>
      <c r="D1502" s="29"/>
      <c r="E1502" s="29"/>
      <c r="F1502" s="255"/>
      <c r="G1502" s="256"/>
      <c r="H1502" s="256"/>
      <c r="I1502" s="200"/>
      <c r="J1502" s="203"/>
      <c r="K1502" s="200"/>
      <c r="L1502" s="200"/>
      <c r="M1502" s="37"/>
      <c r="N1502" s="37"/>
      <c r="O1502" s="153"/>
      <c r="P1502" s="45"/>
      <c r="Q1502" s="54"/>
      <c r="R1502" s="260"/>
      <c r="S1502" s="258"/>
      <c r="T1502" s="258"/>
      <c r="U1502" s="38"/>
      <c r="V1502" s="261"/>
      <c r="W1502" s="256"/>
      <c r="X1502" s="256"/>
      <c r="Y1502" s="256"/>
      <c r="Z1502" s="256"/>
      <c r="AA1502" s="54"/>
      <c r="AB1502" s="200"/>
      <c r="AC1502" s="31"/>
      <c r="AD1502" s="184"/>
      <c r="AE1502" s="51"/>
      <c r="AF1502" s="52"/>
      <c r="AG1502" s="41"/>
      <c r="AH1502" s="45"/>
      <c r="AI1502" s="28"/>
      <c r="AJ1502" s="28"/>
      <c r="AK1502" s="28"/>
      <c r="AL1502" s="28"/>
      <c r="AM1502" s="12"/>
      <c r="AN1502" s="12"/>
      <c r="AO1502" s="12"/>
      <c r="AP1502" s="12"/>
      <c r="AQ1502" s="12"/>
      <c r="AR1502" s="13"/>
      <c r="AS1502" s="14"/>
    </row>
    <row r="1503" spans="1:45" s="16" customFormat="1" ht="30.95" hidden="1" customHeight="1" x14ac:dyDescent="0.2">
      <c r="A1503" s="35" t="s">
        <v>1867</v>
      </c>
      <c r="B1503" s="36" t="s">
        <v>1397</v>
      </c>
      <c r="C1503" s="43"/>
      <c r="D1503" s="29"/>
      <c r="E1503" s="29"/>
      <c r="F1503" s="255"/>
      <c r="G1503" s="256"/>
      <c r="H1503" s="256"/>
      <c r="I1503" s="200"/>
      <c r="J1503" s="203" t="s">
        <v>1893</v>
      </c>
      <c r="K1503" s="200"/>
      <c r="L1503" s="200"/>
      <c r="M1503" s="37"/>
      <c r="N1503" s="37"/>
      <c r="O1503" s="153"/>
      <c r="P1503" s="45"/>
      <c r="Q1503" s="54"/>
      <c r="R1503" s="260"/>
      <c r="S1503" s="258"/>
      <c r="T1503" s="258"/>
      <c r="U1503" s="38"/>
      <c r="V1503" s="261"/>
      <c r="W1503" s="256"/>
      <c r="X1503" s="256"/>
      <c r="Y1503" s="256"/>
      <c r="Z1503" s="256"/>
      <c r="AA1503" s="54"/>
      <c r="AB1503" s="200"/>
      <c r="AC1503" s="31"/>
      <c r="AD1503" s="184"/>
      <c r="AE1503" s="51"/>
      <c r="AF1503" s="52"/>
      <c r="AG1503" s="41"/>
      <c r="AH1503" s="45"/>
      <c r="AI1503" s="28"/>
      <c r="AJ1503" s="28"/>
      <c r="AK1503" s="28"/>
      <c r="AL1503" s="28"/>
      <c r="AM1503" s="12"/>
      <c r="AN1503" s="12"/>
      <c r="AO1503" s="12"/>
      <c r="AP1503" s="12"/>
      <c r="AQ1503" s="12"/>
      <c r="AR1503" s="13"/>
      <c r="AS1503" s="14"/>
    </row>
    <row r="1504" spans="1:45" s="16" customFormat="1" ht="30.95" hidden="1" customHeight="1" x14ac:dyDescent="0.2">
      <c r="A1504" s="35"/>
      <c r="B1504" s="36"/>
      <c r="C1504" s="43"/>
      <c r="D1504" s="29"/>
      <c r="E1504" s="29"/>
      <c r="F1504" s="255"/>
      <c r="G1504" s="256"/>
      <c r="H1504" s="256"/>
      <c r="I1504" s="200"/>
      <c r="J1504" s="203"/>
      <c r="K1504" s="200"/>
      <c r="L1504" s="200"/>
      <c r="M1504" s="37"/>
      <c r="N1504" s="37"/>
      <c r="O1504" s="153"/>
      <c r="P1504" s="45"/>
      <c r="Q1504" s="54"/>
      <c r="R1504" s="260"/>
      <c r="S1504" s="258"/>
      <c r="T1504" s="258"/>
      <c r="U1504" s="38"/>
      <c r="V1504" s="261"/>
      <c r="W1504" s="256"/>
      <c r="X1504" s="256"/>
      <c r="Y1504" s="256"/>
      <c r="Z1504" s="256"/>
      <c r="AA1504" s="54"/>
      <c r="AB1504" s="200"/>
      <c r="AC1504" s="31"/>
      <c r="AD1504" s="184"/>
      <c r="AE1504" s="51"/>
      <c r="AF1504" s="52"/>
      <c r="AG1504" s="41"/>
      <c r="AH1504" s="45"/>
      <c r="AI1504" s="28"/>
      <c r="AJ1504" s="28"/>
      <c r="AK1504" s="28"/>
      <c r="AL1504" s="28"/>
      <c r="AM1504" s="12"/>
      <c r="AN1504" s="12"/>
      <c r="AO1504" s="12"/>
      <c r="AP1504" s="12"/>
      <c r="AQ1504" s="12"/>
      <c r="AR1504" s="13"/>
      <c r="AS1504" s="14"/>
    </row>
    <row r="1505" spans="1:45" s="16" customFormat="1" ht="30.95" hidden="1" customHeight="1" x14ac:dyDescent="0.2">
      <c r="A1505" s="35" t="s">
        <v>1868</v>
      </c>
      <c r="B1505" s="36" t="s">
        <v>392</v>
      </c>
      <c r="C1505" s="43"/>
      <c r="D1505" s="29"/>
      <c r="E1505" s="29"/>
      <c r="F1505" s="255"/>
      <c r="G1505" s="256"/>
      <c r="H1505" s="256"/>
      <c r="I1505" s="200"/>
      <c r="J1505" s="203" t="s">
        <v>1872</v>
      </c>
      <c r="K1505" s="200"/>
      <c r="L1505" s="200"/>
      <c r="M1505" s="37"/>
      <c r="N1505" s="37"/>
      <c r="O1505" s="153"/>
      <c r="P1505" s="45"/>
      <c r="Q1505" s="54"/>
      <c r="R1505" s="260"/>
      <c r="S1505" s="258"/>
      <c r="T1505" s="258"/>
      <c r="U1505" s="38"/>
      <c r="V1505" s="261"/>
      <c r="W1505" s="256"/>
      <c r="X1505" s="256"/>
      <c r="Y1505" s="256"/>
      <c r="Z1505" s="256"/>
      <c r="AA1505" s="54"/>
      <c r="AB1505" s="200"/>
      <c r="AC1505" s="31"/>
      <c r="AD1505" s="184"/>
      <c r="AE1505" s="51"/>
      <c r="AF1505" s="52"/>
      <c r="AG1505" s="41"/>
      <c r="AH1505" s="45"/>
      <c r="AI1505" s="28"/>
      <c r="AJ1505" s="28"/>
      <c r="AK1505" s="28"/>
      <c r="AL1505" s="28"/>
      <c r="AM1505" s="12"/>
      <c r="AN1505" s="12"/>
      <c r="AO1505" s="12"/>
      <c r="AP1505" s="12"/>
      <c r="AQ1505" s="12"/>
      <c r="AR1505" s="13"/>
      <c r="AS1505" s="14"/>
    </row>
    <row r="1506" spans="1:45" s="16" customFormat="1" ht="30.95" hidden="1" customHeight="1" x14ac:dyDescent="0.2">
      <c r="A1506" s="35"/>
      <c r="B1506" s="36"/>
      <c r="C1506" s="43"/>
      <c r="D1506" s="29"/>
      <c r="E1506" s="29"/>
      <c r="F1506" s="255"/>
      <c r="G1506" s="256"/>
      <c r="H1506" s="256"/>
      <c r="I1506" s="200"/>
      <c r="J1506" s="203"/>
      <c r="K1506" s="200"/>
      <c r="L1506" s="200"/>
      <c r="M1506" s="37"/>
      <c r="N1506" s="37"/>
      <c r="O1506" s="153"/>
      <c r="P1506" s="45"/>
      <c r="Q1506" s="54"/>
      <c r="R1506" s="260"/>
      <c r="S1506" s="258"/>
      <c r="T1506" s="258"/>
      <c r="U1506" s="38"/>
      <c r="V1506" s="261"/>
      <c r="W1506" s="256"/>
      <c r="X1506" s="256"/>
      <c r="Y1506" s="256"/>
      <c r="Z1506" s="256"/>
      <c r="AA1506" s="54"/>
      <c r="AB1506" s="200"/>
      <c r="AC1506" s="31"/>
      <c r="AD1506" s="184"/>
      <c r="AE1506" s="51"/>
      <c r="AF1506" s="52"/>
      <c r="AG1506" s="41"/>
      <c r="AH1506" s="45"/>
      <c r="AI1506" s="28"/>
      <c r="AJ1506" s="28"/>
      <c r="AK1506" s="28"/>
      <c r="AL1506" s="28"/>
      <c r="AM1506" s="12"/>
      <c r="AN1506" s="12"/>
      <c r="AO1506" s="12"/>
      <c r="AP1506" s="12"/>
      <c r="AQ1506" s="12"/>
      <c r="AR1506" s="13"/>
      <c r="AS1506" s="14"/>
    </row>
    <row r="1507" spans="1:45" s="16" customFormat="1" ht="30.95" hidden="1" customHeight="1" x14ac:dyDescent="0.2">
      <c r="A1507" s="35" t="s">
        <v>1869</v>
      </c>
      <c r="B1507" s="36" t="s">
        <v>1402</v>
      </c>
      <c r="C1507" s="43"/>
      <c r="D1507" s="29"/>
      <c r="E1507" s="29"/>
      <c r="F1507" s="255"/>
      <c r="G1507" s="256"/>
      <c r="H1507" s="256"/>
      <c r="I1507" s="200"/>
      <c r="J1507" s="203" t="s">
        <v>1872</v>
      </c>
      <c r="K1507" s="200"/>
      <c r="L1507" s="200"/>
      <c r="M1507" s="37"/>
      <c r="N1507" s="37"/>
      <c r="O1507" s="153"/>
      <c r="P1507" s="45"/>
      <c r="Q1507" s="54"/>
      <c r="R1507" s="260"/>
      <c r="S1507" s="258"/>
      <c r="T1507" s="258"/>
      <c r="U1507" s="38"/>
      <c r="V1507" s="261"/>
      <c r="W1507" s="256"/>
      <c r="X1507" s="256"/>
      <c r="Y1507" s="256"/>
      <c r="Z1507" s="256"/>
      <c r="AA1507" s="54"/>
      <c r="AB1507" s="200"/>
      <c r="AC1507" s="31"/>
      <c r="AD1507" s="184"/>
      <c r="AE1507" s="51"/>
      <c r="AF1507" s="52"/>
      <c r="AG1507" s="41"/>
      <c r="AH1507" s="45"/>
      <c r="AI1507" s="28"/>
      <c r="AJ1507" s="28"/>
      <c r="AK1507" s="28"/>
      <c r="AL1507" s="28"/>
      <c r="AM1507" s="12"/>
      <c r="AN1507" s="12"/>
      <c r="AO1507" s="12"/>
      <c r="AP1507" s="12"/>
      <c r="AQ1507" s="12"/>
      <c r="AR1507" s="13"/>
      <c r="AS1507" s="14"/>
    </row>
    <row r="1508" spans="1:45" s="16" customFormat="1" ht="30.95" hidden="1" customHeight="1" x14ac:dyDescent="0.2">
      <c r="A1508" s="35"/>
      <c r="B1508" s="36"/>
      <c r="C1508" s="43"/>
      <c r="D1508" s="29"/>
      <c r="E1508" s="29"/>
      <c r="F1508" s="255"/>
      <c r="G1508" s="256"/>
      <c r="H1508" s="256"/>
      <c r="I1508" s="200"/>
      <c r="J1508" s="203"/>
      <c r="K1508" s="200"/>
      <c r="L1508" s="200"/>
      <c r="M1508" s="37"/>
      <c r="N1508" s="37"/>
      <c r="O1508" s="153"/>
      <c r="P1508" s="45"/>
      <c r="Q1508" s="54"/>
      <c r="R1508" s="260"/>
      <c r="S1508" s="258"/>
      <c r="T1508" s="258"/>
      <c r="U1508" s="38"/>
      <c r="V1508" s="261"/>
      <c r="W1508" s="256"/>
      <c r="X1508" s="256"/>
      <c r="Y1508" s="256"/>
      <c r="Z1508" s="256"/>
      <c r="AA1508" s="54"/>
      <c r="AB1508" s="200"/>
      <c r="AC1508" s="31"/>
      <c r="AD1508" s="184"/>
      <c r="AE1508" s="51"/>
      <c r="AF1508" s="52"/>
      <c r="AG1508" s="41"/>
      <c r="AH1508" s="45"/>
      <c r="AI1508" s="28"/>
      <c r="AJ1508" s="28"/>
      <c r="AK1508" s="28"/>
      <c r="AL1508" s="28"/>
      <c r="AM1508" s="12"/>
      <c r="AN1508" s="12"/>
      <c r="AO1508" s="12"/>
      <c r="AP1508" s="12"/>
      <c r="AQ1508" s="12"/>
      <c r="AR1508" s="13"/>
      <c r="AS1508" s="14"/>
    </row>
    <row r="1509" spans="1:45" s="16" customFormat="1" ht="30.95" hidden="1" customHeight="1" x14ac:dyDescent="0.2">
      <c r="A1509" s="35" t="s">
        <v>1870</v>
      </c>
      <c r="B1509" s="36" t="s">
        <v>1405</v>
      </c>
      <c r="C1509" s="43"/>
      <c r="D1509" s="29"/>
      <c r="E1509" s="29"/>
      <c r="F1509" s="255"/>
      <c r="G1509" s="256"/>
      <c r="H1509" s="256"/>
      <c r="I1509" s="200"/>
      <c r="J1509" s="203" t="s">
        <v>1893</v>
      </c>
      <c r="K1509" s="200"/>
      <c r="L1509" s="200"/>
      <c r="M1509" s="37"/>
      <c r="N1509" s="37"/>
      <c r="O1509" s="153"/>
      <c r="P1509" s="45"/>
      <c r="Q1509" s="54"/>
      <c r="R1509" s="260"/>
      <c r="S1509" s="258"/>
      <c r="T1509" s="258"/>
      <c r="U1509" s="38"/>
      <c r="V1509" s="261"/>
      <c r="W1509" s="256"/>
      <c r="X1509" s="256"/>
      <c r="Y1509" s="256"/>
      <c r="Z1509" s="256"/>
      <c r="AA1509" s="54"/>
      <c r="AB1509" s="200"/>
      <c r="AC1509" s="31"/>
      <c r="AD1509" s="184"/>
      <c r="AE1509" s="51"/>
      <c r="AF1509" s="52"/>
      <c r="AG1509" s="41"/>
      <c r="AH1509" s="45"/>
      <c r="AI1509" s="28"/>
      <c r="AJ1509" s="28"/>
      <c r="AK1509" s="28"/>
      <c r="AL1509" s="28"/>
      <c r="AM1509" s="12"/>
      <c r="AN1509" s="12"/>
      <c r="AO1509" s="12"/>
      <c r="AP1509" s="12"/>
      <c r="AQ1509" s="12"/>
      <c r="AR1509" s="13"/>
      <c r="AS1509" s="14"/>
    </row>
    <row r="1510" spans="1:45" s="16" customFormat="1" ht="30.95" hidden="1" customHeight="1" x14ac:dyDescent="0.2">
      <c r="A1510" s="35"/>
      <c r="B1510" s="36"/>
      <c r="C1510" s="43"/>
      <c r="D1510" s="29"/>
      <c r="E1510" s="29"/>
      <c r="F1510" s="255"/>
      <c r="G1510" s="256"/>
      <c r="H1510" s="256"/>
      <c r="I1510" s="200"/>
      <c r="J1510" s="203"/>
      <c r="K1510" s="200"/>
      <c r="L1510" s="200"/>
      <c r="M1510" s="37"/>
      <c r="N1510" s="37"/>
      <c r="O1510" s="153"/>
      <c r="P1510" s="45"/>
      <c r="Q1510" s="54"/>
      <c r="R1510" s="260"/>
      <c r="S1510" s="258"/>
      <c r="T1510" s="258"/>
      <c r="U1510" s="38"/>
      <c r="V1510" s="261"/>
      <c r="W1510" s="256"/>
      <c r="X1510" s="256"/>
      <c r="Y1510" s="256"/>
      <c r="Z1510" s="256"/>
      <c r="AA1510" s="54"/>
      <c r="AB1510" s="200"/>
      <c r="AC1510" s="31"/>
      <c r="AD1510" s="184"/>
      <c r="AE1510" s="51"/>
      <c r="AF1510" s="52"/>
      <c r="AG1510" s="41"/>
      <c r="AH1510" s="45"/>
      <c r="AI1510" s="28"/>
      <c r="AJ1510" s="28"/>
      <c r="AK1510" s="28"/>
      <c r="AL1510" s="28"/>
      <c r="AM1510" s="12"/>
      <c r="AN1510" s="12"/>
      <c r="AO1510" s="12"/>
      <c r="AP1510" s="12"/>
      <c r="AQ1510" s="12"/>
      <c r="AR1510" s="13"/>
      <c r="AS1510" s="14"/>
    </row>
    <row r="1511" spans="1:45" s="16" customFormat="1" ht="30.95" hidden="1" customHeight="1" x14ac:dyDescent="0.2">
      <c r="A1511" s="35" t="s">
        <v>1896</v>
      </c>
      <c r="B1511" s="36" t="s">
        <v>1412</v>
      </c>
      <c r="C1511" s="43"/>
      <c r="D1511" s="29"/>
      <c r="E1511" s="29"/>
      <c r="F1511" s="255"/>
      <c r="G1511" s="256"/>
      <c r="H1511" s="256"/>
      <c r="I1511" s="200"/>
      <c r="J1511" s="203" t="s">
        <v>1893</v>
      </c>
      <c r="K1511" s="200"/>
      <c r="L1511" s="200"/>
      <c r="M1511" s="37"/>
      <c r="N1511" s="37"/>
      <c r="O1511" s="153"/>
      <c r="P1511" s="45"/>
      <c r="Q1511" s="54"/>
      <c r="R1511" s="260"/>
      <c r="S1511" s="258"/>
      <c r="T1511" s="258"/>
      <c r="U1511" s="38"/>
      <c r="V1511" s="261"/>
      <c r="W1511" s="256"/>
      <c r="X1511" s="256"/>
      <c r="Y1511" s="256"/>
      <c r="Z1511" s="256"/>
      <c r="AA1511" s="54"/>
      <c r="AB1511" s="200"/>
      <c r="AC1511" s="31"/>
      <c r="AD1511" s="184"/>
      <c r="AE1511" s="51"/>
      <c r="AF1511" s="52"/>
      <c r="AG1511" s="41"/>
      <c r="AH1511" s="45"/>
      <c r="AI1511" s="28"/>
      <c r="AJ1511" s="28"/>
      <c r="AK1511" s="28"/>
      <c r="AL1511" s="28"/>
      <c r="AM1511" s="12"/>
      <c r="AN1511" s="12"/>
      <c r="AO1511" s="12"/>
      <c r="AP1511" s="12"/>
      <c r="AQ1511" s="12"/>
      <c r="AR1511" s="13"/>
      <c r="AS1511" s="14"/>
    </row>
    <row r="1512" spans="1:45" s="16" customFormat="1" ht="30.95" hidden="1" customHeight="1" x14ac:dyDescent="0.2">
      <c r="A1512" s="35"/>
      <c r="B1512" s="36"/>
      <c r="C1512" s="43"/>
      <c r="D1512" s="29"/>
      <c r="E1512" s="29"/>
      <c r="F1512" s="255"/>
      <c r="G1512" s="256"/>
      <c r="H1512" s="256"/>
      <c r="I1512" s="200"/>
      <c r="J1512" s="203"/>
      <c r="K1512" s="200"/>
      <c r="L1512" s="200"/>
      <c r="M1512" s="37"/>
      <c r="N1512" s="37"/>
      <c r="O1512" s="153"/>
      <c r="P1512" s="45"/>
      <c r="Q1512" s="54"/>
      <c r="R1512" s="260"/>
      <c r="S1512" s="258"/>
      <c r="T1512" s="258"/>
      <c r="U1512" s="38"/>
      <c r="V1512" s="261"/>
      <c r="W1512" s="256"/>
      <c r="X1512" s="256"/>
      <c r="Y1512" s="256"/>
      <c r="Z1512" s="256"/>
      <c r="AA1512" s="54"/>
      <c r="AB1512" s="200"/>
      <c r="AC1512" s="31"/>
      <c r="AD1512" s="184"/>
      <c r="AE1512" s="51"/>
      <c r="AF1512" s="52"/>
      <c r="AG1512" s="41"/>
      <c r="AH1512" s="45"/>
      <c r="AI1512" s="28"/>
      <c r="AJ1512" s="28"/>
      <c r="AK1512" s="28"/>
      <c r="AL1512" s="28"/>
      <c r="AM1512" s="12"/>
      <c r="AN1512" s="12"/>
      <c r="AO1512" s="12"/>
      <c r="AP1512" s="12"/>
      <c r="AQ1512" s="12"/>
      <c r="AR1512" s="13"/>
      <c r="AS1512" s="14"/>
    </row>
    <row r="1513" spans="1:45" s="16" customFormat="1" ht="30.95" hidden="1" customHeight="1" x14ac:dyDescent="0.2">
      <c r="A1513" s="35" t="s">
        <v>1897</v>
      </c>
      <c r="B1513" s="36" t="s">
        <v>1408</v>
      </c>
      <c r="C1513" s="43"/>
      <c r="D1513" s="29"/>
      <c r="E1513" s="29"/>
      <c r="F1513" s="255"/>
      <c r="G1513" s="256"/>
      <c r="H1513" s="256"/>
      <c r="I1513" s="200"/>
      <c r="J1513" s="203" t="s">
        <v>1893</v>
      </c>
      <c r="K1513" s="200"/>
      <c r="L1513" s="200"/>
      <c r="M1513" s="37"/>
      <c r="N1513" s="37"/>
      <c r="O1513" s="153"/>
      <c r="P1513" s="45"/>
      <c r="Q1513" s="54"/>
      <c r="R1513" s="260"/>
      <c r="S1513" s="258"/>
      <c r="T1513" s="258"/>
      <c r="U1513" s="38"/>
      <c r="V1513" s="261"/>
      <c r="W1513" s="256"/>
      <c r="X1513" s="256"/>
      <c r="Y1513" s="256"/>
      <c r="Z1513" s="256"/>
      <c r="AA1513" s="54"/>
      <c r="AB1513" s="200"/>
      <c r="AC1513" s="31"/>
      <c r="AD1513" s="184"/>
      <c r="AE1513" s="51"/>
      <c r="AF1513" s="52"/>
      <c r="AG1513" s="41"/>
      <c r="AH1513" s="45"/>
      <c r="AI1513" s="28"/>
      <c r="AJ1513" s="28"/>
      <c r="AK1513" s="28"/>
      <c r="AL1513" s="28"/>
      <c r="AM1513" s="12"/>
      <c r="AN1513" s="12"/>
      <c r="AO1513" s="12"/>
      <c r="AP1513" s="12"/>
      <c r="AQ1513" s="12"/>
      <c r="AR1513" s="13"/>
      <c r="AS1513" s="14"/>
    </row>
    <row r="1514" spans="1:45" s="16" customFormat="1" ht="30.95" hidden="1" customHeight="1" x14ac:dyDescent="0.2">
      <c r="A1514" s="35"/>
      <c r="B1514" s="36"/>
      <c r="C1514" s="43"/>
      <c r="D1514" s="29"/>
      <c r="E1514" s="29"/>
      <c r="F1514" s="255"/>
      <c r="G1514" s="256"/>
      <c r="H1514" s="256"/>
      <c r="I1514" s="200"/>
      <c r="J1514" s="203"/>
      <c r="K1514" s="200"/>
      <c r="L1514" s="200"/>
      <c r="M1514" s="37"/>
      <c r="N1514" s="37"/>
      <c r="O1514" s="153"/>
      <c r="P1514" s="45"/>
      <c r="Q1514" s="54"/>
      <c r="R1514" s="260"/>
      <c r="S1514" s="258"/>
      <c r="T1514" s="258"/>
      <c r="U1514" s="38"/>
      <c r="V1514" s="261"/>
      <c r="W1514" s="256"/>
      <c r="X1514" s="256"/>
      <c r="Y1514" s="256"/>
      <c r="Z1514" s="256"/>
      <c r="AA1514" s="54"/>
      <c r="AB1514" s="200"/>
      <c r="AC1514" s="31"/>
      <c r="AD1514" s="184"/>
      <c r="AE1514" s="51"/>
      <c r="AF1514" s="52"/>
      <c r="AG1514" s="41"/>
      <c r="AH1514" s="45"/>
      <c r="AI1514" s="28"/>
      <c r="AJ1514" s="28"/>
      <c r="AK1514" s="28"/>
      <c r="AL1514" s="28"/>
      <c r="AM1514" s="12"/>
      <c r="AN1514" s="12"/>
      <c r="AO1514" s="12"/>
      <c r="AP1514" s="12"/>
      <c r="AQ1514" s="12"/>
      <c r="AR1514" s="13"/>
      <c r="AS1514" s="14"/>
    </row>
    <row r="1515" spans="1:45" s="16" customFormat="1" ht="30.95" hidden="1" customHeight="1" x14ac:dyDescent="0.2">
      <c r="A1515" s="35" t="s">
        <v>1898</v>
      </c>
      <c r="B1515" s="36" t="s">
        <v>1409</v>
      </c>
      <c r="C1515" s="43"/>
      <c r="D1515" s="29"/>
      <c r="E1515" s="29"/>
      <c r="F1515" s="255"/>
      <c r="G1515" s="256"/>
      <c r="H1515" s="256"/>
      <c r="I1515" s="200"/>
      <c r="J1515" s="203" t="s">
        <v>1893</v>
      </c>
      <c r="K1515" s="200"/>
      <c r="L1515" s="200"/>
      <c r="M1515" s="37"/>
      <c r="N1515" s="37"/>
      <c r="O1515" s="153"/>
      <c r="P1515" s="45"/>
      <c r="Q1515" s="54"/>
      <c r="R1515" s="260"/>
      <c r="S1515" s="258"/>
      <c r="T1515" s="258"/>
      <c r="U1515" s="38"/>
      <c r="V1515" s="261"/>
      <c r="W1515" s="256"/>
      <c r="X1515" s="256"/>
      <c r="Y1515" s="256"/>
      <c r="Z1515" s="256"/>
      <c r="AA1515" s="54"/>
      <c r="AB1515" s="200"/>
      <c r="AC1515" s="31"/>
      <c r="AD1515" s="184"/>
      <c r="AE1515" s="51"/>
      <c r="AF1515" s="52"/>
      <c r="AG1515" s="41"/>
      <c r="AH1515" s="45"/>
      <c r="AI1515" s="28"/>
      <c r="AJ1515" s="28"/>
      <c r="AK1515" s="28"/>
      <c r="AL1515" s="28"/>
      <c r="AM1515" s="12"/>
      <c r="AN1515" s="12"/>
      <c r="AO1515" s="12"/>
      <c r="AP1515" s="12"/>
      <c r="AQ1515" s="12"/>
      <c r="AR1515" s="13"/>
      <c r="AS1515" s="14"/>
    </row>
    <row r="1516" spans="1:45" s="16" customFormat="1" ht="30.95" hidden="1" customHeight="1" x14ac:dyDescent="0.2">
      <c r="A1516" s="35"/>
      <c r="B1516" s="36"/>
      <c r="C1516" s="43"/>
      <c r="D1516" s="29"/>
      <c r="E1516" s="29"/>
      <c r="F1516" s="255"/>
      <c r="G1516" s="256"/>
      <c r="H1516" s="256"/>
      <c r="I1516" s="200"/>
      <c r="J1516" s="203"/>
      <c r="K1516" s="200"/>
      <c r="L1516" s="200"/>
      <c r="M1516" s="37"/>
      <c r="N1516" s="37"/>
      <c r="O1516" s="153"/>
      <c r="P1516" s="45"/>
      <c r="Q1516" s="54"/>
      <c r="R1516" s="260"/>
      <c r="S1516" s="258"/>
      <c r="T1516" s="258"/>
      <c r="U1516" s="38"/>
      <c r="V1516" s="261"/>
      <c r="W1516" s="256"/>
      <c r="X1516" s="256"/>
      <c r="Y1516" s="256"/>
      <c r="Z1516" s="256"/>
      <c r="AA1516" s="54"/>
      <c r="AB1516" s="200"/>
      <c r="AC1516" s="31"/>
      <c r="AD1516" s="184"/>
      <c r="AE1516" s="51"/>
      <c r="AF1516" s="52"/>
      <c r="AG1516" s="41"/>
      <c r="AH1516" s="45"/>
      <c r="AI1516" s="28"/>
      <c r="AJ1516" s="28"/>
      <c r="AK1516" s="28"/>
      <c r="AL1516" s="28"/>
      <c r="AM1516" s="12"/>
      <c r="AN1516" s="12"/>
      <c r="AO1516" s="12"/>
      <c r="AP1516" s="12"/>
      <c r="AQ1516" s="12"/>
      <c r="AR1516" s="13"/>
      <c r="AS1516" s="14"/>
    </row>
    <row r="1517" spans="1:45" s="16" customFormat="1" ht="30.95" hidden="1" customHeight="1" x14ac:dyDescent="0.2">
      <c r="A1517" s="35" t="s">
        <v>1899</v>
      </c>
      <c r="B1517" s="36" t="s">
        <v>1397</v>
      </c>
      <c r="C1517" s="43"/>
      <c r="D1517" s="29"/>
      <c r="E1517" s="29"/>
      <c r="F1517" s="255"/>
      <c r="G1517" s="256"/>
      <c r="H1517" s="256"/>
      <c r="I1517" s="200"/>
      <c r="J1517" s="203" t="s">
        <v>1893</v>
      </c>
      <c r="K1517" s="200"/>
      <c r="L1517" s="200"/>
      <c r="M1517" s="37"/>
      <c r="N1517" s="37"/>
      <c r="O1517" s="153"/>
      <c r="P1517" s="45"/>
      <c r="Q1517" s="54"/>
      <c r="R1517" s="260"/>
      <c r="S1517" s="258"/>
      <c r="T1517" s="258"/>
      <c r="U1517" s="38"/>
      <c r="V1517" s="261"/>
      <c r="W1517" s="256"/>
      <c r="X1517" s="256"/>
      <c r="Y1517" s="256"/>
      <c r="Z1517" s="256"/>
      <c r="AA1517" s="54"/>
      <c r="AB1517" s="200"/>
      <c r="AC1517" s="31"/>
      <c r="AD1517" s="184"/>
      <c r="AE1517" s="51"/>
      <c r="AF1517" s="52"/>
      <c r="AG1517" s="41"/>
      <c r="AH1517" s="45"/>
      <c r="AI1517" s="28"/>
      <c r="AJ1517" s="28"/>
      <c r="AK1517" s="28"/>
      <c r="AL1517" s="28"/>
      <c r="AM1517" s="12"/>
      <c r="AN1517" s="12"/>
      <c r="AO1517" s="12"/>
      <c r="AP1517" s="12"/>
      <c r="AQ1517" s="12"/>
      <c r="AR1517" s="13"/>
      <c r="AS1517" s="14"/>
    </row>
    <row r="1518" spans="1:45" s="16" customFormat="1" ht="30.95" hidden="1" customHeight="1" x14ac:dyDescent="0.2">
      <c r="A1518" s="35"/>
      <c r="B1518" s="36"/>
      <c r="C1518" s="43"/>
      <c r="D1518" s="29"/>
      <c r="E1518" s="29"/>
      <c r="F1518" s="255"/>
      <c r="G1518" s="256"/>
      <c r="H1518" s="256"/>
      <c r="I1518" s="200"/>
      <c r="J1518" s="203"/>
      <c r="K1518" s="200"/>
      <c r="L1518" s="200"/>
      <c r="M1518" s="37"/>
      <c r="N1518" s="37"/>
      <c r="O1518" s="153"/>
      <c r="P1518" s="45"/>
      <c r="Q1518" s="54"/>
      <c r="R1518" s="260"/>
      <c r="S1518" s="258"/>
      <c r="T1518" s="258"/>
      <c r="U1518" s="38"/>
      <c r="V1518" s="261"/>
      <c r="W1518" s="256"/>
      <c r="X1518" s="256"/>
      <c r="Y1518" s="256"/>
      <c r="Z1518" s="256"/>
      <c r="AA1518" s="54"/>
      <c r="AB1518" s="200"/>
      <c r="AC1518" s="31"/>
      <c r="AD1518" s="184"/>
      <c r="AE1518" s="51"/>
      <c r="AF1518" s="52"/>
      <c r="AG1518" s="41"/>
      <c r="AH1518" s="45"/>
      <c r="AI1518" s="28"/>
      <c r="AJ1518" s="28"/>
      <c r="AK1518" s="28"/>
      <c r="AL1518" s="28"/>
      <c r="AM1518" s="12"/>
      <c r="AN1518" s="12"/>
      <c r="AO1518" s="12"/>
      <c r="AP1518" s="12"/>
      <c r="AQ1518" s="12"/>
      <c r="AR1518" s="13"/>
      <c r="AS1518" s="14"/>
    </row>
    <row r="1519" spans="1:45" s="16" customFormat="1" ht="30.95" hidden="1" customHeight="1" x14ac:dyDescent="0.2">
      <c r="A1519" s="35" t="s">
        <v>1900</v>
      </c>
      <c r="B1519" s="36" t="s">
        <v>392</v>
      </c>
      <c r="C1519" s="43"/>
      <c r="D1519" s="29"/>
      <c r="E1519" s="29"/>
      <c r="F1519" s="255"/>
      <c r="G1519" s="256"/>
      <c r="H1519" s="256"/>
      <c r="I1519" s="200"/>
      <c r="J1519" s="203" t="s">
        <v>448</v>
      </c>
      <c r="K1519" s="200"/>
      <c r="L1519" s="200"/>
      <c r="M1519" s="37"/>
      <c r="N1519" s="37"/>
      <c r="O1519" s="153"/>
      <c r="P1519" s="45"/>
      <c r="Q1519" s="54"/>
      <c r="R1519" s="260"/>
      <c r="S1519" s="258"/>
      <c r="T1519" s="258"/>
      <c r="U1519" s="38"/>
      <c r="V1519" s="261"/>
      <c r="W1519" s="256"/>
      <c r="X1519" s="256"/>
      <c r="Y1519" s="256"/>
      <c r="Z1519" s="256"/>
      <c r="AA1519" s="54"/>
      <c r="AB1519" s="200"/>
      <c r="AC1519" s="31"/>
      <c r="AD1519" s="184"/>
      <c r="AE1519" s="51"/>
      <c r="AF1519" s="52"/>
      <c r="AG1519" s="41"/>
      <c r="AH1519" s="45"/>
      <c r="AI1519" s="28"/>
      <c r="AJ1519" s="28"/>
      <c r="AK1519" s="28"/>
      <c r="AL1519" s="28"/>
      <c r="AM1519" s="12"/>
      <c r="AN1519" s="12"/>
      <c r="AO1519" s="12"/>
      <c r="AP1519" s="12"/>
      <c r="AQ1519" s="12"/>
      <c r="AR1519" s="13"/>
      <c r="AS1519" s="14"/>
    </row>
    <row r="1520" spans="1:45" s="16" customFormat="1" ht="30.95" hidden="1" customHeight="1" x14ac:dyDescent="0.2">
      <c r="A1520" s="35"/>
      <c r="B1520" s="36"/>
      <c r="C1520" s="43"/>
      <c r="D1520" s="29"/>
      <c r="E1520" s="29"/>
      <c r="F1520" s="255"/>
      <c r="G1520" s="256"/>
      <c r="H1520" s="256"/>
      <c r="I1520" s="200"/>
      <c r="J1520" s="203"/>
      <c r="K1520" s="200"/>
      <c r="L1520" s="200"/>
      <c r="M1520" s="37"/>
      <c r="N1520" s="37"/>
      <c r="O1520" s="153"/>
      <c r="P1520" s="45"/>
      <c r="Q1520" s="54"/>
      <c r="R1520" s="260"/>
      <c r="S1520" s="258"/>
      <c r="T1520" s="258"/>
      <c r="U1520" s="38"/>
      <c r="V1520" s="261"/>
      <c r="W1520" s="256"/>
      <c r="X1520" s="256"/>
      <c r="Y1520" s="256"/>
      <c r="Z1520" s="256"/>
      <c r="AA1520" s="54"/>
      <c r="AB1520" s="200"/>
      <c r="AC1520" s="31"/>
      <c r="AD1520" s="184"/>
      <c r="AE1520" s="51"/>
      <c r="AF1520" s="52"/>
      <c r="AG1520" s="41"/>
      <c r="AH1520" s="45"/>
      <c r="AI1520" s="28"/>
      <c r="AJ1520" s="28"/>
      <c r="AK1520" s="28"/>
      <c r="AL1520" s="28"/>
      <c r="AM1520" s="12"/>
      <c r="AN1520" s="12"/>
      <c r="AO1520" s="12"/>
      <c r="AP1520" s="12"/>
      <c r="AQ1520" s="12"/>
      <c r="AR1520" s="13"/>
      <c r="AS1520" s="14"/>
    </row>
    <row r="1521" spans="1:45" s="16" customFormat="1" ht="30.95" hidden="1" customHeight="1" x14ac:dyDescent="0.2">
      <c r="A1521" s="35" t="s">
        <v>1901</v>
      </c>
      <c r="B1521" s="36" t="s">
        <v>1402</v>
      </c>
      <c r="C1521" s="43"/>
      <c r="D1521" s="29"/>
      <c r="E1521" s="29"/>
      <c r="F1521" s="255"/>
      <c r="G1521" s="256"/>
      <c r="H1521" s="256"/>
      <c r="I1521" s="200"/>
      <c r="J1521" s="203" t="s">
        <v>1893</v>
      </c>
      <c r="K1521" s="200"/>
      <c r="L1521" s="200"/>
      <c r="M1521" s="37"/>
      <c r="N1521" s="37"/>
      <c r="O1521" s="153"/>
      <c r="P1521" s="45"/>
      <c r="Q1521" s="54"/>
      <c r="R1521" s="260"/>
      <c r="S1521" s="258"/>
      <c r="T1521" s="258"/>
      <c r="U1521" s="38"/>
      <c r="V1521" s="261"/>
      <c r="W1521" s="256"/>
      <c r="X1521" s="256"/>
      <c r="Y1521" s="256"/>
      <c r="Z1521" s="256"/>
      <c r="AA1521" s="54"/>
      <c r="AB1521" s="200"/>
      <c r="AC1521" s="31"/>
      <c r="AD1521" s="184"/>
      <c r="AE1521" s="51"/>
      <c r="AF1521" s="52"/>
      <c r="AG1521" s="41"/>
      <c r="AH1521" s="45"/>
      <c r="AI1521" s="28"/>
      <c r="AJ1521" s="28"/>
      <c r="AK1521" s="28"/>
      <c r="AL1521" s="28"/>
      <c r="AM1521" s="12"/>
      <c r="AN1521" s="12"/>
      <c r="AO1521" s="12"/>
      <c r="AP1521" s="12"/>
      <c r="AQ1521" s="12"/>
      <c r="AR1521" s="13"/>
      <c r="AS1521" s="14"/>
    </row>
    <row r="1522" spans="1:45" s="16" customFormat="1" ht="30.95" hidden="1" customHeight="1" x14ac:dyDescent="0.2">
      <c r="A1522" s="35"/>
      <c r="B1522" s="36"/>
      <c r="C1522" s="43"/>
      <c r="D1522" s="29"/>
      <c r="E1522" s="29"/>
      <c r="F1522" s="255"/>
      <c r="G1522" s="256"/>
      <c r="H1522" s="256"/>
      <c r="I1522" s="200"/>
      <c r="J1522" s="203"/>
      <c r="K1522" s="200"/>
      <c r="L1522" s="200"/>
      <c r="M1522" s="37"/>
      <c r="N1522" s="37"/>
      <c r="O1522" s="153"/>
      <c r="P1522" s="45"/>
      <c r="Q1522" s="54"/>
      <c r="R1522" s="260"/>
      <c r="S1522" s="258"/>
      <c r="T1522" s="258"/>
      <c r="U1522" s="38"/>
      <c r="V1522" s="261"/>
      <c r="W1522" s="256"/>
      <c r="X1522" s="256"/>
      <c r="Y1522" s="256"/>
      <c r="Z1522" s="256"/>
      <c r="AA1522" s="54"/>
      <c r="AB1522" s="200"/>
      <c r="AC1522" s="31"/>
      <c r="AD1522" s="184"/>
      <c r="AE1522" s="51"/>
      <c r="AF1522" s="52"/>
      <c r="AG1522" s="41"/>
      <c r="AH1522" s="45"/>
      <c r="AI1522" s="28"/>
      <c r="AJ1522" s="28"/>
      <c r="AK1522" s="28"/>
      <c r="AL1522" s="28"/>
      <c r="AM1522" s="12"/>
      <c r="AN1522" s="12"/>
      <c r="AO1522" s="12"/>
      <c r="AP1522" s="12"/>
      <c r="AQ1522" s="12"/>
      <c r="AR1522" s="13"/>
      <c r="AS1522" s="14"/>
    </row>
    <row r="1523" spans="1:45" s="16" customFormat="1" ht="30.95" hidden="1" customHeight="1" x14ac:dyDescent="0.2">
      <c r="A1523" s="35" t="s">
        <v>1902</v>
      </c>
      <c r="B1523" s="36" t="s">
        <v>1405</v>
      </c>
      <c r="C1523" s="43"/>
      <c r="D1523" s="29"/>
      <c r="E1523" s="29"/>
      <c r="F1523" s="255"/>
      <c r="G1523" s="256"/>
      <c r="H1523" s="256"/>
      <c r="I1523" s="200"/>
      <c r="J1523" s="203" t="s">
        <v>1893</v>
      </c>
      <c r="K1523" s="200"/>
      <c r="L1523" s="200"/>
      <c r="M1523" s="37"/>
      <c r="N1523" s="37"/>
      <c r="O1523" s="153"/>
      <c r="P1523" s="45"/>
      <c r="Q1523" s="54"/>
      <c r="R1523" s="260"/>
      <c r="S1523" s="258"/>
      <c r="T1523" s="258"/>
      <c r="U1523" s="38"/>
      <c r="V1523" s="261"/>
      <c r="W1523" s="256"/>
      <c r="X1523" s="256"/>
      <c r="Y1523" s="256"/>
      <c r="Z1523" s="256"/>
      <c r="AA1523" s="54"/>
      <c r="AB1523" s="200"/>
      <c r="AC1523" s="31"/>
      <c r="AD1523" s="184"/>
      <c r="AE1523" s="51"/>
      <c r="AF1523" s="52"/>
      <c r="AG1523" s="41"/>
      <c r="AH1523" s="45"/>
      <c r="AI1523" s="28"/>
      <c r="AJ1523" s="28"/>
      <c r="AK1523" s="28"/>
      <c r="AL1523" s="28"/>
      <c r="AM1523" s="12"/>
      <c r="AN1523" s="12"/>
      <c r="AO1523" s="12"/>
      <c r="AP1523" s="12"/>
      <c r="AQ1523" s="12"/>
      <c r="AR1523" s="13"/>
      <c r="AS1523" s="14"/>
    </row>
    <row r="1524" spans="1:45" s="16" customFormat="1" ht="30.95" hidden="1" customHeight="1" x14ac:dyDescent="0.2">
      <c r="A1524" s="35"/>
      <c r="B1524" s="36"/>
      <c r="C1524" s="43"/>
      <c r="D1524" s="29"/>
      <c r="E1524" s="29"/>
      <c r="F1524" s="255"/>
      <c r="G1524" s="256"/>
      <c r="H1524" s="256"/>
      <c r="I1524" s="200"/>
      <c r="J1524" s="203"/>
      <c r="K1524" s="200"/>
      <c r="L1524" s="200"/>
      <c r="M1524" s="37"/>
      <c r="N1524" s="37"/>
      <c r="O1524" s="153"/>
      <c r="P1524" s="45"/>
      <c r="Q1524" s="54"/>
      <c r="R1524" s="260"/>
      <c r="S1524" s="258"/>
      <c r="T1524" s="258"/>
      <c r="U1524" s="38"/>
      <c r="V1524" s="261"/>
      <c r="W1524" s="256"/>
      <c r="X1524" s="256"/>
      <c r="Y1524" s="256"/>
      <c r="Z1524" s="256"/>
      <c r="AA1524" s="54"/>
      <c r="AB1524" s="200"/>
      <c r="AC1524" s="31"/>
      <c r="AD1524" s="184"/>
      <c r="AE1524" s="51"/>
      <c r="AF1524" s="52"/>
      <c r="AG1524" s="41"/>
      <c r="AH1524" s="45"/>
      <c r="AI1524" s="28"/>
      <c r="AJ1524" s="28"/>
      <c r="AK1524" s="28"/>
      <c r="AL1524" s="28"/>
      <c r="AM1524" s="12"/>
      <c r="AN1524" s="12"/>
      <c r="AO1524" s="12"/>
      <c r="AP1524" s="12"/>
      <c r="AQ1524" s="12"/>
      <c r="AR1524" s="13"/>
      <c r="AS1524" s="14"/>
    </row>
    <row r="1525" spans="1:45" s="16" customFormat="1" ht="30.95" hidden="1" customHeight="1" x14ac:dyDescent="0.2">
      <c r="A1525" s="35" t="s">
        <v>1903</v>
      </c>
      <c r="B1525" s="36" t="s">
        <v>1412</v>
      </c>
      <c r="C1525" s="43"/>
      <c r="D1525" s="29"/>
      <c r="E1525" s="29"/>
      <c r="F1525" s="255"/>
      <c r="G1525" s="256"/>
      <c r="H1525" s="256"/>
      <c r="I1525" s="200"/>
      <c r="J1525" s="203" t="s">
        <v>1893</v>
      </c>
      <c r="K1525" s="200"/>
      <c r="L1525" s="200"/>
      <c r="M1525" s="37"/>
      <c r="N1525" s="37"/>
      <c r="O1525" s="153"/>
      <c r="P1525" s="45"/>
      <c r="Q1525" s="54"/>
      <c r="R1525" s="260"/>
      <c r="S1525" s="258"/>
      <c r="T1525" s="258"/>
      <c r="U1525" s="38"/>
      <c r="V1525" s="261"/>
      <c r="W1525" s="256"/>
      <c r="X1525" s="256"/>
      <c r="Y1525" s="256"/>
      <c r="Z1525" s="256"/>
      <c r="AA1525" s="54"/>
      <c r="AB1525" s="200"/>
      <c r="AC1525" s="31"/>
      <c r="AD1525" s="184"/>
      <c r="AE1525" s="51"/>
      <c r="AF1525" s="52"/>
      <c r="AG1525" s="41"/>
      <c r="AH1525" s="45"/>
      <c r="AI1525" s="28"/>
      <c r="AJ1525" s="28"/>
      <c r="AK1525" s="28"/>
      <c r="AL1525" s="28"/>
      <c r="AM1525" s="12"/>
      <c r="AN1525" s="12"/>
      <c r="AO1525" s="12"/>
      <c r="AP1525" s="12"/>
      <c r="AQ1525" s="12"/>
      <c r="AR1525" s="13"/>
      <c r="AS1525" s="14"/>
    </row>
    <row r="1526" spans="1:45" s="16" customFormat="1" ht="30.95" hidden="1" customHeight="1" x14ac:dyDescent="0.2">
      <c r="A1526" s="35"/>
      <c r="B1526" s="36"/>
      <c r="C1526" s="43"/>
      <c r="D1526" s="29"/>
      <c r="E1526" s="29"/>
      <c r="F1526" s="255"/>
      <c r="G1526" s="256"/>
      <c r="H1526" s="256"/>
      <c r="I1526" s="200"/>
      <c r="J1526" s="203"/>
      <c r="K1526" s="200"/>
      <c r="L1526" s="200"/>
      <c r="M1526" s="37"/>
      <c r="N1526" s="37"/>
      <c r="O1526" s="153"/>
      <c r="P1526" s="45"/>
      <c r="Q1526" s="54"/>
      <c r="R1526" s="260"/>
      <c r="S1526" s="258"/>
      <c r="T1526" s="258"/>
      <c r="U1526" s="38"/>
      <c r="V1526" s="261"/>
      <c r="W1526" s="256"/>
      <c r="X1526" s="256"/>
      <c r="Y1526" s="256"/>
      <c r="Z1526" s="256"/>
      <c r="AA1526" s="54"/>
      <c r="AB1526" s="200"/>
      <c r="AC1526" s="31"/>
      <c r="AD1526" s="184"/>
      <c r="AE1526" s="51"/>
      <c r="AF1526" s="52"/>
      <c r="AG1526" s="41"/>
      <c r="AH1526" s="45"/>
      <c r="AI1526" s="28"/>
      <c r="AJ1526" s="28"/>
      <c r="AK1526" s="28"/>
      <c r="AL1526" s="28"/>
      <c r="AM1526" s="12"/>
      <c r="AN1526" s="12"/>
      <c r="AO1526" s="12"/>
      <c r="AP1526" s="12"/>
      <c r="AQ1526" s="12"/>
      <c r="AR1526" s="13"/>
      <c r="AS1526" s="14"/>
    </row>
    <row r="1527" spans="1:45" s="16" customFormat="1" ht="30.95" hidden="1" customHeight="1" x14ac:dyDescent="0.2">
      <c r="A1527" s="35" t="s">
        <v>1904</v>
      </c>
      <c r="B1527" s="36" t="s">
        <v>1408</v>
      </c>
      <c r="C1527" s="43"/>
      <c r="D1527" s="29"/>
      <c r="E1527" s="29"/>
      <c r="F1527" s="255"/>
      <c r="G1527" s="256"/>
      <c r="H1527" s="256"/>
      <c r="I1527" s="200"/>
      <c r="J1527" s="203" t="s">
        <v>1893</v>
      </c>
      <c r="K1527" s="200"/>
      <c r="L1527" s="200"/>
      <c r="M1527" s="37"/>
      <c r="N1527" s="37"/>
      <c r="O1527" s="153"/>
      <c r="P1527" s="45"/>
      <c r="Q1527" s="54"/>
      <c r="R1527" s="260"/>
      <c r="S1527" s="258"/>
      <c r="T1527" s="258"/>
      <c r="U1527" s="38"/>
      <c r="V1527" s="261"/>
      <c r="W1527" s="256"/>
      <c r="X1527" s="256"/>
      <c r="Y1527" s="256"/>
      <c r="Z1527" s="256"/>
      <c r="AA1527" s="54"/>
      <c r="AB1527" s="200"/>
      <c r="AC1527" s="31"/>
      <c r="AD1527" s="184"/>
      <c r="AE1527" s="51"/>
      <c r="AF1527" s="52"/>
      <c r="AG1527" s="41"/>
      <c r="AH1527" s="45"/>
      <c r="AI1527" s="28"/>
      <c r="AJ1527" s="28"/>
      <c r="AK1527" s="28"/>
      <c r="AL1527" s="28"/>
      <c r="AM1527" s="12"/>
      <c r="AN1527" s="12"/>
      <c r="AO1527" s="12"/>
      <c r="AP1527" s="12"/>
      <c r="AQ1527" s="12"/>
      <c r="AR1527" s="13"/>
      <c r="AS1527" s="14"/>
    </row>
    <row r="1528" spans="1:45" s="16" customFormat="1" ht="30.95" hidden="1" customHeight="1" x14ac:dyDescent="0.2">
      <c r="A1528" s="35"/>
      <c r="B1528" s="36"/>
      <c r="C1528" s="43"/>
      <c r="D1528" s="29"/>
      <c r="E1528" s="29"/>
      <c r="F1528" s="255"/>
      <c r="G1528" s="256"/>
      <c r="H1528" s="256"/>
      <c r="I1528" s="200"/>
      <c r="J1528" s="203"/>
      <c r="K1528" s="200"/>
      <c r="L1528" s="200"/>
      <c r="M1528" s="37"/>
      <c r="N1528" s="37"/>
      <c r="O1528" s="153"/>
      <c r="P1528" s="45"/>
      <c r="Q1528" s="54"/>
      <c r="R1528" s="260"/>
      <c r="S1528" s="258"/>
      <c r="T1528" s="258"/>
      <c r="U1528" s="38"/>
      <c r="V1528" s="261"/>
      <c r="W1528" s="256"/>
      <c r="X1528" s="256"/>
      <c r="Y1528" s="256"/>
      <c r="Z1528" s="256"/>
      <c r="AA1528" s="54"/>
      <c r="AB1528" s="200"/>
      <c r="AC1528" s="31"/>
      <c r="AD1528" s="184"/>
      <c r="AE1528" s="51"/>
      <c r="AF1528" s="52"/>
      <c r="AG1528" s="41"/>
      <c r="AH1528" s="45"/>
      <c r="AI1528" s="28"/>
      <c r="AJ1528" s="28"/>
      <c r="AK1528" s="28"/>
      <c r="AL1528" s="28"/>
      <c r="AM1528" s="12"/>
      <c r="AN1528" s="12"/>
      <c r="AO1528" s="12"/>
      <c r="AP1528" s="12"/>
      <c r="AQ1528" s="12"/>
      <c r="AR1528" s="13"/>
      <c r="AS1528" s="14"/>
    </row>
    <row r="1529" spans="1:45" s="16" customFormat="1" ht="30.95" hidden="1" customHeight="1" x14ac:dyDescent="0.2">
      <c r="A1529" s="35" t="s">
        <v>1905</v>
      </c>
      <c r="B1529" s="36" t="s">
        <v>1409</v>
      </c>
      <c r="C1529" s="43"/>
      <c r="D1529" s="29"/>
      <c r="E1529" s="29"/>
      <c r="F1529" s="255"/>
      <c r="G1529" s="256"/>
      <c r="H1529" s="256"/>
      <c r="I1529" s="200"/>
      <c r="J1529" s="203" t="s">
        <v>1893</v>
      </c>
      <c r="K1529" s="200"/>
      <c r="L1529" s="200"/>
      <c r="M1529" s="37"/>
      <c r="N1529" s="37"/>
      <c r="O1529" s="153"/>
      <c r="P1529" s="45"/>
      <c r="Q1529" s="54"/>
      <c r="R1529" s="260"/>
      <c r="S1529" s="258"/>
      <c r="T1529" s="258"/>
      <c r="U1529" s="38"/>
      <c r="V1529" s="261"/>
      <c r="W1529" s="256"/>
      <c r="X1529" s="256"/>
      <c r="Y1529" s="256"/>
      <c r="Z1529" s="256"/>
      <c r="AA1529" s="54"/>
      <c r="AB1529" s="200"/>
      <c r="AC1529" s="31"/>
      <c r="AD1529" s="184"/>
      <c r="AE1529" s="51"/>
      <c r="AF1529" s="52"/>
      <c r="AG1529" s="41"/>
      <c r="AH1529" s="45"/>
      <c r="AI1529" s="28"/>
      <c r="AJ1529" s="28"/>
      <c r="AK1529" s="28"/>
      <c r="AL1529" s="28"/>
      <c r="AM1529" s="12"/>
      <c r="AN1529" s="12"/>
      <c r="AO1529" s="12"/>
      <c r="AP1529" s="12"/>
      <c r="AQ1529" s="12"/>
      <c r="AR1529" s="13"/>
      <c r="AS1529" s="14"/>
    </row>
    <row r="1530" spans="1:45" s="16" customFormat="1" ht="30.95" hidden="1" customHeight="1" x14ac:dyDescent="0.2">
      <c r="A1530" s="35"/>
      <c r="B1530" s="36"/>
      <c r="C1530" s="43"/>
      <c r="D1530" s="29"/>
      <c r="E1530" s="29"/>
      <c r="F1530" s="255"/>
      <c r="G1530" s="256"/>
      <c r="H1530" s="256"/>
      <c r="I1530" s="200"/>
      <c r="J1530" s="203"/>
      <c r="K1530" s="200"/>
      <c r="L1530" s="200"/>
      <c r="M1530" s="37"/>
      <c r="N1530" s="37"/>
      <c r="O1530" s="153"/>
      <c r="P1530" s="45"/>
      <c r="Q1530" s="54"/>
      <c r="R1530" s="260"/>
      <c r="S1530" s="258"/>
      <c r="T1530" s="258"/>
      <c r="U1530" s="38"/>
      <c r="V1530" s="261"/>
      <c r="W1530" s="256"/>
      <c r="X1530" s="256"/>
      <c r="Y1530" s="256"/>
      <c r="Z1530" s="256"/>
      <c r="AA1530" s="54"/>
      <c r="AB1530" s="200"/>
      <c r="AC1530" s="31"/>
      <c r="AD1530" s="184"/>
      <c r="AE1530" s="51"/>
      <c r="AF1530" s="52"/>
      <c r="AG1530" s="41"/>
      <c r="AH1530" s="45"/>
      <c r="AI1530" s="28"/>
      <c r="AJ1530" s="28"/>
      <c r="AK1530" s="28"/>
      <c r="AL1530" s="28"/>
      <c r="AM1530" s="12"/>
      <c r="AN1530" s="12"/>
      <c r="AO1530" s="12"/>
      <c r="AP1530" s="12"/>
      <c r="AQ1530" s="12"/>
      <c r="AR1530" s="13"/>
      <c r="AS1530" s="14"/>
    </row>
    <row r="1531" spans="1:45" s="16" customFormat="1" ht="30.95" hidden="1" customHeight="1" x14ac:dyDescent="0.2">
      <c r="A1531" s="35" t="s">
        <v>1906</v>
      </c>
      <c r="B1531" s="36" t="s">
        <v>1397</v>
      </c>
      <c r="C1531" s="43"/>
      <c r="D1531" s="29"/>
      <c r="E1531" s="29"/>
      <c r="F1531" s="255"/>
      <c r="G1531" s="256"/>
      <c r="H1531" s="256"/>
      <c r="I1531" s="200"/>
      <c r="J1531" s="203" t="s">
        <v>448</v>
      </c>
      <c r="K1531" s="200"/>
      <c r="L1531" s="200"/>
      <c r="M1531" s="37"/>
      <c r="N1531" s="37"/>
      <c r="O1531" s="153"/>
      <c r="P1531" s="45"/>
      <c r="Q1531" s="54"/>
      <c r="R1531" s="260"/>
      <c r="S1531" s="258"/>
      <c r="T1531" s="258"/>
      <c r="U1531" s="38"/>
      <c r="V1531" s="261"/>
      <c r="W1531" s="256"/>
      <c r="X1531" s="256"/>
      <c r="Y1531" s="256"/>
      <c r="Z1531" s="256"/>
      <c r="AA1531" s="54"/>
      <c r="AB1531" s="200"/>
      <c r="AC1531" s="31"/>
      <c r="AD1531" s="184"/>
      <c r="AE1531" s="51"/>
      <c r="AF1531" s="52"/>
      <c r="AG1531" s="41"/>
      <c r="AH1531" s="45"/>
      <c r="AI1531" s="28"/>
      <c r="AJ1531" s="28"/>
      <c r="AK1531" s="28"/>
      <c r="AL1531" s="28"/>
      <c r="AM1531" s="12"/>
      <c r="AN1531" s="12"/>
      <c r="AO1531" s="12"/>
      <c r="AP1531" s="12"/>
      <c r="AQ1531" s="12"/>
      <c r="AR1531" s="13"/>
      <c r="AS1531" s="14"/>
    </row>
    <row r="1532" spans="1:45" s="16" customFormat="1" ht="30.95" hidden="1" customHeight="1" x14ac:dyDescent="0.2">
      <c r="A1532" s="35"/>
      <c r="B1532" s="36"/>
      <c r="C1532" s="43"/>
      <c r="D1532" s="29"/>
      <c r="E1532" s="29"/>
      <c r="F1532" s="255"/>
      <c r="G1532" s="256"/>
      <c r="H1532" s="256"/>
      <c r="I1532" s="200"/>
      <c r="J1532" s="203"/>
      <c r="K1532" s="200"/>
      <c r="L1532" s="200"/>
      <c r="M1532" s="37"/>
      <c r="N1532" s="37"/>
      <c r="O1532" s="153"/>
      <c r="P1532" s="45"/>
      <c r="Q1532" s="54"/>
      <c r="R1532" s="260"/>
      <c r="S1532" s="258"/>
      <c r="T1532" s="258"/>
      <c r="U1532" s="38"/>
      <c r="V1532" s="261"/>
      <c r="W1532" s="256"/>
      <c r="X1532" s="256"/>
      <c r="Y1532" s="256"/>
      <c r="Z1532" s="256"/>
      <c r="AA1532" s="54"/>
      <c r="AB1532" s="200"/>
      <c r="AC1532" s="31"/>
      <c r="AD1532" s="184"/>
      <c r="AE1532" s="51"/>
      <c r="AF1532" s="52"/>
      <c r="AG1532" s="41"/>
      <c r="AH1532" s="45"/>
      <c r="AI1532" s="28"/>
      <c r="AJ1532" s="28"/>
      <c r="AK1532" s="28"/>
      <c r="AL1532" s="28"/>
      <c r="AM1532" s="12"/>
      <c r="AN1532" s="12"/>
      <c r="AO1532" s="12"/>
      <c r="AP1532" s="12"/>
      <c r="AQ1532" s="12"/>
      <c r="AR1532" s="13"/>
      <c r="AS1532" s="14"/>
    </row>
    <row r="1533" spans="1:45" s="16" customFormat="1" ht="30.95" hidden="1" customHeight="1" x14ac:dyDescent="0.2">
      <c r="A1533" s="35" t="s">
        <v>1907</v>
      </c>
      <c r="B1533" s="36" t="s">
        <v>392</v>
      </c>
      <c r="C1533" s="43"/>
      <c r="D1533" s="29"/>
      <c r="E1533" s="29"/>
      <c r="F1533" s="255"/>
      <c r="G1533" s="256"/>
      <c r="H1533" s="256"/>
      <c r="I1533" s="200"/>
      <c r="J1533" s="203" t="s">
        <v>448</v>
      </c>
      <c r="K1533" s="200"/>
      <c r="L1533" s="200"/>
      <c r="M1533" s="37"/>
      <c r="N1533" s="37"/>
      <c r="O1533" s="153"/>
      <c r="P1533" s="45"/>
      <c r="Q1533" s="54"/>
      <c r="R1533" s="260"/>
      <c r="S1533" s="258"/>
      <c r="T1533" s="258"/>
      <c r="U1533" s="38"/>
      <c r="V1533" s="261"/>
      <c r="W1533" s="256"/>
      <c r="X1533" s="256"/>
      <c r="Y1533" s="256"/>
      <c r="Z1533" s="256"/>
      <c r="AA1533" s="54"/>
      <c r="AB1533" s="200"/>
      <c r="AC1533" s="31"/>
      <c r="AD1533" s="184"/>
      <c r="AE1533" s="51"/>
      <c r="AF1533" s="52"/>
      <c r="AG1533" s="41"/>
      <c r="AH1533" s="45"/>
      <c r="AI1533" s="28"/>
      <c r="AJ1533" s="28"/>
      <c r="AK1533" s="28"/>
      <c r="AL1533" s="28"/>
      <c r="AM1533" s="12"/>
      <c r="AN1533" s="12"/>
      <c r="AO1533" s="12"/>
      <c r="AP1533" s="12"/>
      <c r="AQ1533" s="12"/>
      <c r="AR1533" s="13"/>
      <c r="AS1533" s="14"/>
    </row>
    <row r="1534" spans="1:45" s="16" customFormat="1" ht="30.95" hidden="1" customHeight="1" x14ac:dyDescent="0.2">
      <c r="A1534" s="35"/>
      <c r="B1534" s="36"/>
      <c r="C1534" s="43"/>
      <c r="D1534" s="29"/>
      <c r="E1534" s="29"/>
      <c r="F1534" s="255"/>
      <c r="G1534" s="256"/>
      <c r="H1534" s="256"/>
      <c r="I1534" s="200"/>
      <c r="J1534" s="203"/>
      <c r="K1534" s="200"/>
      <c r="L1534" s="200"/>
      <c r="M1534" s="37"/>
      <c r="N1534" s="37"/>
      <c r="O1534" s="153"/>
      <c r="P1534" s="45"/>
      <c r="Q1534" s="54"/>
      <c r="R1534" s="260"/>
      <c r="S1534" s="258"/>
      <c r="T1534" s="258"/>
      <c r="U1534" s="38"/>
      <c r="V1534" s="261"/>
      <c r="W1534" s="256"/>
      <c r="X1534" s="256"/>
      <c r="Y1534" s="256"/>
      <c r="Z1534" s="256"/>
      <c r="AA1534" s="54"/>
      <c r="AB1534" s="200"/>
      <c r="AC1534" s="31"/>
      <c r="AD1534" s="184"/>
      <c r="AE1534" s="51"/>
      <c r="AF1534" s="52"/>
      <c r="AG1534" s="41"/>
      <c r="AH1534" s="45"/>
      <c r="AI1534" s="28"/>
      <c r="AJ1534" s="28"/>
      <c r="AK1534" s="28"/>
      <c r="AL1534" s="28"/>
      <c r="AM1534" s="12"/>
      <c r="AN1534" s="12"/>
      <c r="AO1534" s="12"/>
      <c r="AP1534" s="12"/>
      <c r="AQ1534" s="12"/>
      <c r="AR1534" s="13"/>
      <c r="AS1534" s="14"/>
    </row>
    <row r="1535" spans="1:45" s="16" customFormat="1" ht="30.95" hidden="1" customHeight="1" x14ac:dyDescent="0.2">
      <c r="A1535" s="35" t="s">
        <v>1908</v>
      </c>
      <c r="B1535" s="36" t="s">
        <v>1402</v>
      </c>
      <c r="C1535" s="43"/>
      <c r="D1535" s="29"/>
      <c r="E1535" s="29"/>
      <c r="F1535" s="255"/>
      <c r="G1535" s="256"/>
      <c r="H1535" s="256"/>
      <c r="I1535" s="200"/>
      <c r="J1535" s="203" t="s">
        <v>1893</v>
      </c>
      <c r="K1535" s="200"/>
      <c r="L1535" s="200"/>
      <c r="M1535" s="37"/>
      <c r="N1535" s="37"/>
      <c r="O1535" s="153"/>
      <c r="P1535" s="45"/>
      <c r="Q1535" s="54"/>
      <c r="R1535" s="260"/>
      <c r="S1535" s="258"/>
      <c r="T1535" s="258"/>
      <c r="U1535" s="38"/>
      <c r="V1535" s="261"/>
      <c r="W1535" s="256"/>
      <c r="X1535" s="256"/>
      <c r="Y1535" s="256"/>
      <c r="Z1535" s="256"/>
      <c r="AA1535" s="54"/>
      <c r="AB1535" s="200"/>
      <c r="AC1535" s="31"/>
      <c r="AD1535" s="184"/>
      <c r="AE1535" s="51"/>
      <c r="AF1535" s="52"/>
      <c r="AG1535" s="41"/>
      <c r="AH1535" s="45"/>
      <c r="AI1535" s="28"/>
      <c r="AJ1535" s="28"/>
      <c r="AK1535" s="28"/>
      <c r="AL1535" s="28"/>
      <c r="AM1535" s="12"/>
      <c r="AN1535" s="12"/>
      <c r="AO1535" s="12"/>
      <c r="AP1535" s="12"/>
      <c r="AQ1535" s="12"/>
      <c r="AR1535" s="13"/>
      <c r="AS1535" s="14"/>
    </row>
    <row r="1536" spans="1:45" s="16" customFormat="1" ht="30.95" hidden="1" customHeight="1" x14ac:dyDescent="0.2">
      <c r="A1536" s="35"/>
      <c r="B1536" s="36"/>
      <c r="C1536" s="43"/>
      <c r="D1536" s="29"/>
      <c r="E1536" s="29"/>
      <c r="F1536" s="255"/>
      <c r="G1536" s="256"/>
      <c r="H1536" s="256"/>
      <c r="I1536" s="200"/>
      <c r="J1536" s="203"/>
      <c r="K1536" s="200"/>
      <c r="L1536" s="200"/>
      <c r="M1536" s="37"/>
      <c r="N1536" s="37"/>
      <c r="O1536" s="153"/>
      <c r="P1536" s="45"/>
      <c r="Q1536" s="54"/>
      <c r="R1536" s="260"/>
      <c r="S1536" s="258"/>
      <c r="T1536" s="258"/>
      <c r="U1536" s="38"/>
      <c r="V1536" s="261"/>
      <c r="W1536" s="256"/>
      <c r="X1536" s="256"/>
      <c r="Y1536" s="256"/>
      <c r="Z1536" s="256"/>
      <c r="AA1536" s="54"/>
      <c r="AB1536" s="200"/>
      <c r="AC1536" s="31"/>
      <c r="AD1536" s="184"/>
      <c r="AE1536" s="51"/>
      <c r="AF1536" s="52"/>
      <c r="AG1536" s="41"/>
      <c r="AH1536" s="45"/>
      <c r="AI1536" s="28"/>
      <c r="AJ1536" s="28"/>
      <c r="AK1536" s="28"/>
      <c r="AL1536" s="28"/>
      <c r="AM1536" s="12"/>
      <c r="AN1536" s="12"/>
      <c r="AO1536" s="12"/>
      <c r="AP1536" s="12"/>
      <c r="AQ1536" s="12"/>
      <c r="AR1536" s="13"/>
      <c r="AS1536" s="14"/>
    </row>
    <row r="1537" spans="1:45" s="16" customFormat="1" ht="30.95" hidden="1" customHeight="1" x14ac:dyDescent="0.2">
      <c r="A1537" s="35" t="s">
        <v>1909</v>
      </c>
      <c r="B1537" s="36" t="s">
        <v>1405</v>
      </c>
      <c r="C1537" s="43"/>
      <c r="D1537" s="29"/>
      <c r="E1537" s="29"/>
      <c r="F1537" s="255"/>
      <c r="G1537" s="256"/>
      <c r="H1537" s="256"/>
      <c r="I1537" s="200"/>
      <c r="J1537" s="203" t="s">
        <v>1893</v>
      </c>
      <c r="K1537" s="200"/>
      <c r="L1537" s="200"/>
      <c r="M1537" s="37"/>
      <c r="N1537" s="37"/>
      <c r="O1537" s="153"/>
      <c r="P1537" s="45"/>
      <c r="Q1537" s="54"/>
      <c r="R1537" s="260"/>
      <c r="S1537" s="258"/>
      <c r="T1537" s="258"/>
      <c r="U1537" s="38"/>
      <c r="V1537" s="261"/>
      <c r="W1537" s="256"/>
      <c r="X1537" s="256"/>
      <c r="Y1537" s="256"/>
      <c r="Z1537" s="256"/>
      <c r="AA1537" s="54"/>
      <c r="AB1537" s="200"/>
      <c r="AC1537" s="31"/>
      <c r="AD1537" s="184"/>
      <c r="AE1537" s="51"/>
      <c r="AF1537" s="52"/>
      <c r="AG1537" s="41"/>
      <c r="AH1537" s="45"/>
      <c r="AI1537" s="28"/>
      <c r="AJ1537" s="28"/>
      <c r="AK1537" s="28"/>
      <c r="AL1537" s="28"/>
      <c r="AM1537" s="12"/>
      <c r="AN1537" s="12"/>
      <c r="AO1537" s="12"/>
      <c r="AP1537" s="12"/>
      <c r="AQ1537" s="12"/>
      <c r="AR1537" s="13"/>
      <c r="AS1537" s="14"/>
    </row>
    <row r="1538" spans="1:45" s="16" customFormat="1" ht="30.95" hidden="1" customHeight="1" x14ac:dyDescent="0.2">
      <c r="A1538" s="35"/>
      <c r="B1538" s="36"/>
      <c r="C1538" s="43"/>
      <c r="D1538" s="29"/>
      <c r="E1538" s="29"/>
      <c r="F1538" s="255"/>
      <c r="G1538" s="256"/>
      <c r="H1538" s="256"/>
      <c r="I1538" s="200"/>
      <c r="J1538" s="203"/>
      <c r="K1538" s="200"/>
      <c r="L1538" s="200"/>
      <c r="M1538" s="37"/>
      <c r="N1538" s="37"/>
      <c r="O1538" s="153"/>
      <c r="P1538" s="45"/>
      <c r="Q1538" s="54"/>
      <c r="R1538" s="260"/>
      <c r="S1538" s="258"/>
      <c r="T1538" s="258"/>
      <c r="U1538" s="38"/>
      <c r="V1538" s="261"/>
      <c r="W1538" s="256"/>
      <c r="X1538" s="256"/>
      <c r="Y1538" s="256"/>
      <c r="Z1538" s="256"/>
      <c r="AA1538" s="54"/>
      <c r="AB1538" s="200"/>
      <c r="AC1538" s="31"/>
      <c r="AD1538" s="184"/>
      <c r="AE1538" s="51"/>
      <c r="AF1538" s="52"/>
      <c r="AG1538" s="41"/>
      <c r="AH1538" s="45"/>
      <c r="AI1538" s="28"/>
      <c r="AJ1538" s="28"/>
      <c r="AK1538" s="28"/>
      <c r="AL1538" s="28"/>
      <c r="AM1538" s="12"/>
      <c r="AN1538" s="12"/>
      <c r="AO1538" s="12"/>
      <c r="AP1538" s="12"/>
      <c r="AQ1538" s="12"/>
      <c r="AR1538" s="13"/>
      <c r="AS1538" s="14"/>
    </row>
    <row r="1539" spans="1:45" s="16" customFormat="1" ht="30.95" hidden="1" customHeight="1" x14ac:dyDescent="0.2">
      <c r="A1539" s="35" t="s">
        <v>1910</v>
      </c>
      <c r="B1539" s="36" t="s">
        <v>1412</v>
      </c>
      <c r="C1539" s="43"/>
      <c r="D1539" s="29"/>
      <c r="E1539" s="29"/>
      <c r="F1539" s="255"/>
      <c r="G1539" s="256"/>
      <c r="H1539" s="256"/>
      <c r="I1539" s="200"/>
      <c r="J1539" s="203" t="s">
        <v>1893</v>
      </c>
      <c r="K1539" s="200"/>
      <c r="L1539" s="200"/>
      <c r="M1539" s="37"/>
      <c r="N1539" s="37"/>
      <c r="O1539" s="153"/>
      <c r="P1539" s="45"/>
      <c r="Q1539" s="54"/>
      <c r="R1539" s="260"/>
      <c r="S1539" s="258"/>
      <c r="T1539" s="258"/>
      <c r="U1539" s="38"/>
      <c r="V1539" s="261"/>
      <c r="W1539" s="256"/>
      <c r="X1539" s="256"/>
      <c r="Y1539" s="256"/>
      <c r="Z1539" s="256"/>
      <c r="AA1539" s="54"/>
      <c r="AB1539" s="200"/>
      <c r="AC1539" s="31"/>
      <c r="AD1539" s="184"/>
      <c r="AE1539" s="51"/>
      <c r="AF1539" s="52"/>
      <c r="AG1539" s="41"/>
      <c r="AH1539" s="45"/>
      <c r="AI1539" s="28"/>
      <c r="AJ1539" s="28"/>
      <c r="AK1539" s="28"/>
      <c r="AL1539" s="28"/>
      <c r="AM1539" s="12"/>
      <c r="AN1539" s="12"/>
      <c r="AO1539" s="12"/>
      <c r="AP1539" s="12"/>
      <c r="AQ1539" s="12"/>
      <c r="AR1539" s="13"/>
      <c r="AS1539" s="14"/>
    </row>
    <row r="1540" spans="1:45" s="16" customFormat="1" ht="30.95" hidden="1" customHeight="1" x14ac:dyDescent="0.2">
      <c r="A1540" s="35"/>
      <c r="B1540" s="36"/>
      <c r="C1540" s="43"/>
      <c r="D1540" s="29"/>
      <c r="E1540" s="29"/>
      <c r="F1540" s="255"/>
      <c r="G1540" s="256"/>
      <c r="H1540" s="256"/>
      <c r="I1540" s="200"/>
      <c r="J1540" s="203"/>
      <c r="K1540" s="200"/>
      <c r="L1540" s="200"/>
      <c r="M1540" s="37"/>
      <c r="N1540" s="37"/>
      <c r="O1540" s="153"/>
      <c r="P1540" s="45"/>
      <c r="Q1540" s="54"/>
      <c r="R1540" s="260"/>
      <c r="S1540" s="258"/>
      <c r="T1540" s="258"/>
      <c r="U1540" s="38"/>
      <c r="V1540" s="261"/>
      <c r="W1540" s="256"/>
      <c r="X1540" s="256"/>
      <c r="Y1540" s="256"/>
      <c r="Z1540" s="256"/>
      <c r="AA1540" s="54"/>
      <c r="AB1540" s="200"/>
      <c r="AC1540" s="31"/>
      <c r="AD1540" s="184"/>
      <c r="AE1540" s="51"/>
      <c r="AF1540" s="52"/>
      <c r="AG1540" s="41"/>
      <c r="AH1540" s="45"/>
      <c r="AI1540" s="28"/>
      <c r="AJ1540" s="28"/>
      <c r="AK1540" s="28"/>
      <c r="AL1540" s="28"/>
      <c r="AM1540" s="12"/>
      <c r="AN1540" s="12"/>
      <c r="AO1540" s="12"/>
      <c r="AP1540" s="12"/>
      <c r="AQ1540" s="12"/>
      <c r="AR1540" s="13"/>
      <c r="AS1540" s="14"/>
    </row>
    <row r="1541" spans="1:45" s="16" customFormat="1" ht="30.95" hidden="1" customHeight="1" x14ac:dyDescent="0.2">
      <c r="A1541" s="35" t="s">
        <v>1911</v>
      </c>
      <c r="B1541" s="36" t="s">
        <v>1408</v>
      </c>
      <c r="C1541" s="43"/>
      <c r="D1541" s="29"/>
      <c r="E1541" s="29"/>
      <c r="F1541" s="255"/>
      <c r="G1541" s="256"/>
      <c r="H1541" s="256"/>
      <c r="I1541" s="200"/>
      <c r="J1541" s="203" t="s">
        <v>1893</v>
      </c>
      <c r="K1541" s="200"/>
      <c r="L1541" s="200"/>
      <c r="M1541" s="37"/>
      <c r="N1541" s="37"/>
      <c r="O1541" s="153"/>
      <c r="P1541" s="45"/>
      <c r="Q1541" s="54"/>
      <c r="R1541" s="260"/>
      <c r="S1541" s="258"/>
      <c r="T1541" s="258"/>
      <c r="U1541" s="38"/>
      <c r="V1541" s="261"/>
      <c r="W1541" s="256"/>
      <c r="X1541" s="256"/>
      <c r="Y1541" s="256"/>
      <c r="Z1541" s="256"/>
      <c r="AA1541" s="54"/>
      <c r="AB1541" s="200"/>
      <c r="AC1541" s="31"/>
      <c r="AD1541" s="184"/>
      <c r="AE1541" s="51"/>
      <c r="AF1541" s="52"/>
      <c r="AG1541" s="41"/>
      <c r="AH1541" s="45"/>
      <c r="AI1541" s="28"/>
      <c r="AJ1541" s="28"/>
      <c r="AK1541" s="28"/>
      <c r="AL1541" s="28"/>
      <c r="AM1541" s="12"/>
      <c r="AN1541" s="12"/>
      <c r="AO1541" s="12"/>
      <c r="AP1541" s="12"/>
      <c r="AQ1541" s="12"/>
      <c r="AR1541" s="13"/>
      <c r="AS1541" s="14"/>
    </row>
    <row r="1542" spans="1:45" s="16" customFormat="1" ht="30.95" hidden="1" customHeight="1" x14ac:dyDescent="0.2">
      <c r="A1542" s="35"/>
      <c r="B1542" s="36"/>
      <c r="C1542" s="43"/>
      <c r="D1542" s="29"/>
      <c r="E1542" s="29"/>
      <c r="F1542" s="255"/>
      <c r="G1542" s="256"/>
      <c r="H1542" s="256"/>
      <c r="I1542" s="200"/>
      <c r="J1542" s="203"/>
      <c r="K1542" s="200"/>
      <c r="L1542" s="200"/>
      <c r="M1542" s="37"/>
      <c r="N1542" s="37"/>
      <c r="O1542" s="153"/>
      <c r="P1542" s="45"/>
      <c r="Q1542" s="54"/>
      <c r="R1542" s="260"/>
      <c r="S1542" s="258"/>
      <c r="T1542" s="258"/>
      <c r="U1542" s="38"/>
      <c r="V1542" s="261"/>
      <c r="W1542" s="256"/>
      <c r="X1542" s="256"/>
      <c r="Y1542" s="256"/>
      <c r="Z1542" s="256"/>
      <c r="AA1542" s="54"/>
      <c r="AB1542" s="200"/>
      <c r="AC1542" s="31"/>
      <c r="AD1542" s="184"/>
      <c r="AE1542" s="51"/>
      <c r="AF1542" s="52"/>
      <c r="AG1542" s="41"/>
      <c r="AH1542" s="45"/>
      <c r="AI1542" s="28"/>
      <c r="AJ1542" s="28"/>
      <c r="AK1542" s="28"/>
      <c r="AL1542" s="28"/>
      <c r="AM1542" s="12"/>
      <c r="AN1542" s="12"/>
      <c r="AO1542" s="12"/>
      <c r="AP1542" s="12"/>
      <c r="AQ1542" s="12"/>
      <c r="AR1542" s="13"/>
      <c r="AS1542" s="14"/>
    </row>
    <row r="1543" spans="1:45" s="16" customFormat="1" ht="30.95" hidden="1" customHeight="1" x14ac:dyDescent="0.2">
      <c r="A1543" s="35" t="s">
        <v>1912</v>
      </c>
      <c r="B1543" s="36" t="s">
        <v>1409</v>
      </c>
      <c r="C1543" s="43"/>
      <c r="D1543" s="29"/>
      <c r="E1543" s="29"/>
      <c r="F1543" s="255"/>
      <c r="G1543" s="256"/>
      <c r="H1543" s="256"/>
      <c r="I1543" s="200"/>
      <c r="J1543" s="203" t="s">
        <v>1893</v>
      </c>
      <c r="K1543" s="200"/>
      <c r="L1543" s="200"/>
      <c r="M1543" s="37"/>
      <c r="N1543" s="37"/>
      <c r="O1543" s="153"/>
      <c r="P1543" s="45"/>
      <c r="Q1543" s="54"/>
      <c r="R1543" s="260"/>
      <c r="S1543" s="258"/>
      <c r="T1543" s="258"/>
      <c r="U1543" s="38"/>
      <c r="V1543" s="261"/>
      <c r="W1543" s="256"/>
      <c r="X1543" s="256"/>
      <c r="Y1543" s="256"/>
      <c r="Z1543" s="256"/>
      <c r="AA1543" s="54"/>
      <c r="AB1543" s="200"/>
      <c r="AC1543" s="31"/>
      <c r="AD1543" s="184"/>
      <c r="AE1543" s="51"/>
      <c r="AF1543" s="52"/>
      <c r="AG1543" s="41"/>
      <c r="AH1543" s="45"/>
      <c r="AI1543" s="28"/>
      <c r="AJ1543" s="28"/>
      <c r="AK1543" s="28"/>
      <c r="AL1543" s="28"/>
      <c r="AM1543" s="12"/>
      <c r="AN1543" s="12"/>
      <c r="AO1543" s="12"/>
      <c r="AP1543" s="12"/>
      <c r="AQ1543" s="12"/>
      <c r="AR1543" s="13"/>
      <c r="AS1543" s="14"/>
    </row>
    <row r="1544" spans="1:45" s="16" customFormat="1" ht="30.95" hidden="1" customHeight="1" x14ac:dyDescent="0.2">
      <c r="A1544" s="35"/>
      <c r="B1544" s="36"/>
      <c r="C1544" s="43"/>
      <c r="D1544" s="29"/>
      <c r="E1544" s="29"/>
      <c r="F1544" s="255"/>
      <c r="G1544" s="256"/>
      <c r="H1544" s="256"/>
      <c r="I1544" s="200"/>
      <c r="J1544" s="203"/>
      <c r="K1544" s="200"/>
      <c r="L1544" s="200"/>
      <c r="M1544" s="37"/>
      <c r="N1544" s="37"/>
      <c r="O1544" s="153"/>
      <c r="P1544" s="45"/>
      <c r="Q1544" s="54"/>
      <c r="R1544" s="260"/>
      <c r="S1544" s="258"/>
      <c r="T1544" s="258"/>
      <c r="U1544" s="38"/>
      <c r="V1544" s="261"/>
      <c r="W1544" s="256"/>
      <c r="X1544" s="256"/>
      <c r="Y1544" s="256"/>
      <c r="Z1544" s="256"/>
      <c r="AA1544" s="54"/>
      <c r="AB1544" s="200"/>
      <c r="AC1544" s="31"/>
      <c r="AD1544" s="184"/>
      <c r="AE1544" s="51"/>
      <c r="AF1544" s="52"/>
      <c r="AG1544" s="41"/>
      <c r="AH1544" s="45"/>
      <c r="AI1544" s="28"/>
      <c r="AJ1544" s="28"/>
      <c r="AK1544" s="28"/>
      <c r="AL1544" s="28"/>
      <c r="AM1544" s="12"/>
      <c r="AN1544" s="12"/>
      <c r="AO1544" s="12"/>
      <c r="AP1544" s="12"/>
      <c r="AQ1544" s="12"/>
      <c r="AR1544" s="13"/>
      <c r="AS1544" s="14"/>
    </row>
    <row r="1545" spans="1:45" s="16" customFormat="1" ht="30.95" hidden="1" customHeight="1" x14ac:dyDescent="0.2">
      <c r="A1545" s="35" t="s">
        <v>1913</v>
      </c>
      <c r="B1545" s="36" t="s">
        <v>1397</v>
      </c>
      <c r="C1545" s="43"/>
      <c r="D1545" s="29"/>
      <c r="E1545" s="29"/>
      <c r="F1545" s="255"/>
      <c r="G1545" s="256"/>
      <c r="H1545" s="256"/>
      <c r="I1545" s="200"/>
      <c r="J1545" s="203" t="s">
        <v>448</v>
      </c>
      <c r="K1545" s="200"/>
      <c r="L1545" s="200"/>
      <c r="M1545" s="37"/>
      <c r="N1545" s="37"/>
      <c r="O1545" s="153"/>
      <c r="P1545" s="45"/>
      <c r="Q1545" s="54"/>
      <c r="R1545" s="260"/>
      <c r="S1545" s="258"/>
      <c r="T1545" s="258"/>
      <c r="U1545" s="38"/>
      <c r="V1545" s="261"/>
      <c r="W1545" s="256"/>
      <c r="X1545" s="256"/>
      <c r="Y1545" s="256"/>
      <c r="Z1545" s="256"/>
      <c r="AA1545" s="54"/>
      <c r="AB1545" s="200"/>
      <c r="AC1545" s="31"/>
      <c r="AD1545" s="184"/>
      <c r="AE1545" s="51"/>
      <c r="AF1545" s="52"/>
      <c r="AG1545" s="41"/>
      <c r="AH1545" s="45"/>
      <c r="AI1545" s="28"/>
      <c r="AJ1545" s="28"/>
      <c r="AK1545" s="28"/>
      <c r="AL1545" s="28"/>
      <c r="AM1545" s="12"/>
      <c r="AN1545" s="12"/>
      <c r="AO1545" s="12"/>
      <c r="AP1545" s="12"/>
      <c r="AQ1545" s="12"/>
      <c r="AR1545" s="13"/>
      <c r="AS1545" s="14"/>
    </row>
    <row r="1546" spans="1:45" s="16" customFormat="1" ht="30.95" hidden="1" customHeight="1" x14ac:dyDescent="0.2">
      <c r="A1546" s="35"/>
      <c r="B1546" s="36"/>
      <c r="C1546" s="43"/>
      <c r="D1546" s="29"/>
      <c r="E1546" s="29"/>
      <c r="F1546" s="255"/>
      <c r="G1546" s="256"/>
      <c r="H1546" s="256"/>
      <c r="I1546" s="200"/>
      <c r="J1546" s="203"/>
      <c r="K1546" s="200"/>
      <c r="L1546" s="200"/>
      <c r="M1546" s="37"/>
      <c r="N1546" s="37"/>
      <c r="O1546" s="153"/>
      <c r="P1546" s="45"/>
      <c r="Q1546" s="54"/>
      <c r="R1546" s="260"/>
      <c r="S1546" s="258"/>
      <c r="T1546" s="258"/>
      <c r="U1546" s="38"/>
      <c r="V1546" s="261"/>
      <c r="W1546" s="256"/>
      <c r="X1546" s="256"/>
      <c r="Y1546" s="256"/>
      <c r="Z1546" s="256"/>
      <c r="AA1546" s="54"/>
      <c r="AB1546" s="200"/>
      <c r="AC1546" s="31"/>
      <c r="AD1546" s="184"/>
      <c r="AE1546" s="51"/>
      <c r="AF1546" s="52"/>
      <c r="AG1546" s="41"/>
      <c r="AH1546" s="45"/>
      <c r="AI1546" s="28"/>
      <c r="AJ1546" s="28"/>
      <c r="AK1546" s="28"/>
      <c r="AL1546" s="28"/>
      <c r="AM1546" s="12"/>
      <c r="AN1546" s="12"/>
      <c r="AO1546" s="12"/>
      <c r="AP1546" s="12"/>
      <c r="AQ1546" s="12"/>
      <c r="AR1546" s="13"/>
      <c r="AS1546" s="14"/>
    </row>
    <row r="1547" spans="1:45" s="16" customFormat="1" ht="30.95" hidden="1" customHeight="1" x14ac:dyDescent="0.2">
      <c r="A1547" s="35" t="s">
        <v>1914</v>
      </c>
      <c r="B1547" s="36" t="s">
        <v>392</v>
      </c>
      <c r="C1547" s="43"/>
      <c r="D1547" s="29"/>
      <c r="E1547" s="29"/>
      <c r="F1547" s="255"/>
      <c r="G1547" s="256"/>
      <c r="H1547" s="256"/>
      <c r="I1547" s="200"/>
      <c r="J1547" s="203" t="s">
        <v>448</v>
      </c>
      <c r="K1547" s="200"/>
      <c r="L1547" s="200"/>
      <c r="M1547" s="37"/>
      <c r="N1547" s="37"/>
      <c r="O1547" s="153"/>
      <c r="P1547" s="45"/>
      <c r="Q1547" s="54"/>
      <c r="R1547" s="260"/>
      <c r="S1547" s="258"/>
      <c r="T1547" s="258"/>
      <c r="U1547" s="38"/>
      <c r="V1547" s="261"/>
      <c r="W1547" s="256"/>
      <c r="X1547" s="256"/>
      <c r="Y1547" s="256"/>
      <c r="Z1547" s="256"/>
      <c r="AA1547" s="54"/>
      <c r="AB1547" s="200"/>
      <c r="AC1547" s="31"/>
      <c r="AD1547" s="184"/>
      <c r="AE1547" s="51"/>
      <c r="AF1547" s="52"/>
      <c r="AG1547" s="41"/>
      <c r="AH1547" s="45"/>
      <c r="AI1547" s="28"/>
      <c r="AJ1547" s="28"/>
      <c r="AK1547" s="28"/>
      <c r="AL1547" s="28"/>
      <c r="AM1547" s="12"/>
      <c r="AN1547" s="12"/>
      <c r="AO1547" s="12"/>
      <c r="AP1547" s="12"/>
      <c r="AQ1547" s="12"/>
      <c r="AR1547" s="13"/>
      <c r="AS1547" s="14"/>
    </row>
    <row r="1548" spans="1:45" s="16" customFormat="1" ht="30.95" hidden="1" customHeight="1" x14ac:dyDescent="0.2">
      <c r="A1548" s="35"/>
      <c r="B1548" s="36"/>
      <c r="C1548" s="43"/>
      <c r="D1548" s="29"/>
      <c r="E1548" s="29"/>
      <c r="F1548" s="255"/>
      <c r="G1548" s="256"/>
      <c r="H1548" s="256"/>
      <c r="I1548" s="200"/>
      <c r="J1548" s="203"/>
      <c r="K1548" s="200"/>
      <c r="L1548" s="200"/>
      <c r="M1548" s="37"/>
      <c r="N1548" s="37"/>
      <c r="O1548" s="153"/>
      <c r="P1548" s="45"/>
      <c r="Q1548" s="54"/>
      <c r="R1548" s="260"/>
      <c r="S1548" s="258"/>
      <c r="T1548" s="258"/>
      <c r="U1548" s="38"/>
      <c r="V1548" s="261"/>
      <c r="W1548" s="256"/>
      <c r="X1548" s="256"/>
      <c r="Y1548" s="256"/>
      <c r="Z1548" s="256"/>
      <c r="AA1548" s="54"/>
      <c r="AB1548" s="200"/>
      <c r="AC1548" s="31"/>
      <c r="AD1548" s="184"/>
      <c r="AE1548" s="51"/>
      <c r="AF1548" s="52"/>
      <c r="AG1548" s="41"/>
      <c r="AH1548" s="45"/>
      <c r="AI1548" s="28"/>
      <c r="AJ1548" s="28"/>
      <c r="AK1548" s="28"/>
      <c r="AL1548" s="28"/>
      <c r="AM1548" s="12"/>
      <c r="AN1548" s="12"/>
      <c r="AO1548" s="12"/>
      <c r="AP1548" s="12"/>
      <c r="AQ1548" s="12"/>
      <c r="AR1548" s="13"/>
      <c r="AS1548" s="14"/>
    </row>
    <row r="1549" spans="1:45" s="16" customFormat="1" ht="30.95" hidden="1" customHeight="1" x14ac:dyDescent="0.2">
      <c r="A1549" s="35" t="s">
        <v>1915</v>
      </c>
      <c r="B1549" s="36" t="s">
        <v>1402</v>
      </c>
      <c r="C1549" s="43"/>
      <c r="D1549" s="29"/>
      <c r="E1549" s="29"/>
      <c r="F1549" s="255"/>
      <c r="G1549" s="256"/>
      <c r="H1549" s="256"/>
      <c r="I1549" s="200"/>
      <c r="J1549" s="203" t="s">
        <v>1893</v>
      </c>
      <c r="K1549" s="200"/>
      <c r="L1549" s="200"/>
      <c r="M1549" s="37"/>
      <c r="N1549" s="37"/>
      <c r="O1549" s="153"/>
      <c r="P1549" s="45"/>
      <c r="Q1549" s="54"/>
      <c r="R1549" s="260"/>
      <c r="S1549" s="258"/>
      <c r="T1549" s="258"/>
      <c r="U1549" s="38"/>
      <c r="V1549" s="261"/>
      <c r="W1549" s="256"/>
      <c r="X1549" s="256"/>
      <c r="Y1549" s="256"/>
      <c r="Z1549" s="256"/>
      <c r="AA1549" s="54"/>
      <c r="AB1549" s="200"/>
      <c r="AC1549" s="31"/>
      <c r="AD1549" s="184"/>
      <c r="AE1549" s="51"/>
      <c r="AF1549" s="52"/>
      <c r="AG1549" s="41"/>
      <c r="AH1549" s="45"/>
      <c r="AI1549" s="28"/>
      <c r="AJ1549" s="28"/>
      <c r="AK1549" s="28"/>
      <c r="AL1549" s="28"/>
      <c r="AM1549" s="12"/>
      <c r="AN1549" s="12"/>
      <c r="AO1549" s="12"/>
      <c r="AP1549" s="12"/>
      <c r="AQ1549" s="12"/>
      <c r="AR1549" s="13"/>
      <c r="AS1549" s="14"/>
    </row>
    <row r="1550" spans="1:45" s="16" customFormat="1" ht="30.95" hidden="1" customHeight="1" x14ac:dyDescent="0.2">
      <c r="A1550" s="35"/>
      <c r="B1550" s="36"/>
      <c r="C1550" s="43"/>
      <c r="D1550" s="29"/>
      <c r="E1550" s="29"/>
      <c r="F1550" s="255"/>
      <c r="G1550" s="256"/>
      <c r="H1550" s="256"/>
      <c r="I1550" s="200"/>
      <c r="J1550" s="203"/>
      <c r="K1550" s="200"/>
      <c r="L1550" s="200"/>
      <c r="M1550" s="37"/>
      <c r="N1550" s="37"/>
      <c r="O1550" s="153"/>
      <c r="P1550" s="45"/>
      <c r="Q1550" s="54"/>
      <c r="R1550" s="260"/>
      <c r="S1550" s="258"/>
      <c r="T1550" s="258"/>
      <c r="U1550" s="38"/>
      <c r="V1550" s="261"/>
      <c r="W1550" s="256"/>
      <c r="X1550" s="256"/>
      <c r="Y1550" s="256"/>
      <c r="Z1550" s="256"/>
      <c r="AA1550" s="54"/>
      <c r="AB1550" s="200"/>
      <c r="AC1550" s="31"/>
      <c r="AD1550" s="184"/>
      <c r="AE1550" s="51"/>
      <c r="AF1550" s="52"/>
      <c r="AG1550" s="41"/>
      <c r="AH1550" s="45"/>
      <c r="AI1550" s="28"/>
      <c r="AJ1550" s="28"/>
      <c r="AK1550" s="28"/>
      <c r="AL1550" s="28"/>
      <c r="AM1550" s="12"/>
      <c r="AN1550" s="12"/>
      <c r="AO1550" s="12"/>
      <c r="AP1550" s="12"/>
      <c r="AQ1550" s="12"/>
      <c r="AR1550" s="13"/>
      <c r="AS1550" s="14"/>
    </row>
    <row r="1551" spans="1:45" s="16" customFormat="1" ht="30.95" hidden="1" customHeight="1" x14ac:dyDescent="0.2">
      <c r="A1551" s="35" t="s">
        <v>1916</v>
      </c>
      <c r="B1551" s="36" t="s">
        <v>1405</v>
      </c>
      <c r="C1551" s="43"/>
      <c r="D1551" s="29"/>
      <c r="E1551" s="29"/>
      <c r="F1551" s="255"/>
      <c r="G1551" s="256"/>
      <c r="H1551" s="256"/>
      <c r="I1551" s="200"/>
      <c r="J1551" s="203" t="s">
        <v>1893</v>
      </c>
      <c r="K1551" s="200"/>
      <c r="L1551" s="200"/>
      <c r="M1551" s="37"/>
      <c r="N1551" s="37"/>
      <c r="O1551" s="153"/>
      <c r="P1551" s="45"/>
      <c r="Q1551" s="54"/>
      <c r="R1551" s="260"/>
      <c r="S1551" s="258"/>
      <c r="T1551" s="258"/>
      <c r="U1551" s="38"/>
      <c r="V1551" s="261"/>
      <c r="W1551" s="256"/>
      <c r="X1551" s="256"/>
      <c r="Y1551" s="256"/>
      <c r="Z1551" s="256"/>
      <c r="AA1551" s="54"/>
      <c r="AB1551" s="200"/>
      <c r="AC1551" s="31"/>
      <c r="AD1551" s="184"/>
      <c r="AE1551" s="51"/>
      <c r="AF1551" s="52"/>
      <c r="AG1551" s="41"/>
      <c r="AH1551" s="45"/>
      <c r="AI1551" s="28"/>
      <c r="AJ1551" s="28"/>
      <c r="AK1551" s="28"/>
      <c r="AL1551" s="28"/>
      <c r="AM1551" s="12"/>
      <c r="AN1551" s="12"/>
      <c r="AO1551" s="12"/>
      <c r="AP1551" s="12"/>
      <c r="AQ1551" s="12"/>
      <c r="AR1551" s="13"/>
      <c r="AS1551" s="14"/>
    </row>
    <row r="1552" spans="1:45" s="16" customFormat="1" ht="30.95" hidden="1" customHeight="1" x14ac:dyDescent="0.2">
      <c r="A1552" s="35"/>
      <c r="B1552" s="36"/>
      <c r="C1552" s="43"/>
      <c r="D1552" s="29"/>
      <c r="E1552" s="29"/>
      <c r="F1552" s="255"/>
      <c r="G1552" s="256"/>
      <c r="H1552" s="256"/>
      <c r="I1552" s="200"/>
      <c r="J1552" s="203"/>
      <c r="K1552" s="200"/>
      <c r="L1552" s="200"/>
      <c r="M1552" s="37"/>
      <c r="N1552" s="37"/>
      <c r="O1552" s="153"/>
      <c r="P1552" s="45"/>
      <c r="Q1552" s="54"/>
      <c r="R1552" s="260"/>
      <c r="S1552" s="258"/>
      <c r="T1552" s="258"/>
      <c r="U1552" s="38"/>
      <c r="V1552" s="261"/>
      <c r="W1552" s="256"/>
      <c r="X1552" s="256"/>
      <c r="Y1552" s="256"/>
      <c r="Z1552" s="256"/>
      <c r="AA1552" s="54"/>
      <c r="AB1552" s="200"/>
      <c r="AC1552" s="31"/>
      <c r="AD1552" s="184"/>
      <c r="AE1552" s="51"/>
      <c r="AF1552" s="52"/>
      <c r="AG1552" s="41"/>
      <c r="AH1552" s="45"/>
      <c r="AI1552" s="28"/>
      <c r="AJ1552" s="28"/>
      <c r="AK1552" s="28"/>
      <c r="AL1552" s="28"/>
      <c r="AM1552" s="12"/>
      <c r="AN1552" s="12"/>
      <c r="AO1552" s="12"/>
      <c r="AP1552" s="12"/>
      <c r="AQ1552" s="12"/>
      <c r="AR1552" s="13"/>
      <c r="AS1552" s="14"/>
    </row>
    <row r="1553" spans="1:45" s="16" customFormat="1" ht="30.95" hidden="1" customHeight="1" x14ac:dyDescent="0.2">
      <c r="A1553" s="35" t="s">
        <v>1917</v>
      </c>
      <c r="B1553" s="36" t="s">
        <v>1412</v>
      </c>
      <c r="C1553" s="43"/>
      <c r="D1553" s="29"/>
      <c r="E1553" s="29"/>
      <c r="F1553" s="255"/>
      <c r="G1553" s="256"/>
      <c r="H1553" s="256"/>
      <c r="I1553" s="200"/>
      <c r="J1553" s="203" t="s">
        <v>1893</v>
      </c>
      <c r="K1553" s="200"/>
      <c r="L1553" s="200"/>
      <c r="M1553" s="37"/>
      <c r="N1553" s="37"/>
      <c r="O1553" s="153"/>
      <c r="P1553" s="45"/>
      <c r="Q1553" s="54"/>
      <c r="R1553" s="260"/>
      <c r="S1553" s="258"/>
      <c r="T1553" s="258"/>
      <c r="U1553" s="38"/>
      <c r="V1553" s="261"/>
      <c r="W1553" s="256"/>
      <c r="X1553" s="256"/>
      <c r="Y1553" s="256"/>
      <c r="Z1553" s="256"/>
      <c r="AA1553" s="54"/>
      <c r="AB1553" s="200"/>
      <c r="AC1553" s="31"/>
      <c r="AD1553" s="184"/>
      <c r="AE1553" s="51"/>
      <c r="AF1553" s="52"/>
      <c r="AG1553" s="41"/>
      <c r="AH1553" s="45"/>
      <c r="AI1553" s="28"/>
      <c r="AJ1553" s="28"/>
      <c r="AK1553" s="28"/>
      <c r="AL1553" s="28"/>
      <c r="AM1553" s="12"/>
      <c r="AN1553" s="12"/>
      <c r="AO1553" s="12"/>
      <c r="AP1553" s="12"/>
      <c r="AQ1553" s="12"/>
      <c r="AR1553" s="13"/>
      <c r="AS1553" s="14"/>
    </row>
    <row r="1554" spans="1:45" s="16" customFormat="1" ht="30.95" hidden="1" customHeight="1" x14ac:dyDescent="0.2">
      <c r="A1554" s="35"/>
      <c r="B1554" s="36"/>
      <c r="C1554" s="43"/>
      <c r="D1554" s="29"/>
      <c r="E1554" s="29"/>
      <c r="F1554" s="255"/>
      <c r="G1554" s="256"/>
      <c r="H1554" s="256"/>
      <c r="I1554" s="200"/>
      <c r="J1554" s="203"/>
      <c r="K1554" s="200"/>
      <c r="L1554" s="200"/>
      <c r="M1554" s="37"/>
      <c r="N1554" s="37"/>
      <c r="O1554" s="153"/>
      <c r="P1554" s="45"/>
      <c r="Q1554" s="54"/>
      <c r="R1554" s="260"/>
      <c r="S1554" s="258"/>
      <c r="T1554" s="258"/>
      <c r="U1554" s="38"/>
      <c r="V1554" s="261"/>
      <c r="W1554" s="256"/>
      <c r="X1554" s="256"/>
      <c r="Y1554" s="256"/>
      <c r="Z1554" s="256"/>
      <c r="AA1554" s="54"/>
      <c r="AB1554" s="200"/>
      <c r="AC1554" s="31"/>
      <c r="AD1554" s="184"/>
      <c r="AE1554" s="51"/>
      <c r="AF1554" s="52"/>
      <c r="AG1554" s="41"/>
      <c r="AH1554" s="45"/>
      <c r="AI1554" s="28"/>
      <c r="AJ1554" s="28"/>
      <c r="AK1554" s="28"/>
      <c r="AL1554" s="28"/>
      <c r="AM1554" s="12"/>
      <c r="AN1554" s="12"/>
      <c r="AO1554" s="12"/>
      <c r="AP1554" s="12"/>
      <c r="AQ1554" s="12"/>
      <c r="AR1554" s="13"/>
      <c r="AS1554" s="14"/>
    </row>
    <row r="1555" spans="1:45" s="16" customFormat="1" ht="30.95" hidden="1" customHeight="1" x14ac:dyDescent="0.2">
      <c r="A1555" s="35" t="s">
        <v>1918</v>
      </c>
      <c r="B1555" s="36" t="s">
        <v>1920</v>
      </c>
      <c r="C1555" s="43"/>
      <c r="D1555" s="29"/>
      <c r="E1555" s="29"/>
      <c r="F1555" s="255"/>
      <c r="G1555" s="256"/>
      <c r="H1555" s="256"/>
      <c r="I1555" s="200"/>
      <c r="J1555" s="203" t="s">
        <v>1893</v>
      </c>
      <c r="K1555" s="200"/>
      <c r="L1555" s="200"/>
      <c r="M1555" s="37"/>
      <c r="N1555" s="37"/>
      <c r="O1555" s="153"/>
      <c r="P1555" s="45"/>
      <c r="Q1555" s="54"/>
      <c r="R1555" s="260"/>
      <c r="S1555" s="258"/>
      <c r="T1555" s="258"/>
      <c r="U1555" s="38"/>
      <c r="V1555" s="261"/>
      <c r="W1555" s="256"/>
      <c r="X1555" s="256"/>
      <c r="Y1555" s="256"/>
      <c r="Z1555" s="256"/>
      <c r="AA1555" s="54"/>
      <c r="AB1555" s="200"/>
      <c r="AC1555" s="31"/>
      <c r="AD1555" s="184"/>
      <c r="AE1555" s="51"/>
      <c r="AF1555" s="52"/>
      <c r="AG1555" s="41"/>
      <c r="AH1555" s="45"/>
      <c r="AI1555" s="28"/>
      <c r="AJ1555" s="28"/>
      <c r="AK1555" s="28"/>
      <c r="AL1555" s="28"/>
      <c r="AM1555" s="12"/>
      <c r="AN1555" s="12"/>
      <c r="AO1555" s="12"/>
      <c r="AP1555" s="12"/>
      <c r="AQ1555" s="12"/>
      <c r="AR1555" s="13"/>
      <c r="AS1555" s="14"/>
    </row>
    <row r="1556" spans="1:45" s="16" customFormat="1" ht="30.95" hidden="1" customHeight="1" x14ac:dyDescent="0.2">
      <c r="A1556" s="35"/>
      <c r="B1556" s="36"/>
      <c r="C1556" s="43"/>
      <c r="D1556" s="29"/>
      <c r="E1556" s="29"/>
      <c r="F1556" s="255"/>
      <c r="G1556" s="256"/>
      <c r="H1556" s="256"/>
      <c r="I1556" s="200"/>
      <c r="J1556" s="203"/>
      <c r="K1556" s="200"/>
      <c r="L1556" s="200"/>
      <c r="M1556" s="37"/>
      <c r="N1556" s="37"/>
      <c r="O1556" s="153"/>
      <c r="P1556" s="45"/>
      <c r="Q1556" s="54"/>
      <c r="R1556" s="260"/>
      <c r="S1556" s="258"/>
      <c r="T1556" s="258"/>
      <c r="U1556" s="38"/>
      <c r="V1556" s="261"/>
      <c r="W1556" s="256"/>
      <c r="X1556" s="256"/>
      <c r="Y1556" s="256"/>
      <c r="Z1556" s="256"/>
      <c r="AA1556" s="54"/>
      <c r="AB1556" s="200"/>
      <c r="AC1556" s="31"/>
      <c r="AD1556" s="184"/>
      <c r="AE1556" s="51"/>
      <c r="AF1556" s="52"/>
      <c r="AG1556" s="41"/>
      <c r="AH1556" s="45"/>
      <c r="AI1556" s="28"/>
      <c r="AJ1556" s="28"/>
      <c r="AK1556" s="28"/>
      <c r="AL1556" s="28"/>
      <c r="AM1556" s="12"/>
      <c r="AN1556" s="12"/>
      <c r="AO1556" s="12"/>
      <c r="AP1556" s="12"/>
      <c r="AQ1556" s="12"/>
      <c r="AR1556" s="13"/>
      <c r="AS1556" s="14"/>
    </row>
    <row r="1557" spans="1:45" s="16" customFormat="1" ht="30.95" hidden="1" customHeight="1" x14ac:dyDescent="0.2">
      <c r="A1557" s="35" t="s">
        <v>1923</v>
      </c>
      <c r="B1557" s="36" t="s">
        <v>1409</v>
      </c>
      <c r="C1557" s="43"/>
      <c r="D1557" s="29"/>
      <c r="E1557" s="29"/>
      <c r="F1557" s="255"/>
      <c r="G1557" s="256"/>
      <c r="H1557" s="256"/>
      <c r="I1557" s="200"/>
      <c r="J1557" s="203" t="s">
        <v>1893</v>
      </c>
      <c r="K1557" s="200"/>
      <c r="L1557" s="200"/>
      <c r="M1557" s="37"/>
      <c r="N1557" s="37"/>
      <c r="O1557" s="153"/>
      <c r="P1557" s="45"/>
      <c r="Q1557" s="54"/>
      <c r="R1557" s="260"/>
      <c r="S1557" s="258"/>
      <c r="T1557" s="258"/>
      <c r="U1557" s="38"/>
      <c r="V1557" s="261"/>
      <c r="W1557" s="256"/>
      <c r="X1557" s="256"/>
      <c r="Y1557" s="256"/>
      <c r="Z1557" s="256"/>
      <c r="AA1557" s="54"/>
      <c r="AB1557" s="200"/>
      <c r="AC1557" s="31"/>
      <c r="AD1557" s="184"/>
      <c r="AE1557" s="51"/>
      <c r="AF1557" s="52"/>
      <c r="AG1557" s="41"/>
      <c r="AH1557" s="45"/>
      <c r="AI1557" s="28"/>
      <c r="AJ1557" s="28"/>
      <c r="AK1557" s="28"/>
      <c r="AL1557" s="28"/>
      <c r="AM1557" s="12"/>
      <c r="AN1557" s="12"/>
      <c r="AO1557" s="12"/>
      <c r="AP1557" s="12"/>
      <c r="AQ1557" s="12"/>
      <c r="AR1557" s="13"/>
      <c r="AS1557" s="14"/>
    </row>
    <row r="1558" spans="1:45" s="16" customFormat="1" ht="30.95" hidden="1" customHeight="1" x14ac:dyDescent="0.2">
      <c r="A1558" s="35"/>
      <c r="B1558" s="36"/>
      <c r="C1558" s="43"/>
      <c r="D1558" s="29"/>
      <c r="E1558" s="29"/>
      <c r="F1558" s="255"/>
      <c r="G1558" s="256"/>
      <c r="H1558" s="256"/>
      <c r="I1558" s="200"/>
      <c r="J1558" s="203"/>
      <c r="K1558" s="200"/>
      <c r="L1558" s="200"/>
      <c r="M1558" s="37"/>
      <c r="N1558" s="37"/>
      <c r="O1558" s="153"/>
      <c r="P1558" s="45"/>
      <c r="Q1558" s="54"/>
      <c r="R1558" s="260"/>
      <c r="S1558" s="258"/>
      <c r="T1558" s="258"/>
      <c r="U1558" s="38"/>
      <c r="V1558" s="261"/>
      <c r="W1558" s="256"/>
      <c r="X1558" s="256"/>
      <c r="Y1558" s="256"/>
      <c r="Z1558" s="256"/>
      <c r="AA1558" s="54"/>
      <c r="AB1558" s="200"/>
      <c r="AC1558" s="31"/>
      <c r="AD1558" s="184"/>
      <c r="AE1558" s="51"/>
      <c r="AF1558" s="52"/>
      <c r="AG1558" s="41"/>
      <c r="AH1558" s="45"/>
      <c r="AI1558" s="28"/>
      <c r="AJ1558" s="28"/>
      <c r="AK1558" s="28"/>
      <c r="AL1558" s="28"/>
      <c r="AM1558" s="12"/>
      <c r="AN1558" s="12"/>
      <c r="AO1558" s="12"/>
      <c r="AP1558" s="12"/>
      <c r="AQ1558" s="12"/>
      <c r="AR1558" s="13"/>
      <c r="AS1558" s="14"/>
    </row>
    <row r="1559" spans="1:45" s="16" customFormat="1" ht="30.95" hidden="1" customHeight="1" x14ac:dyDescent="0.2">
      <c r="A1559" s="35" t="s">
        <v>1924</v>
      </c>
      <c r="B1559" s="36" t="s">
        <v>1397</v>
      </c>
      <c r="C1559" s="43"/>
      <c r="D1559" s="29"/>
      <c r="E1559" s="29"/>
      <c r="F1559" s="255"/>
      <c r="G1559" s="256"/>
      <c r="H1559" s="256"/>
      <c r="I1559" s="200"/>
      <c r="J1559" s="203" t="s">
        <v>448</v>
      </c>
      <c r="K1559" s="200"/>
      <c r="L1559" s="200"/>
      <c r="M1559" s="37"/>
      <c r="N1559" s="37"/>
      <c r="O1559" s="153"/>
      <c r="P1559" s="45"/>
      <c r="Q1559" s="54"/>
      <c r="R1559" s="260"/>
      <c r="S1559" s="258"/>
      <c r="T1559" s="258"/>
      <c r="U1559" s="38"/>
      <c r="V1559" s="261"/>
      <c r="W1559" s="256"/>
      <c r="X1559" s="256"/>
      <c r="Y1559" s="256"/>
      <c r="Z1559" s="256"/>
      <c r="AA1559" s="54"/>
      <c r="AB1559" s="200"/>
      <c r="AC1559" s="31"/>
      <c r="AD1559" s="184"/>
      <c r="AE1559" s="51"/>
      <c r="AF1559" s="52"/>
      <c r="AG1559" s="41"/>
      <c r="AH1559" s="45"/>
      <c r="AI1559" s="28"/>
      <c r="AJ1559" s="28"/>
      <c r="AK1559" s="28"/>
      <c r="AL1559" s="28"/>
      <c r="AM1559" s="12"/>
      <c r="AN1559" s="12"/>
      <c r="AO1559" s="12"/>
      <c r="AP1559" s="12"/>
      <c r="AQ1559" s="12"/>
      <c r="AR1559" s="13"/>
      <c r="AS1559" s="14"/>
    </row>
    <row r="1560" spans="1:45" s="16" customFormat="1" ht="30.95" hidden="1" customHeight="1" x14ac:dyDescent="0.2">
      <c r="A1560" s="35"/>
      <c r="B1560" s="36"/>
      <c r="C1560" s="43"/>
      <c r="D1560" s="29"/>
      <c r="E1560" s="29"/>
      <c r="F1560" s="255"/>
      <c r="G1560" s="256"/>
      <c r="H1560" s="256"/>
      <c r="I1560" s="200"/>
      <c r="J1560" s="203"/>
      <c r="K1560" s="200"/>
      <c r="L1560" s="200"/>
      <c r="M1560" s="37"/>
      <c r="N1560" s="37"/>
      <c r="O1560" s="153"/>
      <c r="P1560" s="45"/>
      <c r="Q1560" s="54"/>
      <c r="R1560" s="260"/>
      <c r="S1560" s="258"/>
      <c r="T1560" s="258"/>
      <c r="U1560" s="38"/>
      <c r="V1560" s="261"/>
      <c r="W1560" s="256"/>
      <c r="X1560" s="256"/>
      <c r="Y1560" s="256"/>
      <c r="Z1560" s="256"/>
      <c r="AA1560" s="54"/>
      <c r="AB1560" s="200"/>
      <c r="AC1560" s="31"/>
      <c r="AD1560" s="184"/>
      <c r="AE1560" s="51"/>
      <c r="AF1560" s="52"/>
      <c r="AG1560" s="41"/>
      <c r="AH1560" s="45"/>
      <c r="AI1560" s="28"/>
      <c r="AJ1560" s="28"/>
      <c r="AK1560" s="28"/>
      <c r="AL1560" s="28"/>
      <c r="AM1560" s="12"/>
      <c r="AN1560" s="12"/>
      <c r="AO1560" s="12"/>
      <c r="AP1560" s="12"/>
      <c r="AQ1560" s="12"/>
      <c r="AR1560" s="13"/>
      <c r="AS1560" s="14"/>
    </row>
    <row r="1561" spans="1:45" s="16" customFormat="1" ht="30.95" hidden="1" customHeight="1" x14ac:dyDescent="0.2">
      <c r="A1561" s="35" t="s">
        <v>1925</v>
      </c>
      <c r="B1561" s="36" t="s">
        <v>392</v>
      </c>
      <c r="C1561" s="43"/>
      <c r="D1561" s="29"/>
      <c r="E1561" s="29"/>
      <c r="F1561" s="255"/>
      <c r="G1561" s="256"/>
      <c r="H1561" s="256"/>
      <c r="I1561" s="200"/>
      <c r="J1561" s="203" t="s">
        <v>448</v>
      </c>
      <c r="K1561" s="200"/>
      <c r="L1561" s="200"/>
      <c r="M1561" s="37"/>
      <c r="N1561" s="37"/>
      <c r="O1561" s="153"/>
      <c r="P1561" s="45"/>
      <c r="Q1561" s="54"/>
      <c r="R1561" s="260"/>
      <c r="S1561" s="258"/>
      <c r="T1561" s="258"/>
      <c r="U1561" s="38"/>
      <c r="V1561" s="261"/>
      <c r="W1561" s="256"/>
      <c r="X1561" s="256"/>
      <c r="Y1561" s="256"/>
      <c r="Z1561" s="256"/>
      <c r="AA1561" s="54"/>
      <c r="AB1561" s="200"/>
      <c r="AC1561" s="31"/>
      <c r="AD1561" s="184"/>
      <c r="AE1561" s="51"/>
      <c r="AF1561" s="52"/>
      <c r="AG1561" s="41"/>
      <c r="AH1561" s="45"/>
      <c r="AI1561" s="28"/>
      <c r="AJ1561" s="28"/>
      <c r="AK1561" s="28"/>
      <c r="AL1561" s="28"/>
      <c r="AM1561" s="12"/>
      <c r="AN1561" s="12"/>
      <c r="AO1561" s="12"/>
      <c r="AP1561" s="12"/>
      <c r="AQ1561" s="12"/>
      <c r="AR1561" s="13"/>
      <c r="AS1561" s="14"/>
    </row>
    <row r="1562" spans="1:45" s="16" customFormat="1" ht="30.95" hidden="1" customHeight="1" x14ac:dyDescent="0.2">
      <c r="A1562" s="35"/>
      <c r="B1562" s="36"/>
      <c r="C1562" s="43"/>
      <c r="D1562" s="29"/>
      <c r="E1562" s="29"/>
      <c r="F1562" s="255"/>
      <c r="G1562" s="256"/>
      <c r="H1562" s="256"/>
      <c r="I1562" s="200"/>
      <c r="J1562" s="203"/>
      <c r="K1562" s="200"/>
      <c r="L1562" s="200"/>
      <c r="M1562" s="37"/>
      <c r="N1562" s="37"/>
      <c r="O1562" s="153"/>
      <c r="P1562" s="45"/>
      <c r="Q1562" s="54"/>
      <c r="R1562" s="260"/>
      <c r="S1562" s="258"/>
      <c r="T1562" s="258"/>
      <c r="U1562" s="38"/>
      <c r="V1562" s="261"/>
      <c r="W1562" s="256"/>
      <c r="X1562" s="256"/>
      <c r="Y1562" s="256"/>
      <c r="Z1562" s="256"/>
      <c r="AA1562" s="54"/>
      <c r="AB1562" s="200"/>
      <c r="AC1562" s="31"/>
      <c r="AD1562" s="184"/>
      <c r="AE1562" s="51"/>
      <c r="AF1562" s="52"/>
      <c r="AG1562" s="41"/>
      <c r="AH1562" s="45"/>
      <c r="AI1562" s="28"/>
      <c r="AJ1562" s="28"/>
      <c r="AK1562" s="28"/>
      <c r="AL1562" s="28"/>
      <c r="AM1562" s="12"/>
      <c r="AN1562" s="12"/>
      <c r="AO1562" s="12"/>
      <c r="AP1562" s="12"/>
      <c r="AQ1562" s="12"/>
      <c r="AR1562" s="13"/>
      <c r="AS1562" s="14"/>
    </row>
    <row r="1563" spans="1:45" s="16" customFormat="1" ht="30.95" hidden="1" customHeight="1" x14ac:dyDescent="0.2">
      <c r="A1563" s="35" t="s">
        <v>1926</v>
      </c>
      <c r="B1563" s="36" t="s">
        <v>1402</v>
      </c>
      <c r="C1563" s="43"/>
      <c r="D1563" s="29"/>
      <c r="E1563" s="29"/>
      <c r="F1563" s="255"/>
      <c r="G1563" s="256"/>
      <c r="H1563" s="256"/>
      <c r="I1563" s="200"/>
      <c r="J1563" s="203" t="s">
        <v>1893</v>
      </c>
      <c r="K1563" s="200"/>
      <c r="L1563" s="200"/>
      <c r="M1563" s="37"/>
      <c r="N1563" s="37"/>
      <c r="O1563" s="153"/>
      <c r="P1563" s="45"/>
      <c r="Q1563" s="54"/>
      <c r="R1563" s="260"/>
      <c r="S1563" s="258"/>
      <c r="T1563" s="258"/>
      <c r="U1563" s="38"/>
      <c r="V1563" s="261"/>
      <c r="W1563" s="256"/>
      <c r="X1563" s="256"/>
      <c r="Y1563" s="256"/>
      <c r="Z1563" s="256"/>
      <c r="AA1563" s="54"/>
      <c r="AB1563" s="200"/>
      <c r="AC1563" s="31"/>
      <c r="AD1563" s="184"/>
      <c r="AE1563" s="51"/>
      <c r="AF1563" s="52"/>
      <c r="AG1563" s="41"/>
      <c r="AH1563" s="45"/>
      <c r="AI1563" s="28"/>
      <c r="AJ1563" s="28"/>
      <c r="AK1563" s="28"/>
      <c r="AL1563" s="28"/>
      <c r="AM1563" s="12"/>
      <c r="AN1563" s="12"/>
      <c r="AO1563" s="12"/>
      <c r="AP1563" s="12"/>
      <c r="AQ1563" s="12"/>
      <c r="AR1563" s="13"/>
      <c r="AS1563" s="14"/>
    </row>
    <row r="1564" spans="1:45" s="16" customFormat="1" ht="30.95" hidden="1" customHeight="1" x14ac:dyDescent="0.2">
      <c r="A1564" s="35"/>
      <c r="B1564" s="36"/>
      <c r="C1564" s="43"/>
      <c r="D1564" s="29"/>
      <c r="E1564" s="29"/>
      <c r="F1564" s="255"/>
      <c r="G1564" s="256"/>
      <c r="H1564" s="256"/>
      <c r="I1564" s="200"/>
      <c r="J1564" s="203"/>
      <c r="K1564" s="200"/>
      <c r="L1564" s="200"/>
      <c r="M1564" s="37"/>
      <c r="N1564" s="37"/>
      <c r="O1564" s="153"/>
      <c r="P1564" s="45"/>
      <c r="Q1564" s="54"/>
      <c r="R1564" s="260"/>
      <c r="S1564" s="258"/>
      <c r="T1564" s="258"/>
      <c r="U1564" s="38"/>
      <c r="V1564" s="261"/>
      <c r="W1564" s="256"/>
      <c r="X1564" s="256"/>
      <c r="Y1564" s="256"/>
      <c r="Z1564" s="256"/>
      <c r="AA1564" s="54"/>
      <c r="AB1564" s="200"/>
      <c r="AC1564" s="31"/>
      <c r="AD1564" s="184"/>
      <c r="AE1564" s="51"/>
      <c r="AF1564" s="52"/>
      <c r="AG1564" s="41"/>
      <c r="AH1564" s="45"/>
      <c r="AI1564" s="28"/>
      <c r="AJ1564" s="28"/>
      <c r="AK1564" s="28"/>
      <c r="AL1564" s="28"/>
      <c r="AM1564" s="12"/>
      <c r="AN1564" s="12"/>
      <c r="AO1564" s="12"/>
      <c r="AP1564" s="12"/>
      <c r="AQ1564" s="12"/>
      <c r="AR1564" s="13"/>
      <c r="AS1564" s="14"/>
    </row>
    <row r="1565" spans="1:45" s="16" customFormat="1" ht="30.95" hidden="1" customHeight="1" x14ac:dyDescent="0.2">
      <c r="A1565" s="35" t="s">
        <v>1927</v>
      </c>
      <c r="B1565" s="36" t="s">
        <v>1405</v>
      </c>
      <c r="C1565" s="43"/>
      <c r="D1565" s="29"/>
      <c r="E1565" s="29"/>
      <c r="F1565" s="255"/>
      <c r="G1565" s="256"/>
      <c r="H1565" s="256"/>
      <c r="I1565" s="200"/>
      <c r="J1565" s="203" t="s">
        <v>1893</v>
      </c>
      <c r="K1565" s="200"/>
      <c r="L1565" s="200"/>
      <c r="M1565" s="37"/>
      <c r="N1565" s="37"/>
      <c r="O1565" s="153"/>
      <c r="P1565" s="45"/>
      <c r="Q1565" s="54"/>
      <c r="R1565" s="260"/>
      <c r="S1565" s="258"/>
      <c r="T1565" s="258"/>
      <c r="U1565" s="38"/>
      <c r="V1565" s="261"/>
      <c r="W1565" s="256"/>
      <c r="X1565" s="256"/>
      <c r="Y1565" s="256"/>
      <c r="Z1565" s="256"/>
      <c r="AA1565" s="54"/>
      <c r="AB1565" s="200"/>
      <c r="AC1565" s="31"/>
      <c r="AD1565" s="184"/>
      <c r="AE1565" s="51"/>
      <c r="AF1565" s="52"/>
      <c r="AG1565" s="41"/>
      <c r="AH1565" s="45"/>
      <c r="AI1565" s="28"/>
      <c r="AJ1565" s="28"/>
      <c r="AK1565" s="28"/>
      <c r="AL1565" s="28"/>
      <c r="AM1565" s="12"/>
      <c r="AN1565" s="12"/>
      <c r="AO1565" s="12"/>
      <c r="AP1565" s="12"/>
      <c r="AQ1565" s="12"/>
      <c r="AR1565" s="13"/>
      <c r="AS1565" s="14"/>
    </row>
    <row r="1566" spans="1:45" s="16" customFormat="1" ht="30.95" hidden="1" customHeight="1" x14ac:dyDescent="0.2">
      <c r="A1566" s="35"/>
      <c r="B1566" s="36"/>
      <c r="C1566" s="43"/>
      <c r="D1566" s="29"/>
      <c r="E1566" s="29"/>
      <c r="F1566" s="255"/>
      <c r="G1566" s="256"/>
      <c r="H1566" s="256"/>
      <c r="I1566" s="200"/>
      <c r="J1566" s="203"/>
      <c r="K1566" s="200"/>
      <c r="L1566" s="200"/>
      <c r="M1566" s="37"/>
      <c r="N1566" s="37"/>
      <c r="O1566" s="153"/>
      <c r="P1566" s="45"/>
      <c r="Q1566" s="54"/>
      <c r="R1566" s="260"/>
      <c r="S1566" s="258"/>
      <c r="T1566" s="258"/>
      <c r="U1566" s="38"/>
      <c r="V1566" s="261"/>
      <c r="W1566" s="256"/>
      <c r="X1566" s="256"/>
      <c r="Y1566" s="256"/>
      <c r="Z1566" s="256"/>
      <c r="AA1566" s="54"/>
      <c r="AB1566" s="200"/>
      <c r="AC1566" s="31"/>
      <c r="AD1566" s="184"/>
      <c r="AE1566" s="51"/>
      <c r="AF1566" s="52"/>
      <c r="AG1566" s="41"/>
      <c r="AH1566" s="45"/>
      <c r="AI1566" s="28"/>
      <c r="AJ1566" s="28"/>
      <c r="AK1566" s="28"/>
      <c r="AL1566" s="28"/>
      <c r="AM1566" s="12"/>
      <c r="AN1566" s="12"/>
      <c r="AO1566" s="12"/>
      <c r="AP1566" s="12"/>
      <c r="AQ1566" s="12"/>
      <c r="AR1566" s="13"/>
      <c r="AS1566" s="14"/>
    </row>
    <row r="1567" spans="1:45" s="16" customFormat="1" ht="30.95" hidden="1" customHeight="1" x14ac:dyDescent="0.2">
      <c r="A1567" s="35" t="s">
        <v>1928</v>
      </c>
      <c r="B1567" s="36" t="s">
        <v>1412</v>
      </c>
      <c r="C1567" s="43"/>
      <c r="D1567" s="29"/>
      <c r="E1567" s="29"/>
      <c r="F1567" s="255"/>
      <c r="G1567" s="256"/>
      <c r="H1567" s="256"/>
      <c r="I1567" s="200"/>
      <c r="J1567" s="203" t="s">
        <v>1893</v>
      </c>
      <c r="K1567" s="200"/>
      <c r="L1567" s="200"/>
      <c r="M1567" s="37"/>
      <c r="N1567" s="37"/>
      <c r="O1567" s="153"/>
      <c r="P1567" s="45"/>
      <c r="Q1567" s="54"/>
      <c r="R1567" s="260"/>
      <c r="S1567" s="258"/>
      <c r="T1567" s="258"/>
      <c r="U1567" s="38"/>
      <c r="V1567" s="261"/>
      <c r="W1567" s="256"/>
      <c r="X1567" s="256"/>
      <c r="Y1567" s="256"/>
      <c r="Z1567" s="256"/>
      <c r="AA1567" s="54"/>
      <c r="AB1567" s="200"/>
      <c r="AC1567" s="31"/>
      <c r="AD1567" s="184"/>
      <c r="AE1567" s="51"/>
      <c r="AF1567" s="52"/>
      <c r="AG1567" s="41"/>
      <c r="AH1567" s="45"/>
      <c r="AI1567" s="28"/>
      <c r="AJ1567" s="28"/>
      <c r="AK1567" s="28"/>
      <c r="AL1567" s="28"/>
      <c r="AM1567" s="12"/>
      <c r="AN1567" s="12"/>
      <c r="AO1567" s="12"/>
      <c r="AP1567" s="12"/>
      <c r="AQ1567" s="12"/>
      <c r="AR1567" s="13"/>
      <c r="AS1567" s="14"/>
    </row>
    <row r="1568" spans="1:45" s="16" customFormat="1" ht="30.95" hidden="1" customHeight="1" x14ac:dyDescent="0.2">
      <c r="A1568" s="35"/>
      <c r="B1568" s="36"/>
      <c r="C1568" s="43"/>
      <c r="D1568" s="29"/>
      <c r="E1568" s="29"/>
      <c r="F1568" s="255"/>
      <c r="G1568" s="256"/>
      <c r="H1568" s="256"/>
      <c r="I1568" s="200"/>
      <c r="J1568" s="203"/>
      <c r="K1568" s="200"/>
      <c r="L1568" s="200"/>
      <c r="M1568" s="37"/>
      <c r="N1568" s="37"/>
      <c r="O1568" s="153"/>
      <c r="P1568" s="45"/>
      <c r="Q1568" s="54"/>
      <c r="R1568" s="260"/>
      <c r="S1568" s="258"/>
      <c r="T1568" s="258"/>
      <c r="U1568" s="38"/>
      <c r="V1568" s="261"/>
      <c r="W1568" s="256"/>
      <c r="X1568" s="256"/>
      <c r="Y1568" s="256"/>
      <c r="Z1568" s="256"/>
      <c r="AA1568" s="54"/>
      <c r="AB1568" s="200"/>
      <c r="AC1568" s="31"/>
      <c r="AD1568" s="184"/>
      <c r="AE1568" s="51"/>
      <c r="AF1568" s="52"/>
      <c r="AG1568" s="41"/>
      <c r="AH1568" s="45"/>
      <c r="AI1568" s="28"/>
      <c r="AJ1568" s="28"/>
      <c r="AK1568" s="28"/>
      <c r="AL1568" s="28"/>
      <c r="AM1568" s="12"/>
      <c r="AN1568" s="12"/>
      <c r="AO1568" s="12"/>
      <c r="AP1568" s="12"/>
      <c r="AQ1568" s="12"/>
      <c r="AR1568" s="13"/>
      <c r="AS1568" s="14"/>
    </row>
    <row r="1569" spans="1:45" s="16" customFormat="1" ht="30.95" hidden="1" customHeight="1" x14ac:dyDescent="0.2">
      <c r="A1569" s="35" t="s">
        <v>1929</v>
      </c>
      <c r="B1569" s="36" t="s">
        <v>1408</v>
      </c>
      <c r="C1569" s="43"/>
      <c r="D1569" s="29"/>
      <c r="E1569" s="29"/>
      <c r="F1569" s="255"/>
      <c r="G1569" s="256"/>
      <c r="H1569" s="256"/>
      <c r="I1569" s="200"/>
      <c r="J1569" s="203" t="s">
        <v>1893</v>
      </c>
      <c r="K1569" s="200"/>
      <c r="L1569" s="200"/>
      <c r="M1569" s="37"/>
      <c r="N1569" s="37"/>
      <c r="O1569" s="153"/>
      <c r="P1569" s="45"/>
      <c r="Q1569" s="54"/>
      <c r="R1569" s="260"/>
      <c r="S1569" s="258"/>
      <c r="T1569" s="258"/>
      <c r="U1569" s="38"/>
      <c r="V1569" s="261"/>
      <c r="W1569" s="256"/>
      <c r="X1569" s="256"/>
      <c r="Y1569" s="256"/>
      <c r="Z1569" s="256"/>
      <c r="AA1569" s="54"/>
      <c r="AB1569" s="200"/>
      <c r="AC1569" s="31"/>
      <c r="AD1569" s="184"/>
      <c r="AE1569" s="51"/>
      <c r="AF1569" s="52"/>
      <c r="AG1569" s="41"/>
      <c r="AH1569" s="45"/>
      <c r="AI1569" s="28"/>
      <c r="AJ1569" s="28"/>
      <c r="AK1569" s="28"/>
      <c r="AL1569" s="28"/>
      <c r="AM1569" s="12"/>
      <c r="AN1569" s="12"/>
      <c r="AO1569" s="12"/>
      <c r="AP1569" s="12"/>
      <c r="AQ1569" s="12"/>
      <c r="AR1569" s="13"/>
      <c r="AS1569" s="14"/>
    </row>
    <row r="1570" spans="1:45" s="16" customFormat="1" ht="30.95" hidden="1" customHeight="1" x14ac:dyDescent="0.2">
      <c r="A1570" s="35"/>
      <c r="B1570" s="36"/>
      <c r="C1570" s="43"/>
      <c r="D1570" s="29"/>
      <c r="E1570" s="29"/>
      <c r="F1570" s="255"/>
      <c r="G1570" s="256"/>
      <c r="H1570" s="256"/>
      <c r="I1570" s="200"/>
      <c r="J1570" s="203"/>
      <c r="K1570" s="200"/>
      <c r="L1570" s="200"/>
      <c r="M1570" s="37"/>
      <c r="N1570" s="37"/>
      <c r="O1570" s="153"/>
      <c r="P1570" s="45"/>
      <c r="Q1570" s="54"/>
      <c r="R1570" s="260"/>
      <c r="S1570" s="258"/>
      <c r="T1570" s="258"/>
      <c r="U1570" s="38"/>
      <c r="V1570" s="261"/>
      <c r="W1570" s="256"/>
      <c r="X1570" s="256"/>
      <c r="Y1570" s="256"/>
      <c r="Z1570" s="256"/>
      <c r="AA1570" s="54"/>
      <c r="AB1570" s="200"/>
      <c r="AC1570" s="31"/>
      <c r="AD1570" s="184"/>
      <c r="AE1570" s="51"/>
      <c r="AF1570" s="52"/>
      <c r="AG1570" s="41"/>
      <c r="AH1570" s="45"/>
      <c r="AI1570" s="28"/>
      <c r="AJ1570" s="28"/>
      <c r="AK1570" s="28"/>
      <c r="AL1570" s="28"/>
      <c r="AM1570" s="12"/>
      <c r="AN1570" s="12"/>
      <c r="AO1570" s="12"/>
      <c r="AP1570" s="12"/>
      <c r="AQ1570" s="12"/>
      <c r="AR1570" s="13"/>
      <c r="AS1570" s="14"/>
    </row>
    <row r="1571" spans="1:45" s="16" customFormat="1" ht="30.95" hidden="1" customHeight="1" x14ac:dyDescent="0.2">
      <c r="A1571" s="35" t="s">
        <v>1930</v>
      </c>
      <c r="B1571" s="36" t="s">
        <v>1409</v>
      </c>
      <c r="C1571" s="43"/>
      <c r="D1571" s="29"/>
      <c r="E1571" s="29"/>
      <c r="F1571" s="255"/>
      <c r="G1571" s="256"/>
      <c r="H1571" s="256"/>
      <c r="I1571" s="200"/>
      <c r="J1571" s="203" t="s">
        <v>1893</v>
      </c>
      <c r="K1571" s="200"/>
      <c r="L1571" s="200"/>
      <c r="M1571" s="37"/>
      <c r="N1571" s="37"/>
      <c r="O1571" s="153"/>
      <c r="P1571" s="45"/>
      <c r="Q1571" s="54"/>
      <c r="R1571" s="260"/>
      <c r="S1571" s="258"/>
      <c r="T1571" s="258"/>
      <c r="U1571" s="38"/>
      <c r="V1571" s="261"/>
      <c r="W1571" s="256"/>
      <c r="X1571" s="256"/>
      <c r="Y1571" s="256"/>
      <c r="Z1571" s="256"/>
      <c r="AA1571" s="54"/>
      <c r="AB1571" s="200"/>
      <c r="AC1571" s="31"/>
      <c r="AD1571" s="184"/>
      <c r="AE1571" s="51"/>
      <c r="AF1571" s="52"/>
      <c r="AG1571" s="41"/>
      <c r="AH1571" s="45"/>
      <c r="AI1571" s="28"/>
      <c r="AJ1571" s="28"/>
      <c r="AK1571" s="28"/>
      <c r="AL1571" s="28"/>
      <c r="AM1571" s="12"/>
      <c r="AN1571" s="12"/>
      <c r="AO1571" s="12"/>
      <c r="AP1571" s="12"/>
      <c r="AQ1571" s="12"/>
      <c r="AR1571" s="13"/>
      <c r="AS1571" s="14"/>
    </row>
    <row r="1572" spans="1:45" s="16" customFormat="1" ht="30.95" hidden="1" customHeight="1" x14ac:dyDescent="0.2">
      <c r="A1572" s="35"/>
      <c r="B1572" s="36"/>
      <c r="C1572" s="43"/>
      <c r="D1572" s="29"/>
      <c r="E1572" s="29"/>
      <c r="F1572" s="255"/>
      <c r="G1572" s="256"/>
      <c r="H1572" s="256"/>
      <c r="I1572" s="200"/>
      <c r="J1572" s="203"/>
      <c r="K1572" s="200"/>
      <c r="L1572" s="200"/>
      <c r="M1572" s="37"/>
      <c r="N1572" s="37"/>
      <c r="O1572" s="153"/>
      <c r="P1572" s="45"/>
      <c r="Q1572" s="54"/>
      <c r="R1572" s="260"/>
      <c r="S1572" s="258"/>
      <c r="T1572" s="258"/>
      <c r="U1572" s="38"/>
      <c r="V1572" s="261"/>
      <c r="W1572" s="256"/>
      <c r="X1572" s="256"/>
      <c r="Y1572" s="256"/>
      <c r="Z1572" s="256"/>
      <c r="AA1572" s="54"/>
      <c r="AB1572" s="200"/>
      <c r="AC1572" s="31"/>
      <c r="AD1572" s="184"/>
      <c r="AE1572" s="51"/>
      <c r="AF1572" s="52"/>
      <c r="AG1572" s="41"/>
      <c r="AH1572" s="45"/>
      <c r="AI1572" s="28"/>
      <c r="AJ1572" s="28"/>
      <c r="AK1572" s="28"/>
      <c r="AL1572" s="28"/>
      <c r="AM1572" s="12"/>
      <c r="AN1572" s="12"/>
      <c r="AO1572" s="12"/>
      <c r="AP1572" s="12"/>
      <c r="AQ1572" s="12"/>
      <c r="AR1572" s="13"/>
      <c r="AS1572" s="14"/>
    </row>
    <row r="1573" spans="1:45" s="16" customFormat="1" ht="30.95" hidden="1" customHeight="1" x14ac:dyDescent="0.2">
      <c r="A1573" s="35" t="s">
        <v>1931</v>
      </c>
      <c r="B1573" s="36" t="s">
        <v>1397</v>
      </c>
      <c r="C1573" s="43"/>
      <c r="D1573" s="29"/>
      <c r="E1573" s="29"/>
      <c r="F1573" s="255"/>
      <c r="G1573" s="256"/>
      <c r="H1573" s="256"/>
      <c r="I1573" s="200"/>
      <c r="J1573" s="203" t="s">
        <v>448</v>
      </c>
      <c r="K1573" s="200"/>
      <c r="L1573" s="200"/>
      <c r="M1573" s="37"/>
      <c r="N1573" s="37"/>
      <c r="O1573" s="153"/>
      <c r="P1573" s="45"/>
      <c r="Q1573" s="54"/>
      <c r="R1573" s="260"/>
      <c r="S1573" s="258"/>
      <c r="T1573" s="258"/>
      <c r="U1573" s="38"/>
      <c r="V1573" s="261"/>
      <c r="W1573" s="256"/>
      <c r="X1573" s="256"/>
      <c r="Y1573" s="256"/>
      <c r="Z1573" s="256"/>
      <c r="AA1573" s="54"/>
      <c r="AB1573" s="200"/>
      <c r="AC1573" s="31"/>
      <c r="AD1573" s="184"/>
      <c r="AE1573" s="51"/>
      <c r="AF1573" s="52"/>
      <c r="AG1573" s="41"/>
      <c r="AH1573" s="45"/>
      <c r="AI1573" s="28"/>
      <c r="AJ1573" s="28"/>
      <c r="AK1573" s="28"/>
      <c r="AL1573" s="28"/>
      <c r="AM1573" s="12"/>
      <c r="AN1573" s="12"/>
      <c r="AO1573" s="12"/>
      <c r="AP1573" s="12"/>
      <c r="AQ1573" s="12"/>
      <c r="AR1573" s="13"/>
      <c r="AS1573" s="14"/>
    </row>
    <row r="1574" spans="1:45" s="16" customFormat="1" ht="30.95" hidden="1" customHeight="1" x14ac:dyDescent="0.2">
      <c r="A1574" s="35"/>
      <c r="B1574" s="36"/>
      <c r="C1574" s="43"/>
      <c r="D1574" s="29"/>
      <c r="E1574" s="29"/>
      <c r="F1574" s="255"/>
      <c r="G1574" s="256"/>
      <c r="H1574" s="256"/>
      <c r="I1574" s="200"/>
      <c r="J1574" s="203"/>
      <c r="K1574" s="200"/>
      <c r="L1574" s="200"/>
      <c r="M1574" s="37"/>
      <c r="N1574" s="37"/>
      <c r="O1574" s="153"/>
      <c r="P1574" s="45"/>
      <c r="Q1574" s="54"/>
      <c r="R1574" s="260"/>
      <c r="S1574" s="258"/>
      <c r="T1574" s="258"/>
      <c r="U1574" s="38"/>
      <c r="V1574" s="261"/>
      <c r="W1574" s="256"/>
      <c r="X1574" s="256"/>
      <c r="Y1574" s="256"/>
      <c r="Z1574" s="256"/>
      <c r="AA1574" s="54"/>
      <c r="AB1574" s="200"/>
      <c r="AC1574" s="31"/>
      <c r="AD1574" s="184"/>
      <c r="AE1574" s="51"/>
      <c r="AF1574" s="52"/>
      <c r="AG1574" s="41"/>
      <c r="AH1574" s="45"/>
      <c r="AI1574" s="28"/>
      <c r="AJ1574" s="28"/>
      <c r="AK1574" s="28"/>
      <c r="AL1574" s="28"/>
      <c r="AM1574" s="12"/>
      <c r="AN1574" s="12"/>
      <c r="AO1574" s="12"/>
      <c r="AP1574" s="12"/>
      <c r="AQ1574" s="12"/>
      <c r="AR1574" s="13"/>
      <c r="AS1574" s="14"/>
    </row>
    <row r="1575" spans="1:45" s="16" customFormat="1" ht="30.95" hidden="1" customHeight="1" x14ac:dyDescent="0.2">
      <c r="A1575" s="35" t="s">
        <v>1932</v>
      </c>
      <c r="B1575" s="36" t="s">
        <v>392</v>
      </c>
      <c r="C1575" s="43"/>
      <c r="D1575" s="29"/>
      <c r="E1575" s="29"/>
      <c r="F1575" s="255"/>
      <c r="G1575" s="256"/>
      <c r="H1575" s="256"/>
      <c r="I1575" s="200"/>
      <c r="J1575" s="203" t="s">
        <v>448</v>
      </c>
      <c r="K1575" s="200"/>
      <c r="L1575" s="200"/>
      <c r="M1575" s="37"/>
      <c r="N1575" s="37"/>
      <c r="O1575" s="153"/>
      <c r="P1575" s="45"/>
      <c r="Q1575" s="54"/>
      <c r="R1575" s="260"/>
      <c r="S1575" s="258"/>
      <c r="T1575" s="258"/>
      <c r="U1575" s="38"/>
      <c r="V1575" s="261"/>
      <c r="W1575" s="256"/>
      <c r="X1575" s="256"/>
      <c r="Y1575" s="256"/>
      <c r="Z1575" s="256"/>
      <c r="AA1575" s="54"/>
      <c r="AB1575" s="200"/>
      <c r="AC1575" s="31"/>
      <c r="AD1575" s="184"/>
      <c r="AE1575" s="51"/>
      <c r="AF1575" s="52"/>
      <c r="AG1575" s="41"/>
      <c r="AH1575" s="45"/>
      <c r="AI1575" s="28"/>
      <c r="AJ1575" s="28"/>
      <c r="AK1575" s="28"/>
      <c r="AL1575" s="28"/>
      <c r="AM1575" s="12"/>
      <c r="AN1575" s="12"/>
      <c r="AO1575" s="12"/>
      <c r="AP1575" s="12"/>
      <c r="AQ1575" s="12"/>
      <c r="AR1575" s="13"/>
      <c r="AS1575" s="14"/>
    </row>
    <row r="1576" spans="1:45" s="16" customFormat="1" ht="30.95" hidden="1" customHeight="1" x14ac:dyDescent="0.2">
      <c r="A1576" s="35"/>
      <c r="B1576" s="36"/>
      <c r="C1576" s="43"/>
      <c r="D1576" s="29"/>
      <c r="E1576" s="29"/>
      <c r="F1576" s="255"/>
      <c r="G1576" s="256"/>
      <c r="H1576" s="256"/>
      <c r="I1576" s="200"/>
      <c r="J1576" s="203"/>
      <c r="K1576" s="200"/>
      <c r="L1576" s="200"/>
      <c r="M1576" s="37"/>
      <c r="N1576" s="37"/>
      <c r="O1576" s="153"/>
      <c r="P1576" s="45"/>
      <c r="Q1576" s="54"/>
      <c r="R1576" s="260"/>
      <c r="S1576" s="258"/>
      <c r="T1576" s="258"/>
      <c r="U1576" s="38"/>
      <c r="V1576" s="261"/>
      <c r="W1576" s="256"/>
      <c r="X1576" s="256"/>
      <c r="Y1576" s="256"/>
      <c r="Z1576" s="256"/>
      <c r="AA1576" s="54"/>
      <c r="AB1576" s="200"/>
      <c r="AC1576" s="31"/>
      <c r="AD1576" s="184"/>
      <c r="AE1576" s="51"/>
      <c r="AF1576" s="52"/>
      <c r="AG1576" s="41"/>
      <c r="AH1576" s="45"/>
      <c r="AI1576" s="28"/>
      <c r="AJ1576" s="28"/>
      <c r="AK1576" s="28"/>
      <c r="AL1576" s="28"/>
      <c r="AM1576" s="12"/>
      <c r="AN1576" s="12"/>
      <c r="AO1576" s="12"/>
      <c r="AP1576" s="12"/>
      <c r="AQ1576" s="12"/>
      <c r="AR1576" s="13"/>
      <c r="AS1576" s="14"/>
    </row>
    <row r="1577" spans="1:45" s="16" customFormat="1" ht="30.95" hidden="1" customHeight="1" x14ac:dyDescent="0.2">
      <c r="A1577" s="35" t="s">
        <v>1933</v>
      </c>
      <c r="B1577" s="36" t="s">
        <v>1402</v>
      </c>
      <c r="C1577" s="43"/>
      <c r="D1577" s="29"/>
      <c r="E1577" s="29"/>
      <c r="F1577" s="255"/>
      <c r="G1577" s="256"/>
      <c r="H1577" s="256"/>
      <c r="I1577" s="200"/>
      <c r="J1577" s="203" t="s">
        <v>1871</v>
      </c>
      <c r="K1577" s="200"/>
      <c r="L1577" s="200"/>
      <c r="M1577" s="37"/>
      <c r="N1577" s="37"/>
      <c r="O1577" s="153"/>
      <c r="P1577" s="45"/>
      <c r="Q1577" s="54"/>
      <c r="R1577" s="260"/>
      <c r="S1577" s="258"/>
      <c r="T1577" s="258"/>
      <c r="U1577" s="38"/>
      <c r="V1577" s="261"/>
      <c r="W1577" s="256"/>
      <c r="X1577" s="256"/>
      <c r="Y1577" s="256"/>
      <c r="Z1577" s="256"/>
      <c r="AA1577" s="54"/>
      <c r="AB1577" s="200"/>
      <c r="AC1577" s="31"/>
      <c r="AD1577" s="184"/>
      <c r="AE1577" s="51"/>
      <c r="AF1577" s="52"/>
      <c r="AG1577" s="41"/>
      <c r="AH1577" s="45"/>
      <c r="AI1577" s="28"/>
      <c r="AJ1577" s="28"/>
      <c r="AK1577" s="28"/>
      <c r="AL1577" s="28"/>
      <c r="AM1577" s="12"/>
      <c r="AN1577" s="12"/>
      <c r="AO1577" s="12"/>
      <c r="AP1577" s="12"/>
      <c r="AQ1577" s="12"/>
      <c r="AR1577" s="13"/>
      <c r="AS1577" s="14"/>
    </row>
    <row r="1578" spans="1:45" s="16" customFormat="1" ht="30.95" hidden="1" customHeight="1" x14ac:dyDescent="0.2">
      <c r="A1578" s="35"/>
      <c r="B1578" s="36"/>
      <c r="C1578" s="43"/>
      <c r="D1578" s="29"/>
      <c r="E1578" s="29"/>
      <c r="F1578" s="255"/>
      <c r="G1578" s="256"/>
      <c r="H1578" s="256"/>
      <c r="I1578" s="200"/>
      <c r="J1578" s="203"/>
      <c r="K1578" s="200"/>
      <c r="L1578" s="200"/>
      <c r="M1578" s="37"/>
      <c r="N1578" s="37"/>
      <c r="O1578" s="153"/>
      <c r="P1578" s="45"/>
      <c r="Q1578" s="54"/>
      <c r="R1578" s="260"/>
      <c r="S1578" s="258"/>
      <c r="T1578" s="258"/>
      <c r="U1578" s="38"/>
      <c r="V1578" s="261"/>
      <c r="W1578" s="256"/>
      <c r="X1578" s="256"/>
      <c r="Y1578" s="256"/>
      <c r="Z1578" s="256"/>
      <c r="AA1578" s="54"/>
      <c r="AB1578" s="200"/>
      <c r="AC1578" s="31"/>
      <c r="AD1578" s="184"/>
      <c r="AE1578" s="51"/>
      <c r="AF1578" s="52"/>
      <c r="AG1578" s="41"/>
      <c r="AH1578" s="45"/>
      <c r="AI1578" s="28"/>
      <c r="AJ1578" s="28"/>
      <c r="AK1578" s="28"/>
      <c r="AL1578" s="28"/>
      <c r="AM1578" s="12"/>
      <c r="AN1578" s="12"/>
      <c r="AO1578" s="12"/>
      <c r="AP1578" s="12"/>
      <c r="AQ1578" s="12"/>
      <c r="AR1578" s="13"/>
      <c r="AS1578" s="14"/>
    </row>
    <row r="1579" spans="1:45" s="16" customFormat="1" ht="30.95" hidden="1" customHeight="1" x14ac:dyDescent="0.2">
      <c r="A1579" s="35" t="s">
        <v>1934</v>
      </c>
      <c r="B1579" s="36" t="s">
        <v>1405</v>
      </c>
      <c r="C1579" s="43"/>
      <c r="D1579" s="29"/>
      <c r="E1579" s="29"/>
      <c r="F1579" s="255"/>
      <c r="G1579" s="256"/>
      <c r="H1579" s="256"/>
      <c r="I1579" s="200"/>
      <c r="J1579" s="203" t="s">
        <v>1995</v>
      </c>
      <c r="K1579" s="200"/>
      <c r="L1579" s="200"/>
      <c r="M1579" s="37"/>
      <c r="N1579" s="37"/>
      <c r="O1579" s="153"/>
      <c r="P1579" s="45"/>
      <c r="Q1579" s="54"/>
      <c r="R1579" s="260"/>
      <c r="S1579" s="258"/>
      <c r="T1579" s="258"/>
      <c r="U1579" s="38"/>
      <c r="V1579" s="261"/>
      <c r="W1579" s="256"/>
      <c r="X1579" s="256"/>
      <c r="Y1579" s="256"/>
      <c r="Z1579" s="256"/>
      <c r="AA1579" s="54"/>
      <c r="AB1579" s="200"/>
      <c r="AC1579" s="31"/>
      <c r="AD1579" s="184"/>
      <c r="AE1579" s="51"/>
      <c r="AF1579" s="52"/>
      <c r="AG1579" s="41"/>
      <c r="AH1579" s="45"/>
      <c r="AI1579" s="28"/>
      <c r="AJ1579" s="28"/>
      <c r="AK1579" s="28"/>
      <c r="AL1579" s="28"/>
      <c r="AM1579" s="12"/>
      <c r="AN1579" s="12"/>
      <c r="AO1579" s="12"/>
      <c r="AP1579" s="12"/>
      <c r="AQ1579" s="12"/>
      <c r="AR1579" s="13"/>
      <c r="AS1579" s="14"/>
    </row>
    <row r="1580" spans="1:45" s="16" customFormat="1" ht="30.95" hidden="1" customHeight="1" x14ac:dyDescent="0.2">
      <c r="A1580" s="35"/>
      <c r="B1580" s="36"/>
      <c r="C1580" s="43"/>
      <c r="D1580" s="29"/>
      <c r="E1580" s="29"/>
      <c r="F1580" s="255"/>
      <c r="G1580" s="256"/>
      <c r="H1580" s="256"/>
      <c r="I1580" s="200"/>
      <c r="J1580" s="203"/>
      <c r="K1580" s="200"/>
      <c r="L1580" s="200"/>
      <c r="M1580" s="37"/>
      <c r="N1580" s="37"/>
      <c r="O1580" s="153"/>
      <c r="P1580" s="45"/>
      <c r="Q1580" s="54"/>
      <c r="R1580" s="260"/>
      <c r="S1580" s="258"/>
      <c r="T1580" s="258"/>
      <c r="U1580" s="38"/>
      <c r="V1580" s="261"/>
      <c r="W1580" s="256"/>
      <c r="X1580" s="256"/>
      <c r="Y1580" s="256"/>
      <c r="Z1580" s="256"/>
      <c r="AA1580" s="54"/>
      <c r="AB1580" s="200"/>
      <c r="AC1580" s="31"/>
      <c r="AD1580" s="184"/>
      <c r="AE1580" s="51"/>
      <c r="AF1580" s="52"/>
      <c r="AG1580" s="41"/>
      <c r="AH1580" s="45"/>
      <c r="AI1580" s="28"/>
      <c r="AJ1580" s="28"/>
      <c r="AK1580" s="28"/>
      <c r="AL1580" s="28"/>
      <c r="AM1580" s="12"/>
      <c r="AN1580" s="12"/>
      <c r="AO1580" s="12"/>
      <c r="AP1580" s="12"/>
      <c r="AQ1580" s="12"/>
      <c r="AR1580" s="13"/>
      <c r="AS1580" s="14"/>
    </row>
    <row r="1581" spans="1:45" s="16" customFormat="1" ht="30.95" hidden="1" customHeight="1" x14ac:dyDescent="0.2">
      <c r="A1581" s="35" t="s">
        <v>1935</v>
      </c>
      <c r="B1581" s="36" t="s">
        <v>1412</v>
      </c>
      <c r="C1581" s="43"/>
      <c r="D1581" s="29"/>
      <c r="E1581" s="29"/>
      <c r="F1581" s="255"/>
      <c r="G1581" s="256"/>
      <c r="H1581" s="256"/>
      <c r="I1581" s="200"/>
      <c r="J1581" s="203" t="s">
        <v>1995</v>
      </c>
      <c r="K1581" s="200"/>
      <c r="L1581" s="200"/>
      <c r="M1581" s="37"/>
      <c r="N1581" s="37"/>
      <c r="O1581" s="153"/>
      <c r="P1581" s="45"/>
      <c r="Q1581" s="54"/>
      <c r="R1581" s="260"/>
      <c r="S1581" s="258"/>
      <c r="T1581" s="258"/>
      <c r="U1581" s="38"/>
      <c r="V1581" s="261"/>
      <c r="W1581" s="256"/>
      <c r="X1581" s="256"/>
      <c r="Y1581" s="256"/>
      <c r="Z1581" s="256"/>
      <c r="AA1581" s="54"/>
      <c r="AB1581" s="200"/>
      <c r="AC1581" s="31"/>
      <c r="AD1581" s="184"/>
      <c r="AE1581" s="51"/>
      <c r="AF1581" s="52"/>
      <c r="AG1581" s="41"/>
      <c r="AH1581" s="45"/>
      <c r="AI1581" s="28"/>
      <c r="AJ1581" s="28"/>
      <c r="AK1581" s="28"/>
      <c r="AL1581" s="28"/>
      <c r="AM1581" s="12"/>
      <c r="AN1581" s="12"/>
      <c r="AO1581" s="12"/>
      <c r="AP1581" s="12"/>
      <c r="AQ1581" s="12"/>
      <c r="AR1581" s="13"/>
      <c r="AS1581" s="14"/>
    </row>
    <row r="1582" spans="1:45" s="16" customFormat="1" ht="30.95" hidden="1" customHeight="1" x14ac:dyDescent="0.2">
      <c r="A1582" s="35"/>
      <c r="B1582" s="36"/>
      <c r="C1582" s="43"/>
      <c r="D1582" s="29"/>
      <c r="E1582" s="29"/>
      <c r="F1582" s="255"/>
      <c r="G1582" s="256"/>
      <c r="H1582" s="256"/>
      <c r="I1582" s="200"/>
      <c r="J1582" s="203"/>
      <c r="K1582" s="200"/>
      <c r="L1582" s="200"/>
      <c r="M1582" s="37"/>
      <c r="N1582" s="37"/>
      <c r="O1582" s="153"/>
      <c r="P1582" s="45"/>
      <c r="Q1582" s="54"/>
      <c r="R1582" s="260"/>
      <c r="S1582" s="258"/>
      <c r="T1582" s="258"/>
      <c r="U1582" s="38"/>
      <c r="V1582" s="261"/>
      <c r="W1582" s="256"/>
      <c r="X1582" s="256"/>
      <c r="Y1582" s="256"/>
      <c r="Z1582" s="256"/>
      <c r="AA1582" s="54"/>
      <c r="AB1582" s="200"/>
      <c r="AC1582" s="31"/>
      <c r="AD1582" s="184"/>
      <c r="AE1582" s="51"/>
      <c r="AF1582" s="52"/>
      <c r="AG1582" s="41"/>
      <c r="AH1582" s="45"/>
      <c r="AI1582" s="28"/>
      <c r="AJ1582" s="28"/>
      <c r="AK1582" s="28"/>
      <c r="AL1582" s="28"/>
      <c r="AM1582" s="12"/>
      <c r="AN1582" s="12"/>
      <c r="AO1582" s="12"/>
      <c r="AP1582" s="12"/>
      <c r="AQ1582" s="12"/>
      <c r="AR1582" s="13"/>
      <c r="AS1582" s="14"/>
    </row>
    <row r="1583" spans="1:45" s="16" customFormat="1" ht="30.95" hidden="1" customHeight="1" x14ac:dyDescent="0.2">
      <c r="A1583" s="35" t="s">
        <v>1965</v>
      </c>
      <c r="B1583" s="36" t="s">
        <v>443</v>
      </c>
      <c r="C1583" s="43"/>
      <c r="D1583" s="29"/>
      <c r="E1583" s="29"/>
      <c r="F1583" s="255"/>
      <c r="G1583" s="256"/>
      <c r="H1583" s="256"/>
      <c r="I1583" s="200"/>
      <c r="J1583" s="203" t="s">
        <v>1995</v>
      </c>
      <c r="K1583" s="200"/>
      <c r="L1583" s="200"/>
      <c r="M1583" s="37"/>
      <c r="N1583" s="37"/>
      <c r="O1583" s="153"/>
      <c r="P1583" s="45"/>
      <c r="Q1583" s="54"/>
      <c r="R1583" s="260"/>
      <c r="S1583" s="258"/>
      <c r="T1583" s="258"/>
      <c r="U1583" s="38"/>
      <c r="V1583" s="261"/>
      <c r="W1583" s="256"/>
      <c r="X1583" s="256"/>
      <c r="Y1583" s="256"/>
      <c r="Z1583" s="256"/>
      <c r="AA1583" s="54"/>
      <c r="AB1583" s="200"/>
      <c r="AC1583" s="31"/>
      <c r="AD1583" s="184"/>
      <c r="AE1583" s="51"/>
      <c r="AF1583" s="52"/>
      <c r="AG1583" s="41"/>
      <c r="AH1583" s="45"/>
      <c r="AI1583" s="28"/>
      <c r="AJ1583" s="28"/>
      <c r="AK1583" s="28"/>
      <c r="AL1583" s="28"/>
      <c r="AM1583" s="12"/>
      <c r="AN1583" s="12"/>
      <c r="AO1583" s="12"/>
      <c r="AP1583" s="12"/>
      <c r="AQ1583" s="12"/>
      <c r="AR1583" s="13"/>
      <c r="AS1583" s="14"/>
    </row>
    <row r="1584" spans="1:45" s="16" customFormat="1" ht="30.95" hidden="1" customHeight="1" x14ac:dyDescent="0.2">
      <c r="A1584" s="35"/>
      <c r="B1584" s="36"/>
      <c r="C1584" s="43"/>
      <c r="D1584" s="29"/>
      <c r="E1584" s="29"/>
      <c r="F1584" s="255"/>
      <c r="G1584" s="256"/>
      <c r="H1584" s="256"/>
      <c r="I1584" s="200"/>
      <c r="J1584" s="203"/>
      <c r="K1584" s="200"/>
      <c r="L1584" s="200"/>
      <c r="M1584" s="37"/>
      <c r="N1584" s="37"/>
      <c r="O1584" s="153"/>
      <c r="P1584" s="45"/>
      <c r="Q1584" s="54"/>
      <c r="R1584" s="260"/>
      <c r="S1584" s="258"/>
      <c r="T1584" s="258"/>
      <c r="U1584" s="38"/>
      <c r="V1584" s="261"/>
      <c r="W1584" s="256"/>
      <c r="X1584" s="256"/>
      <c r="Y1584" s="256"/>
      <c r="Z1584" s="256"/>
      <c r="AA1584" s="54"/>
      <c r="AB1584" s="200"/>
      <c r="AC1584" s="31"/>
      <c r="AD1584" s="184"/>
      <c r="AE1584" s="51"/>
      <c r="AF1584" s="52"/>
      <c r="AG1584" s="41"/>
      <c r="AH1584" s="45"/>
      <c r="AI1584" s="28"/>
      <c r="AJ1584" s="28"/>
      <c r="AK1584" s="28"/>
      <c r="AL1584" s="28"/>
      <c r="AM1584" s="12"/>
      <c r="AN1584" s="12"/>
      <c r="AO1584" s="12"/>
      <c r="AP1584" s="12"/>
      <c r="AQ1584" s="12"/>
      <c r="AR1584" s="13"/>
      <c r="AS1584" s="14"/>
    </row>
    <row r="1585" spans="1:45" s="16" customFormat="1" ht="30.95" hidden="1" customHeight="1" x14ac:dyDescent="0.2">
      <c r="A1585" s="35" t="s">
        <v>1970</v>
      </c>
      <c r="B1585" s="36" t="s">
        <v>444</v>
      </c>
      <c r="C1585" s="43"/>
      <c r="D1585" s="29"/>
      <c r="E1585" s="29"/>
      <c r="F1585" s="255"/>
      <c r="G1585" s="256"/>
      <c r="H1585" s="256"/>
      <c r="I1585" s="200"/>
      <c r="J1585" s="203" t="s">
        <v>1995</v>
      </c>
      <c r="K1585" s="200"/>
      <c r="L1585" s="200"/>
      <c r="M1585" s="37"/>
      <c r="N1585" s="37"/>
      <c r="O1585" s="153"/>
      <c r="P1585" s="45"/>
      <c r="Q1585" s="54"/>
      <c r="R1585" s="260"/>
      <c r="S1585" s="258"/>
      <c r="T1585" s="258"/>
      <c r="U1585" s="38"/>
      <c r="V1585" s="261"/>
      <c r="W1585" s="256"/>
      <c r="X1585" s="256"/>
      <c r="Y1585" s="256"/>
      <c r="Z1585" s="256"/>
      <c r="AA1585" s="54"/>
      <c r="AB1585" s="200"/>
      <c r="AC1585" s="31"/>
      <c r="AD1585" s="184"/>
      <c r="AE1585" s="51"/>
      <c r="AF1585" s="52"/>
      <c r="AG1585" s="41"/>
      <c r="AH1585" s="45"/>
      <c r="AI1585" s="28"/>
      <c r="AJ1585" s="28"/>
      <c r="AK1585" s="28"/>
      <c r="AL1585" s="28"/>
      <c r="AM1585" s="12"/>
      <c r="AN1585" s="12"/>
      <c r="AO1585" s="12"/>
      <c r="AP1585" s="12"/>
      <c r="AQ1585" s="12"/>
      <c r="AR1585" s="13"/>
      <c r="AS1585" s="14"/>
    </row>
    <row r="1586" spans="1:45" s="16" customFormat="1" ht="30.95" hidden="1" customHeight="1" x14ac:dyDescent="0.2">
      <c r="A1586" s="35"/>
      <c r="B1586" s="36"/>
      <c r="C1586" s="43"/>
      <c r="D1586" s="29"/>
      <c r="E1586" s="29"/>
      <c r="F1586" s="255"/>
      <c r="G1586" s="256"/>
      <c r="H1586" s="256"/>
      <c r="I1586" s="200"/>
      <c r="J1586" s="203"/>
      <c r="K1586" s="200"/>
      <c r="L1586" s="200"/>
      <c r="M1586" s="37"/>
      <c r="N1586" s="37"/>
      <c r="O1586" s="153"/>
      <c r="P1586" s="45"/>
      <c r="Q1586" s="54"/>
      <c r="R1586" s="260"/>
      <c r="S1586" s="258"/>
      <c r="T1586" s="258"/>
      <c r="U1586" s="38"/>
      <c r="V1586" s="261"/>
      <c r="W1586" s="256"/>
      <c r="X1586" s="256"/>
      <c r="Y1586" s="256"/>
      <c r="Z1586" s="256"/>
      <c r="AA1586" s="54"/>
      <c r="AB1586" s="200"/>
      <c r="AC1586" s="31"/>
      <c r="AD1586" s="184"/>
      <c r="AE1586" s="51"/>
      <c r="AF1586" s="52"/>
      <c r="AG1586" s="41"/>
      <c r="AH1586" s="45"/>
      <c r="AI1586" s="28"/>
      <c r="AJ1586" s="28"/>
      <c r="AK1586" s="28"/>
      <c r="AL1586" s="28"/>
      <c r="AM1586" s="12"/>
      <c r="AN1586" s="12"/>
      <c r="AO1586" s="12"/>
      <c r="AP1586" s="12"/>
      <c r="AQ1586" s="12"/>
      <c r="AR1586" s="13"/>
      <c r="AS1586" s="14"/>
    </row>
    <row r="1587" spans="1:45" s="16" customFormat="1" ht="30.95" hidden="1" customHeight="1" x14ac:dyDescent="0.2">
      <c r="A1587" s="35" t="s">
        <v>1971</v>
      </c>
      <c r="B1587" s="36" t="s">
        <v>445</v>
      </c>
      <c r="C1587" s="43"/>
      <c r="D1587" s="29"/>
      <c r="E1587" s="29"/>
      <c r="F1587" s="255"/>
      <c r="G1587" s="256"/>
      <c r="H1587" s="256"/>
      <c r="I1587" s="200"/>
      <c r="J1587" s="203" t="s">
        <v>665</v>
      </c>
      <c r="K1587" s="200"/>
      <c r="L1587" s="200"/>
      <c r="M1587" s="37"/>
      <c r="N1587" s="37"/>
      <c r="O1587" s="153"/>
      <c r="P1587" s="45"/>
      <c r="Q1587" s="54"/>
      <c r="R1587" s="260"/>
      <c r="S1587" s="258"/>
      <c r="T1587" s="258"/>
      <c r="U1587" s="38"/>
      <c r="V1587" s="261"/>
      <c r="W1587" s="256"/>
      <c r="X1587" s="256"/>
      <c r="Y1587" s="256"/>
      <c r="Z1587" s="256"/>
      <c r="AA1587" s="54"/>
      <c r="AB1587" s="200"/>
      <c r="AC1587" s="31"/>
      <c r="AD1587" s="184"/>
      <c r="AE1587" s="51"/>
      <c r="AF1587" s="52"/>
      <c r="AG1587" s="41"/>
      <c r="AH1587" s="45"/>
      <c r="AI1587" s="28"/>
      <c r="AJ1587" s="28"/>
      <c r="AK1587" s="28"/>
      <c r="AL1587" s="28"/>
      <c r="AM1587" s="12"/>
      <c r="AN1587" s="12"/>
      <c r="AO1587" s="12"/>
      <c r="AP1587" s="12"/>
      <c r="AQ1587" s="12"/>
      <c r="AR1587" s="13"/>
      <c r="AS1587" s="14"/>
    </row>
    <row r="1588" spans="1:45" s="16" customFormat="1" ht="30.95" hidden="1" customHeight="1" x14ac:dyDescent="0.2">
      <c r="A1588" s="35"/>
      <c r="B1588" s="36"/>
      <c r="C1588" s="43"/>
      <c r="D1588" s="29"/>
      <c r="E1588" s="29"/>
      <c r="F1588" s="255"/>
      <c r="G1588" s="256"/>
      <c r="H1588" s="256"/>
      <c r="I1588" s="200"/>
      <c r="J1588" s="203"/>
      <c r="K1588" s="200"/>
      <c r="L1588" s="200"/>
      <c r="M1588" s="37"/>
      <c r="N1588" s="37"/>
      <c r="O1588" s="153"/>
      <c r="P1588" s="45"/>
      <c r="Q1588" s="54"/>
      <c r="R1588" s="260"/>
      <c r="S1588" s="258"/>
      <c r="T1588" s="258"/>
      <c r="U1588" s="38"/>
      <c r="V1588" s="261"/>
      <c r="W1588" s="256"/>
      <c r="X1588" s="256"/>
      <c r="Y1588" s="256"/>
      <c r="Z1588" s="256"/>
      <c r="AA1588" s="54"/>
      <c r="AB1588" s="200"/>
      <c r="AC1588" s="31"/>
      <c r="AD1588" s="184"/>
      <c r="AE1588" s="51"/>
      <c r="AF1588" s="52"/>
      <c r="AG1588" s="41"/>
      <c r="AH1588" s="45"/>
      <c r="AI1588" s="28"/>
      <c r="AJ1588" s="28"/>
      <c r="AK1588" s="28"/>
      <c r="AL1588" s="28"/>
      <c r="AM1588" s="12"/>
      <c r="AN1588" s="12"/>
      <c r="AO1588" s="12"/>
      <c r="AP1588" s="12"/>
      <c r="AQ1588" s="12"/>
      <c r="AR1588" s="13"/>
      <c r="AS1588" s="14"/>
    </row>
    <row r="1589" spans="1:45" s="16" customFormat="1" ht="30.95" hidden="1" customHeight="1" x14ac:dyDescent="0.2">
      <c r="A1589" s="35" t="s">
        <v>1938</v>
      </c>
      <c r="B1589" s="36" t="s">
        <v>392</v>
      </c>
      <c r="C1589" s="43"/>
      <c r="D1589" s="29"/>
      <c r="E1589" s="29"/>
      <c r="F1589" s="255"/>
      <c r="G1589" s="256"/>
      <c r="H1589" s="256"/>
      <c r="I1589" s="200"/>
      <c r="J1589" s="203" t="s">
        <v>448</v>
      </c>
      <c r="K1589" s="200"/>
      <c r="L1589" s="200"/>
      <c r="M1589" s="37"/>
      <c r="N1589" s="37"/>
      <c r="O1589" s="153"/>
      <c r="P1589" s="45"/>
      <c r="Q1589" s="54"/>
      <c r="R1589" s="260"/>
      <c r="S1589" s="258"/>
      <c r="T1589" s="258"/>
      <c r="U1589" s="38"/>
      <c r="V1589" s="261"/>
      <c r="W1589" s="256"/>
      <c r="X1589" s="256"/>
      <c r="Y1589" s="256"/>
      <c r="Z1589" s="256"/>
      <c r="AA1589" s="54"/>
      <c r="AB1589" s="200"/>
      <c r="AC1589" s="31"/>
      <c r="AD1589" s="184"/>
      <c r="AE1589" s="51"/>
      <c r="AF1589" s="52"/>
      <c r="AG1589" s="41"/>
      <c r="AH1589" s="45"/>
      <c r="AI1589" s="28"/>
      <c r="AJ1589" s="28"/>
      <c r="AK1589" s="28"/>
      <c r="AL1589" s="28"/>
      <c r="AM1589" s="12"/>
      <c r="AN1589" s="12"/>
      <c r="AO1589" s="12"/>
      <c r="AP1589" s="12"/>
      <c r="AQ1589" s="12"/>
      <c r="AR1589" s="13"/>
      <c r="AS1589" s="14"/>
    </row>
    <row r="1590" spans="1:45" s="16" customFormat="1" ht="30.95" hidden="1" customHeight="1" x14ac:dyDescent="0.2">
      <c r="A1590" s="35"/>
      <c r="B1590" s="36"/>
      <c r="C1590" s="43"/>
      <c r="D1590" s="29"/>
      <c r="E1590" s="29"/>
      <c r="F1590" s="255"/>
      <c r="G1590" s="256"/>
      <c r="H1590" s="256"/>
      <c r="I1590" s="200"/>
      <c r="J1590" s="203"/>
      <c r="K1590" s="200"/>
      <c r="L1590" s="200"/>
      <c r="M1590" s="37"/>
      <c r="N1590" s="37"/>
      <c r="O1590" s="153"/>
      <c r="P1590" s="45"/>
      <c r="Q1590" s="54"/>
      <c r="R1590" s="260"/>
      <c r="S1590" s="258"/>
      <c r="T1590" s="258"/>
      <c r="U1590" s="38"/>
      <c r="V1590" s="261"/>
      <c r="W1590" s="256"/>
      <c r="X1590" s="256"/>
      <c r="Y1590" s="256"/>
      <c r="Z1590" s="256"/>
      <c r="AA1590" s="54"/>
      <c r="AB1590" s="200"/>
      <c r="AC1590" s="31"/>
      <c r="AD1590" s="184"/>
      <c r="AE1590" s="51"/>
      <c r="AF1590" s="52"/>
      <c r="AG1590" s="41"/>
      <c r="AH1590" s="45"/>
      <c r="AI1590" s="28"/>
      <c r="AJ1590" s="28"/>
      <c r="AK1590" s="28"/>
      <c r="AL1590" s="28"/>
      <c r="AM1590" s="12"/>
      <c r="AN1590" s="12"/>
      <c r="AO1590" s="12"/>
      <c r="AP1590" s="12"/>
      <c r="AQ1590" s="12"/>
      <c r="AR1590" s="13"/>
      <c r="AS1590" s="14"/>
    </row>
    <row r="1591" spans="1:45" s="16" customFormat="1" ht="30.95" hidden="1" customHeight="1" x14ac:dyDescent="0.2">
      <c r="A1591" s="35" t="s">
        <v>1973</v>
      </c>
      <c r="B1591" s="36" t="s">
        <v>1974</v>
      </c>
      <c r="C1591" s="43"/>
      <c r="D1591" s="29"/>
      <c r="E1591" s="29"/>
      <c r="F1591" s="255"/>
      <c r="G1591" s="256"/>
      <c r="H1591" s="256"/>
      <c r="I1591" s="200"/>
      <c r="J1591" s="203" t="s">
        <v>665</v>
      </c>
      <c r="K1591" s="200"/>
      <c r="L1591" s="200"/>
      <c r="M1591" s="37"/>
      <c r="N1591" s="37"/>
      <c r="O1591" s="153"/>
      <c r="P1591" s="45"/>
      <c r="Q1591" s="54"/>
      <c r="R1591" s="260"/>
      <c r="S1591" s="258"/>
      <c r="T1591" s="258"/>
      <c r="U1591" s="38"/>
      <c r="V1591" s="261"/>
      <c r="W1591" s="256"/>
      <c r="X1591" s="256"/>
      <c r="Y1591" s="256"/>
      <c r="Z1591" s="256"/>
      <c r="AA1591" s="54"/>
      <c r="AB1591" s="200"/>
      <c r="AC1591" s="31"/>
      <c r="AD1591" s="184"/>
      <c r="AE1591" s="51"/>
      <c r="AF1591" s="52"/>
      <c r="AG1591" s="41"/>
      <c r="AH1591" s="45"/>
      <c r="AI1591" s="28"/>
      <c r="AJ1591" s="28"/>
      <c r="AK1591" s="28"/>
      <c r="AL1591" s="28"/>
      <c r="AM1591" s="12"/>
      <c r="AN1591" s="12"/>
      <c r="AO1591" s="12"/>
      <c r="AP1591" s="12"/>
      <c r="AQ1591" s="12"/>
      <c r="AR1591" s="13"/>
      <c r="AS1591" s="14"/>
    </row>
    <row r="1592" spans="1:45" s="16" customFormat="1" ht="30.95" hidden="1" customHeight="1" x14ac:dyDescent="0.2">
      <c r="A1592" s="35"/>
      <c r="B1592" s="36"/>
      <c r="C1592" s="43"/>
      <c r="D1592" s="29"/>
      <c r="E1592" s="29"/>
      <c r="F1592" s="255"/>
      <c r="G1592" s="256"/>
      <c r="H1592" s="256"/>
      <c r="I1592" s="200"/>
      <c r="J1592" s="203"/>
      <c r="K1592" s="200"/>
      <c r="L1592" s="200"/>
      <c r="M1592" s="37"/>
      <c r="N1592" s="37"/>
      <c r="O1592" s="153"/>
      <c r="P1592" s="45"/>
      <c r="Q1592" s="54"/>
      <c r="R1592" s="260"/>
      <c r="S1592" s="258"/>
      <c r="T1592" s="258"/>
      <c r="U1592" s="38"/>
      <c r="V1592" s="261"/>
      <c r="W1592" s="256"/>
      <c r="X1592" s="256"/>
      <c r="Y1592" s="256"/>
      <c r="Z1592" s="256"/>
      <c r="AA1592" s="54"/>
      <c r="AB1592" s="200"/>
      <c r="AC1592" s="31"/>
      <c r="AD1592" s="184"/>
      <c r="AE1592" s="51"/>
      <c r="AF1592" s="52"/>
      <c r="AG1592" s="41"/>
      <c r="AH1592" s="45"/>
      <c r="AI1592" s="28"/>
      <c r="AJ1592" s="28"/>
      <c r="AK1592" s="28"/>
      <c r="AL1592" s="28"/>
      <c r="AM1592" s="12"/>
      <c r="AN1592" s="12"/>
      <c r="AO1592" s="12"/>
      <c r="AP1592" s="12"/>
      <c r="AQ1592" s="12"/>
      <c r="AR1592" s="13"/>
      <c r="AS1592" s="14"/>
    </row>
    <row r="1593" spans="1:45" s="16" customFormat="1" ht="30.95" hidden="1" customHeight="1" x14ac:dyDescent="0.2">
      <c r="A1593" s="35" t="s">
        <v>1992</v>
      </c>
      <c r="B1593" s="36" t="s">
        <v>1978</v>
      </c>
      <c r="C1593" s="43"/>
      <c r="D1593" s="29">
        <v>3741600</v>
      </c>
      <c r="E1593" s="29">
        <v>4162218</v>
      </c>
      <c r="F1593" s="255" t="str">
        <f>IF(D1593="","",VLOOKUP(D1593,契約台帳!$A$3:$K$4986,6,FALSE)&amp;VLOOKUP(D1593,契約台帳!$A$3:$K$4986,7,FALSE)&amp;VLOOKUP(D1593,契約台帳!$A$3:$K$4986,8,FALSE)&amp;VLOOKUP(D1593,契約台帳!$A$3:$K$4986,9,FALSE)&amp;VLOOKUP(D1593,契約台帳!$A$3:$K$4986,11,FALSE))</f>
        <v>3SNMLBMTSF</v>
      </c>
      <c r="G1593" s="256" t="str">
        <f>IF(D1593="","",VLOOKUP(F1593,製品マスタ!$G$5:$H$4999,2,FALSE))</f>
        <v>S</v>
      </c>
      <c r="H1593" s="256" t="str">
        <f>IF(D1593="","",VLOOKUP(F1593,製品マスタ!$G$5:$K$4999,5,FALSE))</f>
        <v>MTSF</v>
      </c>
      <c r="I1593" s="200" t="str">
        <f>IF(D1593="","",VLOOKUP(F1593,製品マスタ!$G$5:$L$4999,6,FALSE))</f>
        <v>メタルミー　ＴＳ</v>
      </c>
      <c r="J1593" s="203" t="s">
        <v>935</v>
      </c>
      <c r="K1593" s="200">
        <f>IF(D1593="","",VLOOKUP(D1593,契約台帳!$A$3:$L$4986,12,FALSE))</f>
        <v>50</v>
      </c>
      <c r="L1593" s="200" t="str">
        <f>IF(D1593="","",INDEX(製品マスタ!$Q$5:$Q$4999,MATCH('S4'!F1593&amp;'S4'!K1593,製品マスタ!$AO$5:$AO$4999,0)))</f>
        <v>T62M</v>
      </c>
      <c r="M1593" s="37">
        <v>1255</v>
      </c>
      <c r="N1593" s="37">
        <v>6100</v>
      </c>
      <c r="O1593" s="153">
        <v>6</v>
      </c>
      <c r="P1593" s="45">
        <v>2</v>
      </c>
      <c r="Q1593" s="206">
        <v>45335</v>
      </c>
      <c r="R1593" s="257">
        <f ca="1">IF(D1593="","",IF(OFFSET(D1593,-1,0)&lt;&gt;"","",IF(OR(J1593="リード付け",J1593="巻足し",J1593="巻返しリード付け"),M1593,VLOOKUP(D1593,契約台帳!$A$3:$N$4986,14,FALSE))))</f>
        <v>1255</v>
      </c>
      <c r="S1593" s="258">
        <f ca="1">IF(D1593="","",IF(OFFSET(D1593,-1,0)&lt;&gt;"","",IF(OR(J1593="リード付け",J1593="巻足し",J1593="巻返しリード付け"),M1593,VLOOKUP(D1593,契約台帳!$A$3:$O$4986,15,FALSE))))</f>
        <v>1255</v>
      </c>
      <c r="T1593" s="258">
        <f ca="1">IF(D1593="","",IF(J1593="リード付け",N1593,IF(J1593="巻返しリード付け",N1593,IF(J1593="巻足し",N1593*P1593+OFFSET(N1593,1,0)*OFFSET(P1593,1,0),VLOOKUP(D1593,契約台帳!$A$3:$P$4986,16,FALSE)))))</f>
        <v>12200</v>
      </c>
      <c r="U1593" s="38">
        <v>3</v>
      </c>
      <c r="V1593" s="259">
        <f ca="1">IF(D1593="","",IF(OFFSET(D1593,-2,0)=D1593,"",VLOOKUP(D1593,契約台帳!$A$3:$R$4986,18,FALSE)))</f>
        <v>21</v>
      </c>
      <c r="W1593" s="256" t="str">
        <f ca="1">IF(D1593="","",IF(T1593="","",IF(OR(J1593="巻足し",J1593="巻返しリード付け"),"",IF(J1593="巻返し",VLOOKUP(F1593&amp;K1593&amp;M1593,製品マスタ!$M$5:$AD$4999,18,FALSE),IF(OR(J1593="リード付け",J1593="巻返しリード付け"),"原反コア",IF(J1593="スリット",VLOOKUP(F1593&amp;K1593&amp;R1593,製品マスタ!$N$5:$AD$4999,17,FALSE),""))))))</f>
        <v/>
      </c>
      <c r="X1593" s="256" t="str">
        <f ca="1">IF(D1593="","",IF(T1593="","",IF(J1593="巻足し","",IF(J1593="巻返し",VLOOKUP(F1593&amp;K1593&amp;M1593,製品マスタ!$M$5:$AE$4999,19,FALSE),IF(OR(J1593="リード付け",J1593="巻返しリード付け"),"",IF(J1593="スリット",VLOOKUP(F1593&amp;K1593&amp;R1593,製品マスタ!$N$5:$AE$4999,18,FALSE),""))))))</f>
        <v/>
      </c>
      <c r="Y1593" s="256">
        <f ca="1">IF(D1593="","",IF(T1593="","",VLOOKUP(D1593,契約台帳!$A$3:$Q$4986,17,FALSE)))</f>
        <v>2</v>
      </c>
      <c r="Z1593" s="256" t="str">
        <f ca="1">IF(D1593="","",IF(T1593="","",VLOOKUP(D1593,契約台帳!$A$3:$E$4986,5,FALSE)))</f>
        <v>日東電工㈱豊橋工場</v>
      </c>
      <c r="AA1593" s="54"/>
      <c r="AB1593" s="200">
        <f>IFERROR((VLOOKUP(F1593&amp;K1593&amp;M1593,製品マスタ!$M$5:$AM$4999,27,FALSE)),"")</f>
        <v>0</v>
      </c>
      <c r="AC1593" s="31"/>
      <c r="AD1593" s="184"/>
      <c r="AE1593" s="51"/>
      <c r="AF1593" s="52">
        <f>+M1593*N1593*O1593/1000</f>
        <v>45933</v>
      </c>
      <c r="AG1593" s="41"/>
      <c r="AH1593" s="45"/>
      <c r="AI1593" s="28"/>
      <c r="AJ1593" s="28"/>
      <c r="AK1593" s="28"/>
      <c r="AL1593" s="28"/>
      <c r="AM1593" s="12"/>
      <c r="AN1593" s="12"/>
      <c r="AO1593" s="12"/>
      <c r="AP1593" s="12"/>
      <c r="AQ1593" s="12"/>
      <c r="AR1593" s="13"/>
      <c r="AS1593" s="14"/>
    </row>
    <row r="1594" spans="1:45" s="16" customFormat="1" ht="30.95" hidden="1" customHeight="1" x14ac:dyDescent="0.2">
      <c r="A1594" s="35"/>
      <c r="B1594" s="36"/>
      <c r="C1594" s="43"/>
      <c r="D1594" s="29"/>
      <c r="E1594" s="29"/>
      <c r="F1594" s="255"/>
      <c r="G1594" s="256"/>
      <c r="H1594" s="256"/>
      <c r="I1594" s="200"/>
      <c r="J1594" s="203"/>
      <c r="K1594" s="200"/>
      <c r="L1594" s="200"/>
      <c r="M1594" s="37"/>
      <c r="N1594" s="37"/>
      <c r="O1594" s="153"/>
      <c r="P1594" s="45"/>
      <c r="Q1594" s="341"/>
      <c r="R1594" s="260"/>
      <c r="S1594" s="258"/>
      <c r="T1594" s="258"/>
      <c r="U1594" s="38"/>
      <c r="V1594" s="261"/>
      <c r="W1594" s="256"/>
      <c r="X1594" s="256"/>
      <c r="Y1594" s="256"/>
      <c r="Z1594" s="256"/>
      <c r="AA1594" s="54"/>
      <c r="AB1594" s="200"/>
      <c r="AC1594" s="31"/>
      <c r="AD1594" s="184"/>
      <c r="AE1594" s="51"/>
      <c r="AF1594" s="52"/>
      <c r="AG1594" s="41"/>
      <c r="AH1594" s="45"/>
      <c r="AI1594" s="28"/>
      <c r="AJ1594" s="28"/>
      <c r="AK1594" s="28"/>
      <c r="AL1594" s="28"/>
      <c r="AM1594" s="12"/>
      <c r="AN1594" s="12"/>
      <c r="AO1594" s="12"/>
      <c r="AP1594" s="12"/>
      <c r="AQ1594" s="12"/>
      <c r="AR1594" s="13"/>
      <c r="AS1594" s="14"/>
    </row>
    <row r="1595" spans="1:45" s="16" customFormat="1" ht="30.95" hidden="1" customHeight="1" x14ac:dyDescent="0.2">
      <c r="A1595" s="35"/>
      <c r="B1595" s="36"/>
      <c r="C1595" s="43"/>
      <c r="D1595" s="29">
        <v>3741600</v>
      </c>
      <c r="E1595" s="29">
        <v>4162217</v>
      </c>
      <c r="F1595" s="255" t="str">
        <f>IF(D1595="","",VLOOKUP(D1595,契約台帳!$A$3:$K$4986,6,FALSE)&amp;VLOOKUP(D1595,契約台帳!$A$3:$K$4986,7,FALSE)&amp;VLOOKUP(D1595,契約台帳!$A$3:$K$4986,8,FALSE)&amp;VLOOKUP(D1595,契約台帳!$A$3:$K$4986,9,FALSE)&amp;VLOOKUP(D1595,契約台帳!$A$3:$K$4986,11,FALSE))</f>
        <v>3SNMLBMTSF</v>
      </c>
      <c r="G1595" s="256" t="str">
        <f>IF(D1595="","",VLOOKUP(F1595,製品マスタ!$G$5:$H$4999,2,FALSE))</f>
        <v>S</v>
      </c>
      <c r="H1595" s="256" t="str">
        <f>IF(D1595="","",VLOOKUP(F1595,製品マスタ!$G$5:$K$4999,5,FALSE))</f>
        <v>MTSF</v>
      </c>
      <c r="I1595" s="200" t="str">
        <f>IF(D1595="","",VLOOKUP(F1595,製品マスタ!$G$5:$L$4999,6,FALSE))</f>
        <v>メタルミー　ＴＳ</v>
      </c>
      <c r="J1595" s="203" t="s">
        <v>935</v>
      </c>
      <c r="K1595" s="200">
        <f>IF(D1595="","",VLOOKUP(D1595,契約台帳!$A$3:$L$4986,12,FALSE))</f>
        <v>50</v>
      </c>
      <c r="L1595" s="200" t="str">
        <f>IF(D1595="","",INDEX(製品マスタ!$Q$5:$Q$4999,MATCH('S4'!F1595&amp;'S4'!K1595,製品マスタ!$AO$5:$AO$4999,0)))</f>
        <v>T62M</v>
      </c>
      <c r="M1595" s="37">
        <v>1255</v>
      </c>
      <c r="N1595" s="37">
        <v>6100</v>
      </c>
      <c r="O1595" s="153">
        <v>1</v>
      </c>
      <c r="P1595" s="45">
        <v>2</v>
      </c>
      <c r="Q1595" s="206">
        <v>45335</v>
      </c>
      <c r="R1595" s="257">
        <f ca="1">IF(D1595="","",IF(OFFSET(D1595,-1,0)&lt;&gt;"","",IF(OR(J1595="リード付け",J1595="巻足し",J1595="巻返しリード付け"),M1595,VLOOKUP(D1595,契約台帳!$A$3:$N$4986,14,FALSE))))</f>
        <v>1255</v>
      </c>
      <c r="S1595" s="258">
        <f ca="1">IF(D1595="","",IF(OFFSET(D1595,-1,0)&lt;&gt;"","",IF(OR(J1595="リード付け",J1595="巻足し",J1595="巻返しリード付け"),M1595,VLOOKUP(D1595,契約台帳!$A$3:$O$4986,15,FALSE))))</f>
        <v>1255</v>
      </c>
      <c r="T1595" s="258">
        <f ca="1">IF(D1595="","",IF(J1595="リード付け",N1595,IF(J1595="巻返しリード付け",N1595,IF(J1595="巻足し",N1595*P1595+OFFSET(N1595,1,0)*OFFSET(P1595,1,0),VLOOKUP(D1595,契約台帳!$A$3:$P$4986,16,FALSE)))))</f>
        <v>12200</v>
      </c>
      <c r="U1595" s="38">
        <v>1</v>
      </c>
      <c r="V1595" s="259" t="str">
        <f ca="1">IF(D1595="","",IF(OFFSET(D1595,-2,0)=D1595,"",VLOOKUP(D1595,契約台帳!$A$3:$R$4986,18,FALSE)))</f>
        <v/>
      </c>
      <c r="W1595" s="256" t="str">
        <f ca="1">IF(D1595="","",IF(T1595="","",IF(OR(J1595="巻足し",J1595="巻返しリード付け"),"",IF(J1595="巻返し",VLOOKUP(F1595&amp;K1595&amp;M1595,製品マスタ!$M$5:$AD$4999,18,FALSE),IF(OR(J1595="リード付け",J1595="巻返しリード付け"),"原反コア",IF(J1595="スリット",VLOOKUP(F1595&amp;K1595&amp;R1595,製品マスタ!$N$5:$AD$4999,17,FALSE),""))))))</f>
        <v/>
      </c>
      <c r="X1595" s="256" t="str">
        <f ca="1">IF(D1595="","",IF(T1595="","",IF(J1595="巻足し","",IF(J1595="巻返し",VLOOKUP(F1595&amp;K1595&amp;M1595,製品マスタ!$M$5:$AE$4999,19,FALSE),IF(OR(J1595="リード付け",J1595="巻返しリード付け"),"",IF(J1595="スリット",VLOOKUP(F1595&amp;K1595&amp;R1595,製品マスタ!$N$5:$AE$4999,18,FALSE),""))))))</f>
        <v/>
      </c>
      <c r="Y1595" s="256">
        <f ca="1">IF(D1595="","",IF(T1595="","",VLOOKUP(D1595,契約台帳!$A$3:$Q$4986,17,FALSE)))</f>
        <v>2</v>
      </c>
      <c r="Z1595" s="256" t="str">
        <f ca="1">IF(D1595="","",IF(T1595="","",VLOOKUP(D1595,契約台帳!$A$3:$E$4986,5,FALSE)))</f>
        <v>日東電工㈱豊橋工場</v>
      </c>
      <c r="AA1595" s="54"/>
      <c r="AB1595" s="200">
        <f>IFERROR((VLOOKUP(F1595&amp;K1595&amp;M1595,製品マスタ!$M$5:$AM$4999,27,FALSE)),"")</f>
        <v>0</v>
      </c>
      <c r="AC1595" s="31"/>
      <c r="AD1595" s="184"/>
      <c r="AE1595" s="51"/>
      <c r="AF1595" s="52">
        <f>+M1595*N1595*O1595/1000</f>
        <v>7655.5</v>
      </c>
      <c r="AG1595" s="41"/>
      <c r="AH1595" s="45"/>
      <c r="AI1595" s="28"/>
      <c r="AJ1595" s="28"/>
      <c r="AK1595" s="28"/>
      <c r="AL1595" s="28"/>
      <c r="AM1595" s="12"/>
      <c r="AN1595" s="12"/>
      <c r="AO1595" s="12"/>
      <c r="AP1595" s="12"/>
      <c r="AQ1595" s="12"/>
      <c r="AR1595" s="13"/>
      <c r="AS1595" s="14"/>
    </row>
    <row r="1596" spans="1:45" s="16" customFormat="1" ht="30.95" hidden="1" customHeight="1" x14ac:dyDescent="0.2">
      <c r="A1596" s="35"/>
      <c r="B1596" s="36"/>
      <c r="C1596" s="43"/>
      <c r="D1596" s="29">
        <v>3744746</v>
      </c>
      <c r="E1596" s="29"/>
      <c r="F1596" s="255" t="str">
        <f>IF(D1596="","",VLOOKUP(D1596,契約台帳!$A$3:$K$4986,6,FALSE)&amp;VLOOKUP(D1596,契約台帳!$A$3:$K$4986,7,FALSE)&amp;VLOOKUP(D1596,契約台帳!$A$3:$K$4986,8,FALSE)&amp;VLOOKUP(D1596,契約台帳!$A$3:$K$4986,9,FALSE)&amp;VLOOKUP(D1596,契約台帳!$A$3:$K$4986,11,FALSE))</f>
        <v>3TNMLBMTSF</v>
      </c>
      <c r="G1596" s="256" t="str">
        <f>IF(D1596="","",VLOOKUP(F1596,製品マスタ!$G$5:$H$4999,2,FALSE))</f>
        <v>T</v>
      </c>
      <c r="H1596" s="256" t="str">
        <f>IF(D1596="","",VLOOKUP(F1596,製品マスタ!$G$5:$K$4999,5,FALSE))</f>
        <v>MTSF</v>
      </c>
      <c r="I1596" s="200" t="str">
        <f>IF(D1596="","",VLOOKUP(F1596,製品マスタ!$G$5:$L$4999,6,FALSE))</f>
        <v>メタルミー　ＴＳ</v>
      </c>
      <c r="J1596" s="203" t="s">
        <v>935</v>
      </c>
      <c r="K1596" s="200">
        <f>IF(D1596="","",VLOOKUP(D1596,契約台帳!$A$3:$L$4986,12,FALSE))</f>
        <v>50</v>
      </c>
      <c r="L1596" s="200" t="str">
        <f>IF(D1596="","",INDEX(製品マスタ!$Q$5:$Q$4999,MATCH('S4'!F1596&amp;'S4'!K1596,製品マスタ!$AO$5:$AO$4999,0)))</f>
        <v>T62M</v>
      </c>
      <c r="M1596" s="37">
        <v>1255</v>
      </c>
      <c r="N1596" s="37">
        <v>6100</v>
      </c>
      <c r="O1596" s="153">
        <v>1</v>
      </c>
      <c r="P1596" s="45"/>
      <c r="Q1596" s="206">
        <v>45335</v>
      </c>
      <c r="R1596" s="257" t="str">
        <f ca="1">IF(D1596="","",IF(OFFSET(D1596,-1,0)&lt;&gt;"","",IF(OR(J1596="リード付け",J1596="巻足し",J1596="巻返しリード付け"),M1596,VLOOKUP(D1596,契約台帳!$A$3:$N$4986,14,FALSE))))</f>
        <v/>
      </c>
      <c r="S1596" s="258" t="str">
        <f ca="1">IF(D1596="","",IF(OFFSET(D1596,-1,0)&lt;&gt;"","",IF(OR(J1596="リード付け",J1596="巻足し",J1596="巻返しリード付け"),M1596,VLOOKUP(D1596,契約台帳!$A$3:$O$4986,15,FALSE))))</f>
        <v/>
      </c>
      <c r="T1596" s="258">
        <f ca="1">IF(D1596="","",IF(J1596="リード付け",N1596,IF(J1596="巻返しリード付け",N1596,IF(J1596="巻足し",N1596*P1596+OFFSET(N1596,1,0)*OFFSET(P1596,1,0),VLOOKUP(D1596,契約台帳!$A$3:$P$4986,16,FALSE)))))</f>
        <v>0</v>
      </c>
      <c r="U1596" s="38"/>
      <c r="V1596" s="259">
        <f ca="1">IF(D1596="","",IF(OFFSET(D1596,-2,0)=D1596,"",VLOOKUP(D1596,契約台帳!$A$3:$R$4986,18,FALSE)))</f>
        <v>2</v>
      </c>
      <c r="W1596" s="256" t="str">
        <f ca="1">IF(D1596="","",IF(T1596="","",IF(OR(J1596="巻足し",J1596="巻返しリード付け"),"",IF(J1596="巻返し",VLOOKUP(F1596&amp;K1596&amp;M1596,製品マスタ!$M$5:$AD$4999,18,FALSE),IF(OR(J1596="リード付け",J1596="巻返しリード付け"),"原反コア",IF(J1596="スリット",VLOOKUP(F1596&amp;K1596&amp;R1596,製品マスタ!$N$5:$AD$4999,17,FALSE),""))))))</f>
        <v/>
      </c>
      <c r="X1596" s="256" t="str">
        <f ca="1">IF(D1596="","",IF(T1596="","",IF(J1596="巻足し","",IF(J1596="巻返し",VLOOKUP(F1596&amp;K1596&amp;M1596,製品マスタ!$M$5:$AE$4999,19,FALSE),IF(OR(J1596="リード付け",J1596="巻返しリード付け"),"",IF(J1596="スリット",VLOOKUP(F1596&amp;K1596&amp;R1596,製品マスタ!$N$5:$AE$4999,18,FALSE),""))))))</f>
        <v/>
      </c>
      <c r="Y1596" s="256">
        <f ca="1">IF(D1596="","",IF(T1596="","",VLOOKUP(D1596,契約台帳!$A$3:$Q$4986,17,FALSE)))</f>
        <v>2</v>
      </c>
      <c r="Z1596" s="256" t="str">
        <f ca="1">IF(D1596="","",IF(T1596="","",VLOOKUP(D1596,契約台帳!$A$3:$E$4986,5,FALSE)))</f>
        <v>日東電工㈱豊橋工場</v>
      </c>
      <c r="AA1596" s="54"/>
      <c r="AB1596" s="200" t="s">
        <v>774</v>
      </c>
      <c r="AC1596" s="31"/>
      <c r="AD1596" s="184"/>
      <c r="AE1596" s="51"/>
      <c r="AF1596" s="52">
        <f>+M1596*N1596*O1596/1000</f>
        <v>7655.5</v>
      </c>
      <c r="AG1596" s="41"/>
      <c r="AH1596" s="45"/>
      <c r="AI1596" s="28"/>
      <c r="AJ1596" s="28"/>
      <c r="AK1596" s="28"/>
      <c r="AL1596" s="28"/>
      <c r="AM1596" s="12"/>
      <c r="AN1596" s="12"/>
      <c r="AO1596" s="12"/>
      <c r="AP1596" s="12"/>
      <c r="AQ1596" s="12"/>
      <c r="AR1596" s="13"/>
      <c r="AS1596" s="14"/>
    </row>
    <row r="1597" spans="1:45" s="16" customFormat="1" ht="30.95" hidden="1" customHeight="1" x14ac:dyDescent="0.2">
      <c r="A1597" s="35"/>
      <c r="B1597" s="36"/>
      <c r="C1597" s="43"/>
      <c r="D1597" s="29"/>
      <c r="E1597" s="29"/>
      <c r="F1597" s="255"/>
      <c r="G1597" s="256"/>
      <c r="H1597" s="256"/>
      <c r="I1597" s="200"/>
      <c r="J1597" s="203"/>
      <c r="K1597" s="200"/>
      <c r="L1597" s="200"/>
      <c r="M1597" s="37"/>
      <c r="N1597" s="37"/>
      <c r="O1597" s="153"/>
      <c r="P1597" s="45"/>
      <c r="Q1597" s="341"/>
      <c r="R1597" s="260"/>
      <c r="S1597" s="258"/>
      <c r="T1597" s="258"/>
      <c r="U1597" s="38"/>
      <c r="V1597" s="261"/>
      <c r="W1597" s="256"/>
      <c r="X1597" s="256"/>
      <c r="Y1597" s="256"/>
      <c r="Z1597" s="256"/>
      <c r="AA1597" s="54"/>
      <c r="AB1597" s="200"/>
      <c r="AC1597" s="31"/>
      <c r="AD1597" s="184"/>
      <c r="AE1597" s="51"/>
      <c r="AF1597" s="52"/>
      <c r="AG1597" s="41"/>
      <c r="AH1597" s="45"/>
      <c r="AI1597" s="28"/>
      <c r="AJ1597" s="28"/>
      <c r="AK1597" s="28"/>
      <c r="AL1597" s="28"/>
      <c r="AM1597" s="12"/>
      <c r="AN1597" s="12"/>
      <c r="AO1597" s="12"/>
      <c r="AP1597" s="12"/>
      <c r="AQ1597" s="12"/>
      <c r="AR1597" s="13"/>
      <c r="AS1597" s="14"/>
    </row>
    <row r="1598" spans="1:45" s="16" customFormat="1" ht="30.95" hidden="1" customHeight="1" x14ac:dyDescent="0.2">
      <c r="A1598" s="35"/>
      <c r="B1598" s="36"/>
      <c r="C1598" s="43"/>
      <c r="D1598" s="29">
        <v>3741612</v>
      </c>
      <c r="E1598" s="29">
        <v>4162203</v>
      </c>
      <c r="F1598" s="255" t="str">
        <f>IF(D1598="","",VLOOKUP(D1598,契約台帳!$A$3:$K$4986,6,FALSE)&amp;VLOOKUP(D1598,契約台帳!$A$3:$K$4986,7,FALSE)&amp;VLOOKUP(D1598,契約台帳!$A$3:$K$4986,8,FALSE)&amp;VLOOKUP(D1598,契約台帳!$A$3:$K$4986,9,FALSE)&amp;VLOOKUP(D1598,契約台帳!$A$3:$K$4986,11,FALSE))</f>
        <v>3SNMLBMNGTBF</v>
      </c>
      <c r="G1598" s="256" t="str">
        <f>IF(D1598="","",VLOOKUP(F1598,製品マスタ!$G$5:$H$4999,2,FALSE))</f>
        <v>S</v>
      </c>
      <c r="H1598" s="256" t="str">
        <f>IF(D1598="","",VLOOKUP(F1598,製品マスタ!$G$5:$K$4999,5,FALSE))</f>
        <v>MNGTBF</v>
      </c>
      <c r="I1598" s="200" t="str">
        <f>IF(D1598="","",VLOOKUP(F1598,製品マスタ!$G$5:$L$4999,6,FALSE))</f>
        <v>メタルミー　ネーマー　銀艶　Ｂ</v>
      </c>
      <c r="J1598" s="203" t="s">
        <v>935</v>
      </c>
      <c r="K1598" s="200">
        <f>IF(D1598="","",VLOOKUP(D1598,契約台帳!$A$3:$L$4986,12,FALSE))</f>
        <v>50</v>
      </c>
      <c r="L1598" s="200" t="str">
        <f>IF(D1598="","",INDEX(製品マスタ!$Q$5:$Q$4999,MATCH('S4'!F1598&amp;'S4'!K1598,製品マスタ!$AO$5:$AO$4999,0)))</f>
        <v>T62</v>
      </c>
      <c r="M1598" s="37">
        <v>1120</v>
      </c>
      <c r="N1598" s="37">
        <v>5000</v>
      </c>
      <c r="O1598" s="153">
        <v>10</v>
      </c>
      <c r="P1598" s="45">
        <v>2</v>
      </c>
      <c r="Q1598" s="206">
        <v>45335</v>
      </c>
      <c r="R1598" s="257">
        <f ca="1">IF(D1598="","",IF(OFFSET(D1598,-1,0)&lt;&gt;"","",IF(OR(J1598="リード付け",J1598="巻足し",J1598="巻返しリード付け"),M1598,VLOOKUP(D1598,契約台帳!$A$3:$N$4986,14,FALSE))))</f>
        <v>1120</v>
      </c>
      <c r="S1598" s="258">
        <f ca="1">IF(D1598="","",IF(OFFSET(D1598,-1,0)&lt;&gt;"","",IF(OR(J1598="リード付け",J1598="巻足し",J1598="巻返しリード付け"),M1598,VLOOKUP(D1598,契約台帳!$A$3:$O$4986,15,FALSE))))</f>
        <v>1120</v>
      </c>
      <c r="T1598" s="258">
        <f ca="1">IF(D1598="","",IF(J1598="リード付け",N1598,IF(J1598="巻返しリード付け",N1598,IF(J1598="巻足し",N1598*P1598+OFFSET(N1598,1,0)*OFFSET(P1598,1,0),VLOOKUP(D1598,契約台帳!$A$3:$P$4986,16,FALSE)))))</f>
        <v>10000</v>
      </c>
      <c r="U1598" s="38">
        <v>5</v>
      </c>
      <c r="V1598" s="259">
        <f ca="1">IF(D1598="","",IF(OFFSET(D1598,-2,0)=D1598,"",VLOOKUP(D1598,契約台帳!$A$3:$R$4986,18,FALSE)))</f>
        <v>24</v>
      </c>
      <c r="W1598" s="256" t="str">
        <f ca="1">IF(D1598="","",IF(T1598="","",IF(OR(J1598="巻足し",J1598="巻返しリード付け"),"",IF(J1598="巻返し",VLOOKUP(F1598&amp;K1598&amp;M1598,製品マスタ!$M$5:$AD$4999,18,FALSE),IF(OR(J1598="リード付け",J1598="巻返しリード付け"),"原反コア",IF(J1598="スリット",VLOOKUP(F1598&amp;K1598&amp;R1598,製品マスタ!$N$5:$AD$4999,17,FALSE),""))))))</f>
        <v/>
      </c>
      <c r="X1598" s="256" t="str">
        <f ca="1">IF(D1598="","",IF(T1598="","",IF(J1598="巻足し","",IF(J1598="巻返し",VLOOKUP(F1598&amp;K1598&amp;M1598,製品マスタ!$M$5:$AE$4999,19,FALSE),IF(OR(J1598="リード付け",J1598="巻返しリード付け"),"",IF(J1598="スリット",VLOOKUP(F1598&amp;K1598&amp;R1598,製品マスタ!$N$5:$AE$4999,18,FALSE),""))))))</f>
        <v/>
      </c>
      <c r="Y1598" s="256">
        <f ca="1">IF(D1598="","",IF(T1598="","",VLOOKUP(D1598,契約台帳!$A$3:$Q$4986,17,FALSE)))</f>
        <v>2</v>
      </c>
      <c r="Z1598" s="256" t="str">
        <f ca="1">IF(D1598="","",IF(T1598="","",VLOOKUP(D1598,契約台帳!$A$3:$E$4986,5,FALSE)))</f>
        <v>リンテック㈱</v>
      </c>
      <c r="AA1598" s="54"/>
      <c r="AB1598" s="200" t="str">
        <f>IFERROR((VLOOKUP(F1598&amp;K1598&amp;M1598,製品マスタ!$M$5:$AM$4999,27,FALSE)),"")</f>
        <v>原反ケース再利用</v>
      </c>
      <c r="AC1598" s="31"/>
      <c r="AD1598" s="184"/>
      <c r="AE1598" s="51"/>
      <c r="AF1598" s="52">
        <f>+M1598*N1598*O1598/1000</f>
        <v>56000</v>
      </c>
      <c r="AG1598" s="41"/>
      <c r="AH1598" s="45"/>
      <c r="AI1598" s="28"/>
      <c r="AJ1598" s="28"/>
      <c r="AK1598" s="28"/>
      <c r="AL1598" s="28"/>
      <c r="AM1598" s="12"/>
      <c r="AN1598" s="12"/>
      <c r="AO1598" s="12"/>
      <c r="AP1598" s="12"/>
      <c r="AQ1598" s="12"/>
      <c r="AR1598" s="13"/>
      <c r="AS1598" s="14"/>
    </row>
    <row r="1599" spans="1:45" s="16" customFormat="1" ht="30.95" hidden="1" customHeight="1" x14ac:dyDescent="0.2">
      <c r="A1599" s="35"/>
      <c r="B1599" s="36"/>
      <c r="C1599" s="43"/>
      <c r="D1599" s="29"/>
      <c r="E1599" s="29"/>
      <c r="F1599" s="255"/>
      <c r="G1599" s="256"/>
      <c r="H1599" s="256"/>
      <c r="I1599" s="200"/>
      <c r="J1599" s="203"/>
      <c r="K1599" s="200"/>
      <c r="L1599" s="200"/>
      <c r="M1599" s="37"/>
      <c r="N1599" s="37"/>
      <c r="O1599" s="153"/>
      <c r="P1599" s="45"/>
      <c r="Q1599" s="341"/>
      <c r="R1599" s="260"/>
      <c r="S1599" s="258"/>
      <c r="T1599" s="258"/>
      <c r="U1599" s="38"/>
      <c r="V1599" s="261"/>
      <c r="W1599" s="256"/>
      <c r="X1599" s="256"/>
      <c r="Y1599" s="256"/>
      <c r="Z1599" s="256"/>
      <c r="AA1599" s="54"/>
      <c r="AB1599" s="200"/>
      <c r="AC1599" s="31"/>
      <c r="AD1599" s="184"/>
      <c r="AE1599" s="51"/>
      <c r="AF1599" s="52"/>
      <c r="AG1599" s="41"/>
      <c r="AH1599" s="45"/>
      <c r="AI1599" s="28"/>
      <c r="AJ1599" s="28"/>
      <c r="AK1599" s="28"/>
      <c r="AL1599" s="28"/>
      <c r="AM1599" s="12"/>
      <c r="AN1599" s="12"/>
      <c r="AO1599" s="12"/>
      <c r="AP1599" s="12"/>
      <c r="AQ1599" s="12"/>
      <c r="AR1599" s="13"/>
      <c r="AS1599" s="14"/>
    </row>
    <row r="1600" spans="1:45" s="16" customFormat="1" ht="30.95" hidden="1" customHeight="1" x14ac:dyDescent="0.2">
      <c r="A1600" s="35" t="s">
        <v>1993</v>
      </c>
      <c r="B1600" s="36" t="s">
        <v>1980</v>
      </c>
      <c r="C1600" s="43"/>
      <c r="D1600" s="29">
        <v>3741612</v>
      </c>
      <c r="E1600" s="29">
        <v>4162203</v>
      </c>
      <c r="F1600" s="255" t="str">
        <f>IF(D1600="","",VLOOKUP(D1600,契約台帳!$A$3:$K$4986,6,FALSE)&amp;VLOOKUP(D1600,契約台帳!$A$3:$K$4986,7,FALSE)&amp;VLOOKUP(D1600,契約台帳!$A$3:$K$4986,8,FALSE)&amp;VLOOKUP(D1600,契約台帳!$A$3:$K$4986,9,FALSE)&amp;VLOOKUP(D1600,契約台帳!$A$3:$K$4986,11,FALSE))</f>
        <v>3SNMLBMNGTBF</v>
      </c>
      <c r="G1600" s="256" t="str">
        <f>IF(D1600="","",VLOOKUP(F1600,製品マスタ!$G$5:$H$4999,2,FALSE))</f>
        <v>S</v>
      </c>
      <c r="H1600" s="256" t="str">
        <f>IF(D1600="","",VLOOKUP(F1600,製品マスタ!$G$5:$K$4999,5,FALSE))</f>
        <v>MNGTBF</v>
      </c>
      <c r="I1600" s="200" t="str">
        <f>IF(D1600="","",VLOOKUP(F1600,製品マスタ!$G$5:$L$4999,6,FALSE))</f>
        <v>メタルミー　ネーマー　銀艶　Ｂ</v>
      </c>
      <c r="J1600" s="203" t="s">
        <v>935</v>
      </c>
      <c r="K1600" s="200">
        <f>IF(D1600="","",VLOOKUP(D1600,契約台帳!$A$3:$L$4986,12,FALSE))</f>
        <v>50</v>
      </c>
      <c r="L1600" s="200" t="str">
        <f>IF(D1600="","",INDEX(製品マスタ!$Q$5:$Q$4999,MATCH('S4'!F1600&amp;'S4'!K1600,製品マスタ!$AO$5:$AO$4999,0)))</f>
        <v>T62</v>
      </c>
      <c r="M1600" s="37">
        <v>1120</v>
      </c>
      <c r="N1600" s="37">
        <v>5000</v>
      </c>
      <c r="O1600" s="153">
        <v>14</v>
      </c>
      <c r="P1600" s="45">
        <v>2</v>
      </c>
      <c r="Q1600" s="206">
        <v>45335</v>
      </c>
      <c r="R1600" s="257">
        <f ca="1">IF(D1600="","",IF(OFFSET(D1600,-1,0)&lt;&gt;"","",IF(OR(J1600="リード付け",J1600="巻足し",J1600="巻返しリード付け"),M1600,VLOOKUP(D1600,契約台帳!$A$3:$N$4986,14,FALSE))))</f>
        <v>1120</v>
      </c>
      <c r="S1600" s="258">
        <f ca="1">IF(D1600="","",IF(OFFSET(D1600,-1,0)&lt;&gt;"","",IF(OR(J1600="リード付け",J1600="巻足し",J1600="巻返しリード付け"),M1600,VLOOKUP(D1600,契約台帳!$A$3:$O$4986,15,FALSE))))</f>
        <v>1120</v>
      </c>
      <c r="T1600" s="258">
        <f ca="1">IF(D1600="","",IF(J1600="リード付け",N1600,IF(J1600="巻返しリード付け",N1600,IF(J1600="巻足し",N1600*P1600+OFFSET(N1600,1,0)*OFFSET(P1600,1,0),VLOOKUP(D1600,契約台帳!$A$3:$P$4986,16,FALSE)))))</f>
        <v>10000</v>
      </c>
      <c r="U1600" s="38">
        <v>7</v>
      </c>
      <c r="V1600" s="259" t="str">
        <f ca="1">IF(D1600="","",IF(OFFSET(D1600,-2,0)=D1600,"",VLOOKUP(D1600,契約台帳!$A$3:$R$4986,18,FALSE)))</f>
        <v/>
      </c>
      <c r="W1600" s="256" t="str">
        <f ca="1">IF(D1600="","",IF(T1600="","",IF(OR(J1600="巻足し",J1600="巻返しリード付け"),"",IF(J1600="巻返し",VLOOKUP(F1600&amp;K1600&amp;M1600,製品マスタ!$M$5:$AD$4999,18,FALSE),IF(OR(J1600="リード付け",J1600="巻返しリード付け"),"原反コア",IF(J1600="スリット",VLOOKUP(F1600&amp;K1600&amp;R1600,製品マスタ!$N$5:$AD$4999,17,FALSE),""))))))</f>
        <v/>
      </c>
      <c r="X1600" s="256" t="str">
        <f ca="1">IF(D1600="","",IF(T1600="","",IF(J1600="巻足し","",IF(J1600="巻返し",VLOOKUP(F1600&amp;K1600&amp;M1600,製品マスタ!$M$5:$AE$4999,19,FALSE),IF(OR(J1600="リード付け",J1600="巻返しリード付け"),"",IF(J1600="スリット",VLOOKUP(F1600&amp;K1600&amp;R1600,製品マスタ!$N$5:$AE$4999,18,FALSE),""))))))</f>
        <v/>
      </c>
      <c r="Y1600" s="256">
        <f ca="1">IF(D1600="","",IF(T1600="","",VLOOKUP(D1600,契約台帳!$A$3:$Q$4986,17,FALSE)))</f>
        <v>2</v>
      </c>
      <c r="Z1600" s="256" t="str">
        <f ca="1">IF(D1600="","",IF(T1600="","",VLOOKUP(D1600,契約台帳!$A$3:$E$4986,5,FALSE)))</f>
        <v>リンテック㈱</v>
      </c>
      <c r="AA1600" s="54"/>
      <c r="AB1600" s="200" t="str">
        <f>IFERROR((VLOOKUP(F1600&amp;K1600&amp;M1600,製品マスタ!$M$5:$AM$4999,27,FALSE)),"")</f>
        <v>原反ケース再利用</v>
      </c>
      <c r="AC1600" s="31"/>
      <c r="AD1600" s="184"/>
      <c r="AE1600" s="51"/>
      <c r="AF1600" s="52">
        <f>+M1600*N1600*O1600/1000</f>
        <v>78400</v>
      </c>
      <c r="AG1600" s="41"/>
      <c r="AH1600" s="45"/>
      <c r="AI1600" s="28"/>
      <c r="AJ1600" s="28"/>
      <c r="AK1600" s="28"/>
      <c r="AL1600" s="28"/>
      <c r="AM1600" s="12"/>
      <c r="AN1600" s="12"/>
      <c r="AO1600" s="12"/>
      <c r="AP1600" s="12"/>
      <c r="AQ1600" s="12"/>
      <c r="AR1600" s="13"/>
      <c r="AS1600" s="14"/>
    </row>
    <row r="1601" spans="1:45" s="16" customFormat="1" ht="30.95" hidden="1" customHeight="1" x14ac:dyDescent="0.2">
      <c r="A1601" s="35"/>
      <c r="B1601" s="36"/>
      <c r="C1601" s="43"/>
      <c r="D1601" s="29"/>
      <c r="E1601" s="29"/>
      <c r="F1601" s="255"/>
      <c r="G1601" s="256"/>
      <c r="H1601" s="256"/>
      <c r="I1601" s="200"/>
      <c r="J1601" s="203"/>
      <c r="K1601" s="200"/>
      <c r="L1601" s="200"/>
      <c r="M1601" s="37"/>
      <c r="N1601" s="37"/>
      <c r="O1601" s="153"/>
      <c r="P1601" s="45"/>
      <c r="Q1601" s="341"/>
      <c r="R1601" s="260"/>
      <c r="S1601" s="258"/>
      <c r="T1601" s="258"/>
      <c r="U1601" s="38"/>
      <c r="V1601" s="261"/>
      <c r="W1601" s="256"/>
      <c r="X1601" s="256"/>
      <c r="Y1601" s="256"/>
      <c r="Z1601" s="256"/>
      <c r="AA1601" s="54"/>
      <c r="AB1601" s="200"/>
      <c r="AC1601" s="31"/>
      <c r="AD1601" s="184"/>
      <c r="AE1601" s="51"/>
      <c r="AF1601" s="52"/>
      <c r="AG1601" s="41"/>
      <c r="AH1601" s="45"/>
      <c r="AI1601" s="28"/>
      <c r="AJ1601" s="28"/>
      <c r="AK1601" s="28"/>
      <c r="AL1601" s="28"/>
      <c r="AM1601" s="12"/>
      <c r="AN1601" s="12"/>
      <c r="AO1601" s="12"/>
      <c r="AP1601" s="12"/>
      <c r="AQ1601" s="12"/>
      <c r="AR1601" s="13"/>
      <c r="AS1601" s="14"/>
    </row>
    <row r="1602" spans="1:45" s="16" customFormat="1" ht="30.95" hidden="1" customHeight="1" x14ac:dyDescent="0.2">
      <c r="A1602" s="35"/>
      <c r="B1602" s="36"/>
      <c r="C1602" s="43"/>
      <c r="D1602" s="29">
        <v>3741626</v>
      </c>
      <c r="E1602" s="29">
        <v>4162208</v>
      </c>
      <c r="F1602" s="255" t="str">
        <f>IF(D1602="","",VLOOKUP(D1602,契約台帳!$A$3:$K$4986,6,FALSE)&amp;VLOOKUP(D1602,契約台帳!$A$3:$K$4986,7,FALSE)&amp;VLOOKUP(D1602,契約台帳!$A$3:$K$4986,8,FALSE)&amp;VLOOKUP(D1602,契約台帳!$A$3:$K$4986,9,FALSE)&amp;VLOOKUP(D1602,契約台帳!$A$3:$K$4986,11,FALSE))</f>
        <v>3SYMLBMSBBF</v>
      </c>
      <c r="G1602" s="256" t="str">
        <f>IF(D1602="","",VLOOKUP(F1602,製品マスタ!$G$5:$H$4999,2,FALSE))</f>
        <v>S</v>
      </c>
      <c r="H1602" s="256" t="str">
        <f>IF(D1602="","",VLOOKUP(F1602,製品マスタ!$G$5:$K$4999,5,FALSE))</f>
        <v>MSBBF</v>
      </c>
      <c r="I1602" s="200" t="str">
        <f>IF(D1602="","",VLOOKUP(F1602,製品マスタ!$G$5:$L$4999,6,FALSE))</f>
        <v>ＭＥＴＡＬＵＭＹ　ＳＩＬＶＥＲ　ＢＲＩＧＨＴ　Ｔ６２Ｍ　Ｂ</v>
      </c>
      <c r="J1602" s="203" t="s">
        <v>935</v>
      </c>
      <c r="K1602" s="200">
        <f>IF(D1602="","",VLOOKUP(D1602,契約台帳!$A$3:$L$4986,12,FALSE))</f>
        <v>50</v>
      </c>
      <c r="L1602" s="200" t="str">
        <f>IF(D1602="","",INDEX(製品マスタ!$Q$5:$Q$4999,MATCH('S4'!F1602&amp;'S4'!K1602,製品マスタ!$AO$5:$AO$4999,0)))</f>
        <v>T62</v>
      </c>
      <c r="M1602" s="37">
        <v>1120</v>
      </c>
      <c r="N1602" s="37">
        <v>5000</v>
      </c>
      <c r="O1602" s="153">
        <v>2</v>
      </c>
      <c r="P1602" s="45">
        <v>2</v>
      </c>
      <c r="Q1602" s="206">
        <v>45336</v>
      </c>
      <c r="R1602" s="257">
        <f ca="1">IF(D1602="","",IF(OFFSET(D1602,-1,0)&lt;&gt;"","",IF(OR(J1602="リード付け",J1602="巻足し",J1602="巻返しリード付け"),M1602,VLOOKUP(D1602,契約台帳!$A$3:$N$4986,14,FALSE))))</f>
        <v>1120</v>
      </c>
      <c r="S1602" s="258">
        <f ca="1">IF(D1602="","",IF(OFFSET(D1602,-1,0)&lt;&gt;"","",IF(OR(J1602="リード付け",J1602="巻足し",J1602="巻返しリード付け"),M1602,VLOOKUP(D1602,契約台帳!$A$3:$O$4986,15,FALSE))))</f>
        <v>1120</v>
      </c>
      <c r="T1602" s="258">
        <f ca="1">IF(D1602="","",IF(J1602="リード付け",N1602,IF(J1602="巻返しリード付け",N1602,IF(J1602="巻足し",N1602*P1602+OFFSET(N1602,1,0)*OFFSET(P1602,1,0),VLOOKUP(D1602,契約台帳!$A$3:$P$4986,16,FALSE)))))</f>
        <v>10000</v>
      </c>
      <c r="U1602" s="38">
        <v>1</v>
      </c>
      <c r="V1602" s="259">
        <f ca="1">IF(D1602="","",IF(OFFSET(D1602,-2,0)=D1602,"",VLOOKUP(D1602,契約台帳!$A$3:$R$4986,18,FALSE)))</f>
        <v>2</v>
      </c>
      <c r="W1602" s="256" t="str">
        <f ca="1">IF(D1602="","",IF(T1602="","",IF(OR(J1602="巻足し",J1602="巻返しリード付け"),"",IF(J1602="巻返し",VLOOKUP(F1602&amp;K1602&amp;M1602,製品マスタ!$M$5:$AD$4999,18,FALSE),IF(OR(J1602="リード付け",J1602="巻返しリード付け"),"原反コア",IF(J1602="スリット",VLOOKUP(F1602&amp;K1602&amp;R1602,製品マスタ!$N$5:$AD$4999,17,FALSE),""))))))</f>
        <v/>
      </c>
      <c r="X1602" s="256" t="str">
        <f ca="1">IF(D1602="","",IF(T1602="","",IF(J1602="巻足し","",IF(J1602="巻返し",VLOOKUP(F1602&amp;K1602&amp;M1602,製品マスタ!$M$5:$AE$4999,19,FALSE),IF(OR(J1602="リード付け",J1602="巻返しリード付け"),"",IF(J1602="スリット",VLOOKUP(F1602&amp;K1602&amp;R1602,製品マスタ!$N$5:$AE$4999,18,FALSE),""))))))</f>
        <v/>
      </c>
      <c r="Y1602" s="256">
        <f ca="1">IF(D1602="","",IF(T1602="","",VLOOKUP(D1602,契約台帳!$A$3:$Q$4986,17,FALSE)))</f>
        <v>2</v>
      </c>
      <c r="Z1602" s="256" t="str">
        <f ca="1">IF(D1602="","",IF(T1602="","",VLOOKUP(D1602,契約台帳!$A$3:$E$4986,5,FALSE)))</f>
        <v>リンテック㈱</v>
      </c>
      <c r="AA1602" s="54"/>
      <c r="AB1602" s="200" t="str">
        <f>IFERROR((VLOOKUP(F1602&amp;K1602&amp;M1602,製品マスタ!$M$5:$AM$4999,27,FALSE)),"")</f>
        <v>原反ケース再利用</v>
      </c>
      <c r="AC1602" s="31"/>
      <c r="AD1602" s="184"/>
      <c r="AE1602" s="51"/>
      <c r="AF1602" s="52">
        <f>+M1602*N1602*O1602/1000</f>
        <v>11200</v>
      </c>
      <c r="AG1602" s="41"/>
      <c r="AH1602" s="45"/>
      <c r="AI1602" s="28"/>
      <c r="AJ1602" s="28"/>
      <c r="AK1602" s="28"/>
      <c r="AL1602" s="28"/>
      <c r="AM1602" s="12"/>
      <c r="AN1602" s="12"/>
      <c r="AO1602" s="12"/>
      <c r="AP1602" s="12"/>
      <c r="AQ1602" s="12"/>
      <c r="AR1602" s="13"/>
      <c r="AS1602" s="14"/>
    </row>
    <row r="1603" spans="1:45" s="16" customFormat="1" ht="30.95" hidden="1" customHeight="1" x14ac:dyDescent="0.2">
      <c r="A1603" s="35"/>
      <c r="B1603" s="36"/>
      <c r="C1603" s="43"/>
      <c r="D1603" s="29"/>
      <c r="E1603" s="29"/>
      <c r="F1603" s="255"/>
      <c r="G1603" s="256"/>
      <c r="H1603" s="256"/>
      <c r="I1603" s="200"/>
      <c r="J1603" s="203"/>
      <c r="K1603" s="200"/>
      <c r="L1603" s="200"/>
      <c r="M1603" s="37"/>
      <c r="N1603" s="37"/>
      <c r="O1603" s="153"/>
      <c r="P1603" s="45"/>
      <c r="Q1603" s="341"/>
      <c r="R1603" s="260"/>
      <c r="S1603" s="258"/>
      <c r="T1603" s="258"/>
      <c r="U1603" s="38"/>
      <c r="V1603" s="261"/>
      <c r="W1603" s="256"/>
      <c r="X1603" s="256"/>
      <c r="Y1603" s="256"/>
      <c r="Z1603" s="256"/>
      <c r="AA1603" s="54"/>
      <c r="AB1603" s="200"/>
      <c r="AC1603" s="31"/>
      <c r="AD1603" s="184"/>
      <c r="AE1603" s="51"/>
      <c r="AF1603" s="52"/>
      <c r="AG1603" s="41"/>
      <c r="AH1603" s="45"/>
      <c r="AI1603" s="28"/>
      <c r="AJ1603" s="28"/>
      <c r="AK1603" s="28"/>
      <c r="AL1603" s="28"/>
      <c r="AM1603" s="12"/>
      <c r="AN1603" s="12"/>
      <c r="AO1603" s="12"/>
      <c r="AP1603" s="12"/>
      <c r="AQ1603" s="12"/>
      <c r="AR1603" s="13"/>
      <c r="AS1603" s="14"/>
    </row>
    <row r="1604" spans="1:45" s="16" customFormat="1" ht="30.95" hidden="1" customHeight="1" x14ac:dyDescent="0.2">
      <c r="A1604" s="35" t="s">
        <v>1942</v>
      </c>
      <c r="B1604" s="36" t="s">
        <v>1408</v>
      </c>
      <c r="C1604" s="43"/>
      <c r="D1604" s="29">
        <v>3741625</v>
      </c>
      <c r="E1604" s="29">
        <v>4126209</v>
      </c>
      <c r="F1604" s="255" t="str">
        <f>IF(D1604="","",VLOOKUP(D1604,契約台帳!$A$3:$K$4986,6,FALSE)&amp;VLOOKUP(D1604,契約台帳!$A$3:$K$4986,7,FALSE)&amp;VLOOKUP(D1604,契約台帳!$A$3:$K$4986,8,FALSE)&amp;VLOOKUP(D1604,契約台帳!$A$3:$K$4986,9,FALSE)&amp;VLOOKUP(D1604,契約台帳!$A$3:$K$4986,11,FALSE))</f>
        <v>3SYMLBMSNMBF</v>
      </c>
      <c r="G1604" s="256" t="str">
        <f>IF(D1604="","",VLOOKUP(F1604,製品マスタ!$G$5:$H$4999,2,FALSE))</f>
        <v>S</v>
      </c>
      <c r="H1604" s="256" t="str">
        <f>IF(D1604="","",VLOOKUP(F1604,製品マスタ!$G$5:$K$4999,5,FALSE))</f>
        <v>MSNMBF</v>
      </c>
      <c r="I1604" s="200" t="str">
        <f>IF(D1604="","",VLOOKUP(F1604,製品マスタ!$G$5:$L$4999,6,FALSE))</f>
        <v>ＭＥＴＡＬＵＭＹ　ＳＩＬＶＥＲ　Ｎ－ＭＡＴＴＥ　Ｘ４４Ｍ　Ｂ</v>
      </c>
      <c r="J1604" s="203" t="s">
        <v>935</v>
      </c>
      <c r="K1604" s="200">
        <f>IF(D1604="","",VLOOKUP(D1604,契約台帳!$A$3:$L$4986,12,FALSE))</f>
        <v>50</v>
      </c>
      <c r="L1604" s="200" t="str">
        <f>IF(D1604="","",INDEX(製品マスタ!$Q$5:$Q$4999,MATCH('S4'!F1604&amp;'S4'!K1604,製品マスタ!$AO$5:$AO$4999,0)))</f>
        <v>X44</v>
      </c>
      <c r="M1604" s="37">
        <v>1120</v>
      </c>
      <c r="N1604" s="37">
        <v>4000</v>
      </c>
      <c r="O1604" s="153">
        <v>2</v>
      </c>
      <c r="P1604" s="45">
        <v>2</v>
      </c>
      <c r="Q1604" s="206">
        <v>45336</v>
      </c>
      <c r="R1604" s="257">
        <f ca="1">IF(D1604="","",IF(OFFSET(D1604,-1,0)&lt;&gt;"","",IF(OR(J1604="リード付け",J1604="巻足し",J1604="巻返しリード付け"),M1604,VLOOKUP(D1604,契約台帳!$A$3:$N$4986,14,FALSE))))</f>
        <v>1120</v>
      </c>
      <c r="S1604" s="258">
        <f ca="1">IF(D1604="","",IF(OFFSET(D1604,-1,0)&lt;&gt;"","",IF(OR(J1604="リード付け",J1604="巻足し",J1604="巻返しリード付け"),M1604,VLOOKUP(D1604,契約台帳!$A$3:$O$4986,15,FALSE))))</f>
        <v>1120</v>
      </c>
      <c r="T1604" s="258">
        <f ca="1">IF(D1604="","",IF(J1604="リード付け",N1604,IF(J1604="巻返しリード付け",N1604,IF(J1604="巻足し",N1604*P1604+OFFSET(N1604,1,0)*OFFSET(P1604,1,0),VLOOKUP(D1604,契約台帳!$A$3:$P$4986,16,FALSE)))))</f>
        <v>8000</v>
      </c>
      <c r="U1604" s="38">
        <v>1</v>
      </c>
      <c r="V1604" s="259">
        <f ca="1">IF(D1604="","",IF(OFFSET(D1604,-2,0)=D1604,"",VLOOKUP(D1604,契約台帳!$A$3:$R$4986,18,FALSE)))</f>
        <v>2</v>
      </c>
      <c r="W1604" s="256" t="str">
        <f ca="1">IF(D1604="","",IF(T1604="","",IF(OR(J1604="巻足し",J1604="巻返しリード付け"),"",IF(J1604="巻返し",VLOOKUP(F1604&amp;K1604&amp;M1604,製品マスタ!$M$5:$AD$4999,18,FALSE),IF(OR(J1604="リード付け",J1604="巻返しリード付け"),"原反コア",IF(J1604="スリット",VLOOKUP(F1604&amp;K1604&amp;R1604,製品マスタ!$N$5:$AD$4999,17,FALSE),""))))))</f>
        <v/>
      </c>
      <c r="X1604" s="256" t="str">
        <f ca="1">IF(D1604="","",IF(T1604="","",IF(J1604="巻足し","",IF(J1604="巻返し",VLOOKUP(F1604&amp;K1604&amp;M1604,製品マスタ!$M$5:$AE$4999,19,FALSE),IF(OR(J1604="リード付け",J1604="巻返しリード付け"),"",IF(J1604="スリット",VLOOKUP(F1604&amp;K1604&amp;R1604,製品マスタ!$N$5:$AE$4999,18,FALSE),""))))))</f>
        <v/>
      </c>
      <c r="Y1604" s="256">
        <f ca="1">IF(D1604="","",IF(T1604="","",VLOOKUP(D1604,契約台帳!$A$3:$Q$4986,17,FALSE)))</f>
        <v>2</v>
      </c>
      <c r="Z1604" s="256" t="str">
        <f ca="1">IF(D1604="","",IF(T1604="","",VLOOKUP(D1604,契約台帳!$A$3:$E$4986,5,FALSE)))</f>
        <v>リンテック㈱</v>
      </c>
      <c r="AA1604" s="54"/>
      <c r="AB1604" s="200">
        <f>IFERROR((VLOOKUP(F1604&amp;K1604&amp;M1604,製品マスタ!$M$5:$AM$4999,27,FALSE)),"")</f>
        <v>0</v>
      </c>
      <c r="AC1604" s="31"/>
      <c r="AD1604" s="184"/>
      <c r="AE1604" s="51"/>
      <c r="AF1604" s="52">
        <f>+M1604*N1604*O1604/1000</f>
        <v>8960</v>
      </c>
      <c r="AG1604" s="41"/>
      <c r="AH1604" s="45"/>
      <c r="AI1604" s="28"/>
      <c r="AJ1604" s="28"/>
      <c r="AK1604" s="28"/>
      <c r="AL1604" s="28"/>
      <c r="AM1604" s="12"/>
      <c r="AN1604" s="12"/>
      <c r="AO1604" s="12"/>
      <c r="AP1604" s="12"/>
      <c r="AQ1604" s="12"/>
      <c r="AR1604" s="13"/>
      <c r="AS1604" s="14"/>
    </row>
    <row r="1605" spans="1:45" s="16" customFormat="1" ht="30.95" hidden="1" customHeight="1" x14ac:dyDescent="0.2">
      <c r="A1605" s="35"/>
      <c r="B1605" s="36"/>
      <c r="C1605" s="43"/>
      <c r="D1605" s="29"/>
      <c r="E1605" s="29"/>
      <c r="F1605" s="255"/>
      <c r="G1605" s="256"/>
      <c r="H1605" s="256"/>
      <c r="I1605" s="200"/>
      <c r="J1605" s="203"/>
      <c r="K1605" s="200"/>
      <c r="L1605" s="200"/>
      <c r="M1605" s="37"/>
      <c r="N1605" s="37"/>
      <c r="O1605" s="153"/>
      <c r="P1605" s="45"/>
      <c r="Q1605" s="341"/>
      <c r="R1605" s="260"/>
      <c r="S1605" s="258"/>
      <c r="T1605" s="258"/>
      <c r="U1605" s="38"/>
      <c r="V1605" s="261"/>
      <c r="W1605" s="256"/>
      <c r="X1605" s="256"/>
      <c r="Y1605" s="256"/>
      <c r="Z1605" s="256"/>
      <c r="AA1605" s="54"/>
      <c r="AB1605" s="200"/>
      <c r="AC1605" s="31"/>
      <c r="AD1605" s="184"/>
      <c r="AE1605" s="51"/>
      <c r="AF1605" s="52"/>
      <c r="AG1605" s="41"/>
      <c r="AH1605" s="45"/>
      <c r="AI1605" s="28"/>
      <c r="AJ1605" s="28"/>
      <c r="AK1605" s="28"/>
      <c r="AL1605" s="28"/>
      <c r="AM1605" s="12"/>
      <c r="AN1605" s="12"/>
      <c r="AO1605" s="12"/>
      <c r="AP1605" s="12"/>
      <c r="AQ1605" s="12"/>
      <c r="AR1605" s="13"/>
      <c r="AS1605" s="14"/>
    </row>
    <row r="1606" spans="1:45" s="16" customFormat="1" ht="30.75" hidden="1" customHeight="1" x14ac:dyDescent="0.2">
      <c r="A1606" s="35"/>
      <c r="B1606" s="36"/>
      <c r="C1606" s="43"/>
      <c r="D1606" s="29">
        <v>3741627</v>
      </c>
      <c r="E1606" s="29">
        <v>4162210</v>
      </c>
      <c r="F1606" s="255" t="str">
        <f>IF(D1606="","",VLOOKUP(D1606,契約台帳!$A$3:$K$4986,6,FALSE)&amp;VLOOKUP(D1606,契約台帳!$A$3:$K$4986,7,FALSE)&amp;VLOOKUP(D1606,契約台帳!$A$3:$K$4986,8,FALSE)&amp;VLOOKUP(D1606,契約台帳!$A$3:$K$4986,9,FALSE)&amp;VLOOKUP(D1606,契約台帳!$A$3:$K$4986,11,FALSE))</f>
        <v>3SYMLBMSNMBF</v>
      </c>
      <c r="G1606" s="256" t="str">
        <f>IF(D1606="","",VLOOKUP(F1606,製品マスタ!$G$5:$H$4999,2,FALSE))</f>
        <v>S</v>
      </c>
      <c r="H1606" s="256" t="str">
        <f>IF(D1606="","",VLOOKUP(F1606,製品マスタ!$G$5:$K$4999,5,FALSE))</f>
        <v>MSNMBF</v>
      </c>
      <c r="I1606" s="200" t="str">
        <f>IF(D1606="","",VLOOKUP(F1606,製品マスタ!$G$5:$L$4999,6,FALSE))</f>
        <v>ＭＥＴＡＬＵＭＹ　ＳＩＬＶＥＲ　Ｎ－ＭＡＴＴＥ　Ｘ４４Ｍ　Ｂ</v>
      </c>
      <c r="J1606" s="203" t="s">
        <v>935</v>
      </c>
      <c r="K1606" s="200">
        <f>IF(D1606="","",VLOOKUP(D1606,契約台帳!$A$3:$L$4986,12,FALSE))</f>
        <v>50</v>
      </c>
      <c r="L1606" s="200" t="str">
        <f>IF(D1606="","",INDEX(製品マスタ!$Q$5:$Q$4999,MATCH('S4'!F1606&amp;'S4'!K1606,製品マスタ!$AO$5:$AO$4999,0)))</f>
        <v>X44</v>
      </c>
      <c r="M1606" s="37">
        <v>1120</v>
      </c>
      <c r="N1606" s="37">
        <v>4000</v>
      </c>
      <c r="O1606" s="153">
        <v>4</v>
      </c>
      <c r="P1606" s="45">
        <v>2</v>
      </c>
      <c r="Q1606" s="206">
        <v>45336</v>
      </c>
      <c r="R1606" s="257">
        <f ca="1">IF(D1606="","",IF(OFFSET(D1606,-1,0)&lt;&gt;"","",IF(OR(J1606="リード付け",J1606="巻足し",J1606="巻返しリード付け"),M1606,VLOOKUP(D1606,契約台帳!$A$3:$N$4986,14,FALSE))))</f>
        <v>1120</v>
      </c>
      <c r="S1606" s="258">
        <f ca="1">IF(D1606="","",IF(OFFSET(D1606,-1,0)&lt;&gt;"","",IF(OR(J1606="リード付け",J1606="巻足し",J1606="巻返しリード付け"),M1606,VLOOKUP(D1606,契約台帳!$A$3:$O$4986,15,FALSE))))</f>
        <v>1120</v>
      </c>
      <c r="T1606" s="258">
        <f ca="1">IF(D1606="","",IF(J1606="リード付け",N1606,IF(J1606="巻返しリード付け",N1606,IF(J1606="巻足し",N1606*P1606+OFFSET(N1606,1,0)*OFFSET(P1606,1,0),VLOOKUP(D1606,契約台帳!$A$3:$P$4986,16,FALSE)))))</f>
        <v>8000</v>
      </c>
      <c r="U1606" s="38">
        <v>2</v>
      </c>
      <c r="V1606" s="259">
        <f ca="1">IF(D1606="","",IF(OFFSET(D1606,-2,0)=D1606,"",VLOOKUP(D1606,契約台帳!$A$3:$R$4986,18,FALSE)))</f>
        <v>4</v>
      </c>
      <c r="W1606" s="256" t="str">
        <f ca="1">IF(D1606="","",IF(T1606="","",IF(OR(J1606="巻足し",J1606="巻返しリード付け"),"",IF(J1606="巻返し",VLOOKUP(F1606&amp;K1606&amp;M1606,製品マスタ!$M$5:$AD$4999,18,FALSE),IF(OR(J1606="リード付け",J1606="巻返しリード付け"),"原反コア",IF(J1606="スリット",VLOOKUP(F1606&amp;K1606&amp;R1606,製品マスタ!$N$5:$AD$4999,17,FALSE),""))))))</f>
        <v/>
      </c>
      <c r="X1606" s="256" t="str">
        <f ca="1">IF(D1606="","",IF(T1606="","",IF(J1606="巻足し","",IF(J1606="巻返し",VLOOKUP(F1606&amp;K1606&amp;M1606,製品マスタ!$M$5:$AE$4999,19,FALSE),IF(OR(J1606="リード付け",J1606="巻返しリード付け"),"",IF(J1606="スリット",VLOOKUP(F1606&amp;K1606&amp;R1606,製品マスタ!$N$5:$AE$4999,18,FALSE),""))))))</f>
        <v/>
      </c>
      <c r="Y1606" s="256">
        <f ca="1">IF(D1606="","",IF(T1606="","",VLOOKUP(D1606,契約台帳!$A$3:$Q$4986,17,FALSE)))</f>
        <v>2</v>
      </c>
      <c r="Z1606" s="256" t="str">
        <f ca="1">IF(D1606="","",IF(T1606="","",VLOOKUP(D1606,契約台帳!$A$3:$E$4986,5,FALSE)))</f>
        <v>リンテック㈱</v>
      </c>
      <c r="AA1606" s="54"/>
      <c r="AB1606" s="200">
        <f>IFERROR((VLOOKUP(F1606&amp;K1606&amp;M1606,製品マスタ!$M$5:$AM$4999,27,FALSE)),"")</f>
        <v>0</v>
      </c>
      <c r="AC1606" s="31"/>
      <c r="AD1606" s="184"/>
      <c r="AE1606" s="51"/>
      <c r="AF1606" s="52">
        <f>+M1606*N1606*O1606/1000</f>
        <v>17920</v>
      </c>
      <c r="AG1606" s="41"/>
      <c r="AH1606" s="45"/>
      <c r="AI1606" s="28"/>
      <c r="AJ1606" s="28"/>
      <c r="AK1606" s="28"/>
      <c r="AL1606" s="28"/>
      <c r="AM1606" s="12"/>
      <c r="AN1606" s="12"/>
      <c r="AO1606" s="12"/>
      <c r="AP1606" s="12"/>
      <c r="AQ1606" s="12"/>
      <c r="AR1606" s="13"/>
      <c r="AS1606" s="14"/>
    </row>
    <row r="1607" spans="1:45" s="16" customFormat="1" ht="30.95" hidden="1" customHeight="1" x14ac:dyDescent="0.2">
      <c r="A1607" s="35"/>
      <c r="B1607" s="36"/>
      <c r="C1607" s="43"/>
      <c r="D1607" s="29"/>
      <c r="E1607" s="29"/>
      <c r="F1607" s="255"/>
      <c r="G1607" s="256"/>
      <c r="H1607" s="256"/>
      <c r="I1607" s="200"/>
      <c r="J1607" s="203"/>
      <c r="K1607" s="200"/>
      <c r="L1607" s="200"/>
      <c r="M1607" s="37"/>
      <c r="N1607" s="37"/>
      <c r="O1607" s="153"/>
      <c r="P1607" s="45"/>
      <c r="Q1607" s="341"/>
      <c r="R1607" s="260"/>
      <c r="S1607" s="258"/>
      <c r="T1607" s="258"/>
      <c r="U1607" s="38"/>
      <c r="V1607" s="261"/>
      <c r="W1607" s="256"/>
      <c r="X1607" s="256"/>
      <c r="Y1607" s="256"/>
      <c r="Z1607" s="256"/>
      <c r="AA1607" s="54"/>
      <c r="AB1607" s="200"/>
      <c r="AC1607" s="31"/>
      <c r="AD1607" s="184"/>
      <c r="AE1607" s="51"/>
      <c r="AF1607" s="52"/>
      <c r="AG1607" s="41"/>
      <c r="AH1607" s="45"/>
      <c r="AI1607" s="28"/>
      <c r="AJ1607" s="28"/>
      <c r="AK1607" s="28"/>
      <c r="AL1607" s="28"/>
      <c r="AM1607" s="12"/>
      <c r="AN1607" s="12"/>
      <c r="AO1607" s="12"/>
      <c r="AP1607" s="12"/>
      <c r="AQ1607" s="12"/>
      <c r="AR1607" s="13"/>
      <c r="AS1607" s="14"/>
    </row>
    <row r="1608" spans="1:45" s="16" customFormat="1" ht="30.95" hidden="1" customHeight="1" x14ac:dyDescent="0.2">
      <c r="A1608" s="35"/>
      <c r="B1608" s="36"/>
      <c r="C1608" s="43"/>
      <c r="D1608" s="29">
        <v>3741628</v>
      </c>
      <c r="E1608" s="29">
        <v>4162211</v>
      </c>
      <c r="F1608" s="255" t="str">
        <f>IF(D1608="","",VLOOKUP(D1608,契約台帳!$A$3:$K$4986,6,FALSE)&amp;VLOOKUP(D1608,契約台帳!$A$3:$K$4986,7,FALSE)&amp;VLOOKUP(D1608,契約台帳!$A$3:$K$4986,8,FALSE)&amp;VLOOKUP(D1608,契約台帳!$A$3:$K$4986,9,FALSE)&amp;VLOOKUP(D1608,契約台帳!$A$3:$K$4986,11,FALSE))</f>
        <v>3SYMLBMSNMBF</v>
      </c>
      <c r="G1608" s="256" t="str">
        <f>IF(D1608="","",VLOOKUP(F1608,製品マスタ!$G$5:$H$4999,2,FALSE))</f>
        <v>S</v>
      </c>
      <c r="H1608" s="256" t="str">
        <f>IF(D1608="","",VLOOKUP(F1608,製品マスタ!$G$5:$K$4999,5,FALSE))</f>
        <v>MSNMBF</v>
      </c>
      <c r="I1608" s="200" t="str">
        <f>IF(D1608="","",VLOOKUP(F1608,製品マスタ!$G$5:$L$4999,6,FALSE))</f>
        <v>ＭＥＴＡＬＵＭＹ　ＳＩＬＶＥＲ　Ｎ－ＭＡＴＴＥ　Ｘ４４Ｍ　Ｂ</v>
      </c>
      <c r="J1608" s="203" t="s">
        <v>935</v>
      </c>
      <c r="K1608" s="200">
        <f>IF(D1608="","",VLOOKUP(D1608,契約台帳!$A$3:$L$4986,12,FALSE))</f>
        <v>50</v>
      </c>
      <c r="L1608" s="200" t="str">
        <f>IF(D1608="","",INDEX(製品マスタ!$Q$5:$Q$4999,MATCH('S4'!F1608&amp;'S4'!K1608,製品マスタ!$AO$5:$AO$4999,0)))</f>
        <v>X44</v>
      </c>
      <c r="M1608" s="37">
        <v>1120</v>
      </c>
      <c r="N1608" s="37">
        <v>4000</v>
      </c>
      <c r="O1608" s="153">
        <v>4</v>
      </c>
      <c r="P1608" s="45">
        <v>2</v>
      </c>
      <c r="Q1608" s="206">
        <v>45336</v>
      </c>
      <c r="R1608" s="257">
        <f ca="1">IF(D1608="","",IF(OFFSET(D1608,-1,0)&lt;&gt;"","",IF(OR(J1608="リード付け",J1608="巻足し",J1608="巻返しリード付け"),M1608,VLOOKUP(D1608,契約台帳!$A$3:$N$4986,14,FALSE))))</f>
        <v>1120</v>
      </c>
      <c r="S1608" s="258">
        <f ca="1">IF(D1608="","",IF(OFFSET(D1608,-1,0)&lt;&gt;"","",IF(OR(J1608="リード付け",J1608="巻足し",J1608="巻返しリード付け"),M1608,VLOOKUP(D1608,契約台帳!$A$3:$O$4986,15,FALSE))))</f>
        <v>1120</v>
      </c>
      <c r="T1608" s="258">
        <f ca="1">IF(D1608="","",IF(J1608="リード付け",N1608,IF(J1608="巻返しリード付け",N1608,IF(J1608="巻足し",N1608*P1608+OFFSET(N1608,1,0)*OFFSET(P1608,1,0),VLOOKUP(D1608,契約台帳!$A$3:$P$4986,16,FALSE)))))</f>
        <v>8000</v>
      </c>
      <c r="U1608" s="38">
        <v>2</v>
      </c>
      <c r="V1608" s="259">
        <f ca="1">IF(D1608="","",IF(OFFSET(D1608,-2,0)=D1608,"",VLOOKUP(D1608,契約台帳!$A$3:$R$4986,18,FALSE)))</f>
        <v>4</v>
      </c>
      <c r="W1608" s="256" t="str">
        <f ca="1">IF(D1608="","",IF(T1608="","",IF(OR(J1608="巻足し",J1608="巻返しリード付け"),"",IF(J1608="巻返し",VLOOKUP(F1608&amp;K1608&amp;M1608,製品マスタ!$M$5:$AD$4999,18,FALSE),IF(OR(J1608="リード付け",J1608="巻返しリード付け"),"原反コア",IF(J1608="スリット",VLOOKUP(F1608&amp;K1608&amp;R1608,製品マスタ!$N$5:$AD$4999,17,FALSE),""))))))</f>
        <v/>
      </c>
      <c r="X1608" s="256" t="str">
        <f ca="1">IF(D1608="","",IF(T1608="","",IF(J1608="巻足し","",IF(J1608="巻返し",VLOOKUP(F1608&amp;K1608&amp;M1608,製品マスタ!$M$5:$AE$4999,19,FALSE),IF(OR(J1608="リード付け",J1608="巻返しリード付け"),"",IF(J1608="スリット",VLOOKUP(F1608&amp;K1608&amp;R1608,製品マスタ!$N$5:$AE$4999,18,FALSE),""))))))</f>
        <v/>
      </c>
      <c r="Y1608" s="256">
        <f ca="1">IF(D1608="","",IF(T1608="","",VLOOKUP(D1608,契約台帳!$A$3:$Q$4986,17,FALSE)))</f>
        <v>2</v>
      </c>
      <c r="Z1608" s="256" t="str">
        <f ca="1">IF(D1608="","",IF(T1608="","",VLOOKUP(D1608,契約台帳!$A$3:$E$4986,5,FALSE)))</f>
        <v>リンテック㈱</v>
      </c>
      <c r="AA1608" s="54"/>
      <c r="AB1608" s="200">
        <f>IFERROR((VLOOKUP(F1608&amp;K1608&amp;M1608,製品マスタ!$M$5:$AM$4999,27,FALSE)),"")</f>
        <v>0</v>
      </c>
      <c r="AC1608" s="31"/>
      <c r="AD1608" s="184"/>
      <c r="AE1608" s="51"/>
      <c r="AF1608" s="52">
        <f>+M1608*N1608*O1608/1000</f>
        <v>17920</v>
      </c>
      <c r="AG1608" s="41"/>
      <c r="AH1608" s="45"/>
      <c r="AI1608" s="28"/>
      <c r="AJ1608" s="28"/>
      <c r="AK1608" s="28"/>
      <c r="AL1608" s="28"/>
      <c r="AM1608" s="12"/>
      <c r="AN1608" s="12"/>
      <c r="AO1608" s="12"/>
      <c r="AP1608" s="12"/>
      <c r="AQ1608" s="12"/>
      <c r="AR1608" s="13"/>
      <c r="AS1608" s="14"/>
    </row>
    <row r="1609" spans="1:45" s="16" customFormat="1" ht="30.95" hidden="1" customHeight="1" x14ac:dyDescent="0.2">
      <c r="A1609" s="35"/>
      <c r="B1609" s="36"/>
      <c r="C1609" s="43"/>
      <c r="D1609" s="29"/>
      <c r="E1609" s="29"/>
      <c r="F1609" s="255"/>
      <c r="G1609" s="256"/>
      <c r="H1609" s="256"/>
      <c r="I1609" s="200"/>
      <c r="J1609" s="203"/>
      <c r="K1609" s="200"/>
      <c r="L1609" s="200"/>
      <c r="M1609" s="37"/>
      <c r="N1609" s="37"/>
      <c r="O1609" s="153"/>
      <c r="P1609" s="45"/>
      <c r="Q1609" s="341"/>
      <c r="R1609" s="260"/>
      <c r="S1609" s="258"/>
      <c r="T1609" s="258"/>
      <c r="U1609" s="38"/>
      <c r="V1609" s="261"/>
      <c r="W1609" s="256"/>
      <c r="X1609" s="256"/>
      <c r="Y1609" s="256"/>
      <c r="Z1609" s="256"/>
      <c r="AA1609" s="54"/>
      <c r="AB1609" s="200"/>
      <c r="AC1609" s="31"/>
      <c r="AD1609" s="184"/>
      <c r="AE1609" s="51"/>
      <c r="AF1609" s="52"/>
      <c r="AG1609" s="41"/>
      <c r="AH1609" s="45"/>
      <c r="AI1609" s="28"/>
      <c r="AJ1609" s="28"/>
      <c r="AK1609" s="28"/>
      <c r="AL1609" s="28"/>
      <c r="AM1609" s="12"/>
      <c r="AN1609" s="12"/>
      <c r="AO1609" s="12"/>
      <c r="AP1609" s="12"/>
      <c r="AQ1609" s="12"/>
      <c r="AR1609" s="13"/>
      <c r="AS1609" s="14"/>
    </row>
    <row r="1610" spans="1:45" s="16" customFormat="1" ht="30.75" hidden="1" customHeight="1" x14ac:dyDescent="0.2">
      <c r="A1610" s="35"/>
      <c r="B1610" s="36"/>
      <c r="C1610" s="43"/>
      <c r="D1610" s="29">
        <v>3741602</v>
      </c>
      <c r="E1610" s="29">
        <v>4162198</v>
      </c>
      <c r="F1610" s="255" t="str">
        <f>IF(D1610="","",VLOOKUP(D1610,契約台帳!$A$3:$K$4986,6,FALSE)&amp;VLOOKUP(D1610,契約台帳!$A$3:$K$4986,7,FALSE)&amp;VLOOKUP(D1610,契約台帳!$A$3:$K$4986,8,FALSE)&amp;VLOOKUP(D1610,契約台帳!$A$3:$K$4986,9,FALSE)&amp;VLOOKUP(D1610,契約台帳!$A$3:$K$4986,11,FALSE))</f>
        <v>3SNMLBMNGKKBF</v>
      </c>
      <c r="G1610" s="256" t="str">
        <f>IF(D1610="","",VLOOKUP(F1610,製品マスタ!$G$5:$H$4999,2,FALSE))</f>
        <v>S</v>
      </c>
      <c r="H1610" s="256" t="str">
        <f>IF(D1610="","",VLOOKUP(F1610,製品マスタ!$G$5:$K$4999,5,FALSE))</f>
        <v>MNGKKBF</v>
      </c>
      <c r="I1610" s="200" t="str">
        <f>IF(D1610="","",VLOOKUP(F1610,製品マスタ!$G$5:$L$4999,6,FALSE))</f>
        <v>メタルミー　ネーマー銀消改　Ｂ</v>
      </c>
      <c r="J1610" s="203" t="s">
        <v>935</v>
      </c>
      <c r="K1610" s="200">
        <f>IF(D1610="","",VLOOKUP(D1610,契約台帳!$A$3:$L$4986,12,FALSE))</f>
        <v>25</v>
      </c>
      <c r="L1610" s="200" t="str">
        <f>IF(D1610="","",INDEX(製品マスタ!$Q$5:$Q$4999,MATCH('S4'!F1610&amp;'S4'!K1610,製品マスタ!$AO$5:$AO$4999,0)))</f>
        <v>FMATS99</v>
      </c>
      <c r="M1610" s="37">
        <v>1120</v>
      </c>
      <c r="N1610" s="37">
        <v>4000</v>
      </c>
      <c r="O1610" s="153">
        <v>6</v>
      </c>
      <c r="P1610" s="45">
        <v>3</v>
      </c>
      <c r="Q1610" s="206">
        <v>45337</v>
      </c>
      <c r="R1610" s="257">
        <f ca="1">IF(D1610="","",IF(OFFSET(D1610,-1,0)&lt;&gt;"","",IF(OR(J1610="リード付け",J1610="巻足し",J1610="巻返しリード付け"),M1610,VLOOKUP(D1610,契約台帳!$A$3:$N$4986,14,FALSE))))</f>
        <v>1120</v>
      </c>
      <c r="S1610" s="258">
        <f ca="1">IF(D1610="","",IF(OFFSET(D1610,-1,0)&lt;&gt;"","",IF(OR(J1610="リード付け",J1610="巻足し",J1610="巻返しリード付け"),M1610,VLOOKUP(D1610,契約台帳!$A$3:$O$4986,15,FALSE))))</f>
        <v>1120</v>
      </c>
      <c r="T1610" s="258">
        <f ca="1">IF(D1610="","",IF(J1610="リード付け",N1610,IF(J1610="巻返しリード付け",N1610,IF(J1610="巻足し",N1610*P1610+OFFSET(N1610,1,0)*OFFSET(P1610,1,0),VLOOKUP(D1610,契約台帳!$A$3:$P$4986,16,FALSE)))))</f>
        <v>12000</v>
      </c>
      <c r="U1610" s="38">
        <v>2</v>
      </c>
      <c r="V1610" s="259">
        <f ca="1">IF(D1610="","",IF(OFFSET(D1610,-2,0)=D1610,"",VLOOKUP(D1610,契約台帳!$A$3:$R$4986,18,FALSE)))</f>
        <v>6</v>
      </c>
      <c r="W1610" s="256" t="str">
        <f ca="1">IF(D1610="","",IF(T1610="","",IF(OR(J1610="巻足し",J1610="巻返しリード付け"),"",IF(J1610="巻返し",VLOOKUP(F1610&amp;K1610&amp;M1610,製品マスタ!$M$5:$AD$4999,18,FALSE),IF(OR(J1610="リード付け",J1610="巻返しリード付け"),"原反コア",IF(J1610="スリット",VLOOKUP(F1610&amp;K1610&amp;R1610,製品マスタ!$N$5:$AD$4999,17,FALSE),""))))))</f>
        <v/>
      </c>
      <c r="X1610" s="256" t="str">
        <f ca="1">IF(D1610="","",IF(T1610="","",IF(J1610="巻足し","",IF(J1610="巻返し",VLOOKUP(F1610&amp;K1610&amp;M1610,製品マスタ!$M$5:$AE$4999,19,FALSE),IF(OR(J1610="リード付け",J1610="巻返しリード付け"),"",IF(J1610="スリット",VLOOKUP(F1610&amp;K1610&amp;R1610,製品マスタ!$N$5:$AE$4999,18,FALSE),""))))))</f>
        <v/>
      </c>
      <c r="Y1610" s="256">
        <f ca="1">IF(D1610="","",IF(T1610="","",VLOOKUP(D1610,契約台帳!$A$3:$Q$4986,17,FALSE)))</f>
        <v>2</v>
      </c>
      <c r="Z1610" s="256" t="str">
        <f ca="1">IF(D1610="","",IF(T1610="","",VLOOKUP(D1610,契約台帳!$A$3:$E$4986,5,FALSE)))</f>
        <v>リンテック㈱</v>
      </c>
      <c r="AA1610" s="54"/>
      <c r="AB1610" s="200">
        <f>IFERROR((VLOOKUP(F1610&amp;K1610&amp;M1610,製品マスタ!$M$5:$AM$4999,27,FALSE)),"")</f>
        <v>0</v>
      </c>
      <c r="AC1610" s="31"/>
      <c r="AD1610" s="184"/>
      <c r="AE1610" s="51"/>
      <c r="AF1610" s="52">
        <f>+M1610*N1610*O1610/1000</f>
        <v>26880</v>
      </c>
      <c r="AG1610" s="41"/>
      <c r="AH1610" s="45"/>
      <c r="AI1610" s="28"/>
      <c r="AJ1610" s="28"/>
      <c r="AK1610" s="28"/>
      <c r="AL1610" s="28"/>
      <c r="AM1610" s="12"/>
      <c r="AN1610" s="12"/>
      <c r="AO1610" s="12"/>
      <c r="AP1610" s="12"/>
      <c r="AQ1610" s="12"/>
      <c r="AR1610" s="13"/>
      <c r="AS1610" s="14"/>
    </row>
    <row r="1611" spans="1:45" s="16" customFormat="1" ht="30.75" hidden="1" customHeight="1" x14ac:dyDescent="0.2">
      <c r="A1611" s="35"/>
      <c r="B1611" s="36"/>
      <c r="C1611" s="43"/>
      <c r="D1611" s="29"/>
      <c r="E1611" s="29"/>
      <c r="F1611" s="255"/>
      <c r="G1611" s="256"/>
      <c r="H1611" s="256"/>
      <c r="I1611" s="200"/>
      <c r="J1611" s="203"/>
      <c r="K1611" s="200"/>
      <c r="L1611" s="200"/>
      <c r="M1611" s="37"/>
      <c r="N1611" s="37"/>
      <c r="O1611" s="153"/>
      <c r="P1611" s="45"/>
      <c r="Q1611" s="54"/>
      <c r="R1611" s="260"/>
      <c r="S1611" s="258"/>
      <c r="T1611" s="258"/>
      <c r="U1611" s="38"/>
      <c r="V1611" s="261"/>
      <c r="W1611" s="256"/>
      <c r="X1611" s="256"/>
      <c r="Y1611" s="256"/>
      <c r="Z1611" s="256"/>
      <c r="AA1611" s="54"/>
      <c r="AB1611" s="200"/>
      <c r="AC1611" s="31"/>
      <c r="AD1611" s="184"/>
      <c r="AE1611" s="51"/>
      <c r="AF1611" s="52"/>
      <c r="AG1611" s="41"/>
      <c r="AH1611" s="45"/>
      <c r="AI1611" s="28"/>
      <c r="AJ1611" s="28"/>
      <c r="AK1611" s="28"/>
      <c r="AL1611" s="28"/>
      <c r="AM1611" s="12"/>
      <c r="AN1611" s="12"/>
      <c r="AO1611" s="12"/>
      <c r="AP1611" s="12"/>
      <c r="AQ1611" s="12"/>
      <c r="AR1611" s="13"/>
      <c r="AS1611" s="14"/>
    </row>
    <row r="1612" spans="1:45" s="16" customFormat="1" ht="30.95" hidden="1" customHeight="1" x14ac:dyDescent="0.2">
      <c r="A1612" s="35"/>
      <c r="B1612" s="36"/>
      <c r="C1612" s="43"/>
      <c r="D1612" s="29">
        <v>3741607</v>
      </c>
      <c r="E1612" s="29">
        <v>4162196</v>
      </c>
      <c r="F1612" s="255" t="str">
        <f>IF(D1612="","",VLOOKUP(D1612,契約台帳!$A$3:$K$4986,6,FALSE)&amp;VLOOKUP(D1612,契約台帳!$A$3:$K$4986,7,FALSE)&amp;VLOOKUP(D1612,契約台帳!$A$3:$K$4986,8,FALSE)&amp;VLOOKUP(D1612,契約台帳!$A$3:$K$4986,9,FALSE)&amp;VLOOKUP(D1612,契約台帳!$A$3:$K$4986,11,FALSE))</f>
        <v>3SNMLBMNGKBF</v>
      </c>
      <c r="G1612" s="256" t="str">
        <f>IF(D1612="","",VLOOKUP(F1612,製品マスタ!$G$5:$H$4999,2,FALSE))</f>
        <v>S</v>
      </c>
      <c r="H1612" s="256" t="str">
        <f>IF(D1612="","",VLOOKUP(F1612,製品マスタ!$G$5:$K$4999,5,FALSE))</f>
        <v>MNGKBF</v>
      </c>
      <c r="I1612" s="200" t="str">
        <f>IF(D1612="","",VLOOKUP(F1612,製品マスタ!$G$5:$L$4999,6,FALSE))</f>
        <v>メタルミー　ネーマー銀消　Ｂ</v>
      </c>
      <c r="J1612" s="203" t="s">
        <v>935</v>
      </c>
      <c r="K1612" s="200">
        <f>IF(D1612="","",VLOOKUP(D1612,契約台帳!$A$3:$L$4986,12,FALSE))</f>
        <v>75</v>
      </c>
      <c r="L1612" s="200" t="str">
        <f>IF(D1612="","",INDEX(製品マスタ!$Q$5:$Q$4999,MATCH('S4'!F1612&amp;'S4'!K1612,製品マスタ!$AO$5:$AO$4999,0)))</f>
        <v>MAT</v>
      </c>
      <c r="M1612" s="37">
        <v>1050</v>
      </c>
      <c r="N1612" s="37">
        <v>2000</v>
      </c>
      <c r="O1612" s="153">
        <v>2</v>
      </c>
      <c r="P1612" s="45">
        <v>2</v>
      </c>
      <c r="Q1612" s="206">
        <v>45341</v>
      </c>
      <c r="R1612" s="257">
        <f ca="1">IF(D1612="","",IF(OFFSET(D1612,-1,0)&lt;&gt;"","",IF(OR(J1612="リード付け",J1612="巻足し",J1612="巻返しリード付け"),M1612,VLOOKUP(D1612,契約台帳!$A$3:$N$4986,14,FALSE))))</f>
        <v>1050</v>
      </c>
      <c r="S1612" s="258">
        <f ca="1">IF(D1612="","",IF(OFFSET(D1612,-1,0)&lt;&gt;"","",IF(OR(J1612="リード付け",J1612="巻足し",J1612="巻返しリード付け"),M1612,VLOOKUP(D1612,契約台帳!$A$3:$O$4986,15,FALSE))))</f>
        <v>1050</v>
      </c>
      <c r="T1612" s="258">
        <f ca="1">IF(D1612="","",IF(J1612="リード付け",N1612,IF(J1612="巻返しリード付け",N1612,IF(J1612="巻足し",N1612*P1612+OFFSET(N1612,1,0)*OFFSET(P1612,1,0),VLOOKUP(D1612,契約台帳!$A$3:$P$4986,16,FALSE)))))</f>
        <v>4000</v>
      </c>
      <c r="U1612" s="38">
        <v>1</v>
      </c>
      <c r="V1612" s="259">
        <f ca="1">IF(D1612="","",IF(OFFSET(D1612,-2,0)=D1612,"",VLOOKUP(D1612,契約台帳!$A$3:$R$4986,18,FALSE)))</f>
        <v>2</v>
      </c>
      <c r="W1612" s="256" t="str">
        <f ca="1">IF(D1612="","",IF(T1612="","",IF(OR(J1612="巻足し",J1612="巻返しリード付け"),"",IF(J1612="巻返し",VLOOKUP(F1612&amp;K1612&amp;M1612,製品マスタ!$M$5:$AD$4999,18,FALSE),IF(OR(J1612="リード付け",J1612="巻返しリード付け"),"原反コア",IF(J1612="スリット",VLOOKUP(F1612&amp;K1612&amp;R1612,製品マスタ!$N$5:$AD$4999,17,FALSE),""))))))</f>
        <v/>
      </c>
      <c r="X1612" s="256" t="str">
        <f ca="1">IF(D1612="","",IF(T1612="","",IF(J1612="巻足し","",IF(J1612="巻返し",VLOOKUP(F1612&amp;K1612&amp;M1612,製品マスタ!$M$5:$AE$4999,19,FALSE),IF(OR(J1612="リード付け",J1612="巻返しリード付け"),"",IF(J1612="スリット",VLOOKUP(F1612&amp;K1612&amp;R1612,製品マスタ!$N$5:$AE$4999,18,FALSE),""))))))</f>
        <v/>
      </c>
      <c r="Y1612" s="256">
        <f ca="1">IF(D1612="","",IF(T1612="","",VLOOKUP(D1612,契約台帳!$A$3:$Q$4986,17,FALSE)))</f>
        <v>2</v>
      </c>
      <c r="Z1612" s="256" t="str">
        <f ca="1">IF(D1612="","",IF(T1612="","",VLOOKUP(D1612,契約台帳!$A$3:$E$4986,5,FALSE)))</f>
        <v>リンテック㈱</v>
      </c>
      <c r="AA1612" s="54"/>
      <c r="AB1612" s="200">
        <f>IFERROR((VLOOKUP(F1612&amp;K1612&amp;M1612,製品マスタ!$M$5:$AM$4999,27,FALSE)),"")</f>
        <v>0</v>
      </c>
      <c r="AC1612" s="31"/>
      <c r="AD1612" s="184"/>
      <c r="AE1612" s="51"/>
      <c r="AF1612" s="52">
        <f>+M1612*N1612*O1612/1000</f>
        <v>4200</v>
      </c>
      <c r="AG1612" s="41"/>
      <c r="AH1612" s="45"/>
      <c r="AI1612" s="28"/>
      <c r="AJ1612" s="28"/>
      <c r="AK1612" s="28"/>
      <c r="AL1612" s="28"/>
      <c r="AM1612" s="12"/>
      <c r="AN1612" s="12"/>
      <c r="AO1612" s="12"/>
      <c r="AP1612" s="12"/>
      <c r="AQ1612" s="12"/>
      <c r="AR1612" s="13"/>
      <c r="AS1612" s="14"/>
    </row>
    <row r="1613" spans="1:45" s="16" customFormat="1" ht="30.95" hidden="1" customHeight="1" x14ac:dyDescent="0.2">
      <c r="A1613" s="35"/>
      <c r="B1613" s="36"/>
      <c r="C1613" s="43"/>
      <c r="D1613" s="29"/>
      <c r="E1613" s="29"/>
      <c r="F1613" s="255"/>
      <c r="G1613" s="256"/>
      <c r="H1613" s="256"/>
      <c r="I1613" s="200"/>
      <c r="J1613" s="203"/>
      <c r="K1613" s="200"/>
      <c r="L1613" s="200"/>
      <c r="M1613" s="37"/>
      <c r="N1613" s="37"/>
      <c r="O1613" s="153"/>
      <c r="P1613" s="45"/>
      <c r="Q1613" s="54"/>
      <c r="R1613" s="260"/>
      <c r="S1613" s="258"/>
      <c r="T1613" s="258"/>
      <c r="U1613" s="38"/>
      <c r="V1613" s="261"/>
      <c r="W1613" s="256"/>
      <c r="X1613" s="256"/>
      <c r="Y1613" s="256"/>
      <c r="Z1613" s="256"/>
      <c r="AA1613" s="54"/>
      <c r="AB1613" s="200"/>
      <c r="AC1613" s="31"/>
      <c r="AD1613" s="184"/>
      <c r="AE1613" s="51"/>
      <c r="AF1613" s="52"/>
      <c r="AG1613" s="41"/>
      <c r="AH1613" s="45"/>
      <c r="AI1613" s="28"/>
      <c r="AJ1613" s="28"/>
      <c r="AK1613" s="28"/>
      <c r="AL1613" s="28"/>
      <c r="AM1613" s="12"/>
      <c r="AN1613" s="12"/>
      <c r="AO1613" s="12"/>
      <c r="AP1613" s="12"/>
      <c r="AQ1613" s="12"/>
      <c r="AR1613" s="13"/>
      <c r="AS1613" s="14"/>
    </row>
    <row r="1614" spans="1:45" s="16" customFormat="1" ht="30.95" hidden="1" customHeight="1" x14ac:dyDescent="0.2">
      <c r="A1614" s="35"/>
      <c r="B1614" s="36"/>
      <c r="C1614" s="43"/>
      <c r="D1614" s="29">
        <v>3741613</v>
      </c>
      <c r="E1614" s="29">
        <v>4162204</v>
      </c>
      <c r="F1614" s="255" t="str">
        <f>IF(D1614="","",VLOOKUP(D1614,契約台帳!$A$3:$K$4986,6,FALSE)&amp;VLOOKUP(D1614,契約台帳!$A$3:$K$4986,7,FALSE)&amp;VLOOKUP(D1614,契約台帳!$A$3:$K$4986,8,FALSE)&amp;VLOOKUP(D1614,契約台帳!$A$3:$K$4986,9,FALSE)&amp;VLOOKUP(D1614,契約台帳!$A$3:$K$4986,11,FALSE))</f>
        <v>3SNMLBMNNGKBF</v>
      </c>
      <c r="G1614" s="256" t="str">
        <f>IF(D1614="","",VLOOKUP(F1614,製品マスタ!$G$5:$H$4999,2,FALSE))</f>
        <v>S</v>
      </c>
      <c r="H1614" s="256" t="str">
        <f>IF(D1614="","",VLOOKUP(F1614,製品マスタ!$G$5:$K$4999,5,FALSE))</f>
        <v>MNNGKBF</v>
      </c>
      <c r="I1614" s="200" t="str">
        <f>IF(D1614="","",VLOOKUP(F1614,製品マスタ!$G$5:$L$4999,6,FALSE))</f>
        <v>メタルミー　ニューネーマー銀消　Ｂ</v>
      </c>
      <c r="J1614" s="203" t="s">
        <v>935</v>
      </c>
      <c r="K1614" s="200">
        <f>IF(D1614="","",VLOOKUP(D1614,契約台帳!$A$3:$L$4986,12,FALSE))</f>
        <v>25</v>
      </c>
      <c r="L1614" s="200" t="str">
        <f>IF(D1614="","",INDEX(製品マスタ!$Q$5:$Q$4999,MATCH('S4'!F1614&amp;'S4'!K1614,製品マスタ!$AO$5:$AO$4999,0)))</f>
        <v>X44C</v>
      </c>
      <c r="M1614" s="37">
        <v>1005</v>
      </c>
      <c r="N1614" s="37">
        <v>8000</v>
      </c>
      <c r="O1614" s="153">
        <v>2</v>
      </c>
      <c r="P1614" s="45">
        <v>2</v>
      </c>
      <c r="Q1614" s="206">
        <v>45337</v>
      </c>
      <c r="R1614" s="257">
        <f ca="1">IF(D1614="","",IF(OFFSET(D1614,-1,0)&lt;&gt;"","",IF(OR(J1614="リード付け",J1614="巻足し",J1614="巻返しリード付け"),M1614,VLOOKUP(D1614,契約台帳!$A$3:$N$4986,14,FALSE))))</f>
        <v>1005</v>
      </c>
      <c r="S1614" s="258">
        <f ca="1">IF(D1614="","",IF(OFFSET(D1614,-1,0)&lt;&gt;"","",IF(OR(J1614="リード付け",J1614="巻足し",J1614="巻返しリード付け"),M1614,VLOOKUP(D1614,契約台帳!$A$3:$O$4986,15,FALSE))))</f>
        <v>1005</v>
      </c>
      <c r="T1614" s="258">
        <f ca="1">IF(D1614="","",IF(J1614="リード付け",N1614,IF(J1614="巻返しリード付け",N1614,IF(J1614="巻足し",N1614*P1614+OFFSET(N1614,1,0)*OFFSET(P1614,1,0),VLOOKUP(D1614,契約台帳!$A$3:$P$4986,16,FALSE)))))</f>
        <v>16000</v>
      </c>
      <c r="U1614" s="38">
        <v>1</v>
      </c>
      <c r="V1614" s="259">
        <f ca="1">IF(D1614="","",IF(OFFSET(D1614,-2,0)=D1614,"",VLOOKUP(D1614,契約台帳!$A$3:$R$4986,18,FALSE)))</f>
        <v>4</v>
      </c>
      <c r="W1614" s="256" t="str">
        <f ca="1">IF(D1614="","",IF(T1614="","",IF(OR(J1614="巻足し",J1614="巻返しリード付け"),"",IF(J1614="巻返し",VLOOKUP(F1614&amp;K1614&amp;M1614,製品マスタ!$M$5:$AD$4999,18,FALSE),IF(OR(J1614="リード付け",J1614="巻返しリード付け"),"原反コア",IF(J1614="スリット",VLOOKUP(F1614&amp;K1614&amp;R1614,製品マスタ!$N$5:$AD$4999,17,FALSE),""))))))</f>
        <v/>
      </c>
      <c r="X1614" s="256" t="str">
        <f ca="1">IF(D1614="","",IF(T1614="","",IF(J1614="巻足し","",IF(J1614="巻返し",VLOOKUP(F1614&amp;K1614&amp;M1614,製品マスタ!$M$5:$AE$4999,19,FALSE),IF(OR(J1614="リード付け",J1614="巻返しリード付け"),"",IF(J1614="スリット",VLOOKUP(F1614&amp;K1614&amp;R1614,製品マスタ!$N$5:$AE$4999,18,FALSE),""))))))</f>
        <v/>
      </c>
      <c r="Y1614" s="256">
        <f ca="1">IF(D1614="","",IF(T1614="","",VLOOKUP(D1614,契約台帳!$A$3:$Q$4986,17,FALSE)))</f>
        <v>2</v>
      </c>
      <c r="Z1614" s="256" t="str">
        <f ca="1">IF(D1614="","",IF(T1614="","",VLOOKUP(D1614,契約台帳!$A$3:$E$4986,5,FALSE)))</f>
        <v>リンテック㈱</v>
      </c>
      <c r="AA1614" s="54"/>
      <c r="AB1614" s="200">
        <f>IFERROR((VLOOKUP(F1614&amp;K1614&amp;M1614,製品マスタ!$M$5:$AM$4999,27,FALSE)),"")</f>
        <v>0</v>
      </c>
      <c r="AC1614" s="31"/>
      <c r="AD1614" s="184"/>
      <c r="AE1614" s="51"/>
      <c r="AF1614" s="52">
        <f>+M1614*N1614*O1614/1000</f>
        <v>16080</v>
      </c>
      <c r="AG1614" s="41"/>
      <c r="AH1614" s="45"/>
      <c r="AI1614" s="28"/>
      <c r="AJ1614" s="28"/>
      <c r="AK1614" s="28"/>
      <c r="AL1614" s="28"/>
      <c r="AM1614" s="12"/>
      <c r="AN1614" s="12"/>
      <c r="AO1614" s="12"/>
      <c r="AP1614" s="12"/>
      <c r="AQ1614" s="12"/>
      <c r="AR1614" s="13"/>
      <c r="AS1614" s="14"/>
    </row>
    <row r="1615" spans="1:45" s="16" customFormat="1" ht="30.95" hidden="1" customHeight="1" x14ac:dyDescent="0.2">
      <c r="A1615" s="35"/>
      <c r="B1615" s="36"/>
      <c r="C1615" s="43"/>
      <c r="D1615" s="29"/>
      <c r="E1615" s="29"/>
      <c r="F1615" s="255"/>
      <c r="G1615" s="256"/>
      <c r="H1615" s="256"/>
      <c r="I1615" s="200"/>
      <c r="J1615" s="203"/>
      <c r="K1615" s="200"/>
      <c r="L1615" s="200"/>
      <c r="M1615" s="37"/>
      <c r="N1615" s="37"/>
      <c r="O1615" s="153"/>
      <c r="P1615" s="45"/>
      <c r="Q1615" s="54"/>
      <c r="R1615" s="260"/>
      <c r="S1615" s="258"/>
      <c r="T1615" s="258"/>
      <c r="U1615" s="38"/>
      <c r="V1615" s="261"/>
      <c r="W1615" s="256"/>
      <c r="X1615" s="256"/>
      <c r="Y1615" s="256"/>
      <c r="Z1615" s="256"/>
      <c r="AA1615" s="54"/>
      <c r="AB1615" s="200"/>
      <c r="AC1615" s="31"/>
      <c r="AD1615" s="184"/>
      <c r="AE1615" s="51"/>
      <c r="AF1615" s="52"/>
      <c r="AG1615" s="41"/>
      <c r="AH1615" s="45"/>
      <c r="AI1615" s="28"/>
      <c r="AJ1615" s="28"/>
      <c r="AK1615" s="28"/>
      <c r="AL1615" s="28"/>
      <c r="AM1615" s="12"/>
      <c r="AN1615" s="12"/>
      <c r="AO1615" s="12"/>
      <c r="AP1615" s="12"/>
      <c r="AQ1615" s="12"/>
      <c r="AR1615" s="13"/>
      <c r="AS1615" s="14"/>
    </row>
    <row r="1616" spans="1:45" s="16" customFormat="1" ht="30.95" hidden="1" customHeight="1" x14ac:dyDescent="0.2">
      <c r="A1616" s="35" t="s">
        <v>1982</v>
      </c>
      <c r="B1616" s="36" t="s">
        <v>1976</v>
      </c>
      <c r="C1616" s="43"/>
      <c r="D1616" s="29"/>
      <c r="E1616" s="29"/>
      <c r="F1616" s="255"/>
      <c r="G1616" s="256"/>
      <c r="H1616" s="256"/>
      <c r="I1616" s="200"/>
      <c r="J1616" s="203" t="s">
        <v>448</v>
      </c>
      <c r="K1616" s="200"/>
      <c r="L1616" s="200"/>
      <c r="M1616" s="37"/>
      <c r="N1616" s="37"/>
      <c r="O1616" s="153"/>
      <c r="P1616" s="45"/>
      <c r="Q1616" s="54"/>
      <c r="R1616" s="260"/>
      <c r="S1616" s="258"/>
      <c r="T1616" s="258"/>
      <c r="U1616" s="38"/>
      <c r="V1616" s="261"/>
      <c r="W1616" s="256"/>
      <c r="X1616" s="256"/>
      <c r="Y1616" s="256"/>
      <c r="Z1616" s="256"/>
      <c r="AA1616" s="54"/>
      <c r="AB1616" s="200"/>
      <c r="AC1616" s="31"/>
      <c r="AD1616" s="184"/>
      <c r="AE1616" s="51"/>
      <c r="AF1616" s="52"/>
      <c r="AG1616" s="41"/>
      <c r="AH1616" s="45"/>
      <c r="AI1616" s="28"/>
      <c r="AJ1616" s="28"/>
      <c r="AK1616" s="28"/>
      <c r="AL1616" s="28"/>
      <c r="AM1616" s="12"/>
      <c r="AN1616" s="12"/>
      <c r="AO1616" s="12"/>
      <c r="AP1616" s="12"/>
      <c r="AQ1616" s="12"/>
      <c r="AR1616" s="13"/>
      <c r="AS1616" s="14"/>
    </row>
    <row r="1617" spans="1:45" s="16" customFormat="1" ht="30.95" hidden="1" customHeight="1" x14ac:dyDescent="0.2">
      <c r="A1617" s="35"/>
      <c r="B1617" s="36"/>
      <c r="C1617" s="43"/>
      <c r="D1617" s="29"/>
      <c r="E1617" s="29"/>
      <c r="F1617" s="255"/>
      <c r="G1617" s="256"/>
      <c r="H1617" s="256"/>
      <c r="I1617" s="200"/>
      <c r="J1617" s="203"/>
      <c r="K1617" s="200"/>
      <c r="L1617" s="200"/>
      <c r="M1617" s="37"/>
      <c r="N1617" s="37"/>
      <c r="O1617" s="153"/>
      <c r="P1617" s="45"/>
      <c r="Q1617" s="54"/>
      <c r="R1617" s="260"/>
      <c r="S1617" s="258"/>
      <c r="T1617" s="258"/>
      <c r="U1617" s="38"/>
      <c r="V1617" s="261"/>
      <c r="W1617" s="256"/>
      <c r="X1617" s="256"/>
      <c r="Y1617" s="256"/>
      <c r="Z1617" s="256"/>
      <c r="AA1617" s="54"/>
      <c r="AB1617" s="200"/>
      <c r="AC1617" s="31"/>
      <c r="AD1617" s="184"/>
      <c r="AE1617" s="51"/>
      <c r="AF1617" s="52"/>
      <c r="AG1617" s="41"/>
      <c r="AH1617" s="45"/>
      <c r="AI1617" s="28"/>
      <c r="AJ1617" s="28"/>
      <c r="AK1617" s="28"/>
      <c r="AL1617" s="28"/>
      <c r="AM1617" s="12"/>
      <c r="AN1617" s="12"/>
      <c r="AO1617" s="12"/>
      <c r="AP1617" s="12"/>
      <c r="AQ1617" s="12"/>
      <c r="AR1617" s="13"/>
      <c r="AS1617" s="14"/>
    </row>
    <row r="1618" spans="1:45" s="16" customFormat="1" ht="30.95" hidden="1" customHeight="1" x14ac:dyDescent="0.2">
      <c r="A1618" s="35" t="s">
        <v>1983</v>
      </c>
      <c r="B1618" s="36" t="s">
        <v>1984</v>
      </c>
      <c r="C1618" s="43"/>
      <c r="D1618" s="29"/>
      <c r="E1618" s="29"/>
      <c r="F1618" s="255"/>
      <c r="G1618" s="256"/>
      <c r="H1618" s="256"/>
      <c r="I1618" s="200"/>
      <c r="J1618" s="203" t="s">
        <v>448</v>
      </c>
      <c r="K1618" s="200"/>
      <c r="L1618" s="200"/>
      <c r="M1618" s="37"/>
      <c r="N1618" s="37"/>
      <c r="O1618" s="153"/>
      <c r="P1618" s="45"/>
      <c r="Q1618" s="54"/>
      <c r="R1618" s="260"/>
      <c r="S1618" s="258"/>
      <c r="T1618" s="258"/>
      <c r="U1618" s="38"/>
      <c r="V1618" s="261"/>
      <c r="W1618" s="256"/>
      <c r="X1618" s="256"/>
      <c r="Y1618" s="256"/>
      <c r="Z1618" s="256"/>
      <c r="AA1618" s="54"/>
      <c r="AB1618" s="200"/>
      <c r="AC1618" s="31"/>
      <c r="AD1618" s="184"/>
      <c r="AE1618" s="51"/>
      <c r="AF1618" s="52"/>
      <c r="AG1618" s="41"/>
      <c r="AH1618" s="45"/>
      <c r="AI1618" s="28"/>
      <c r="AJ1618" s="28"/>
      <c r="AK1618" s="28"/>
      <c r="AL1618" s="28"/>
      <c r="AM1618" s="12"/>
      <c r="AN1618" s="12"/>
      <c r="AO1618" s="12"/>
      <c r="AP1618" s="12"/>
      <c r="AQ1618" s="12"/>
      <c r="AR1618" s="13"/>
      <c r="AS1618" s="14"/>
    </row>
    <row r="1619" spans="1:45" s="16" customFormat="1" ht="30.95" hidden="1" customHeight="1" x14ac:dyDescent="0.2">
      <c r="A1619" s="35"/>
      <c r="B1619" s="36"/>
      <c r="C1619" s="43"/>
      <c r="D1619" s="29"/>
      <c r="E1619" s="29"/>
      <c r="F1619" s="255"/>
      <c r="G1619" s="256"/>
      <c r="H1619" s="256"/>
      <c r="I1619" s="200"/>
      <c r="J1619" s="203"/>
      <c r="K1619" s="200"/>
      <c r="L1619" s="200"/>
      <c r="M1619" s="37"/>
      <c r="N1619" s="37"/>
      <c r="O1619" s="153"/>
      <c r="P1619" s="45"/>
      <c r="Q1619" s="54"/>
      <c r="R1619" s="260"/>
      <c r="S1619" s="258"/>
      <c r="T1619" s="258"/>
      <c r="U1619" s="38"/>
      <c r="V1619" s="261"/>
      <c r="W1619" s="256"/>
      <c r="X1619" s="256"/>
      <c r="Y1619" s="256"/>
      <c r="Z1619" s="256"/>
      <c r="AA1619" s="54"/>
      <c r="AB1619" s="200"/>
      <c r="AC1619" s="31"/>
      <c r="AD1619" s="184"/>
      <c r="AE1619" s="51"/>
      <c r="AF1619" s="52"/>
      <c r="AG1619" s="41"/>
      <c r="AH1619" s="45"/>
      <c r="AI1619" s="28"/>
      <c r="AJ1619" s="28"/>
      <c r="AK1619" s="28"/>
      <c r="AL1619" s="28"/>
      <c r="AM1619" s="12"/>
      <c r="AN1619" s="12"/>
      <c r="AO1619" s="12"/>
      <c r="AP1619" s="12"/>
      <c r="AQ1619" s="12"/>
      <c r="AR1619" s="13"/>
      <c r="AS1619" s="14"/>
    </row>
    <row r="1620" spans="1:45" s="16" customFormat="1" ht="30.95" hidden="1" customHeight="1" x14ac:dyDescent="0.2">
      <c r="A1620" s="35" t="s">
        <v>1985</v>
      </c>
      <c r="B1620" s="36" t="s">
        <v>1986</v>
      </c>
      <c r="C1620" s="43"/>
      <c r="D1620" s="29"/>
      <c r="E1620" s="29"/>
      <c r="F1620" s="255"/>
      <c r="G1620" s="256"/>
      <c r="H1620" s="256"/>
      <c r="I1620" s="200"/>
      <c r="J1620" s="203" t="s">
        <v>448</v>
      </c>
      <c r="K1620" s="200"/>
      <c r="L1620" s="200"/>
      <c r="M1620" s="37"/>
      <c r="N1620" s="37"/>
      <c r="O1620" s="153"/>
      <c r="P1620" s="45"/>
      <c r="Q1620" s="54"/>
      <c r="R1620" s="260"/>
      <c r="S1620" s="258"/>
      <c r="T1620" s="258"/>
      <c r="U1620" s="38"/>
      <c r="V1620" s="261"/>
      <c r="W1620" s="256"/>
      <c r="X1620" s="256"/>
      <c r="Y1620" s="256"/>
      <c r="Z1620" s="256"/>
      <c r="AA1620" s="54"/>
      <c r="AB1620" s="200"/>
      <c r="AC1620" s="31"/>
      <c r="AD1620" s="184"/>
      <c r="AE1620" s="51"/>
      <c r="AF1620" s="52"/>
      <c r="AG1620" s="41"/>
      <c r="AH1620" s="45"/>
      <c r="AI1620" s="28"/>
      <c r="AJ1620" s="28"/>
      <c r="AK1620" s="28"/>
      <c r="AL1620" s="28"/>
      <c r="AM1620" s="12"/>
      <c r="AN1620" s="12"/>
      <c r="AO1620" s="12"/>
      <c r="AP1620" s="12"/>
      <c r="AQ1620" s="12"/>
      <c r="AR1620" s="13"/>
      <c r="AS1620" s="14"/>
    </row>
    <row r="1621" spans="1:45" s="16" customFormat="1" ht="30.95" hidden="1" customHeight="1" x14ac:dyDescent="0.2">
      <c r="A1621" s="35"/>
      <c r="B1621" s="36"/>
      <c r="C1621" s="43"/>
      <c r="D1621" s="29"/>
      <c r="E1621" s="29"/>
      <c r="F1621" s="255"/>
      <c r="G1621" s="256"/>
      <c r="H1621" s="256"/>
      <c r="I1621" s="200"/>
      <c r="J1621" s="203"/>
      <c r="K1621" s="200"/>
      <c r="L1621" s="200"/>
      <c r="M1621" s="37"/>
      <c r="N1621" s="37"/>
      <c r="O1621" s="153"/>
      <c r="P1621" s="45"/>
      <c r="Q1621" s="54"/>
      <c r="R1621" s="260"/>
      <c r="S1621" s="258"/>
      <c r="T1621" s="258"/>
      <c r="U1621" s="38"/>
      <c r="V1621" s="261"/>
      <c r="W1621" s="256"/>
      <c r="X1621" s="256"/>
      <c r="Y1621" s="256"/>
      <c r="Z1621" s="256"/>
      <c r="AA1621" s="54"/>
      <c r="AB1621" s="200"/>
      <c r="AC1621" s="31"/>
      <c r="AD1621" s="184"/>
      <c r="AE1621" s="51"/>
      <c r="AF1621" s="52"/>
      <c r="AG1621" s="41"/>
      <c r="AH1621" s="45"/>
      <c r="AI1621" s="28"/>
      <c r="AJ1621" s="28"/>
      <c r="AK1621" s="28"/>
      <c r="AL1621" s="28"/>
      <c r="AM1621" s="12"/>
      <c r="AN1621" s="12"/>
      <c r="AO1621" s="12"/>
      <c r="AP1621" s="12"/>
      <c r="AQ1621" s="12"/>
      <c r="AR1621" s="13"/>
      <c r="AS1621" s="14"/>
    </row>
    <row r="1622" spans="1:45" s="16" customFormat="1" ht="30.95" hidden="1" customHeight="1" x14ac:dyDescent="0.2">
      <c r="A1622" s="35" t="s">
        <v>1987</v>
      </c>
      <c r="B1622" s="36" t="s">
        <v>1974</v>
      </c>
      <c r="C1622" s="43"/>
      <c r="D1622" s="29">
        <v>3741621</v>
      </c>
      <c r="E1622" s="29">
        <v>4162206</v>
      </c>
      <c r="F1622" s="255" t="str">
        <f>IF(D1622="","",VLOOKUP(D1622,契約台帳!$A$3:$K$4986,6,FALSE)&amp;VLOOKUP(D1622,契約台帳!$A$3:$K$4986,7,FALSE)&amp;VLOOKUP(D1622,契約台帳!$A$3:$K$4986,8,FALSE)&amp;VLOOKUP(D1622,契約台帳!$A$3:$K$4986,9,FALSE)&amp;VLOOKUP(D1622,契約台帳!$A$3:$K$4986,11,FALSE))</f>
        <v>3SNMLBMNQR66F</v>
      </c>
      <c r="G1622" s="256" t="str">
        <f>IF(D1622="","",VLOOKUP(F1622,製品マスタ!$G$5:$H$4999,2,FALSE))</f>
        <v>S</v>
      </c>
      <c r="H1622" s="256" t="str">
        <f>IF(D1622="","",VLOOKUP(F1622,製品マスタ!$G$5:$K$4999,5,FALSE))</f>
        <v>MNQR66F</v>
      </c>
      <c r="I1622" s="200" t="str">
        <f>IF(D1622="","",VLOOKUP(F1622,製品マスタ!$G$5:$L$4999,6,FALSE))</f>
        <v>ＱＲ６６蒸着品</v>
      </c>
      <c r="J1622" s="203" t="s">
        <v>935</v>
      </c>
      <c r="K1622" s="200">
        <f>IF(D1622="","",VLOOKUP(D1622,契約台帳!$A$3:$L$4986,12,FALSE))</f>
        <v>25</v>
      </c>
      <c r="L1622" s="200" t="str">
        <f>IF(D1622="","",INDEX(製品マスタ!$Q$5:$Q$4999,MATCH('S4'!F1622&amp;'S4'!K1622,製品マスタ!$AO$5:$AO$4999,0)))</f>
        <v>E315</v>
      </c>
      <c r="M1622" s="37">
        <v>1000</v>
      </c>
      <c r="N1622" s="37">
        <v>6000</v>
      </c>
      <c r="O1622" s="153">
        <v>3</v>
      </c>
      <c r="P1622" s="45">
        <v>3</v>
      </c>
      <c r="Q1622" s="206">
        <v>45337</v>
      </c>
      <c r="R1622" s="257">
        <f ca="1">IF(D1622="","",IF(OFFSET(D1622,-1,0)&lt;&gt;"","",IF(OR(J1622="リード付け",J1622="巻足し",J1622="巻返しリード付け"),M1622,VLOOKUP(D1622,契約台帳!$A$3:$N$4986,14,FALSE))))</f>
        <v>1000</v>
      </c>
      <c r="S1622" s="258">
        <f ca="1">IF(D1622="","",IF(OFFSET(D1622,-1,0)&lt;&gt;"","",IF(OR(J1622="リード付け",J1622="巻足し",J1622="巻返しリード付け"),M1622,VLOOKUP(D1622,契約台帳!$A$3:$O$4986,15,FALSE))))</f>
        <v>1000</v>
      </c>
      <c r="T1622" s="258">
        <f ca="1">IF(D1622="","",IF(J1622="リード付け",N1622,IF(J1622="巻返しリード付け",N1622,IF(J1622="巻足し",N1622*P1622+OFFSET(N1622,1,0)*OFFSET(P1622,1,0),VLOOKUP(D1622,契約台帳!$A$3:$P$4986,16,FALSE)))))</f>
        <v>18000</v>
      </c>
      <c r="U1622" s="38">
        <v>1</v>
      </c>
      <c r="V1622" s="259">
        <f ca="1">IF(D1622="","",IF(OFFSET(D1622,-2,0)=D1622,"",VLOOKUP(D1622,契約台帳!$A$3:$R$4986,18,FALSE)))</f>
        <v>3</v>
      </c>
      <c r="W1622" s="256" t="str">
        <f ca="1">IF(D1622="","",IF(T1622="","",IF(OR(J1622="巻足し",J1622="巻返しリード付け"),"",IF(J1622="巻返し",VLOOKUP(F1622&amp;K1622&amp;M1622,製品マスタ!$M$5:$AD$4999,18,FALSE),IF(OR(J1622="リード付け",J1622="巻返しリード付け"),"原反コア",IF(J1622="スリット",VLOOKUP(F1622&amp;K1622&amp;R1622,製品マスタ!$N$5:$AD$4999,17,FALSE),""))))))</f>
        <v/>
      </c>
      <c r="X1622" s="256" t="str">
        <f ca="1">IF(D1622="","",IF(T1622="","",IF(J1622="巻足し","",IF(J1622="巻返し",VLOOKUP(F1622&amp;K1622&amp;M1622,製品マスタ!$M$5:$AE$4999,19,FALSE),IF(OR(J1622="リード付け",J1622="巻返しリード付け"),"",IF(J1622="スリット",VLOOKUP(F1622&amp;K1622&amp;R1622,製品マスタ!$N$5:$AE$4999,18,FALSE),""))))))</f>
        <v/>
      </c>
      <c r="Y1622" s="256">
        <f ca="1">IF(D1622="","",IF(T1622="","",VLOOKUP(D1622,契約台帳!$A$3:$Q$4986,17,FALSE)))</f>
        <v>2</v>
      </c>
      <c r="Z1622" s="256" t="str">
        <f ca="1">IF(D1622="","",IF(T1622="","",VLOOKUP(D1622,契約台帳!$A$3:$E$4986,5,FALSE)))</f>
        <v>リンテック㈱</v>
      </c>
      <c r="AA1622" s="54"/>
      <c r="AB1622" s="200" t="str">
        <f>IFERROR((VLOOKUP(F1622&amp;K1622&amp;M1622,製品マスタ!$M$5:$AM$4999,27,FALSE)),"")</f>
        <v>原反ケース再利用</v>
      </c>
      <c r="AC1622" s="31"/>
      <c r="AD1622" s="184"/>
      <c r="AE1622" s="51"/>
      <c r="AF1622" s="52">
        <f>+M1622*N1622*O1622/1000</f>
        <v>18000</v>
      </c>
      <c r="AG1622" s="41"/>
      <c r="AH1622" s="45"/>
      <c r="AI1622" s="28"/>
      <c r="AJ1622" s="28"/>
      <c r="AK1622" s="28"/>
      <c r="AL1622" s="28"/>
      <c r="AM1622" s="12"/>
      <c r="AN1622" s="12"/>
      <c r="AO1622" s="12"/>
      <c r="AP1622" s="12"/>
      <c r="AQ1622" s="12"/>
      <c r="AR1622" s="13"/>
      <c r="AS1622" s="14"/>
    </row>
    <row r="1623" spans="1:45" s="16" customFormat="1" ht="30.95" hidden="1" customHeight="1" x14ac:dyDescent="0.2">
      <c r="A1623" s="35"/>
      <c r="B1623" s="36"/>
      <c r="C1623" s="43"/>
      <c r="D1623" s="29"/>
      <c r="E1623" s="29"/>
      <c r="F1623" s="255"/>
      <c r="G1623" s="256"/>
      <c r="H1623" s="256"/>
      <c r="I1623" s="200"/>
      <c r="J1623" s="203"/>
      <c r="K1623" s="200"/>
      <c r="L1623" s="200"/>
      <c r="M1623" s="37"/>
      <c r="N1623" s="37"/>
      <c r="O1623" s="153"/>
      <c r="P1623" s="45"/>
      <c r="Q1623" s="54"/>
      <c r="R1623" s="260"/>
      <c r="S1623" s="258"/>
      <c r="T1623" s="258"/>
      <c r="U1623" s="38"/>
      <c r="V1623" s="261"/>
      <c r="W1623" s="256"/>
      <c r="X1623" s="256"/>
      <c r="Y1623" s="256"/>
      <c r="Z1623" s="256"/>
      <c r="AA1623" s="54"/>
      <c r="AB1623" s="200"/>
      <c r="AC1623" s="31"/>
      <c r="AD1623" s="184"/>
      <c r="AE1623" s="51"/>
      <c r="AF1623" s="52"/>
      <c r="AG1623" s="41"/>
      <c r="AH1623" s="45"/>
      <c r="AI1623" s="28"/>
      <c r="AJ1623" s="28"/>
      <c r="AK1623" s="28"/>
      <c r="AL1623" s="28"/>
      <c r="AM1623" s="12"/>
      <c r="AN1623" s="12"/>
      <c r="AO1623" s="12"/>
      <c r="AP1623" s="12"/>
      <c r="AQ1623" s="12"/>
      <c r="AR1623" s="13"/>
      <c r="AS1623" s="14"/>
    </row>
    <row r="1624" spans="1:45" s="16" customFormat="1" ht="30.95" hidden="1" customHeight="1" x14ac:dyDescent="0.2">
      <c r="A1624" s="35"/>
      <c r="B1624" s="36"/>
      <c r="C1624" s="43"/>
      <c r="D1624" s="29">
        <v>3741614</v>
      </c>
      <c r="E1624" s="29">
        <v>4162205</v>
      </c>
      <c r="F1624" s="255" t="str">
        <f>IF(D1624="","",VLOOKUP(D1624,契約台帳!$A$3:$K$4986,6,FALSE)&amp;VLOOKUP(D1624,契約台帳!$A$3:$K$4986,7,FALSE)&amp;VLOOKUP(D1624,契約台帳!$A$3:$K$4986,8,FALSE)&amp;VLOOKUP(D1624,契約台帳!$A$3:$K$4986,9,FALSE)&amp;VLOOKUP(D1624,契約台帳!$A$3:$K$4986,11,FALSE))</f>
        <v>3SNMLBMNNGKBF</v>
      </c>
      <c r="G1624" s="256" t="str">
        <f>IF(D1624="","",VLOOKUP(F1624,製品マスタ!$G$5:$H$4999,2,FALSE))</f>
        <v>S</v>
      </c>
      <c r="H1624" s="256" t="str">
        <f>IF(D1624="","",VLOOKUP(F1624,製品マスタ!$G$5:$K$4999,5,FALSE))</f>
        <v>MNNGKBF</v>
      </c>
      <c r="I1624" s="200" t="str">
        <f>IF(D1624="","",VLOOKUP(F1624,製品マスタ!$G$5:$L$4999,6,FALSE))</f>
        <v>メタルミー　ニューネーマー銀消　Ｂ</v>
      </c>
      <c r="J1624" s="203" t="s">
        <v>935</v>
      </c>
      <c r="K1624" s="200">
        <f>IF(D1624="","",VLOOKUP(D1624,契約台帳!$A$3:$L$4986,12,FALSE))</f>
        <v>50</v>
      </c>
      <c r="L1624" s="200" t="str">
        <f>IF(D1624="","",INDEX(製品マスタ!$Q$5:$Q$4999,MATCH('S4'!F1624&amp;'S4'!K1624,製品マスタ!$AO$5:$AO$4999,0)))</f>
        <v>X44</v>
      </c>
      <c r="M1624" s="37">
        <v>1000</v>
      </c>
      <c r="N1624" s="37">
        <v>4000</v>
      </c>
      <c r="O1624" s="153">
        <v>24</v>
      </c>
      <c r="P1624" s="45">
        <v>3</v>
      </c>
      <c r="Q1624" s="206">
        <v>45342</v>
      </c>
      <c r="R1624" s="257">
        <f ca="1">IF(D1624="","",IF(OFFSET(D1624,-1,0)&lt;&gt;"","",IF(OR(J1624="リード付け",J1624="巻足し",J1624="巻返しリード付け"),M1624,VLOOKUP(D1624,契約台帳!$A$3:$N$4986,14,FALSE))))</f>
        <v>1000</v>
      </c>
      <c r="S1624" s="258">
        <f ca="1">IF(D1624="","",IF(OFFSET(D1624,-1,0)&lt;&gt;"","",IF(OR(J1624="リード付け",J1624="巻足し",J1624="巻返しリード付け"),M1624,VLOOKUP(D1624,契約台帳!$A$3:$O$4986,15,FALSE))))</f>
        <v>1000</v>
      </c>
      <c r="T1624" s="258">
        <f ca="1">IF(D1624="","",IF(J1624="リード付け",N1624,IF(J1624="巻返しリード付け",N1624,IF(J1624="巻足し",N1624*P1624+OFFSET(N1624,1,0)*OFFSET(P1624,1,0),VLOOKUP(D1624,契約台帳!$A$3:$P$4986,16,FALSE)))))</f>
        <v>12000</v>
      </c>
      <c r="U1624" s="38">
        <v>8</v>
      </c>
      <c r="V1624" s="259">
        <f ca="1">IF(D1624="","",IF(OFFSET(D1624,-2,0)=D1624,"",VLOOKUP(D1624,契約台帳!$A$3:$R$4986,18,FALSE)))</f>
        <v>24</v>
      </c>
      <c r="W1624" s="256" t="str">
        <f ca="1">IF(D1624="","",IF(T1624="","",IF(OR(J1624="巻足し",J1624="巻返しリード付け"),"",IF(J1624="巻返し",VLOOKUP(F1624&amp;K1624&amp;M1624,製品マスタ!$M$5:$AD$4999,18,FALSE),IF(OR(J1624="リード付け",J1624="巻返しリード付け"),"原反コア",IF(J1624="スリット",VLOOKUP(F1624&amp;K1624&amp;R1624,製品マスタ!$N$5:$AD$4999,17,FALSE),""))))))</f>
        <v/>
      </c>
      <c r="X1624" s="256" t="str">
        <f ca="1">IF(D1624="","",IF(T1624="","",IF(J1624="巻足し","",IF(J1624="巻返し",VLOOKUP(F1624&amp;K1624&amp;M1624,製品マスタ!$M$5:$AE$4999,19,FALSE),IF(OR(J1624="リード付け",J1624="巻返しリード付け"),"",IF(J1624="スリット",VLOOKUP(F1624&amp;K1624&amp;R1624,製品マスタ!$N$5:$AE$4999,18,FALSE),""))))))</f>
        <v/>
      </c>
      <c r="Y1624" s="256">
        <f ca="1">IF(D1624="","",IF(T1624="","",VLOOKUP(D1624,契約台帳!$A$3:$Q$4986,17,FALSE)))</f>
        <v>2</v>
      </c>
      <c r="Z1624" s="256" t="str">
        <f ca="1">IF(D1624="","",IF(T1624="","",VLOOKUP(D1624,契約台帳!$A$3:$E$4986,5,FALSE)))</f>
        <v>リンテック㈱</v>
      </c>
      <c r="AA1624" s="54"/>
      <c r="AB1624" s="200" t="str">
        <f>IFERROR((VLOOKUP(F1624&amp;K1624&amp;M1624,製品マスタ!$M$5:$AM$4999,27,FALSE)),"")</f>
        <v>原反ケース再利用</v>
      </c>
      <c r="AC1624" s="31"/>
      <c r="AD1624" s="184"/>
      <c r="AE1624" s="51"/>
      <c r="AF1624" s="52">
        <f>+M1624*N1624*O1624/1000</f>
        <v>96000</v>
      </c>
      <c r="AG1624" s="41"/>
      <c r="AH1624" s="45"/>
      <c r="AI1624" s="28"/>
      <c r="AJ1624" s="28"/>
      <c r="AK1624" s="28"/>
      <c r="AL1624" s="28"/>
      <c r="AM1624" s="12"/>
      <c r="AN1624" s="12"/>
      <c r="AO1624" s="12"/>
      <c r="AP1624" s="12"/>
      <c r="AQ1624" s="12"/>
      <c r="AR1624" s="13"/>
      <c r="AS1624" s="14"/>
    </row>
    <row r="1625" spans="1:45" s="16" customFormat="1" ht="30.95" hidden="1" customHeight="1" x14ac:dyDescent="0.2">
      <c r="A1625" s="35"/>
      <c r="B1625" s="36"/>
      <c r="C1625" s="43"/>
      <c r="D1625" s="29"/>
      <c r="E1625" s="29"/>
      <c r="F1625" s="255"/>
      <c r="G1625" s="256"/>
      <c r="H1625" s="256"/>
      <c r="I1625" s="200"/>
      <c r="J1625" s="203"/>
      <c r="K1625" s="200"/>
      <c r="L1625" s="200"/>
      <c r="M1625" s="37"/>
      <c r="N1625" s="37"/>
      <c r="O1625" s="153"/>
      <c r="P1625" s="45"/>
      <c r="Q1625" s="54"/>
      <c r="R1625" s="260"/>
      <c r="S1625" s="258"/>
      <c r="T1625" s="258"/>
      <c r="U1625" s="38"/>
      <c r="V1625" s="261"/>
      <c r="W1625" s="256"/>
      <c r="X1625" s="256"/>
      <c r="Y1625" s="256"/>
      <c r="Z1625" s="256"/>
      <c r="AA1625" s="54"/>
      <c r="AB1625" s="200"/>
      <c r="AC1625" s="31"/>
      <c r="AD1625" s="184"/>
      <c r="AE1625" s="51"/>
      <c r="AF1625" s="52"/>
      <c r="AG1625" s="41"/>
      <c r="AH1625" s="45"/>
      <c r="AI1625" s="28"/>
      <c r="AJ1625" s="28"/>
      <c r="AK1625" s="28"/>
      <c r="AL1625" s="28"/>
      <c r="AM1625" s="12"/>
      <c r="AN1625" s="12"/>
      <c r="AO1625" s="12"/>
      <c r="AP1625" s="12"/>
      <c r="AQ1625" s="12"/>
      <c r="AR1625" s="13"/>
      <c r="AS1625" s="14"/>
    </row>
    <row r="1626" spans="1:45" s="16" customFormat="1" ht="30.75" hidden="1" customHeight="1" x14ac:dyDescent="0.2">
      <c r="A1626" s="35" t="s">
        <v>1977</v>
      </c>
      <c r="B1626" s="36" t="s">
        <v>1978</v>
      </c>
      <c r="C1626" s="43"/>
      <c r="D1626" s="29">
        <v>3741623</v>
      </c>
      <c r="E1626" s="29">
        <v>4162215</v>
      </c>
      <c r="F1626" s="255" t="str">
        <f>IF(D1626="","",VLOOKUP(D1626,契約台帳!$A$3:$K$4986,6,FALSE)&amp;VLOOKUP(D1626,契約台帳!$A$3:$K$4986,7,FALSE)&amp;VLOOKUP(D1626,契約台帳!$A$3:$K$4986,8,FALSE)&amp;VLOOKUP(D1626,契約台帳!$A$3:$K$4986,9,FALSE)&amp;VLOOKUP(D1626,契約台帳!$A$3:$K$4986,11,FALSE))</f>
        <v>3TNMCLBHLGTV</v>
      </c>
      <c r="G1626" s="256" t="str">
        <f>IF(D1626="","",VLOOKUP(F1626,製品マスタ!$G$5:$H$4999,2,FALSE))</f>
        <v>T</v>
      </c>
      <c r="H1626" s="256" t="str">
        <f>IF(D1626="","",VLOOKUP(F1626,製品マスタ!$G$5:$K$4999,5,FALSE))</f>
        <v>HLGTV</v>
      </c>
      <c r="I1626" s="200" t="str">
        <f>IF(D1626="","",VLOOKUP(F1626,製品マスタ!$G$5:$L$4999,6,FALSE))</f>
        <v>メタルミー　ヘヤライン　銀艶Ｖ</v>
      </c>
      <c r="J1626" s="203" t="s">
        <v>935</v>
      </c>
      <c r="K1626" s="200">
        <f>IF(D1626="","",VLOOKUP(D1626,契約台帳!$A$3:$L$4986,12,FALSE))</f>
        <v>50</v>
      </c>
      <c r="L1626" s="200" t="str">
        <f>IF(D1626="","",INDEX(製品マスタ!$Q$5:$Q$4999,MATCH('S4'!F1626&amp;'S4'!K1626,製品マスタ!$AO$5:$AO$4999,0)))</f>
        <v>BRIGHT</v>
      </c>
      <c r="M1626" s="37">
        <v>1005</v>
      </c>
      <c r="N1626" s="37">
        <v>4100</v>
      </c>
      <c r="O1626" s="153">
        <v>9</v>
      </c>
      <c r="P1626" s="45">
        <v>3</v>
      </c>
      <c r="Q1626" s="206">
        <v>45341</v>
      </c>
      <c r="R1626" s="257">
        <f ca="1">IF(D1626="","",IF(OFFSET(D1626,-1,0)&lt;&gt;"","",IF(OR(J1626="リード付け",J1626="巻足し",J1626="巻返しリード付け"),M1626,VLOOKUP(D1626,契約台帳!$A$3:$N$4986,14,FALSE))))</f>
        <v>1005</v>
      </c>
      <c r="S1626" s="258">
        <f ca="1">IF(D1626="","",IF(OFFSET(D1626,-1,0)&lt;&gt;"","",IF(OR(J1626="リード付け",J1626="巻足し",J1626="巻返しリード付け"),M1626,VLOOKUP(D1626,契約台帳!$A$3:$O$4986,15,FALSE))))</f>
        <v>1005</v>
      </c>
      <c r="T1626" s="258">
        <f ca="1">IF(D1626="","",IF(J1626="リード付け",N1626,IF(J1626="巻返しリード付け",N1626,IF(J1626="巻足し",N1626*P1626+OFFSET(N1626,1,0)*OFFSET(P1626,1,0),VLOOKUP(D1626,契約台帳!$A$3:$P$4986,16,FALSE)))))</f>
        <v>12300</v>
      </c>
      <c r="U1626" s="38">
        <v>3</v>
      </c>
      <c r="V1626" s="259">
        <f ca="1">IF(D1626="","",IF(OFFSET(D1626,-2,0)=D1626,"",VLOOKUP(D1626,契約台帳!$A$3:$R$4986,18,FALSE)))</f>
        <v>9</v>
      </c>
      <c r="W1626" s="256" t="str">
        <f ca="1">IF(D1626="","",IF(T1626="","",IF(OR(J1626="巻足し",J1626="巻返しリード付け"),"",IF(J1626="巻返し",VLOOKUP(F1626&amp;K1626&amp;M1626,製品マスタ!$M$5:$AD$4999,18,FALSE),IF(OR(J1626="リード付け",J1626="巻返しリード付け"),"原反コア",IF(J1626="スリット",VLOOKUP(F1626&amp;K1626&amp;R1626,製品マスタ!$N$5:$AD$4999,17,FALSE),""))))))</f>
        <v/>
      </c>
      <c r="X1626" s="256" t="str">
        <f ca="1">IF(D1626="","",IF(T1626="","",IF(J1626="巻足し","",IF(J1626="巻返し",VLOOKUP(F1626&amp;K1626&amp;M1626,製品マスタ!$M$5:$AE$4999,19,FALSE),IF(OR(J1626="リード付け",J1626="巻返しリード付け"),"",IF(J1626="スリット",VLOOKUP(F1626&amp;K1626&amp;R1626,製品マスタ!$N$5:$AE$4999,18,FALSE),""))))))</f>
        <v/>
      </c>
      <c r="Y1626" s="256">
        <f ca="1">IF(D1626="","",IF(T1626="","",VLOOKUP(D1626,契約台帳!$A$3:$Q$4986,17,FALSE)))</f>
        <v>2</v>
      </c>
      <c r="Z1626" s="256" t="str">
        <f ca="1">IF(D1626="","",IF(T1626="","",VLOOKUP(D1626,契約台帳!$A$3:$E$4986,5,FALSE)))</f>
        <v>リンテック㈱</v>
      </c>
      <c r="AA1626" s="54"/>
      <c r="AB1626" s="200" t="s">
        <v>774</v>
      </c>
      <c r="AC1626" s="31"/>
      <c r="AD1626" s="184"/>
      <c r="AE1626" s="51"/>
      <c r="AF1626" s="52">
        <f>+M1626*N1626*O1626/1000</f>
        <v>37084.5</v>
      </c>
      <c r="AG1626" s="41"/>
      <c r="AH1626" s="45"/>
      <c r="AI1626" s="28"/>
      <c r="AJ1626" s="28"/>
      <c r="AK1626" s="28"/>
      <c r="AL1626" s="28"/>
      <c r="AM1626" s="12"/>
      <c r="AN1626" s="12"/>
      <c r="AO1626" s="12"/>
      <c r="AP1626" s="12"/>
      <c r="AQ1626" s="12"/>
      <c r="AR1626" s="13"/>
      <c r="AS1626" s="14"/>
    </row>
    <row r="1627" spans="1:45" s="16" customFormat="1" ht="30.95" hidden="1" customHeight="1" x14ac:dyDescent="0.2">
      <c r="A1627" s="35"/>
      <c r="B1627" s="36"/>
      <c r="C1627" s="43"/>
      <c r="D1627" s="29"/>
      <c r="E1627" s="29"/>
      <c r="F1627" s="255"/>
      <c r="G1627" s="256"/>
      <c r="H1627" s="256"/>
      <c r="I1627" s="200"/>
      <c r="J1627" s="203"/>
      <c r="K1627" s="200"/>
      <c r="L1627" s="200"/>
      <c r="M1627" s="37"/>
      <c r="N1627" s="37"/>
      <c r="O1627" s="153"/>
      <c r="P1627" s="45"/>
      <c r="Q1627" s="54"/>
      <c r="R1627" s="260"/>
      <c r="S1627" s="258"/>
      <c r="T1627" s="258"/>
      <c r="U1627" s="38"/>
      <c r="V1627" s="261"/>
      <c r="W1627" s="256"/>
      <c r="X1627" s="256"/>
      <c r="Y1627" s="256"/>
      <c r="Z1627" s="256"/>
      <c r="AA1627" s="54"/>
      <c r="AB1627" s="200"/>
      <c r="AC1627" s="31"/>
      <c r="AD1627" s="184"/>
      <c r="AE1627" s="51"/>
      <c r="AF1627" s="52"/>
      <c r="AG1627" s="41"/>
      <c r="AH1627" s="45"/>
      <c r="AI1627" s="28"/>
      <c r="AJ1627" s="28"/>
      <c r="AK1627" s="28"/>
      <c r="AL1627" s="28"/>
      <c r="AM1627" s="12"/>
      <c r="AN1627" s="12"/>
      <c r="AO1627" s="12"/>
      <c r="AP1627" s="12"/>
      <c r="AQ1627" s="12"/>
      <c r="AR1627" s="13"/>
      <c r="AS1627" s="14"/>
    </row>
    <row r="1628" spans="1:45" s="16" customFormat="1" ht="30.95" hidden="1" customHeight="1" x14ac:dyDescent="0.2">
      <c r="A1628" s="35"/>
      <c r="B1628" s="36"/>
      <c r="C1628" s="43"/>
      <c r="D1628" s="29">
        <v>3741604</v>
      </c>
      <c r="E1628" s="29">
        <v>4162200</v>
      </c>
      <c r="F1628" s="255" t="str">
        <f>IF(D1628="","",VLOOKUP(D1628,契約台帳!$A$3:$K$4986,6,FALSE)&amp;VLOOKUP(D1628,契約台帳!$A$3:$K$4986,7,FALSE)&amp;VLOOKUP(D1628,契約台帳!$A$3:$K$4986,8,FALSE)&amp;VLOOKUP(D1628,契約台帳!$A$3:$K$4986,9,FALSE)&amp;VLOOKUP(D1628,契約台帳!$A$3:$K$4986,11,FALSE))</f>
        <v>3SNMLBMNGKKBF</v>
      </c>
      <c r="G1628" s="256" t="str">
        <f>IF(D1628="","",VLOOKUP(F1628,製品マスタ!$G$5:$H$4999,2,FALSE))</f>
        <v>S</v>
      </c>
      <c r="H1628" s="256" t="str">
        <f>IF(D1628="","",VLOOKUP(F1628,製品マスタ!$G$5:$K$4999,5,FALSE))</f>
        <v>MNGKKBF</v>
      </c>
      <c r="I1628" s="200" t="str">
        <f>IF(D1628="","",VLOOKUP(F1628,製品マスタ!$G$5:$L$4999,6,FALSE))</f>
        <v>メタルミー　ネーマー銀消改　Ｂ</v>
      </c>
      <c r="J1628" s="203" t="s">
        <v>935</v>
      </c>
      <c r="K1628" s="200">
        <f>IF(D1628="","",VLOOKUP(D1628,契約台帳!$A$3:$L$4986,12,FALSE))</f>
        <v>50</v>
      </c>
      <c r="L1628" s="200" t="str">
        <f>IF(D1628="","",INDEX(製品マスタ!$Q$5:$Q$4999,MATCH('S4'!F1628&amp;'S4'!K1628,製品マスタ!$AO$5:$AO$4999,0)))</f>
        <v>S99-MAT</v>
      </c>
      <c r="M1628" s="37">
        <v>1120</v>
      </c>
      <c r="N1628" s="37">
        <v>4000</v>
      </c>
      <c r="O1628" s="153">
        <v>15</v>
      </c>
      <c r="P1628" s="45">
        <v>3</v>
      </c>
      <c r="Q1628" s="206">
        <v>45344</v>
      </c>
      <c r="R1628" s="257">
        <f ca="1">IF(D1628="","",IF(OFFSET(D1628,-1,0)&lt;&gt;"","",IF(OR(J1628="リード付け",J1628="巻足し",J1628="巻返しリード付け"),M1628,VLOOKUP(D1628,契約台帳!$A$3:$N$4986,14,FALSE))))</f>
        <v>1120</v>
      </c>
      <c r="S1628" s="258">
        <f ca="1">IF(D1628="","",IF(OFFSET(D1628,-1,0)&lt;&gt;"","",IF(OR(J1628="リード付け",J1628="巻足し",J1628="巻返しリード付け"),M1628,VLOOKUP(D1628,契約台帳!$A$3:$O$4986,15,FALSE))))</f>
        <v>1120</v>
      </c>
      <c r="T1628" s="258">
        <f ca="1">IF(D1628="","",IF(J1628="リード付け",N1628,IF(J1628="巻返しリード付け",N1628,IF(J1628="巻足し",N1628*P1628+OFFSET(N1628,1,0)*OFFSET(P1628,1,0),VLOOKUP(D1628,契約台帳!$A$3:$P$4986,16,FALSE)))))</f>
        <v>12000</v>
      </c>
      <c r="U1628" s="38">
        <v>5</v>
      </c>
      <c r="V1628" s="259">
        <f ca="1">IF(D1628="","",IF(OFFSET(D1628,-2,0)=D1628,"",VLOOKUP(D1628,契約台帳!$A$3:$R$4986,18,FALSE)))</f>
        <v>36</v>
      </c>
      <c r="W1628" s="256" t="str">
        <f ca="1">IF(D1628="","",IF(T1628="","",IF(OR(J1628="巻足し",J1628="巻返しリード付け"),"",IF(J1628="巻返し",VLOOKUP(F1628&amp;K1628&amp;M1628,製品マスタ!$M$5:$AD$4999,18,FALSE),IF(OR(J1628="リード付け",J1628="巻返しリード付け"),"原反コア",IF(J1628="スリット",VLOOKUP(F1628&amp;K1628&amp;R1628,製品マスタ!$N$5:$AD$4999,17,FALSE),""))))))</f>
        <v/>
      </c>
      <c r="X1628" s="256" t="str">
        <f ca="1">IF(D1628="","",IF(T1628="","",IF(J1628="巻足し","",IF(J1628="巻返し",VLOOKUP(F1628&amp;K1628&amp;M1628,製品マスタ!$M$5:$AE$4999,19,FALSE),IF(OR(J1628="リード付け",J1628="巻返しリード付け"),"",IF(J1628="スリット",VLOOKUP(F1628&amp;K1628&amp;R1628,製品マスタ!$N$5:$AE$4999,18,FALSE),""))))))</f>
        <v/>
      </c>
      <c r="Y1628" s="256">
        <f ca="1">IF(D1628="","",IF(T1628="","",VLOOKUP(D1628,契約台帳!$A$3:$Q$4986,17,FALSE)))</f>
        <v>2</v>
      </c>
      <c r="Z1628" s="256" t="str">
        <f ca="1">IF(D1628="","",IF(T1628="","",VLOOKUP(D1628,契約台帳!$A$3:$E$4986,5,FALSE)))</f>
        <v>リンテック㈱</v>
      </c>
      <c r="AA1628" s="54"/>
      <c r="AB1628" s="200">
        <f>IFERROR((VLOOKUP(F1628&amp;K1628&amp;M1628,製品マスタ!$M$5:$AM$4999,27,FALSE)),"")</f>
        <v>0</v>
      </c>
      <c r="AC1628" s="31"/>
      <c r="AD1628" s="184"/>
      <c r="AE1628" s="51"/>
      <c r="AF1628" s="52">
        <f>+M1628*N1628*O1628/1000</f>
        <v>67200</v>
      </c>
      <c r="AG1628" s="41"/>
      <c r="AH1628" s="45"/>
      <c r="AI1628" s="28"/>
      <c r="AJ1628" s="28"/>
      <c r="AK1628" s="28"/>
      <c r="AL1628" s="28"/>
      <c r="AM1628" s="12"/>
      <c r="AN1628" s="12"/>
      <c r="AO1628" s="12"/>
      <c r="AP1628" s="12"/>
      <c r="AQ1628" s="12"/>
      <c r="AR1628" s="13"/>
      <c r="AS1628" s="14"/>
    </row>
    <row r="1629" spans="1:45" s="16" customFormat="1" ht="30.95" hidden="1" customHeight="1" x14ac:dyDescent="0.2">
      <c r="A1629" s="35"/>
      <c r="B1629" s="36"/>
      <c r="C1629" s="43"/>
      <c r="D1629" s="29"/>
      <c r="E1629" s="29"/>
      <c r="F1629" s="255"/>
      <c r="G1629" s="256"/>
      <c r="H1629" s="256"/>
      <c r="I1629" s="200"/>
      <c r="J1629" s="203"/>
      <c r="K1629" s="200"/>
      <c r="L1629" s="200"/>
      <c r="M1629" s="37"/>
      <c r="N1629" s="37"/>
      <c r="O1629" s="153"/>
      <c r="P1629" s="45"/>
      <c r="Q1629" s="54"/>
      <c r="R1629" s="260"/>
      <c r="S1629" s="258"/>
      <c r="T1629" s="258"/>
      <c r="U1629" s="38"/>
      <c r="V1629" s="261"/>
      <c r="W1629" s="256"/>
      <c r="X1629" s="256"/>
      <c r="Y1629" s="256"/>
      <c r="Z1629" s="256"/>
      <c r="AA1629" s="54"/>
      <c r="AB1629" s="200"/>
      <c r="AC1629" s="31"/>
      <c r="AD1629" s="184"/>
      <c r="AE1629" s="51"/>
      <c r="AF1629" s="52"/>
      <c r="AG1629" s="41"/>
      <c r="AH1629" s="45"/>
      <c r="AI1629" s="28"/>
      <c r="AJ1629" s="28"/>
      <c r="AK1629" s="28"/>
      <c r="AL1629" s="28"/>
      <c r="AM1629" s="12"/>
      <c r="AN1629" s="12"/>
      <c r="AO1629" s="12"/>
      <c r="AP1629" s="12"/>
      <c r="AQ1629" s="12"/>
      <c r="AR1629" s="13"/>
      <c r="AS1629" s="14"/>
    </row>
    <row r="1630" spans="1:45" s="16" customFormat="1" ht="30.95" hidden="1" customHeight="1" x14ac:dyDescent="0.2">
      <c r="A1630" s="35" t="s">
        <v>1979</v>
      </c>
      <c r="B1630" s="36" t="s">
        <v>1980</v>
      </c>
      <c r="C1630" s="43"/>
      <c r="D1630" s="29">
        <v>3741604</v>
      </c>
      <c r="E1630" s="29">
        <v>4162200</v>
      </c>
      <c r="F1630" s="255" t="str">
        <f>IF(D1630="","",VLOOKUP(D1630,契約台帳!$A$3:$K$4986,6,FALSE)&amp;VLOOKUP(D1630,契約台帳!$A$3:$K$4986,7,FALSE)&amp;VLOOKUP(D1630,契約台帳!$A$3:$K$4986,8,FALSE)&amp;VLOOKUP(D1630,契約台帳!$A$3:$K$4986,9,FALSE)&amp;VLOOKUP(D1630,契約台帳!$A$3:$K$4986,11,FALSE))</f>
        <v>3SNMLBMNGKKBF</v>
      </c>
      <c r="G1630" s="256" t="str">
        <f>IF(D1630="","",VLOOKUP(F1630,製品マスタ!$G$5:$H$4999,2,FALSE))</f>
        <v>S</v>
      </c>
      <c r="H1630" s="256" t="str">
        <f>IF(D1630="","",VLOOKUP(F1630,製品マスタ!$G$5:$K$4999,5,FALSE))</f>
        <v>MNGKKBF</v>
      </c>
      <c r="I1630" s="200" t="str">
        <f>IF(D1630="","",VLOOKUP(F1630,製品マスタ!$G$5:$L$4999,6,FALSE))</f>
        <v>メタルミー　ネーマー銀消改　Ｂ</v>
      </c>
      <c r="J1630" s="203" t="s">
        <v>935</v>
      </c>
      <c r="K1630" s="200">
        <f>IF(D1630="","",VLOOKUP(D1630,契約台帳!$A$3:$L$4986,12,FALSE))</f>
        <v>50</v>
      </c>
      <c r="L1630" s="200" t="str">
        <f>IF(D1630="","",INDEX(製品マスタ!$Q$5:$Q$4999,MATCH('S4'!F1630&amp;'S4'!K1630,製品マスタ!$AO$5:$AO$4999,0)))</f>
        <v>S99-MAT</v>
      </c>
      <c r="M1630" s="37">
        <v>1120</v>
      </c>
      <c r="N1630" s="37">
        <v>4000</v>
      </c>
      <c r="O1630" s="153">
        <v>21</v>
      </c>
      <c r="P1630" s="45">
        <v>3</v>
      </c>
      <c r="Q1630" s="206">
        <v>45344</v>
      </c>
      <c r="R1630" s="257">
        <f ca="1">IF(D1630="","",IF(OFFSET(D1630,-1,0)&lt;&gt;"","",IF(OR(J1630="リード付け",J1630="巻足し",J1630="巻返しリード付け"),M1630,VLOOKUP(D1630,契約台帳!$A$3:$N$4986,14,FALSE))))</f>
        <v>1120</v>
      </c>
      <c r="S1630" s="258">
        <f ca="1">IF(D1630="","",IF(OFFSET(D1630,-1,0)&lt;&gt;"","",IF(OR(J1630="リード付け",J1630="巻足し",J1630="巻返しリード付け"),M1630,VLOOKUP(D1630,契約台帳!$A$3:$O$4986,15,FALSE))))</f>
        <v>1120</v>
      </c>
      <c r="T1630" s="258">
        <f ca="1">IF(D1630="","",IF(J1630="リード付け",N1630,IF(J1630="巻返しリード付け",N1630,IF(J1630="巻足し",N1630*P1630+OFFSET(N1630,1,0)*OFFSET(P1630,1,0),VLOOKUP(D1630,契約台帳!$A$3:$P$4986,16,FALSE)))))</f>
        <v>12000</v>
      </c>
      <c r="U1630" s="38">
        <v>7</v>
      </c>
      <c r="V1630" s="259" t="str">
        <f ca="1">IF(D1630="","",IF(OFFSET(D1630,-2,0)=D1630,"",VLOOKUP(D1630,契約台帳!$A$3:$R$4986,18,FALSE)))</f>
        <v/>
      </c>
      <c r="W1630" s="256" t="str">
        <f ca="1">IF(D1630="","",IF(T1630="","",IF(OR(J1630="巻足し",J1630="巻返しリード付け"),"",IF(J1630="巻返し",VLOOKUP(F1630&amp;K1630&amp;M1630,製品マスタ!$M$5:$AD$4999,18,FALSE),IF(OR(J1630="リード付け",J1630="巻返しリード付け"),"原反コア",IF(J1630="スリット",VLOOKUP(F1630&amp;K1630&amp;R1630,製品マスタ!$N$5:$AD$4999,17,FALSE),""))))))</f>
        <v/>
      </c>
      <c r="X1630" s="256" t="str">
        <f ca="1">IF(D1630="","",IF(T1630="","",IF(J1630="巻足し","",IF(J1630="巻返し",VLOOKUP(F1630&amp;K1630&amp;M1630,製品マスタ!$M$5:$AE$4999,19,FALSE),IF(OR(J1630="リード付け",J1630="巻返しリード付け"),"",IF(J1630="スリット",VLOOKUP(F1630&amp;K1630&amp;R1630,製品マスタ!$N$5:$AE$4999,18,FALSE),""))))))</f>
        <v/>
      </c>
      <c r="Y1630" s="256">
        <f ca="1">IF(D1630="","",IF(T1630="","",VLOOKUP(D1630,契約台帳!$A$3:$Q$4986,17,FALSE)))</f>
        <v>2</v>
      </c>
      <c r="Z1630" s="256" t="str">
        <f ca="1">IF(D1630="","",IF(T1630="","",VLOOKUP(D1630,契約台帳!$A$3:$E$4986,5,FALSE)))</f>
        <v>リンテック㈱</v>
      </c>
      <c r="AA1630" s="54"/>
      <c r="AB1630" s="200">
        <f>IFERROR((VLOOKUP(F1630&amp;K1630&amp;M1630,製品マスタ!$M$5:$AM$4999,27,FALSE)),"")</f>
        <v>0</v>
      </c>
      <c r="AC1630" s="31"/>
      <c r="AD1630" s="184"/>
      <c r="AE1630" s="51"/>
      <c r="AF1630" s="52">
        <f>+M1630*N1630*O1630/1000</f>
        <v>94080</v>
      </c>
      <c r="AG1630" s="41"/>
      <c r="AH1630" s="45"/>
      <c r="AI1630" s="28"/>
      <c r="AJ1630" s="28"/>
      <c r="AK1630" s="28"/>
      <c r="AL1630" s="28"/>
      <c r="AM1630" s="12"/>
      <c r="AN1630" s="12"/>
      <c r="AO1630" s="12"/>
      <c r="AP1630" s="12"/>
      <c r="AQ1630" s="12"/>
      <c r="AR1630" s="13"/>
      <c r="AS1630" s="14"/>
    </row>
    <row r="1631" spans="1:45" s="16" customFormat="1" ht="30.95" hidden="1" customHeight="1" x14ac:dyDescent="0.2">
      <c r="A1631" s="35"/>
      <c r="B1631" s="36"/>
      <c r="C1631" s="43"/>
      <c r="D1631" s="29"/>
      <c r="E1631" s="29"/>
      <c r="F1631" s="255"/>
      <c r="G1631" s="256"/>
      <c r="H1631" s="256"/>
      <c r="I1631" s="200"/>
      <c r="J1631" s="203"/>
      <c r="K1631" s="200"/>
      <c r="L1631" s="200"/>
      <c r="M1631" s="37"/>
      <c r="N1631" s="37"/>
      <c r="O1631" s="153"/>
      <c r="P1631" s="45"/>
      <c r="Q1631" s="54"/>
      <c r="R1631" s="260"/>
      <c r="S1631" s="258"/>
      <c r="T1631" s="258"/>
      <c r="U1631" s="38"/>
      <c r="V1631" s="261"/>
      <c r="W1631" s="256"/>
      <c r="X1631" s="256"/>
      <c r="Y1631" s="256"/>
      <c r="Z1631" s="256"/>
      <c r="AA1631" s="54"/>
      <c r="AB1631" s="200"/>
      <c r="AC1631" s="31"/>
      <c r="AD1631" s="184"/>
      <c r="AE1631" s="51"/>
      <c r="AF1631" s="52"/>
      <c r="AG1631" s="41"/>
      <c r="AH1631" s="45"/>
      <c r="AI1631" s="28"/>
      <c r="AJ1631" s="28"/>
      <c r="AK1631" s="28"/>
      <c r="AL1631" s="28"/>
      <c r="AM1631" s="12"/>
      <c r="AN1631" s="12"/>
      <c r="AO1631" s="12"/>
      <c r="AP1631" s="12"/>
      <c r="AQ1631" s="12"/>
      <c r="AR1631" s="13"/>
      <c r="AS1631" s="14"/>
    </row>
    <row r="1632" spans="1:45" s="16" customFormat="1" ht="30.95" hidden="1" customHeight="1" x14ac:dyDescent="0.2">
      <c r="A1632" s="35" t="s">
        <v>1988</v>
      </c>
      <c r="B1632" s="36" t="s">
        <v>1981</v>
      </c>
      <c r="C1632" s="43"/>
      <c r="D1632" s="29"/>
      <c r="E1632" s="29"/>
      <c r="F1632" s="255"/>
      <c r="G1632" s="256"/>
      <c r="H1632" s="256"/>
      <c r="I1632" s="200"/>
      <c r="J1632" s="340" t="s">
        <v>1994</v>
      </c>
      <c r="K1632" s="200"/>
      <c r="L1632" s="200"/>
      <c r="M1632" s="37"/>
      <c r="N1632" s="37"/>
      <c r="O1632" s="153"/>
      <c r="P1632" s="45"/>
      <c r="Q1632" s="54"/>
      <c r="R1632" s="260"/>
      <c r="S1632" s="258"/>
      <c r="T1632" s="258"/>
      <c r="U1632" s="38"/>
      <c r="V1632" s="261"/>
      <c r="W1632" s="256"/>
      <c r="X1632" s="256"/>
      <c r="Y1632" s="256"/>
      <c r="Z1632" s="256"/>
      <c r="AA1632" s="54"/>
      <c r="AB1632" s="200"/>
      <c r="AC1632" s="31"/>
      <c r="AD1632" s="184"/>
      <c r="AE1632" s="51"/>
      <c r="AF1632" s="52"/>
      <c r="AG1632" s="41"/>
      <c r="AH1632" s="45"/>
      <c r="AI1632" s="28"/>
      <c r="AJ1632" s="28"/>
      <c r="AK1632" s="28"/>
      <c r="AL1632" s="28"/>
      <c r="AM1632" s="12"/>
      <c r="AN1632" s="12"/>
      <c r="AO1632" s="12"/>
      <c r="AP1632" s="12"/>
      <c r="AQ1632" s="12"/>
      <c r="AR1632" s="13"/>
      <c r="AS1632" s="14"/>
    </row>
    <row r="1633" spans="1:45" s="16" customFormat="1" ht="30.95" hidden="1" customHeight="1" x14ac:dyDescent="0.2">
      <c r="A1633" s="35"/>
      <c r="B1633" s="36"/>
      <c r="C1633" s="43"/>
      <c r="D1633" s="29"/>
      <c r="E1633" s="29"/>
      <c r="F1633" s="255"/>
      <c r="G1633" s="256"/>
      <c r="H1633" s="256"/>
      <c r="I1633" s="200"/>
      <c r="J1633" s="203"/>
      <c r="K1633" s="200"/>
      <c r="L1633" s="200"/>
      <c r="M1633" s="37"/>
      <c r="N1633" s="37"/>
      <c r="O1633" s="153"/>
      <c r="P1633" s="45"/>
      <c r="Q1633" s="54"/>
      <c r="R1633" s="260"/>
      <c r="S1633" s="258"/>
      <c r="T1633" s="258"/>
      <c r="U1633" s="38"/>
      <c r="V1633" s="261"/>
      <c r="W1633" s="256"/>
      <c r="X1633" s="256"/>
      <c r="Y1633" s="256"/>
      <c r="Z1633" s="256"/>
      <c r="AA1633" s="54"/>
      <c r="AB1633" s="200"/>
      <c r="AC1633" s="31"/>
      <c r="AD1633" s="184"/>
      <c r="AE1633" s="51"/>
      <c r="AF1633" s="52"/>
      <c r="AG1633" s="41"/>
      <c r="AH1633" s="45"/>
      <c r="AI1633" s="28"/>
      <c r="AJ1633" s="28"/>
      <c r="AK1633" s="28"/>
      <c r="AL1633" s="28"/>
      <c r="AM1633" s="12"/>
      <c r="AN1633" s="12"/>
      <c r="AO1633" s="12"/>
      <c r="AP1633" s="12"/>
      <c r="AQ1633" s="12"/>
      <c r="AR1633" s="13"/>
      <c r="AS1633" s="14"/>
    </row>
    <row r="1634" spans="1:45" s="16" customFormat="1" ht="30.95" hidden="1" customHeight="1" x14ac:dyDescent="0.2">
      <c r="A1634" s="35" t="s">
        <v>1975</v>
      </c>
      <c r="B1634" s="36" t="s">
        <v>1976</v>
      </c>
      <c r="C1634" s="43"/>
      <c r="D1634" s="29">
        <v>3741622</v>
      </c>
      <c r="E1634" s="29">
        <v>4162207</v>
      </c>
      <c r="F1634" s="255" t="str">
        <f>IF(D1634="","",VLOOKUP(D1634,契約台帳!$A$3:$K$4986,6,FALSE)&amp;VLOOKUP(D1634,契約台帳!$A$3:$K$4986,7,FALSE)&amp;VLOOKUP(D1634,契約台帳!$A$3:$K$4986,8,FALSE)&amp;VLOOKUP(D1634,契約台帳!$A$3:$K$4986,9,FALSE)&amp;VLOOKUP(D1634,契約台帳!$A$3:$K$4986,11,FALSE))</f>
        <v>3SNMLBMNQR66F</v>
      </c>
      <c r="G1634" s="256" t="str">
        <f>IF(D1634="","",VLOOKUP(F1634,製品マスタ!$G$5:$H$4999,2,FALSE))</f>
        <v>S</v>
      </c>
      <c r="H1634" s="256" t="str">
        <f>IF(D1634="","",VLOOKUP(F1634,製品マスタ!$G$5:$K$4999,5,FALSE))</f>
        <v>MNQR66F</v>
      </c>
      <c r="I1634" s="200" t="str">
        <f>IF(D1634="","",VLOOKUP(F1634,製品マスタ!$G$5:$L$4999,6,FALSE))</f>
        <v>ＱＲ６６蒸着品</v>
      </c>
      <c r="J1634" s="203" t="s">
        <v>935</v>
      </c>
      <c r="K1634" s="200">
        <f>IF(D1634="","",VLOOKUP(D1634,契約台帳!$A$3:$L$4986,12,FALSE))</f>
        <v>25</v>
      </c>
      <c r="L1634" s="200" t="str">
        <f>IF(D1634="","",INDEX(製品マスタ!$Q$5:$Q$4999,MATCH('S4'!F1634&amp;'S4'!K1634,製品マスタ!$AO$5:$AO$4999,0)))</f>
        <v>E315</v>
      </c>
      <c r="M1634" s="37">
        <v>1100</v>
      </c>
      <c r="N1634" s="37">
        <v>6000</v>
      </c>
      <c r="O1634" s="153">
        <v>18</v>
      </c>
      <c r="P1634" s="45">
        <v>3</v>
      </c>
      <c r="Q1634" s="206">
        <v>45348</v>
      </c>
      <c r="R1634" s="257">
        <f ca="1">IF(D1634="","",IF(OFFSET(D1634,-1,0)&lt;&gt;"","",IF(OR(J1634="リード付け",J1634="巻足し",J1634="巻返しリード付け"),M1634,VLOOKUP(D1634,契約台帳!$A$3:$N$4986,14,FALSE))))</f>
        <v>1100</v>
      </c>
      <c r="S1634" s="258">
        <f ca="1">IF(D1634="","",IF(OFFSET(D1634,-1,0)&lt;&gt;"","",IF(OR(J1634="リード付け",J1634="巻足し",J1634="巻返しリード付け"),M1634,VLOOKUP(D1634,契約台帳!$A$3:$O$4986,15,FALSE))))</f>
        <v>1100</v>
      </c>
      <c r="T1634" s="258">
        <f ca="1">IF(D1634="","",IF(J1634="リード付け",N1634,IF(J1634="巻返しリード付け",N1634,IF(J1634="巻足し",N1634*P1634+OFFSET(N1634,1,0)*OFFSET(P1634,1,0),VLOOKUP(D1634,契約台帳!$A$3:$P$4986,16,FALSE)))))</f>
        <v>18000</v>
      </c>
      <c r="U1634" s="38">
        <v>6</v>
      </c>
      <c r="V1634" s="259">
        <f ca="1">IF(D1634="","",IF(OFFSET(D1634,-2,0)=D1634,"",VLOOKUP(D1634,契約台帳!$A$3:$R$4986,18,FALSE)))</f>
        <v>20</v>
      </c>
      <c r="W1634" s="256" t="str">
        <f ca="1">IF(D1634="","",IF(T1634="","",IF(OR(J1634="巻足し",J1634="巻返しリード付け"),"",IF(J1634="巻返し",VLOOKUP(F1634&amp;K1634&amp;M1634,製品マスタ!$M$5:$AD$4999,18,FALSE),IF(OR(J1634="リード付け",J1634="巻返しリード付け"),"原反コア",IF(J1634="スリット",VLOOKUP(F1634&amp;K1634&amp;R1634,製品マスタ!$N$5:$AD$4999,17,FALSE),""))))))</f>
        <v/>
      </c>
      <c r="X1634" s="256" t="str">
        <f ca="1">IF(D1634="","",IF(T1634="","",IF(J1634="巻足し","",IF(J1634="巻返し",VLOOKUP(F1634&amp;K1634&amp;M1634,製品マスタ!$M$5:$AE$4999,19,FALSE),IF(OR(J1634="リード付け",J1634="巻返しリード付け"),"",IF(J1634="スリット",VLOOKUP(F1634&amp;K1634&amp;R1634,製品マスタ!$N$5:$AE$4999,18,FALSE),""))))))</f>
        <v/>
      </c>
      <c r="Y1634" s="256">
        <f ca="1">IF(D1634="","",IF(T1634="","",VLOOKUP(D1634,契約台帳!$A$3:$Q$4986,17,FALSE)))</f>
        <v>2</v>
      </c>
      <c r="Z1634" s="256" t="str">
        <f ca="1">IF(D1634="","",IF(T1634="","",VLOOKUP(D1634,契約台帳!$A$3:$E$4986,5,FALSE)))</f>
        <v>リンテック㈱</v>
      </c>
      <c r="AA1634" s="54"/>
      <c r="AB1634" s="200" t="str">
        <f>IFERROR((VLOOKUP(F1634&amp;K1634&amp;M1634,製品マスタ!$M$5:$AM$4999,27,FALSE)),"")</f>
        <v>原反ケース再利用</v>
      </c>
      <c r="AC1634" s="31"/>
      <c r="AD1634" s="184"/>
      <c r="AE1634" s="51"/>
      <c r="AF1634" s="52">
        <f>+M1634*N1634*O1634/1000</f>
        <v>118800</v>
      </c>
      <c r="AG1634" s="41"/>
      <c r="AH1634" s="45"/>
      <c r="AI1634" s="28"/>
      <c r="AJ1634" s="28"/>
      <c r="AK1634" s="28"/>
      <c r="AL1634" s="28"/>
      <c r="AM1634" s="12"/>
      <c r="AN1634" s="12"/>
      <c r="AO1634" s="12"/>
      <c r="AP1634" s="12"/>
      <c r="AQ1634" s="12"/>
      <c r="AR1634" s="13"/>
      <c r="AS1634" s="14"/>
    </row>
    <row r="1635" spans="1:45" s="16" customFormat="1" ht="30.95" hidden="1" customHeight="1" x14ac:dyDescent="0.2">
      <c r="A1635" s="35"/>
      <c r="B1635" s="36"/>
      <c r="C1635" s="43"/>
      <c r="D1635" s="29"/>
      <c r="E1635" s="29"/>
      <c r="F1635" s="255"/>
      <c r="G1635" s="256"/>
      <c r="H1635" s="256"/>
      <c r="I1635" s="200"/>
      <c r="J1635" s="203"/>
      <c r="K1635" s="200"/>
      <c r="L1635" s="200"/>
      <c r="M1635" s="37"/>
      <c r="N1635" s="37"/>
      <c r="O1635" s="153"/>
      <c r="P1635" s="45"/>
      <c r="Q1635" s="54"/>
      <c r="R1635" s="260"/>
      <c r="S1635" s="258"/>
      <c r="T1635" s="258"/>
      <c r="U1635" s="38"/>
      <c r="V1635" s="261"/>
      <c r="W1635" s="256"/>
      <c r="X1635" s="256"/>
      <c r="Y1635" s="256"/>
      <c r="Z1635" s="256"/>
      <c r="AA1635" s="54"/>
      <c r="AB1635" s="200"/>
      <c r="AC1635" s="31"/>
      <c r="AD1635" s="184"/>
      <c r="AE1635" s="51"/>
      <c r="AF1635" s="52"/>
      <c r="AG1635" s="41"/>
      <c r="AH1635" s="45"/>
      <c r="AI1635" s="28"/>
      <c r="AJ1635" s="28"/>
      <c r="AK1635" s="28"/>
      <c r="AL1635" s="28"/>
      <c r="AM1635" s="12"/>
      <c r="AN1635" s="12"/>
      <c r="AO1635" s="12"/>
      <c r="AP1635" s="12"/>
      <c r="AQ1635" s="12"/>
      <c r="AR1635" s="13"/>
      <c r="AS1635" s="14"/>
    </row>
    <row r="1636" spans="1:45" s="16" customFormat="1" ht="30.95" hidden="1" customHeight="1" x14ac:dyDescent="0.2">
      <c r="A1636" s="35"/>
      <c r="B1636" s="36"/>
      <c r="C1636" s="43"/>
      <c r="D1636" s="29">
        <v>3741622</v>
      </c>
      <c r="E1636" s="29">
        <v>4162207</v>
      </c>
      <c r="F1636" s="255" t="str">
        <f>IF(D1636="","",VLOOKUP(D1636,契約台帳!$A$3:$K$4986,6,FALSE)&amp;VLOOKUP(D1636,契約台帳!$A$3:$K$4986,7,FALSE)&amp;VLOOKUP(D1636,契約台帳!$A$3:$K$4986,8,FALSE)&amp;VLOOKUP(D1636,契約台帳!$A$3:$K$4986,9,FALSE)&amp;VLOOKUP(D1636,契約台帳!$A$3:$K$4986,11,FALSE))</f>
        <v>3SNMLBMNQR66F</v>
      </c>
      <c r="G1636" s="256" t="str">
        <f>IF(D1636="","",VLOOKUP(F1636,製品マスタ!$G$5:$H$4999,2,FALSE))</f>
        <v>S</v>
      </c>
      <c r="H1636" s="256" t="str">
        <f>IF(D1636="","",VLOOKUP(F1636,製品マスタ!$G$5:$K$4999,5,FALSE))</f>
        <v>MNQR66F</v>
      </c>
      <c r="I1636" s="200" t="str">
        <f>IF(D1636="","",VLOOKUP(F1636,製品マスタ!$G$5:$L$4999,6,FALSE))</f>
        <v>ＱＲ６６蒸着品</v>
      </c>
      <c r="J1636" s="203" t="s">
        <v>935</v>
      </c>
      <c r="K1636" s="200">
        <f>IF(D1636="","",VLOOKUP(D1636,契約台帳!$A$3:$L$4986,12,FALSE))</f>
        <v>25</v>
      </c>
      <c r="L1636" s="200" t="str">
        <f>IF(D1636="","",INDEX(製品マスタ!$Q$5:$Q$4999,MATCH('S4'!F1636&amp;'S4'!K1636,製品マスタ!$AO$5:$AO$4999,0)))</f>
        <v>E315</v>
      </c>
      <c r="M1636" s="37">
        <v>1100</v>
      </c>
      <c r="N1636" s="37">
        <v>6000</v>
      </c>
      <c r="O1636" s="153">
        <v>2</v>
      </c>
      <c r="P1636" s="45">
        <v>2</v>
      </c>
      <c r="Q1636" s="206">
        <v>45348</v>
      </c>
      <c r="R1636" s="257">
        <f ca="1">IF(D1636="","",IF(OFFSET(D1636,-1,0)&lt;&gt;"","",IF(OR(J1636="リード付け",J1636="巻足し",J1636="巻返しリード付け"),M1636,VLOOKUP(D1636,契約台帳!$A$3:$N$4986,14,FALSE))))</f>
        <v>1100</v>
      </c>
      <c r="S1636" s="258">
        <f ca="1">IF(D1636="","",IF(OFFSET(D1636,-1,0)&lt;&gt;"","",IF(OR(J1636="リード付け",J1636="巻足し",J1636="巻返しリード付け"),M1636,VLOOKUP(D1636,契約台帳!$A$3:$O$4986,15,FALSE))))</f>
        <v>1100</v>
      </c>
      <c r="T1636" s="258">
        <f ca="1">IF(D1636="","",IF(J1636="リード付け",N1636,IF(J1636="巻返しリード付け",N1636,IF(J1636="巻足し",N1636*P1636+OFFSET(N1636,1,0)*OFFSET(P1636,1,0),VLOOKUP(D1636,契約台帳!$A$3:$P$4986,16,FALSE)))))</f>
        <v>12000</v>
      </c>
      <c r="U1636" s="38">
        <v>1</v>
      </c>
      <c r="V1636" s="259" t="str">
        <f ca="1">IF(D1636="","",IF(OFFSET(D1636,-2,0)=D1636,"",VLOOKUP(D1636,契約台帳!$A$3:$R$4986,18,FALSE)))</f>
        <v/>
      </c>
      <c r="W1636" s="256" t="str">
        <f ca="1">IF(D1636="","",IF(T1636="","",IF(OR(J1636="巻足し",J1636="巻返しリード付け"),"",IF(J1636="巻返し",VLOOKUP(F1636&amp;K1636&amp;M1636,製品マスタ!$M$5:$AD$4999,18,FALSE),IF(OR(J1636="リード付け",J1636="巻返しリード付け"),"原反コア",IF(J1636="スリット",VLOOKUP(F1636&amp;K1636&amp;R1636,製品マスタ!$N$5:$AD$4999,17,FALSE),""))))))</f>
        <v/>
      </c>
      <c r="X1636" s="256" t="str">
        <f ca="1">IF(D1636="","",IF(T1636="","",IF(J1636="巻足し","",IF(J1636="巻返し",VLOOKUP(F1636&amp;K1636&amp;M1636,製品マスタ!$M$5:$AE$4999,19,FALSE),IF(OR(J1636="リード付け",J1636="巻返しリード付け"),"",IF(J1636="スリット",VLOOKUP(F1636&amp;K1636&amp;R1636,製品マスタ!$N$5:$AE$4999,18,FALSE),""))))))</f>
        <v/>
      </c>
      <c r="Y1636" s="256">
        <f ca="1">IF(D1636="","",IF(T1636="","",VLOOKUP(D1636,契約台帳!$A$3:$Q$4986,17,FALSE)))</f>
        <v>2</v>
      </c>
      <c r="Z1636" s="256" t="str">
        <f ca="1">IF(D1636="","",IF(T1636="","",VLOOKUP(D1636,契約台帳!$A$3:$E$4986,5,FALSE)))</f>
        <v>リンテック㈱</v>
      </c>
      <c r="AA1636" s="54"/>
      <c r="AB1636" s="200" t="str">
        <f>IFERROR((VLOOKUP(F1636&amp;K1636&amp;M1636,製品マスタ!$M$5:$AM$4999,27,FALSE)),"")</f>
        <v>原反ケース再利用</v>
      </c>
      <c r="AC1636" s="31"/>
      <c r="AD1636" s="184"/>
      <c r="AE1636" s="51"/>
      <c r="AF1636" s="52">
        <f>+M1636*N1636*O1636/1000</f>
        <v>13200</v>
      </c>
      <c r="AG1636" s="41"/>
      <c r="AH1636" s="45"/>
      <c r="AI1636" s="28"/>
      <c r="AJ1636" s="28"/>
      <c r="AK1636" s="28"/>
      <c r="AL1636" s="28"/>
      <c r="AM1636" s="12"/>
      <c r="AN1636" s="12"/>
      <c r="AO1636" s="12"/>
      <c r="AP1636" s="12"/>
      <c r="AQ1636" s="12"/>
      <c r="AR1636" s="13"/>
      <c r="AS1636" s="14"/>
    </row>
    <row r="1637" spans="1:45" s="16" customFormat="1" ht="30.95" hidden="1" customHeight="1" x14ac:dyDescent="0.2">
      <c r="A1637" s="35"/>
      <c r="B1637" s="36"/>
      <c r="C1637" s="43"/>
      <c r="D1637" s="29"/>
      <c r="E1637" s="29"/>
      <c r="F1637" s="255"/>
      <c r="G1637" s="256"/>
      <c r="H1637" s="256"/>
      <c r="I1637" s="200"/>
      <c r="J1637" s="203"/>
      <c r="K1637" s="200"/>
      <c r="L1637" s="200"/>
      <c r="M1637" s="37"/>
      <c r="N1637" s="37"/>
      <c r="O1637" s="153"/>
      <c r="P1637" s="45"/>
      <c r="Q1637" s="54"/>
      <c r="R1637" s="260"/>
      <c r="S1637" s="258"/>
      <c r="T1637" s="258"/>
      <c r="U1637" s="38"/>
      <c r="V1637" s="261"/>
      <c r="W1637" s="256"/>
      <c r="X1637" s="256"/>
      <c r="Y1637" s="256"/>
      <c r="Z1637" s="256"/>
      <c r="AA1637" s="54"/>
      <c r="AB1637" s="200"/>
      <c r="AC1637" s="31"/>
      <c r="AD1637" s="184"/>
      <c r="AE1637" s="51"/>
      <c r="AF1637" s="52"/>
      <c r="AG1637" s="41"/>
      <c r="AH1637" s="45"/>
      <c r="AI1637" s="28"/>
      <c r="AJ1637" s="28"/>
      <c r="AK1637" s="28"/>
      <c r="AL1637" s="28"/>
      <c r="AM1637" s="12"/>
      <c r="AN1637" s="12"/>
      <c r="AO1637" s="12"/>
      <c r="AP1637" s="12"/>
      <c r="AQ1637" s="12"/>
      <c r="AR1637" s="13"/>
      <c r="AS1637" s="14"/>
    </row>
    <row r="1638" spans="1:45" s="16" customFormat="1" ht="30.95" hidden="1" customHeight="1" x14ac:dyDescent="0.2">
      <c r="A1638" s="35" t="s">
        <v>1989</v>
      </c>
      <c r="B1638" s="36" t="s">
        <v>1984</v>
      </c>
      <c r="C1638" s="43"/>
      <c r="D1638" s="29"/>
      <c r="E1638" s="29"/>
      <c r="F1638" s="255"/>
      <c r="G1638" s="256"/>
      <c r="H1638" s="256"/>
      <c r="I1638" s="200"/>
      <c r="J1638" s="203" t="s">
        <v>448</v>
      </c>
      <c r="K1638" s="200"/>
      <c r="L1638" s="200"/>
      <c r="M1638" s="37"/>
      <c r="N1638" s="37"/>
      <c r="O1638" s="153"/>
      <c r="P1638" s="45"/>
      <c r="Q1638" s="54"/>
      <c r="R1638" s="260"/>
      <c r="S1638" s="258"/>
      <c r="T1638" s="258"/>
      <c r="U1638" s="38"/>
      <c r="V1638" s="261"/>
      <c r="W1638" s="256"/>
      <c r="X1638" s="256"/>
      <c r="Y1638" s="256"/>
      <c r="Z1638" s="256"/>
      <c r="AA1638" s="54"/>
      <c r="AB1638" s="200"/>
      <c r="AC1638" s="31"/>
      <c r="AD1638" s="184"/>
      <c r="AE1638" s="51"/>
      <c r="AF1638" s="52"/>
      <c r="AG1638" s="41"/>
      <c r="AH1638" s="45"/>
      <c r="AI1638" s="28"/>
      <c r="AJ1638" s="28"/>
      <c r="AK1638" s="28"/>
      <c r="AL1638" s="28"/>
      <c r="AM1638" s="12"/>
      <c r="AN1638" s="12"/>
      <c r="AO1638" s="12"/>
      <c r="AP1638" s="12"/>
      <c r="AQ1638" s="12"/>
      <c r="AR1638" s="13"/>
      <c r="AS1638" s="14"/>
    </row>
    <row r="1639" spans="1:45" s="16" customFormat="1" ht="30.95" hidden="1" customHeight="1" x14ac:dyDescent="0.2">
      <c r="A1639" s="35"/>
      <c r="B1639" s="36"/>
      <c r="C1639" s="43"/>
      <c r="D1639" s="29"/>
      <c r="E1639" s="29"/>
      <c r="F1639" s="255"/>
      <c r="G1639" s="256"/>
      <c r="H1639" s="256"/>
      <c r="I1639" s="200"/>
      <c r="J1639" s="203"/>
      <c r="K1639" s="200"/>
      <c r="L1639" s="200"/>
      <c r="M1639" s="37"/>
      <c r="N1639" s="37"/>
      <c r="O1639" s="153"/>
      <c r="P1639" s="45"/>
      <c r="Q1639" s="54"/>
      <c r="R1639" s="260"/>
      <c r="S1639" s="258"/>
      <c r="T1639" s="258"/>
      <c r="U1639" s="38"/>
      <c r="V1639" s="261"/>
      <c r="W1639" s="256"/>
      <c r="X1639" s="256"/>
      <c r="Y1639" s="256"/>
      <c r="Z1639" s="256"/>
      <c r="AA1639" s="54"/>
      <c r="AB1639" s="200"/>
      <c r="AC1639" s="31"/>
      <c r="AD1639" s="184"/>
      <c r="AE1639" s="51"/>
      <c r="AF1639" s="52"/>
      <c r="AG1639" s="41"/>
      <c r="AH1639" s="45"/>
      <c r="AI1639" s="28"/>
      <c r="AJ1639" s="28"/>
      <c r="AK1639" s="28"/>
      <c r="AL1639" s="28"/>
      <c r="AM1639" s="12"/>
      <c r="AN1639" s="12"/>
      <c r="AO1639" s="12"/>
      <c r="AP1639" s="12"/>
      <c r="AQ1639" s="12"/>
      <c r="AR1639" s="13"/>
      <c r="AS1639" s="14"/>
    </row>
    <row r="1640" spans="1:45" s="16" customFormat="1" ht="30.95" hidden="1" customHeight="1" x14ac:dyDescent="0.2">
      <c r="A1640" s="35" t="s">
        <v>1990</v>
      </c>
      <c r="B1640" s="36" t="s">
        <v>1986</v>
      </c>
      <c r="C1640" s="43"/>
      <c r="D1640" s="29"/>
      <c r="E1640" s="29"/>
      <c r="F1640" s="255"/>
      <c r="G1640" s="256"/>
      <c r="H1640" s="256"/>
      <c r="I1640" s="200"/>
      <c r="J1640" s="203" t="s">
        <v>448</v>
      </c>
      <c r="K1640" s="200"/>
      <c r="L1640" s="200"/>
      <c r="M1640" s="37"/>
      <c r="N1640" s="37"/>
      <c r="O1640" s="153"/>
      <c r="P1640" s="45"/>
      <c r="Q1640" s="54"/>
      <c r="R1640" s="260"/>
      <c r="S1640" s="258"/>
      <c r="T1640" s="258"/>
      <c r="U1640" s="38"/>
      <c r="V1640" s="261"/>
      <c r="W1640" s="256"/>
      <c r="X1640" s="256"/>
      <c r="Y1640" s="256"/>
      <c r="Z1640" s="256"/>
      <c r="AA1640" s="54"/>
      <c r="AB1640" s="200"/>
      <c r="AC1640" s="31"/>
      <c r="AD1640" s="184"/>
      <c r="AE1640" s="51"/>
      <c r="AF1640" s="52"/>
      <c r="AG1640" s="41"/>
      <c r="AH1640" s="45"/>
      <c r="AI1640" s="28"/>
      <c r="AJ1640" s="28"/>
      <c r="AK1640" s="28"/>
      <c r="AL1640" s="28"/>
      <c r="AM1640" s="12"/>
      <c r="AN1640" s="12"/>
      <c r="AO1640" s="12"/>
      <c r="AP1640" s="12"/>
      <c r="AQ1640" s="12"/>
      <c r="AR1640" s="13"/>
      <c r="AS1640" s="14"/>
    </row>
    <row r="1641" spans="1:45" s="16" customFormat="1" ht="30.95" hidden="1" customHeight="1" x14ac:dyDescent="0.2">
      <c r="A1641" s="35"/>
      <c r="B1641" s="36"/>
      <c r="C1641" s="43"/>
      <c r="D1641" s="29"/>
      <c r="E1641" s="29"/>
      <c r="F1641" s="255"/>
      <c r="G1641" s="256"/>
      <c r="H1641" s="256"/>
      <c r="I1641" s="200"/>
      <c r="J1641" s="203"/>
      <c r="K1641" s="200"/>
      <c r="L1641" s="200"/>
      <c r="M1641" s="37"/>
      <c r="N1641" s="37"/>
      <c r="O1641" s="153"/>
      <c r="P1641" s="45"/>
      <c r="Q1641" s="54"/>
      <c r="R1641" s="260"/>
      <c r="S1641" s="258"/>
      <c r="T1641" s="258"/>
      <c r="U1641" s="38"/>
      <c r="V1641" s="261"/>
      <c r="W1641" s="256"/>
      <c r="X1641" s="256"/>
      <c r="Y1641" s="256"/>
      <c r="Z1641" s="256"/>
      <c r="AA1641" s="54"/>
      <c r="AB1641" s="200"/>
      <c r="AC1641" s="31"/>
      <c r="AD1641" s="184"/>
      <c r="AE1641" s="51"/>
      <c r="AF1641" s="52"/>
      <c r="AG1641" s="41"/>
      <c r="AH1641" s="45"/>
      <c r="AI1641" s="28"/>
      <c r="AJ1641" s="28"/>
      <c r="AK1641" s="28"/>
      <c r="AL1641" s="28"/>
      <c r="AM1641" s="12"/>
      <c r="AN1641" s="12"/>
      <c r="AO1641" s="12"/>
      <c r="AP1641" s="12"/>
      <c r="AQ1641" s="12"/>
      <c r="AR1641" s="13"/>
      <c r="AS1641" s="14"/>
    </row>
    <row r="1642" spans="1:45" s="16" customFormat="1" ht="30.95" hidden="1" customHeight="1" x14ac:dyDescent="0.2">
      <c r="A1642" s="35" t="s">
        <v>1991</v>
      </c>
      <c r="B1642" s="36" t="s">
        <v>1974</v>
      </c>
      <c r="C1642" s="43"/>
      <c r="D1642" s="29">
        <v>3741606</v>
      </c>
      <c r="E1642" s="29">
        <v>4162195</v>
      </c>
      <c r="F1642" s="255" t="str">
        <f>IF(D1642="","",VLOOKUP(D1642,契約台帳!$A$3:$K$4986,6,FALSE)&amp;VLOOKUP(D1642,契約台帳!$A$3:$K$4986,7,FALSE)&amp;VLOOKUP(D1642,契約台帳!$A$3:$K$4986,8,FALSE)&amp;VLOOKUP(D1642,契約台帳!$A$3:$K$4986,9,FALSE)&amp;VLOOKUP(D1642,契約台帳!$A$3:$K$4986,11,FALSE))</f>
        <v>3SNMLBMNGKBF</v>
      </c>
      <c r="G1642" s="256" t="str">
        <f>IF(D1642="","",VLOOKUP(F1642,製品マスタ!$G$5:$H$4999,2,FALSE))</f>
        <v>S</v>
      </c>
      <c r="H1642" s="256" t="str">
        <f>IF(D1642="","",VLOOKUP(F1642,製品マスタ!$G$5:$K$4999,5,FALSE))</f>
        <v>MNGKBF</v>
      </c>
      <c r="I1642" s="200" t="str">
        <f>IF(D1642="","",VLOOKUP(F1642,製品マスタ!$G$5:$L$4999,6,FALSE))</f>
        <v>メタルミー　ネーマー銀消　Ｂ</v>
      </c>
      <c r="J1642" s="203" t="s">
        <v>935</v>
      </c>
      <c r="K1642" s="200">
        <f>IF(D1642="","",VLOOKUP(D1642,契約台帳!$A$3:$L$4986,12,FALSE))</f>
        <v>50</v>
      </c>
      <c r="L1642" s="200" t="str">
        <f>IF(D1642="","",INDEX(製品マスタ!$Q$5:$Q$4999,MATCH('S4'!F1642&amp;'S4'!K1642,製品マスタ!$AO$5:$AO$4999,0)))</f>
        <v>MAT</v>
      </c>
      <c r="M1642" s="37">
        <v>1050</v>
      </c>
      <c r="N1642" s="37">
        <v>4100</v>
      </c>
      <c r="O1642" s="153">
        <v>6</v>
      </c>
      <c r="P1642" s="45">
        <v>3</v>
      </c>
      <c r="Q1642" s="206">
        <v>45348</v>
      </c>
      <c r="R1642" s="257">
        <f ca="1">IF(D1642="","",IF(OFFSET(D1642,-1,0)&lt;&gt;"","",IF(OR(J1642="リード付け",J1642="巻足し",J1642="巻返しリード付け"),M1642,VLOOKUP(D1642,契約台帳!$A$3:$N$4986,14,FALSE))))</f>
        <v>1050</v>
      </c>
      <c r="S1642" s="258">
        <f ca="1">IF(D1642="","",IF(OFFSET(D1642,-1,0)&lt;&gt;"","",IF(OR(J1642="リード付け",J1642="巻足し",J1642="巻返しリード付け"),M1642,VLOOKUP(D1642,契約台帳!$A$3:$O$4986,15,FALSE))))</f>
        <v>1050</v>
      </c>
      <c r="T1642" s="258">
        <f ca="1">IF(D1642="","",IF(J1642="リード付け",N1642,IF(J1642="巻返しリード付け",N1642,IF(J1642="巻足し",N1642*P1642+OFFSET(N1642,1,0)*OFFSET(P1642,1,0),VLOOKUP(D1642,契約台帳!$A$3:$P$4986,16,FALSE)))))</f>
        <v>12300</v>
      </c>
      <c r="U1642" s="38">
        <v>2</v>
      </c>
      <c r="V1642" s="259">
        <f ca="1">IF(D1642="","",IF(OFFSET(D1642,-2,0)=D1642,"",VLOOKUP(D1642,契約台帳!$A$3:$R$4986,18,FALSE)))</f>
        <v>6</v>
      </c>
      <c r="W1642" s="256" t="str">
        <f ca="1">IF(D1642="","",IF(T1642="","",IF(OR(J1642="巻足し",J1642="巻返しリード付け"),"",IF(J1642="巻返し",VLOOKUP(F1642&amp;K1642&amp;M1642,製品マスタ!$M$5:$AD$4999,18,FALSE),IF(OR(J1642="リード付け",J1642="巻返しリード付け"),"原反コア",IF(J1642="スリット",VLOOKUP(F1642&amp;K1642&amp;R1642,製品マスタ!$N$5:$AD$4999,17,FALSE),""))))))</f>
        <v/>
      </c>
      <c r="X1642" s="256" t="str">
        <f ca="1">IF(D1642="","",IF(T1642="","",IF(J1642="巻足し","",IF(J1642="巻返し",VLOOKUP(F1642&amp;K1642&amp;M1642,製品マスタ!$M$5:$AE$4999,19,FALSE),IF(OR(J1642="リード付け",J1642="巻返しリード付け"),"",IF(J1642="スリット",VLOOKUP(F1642&amp;K1642&amp;R1642,製品マスタ!$N$5:$AE$4999,18,FALSE),""))))))</f>
        <v/>
      </c>
      <c r="Y1642" s="256">
        <f ca="1">IF(D1642="","",IF(T1642="","",VLOOKUP(D1642,契約台帳!$A$3:$Q$4986,17,FALSE)))</f>
        <v>2</v>
      </c>
      <c r="Z1642" s="256" t="str">
        <f ca="1">IF(D1642="","",IF(T1642="","",VLOOKUP(D1642,契約台帳!$A$3:$E$4986,5,FALSE)))</f>
        <v>リンテック㈱</v>
      </c>
      <c r="AA1642" s="54"/>
      <c r="AB1642" s="200">
        <f>IFERROR((VLOOKUP(F1642&amp;K1642&amp;M1642,製品マスタ!$M$5:$AM$4999,27,FALSE)),"")</f>
        <v>0</v>
      </c>
      <c r="AC1642" s="31"/>
      <c r="AD1642" s="184"/>
      <c r="AE1642" s="51"/>
      <c r="AF1642" s="52">
        <f>+M1642*N1642*O1642/1000</f>
        <v>25830</v>
      </c>
      <c r="AG1642" s="41"/>
      <c r="AH1642" s="45"/>
      <c r="AI1642" s="28"/>
      <c r="AJ1642" s="28"/>
      <c r="AK1642" s="28"/>
      <c r="AL1642" s="28"/>
      <c r="AM1642" s="12"/>
      <c r="AN1642" s="12"/>
      <c r="AO1642" s="12"/>
      <c r="AP1642" s="12"/>
      <c r="AQ1642" s="12"/>
      <c r="AR1642" s="13"/>
      <c r="AS1642" s="14"/>
    </row>
    <row r="1643" spans="1:45" s="16" customFormat="1" ht="30.95" hidden="1" customHeight="1" x14ac:dyDescent="0.2">
      <c r="A1643" s="35"/>
      <c r="B1643" s="36"/>
      <c r="C1643" s="43"/>
      <c r="D1643" s="29"/>
      <c r="E1643" s="29"/>
      <c r="F1643" s="255"/>
      <c r="G1643" s="256"/>
      <c r="H1643" s="256"/>
      <c r="I1643" s="200"/>
      <c r="J1643" s="203"/>
      <c r="K1643" s="200"/>
      <c r="L1643" s="200"/>
      <c r="M1643" s="37"/>
      <c r="N1643" s="37"/>
      <c r="O1643" s="153"/>
      <c r="P1643" s="45"/>
      <c r="Q1643" s="54"/>
      <c r="R1643" s="260"/>
      <c r="S1643" s="258"/>
      <c r="T1643" s="258"/>
      <c r="U1643" s="38"/>
      <c r="V1643" s="261"/>
      <c r="W1643" s="256"/>
      <c r="X1643" s="256"/>
      <c r="Y1643" s="256"/>
      <c r="Z1643" s="256"/>
      <c r="AA1643" s="54"/>
      <c r="AB1643" s="200"/>
      <c r="AC1643" s="31"/>
      <c r="AD1643" s="184"/>
      <c r="AE1643" s="51"/>
      <c r="AF1643" s="52"/>
      <c r="AG1643" s="41"/>
      <c r="AH1643" s="45"/>
      <c r="AI1643" s="28"/>
      <c r="AJ1643" s="28"/>
      <c r="AK1643" s="28"/>
      <c r="AL1643" s="28"/>
      <c r="AM1643" s="12"/>
      <c r="AN1643" s="12"/>
      <c r="AO1643" s="12"/>
      <c r="AP1643" s="12"/>
      <c r="AQ1643" s="12"/>
      <c r="AR1643" s="13"/>
      <c r="AS1643" s="14"/>
    </row>
    <row r="1644" spans="1:45" s="16" customFormat="1" ht="30.95" hidden="1" customHeight="1" x14ac:dyDescent="0.2">
      <c r="A1644" s="35"/>
      <c r="B1644" s="36"/>
      <c r="C1644" s="43"/>
      <c r="D1644" s="29">
        <v>3741605</v>
      </c>
      <c r="E1644" s="29">
        <v>4162194</v>
      </c>
      <c r="F1644" s="255" t="str">
        <f>IF(D1644="","",VLOOKUP(D1644,契約台帳!$A$3:$K$4986,6,FALSE)&amp;VLOOKUP(D1644,契約台帳!$A$3:$K$4986,7,FALSE)&amp;VLOOKUP(D1644,契約台帳!$A$3:$K$4986,8,FALSE)&amp;VLOOKUP(D1644,契約台帳!$A$3:$K$4986,9,FALSE)&amp;VLOOKUP(D1644,契約台帳!$A$3:$K$4986,11,FALSE))</f>
        <v>3SNMLBMNGKBF</v>
      </c>
      <c r="G1644" s="256" t="str">
        <f>IF(D1644="","",VLOOKUP(F1644,製品マスタ!$G$5:$H$4999,2,FALSE))</f>
        <v>S</v>
      </c>
      <c r="H1644" s="256" t="str">
        <f>IF(D1644="","",VLOOKUP(F1644,製品マスタ!$G$5:$K$4999,5,FALSE))</f>
        <v>MNGKBF</v>
      </c>
      <c r="I1644" s="200" t="str">
        <f>IF(D1644="","",VLOOKUP(F1644,製品マスタ!$G$5:$L$4999,6,FALSE))</f>
        <v>メタルミー　ネーマー銀消　Ｂ</v>
      </c>
      <c r="J1644" s="203" t="s">
        <v>935</v>
      </c>
      <c r="K1644" s="200">
        <f>IF(D1644="","",VLOOKUP(D1644,契約台帳!$A$3:$L$4986,12,FALSE))</f>
        <v>38</v>
      </c>
      <c r="L1644" s="200" t="str">
        <f>IF(D1644="","",INDEX(製品マスタ!$Q$5:$Q$4999,MATCH('S4'!F1644&amp;'S4'!K1644,製品マスタ!$AO$5:$AO$4999,0)))</f>
        <v>LUMIMAT</v>
      </c>
      <c r="M1644" s="37">
        <v>1005</v>
      </c>
      <c r="N1644" s="37">
        <v>4100</v>
      </c>
      <c r="O1644" s="153">
        <v>3</v>
      </c>
      <c r="P1644" s="45">
        <v>3</v>
      </c>
      <c r="Q1644" s="206">
        <v>45348</v>
      </c>
      <c r="R1644" s="257">
        <f ca="1">IF(D1644="","",IF(OFFSET(D1644,-1,0)&lt;&gt;"","",IF(OR(J1644="リード付け",J1644="巻足し",J1644="巻返しリード付け"),M1644,VLOOKUP(D1644,契約台帳!$A$3:$N$4986,14,FALSE))))</f>
        <v>1005</v>
      </c>
      <c r="S1644" s="258">
        <f ca="1">IF(D1644="","",IF(OFFSET(D1644,-1,0)&lt;&gt;"","",IF(OR(J1644="リード付け",J1644="巻足し",J1644="巻返しリード付け"),M1644,VLOOKUP(D1644,契約台帳!$A$3:$O$4986,15,FALSE))))</f>
        <v>1005</v>
      </c>
      <c r="T1644" s="258">
        <f ca="1">IF(D1644="","",IF(J1644="リード付け",N1644,IF(J1644="巻返しリード付け",N1644,IF(J1644="巻足し",N1644*P1644+OFFSET(N1644,1,0)*OFFSET(P1644,1,0),VLOOKUP(D1644,契約台帳!$A$3:$P$4986,16,FALSE)))))</f>
        <v>12300</v>
      </c>
      <c r="U1644" s="38">
        <v>1</v>
      </c>
      <c r="V1644" s="259">
        <f ca="1">IF(D1644="","",IF(OFFSET(D1644,-2,0)=D1644,"",VLOOKUP(D1644,契約台帳!$A$3:$R$4986,18,FALSE)))</f>
        <v>3</v>
      </c>
      <c r="W1644" s="256" t="str">
        <f ca="1">IF(D1644="","",IF(T1644="","",IF(OR(J1644="巻足し",J1644="巻返しリード付け"),"",IF(J1644="巻返し",VLOOKUP(F1644&amp;K1644&amp;M1644,製品マスタ!$M$5:$AD$4999,18,FALSE),IF(OR(J1644="リード付け",J1644="巻返しリード付け"),"原反コア",IF(J1644="スリット",VLOOKUP(F1644&amp;K1644&amp;R1644,製品マスタ!$N$5:$AD$4999,17,FALSE),""))))))</f>
        <v/>
      </c>
      <c r="X1644" s="256" t="str">
        <f ca="1">IF(D1644="","",IF(T1644="","",IF(J1644="巻足し","",IF(J1644="巻返し",VLOOKUP(F1644&amp;K1644&amp;M1644,製品マスタ!$M$5:$AE$4999,19,FALSE),IF(OR(J1644="リード付け",J1644="巻返しリード付け"),"",IF(J1644="スリット",VLOOKUP(F1644&amp;K1644&amp;R1644,製品マスタ!$N$5:$AE$4999,18,FALSE),""))))))</f>
        <v/>
      </c>
      <c r="Y1644" s="256">
        <f ca="1">IF(D1644="","",IF(T1644="","",VLOOKUP(D1644,契約台帳!$A$3:$Q$4986,17,FALSE)))</f>
        <v>2</v>
      </c>
      <c r="Z1644" s="256" t="str">
        <f ca="1">IF(D1644="","",IF(T1644="","",VLOOKUP(D1644,契約台帳!$A$3:$E$4986,5,FALSE)))</f>
        <v>リンテック㈱</v>
      </c>
      <c r="AA1644" s="54"/>
      <c r="AB1644" s="200">
        <f>IFERROR((VLOOKUP(F1644&amp;K1644&amp;M1644,製品マスタ!$M$5:$AM$4999,27,FALSE)),"")</f>
        <v>0</v>
      </c>
      <c r="AC1644" s="31"/>
      <c r="AD1644" s="184"/>
      <c r="AE1644" s="51"/>
      <c r="AF1644" s="52">
        <f>+M1644*N1644*O1644/1000</f>
        <v>12361.5</v>
      </c>
      <c r="AG1644" s="41"/>
      <c r="AH1644" s="45"/>
      <c r="AI1644" s="28"/>
      <c r="AJ1644" s="28"/>
      <c r="AK1644" s="28"/>
      <c r="AL1644" s="28"/>
      <c r="AM1644" s="12"/>
      <c r="AN1644" s="12"/>
      <c r="AO1644" s="12"/>
      <c r="AP1644" s="12"/>
      <c r="AQ1644" s="12"/>
      <c r="AR1644" s="13"/>
      <c r="AS1644" s="14"/>
    </row>
    <row r="1645" spans="1:45" s="16" customFormat="1" ht="30.95" hidden="1" customHeight="1" x14ac:dyDescent="0.2">
      <c r="A1645" s="35"/>
      <c r="B1645" s="36"/>
      <c r="C1645" s="43"/>
      <c r="D1645" s="29"/>
      <c r="E1645" s="29"/>
      <c r="F1645" s="255"/>
      <c r="G1645" s="256"/>
      <c r="H1645" s="256"/>
      <c r="I1645" s="200"/>
      <c r="J1645" s="203"/>
      <c r="K1645" s="200"/>
      <c r="L1645" s="200"/>
      <c r="M1645" s="37"/>
      <c r="N1645" s="37"/>
      <c r="O1645" s="153"/>
      <c r="P1645" s="45"/>
      <c r="Q1645" s="54"/>
      <c r="R1645" s="260"/>
      <c r="S1645" s="258"/>
      <c r="T1645" s="258"/>
      <c r="U1645" s="38"/>
      <c r="V1645" s="261"/>
      <c r="W1645" s="256"/>
      <c r="X1645" s="256"/>
      <c r="Y1645" s="256"/>
      <c r="Z1645" s="256"/>
      <c r="AA1645" s="54"/>
      <c r="AB1645" s="200"/>
      <c r="AC1645" s="31"/>
      <c r="AD1645" s="184"/>
      <c r="AE1645" s="51"/>
      <c r="AF1645" s="52"/>
      <c r="AG1645" s="41"/>
      <c r="AH1645" s="45"/>
      <c r="AI1645" s="28"/>
      <c r="AJ1645" s="28"/>
      <c r="AK1645" s="28"/>
      <c r="AL1645" s="28"/>
      <c r="AM1645" s="12"/>
      <c r="AN1645" s="12"/>
      <c r="AO1645" s="12"/>
      <c r="AP1645" s="12"/>
      <c r="AQ1645" s="12"/>
      <c r="AR1645" s="13"/>
      <c r="AS1645" s="14"/>
    </row>
    <row r="1646" spans="1:45" s="16" customFormat="1" ht="30.6" hidden="1" customHeight="1" x14ac:dyDescent="0.2">
      <c r="A1646" s="35"/>
      <c r="B1646" s="36"/>
      <c r="C1646" s="43"/>
      <c r="D1646" s="29">
        <v>3741601</v>
      </c>
      <c r="E1646" s="29">
        <v>4162197</v>
      </c>
      <c r="F1646" s="255" t="str">
        <f>IF(D1646="","",VLOOKUP(D1646,契約台帳!$A$3:$K$4986,6,FALSE)&amp;VLOOKUP(D1646,契約台帳!$A$3:$K$4986,7,FALSE)&amp;VLOOKUP(D1646,契約台帳!$A$3:$K$4986,8,FALSE)&amp;VLOOKUP(D1646,契約台帳!$A$3:$K$4986,9,FALSE)&amp;VLOOKUP(D1646,契約台帳!$A$3:$K$4986,11,FALSE))</f>
        <v>3SNMLBMNGKKBF</v>
      </c>
      <c r="G1646" s="256" t="str">
        <f>IF(D1646="","",VLOOKUP(F1646,製品マスタ!$G$5:$H$4999,2,FALSE))</f>
        <v>S</v>
      </c>
      <c r="H1646" s="256" t="str">
        <f>IF(D1646="","",VLOOKUP(F1646,製品マスタ!$G$5:$K$4999,5,FALSE))</f>
        <v>MNGKKBF</v>
      </c>
      <c r="I1646" s="200" t="str">
        <f>IF(D1646="","",VLOOKUP(F1646,製品マスタ!$G$5:$L$4999,6,FALSE))</f>
        <v>メタルミー　ネーマー銀消改　Ｂ</v>
      </c>
      <c r="J1646" s="203" t="s">
        <v>935</v>
      </c>
      <c r="K1646" s="200">
        <f>IF(D1646="","",VLOOKUP(D1646,契約台帳!$A$3:$L$4986,12,FALSE))</f>
        <v>25</v>
      </c>
      <c r="L1646" s="200" t="str">
        <f>IF(D1646="","",INDEX(製品マスタ!$Q$5:$Q$4999,MATCH('S4'!F1646&amp;'S4'!K1646,製品マスタ!$AO$5:$AO$4999,0)))</f>
        <v>FMATS99</v>
      </c>
      <c r="M1646" s="37">
        <v>1000</v>
      </c>
      <c r="N1646" s="37">
        <v>4000</v>
      </c>
      <c r="O1646" s="153">
        <v>3</v>
      </c>
      <c r="P1646" s="45">
        <v>3</v>
      </c>
      <c r="Q1646" s="206">
        <v>45348</v>
      </c>
      <c r="R1646" s="257">
        <f ca="1">IF(D1646="","",IF(OFFSET(D1646,-1,0)&lt;&gt;"","",IF(OR(J1646="リード付け",J1646="巻足し",J1646="巻返しリード付け"),M1646,VLOOKUP(D1646,契約台帳!$A$3:$N$4986,14,FALSE))))</f>
        <v>1000</v>
      </c>
      <c r="S1646" s="258">
        <f ca="1">IF(D1646="","",IF(OFFSET(D1646,-1,0)&lt;&gt;"","",IF(OR(J1646="リード付け",J1646="巻足し",J1646="巻返しリード付け"),M1646,VLOOKUP(D1646,契約台帳!$A$3:$O$4986,15,FALSE))))</f>
        <v>1000</v>
      </c>
      <c r="T1646" s="258">
        <f ca="1">IF(D1646="","",IF(J1646="リード付け",N1646,IF(J1646="巻返しリード付け",N1646,IF(J1646="巻足し",N1646*P1646+OFFSET(N1646,1,0)*OFFSET(P1646,1,0),VLOOKUP(D1646,契約台帳!$A$3:$P$4986,16,FALSE)))))</f>
        <v>12000</v>
      </c>
      <c r="U1646" s="38">
        <v>1</v>
      </c>
      <c r="V1646" s="259">
        <f ca="1">IF(D1646="","",IF(OFFSET(D1646,-2,0)=D1646,"",VLOOKUP(D1646,契約台帳!$A$3:$R$4986,18,FALSE)))</f>
        <v>3</v>
      </c>
      <c r="W1646" s="256" t="str">
        <f ca="1">IF(D1646="","",IF(T1646="","",IF(OR(J1646="巻足し",J1646="巻返しリード付け"),"",IF(J1646="巻返し",VLOOKUP(F1646&amp;K1646&amp;M1646,製品マスタ!$M$5:$AD$4999,18,FALSE),IF(OR(J1646="リード付け",J1646="巻返しリード付け"),"原反コア",IF(J1646="スリット",VLOOKUP(F1646&amp;K1646&amp;R1646,製品マスタ!$N$5:$AD$4999,17,FALSE),""))))))</f>
        <v/>
      </c>
      <c r="X1646" s="256" t="str">
        <f ca="1">IF(D1646="","",IF(T1646="","",IF(J1646="巻足し","",IF(J1646="巻返し",VLOOKUP(F1646&amp;K1646&amp;M1646,製品マスタ!$M$5:$AE$4999,19,FALSE),IF(OR(J1646="リード付け",J1646="巻返しリード付け"),"",IF(J1646="スリット",VLOOKUP(F1646&amp;K1646&amp;R1646,製品マスタ!$N$5:$AE$4999,18,FALSE),""))))))</f>
        <v/>
      </c>
      <c r="Y1646" s="256">
        <f ca="1">IF(D1646="","",IF(T1646="","",VLOOKUP(D1646,契約台帳!$A$3:$Q$4986,17,FALSE)))</f>
        <v>2</v>
      </c>
      <c r="Z1646" s="256" t="str">
        <f ca="1">IF(D1646="","",IF(T1646="","",VLOOKUP(D1646,契約台帳!$A$3:$E$4986,5,FALSE)))</f>
        <v>リンテック㈱</v>
      </c>
      <c r="AA1646" s="54"/>
      <c r="AB1646" s="200">
        <f>IFERROR((VLOOKUP(F1646&amp;K1646&amp;M1646,製品マスタ!$M$5:$AM$4999,27,FALSE)),"")</f>
        <v>0</v>
      </c>
      <c r="AC1646" s="31"/>
      <c r="AD1646" s="184"/>
      <c r="AE1646" s="51"/>
      <c r="AF1646" s="52">
        <f>+M1646*N1646*O1646/1000</f>
        <v>12000</v>
      </c>
      <c r="AG1646" s="41"/>
      <c r="AH1646" s="45"/>
      <c r="AI1646" s="28"/>
      <c r="AJ1646" s="28"/>
      <c r="AK1646" s="28"/>
      <c r="AL1646" s="28"/>
      <c r="AM1646" s="12"/>
      <c r="AN1646" s="12"/>
      <c r="AO1646" s="12"/>
      <c r="AP1646" s="12"/>
      <c r="AQ1646" s="12"/>
      <c r="AR1646" s="13"/>
      <c r="AS1646" s="14"/>
    </row>
    <row r="1647" spans="1:45" s="16" customFormat="1" ht="30.95" hidden="1" customHeight="1" x14ac:dyDescent="0.2">
      <c r="A1647" s="35"/>
      <c r="B1647" s="36"/>
      <c r="C1647" s="43"/>
      <c r="D1647" s="29"/>
      <c r="E1647" s="29"/>
      <c r="F1647" s="255"/>
      <c r="G1647" s="256"/>
      <c r="H1647" s="256"/>
      <c r="I1647" s="200"/>
      <c r="J1647" s="203"/>
      <c r="K1647" s="200"/>
      <c r="L1647" s="200"/>
      <c r="M1647" s="37"/>
      <c r="N1647" s="37"/>
      <c r="O1647" s="153"/>
      <c r="P1647" s="45"/>
      <c r="Q1647" s="54"/>
      <c r="R1647" s="260"/>
      <c r="S1647" s="258"/>
      <c r="T1647" s="258"/>
      <c r="U1647" s="38"/>
      <c r="V1647" s="261"/>
      <c r="W1647" s="256"/>
      <c r="X1647" s="256"/>
      <c r="Y1647" s="256"/>
      <c r="Z1647" s="256"/>
      <c r="AA1647" s="54"/>
      <c r="AB1647" s="200"/>
      <c r="AC1647" s="31"/>
      <c r="AD1647" s="184"/>
      <c r="AE1647" s="51"/>
      <c r="AF1647" s="52"/>
      <c r="AG1647" s="41"/>
      <c r="AH1647" s="45"/>
      <c r="AI1647" s="28"/>
      <c r="AJ1647" s="28"/>
      <c r="AK1647" s="28"/>
      <c r="AL1647" s="28"/>
      <c r="AM1647" s="12"/>
      <c r="AN1647" s="12"/>
      <c r="AO1647" s="12"/>
      <c r="AP1647" s="12"/>
      <c r="AQ1647" s="12"/>
      <c r="AR1647" s="13"/>
      <c r="AS1647" s="14"/>
    </row>
    <row r="1648" spans="1:45" s="16" customFormat="1" ht="30.6" hidden="1" customHeight="1" x14ac:dyDescent="0.2">
      <c r="A1648" s="35"/>
      <c r="B1648" s="36"/>
      <c r="C1648" s="43"/>
      <c r="D1648" s="29">
        <v>3741603</v>
      </c>
      <c r="E1648" s="29">
        <v>4162199</v>
      </c>
      <c r="F1648" s="255" t="str">
        <f>IF(D1648="","",VLOOKUP(D1648,契約台帳!$A$3:$K$4986,6,FALSE)&amp;VLOOKUP(D1648,契約台帳!$A$3:$K$4986,7,FALSE)&amp;VLOOKUP(D1648,契約台帳!$A$3:$K$4986,8,FALSE)&amp;VLOOKUP(D1648,契約台帳!$A$3:$K$4986,9,FALSE)&amp;VLOOKUP(D1648,契約台帳!$A$3:$K$4986,11,FALSE))</f>
        <v>3SNMLBMNGKKBF</v>
      </c>
      <c r="G1648" s="256" t="str">
        <f>IF(D1648="","",VLOOKUP(F1648,製品マスタ!$G$5:$H$4999,2,FALSE))</f>
        <v>S</v>
      </c>
      <c r="H1648" s="256" t="str">
        <f>IF(D1648="","",VLOOKUP(F1648,製品マスタ!$G$5:$K$4999,5,FALSE))</f>
        <v>MNGKKBF</v>
      </c>
      <c r="I1648" s="200" t="str">
        <f>IF(D1648="","",VLOOKUP(F1648,製品マスタ!$G$5:$L$4999,6,FALSE))</f>
        <v>メタルミー　ネーマー銀消改　Ｂ</v>
      </c>
      <c r="J1648" s="203" t="s">
        <v>935</v>
      </c>
      <c r="K1648" s="200">
        <f>IF(D1648="","",VLOOKUP(D1648,契約台帳!$A$3:$L$4986,12,FALSE))</f>
        <v>50</v>
      </c>
      <c r="L1648" s="200" t="str">
        <f>IF(D1648="","",INDEX(製品マスタ!$Q$5:$Q$4999,MATCH('S4'!F1648&amp;'S4'!K1648,製品マスタ!$AO$5:$AO$4999,0)))</f>
        <v>S99-MAT</v>
      </c>
      <c r="M1648" s="37">
        <v>1000</v>
      </c>
      <c r="N1648" s="37">
        <v>4000</v>
      </c>
      <c r="O1648" s="153">
        <v>3</v>
      </c>
      <c r="P1648" s="45">
        <v>3</v>
      </c>
      <c r="Q1648" s="206">
        <v>45348</v>
      </c>
      <c r="R1648" s="257">
        <f ca="1">IF(D1648="","",IF(OFFSET(D1648,-1,0)&lt;&gt;"","",IF(OR(J1648="リード付け",J1648="巻足し",J1648="巻返しリード付け"),M1648,VLOOKUP(D1648,契約台帳!$A$3:$N$4986,14,FALSE))))</f>
        <v>1000</v>
      </c>
      <c r="S1648" s="258">
        <f ca="1">IF(D1648="","",IF(OFFSET(D1648,-1,0)&lt;&gt;"","",IF(OR(J1648="リード付け",J1648="巻足し",J1648="巻返しリード付け"),M1648,VLOOKUP(D1648,契約台帳!$A$3:$O$4986,15,FALSE))))</f>
        <v>1000</v>
      </c>
      <c r="T1648" s="258">
        <f ca="1">IF(D1648="","",IF(J1648="リード付け",N1648,IF(J1648="巻返しリード付け",N1648,IF(J1648="巻足し",N1648*P1648+OFFSET(N1648,1,0)*OFFSET(P1648,1,0),VLOOKUP(D1648,契約台帳!$A$3:$P$4986,16,FALSE)))))</f>
        <v>12000</v>
      </c>
      <c r="U1648" s="38">
        <v>1</v>
      </c>
      <c r="V1648" s="259">
        <f ca="1">IF(D1648="","",IF(OFFSET(D1648,-2,0)=D1648,"",VLOOKUP(D1648,契約台帳!$A$3:$R$4986,18,FALSE)))</f>
        <v>3</v>
      </c>
      <c r="W1648" s="256" t="str">
        <f ca="1">IF(D1648="","",IF(T1648="","",IF(OR(J1648="巻足し",J1648="巻返しリード付け"),"",IF(J1648="巻返し",VLOOKUP(F1648&amp;K1648&amp;M1648,製品マスタ!$M$5:$AD$4999,18,FALSE),IF(OR(J1648="リード付け",J1648="巻返しリード付け"),"原反コア",IF(J1648="スリット",VLOOKUP(F1648&amp;K1648&amp;R1648,製品マスタ!$N$5:$AD$4999,17,FALSE),""))))))</f>
        <v/>
      </c>
      <c r="X1648" s="256" t="str">
        <f ca="1">IF(D1648="","",IF(T1648="","",IF(J1648="巻足し","",IF(J1648="巻返し",VLOOKUP(F1648&amp;K1648&amp;M1648,製品マスタ!$M$5:$AE$4999,19,FALSE),IF(OR(J1648="リード付け",J1648="巻返しリード付け"),"",IF(J1648="スリット",VLOOKUP(F1648&amp;K1648&amp;R1648,製品マスタ!$N$5:$AE$4999,18,FALSE),""))))))</f>
        <v/>
      </c>
      <c r="Y1648" s="256">
        <f ca="1">IF(D1648="","",IF(T1648="","",VLOOKUP(D1648,契約台帳!$A$3:$Q$4986,17,FALSE)))</f>
        <v>2</v>
      </c>
      <c r="Z1648" s="256" t="str">
        <f ca="1">IF(D1648="","",IF(T1648="","",VLOOKUP(D1648,契約台帳!$A$3:$E$4986,5,FALSE)))</f>
        <v>リンテック㈱</v>
      </c>
      <c r="AA1648" s="54"/>
      <c r="AB1648" s="200">
        <f>IFERROR((VLOOKUP(F1648&amp;K1648&amp;M1648,製品マスタ!$M$5:$AM$4999,27,FALSE)),"")</f>
        <v>0</v>
      </c>
      <c r="AC1648" s="31"/>
      <c r="AD1648" s="184"/>
      <c r="AE1648" s="51"/>
      <c r="AF1648" s="52">
        <f>+M1648*N1648*O1648/1000</f>
        <v>12000</v>
      </c>
      <c r="AG1648" s="41"/>
      <c r="AH1648" s="45"/>
      <c r="AI1648" s="28"/>
      <c r="AJ1648" s="28"/>
      <c r="AK1648" s="28"/>
      <c r="AL1648" s="28"/>
      <c r="AM1648" s="12"/>
      <c r="AN1648" s="12"/>
      <c r="AO1648" s="12"/>
      <c r="AP1648" s="12"/>
      <c r="AQ1648" s="12"/>
      <c r="AR1648" s="13"/>
      <c r="AS1648" s="14"/>
    </row>
    <row r="1649" spans="1:45" s="16" customFormat="1" ht="30.6" hidden="1" customHeight="1" x14ac:dyDescent="0.2">
      <c r="A1649" s="35"/>
      <c r="B1649" s="36"/>
      <c r="C1649" s="43"/>
      <c r="D1649" s="29"/>
      <c r="E1649" s="29"/>
      <c r="F1649" s="255"/>
      <c r="G1649" s="256"/>
      <c r="H1649" s="256"/>
      <c r="I1649" s="200"/>
      <c r="J1649" s="203"/>
      <c r="K1649" s="200"/>
      <c r="L1649" s="200"/>
      <c r="M1649" s="37"/>
      <c r="N1649" s="37"/>
      <c r="O1649" s="153"/>
      <c r="P1649" s="45"/>
      <c r="Q1649" s="54"/>
      <c r="R1649" s="260"/>
      <c r="S1649" s="258"/>
      <c r="T1649" s="258"/>
      <c r="U1649" s="38"/>
      <c r="V1649" s="261"/>
      <c r="W1649" s="256"/>
      <c r="X1649" s="256"/>
      <c r="Y1649" s="256"/>
      <c r="Z1649" s="256"/>
      <c r="AA1649" s="54"/>
      <c r="AB1649" s="200"/>
      <c r="AC1649" s="31"/>
      <c r="AD1649" s="184"/>
      <c r="AE1649" s="51"/>
      <c r="AF1649" s="52"/>
      <c r="AG1649" s="41"/>
      <c r="AH1649" s="45"/>
      <c r="AI1649" s="28"/>
      <c r="AJ1649" s="28"/>
      <c r="AK1649" s="28"/>
      <c r="AL1649" s="28"/>
      <c r="AM1649" s="12"/>
      <c r="AN1649" s="12"/>
      <c r="AO1649" s="12"/>
      <c r="AP1649" s="12"/>
      <c r="AQ1649" s="12"/>
      <c r="AR1649" s="13"/>
      <c r="AS1649" s="14"/>
    </row>
    <row r="1650" spans="1:45" s="16" customFormat="1" ht="30.6" hidden="1" customHeight="1" x14ac:dyDescent="0.2">
      <c r="A1650" s="35" t="s">
        <v>2279</v>
      </c>
      <c r="B1650" s="36" t="s">
        <v>2280</v>
      </c>
      <c r="C1650" s="43"/>
      <c r="D1650" s="29">
        <v>3744892</v>
      </c>
      <c r="E1650" s="29">
        <v>4162225</v>
      </c>
      <c r="F1650" s="255" t="str">
        <f>IF(D1650="","",VLOOKUP(D1650,契約台帳!$A$3:$K$4986,6,FALSE)&amp;VLOOKUP(D1650,契約台帳!$A$3:$K$4986,7,FALSE)&amp;VLOOKUP(D1650,契約台帳!$A$3:$K$4986,8,FALSE)&amp;VLOOKUP(D1650,契約台帳!$A$3:$K$4986,9,FALSE)&amp;VLOOKUP(D1650,契約台帳!$A$3:$K$4986,11,FALSE))</f>
        <v>3SNMCLBMSNEYK</v>
      </c>
      <c r="G1650" s="256" t="str">
        <f>IF(D1650="","",VLOOKUP(F1650,製品マスタ!$G$5:$H$4999,2,FALSE))</f>
        <v>S</v>
      </c>
      <c r="H1650" s="256" t="str">
        <f>IF(D1650="","",VLOOKUP(F1650,製品マスタ!$G$5:$K$4999,5,FALSE))</f>
        <v>MSNEYK</v>
      </c>
      <c r="I1650" s="200" t="str">
        <f>IF(D1650="","",VLOOKUP(F1650,製品マスタ!$G$5:$L$4999,6,FALSE))</f>
        <v>ＭＳＮ　ＥＹＫ</v>
      </c>
      <c r="J1650" s="203" t="s">
        <v>935</v>
      </c>
      <c r="K1650" s="200">
        <f>IF(D1650="","",VLOOKUP(D1650,契約台帳!$A$3:$L$4986,12,FALSE))</f>
        <v>50</v>
      </c>
      <c r="L1650" s="200" t="str">
        <f>IF(D1650="","",INDEX(製品マスタ!$Q$5:$Q$4999,MATCH('S4'!F1650&amp;'S4'!K1650,製品マスタ!$AO$5:$AO$4999,0)))</f>
        <v>N-MAT</v>
      </c>
      <c r="M1650" s="37">
        <v>1200</v>
      </c>
      <c r="N1650" s="37">
        <v>6000</v>
      </c>
      <c r="O1650" s="153">
        <v>8</v>
      </c>
      <c r="P1650" s="45">
        <v>2</v>
      </c>
      <c r="Q1650" s="206">
        <v>45352</v>
      </c>
      <c r="R1650" s="257">
        <f ca="1">IF(D1650="","",IF(OFFSET(D1650,-1,0)&lt;&gt;"","",IF(OR(J1650="リード付け",J1650="巻足し",J1650="巻返しリード付け"),M1650,VLOOKUP(D1650,契約台帳!$A$3:$N$4986,14,FALSE))))</f>
        <v>1200</v>
      </c>
      <c r="S1650" s="258">
        <f ca="1">IF(D1650="","",IF(OFFSET(D1650,-1,0)&lt;&gt;"","",IF(OR(J1650="リード付け",J1650="巻足し",J1650="巻返しリード付け"),M1650,VLOOKUP(D1650,契約台帳!$A$3:$O$4986,15,FALSE))))</f>
        <v>1200</v>
      </c>
      <c r="T1650" s="258">
        <f ca="1">IF(D1650="","",IF(J1650="リード付け",N1650,IF(J1650="巻返しリード付け",N1650,IF(J1650="巻足し",N1650*P1650+OFFSET(N1650,1,0)*OFFSET(P1650,1,0),VLOOKUP(D1650,契約台帳!$A$3:$P$4986,16,FALSE)))))</f>
        <v>12000</v>
      </c>
      <c r="U1650" s="38">
        <v>4</v>
      </c>
      <c r="V1650" s="259">
        <f ca="1">IF(D1650="","",IF(OFFSET(D1650,-2,0)=D1650,"",VLOOKUP(D1650,契約台帳!$A$3:$R$4986,18,FALSE)))</f>
        <v>8</v>
      </c>
      <c r="W1650" s="256" t="str">
        <f ca="1">IF(D1650="","",IF(T1650="","",IF(OR(J1650="巻足し",J1650="巻返しリード付け"),"",IF(J1650="巻返し",VLOOKUP(F1650&amp;K1650&amp;M1650,製品マスタ!$M$5:$AD$4999,18,FALSE),IF(OR(J1650="リード付け",J1650="巻返しリード付け"),"原反コア",IF(J1650="スリット",VLOOKUP(F1650&amp;K1650&amp;R1650,製品マスタ!$N$5:$AD$4999,17,FALSE),""))))))</f>
        <v/>
      </c>
      <c r="X1650" s="256" t="str">
        <f ca="1">IF(D1650="","",IF(T1650="","",IF(J1650="巻足し","",IF(J1650="巻返し",VLOOKUP(F1650&amp;K1650&amp;M1650,製品マスタ!$M$5:$AE$4999,19,FALSE),IF(OR(J1650="リード付け",J1650="巻返しリード付け"),"",IF(J1650="スリット",VLOOKUP(F1650&amp;K1650&amp;R1650,製品マスタ!$N$5:$AE$4999,18,FALSE),""))))))</f>
        <v/>
      </c>
      <c r="Y1650" s="256">
        <f ca="1">IF(D1650="","",IF(T1650="","",VLOOKUP(D1650,契約台帳!$A$3:$Q$4986,17,FALSE)))</f>
        <v>2</v>
      </c>
      <c r="Z1650" s="256" t="str">
        <f ca="1">IF(D1650="","",IF(T1650="","",VLOOKUP(D1650,契約台帳!$A$3:$E$4986,5,FALSE)))</f>
        <v>大阪シーリング印刷㈱</v>
      </c>
      <c r="AA1650" s="54"/>
      <c r="AB1650" s="200" t="str">
        <f>IFERROR((VLOOKUP(F1650&amp;K1650&amp;M1650,製品マスタ!$M$5:$AM$4999,27,FALSE)),"")</f>
        <v>原反ケース再利用</v>
      </c>
      <c r="AC1650" s="31"/>
      <c r="AD1650" s="184"/>
      <c r="AE1650" s="51"/>
      <c r="AF1650" s="52">
        <f>+M1650*N1650*O1650/1000</f>
        <v>57600</v>
      </c>
      <c r="AG1650" s="41"/>
      <c r="AH1650" s="45"/>
      <c r="AI1650" s="28"/>
      <c r="AJ1650" s="28"/>
      <c r="AK1650" s="28"/>
      <c r="AL1650" s="28"/>
      <c r="AM1650" s="12"/>
      <c r="AN1650" s="12"/>
      <c r="AO1650" s="12"/>
      <c r="AP1650" s="12"/>
      <c r="AQ1650" s="12"/>
      <c r="AR1650" s="13"/>
      <c r="AS1650" s="14"/>
    </row>
    <row r="1651" spans="1:45" s="16" customFormat="1" ht="30.95" hidden="1" customHeight="1" x14ac:dyDescent="0.2">
      <c r="A1651" s="35"/>
      <c r="B1651" s="36"/>
      <c r="C1651" s="43"/>
      <c r="D1651" s="29"/>
      <c r="E1651" s="29"/>
      <c r="F1651" s="255"/>
      <c r="G1651" s="256"/>
      <c r="H1651" s="256"/>
      <c r="I1651" s="200"/>
      <c r="J1651" s="203"/>
      <c r="K1651" s="200"/>
      <c r="L1651" s="200"/>
      <c r="M1651" s="37"/>
      <c r="N1651" s="37"/>
      <c r="O1651" s="153"/>
      <c r="P1651" s="45"/>
      <c r="Q1651" s="54"/>
      <c r="R1651" s="260"/>
      <c r="S1651" s="258"/>
      <c r="T1651" s="258"/>
      <c r="U1651" s="38"/>
      <c r="V1651" s="261"/>
      <c r="W1651" s="256"/>
      <c r="X1651" s="256"/>
      <c r="Y1651" s="256"/>
      <c r="Z1651" s="256"/>
      <c r="AA1651" s="54"/>
      <c r="AB1651" s="200"/>
      <c r="AC1651" s="31"/>
      <c r="AD1651" s="184"/>
      <c r="AE1651" s="51"/>
      <c r="AF1651" s="52"/>
      <c r="AG1651" s="41"/>
      <c r="AH1651" s="45"/>
      <c r="AI1651" s="28"/>
      <c r="AJ1651" s="28"/>
      <c r="AK1651" s="28"/>
      <c r="AL1651" s="28"/>
      <c r="AM1651" s="12"/>
      <c r="AN1651" s="12"/>
      <c r="AO1651" s="12"/>
      <c r="AP1651" s="12"/>
      <c r="AQ1651" s="12"/>
      <c r="AR1651" s="13"/>
      <c r="AS1651" s="14"/>
    </row>
    <row r="1652" spans="1:45" s="16" customFormat="1" ht="30.6" hidden="1" customHeight="1" x14ac:dyDescent="0.2">
      <c r="A1652" s="35"/>
      <c r="B1652" s="36"/>
      <c r="C1652" s="43"/>
      <c r="D1652" s="29">
        <v>3746133</v>
      </c>
      <c r="E1652" s="29">
        <v>4162246</v>
      </c>
      <c r="F1652" s="255" t="str">
        <f>IF(D1652="","",VLOOKUP(D1652,契約台帳!$A$3:$K$4986,6,FALSE)&amp;VLOOKUP(D1652,契約台帳!$A$3:$K$4986,7,FALSE)&amp;VLOOKUP(D1652,契約台帳!$A$3:$K$4986,8,FALSE)&amp;VLOOKUP(D1652,契約台帳!$A$3:$K$4986,9,FALSE)&amp;VLOOKUP(D1652,契約台帳!$A$3:$K$4986,11,FALSE))</f>
        <v>3XSNMCLBEYK</v>
      </c>
      <c r="G1652" s="256" t="str">
        <f>IF(D1652="","",VLOOKUP(F1652,製品マスタ!$G$5:$H$4999,2,FALSE))</f>
        <v>S</v>
      </c>
      <c r="H1652" s="256" t="str">
        <f>IF(D1652="","",VLOOKUP(F1652,製品マスタ!$G$5:$K$4999,5,FALSE))</f>
        <v>EYK</v>
      </c>
      <c r="I1652" s="200" t="str">
        <f>IF(D1652="","",VLOOKUP(F1652,製品マスタ!$G$5:$L$4999,6,FALSE))</f>
        <v>メタルミー　ＥＹＫ</v>
      </c>
      <c r="J1652" s="203" t="s">
        <v>935</v>
      </c>
      <c r="K1652" s="200">
        <f>IF(D1652="","",VLOOKUP(D1652,契約台帳!$A$3:$L$4986,12,FALSE))</f>
        <v>50</v>
      </c>
      <c r="L1652" s="200" t="str">
        <f>IF(D1652="","",INDEX(製品マスタ!$Q$5:$Q$4999,MATCH('S4'!F1652&amp;'S4'!K1652,製品マスタ!$AO$5:$AO$4999,0)))</f>
        <v>T62M</v>
      </c>
      <c r="M1652" s="37">
        <v>1195</v>
      </c>
      <c r="N1652" s="37">
        <v>6100</v>
      </c>
      <c r="O1652" s="153">
        <v>2</v>
      </c>
      <c r="P1652" s="45">
        <v>2</v>
      </c>
      <c r="Q1652" s="206">
        <v>45355</v>
      </c>
      <c r="R1652" s="257">
        <f ca="1">IF(D1652="","",IF(OFFSET(D1652,-1,0)&lt;&gt;"","",IF(OR(J1652="リード付け",J1652="巻足し",J1652="巻返しリード付け"),M1652,VLOOKUP(D1652,契約台帳!$A$3:$N$4986,14,FALSE))))</f>
        <v>1195</v>
      </c>
      <c r="S1652" s="258">
        <f ca="1">IF(D1652="","",IF(OFFSET(D1652,-1,0)&lt;&gt;"","",IF(OR(J1652="リード付け",J1652="巻足し",J1652="巻返しリード付け"),M1652,VLOOKUP(D1652,契約台帳!$A$3:$O$4986,15,FALSE))))</f>
        <v>1195</v>
      </c>
      <c r="T1652" s="258">
        <f ca="1">IF(D1652="","",IF(J1652="リード付け",N1652,IF(J1652="巻返しリード付け",N1652,IF(J1652="巻足し",N1652*P1652+OFFSET(N1652,1,0)*OFFSET(P1652,1,0),VLOOKUP(D1652,契約台帳!$A$3:$P$4986,16,FALSE)))))</f>
        <v>12200</v>
      </c>
      <c r="U1652" s="38">
        <v>1</v>
      </c>
      <c r="V1652" s="259">
        <f ca="1">IF(D1652="","",IF(OFFSET(D1652,-2,0)=D1652,"",VLOOKUP(D1652,契約台帳!$A$3:$R$4986,18,FALSE)))</f>
        <v>2</v>
      </c>
      <c r="W1652" s="256" t="str">
        <f ca="1">IF(D1652="","",IF(T1652="","",IF(OR(J1652="巻足し",J1652="巻返しリード付け"),"",IF(J1652="巻返し",VLOOKUP(F1652&amp;K1652&amp;M1652,製品マスタ!$M$5:$AD$4999,18,FALSE),IF(OR(J1652="リード付け",J1652="巻返しリード付け"),"原反コア",IF(J1652="スリット",VLOOKUP(F1652&amp;K1652&amp;R1652,製品マスタ!$N$5:$AD$4999,17,FALSE),""))))))</f>
        <v/>
      </c>
      <c r="X1652" s="256" t="str">
        <f ca="1">IF(D1652="","",IF(T1652="","",IF(J1652="巻足し","",IF(J1652="巻返し",VLOOKUP(F1652&amp;K1652&amp;M1652,製品マスタ!$M$5:$AE$4999,19,FALSE),IF(OR(J1652="リード付け",J1652="巻返しリード付け"),"",IF(J1652="スリット",VLOOKUP(F1652&amp;K1652&amp;R1652,製品マスタ!$N$5:$AE$4999,18,FALSE),""))))))</f>
        <v/>
      </c>
      <c r="Y1652" s="256">
        <f ca="1">IF(D1652="","",IF(T1652="","",VLOOKUP(D1652,契約台帳!$A$3:$Q$4986,17,FALSE)))</f>
        <v>2</v>
      </c>
      <c r="Z1652" s="256" t="str">
        <f ca="1">IF(D1652="","",IF(T1652="","",VLOOKUP(D1652,契約台帳!$A$3:$E$4986,5,FALSE)))</f>
        <v>新タック化成㈱</v>
      </c>
      <c r="AA1652" s="54"/>
      <c r="AB1652" s="200" t="str">
        <f>IFERROR((VLOOKUP(F1652&amp;K1652&amp;M1652,製品マスタ!$M$5:$AM$4999,27,FALSE)),"")</f>
        <v>原反ケース再利用</v>
      </c>
      <c r="AC1652" s="31"/>
      <c r="AD1652" s="184"/>
      <c r="AE1652" s="51"/>
      <c r="AF1652" s="52">
        <f>+M1652*N1652*O1652/1000</f>
        <v>14579</v>
      </c>
      <c r="AG1652" s="41"/>
      <c r="AH1652" s="45"/>
      <c r="AI1652" s="28"/>
      <c r="AJ1652" s="28"/>
      <c r="AK1652" s="28"/>
      <c r="AL1652" s="28"/>
      <c r="AM1652" s="12"/>
      <c r="AN1652" s="12"/>
      <c r="AO1652" s="12"/>
      <c r="AP1652" s="12"/>
      <c r="AQ1652" s="12"/>
      <c r="AR1652" s="13"/>
      <c r="AS1652" s="14"/>
    </row>
    <row r="1653" spans="1:45" s="16" customFormat="1" ht="30.95" hidden="1" customHeight="1" x14ac:dyDescent="0.2">
      <c r="A1653" s="35"/>
      <c r="B1653" s="36"/>
      <c r="C1653" s="43"/>
      <c r="D1653" s="29"/>
      <c r="E1653" s="29"/>
      <c r="F1653" s="255"/>
      <c r="G1653" s="256"/>
      <c r="H1653" s="256"/>
      <c r="I1653" s="200"/>
      <c r="J1653" s="203"/>
      <c r="K1653" s="200"/>
      <c r="L1653" s="200"/>
      <c r="M1653" s="37"/>
      <c r="N1653" s="37"/>
      <c r="O1653" s="153"/>
      <c r="P1653" s="45"/>
      <c r="Q1653" s="54"/>
      <c r="R1653" s="260"/>
      <c r="S1653" s="258"/>
      <c r="T1653" s="258"/>
      <c r="U1653" s="38"/>
      <c r="V1653" s="261"/>
      <c r="W1653" s="256"/>
      <c r="X1653" s="256"/>
      <c r="Y1653" s="256"/>
      <c r="Z1653" s="256"/>
      <c r="AA1653" s="54"/>
      <c r="AB1653" s="200"/>
      <c r="AC1653" s="31"/>
      <c r="AD1653" s="184"/>
      <c r="AE1653" s="51"/>
      <c r="AF1653" s="52"/>
      <c r="AG1653" s="41"/>
      <c r="AH1653" s="45"/>
      <c r="AI1653" s="28"/>
      <c r="AJ1653" s="28"/>
      <c r="AK1653" s="28"/>
      <c r="AL1653" s="28"/>
      <c r="AM1653" s="12"/>
      <c r="AN1653" s="12"/>
      <c r="AO1653" s="12"/>
      <c r="AP1653" s="12"/>
      <c r="AQ1653" s="12"/>
      <c r="AR1653" s="13"/>
      <c r="AS1653" s="14"/>
    </row>
    <row r="1654" spans="1:45" s="16" customFormat="1" ht="30" hidden="1" customHeight="1" x14ac:dyDescent="0.2">
      <c r="A1654" s="35"/>
      <c r="B1654" s="36"/>
      <c r="C1654" s="43"/>
      <c r="D1654" s="29">
        <v>3744891</v>
      </c>
      <c r="E1654" s="29">
        <v>4162243</v>
      </c>
      <c r="F1654" s="255" t="str">
        <f>IF(D1654="","",VLOOKUP(D1654,契約台帳!$A$3:$K$4986,6,FALSE)&amp;VLOOKUP(D1654,契約台帳!$A$3:$K$4986,7,FALSE)&amp;VLOOKUP(D1654,契約台帳!$A$3:$K$4986,8,FALSE)&amp;VLOOKUP(D1654,契約台帳!$A$3:$K$4986,9,FALSE)&amp;VLOOKUP(D1654,契約台帳!$A$3:$K$4986,11,FALSE))</f>
        <v>3SYMLBMSSMBF</v>
      </c>
      <c r="G1654" s="256" t="str">
        <f>IF(D1654="","",VLOOKUP(F1654,製品マスタ!$G$5:$H$4999,2,FALSE))</f>
        <v>S</v>
      </c>
      <c r="H1654" s="256" t="str">
        <f>IF(D1654="","",VLOOKUP(F1654,製品マスタ!$G$5:$K$4999,5,FALSE))</f>
        <v>MSSMBF</v>
      </c>
      <c r="I1654" s="200" t="str">
        <f>IF(D1654="","",VLOOKUP(F1654,製品マスタ!$G$5:$L$4999,6,FALSE))</f>
        <v>ＭＥＴＡＬＵＭＹ　ＳＩＬＶＥＲ　Ｓ－ＭＡＴＴＥ　Ｓ２８ＭＭ　Ｂ</v>
      </c>
      <c r="J1654" s="203" t="s">
        <v>935</v>
      </c>
      <c r="K1654" s="200">
        <f>IF(D1654="","",VLOOKUP(D1654,契約台帳!$A$3:$L$4986,12,FALSE))</f>
        <v>50</v>
      </c>
      <c r="L1654" s="200" t="str">
        <f>IF(D1654="","",INDEX(製品マスタ!$Q$5:$Q$4999,MATCH('S4'!F1654&amp;'S4'!K1654,製品マスタ!$AO$5:$AO$4999,0)))</f>
        <v>LI-MAT</v>
      </c>
      <c r="M1654" s="37">
        <v>1120</v>
      </c>
      <c r="N1654" s="37">
        <v>4000</v>
      </c>
      <c r="O1654" s="153">
        <v>6</v>
      </c>
      <c r="P1654" s="45">
        <v>3</v>
      </c>
      <c r="Q1654" s="206">
        <v>45355</v>
      </c>
      <c r="R1654" s="257">
        <f ca="1">IF(D1654="","",IF(OFFSET(D1654,-1,0)&lt;&gt;"","",IF(OR(J1654="リード付け",J1654="巻足し",J1654="巻返しリード付け"),M1654,VLOOKUP(D1654,契約台帳!$A$3:$N$4986,14,FALSE))))</f>
        <v>1120</v>
      </c>
      <c r="S1654" s="258">
        <f ca="1">IF(D1654="","",IF(OFFSET(D1654,-1,0)&lt;&gt;"","",IF(OR(J1654="リード付け",J1654="巻足し",J1654="巻返しリード付け"),M1654,VLOOKUP(D1654,契約台帳!$A$3:$O$4986,15,FALSE))))</f>
        <v>1120</v>
      </c>
      <c r="T1654" s="258">
        <f ca="1">IF(D1654="","",IF(J1654="リード付け",N1654,IF(J1654="巻返しリード付け",N1654,IF(J1654="巻足し",N1654*P1654+OFFSET(N1654,1,0)*OFFSET(P1654,1,0),VLOOKUP(D1654,契約台帳!$A$3:$P$4986,16,FALSE)))))</f>
        <v>12000</v>
      </c>
      <c r="U1654" s="38">
        <v>2</v>
      </c>
      <c r="V1654" s="259">
        <f ca="1">IF(D1654="","",IF(OFFSET(D1654,-2,0)=D1654,"",VLOOKUP(D1654,契約台帳!$A$3:$R$4986,18,FALSE)))</f>
        <v>8</v>
      </c>
      <c r="W1654" s="256" t="str">
        <f ca="1">IF(D1654="","",IF(T1654="","",IF(OR(J1654="巻足し",J1654="巻返しリード付け"),"",IF(J1654="巻返し",VLOOKUP(F1654&amp;K1654&amp;M1654,製品マスタ!$M$5:$AD$4999,18,FALSE),IF(OR(J1654="リード付け",J1654="巻返しリード付け"),"原反コア",IF(J1654="スリット",VLOOKUP(F1654&amp;K1654&amp;R1654,製品マスタ!$N$5:$AD$4999,17,FALSE),""))))))</f>
        <v/>
      </c>
      <c r="X1654" s="256" t="str">
        <f ca="1">IF(D1654="","",IF(T1654="","",IF(J1654="巻足し","",IF(J1654="巻返し",VLOOKUP(F1654&amp;K1654&amp;M1654,製品マスタ!$M$5:$AE$4999,19,FALSE),IF(OR(J1654="リード付け",J1654="巻返しリード付け"),"",IF(J1654="スリット",VLOOKUP(F1654&amp;K1654&amp;R1654,製品マスタ!$N$5:$AE$4999,18,FALSE),""))))))</f>
        <v/>
      </c>
      <c r="Y1654" s="256">
        <f ca="1">IF(D1654="","",IF(T1654="","",VLOOKUP(D1654,契約台帳!$A$3:$Q$4986,17,FALSE)))</f>
        <v>2</v>
      </c>
      <c r="Z1654" s="256" t="str">
        <f ca="1">IF(D1654="","",IF(T1654="","",VLOOKUP(D1654,契約台帳!$A$3:$E$4986,5,FALSE)))</f>
        <v>リンテック㈱</v>
      </c>
      <c r="AA1654" s="54"/>
      <c r="AB1654" s="200">
        <f>IFERROR((VLOOKUP(F1654&amp;K1654&amp;M1654,製品マスタ!$M$5:$AM$4999,27,FALSE)),"")</f>
        <v>0</v>
      </c>
      <c r="AC1654" s="31"/>
      <c r="AD1654" s="184"/>
      <c r="AE1654" s="51"/>
      <c r="AF1654" s="52">
        <f>+M1654*N1654*O1654/1000</f>
        <v>26880</v>
      </c>
      <c r="AG1654" s="41"/>
      <c r="AH1654" s="45"/>
      <c r="AI1654" s="28"/>
      <c r="AJ1654" s="28"/>
      <c r="AK1654" s="28"/>
      <c r="AL1654" s="28"/>
      <c r="AM1654" s="12"/>
      <c r="AN1654" s="12"/>
      <c r="AO1654" s="12"/>
      <c r="AP1654" s="12"/>
      <c r="AQ1654" s="12"/>
      <c r="AR1654" s="13"/>
      <c r="AS1654" s="14"/>
    </row>
    <row r="1655" spans="1:45" s="16" customFormat="1" ht="30.95" hidden="1" customHeight="1" x14ac:dyDescent="0.2">
      <c r="A1655" s="35"/>
      <c r="B1655" s="36"/>
      <c r="C1655" s="43"/>
      <c r="D1655" s="29"/>
      <c r="E1655" s="29"/>
      <c r="F1655" s="255"/>
      <c r="G1655" s="256"/>
      <c r="H1655" s="256"/>
      <c r="I1655" s="200"/>
      <c r="J1655" s="203"/>
      <c r="K1655" s="200"/>
      <c r="L1655" s="200"/>
      <c r="M1655" s="37"/>
      <c r="N1655" s="37"/>
      <c r="O1655" s="153"/>
      <c r="P1655" s="45"/>
      <c r="Q1655" s="54"/>
      <c r="R1655" s="260"/>
      <c r="S1655" s="258"/>
      <c r="T1655" s="258"/>
      <c r="U1655" s="38"/>
      <c r="V1655" s="261"/>
      <c r="W1655" s="256"/>
      <c r="X1655" s="256"/>
      <c r="Y1655" s="256"/>
      <c r="Z1655" s="256"/>
      <c r="AA1655" s="54"/>
      <c r="AB1655" s="200"/>
      <c r="AC1655" s="31"/>
      <c r="AD1655" s="184"/>
      <c r="AE1655" s="51"/>
      <c r="AF1655" s="52"/>
      <c r="AG1655" s="41"/>
      <c r="AH1655" s="45"/>
      <c r="AI1655" s="28"/>
      <c r="AJ1655" s="28"/>
      <c r="AK1655" s="28"/>
      <c r="AL1655" s="28"/>
      <c r="AM1655" s="12"/>
      <c r="AN1655" s="12"/>
      <c r="AO1655" s="12"/>
      <c r="AP1655" s="12"/>
      <c r="AQ1655" s="12"/>
      <c r="AR1655" s="13"/>
      <c r="AS1655" s="14"/>
    </row>
    <row r="1656" spans="1:45" s="16" customFormat="1" ht="30" hidden="1" customHeight="1" x14ac:dyDescent="0.2">
      <c r="A1656" s="35" t="s">
        <v>2281</v>
      </c>
      <c r="B1656" s="36" t="s">
        <v>2282</v>
      </c>
      <c r="C1656" s="43"/>
      <c r="D1656" s="29">
        <v>3744891</v>
      </c>
      <c r="E1656" s="29">
        <v>4162243</v>
      </c>
      <c r="F1656" s="255" t="str">
        <f>IF(D1656="","",VLOOKUP(D1656,契約台帳!$A$3:$K$4986,6,FALSE)&amp;VLOOKUP(D1656,契約台帳!$A$3:$K$4986,7,FALSE)&amp;VLOOKUP(D1656,契約台帳!$A$3:$K$4986,8,FALSE)&amp;VLOOKUP(D1656,契約台帳!$A$3:$K$4986,9,FALSE)&amp;VLOOKUP(D1656,契約台帳!$A$3:$K$4986,11,FALSE))</f>
        <v>3SYMLBMSSMBF</v>
      </c>
      <c r="G1656" s="256" t="str">
        <f>IF(D1656="","",VLOOKUP(F1656,製品マスタ!$G$5:$H$4999,2,FALSE))</f>
        <v>S</v>
      </c>
      <c r="H1656" s="256" t="str">
        <f>IF(D1656="","",VLOOKUP(F1656,製品マスタ!$G$5:$K$4999,5,FALSE))</f>
        <v>MSSMBF</v>
      </c>
      <c r="I1656" s="200" t="str">
        <f>IF(D1656="","",VLOOKUP(F1656,製品マスタ!$G$5:$L$4999,6,FALSE))</f>
        <v>ＭＥＴＡＬＵＭＹ　ＳＩＬＶＥＲ　Ｓ－ＭＡＴＴＥ　Ｓ２８ＭＭ　Ｂ</v>
      </c>
      <c r="J1656" s="203" t="s">
        <v>935</v>
      </c>
      <c r="K1656" s="200">
        <f>IF(D1656="","",VLOOKUP(D1656,契約台帳!$A$3:$L$4986,12,FALSE))</f>
        <v>50</v>
      </c>
      <c r="L1656" s="200" t="str">
        <f>IF(D1656="","",INDEX(製品マスタ!$Q$5:$Q$4999,MATCH('S4'!F1656&amp;'S4'!K1656,製品マスタ!$AO$5:$AO$4999,0)))</f>
        <v>LI-MAT</v>
      </c>
      <c r="M1656" s="37">
        <v>1120</v>
      </c>
      <c r="N1656" s="37">
        <v>4000</v>
      </c>
      <c r="O1656" s="153">
        <v>2</v>
      </c>
      <c r="P1656" s="45">
        <v>2</v>
      </c>
      <c r="Q1656" s="206">
        <v>45355</v>
      </c>
      <c r="R1656" s="257">
        <f ca="1">IF(D1656="","",IF(OFFSET(D1656,-1,0)&lt;&gt;"","",IF(OR(J1656="リード付け",J1656="巻足し",J1656="巻返しリード付け"),M1656,VLOOKUP(D1656,契約台帳!$A$3:$N$4986,14,FALSE))))</f>
        <v>1120</v>
      </c>
      <c r="S1656" s="258">
        <f ca="1">IF(D1656="","",IF(OFFSET(D1656,-1,0)&lt;&gt;"","",IF(OR(J1656="リード付け",J1656="巻足し",J1656="巻返しリード付け"),M1656,VLOOKUP(D1656,契約台帳!$A$3:$O$4986,15,FALSE))))</f>
        <v>1120</v>
      </c>
      <c r="T1656" s="258">
        <f ca="1">IF(D1656="","",IF(J1656="リード付け",N1656,IF(J1656="巻返しリード付け",N1656,IF(J1656="巻足し",N1656*P1656+OFFSET(N1656,1,0)*OFFSET(P1656,1,0),VLOOKUP(D1656,契約台帳!$A$3:$P$4986,16,FALSE)))))</f>
        <v>8000</v>
      </c>
      <c r="U1656" s="38">
        <v>1</v>
      </c>
      <c r="V1656" s="259" t="str">
        <f ca="1">IF(D1656="","",IF(OFFSET(D1656,-2,0)=D1656,"",VLOOKUP(D1656,契約台帳!$A$3:$R$4986,18,FALSE)))</f>
        <v/>
      </c>
      <c r="W1656" s="256" t="str">
        <f ca="1">IF(D1656="","",IF(T1656="","",IF(OR(J1656="巻足し",J1656="巻返しリード付け"),"",IF(J1656="巻返し",VLOOKUP(F1656&amp;K1656&amp;M1656,製品マスタ!$M$5:$AD$4999,18,FALSE),IF(OR(J1656="リード付け",J1656="巻返しリード付け"),"原反コア",IF(J1656="スリット",VLOOKUP(F1656&amp;K1656&amp;R1656,製品マスタ!$N$5:$AD$4999,17,FALSE),""))))))</f>
        <v/>
      </c>
      <c r="X1656" s="256" t="str">
        <f ca="1">IF(D1656="","",IF(T1656="","",IF(J1656="巻足し","",IF(J1656="巻返し",VLOOKUP(F1656&amp;K1656&amp;M1656,製品マスタ!$M$5:$AE$4999,19,FALSE),IF(OR(J1656="リード付け",J1656="巻返しリード付け"),"",IF(J1656="スリット",VLOOKUP(F1656&amp;K1656&amp;R1656,製品マスタ!$N$5:$AE$4999,18,FALSE),""))))))</f>
        <v/>
      </c>
      <c r="Y1656" s="256">
        <f ca="1">IF(D1656="","",IF(T1656="","",VLOOKUP(D1656,契約台帳!$A$3:$Q$4986,17,FALSE)))</f>
        <v>2</v>
      </c>
      <c r="Z1656" s="256" t="str">
        <f ca="1">IF(D1656="","",IF(T1656="","",VLOOKUP(D1656,契約台帳!$A$3:$E$4986,5,FALSE)))</f>
        <v>リンテック㈱</v>
      </c>
      <c r="AA1656" s="54"/>
      <c r="AB1656" s="200">
        <f>IFERROR((VLOOKUP(F1656&amp;K1656&amp;M1656,製品マスタ!$M$5:$AM$4999,27,FALSE)),"")</f>
        <v>0</v>
      </c>
      <c r="AC1656" s="31"/>
      <c r="AD1656" s="184"/>
      <c r="AE1656" s="51"/>
      <c r="AF1656" s="52">
        <f>+M1656*N1656*O1656/1000</f>
        <v>8960</v>
      </c>
      <c r="AG1656" s="41"/>
      <c r="AH1656" s="45"/>
      <c r="AI1656" s="28"/>
      <c r="AJ1656" s="28"/>
      <c r="AK1656" s="28"/>
      <c r="AL1656" s="28"/>
      <c r="AM1656" s="12"/>
      <c r="AN1656" s="12"/>
      <c r="AO1656" s="12"/>
      <c r="AP1656" s="12"/>
      <c r="AQ1656" s="12"/>
      <c r="AR1656" s="13"/>
      <c r="AS1656" s="14"/>
    </row>
    <row r="1657" spans="1:45" s="16" customFormat="1" ht="30.95" hidden="1" customHeight="1" x14ac:dyDescent="0.2">
      <c r="A1657" s="35"/>
      <c r="B1657" s="36"/>
      <c r="C1657" s="43"/>
      <c r="D1657" s="29"/>
      <c r="E1657" s="29"/>
      <c r="F1657" s="255"/>
      <c r="G1657" s="256"/>
      <c r="H1657" s="256"/>
      <c r="I1657" s="200"/>
      <c r="J1657" s="203"/>
      <c r="K1657" s="200"/>
      <c r="L1657" s="200"/>
      <c r="M1657" s="37"/>
      <c r="N1657" s="37"/>
      <c r="O1657" s="153"/>
      <c r="P1657" s="45"/>
      <c r="Q1657" s="54"/>
      <c r="R1657" s="260"/>
      <c r="S1657" s="258"/>
      <c r="T1657" s="258"/>
      <c r="U1657" s="38"/>
      <c r="V1657" s="261"/>
      <c r="W1657" s="256"/>
      <c r="X1657" s="256"/>
      <c r="Y1657" s="256"/>
      <c r="Z1657" s="256"/>
      <c r="AA1657" s="54"/>
      <c r="AB1657" s="200"/>
      <c r="AC1657" s="31"/>
      <c r="AD1657" s="184"/>
      <c r="AE1657" s="51"/>
      <c r="AF1657" s="52"/>
      <c r="AG1657" s="41"/>
      <c r="AH1657" s="45"/>
      <c r="AI1657" s="28"/>
      <c r="AJ1657" s="28"/>
      <c r="AK1657" s="28"/>
      <c r="AL1657" s="28"/>
      <c r="AM1657" s="12"/>
      <c r="AN1657" s="12"/>
      <c r="AO1657" s="12"/>
      <c r="AP1657" s="12"/>
      <c r="AQ1657" s="12"/>
      <c r="AR1657" s="13"/>
      <c r="AS1657" s="14"/>
    </row>
    <row r="1658" spans="1:45" s="16" customFormat="1" ht="30" hidden="1" customHeight="1" x14ac:dyDescent="0.2">
      <c r="A1658" s="35"/>
      <c r="B1658" s="36"/>
      <c r="C1658" s="43"/>
      <c r="D1658" s="29">
        <v>3745646</v>
      </c>
      <c r="E1658" s="29">
        <v>4162239</v>
      </c>
      <c r="F1658" s="255" t="str">
        <f>IF(D1658="","",VLOOKUP(D1658,契約台帳!$A$3:$K$4986,6,FALSE)&amp;VLOOKUP(D1658,契約台帳!$A$3:$K$4986,7,FALSE)&amp;VLOOKUP(D1658,契約台帳!$A$3:$K$4986,8,FALSE)&amp;VLOOKUP(D1658,契約台帳!$A$3:$K$4986,9,FALSE)&amp;VLOOKUP(D1658,契約台帳!$A$3:$K$4986,11,FALSE))</f>
        <v>3SYMLBMSSMBF</v>
      </c>
      <c r="G1658" s="256" t="str">
        <f>IF(D1658="","",VLOOKUP(F1658,製品マスタ!$G$5:$H$4999,2,FALSE))</f>
        <v>S</v>
      </c>
      <c r="H1658" s="256" t="str">
        <f>IF(D1658="","",VLOOKUP(F1658,製品マスタ!$G$5:$K$4999,5,FALSE))</f>
        <v>MSSMBF</v>
      </c>
      <c r="I1658" s="200" t="str">
        <f>IF(D1658="","",VLOOKUP(F1658,製品マスタ!$G$5:$L$4999,6,FALSE))</f>
        <v>ＭＥＴＡＬＵＭＹ　ＳＩＬＶＥＲ　Ｓ－ＭＡＴＴＥ　Ｓ２８ＭＭ　Ｂ</v>
      </c>
      <c r="J1658" s="203" t="s">
        <v>464</v>
      </c>
      <c r="K1658" s="200">
        <f>IF(D1658="","",VLOOKUP(D1658,契約台帳!$A$3:$L$4986,12,FALSE))</f>
        <v>25</v>
      </c>
      <c r="L1658" s="200" t="str">
        <f>IF(D1658="","",INDEX(製品マスタ!$Q$5:$Q$4999,MATCH('S4'!F1658&amp;'S4'!K1658,製品マスタ!$AO$5:$AO$4999,0)))</f>
        <v>LI-MAT</v>
      </c>
      <c r="M1658" s="37">
        <v>1120</v>
      </c>
      <c r="N1658" s="37">
        <v>8000</v>
      </c>
      <c r="O1658" s="153">
        <v>2</v>
      </c>
      <c r="P1658" s="45">
        <v>1</v>
      </c>
      <c r="Q1658" s="206">
        <v>45355</v>
      </c>
      <c r="R1658" s="257">
        <f ca="1">IF(D1658="","",IF(OFFSET(D1658,-1,0)&lt;&gt;"","",IF(OR(J1658="リード付け",J1658="巻足し",J1658="巻返しリード付け"),M1658,VLOOKUP(D1658,契約台帳!$A$3:$N$4986,14,FALSE))))</f>
        <v>1120</v>
      </c>
      <c r="S1658" s="258">
        <f ca="1">IF(D1658="","",IF(OFFSET(D1658,-1,0)&lt;&gt;"","",IF(OR(J1658="リード付け",J1658="巻足し",J1658="巻返しリード付け"),M1658,VLOOKUP(D1658,契約台帳!$A$3:$O$4986,15,FALSE))))</f>
        <v>1120</v>
      </c>
      <c r="T1658" s="258">
        <f ca="1">IF(D1658="","",IF(J1658="リード付け",N1658,IF(J1658="巻返しリード付け",N1658,IF(J1658="巻足し",N1658*P1658+OFFSET(N1658,1,0)*OFFSET(P1658,1,0),VLOOKUP(D1658,契約台帳!$A$3:$P$4986,16,FALSE)))))</f>
        <v>8000</v>
      </c>
      <c r="U1658" s="38">
        <v>2</v>
      </c>
      <c r="V1658" s="259">
        <f ca="1">IF(D1658="","",IF(OFFSET(D1658,-2,0)=D1658,"",VLOOKUP(D1658,契約台帳!$A$3:$R$4986,18,FALSE)))</f>
        <v>2</v>
      </c>
      <c r="W1658" s="256" t="str">
        <f ca="1">IF(D1658="","",IF(T1658="","",IF(OR(J1658="巻足し",J1658="巻返しリード付け"),"",IF(J1658="巻返し",VLOOKUP(F1658&amp;K1658&amp;M1658,製品マスタ!$M$5:$AD$4999,18,FALSE),IF(OR(J1658="リード付け",J1658="巻返しリード付け"),"原反コア",IF(J1658="スリット",VLOOKUP(F1658&amp;K1658&amp;R1658,製品マスタ!$N$5:$AD$4999,17,FALSE),""))))))</f>
        <v>原反コア</v>
      </c>
      <c r="X1658" s="256" t="str">
        <f ca="1">IF(D1658="","",IF(T1658="","",IF(J1658="巻足し","",IF(J1658="巻返し",VLOOKUP(F1658&amp;K1658&amp;M1658,製品マスタ!$M$5:$AE$4999,19,FALSE),IF(OR(J1658="リード付け",J1658="巻返しリード付け"),"",IF(J1658="スリット",VLOOKUP(F1658&amp;K1658&amp;R1658,製品マスタ!$N$5:$AE$4999,18,FALSE),""))))))</f>
        <v/>
      </c>
      <c r="Y1658" s="256">
        <f ca="1">IF(D1658="","",IF(T1658="","",VLOOKUP(D1658,契約台帳!$A$3:$Q$4986,17,FALSE)))</f>
        <v>2</v>
      </c>
      <c r="Z1658" s="256" t="str">
        <f ca="1">IF(D1658="","",IF(T1658="","",VLOOKUP(D1658,契約台帳!$A$3:$E$4986,5,FALSE)))</f>
        <v>リンテック㈱</v>
      </c>
      <c r="AA1658" s="54"/>
      <c r="AB1658" s="200">
        <f>IFERROR((VLOOKUP(F1658&amp;K1658&amp;M1658,製品マスタ!$M$5:$AM$4999,27,FALSE)),"")</f>
        <v>0</v>
      </c>
      <c r="AC1658" s="31"/>
      <c r="AD1658" s="184"/>
      <c r="AE1658" s="51"/>
      <c r="AF1658" s="52">
        <f>+M1658*N1658*O1658/1000</f>
        <v>17920</v>
      </c>
      <c r="AG1658" s="41"/>
      <c r="AH1658" s="45"/>
      <c r="AI1658" s="28"/>
      <c r="AJ1658" s="28"/>
      <c r="AK1658" s="28"/>
      <c r="AL1658" s="28"/>
      <c r="AM1658" s="12"/>
      <c r="AN1658" s="12"/>
      <c r="AO1658" s="12"/>
      <c r="AP1658" s="12"/>
      <c r="AQ1658" s="12"/>
      <c r="AR1658" s="13"/>
      <c r="AS1658" s="14"/>
    </row>
    <row r="1659" spans="1:45" s="16" customFormat="1" ht="30.95" hidden="1" customHeight="1" x14ac:dyDescent="0.2">
      <c r="A1659" s="35"/>
      <c r="B1659" s="36"/>
      <c r="C1659" s="43"/>
      <c r="D1659" s="29"/>
      <c r="E1659" s="29"/>
      <c r="F1659" s="255"/>
      <c r="G1659" s="256"/>
      <c r="H1659" s="256"/>
      <c r="I1659" s="200"/>
      <c r="J1659" s="203"/>
      <c r="K1659" s="200"/>
      <c r="L1659" s="200"/>
      <c r="M1659" s="37"/>
      <c r="N1659" s="37"/>
      <c r="O1659" s="153"/>
      <c r="P1659" s="45"/>
      <c r="Q1659" s="54"/>
      <c r="R1659" s="260"/>
      <c r="S1659" s="258"/>
      <c r="T1659" s="258"/>
      <c r="U1659" s="38"/>
      <c r="V1659" s="261"/>
      <c r="W1659" s="256"/>
      <c r="X1659" s="256"/>
      <c r="Y1659" s="256"/>
      <c r="Z1659" s="256"/>
      <c r="AA1659" s="54"/>
      <c r="AB1659" s="200"/>
      <c r="AC1659" s="31"/>
      <c r="AD1659" s="184"/>
      <c r="AE1659" s="51"/>
      <c r="AF1659" s="52"/>
      <c r="AG1659" s="41"/>
      <c r="AH1659" s="45"/>
      <c r="AI1659" s="28"/>
      <c r="AJ1659" s="28"/>
      <c r="AK1659" s="28"/>
      <c r="AL1659" s="28"/>
      <c r="AM1659" s="12"/>
      <c r="AN1659" s="12"/>
      <c r="AO1659" s="12"/>
      <c r="AP1659" s="12"/>
      <c r="AQ1659" s="12"/>
      <c r="AR1659" s="13"/>
      <c r="AS1659" s="14"/>
    </row>
    <row r="1660" spans="1:45" s="16" customFormat="1" ht="30.6" hidden="1" customHeight="1" x14ac:dyDescent="0.2">
      <c r="A1660" s="35"/>
      <c r="B1660" s="36"/>
      <c r="C1660" s="43"/>
      <c r="D1660" s="29">
        <v>3744890</v>
      </c>
      <c r="E1660" s="29">
        <v>4162236</v>
      </c>
      <c r="F1660" s="255" t="str">
        <f>IF(D1660="","",VLOOKUP(D1660,契約台帳!$A$3:$K$4986,6,FALSE)&amp;VLOOKUP(D1660,契約台帳!$A$3:$K$4986,7,FALSE)&amp;VLOOKUP(D1660,契約台帳!$A$3:$K$4986,8,FALSE)&amp;VLOOKUP(D1660,契約台帳!$A$3:$K$4986,9,FALSE)&amp;VLOOKUP(D1660,契約台帳!$A$3:$K$4986,11,FALSE))</f>
        <v>3SYMLBMSNMBF</v>
      </c>
      <c r="G1660" s="256" t="str">
        <f>IF(D1660="","",VLOOKUP(F1660,製品マスタ!$G$5:$H$4999,2,FALSE))</f>
        <v>S</v>
      </c>
      <c r="H1660" s="256" t="str">
        <f>IF(D1660="","",VLOOKUP(F1660,製品マスタ!$G$5:$K$4999,5,FALSE))</f>
        <v>MSNMBF</v>
      </c>
      <c r="I1660" s="200" t="str">
        <f>IF(D1660="","",VLOOKUP(F1660,製品マスタ!$G$5:$L$4999,6,FALSE))</f>
        <v>ＭＥＴＡＬＵＭＹ　ＳＩＬＶＥＲ　Ｎ－ＭＡＴＴＥ　Ｘ４４Ｍ　Ｂ</v>
      </c>
      <c r="J1660" s="203" t="s">
        <v>935</v>
      </c>
      <c r="K1660" s="200">
        <f>IF(D1660="","",VLOOKUP(D1660,契約台帳!$A$3:$L$4986,12,FALSE))</f>
        <v>50</v>
      </c>
      <c r="L1660" s="200" t="str">
        <f>IF(D1660="","",INDEX(製品マスタ!$Q$5:$Q$4999,MATCH('S4'!F1660&amp;'S4'!K1660,製品マスタ!$AO$5:$AO$4999,0)))</f>
        <v>X44</v>
      </c>
      <c r="M1660" s="37">
        <v>1120</v>
      </c>
      <c r="N1660" s="37">
        <v>4000</v>
      </c>
      <c r="O1660" s="153">
        <v>2</v>
      </c>
      <c r="P1660" s="45">
        <v>2</v>
      </c>
      <c r="Q1660" s="206">
        <v>45355</v>
      </c>
      <c r="R1660" s="257">
        <f ca="1">IF(D1660="","",IF(OFFSET(D1660,-1,0)&lt;&gt;"","",IF(OR(J1660="リード付け",J1660="巻足し",J1660="巻返しリード付け"),M1660,VLOOKUP(D1660,契約台帳!$A$3:$N$4986,14,FALSE))))</f>
        <v>1120</v>
      </c>
      <c r="S1660" s="258">
        <f ca="1">IF(D1660="","",IF(OFFSET(D1660,-1,0)&lt;&gt;"","",IF(OR(J1660="リード付け",J1660="巻足し",J1660="巻返しリード付け"),M1660,VLOOKUP(D1660,契約台帳!$A$3:$O$4986,15,FALSE))))</f>
        <v>1120</v>
      </c>
      <c r="T1660" s="258">
        <f ca="1">IF(D1660="","",IF(J1660="リード付け",N1660,IF(J1660="巻返しリード付け",N1660,IF(J1660="巻足し",N1660*P1660+OFFSET(N1660,1,0)*OFFSET(P1660,1,0),VLOOKUP(D1660,契約台帳!$A$3:$P$4986,16,FALSE)))))</f>
        <v>8000</v>
      </c>
      <c r="U1660" s="38">
        <v>1</v>
      </c>
      <c r="V1660" s="259">
        <f ca="1">IF(D1660="","",IF(OFFSET(D1660,-2,0)=D1660,"",VLOOKUP(D1660,契約台帳!$A$3:$R$4986,18,FALSE)))</f>
        <v>2</v>
      </c>
      <c r="W1660" s="256" t="str">
        <f ca="1">IF(D1660="","",IF(T1660="","",IF(OR(J1660="巻足し",J1660="巻返しリード付け"),"",IF(J1660="巻返し",VLOOKUP(F1660&amp;K1660&amp;M1660,製品マスタ!$M$5:$AD$4999,18,FALSE),IF(OR(J1660="リード付け",J1660="巻返しリード付け"),"原反コア",IF(J1660="スリット",VLOOKUP(F1660&amp;K1660&amp;R1660,製品マスタ!$N$5:$AD$4999,17,FALSE),""))))))</f>
        <v/>
      </c>
      <c r="X1660" s="256" t="str">
        <f ca="1">IF(D1660="","",IF(T1660="","",IF(J1660="巻足し","",IF(J1660="巻返し",VLOOKUP(F1660&amp;K1660&amp;M1660,製品マスタ!$M$5:$AE$4999,19,FALSE),IF(OR(J1660="リード付け",J1660="巻返しリード付け"),"",IF(J1660="スリット",VLOOKUP(F1660&amp;K1660&amp;R1660,製品マスタ!$N$5:$AE$4999,18,FALSE),""))))))</f>
        <v/>
      </c>
      <c r="Y1660" s="256">
        <f ca="1">IF(D1660="","",IF(T1660="","",VLOOKUP(D1660,契約台帳!$A$3:$Q$4986,17,FALSE)))</f>
        <v>2</v>
      </c>
      <c r="Z1660" s="256" t="str">
        <f ca="1">IF(D1660="","",IF(T1660="","",VLOOKUP(D1660,契約台帳!$A$3:$E$4986,5,FALSE)))</f>
        <v>リンテック㈱</v>
      </c>
      <c r="AA1660" s="54"/>
      <c r="AB1660" s="200">
        <f>IFERROR((VLOOKUP(F1660&amp;K1660&amp;M1660,製品マスタ!$M$5:$AM$4999,27,FALSE)),"")</f>
        <v>0</v>
      </c>
      <c r="AC1660" s="31"/>
      <c r="AD1660" s="184"/>
      <c r="AE1660" s="51"/>
      <c r="AF1660" s="52">
        <f>+M1660*N1660*O1660/1000</f>
        <v>8960</v>
      </c>
      <c r="AG1660" s="41"/>
      <c r="AH1660" s="45"/>
      <c r="AI1660" s="28"/>
      <c r="AJ1660" s="28"/>
      <c r="AK1660" s="28"/>
      <c r="AL1660" s="28"/>
      <c r="AM1660" s="12"/>
      <c r="AN1660" s="12"/>
      <c r="AO1660" s="12"/>
      <c r="AP1660" s="12"/>
      <c r="AQ1660" s="12"/>
      <c r="AR1660" s="13"/>
      <c r="AS1660" s="14"/>
    </row>
    <row r="1661" spans="1:45" s="16" customFormat="1" ht="30.95" hidden="1" customHeight="1" x14ac:dyDescent="0.2">
      <c r="A1661" s="35"/>
      <c r="B1661" s="36"/>
      <c r="C1661" s="43"/>
      <c r="D1661" s="29"/>
      <c r="E1661" s="29"/>
      <c r="F1661" s="255"/>
      <c r="G1661" s="256"/>
      <c r="H1661" s="256"/>
      <c r="I1661" s="200"/>
      <c r="J1661" s="203"/>
      <c r="K1661" s="200"/>
      <c r="L1661" s="200"/>
      <c r="M1661" s="37"/>
      <c r="N1661" s="37"/>
      <c r="O1661" s="153"/>
      <c r="P1661" s="45"/>
      <c r="Q1661" s="54"/>
      <c r="R1661" s="260"/>
      <c r="S1661" s="258"/>
      <c r="T1661" s="258"/>
      <c r="U1661" s="38"/>
      <c r="V1661" s="261"/>
      <c r="W1661" s="256"/>
      <c r="X1661" s="256"/>
      <c r="Y1661" s="256"/>
      <c r="Z1661" s="256"/>
      <c r="AA1661" s="54"/>
      <c r="AB1661" s="200"/>
      <c r="AC1661" s="31"/>
      <c r="AD1661" s="184"/>
      <c r="AE1661" s="51"/>
      <c r="AF1661" s="52"/>
      <c r="AG1661" s="41"/>
      <c r="AH1661" s="45"/>
      <c r="AI1661" s="28"/>
      <c r="AJ1661" s="28"/>
      <c r="AK1661" s="28"/>
      <c r="AL1661" s="28"/>
      <c r="AM1661" s="12"/>
      <c r="AN1661" s="12"/>
      <c r="AO1661" s="12"/>
      <c r="AP1661" s="12"/>
      <c r="AQ1661" s="12"/>
      <c r="AR1661" s="13"/>
      <c r="AS1661" s="14"/>
    </row>
    <row r="1662" spans="1:45" s="16" customFormat="1" ht="30.6" hidden="1" customHeight="1" x14ac:dyDescent="0.2">
      <c r="A1662" s="35"/>
      <c r="B1662" s="36"/>
      <c r="C1662" s="43"/>
      <c r="D1662" s="29">
        <v>3744884</v>
      </c>
      <c r="E1662" s="29">
        <v>4162242</v>
      </c>
      <c r="F1662" s="255" t="str">
        <f>IF(D1662="","",VLOOKUP(D1662,契約台帳!$A$3:$K$4986,6,FALSE)&amp;VLOOKUP(D1662,契約台帳!$A$3:$K$4986,7,FALSE)&amp;VLOOKUP(D1662,契約台帳!$A$3:$K$4986,8,FALSE)&amp;VLOOKUP(D1662,契約台帳!$A$3:$K$4986,9,FALSE)&amp;VLOOKUP(D1662,契約台帳!$A$3:$K$4986,11,FALSE))</f>
        <v>3SNMLBMNGTBF</v>
      </c>
      <c r="G1662" s="256" t="str">
        <f>IF(D1662="","",VLOOKUP(F1662,製品マスタ!$G$5:$H$4999,2,FALSE))</f>
        <v>S</v>
      </c>
      <c r="H1662" s="256" t="str">
        <f>IF(D1662="","",VLOOKUP(F1662,製品マスタ!$G$5:$K$4999,5,FALSE))</f>
        <v>MNGTBF</v>
      </c>
      <c r="I1662" s="200" t="str">
        <f>IF(D1662="","",VLOOKUP(F1662,製品マスタ!$G$5:$L$4999,6,FALSE))</f>
        <v>メタルミー　ネーマー　銀艶　Ｂ</v>
      </c>
      <c r="J1662" s="203" t="s">
        <v>935</v>
      </c>
      <c r="K1662" s="200">
        <f>IF(D1662="","",VLOOKUP(D1662,契約台帳!$A$3:$L$4986,12,FALSE))</f>
        <v>50</v>
      </c>
      <c r="L1662" s="200" t="str">
        <f>IF(D1662="","",INDEX(製品マスタ!$Q$5:$Q$4999,MATCH('S4'!F1662&amp;'S4'!K1662,製品マスタ!$AO$5:$AO$4999,0)))</f>
        <v>T62</v>
      </c>
      <c r="M1662" s="37">
        <v>1120</v>
      </c>
      <c r="N1662" s="37">
        <v>5000</v>
      </c>
      <c r="O1662" s="153">
        <v>14</v>
      </c>
      <c r="P1662" s="45">
        <v>2</v>
      </c>
      <c r="Q1662" s="206">
        <v>45355</v>
      </c>
      <c r="R1662" s="257">
        <f ca="1">IF(D1662="","",IF(OFFSET(D1662,-1,0)&lt;&gt;"","",IF(OR(J1662="リード付け",J1662="巻足し",J1662="巻返しリード付け"),M1662,VLOOKUP(D1662,契約台帳!$A$3:$N$4986,14,FALSE))))</f>
        <v>1120</v>
      </c>
      <c r="S1662" s="258">
        <f ca="1">IF(D1662="","",IF(OFFSET(D1662,-1,0)&lt;&gt;"","",IF(OR(J1662="リード付け",J1662="巻足し",J1662="巻返しリード付け"),M1662,VLOOKUP(D1662,契約台帳!$A$3:$O$4986,15,FALSE))))</f>
        <v>1120</v>
      </c>
      <c r="T1662" s="258">
        <f ca="1">IF(D1662="","",IF(J1662="リード付け",N1662,IF(J1662="巻返しリード付け",N1662,IF(J1662="巻足し",N1662*P1662+OFFSET(N1662,1,0)*OFFSET(P1662,1,0),VLOOKUP(D1662,契約台帳!$A$3:$P$4986,16,FALSE)))))</f>
        <v>10000</v>
      </c>
      <c r="U1662" s="38">
        <v>7</v>
      </c>
      <c r="V1662" s="259">
        <f ca="1">IF(D1662="","",IF(OFFSET(D1662,-2,0)=D1662,"",VLOOKUP(D1662,契約台帳!$A$3:$R$4986,18,FALSE)))</f>
        <v>14</v>
      </c>
      <c r="W1662" s="256" t="str">
        <f ca="1">IF(D1662="","",IF(T1662="","",IF(OR(J1662="巻足し",J1662="巻返しリード付け"),"",IF(J1662="巻返し",VLOOKUP(F1662&amp;K1662&amp;M1662,製品マスタ!$M$5:$AD$4999,18,FALSE),IF(OR(J1662="リード付け",J1662="巻返しリード付け"),"原反コア",IF(J1662="スリット",VLOOKUP(F1662&amp;K1662&amp;R1662,製品マスタ!$N$5:$AD$4999,17,FALSE),""))))))</f>
        <v/>
      </c>
      <c r="X1662" s="256" t="str">
        <f ca="1">IF(D1662="","",IF(T1662="","",IF(J1662="巻足し","",IF(J1662="巻返し",VLOOKUP(F1662&amp;K1662&amp;M1662,製品マスタ!$M$5:$AE$4999,19,FALSE),IF(OR(J1662="リード付け",J1662="巻返しリード付け"),"",IF(J1662="スリット",VLOOKUP(F1662&amp;K1662&amp;R1662,製品マスタ!$N$5:$AE$4999,18,FALSE),""))))))</f>
        <v/>
      </c>
      <c r="Y1662" s="256">
        <f ca="1">IF(D1662="","",IF(T1662="","",VLOOKUP(D1662,契約台帳!$A$3:$Q$4986,17,FALSE)))</f>
        <v>2</v>
      </c>
      <c r="Z1662" s="256" t="str">
        <f ca="1">IF(D1662="","",IF(T1662="","",VLOOKUP(D1662,契約台帳!$A$3:$E$4986,5,FALSE)))</f>
        <v>リンテック㈱</v>
      </c>
      <c r="AA1662" s="54"/>
      <c r="AB1662" s="200" t="str">
        <f>IFERROR((VLOOKUP(F1662&amp;K1662&amp;M1662,製品マスタ!$M$5:$AM$4999,27,FALSE)),"")</f>
        <v>原反ケース再利用</v>
      </c>
      <c r="AC1662" s="31"/>
      <c r="AD1662" s="184"/>
      <c r="AE1662" s="51"/>
      <c r="AF1662" s="52">
        <f>+M1662*N1662*O1662/1000</f>
        <v>78400</v>
      </c>
      <c r="AG1662" s="41"/>
      <c r="AH1662" s="45"/>
      <c r="AI1662" s="28"/>
      <c r="AJ1662" s="28"/>
      <c r="AK1662" s="28"/>
      <c r="AL1662" s="28"/>
      <c r="AM1662" s="12"/>
      <c r="AN1662" s="12"/>
      <c r="AO1662" s="12"/>
      <c r="AP1662" s="12"/>
      <c r="AQ1662" s="12"/>
      <c r="AR1662" s="13"/>
      <c r="AS1662" s="14"/>
    </row>
    <row r="1663" spans="1:45" s="16" customFormat="1" ht="30.95" hidden="1" customHeight="1" x14ac:dyDescent="0.2">
      <c r="A1663" s="35"/>
      <c r="B1663" s="36"/>
      <c r="C1663" s="43"/>
      <c r="D1663" s="29"/>
      <c r="E1663" s="29"/>
      <c r="F1663" s="255"/>
      <c r="G1663" s="256"/>
      <c r="H1663" s="256"/>
      <c r="I1663" s="200"/>
      <c r="J1663" s="203"/>
      <c r="K1663" s="200"/>
      <c r="L1663" s="200"/>
      <c r="M1663" s="37"/>
      <c r="N1663" s="37"/>
      <c r="O1663" s="153"/>
      <c r="P1663" s="45"/>
      <c r="Q1663" s="54"/>
      <c r="R1663" s="260"/>
      <c r="S1663" s="258"/>
      <c r="T1663" s="258"/>
      <c r="U1663" s="38"/>
      <c r="V1663" s="261"/>
      <c r="W1663" s="256"/>
      <c r="X1663" s="256"/>
      <c r="Y1663" s="256"/>
      <c r="Z1663" s="256"/>
      <c r="AA1663" s="54"/>
      <c r="AB1663" s="200"/>
      <c r="AC1663" s="31"/>
      <c r="AD1663" s="184"/>
      <c r="AE1663" s="51"/>
      <c r="AF1663" s="52"/>
      <c r="AG1663" s="41"/>
      <c r="AH1663" s="45"/>
      <c r="AI1663" s="28"/>
      <c r="AJ1663" s="28"/>
      <c r="AK1663" s="28"/>
      <c r="AL1663" s="28"/>
      <c r="AM1663" s="12"/>
      <c r="AN1663" s="12"/>
      <c r="AO1663" s="12"/>
      <c r="AP1663" s="12"/>
      <c r="AQ1663" s="12"/>
      <c r="AR1663" s="13"/>
      <c r="AS1663" s="14"/>
    </row>
    <row r="1664" spans="1:45" s="16" customFormat="1" ht="30.6" hidden="1" customHeight="1" x14ac:dyDescent="0.2">
      <c r="A1664" s="35" t="s">
        <v>946</v>
      </c>
      <c r="B1664" s="36" t="s">
        <v>443</v>
      </c>
      <c r="C1664" s="43"/>
      <c r="D1664" s="29">
        <v>3745648</v>
      </c>
      <c r="E1664" s="29">
        <v>4162237</v>
      </c>
      <c r="F1664" s="255" t="str">
        <f>IF(D1664="","",VLOOKUP(D1664,契約台帳!$A$3:$K$4986,6,FALSE)&amp;VLOOKUP(D1664,契約台帳!$A$3:$K$4986,7,FALSE)&amp;VLOOKUP(D1664,契約台帳!$A$3:$K$4986,8,FALSE)&amp;VLOOKUP(D1664,契約台帳!$A$3:$K$4986,9,FALSE)&amp;VLOOKUP(D1664,契約台帳!$A$3:$K$4986,11,FALSE))</f>
        <v>3SYMLBMSNMBF</v>
      </c>
      <c r="G1664" s="256" t="str">
        <f>IF(D1664="","",VLOOKUP(F1664,製品マスタ!$G$5:$H$4999,2,FALSE))</f>
        <v>S</v>
      </c>
      <c r="H1664" s="256" t="str">
        <f>IF(D1664="","",VLOOKUP(F1664,製品マスタ!$G$5:$K$4999,5,FALSE))</f>
        <v>MSNMBF</v>
      </c>
      <c r="I1664" s="200" t="str">
        <f>IF(D1664="","",VLOOKUP(F1664,製品マスタ!$G$5:$L$4999,6,FALSE))</f>
        <v>ＭＥＴＡＬＵＭＹ　ＳＩＬＶＥＲ　Ｎ－ＭＡＴＴＥ　Ｘ４４Ｍ　Ｂ</v>
      </c>
      <c r="J1664" s="203" t="s">
        <v>935</v>
      </c>
      <c r="K1664" s="200">
        <f>IF(D1664="","",VLOOKUP(D1664,契約台帳!$A$3:$L$4986,12,FALSE))</f>
        <v>50</v>
      </c>
      <c r="L1664" s="200" t="str">
        <f>IF(D1664="","",INDEX(製品マスタ!$Q$5:$Q$4999,MATCH('S4'!F1664&amp;'S4'!K1664,製品マスタ!$AO$5:$AO$4999,0)))</f>
        <v>X44</v>
      </c>
      <c r="M1664" s="37">
        <v>1120</v>
      </c>
      <c r="N1664" s="37">
        <v>4000</v>
      </c>
      <c r="O1664" s="153">
        <v>4</v>
      </c>
      <c r="P1664" s="45">
        <v>2</v>
      </c>
      <c r="Q1664" s="206">
        <v>45356</v>
      </c>
      <c r="R1664" s="257">
        <f ca="1">IF(D1664="","",IF(OFFSET(D1664,-1,0)&lt;&gt;"","",IF(OR(J1664="リード付け",J1664="巻足し",J1664="巻返しリード付け"),M1664,VLOOKUP(D1664,契約台帳!$A$3:$N$4986,14,FALSE))))</f>
        <v>1120</v>
      </c>
      <c r="S1664" s="258">
        <f ca="1">IF(D1664="","",IF(OFFSET(D1664,-1,0)&lt;&gt;"","",IF(OR(J1664="リード付け",J1664="巻足し",J1664="巻返しリード付け"),M1664,VLOOKUP(D1664,契約台帳!$A$3:$O$4986,15,FALSE))))</f>
        <v>1120</v>
      </c>
      <c r="T1664" s="258">
        <f ca="1">IF(D1664="","",IF(J1664="リード付け",N1664,IF(J1664="巻返しリード付け",N1664,IF(J1664="巻足し",N1664*P1664+OFFSET(N1664,1,0)*OFFSET(P1664,1,0),VLOOKUP(D1664,契約台帳!$A$3:$P$4986,16,FALSE)))))</f>
        <v>8000</v>
      </c>
      <c r="U1664" s="38">
        <v>2</v>
      </c>
      <c r="V1664" s="259">
        <f ca="1">IF(D1664="","",IF(OFFSET(D1664,-2,0)=D1664,"",VLOOKUP(D1664,契約台帳!$A$3:$R$4986,18,FALSE)))</f>
        <v>4</v>
      </c>
      <c r="W1664" s="256" t="str">
        <f ca="1">IF(D1664="","",IF(T1664="","",IF(OR(J1664="巻足し",J1664="巻返しリード付け"),"",IF(J1664="巻返し",VLOOKUP(F1664&amp;K1664&amp;M1664,製品マスタ!$M$5:$AD$4999,18,FALSE),IF(OR(J1664="リード付け",J1664="巻返しリード付け"),"原反コア",IF(J1664="スリット",VLOOKUP(F1664&amp;K1664&amp;R1664,製品マスタ!$N$5:$AD$4999,17,FALSE),""))))))</f>
        <v/>
      </c>
      <c r="X1664" s="256" t="str">
        <f ca="1">IF(D1664="","",IF(T1664="","",IF(J1664="巻足し","",IF(J1664="巻返し",VLOOKUP(F1664&amp;K1664&amp;M1664,製品マスタ!$M$5:$AE$4999,19,FALSE),IF(OR(J1664="リード付け",J1664="巻返しリード付け"),"",IF(J1664="スリット",VLOOKUP(F1664&amp;K1664&amp;R1664,製品マスタ!$N$5:$AE$4999,18,FALSE),""))))))</f>
        <v/>
      </c>
      <c r="Y1664" s="256">
        <f ca="1">IF(D1664="","",IF(T1664="","",VLOOKUP(D1664,契約台帳!$A$3:$Q$4986,17,FALSE)))</f>
        <v>2</v>
      </c>
      <c r="Z1664" s="256" t="str">
        <f ca="1">IF(D1664="","",IF(T1664="","",VLOOKUP(D1664,契約台帳!$A$3:$E$4986,5,FALSE)))</f>
        <v>リンテック㈱</v>
      </c>
      <c r="AA1664" s="54"/>
      <c r="AB1664" s="200">
        <f>IFERROR((VLOOKUP(F1664&amp;K1664&amp;M1664,製品マスタ!$M$5:$AM$4999,27,FALSE)),"")</f>
        <v>0</v>
      </c>
      <c r="AC1664" s="31"/>
      <c r="AD1664" s="184"/>
      <c r="AE1664" s="51"/>
      <c r="AF1664" s="52">
        <f>+M1664*N1664*O1664/1000</f>
        <v>17920</v>
      </c>
      <c r="AG1664" s="41"/>
      <c r="AH1664" s="45"/>
      <c r="AI1664" s="28"/>
      <c r="AJ1664" s="28"/>
      <c r="AK1664" s="28"/>
      <c r="AL1664" s="28"/>
      <c r="AM1664" s="12"/>
      <c r="AN1664" s="12"/>
      <c r="AO1664" s="12"/>
      <c r="AP1664" s="12"/>
      <c r="AQ1664" s="12"/>
      <c r="AR1664" s="13"/>
      <c r="AS1664" s="14"/>
    </row>
    <row r="1665" spans="1:45" s="16" customFormat="1" ht="30.95" hidden="1" customHeight="1" x14ac:dyDescent="0.2">
      <c r="A1665" s="35"/>
      <c r="B1665" s="36"/>
      <c r="C1665" s="43"/>
      <c r="D1665" s="29"/>
      <c r="E1665" s="29"/>
      <c r="F1665" s="255"/>
      <c r="G1665" s="256"/>
      <c r="H1665" s="256"/>
      <c r="I1665" s="200"/>
      <c r="J1665" s="203"/>
      <c r="K1665" s="200"/>
      <c r="L1665" s="200"/>
      <c r="M1665" s="37"/>
      <c r="N1665" s="37"/>
      <c r="O1665" s="153"/>
      <c r="P1665" s="45"/>
      <c r="Q1665" s="54"/>
      <c r="R1665" s="260"/>
      <c r="S1665" s="258"/>
      <c r="T1665" s="258"/>
      <c r="U1665" s="38"/>
      <c r="V1665" s="261"/>
      <c r="W1665" s="256"/>
      <c r="X1665" s="256"/>
      <c r="Y1665" s="256"/>
      <c r="Z1665" s="256"/>
      <c r="AA1665" s="54"/>
      <c r="AB1665" s="200"/>
      <c r="AC1665" s="31"/>
      <c r="AD1665" s="184"/>
      <c r="AE1665" s="51"/>
      <c r="AF1665" s="52"/>
      <c r="AG1665" s="41"/>
      <c r="AH1665" s="45"/>
      <c r="AI1665" s="28"/>
      <c r="AJ1665" s="28"/>
      <c r="AK1665" s="28"/>
      <c r="AL1665" s="28"/>
      <c r="AM1665" s="12"/>
      <c r="AN1665" s="12"/>
      <c r="AO1665" s="12"/>
      <c r="AP1665" s="12"/>
      <c r="AQ1665" s="12"/>
      <c r="AR1665" s="13"/>
      <c r="AS1665" s="14"/>
    </row>
    <row r="1666" spans="1:45" s="16" customFormat="1" ht="30.6" hidden="1" customHeight="1" x14ac:dyDescent="0.2">
      <c r="A1666" s="35"/>
      <c r="B1666" s="36"/>
      <c r="C1666" s="43"/>
      <c r="D1666" s="29">
        <v>3745649</v>
      </c>
      <c r="E1666" s="29">
        <v>4162238</v>
      </c>
      <c r="F1666" s="255" t="str">
        <f>IF(D1666="","",VLOOKUP(D1666,契約台帳!$A$3:$K$4986,6,FALSE)&amp;VLOOKUP(D1666,契約台帳!$A$3:$K$4986,7,FALSE)&amp;VLOOKUP(D1666,契約台帳!$A$3:$K$4986,8,FALSE)&amp;VLOOKUP(D1666,契約台帳!$A$3:$K$4986,9,FALSE)&amp;VLOOKUP(D1666,契約台帳!$A$3:$K$4986,11,FALSE))</f>
        <v>3SYMLBMSNMBF</v>
      </c>
      <c r="G1666" s="256" t="str">
        <f>IF(D1666="","",VLOOKUP(F1666,製品マスタ!$G$5:$H$4999,2,FALSE))</f>
        <v>S</v>
      </c>
      <c r="H1666" s="256" t="str">
        <f>IF(D1666="","",VLOOKUP(F1666,製品マスタ!$G$5:$K$4999,5,FALSE))</f>
        <v>MSNMBF</v>
      </c>
      <c r="I1666" s="200" t="str">
        <f>IF(D1666="","",VLOOKUP(F1666,製品マスタ!$G$5:$L$4999,6,FALSE))</f>
        <v>ＭＥＴＡＬＵＭＹ　ＳＩＬＶＥＲ　Ｎ－ＭＡＴＴＥ　Ｘ４４Ｍ　Ｂ</v>
      </c>
      <c r="J1666" s="203" t="s">
        <v>935</v>
      </c>
      <c r="K1666" s="200">
        <f>IF(D1666="","",VLOOKUP(D1666,契約台帳!$A$3:$L$4986,12,FALSE))</f>
        <v>50</v>
      </c>
      <c r="L1666" s="200" t="str">
        <f>IF(D1666="","",INDEX(製品マスタ!$Q$5:$Q$4999,MATCH('S4'!F1666&amp;'S4'!K1666,製品マスタ!$AO$5:$AO$4999,0)))</f>
        <v>X44</v>
      </c>
      <c r="M1666" s="37">
        <v>1120</v>
      </c>
      <c r="N1666" s="37">
        <v>4000</v>
      </c>
      <c r="O1666" s="153">
        <v>10</v>
      </c>
      <c r="P1666" s="45">
        <v>2</v>
      </c>
      <c r="Q1666" s="206">
        <v>45356</v>
      </c>
      <c r="R1666" s="257">
        <f ca="1">IF(D1666="","",IF(OFFSET(D1666,-1,0)&lt;&gt;"","",IF(OR(J1666="リード付け",J1666="巻足し",J1666="巻返しリード付け"),M1666,VLOOKUP(D1666,契約台帳!$A$3:$N$4986,14,FALSE))))</f>
        <v>1120</v>
      </c>
      <c r="S1666" s="258">
        <f ca="1">IF(D1666="","",IF(OFFSET(D1666,-1,0)&lt;&gt;"","",IF(OR(J1666="リード付け",J1666="巻足し",J1666="巻返しリード付け"),M1666,VLOOKUP(D1666,契約台帳!$A$3:$O$4986,15,FALSE))))</f>
        <v>1120</v>
      </c>
      <c r="T1666" s="258">
        <f ca="1">IF(D1666="","",IF(J1666="リード付け",N1666,IF(J1666="巻返しリード付け",N1666,IF(J1666="巻足し",N1666*P1666+OFFSET(N1666,1,0)*OFFSET(P1666,1,0),VLOOKUP(D1666,契約台帳!$A$3:$P$4986,16,FALSE)))))</f>
        <v>8000</v>
      </c>
      <c r="U1666" s="38">
        <v>5</v>
      </c>
      <c r="V1666" s="259">
        <f ca="1">IF(D1666="","",IF(OFFSET(D1666,-2,0)=D1666,"",VLOOKUP(D1666,契約台帳!$A$3:$R$4986,18,FALSE)))</f>
        <v>10</v>
      </c>
      <c r="W1666" s="256" t="str">
        <f ca="1">IF(D1666="","",IF(T1666="","",IF(OR(J1666="巻足し",J1666="巻返しリード付け"),"",IF(J1666="巻返し",VLOOKUP(F1666&amp;K1666&amp;M1666,製品マスタ!$M$5:$AD$4999,18,FALSE),IF(OR(J1666="リード付け",J1666="巻返しリード付け"),"原反コア",IF(J1666="スリット",VLOOKUP(F1666&amp;K1666&amp;R1666,製品マスタ!$N$5:$AD$4999,17,FALSE),""))))))</f>
        <v/>
      </c>
      <c r="X1666" s="256" t="str">
        <f ca="1">IF(D1666="","",IF(T1666="","",IF(J1666="巻足し","",IF(J1666="巻返し",VLOOKUP(F1666&amp;K1666&amp;M1666,製品マスタ!$M$5:$AE$4999,19,FALSE),IF(OR(J1666="リード付け",J1666="巻返しリード付け"),"",IF(J1666="スリット",VLOOKUP(F1666&amp;K1666&amp;R1666,製品マスタ!$N$5:$AE$4999,18,FALSE),""))))))</f>
        <v/>
      </c>
      <c r="Y1666" s="256">
        <f ca="1">IF(D1666="","",IF(T1666="","",VLOOKUP(D1666,契約台帳!$A$3:$Q$4986,17,FALSE)))</f>
        <v>2</v>
      </c>
      <c r="Z1666" s="256" t="str">
        <f ca="1">IF(D1666="","",IF(T1666="","",VLOOKUP(D1666,契約台帳!$A$3:$E$4986,5,FALSE)))</f>
        <v>リンテック㈱</v>
      </c>
      <c r="AA1666" s="54"/>
      <c r="AB1666" s="200">
        <f>IFERROR((VLOOKUP(F1666&amp;K1666&amp;M1666,製品マスタ!$M$5:$AM$4999,27,FALSE)),"")</f>
        <v>0</v>
      </c>
      <c r="AC1666" s="31"/>
      <c r="AD1666" s="184"/>
      <c r="AE1666" s="51"/>
      <c r="AF1666" s="52">
        <f>+M1666*N1666*O1666/1000</f>
        <v>44800</v>
      </c>
      <c r="AG1666" s="41"/>
      <c r="AH1666" s="45"/>
      <c r="AI1666" s="28"/>
      <c r="AJ1666" s="28"/>
      <c r="AK1666" s="28"/>
      <c r="AL1666" s="28"/>
      <c r="AM1666" s="12"/>
      <c r="AN1666" s="12"/>
      <c r="AO1666" s="12"/>
      <c r="AP1666" s="12"/>
      <c r="AQ1666" s="12"/>
      <c r="AR1666" s="13"/>
      <c r="AS1666" s="14"/>
    </row>
    <row r="1667" spans="1:45" s="16" customFormat="1" ht="30.95" hidden="1" customHeight="1" x14ac:dyDescent="0.2">
      <c r="A1667" s="35"/>
      <c r="B1667" s="36"/>
      <c r="C1667" s="43"/>
      <c r="D1667" s="29"/>
      <c r="E1667" s="29"/>
      <c r="F1667" s="255"/>
      <c r="G1667" s="256"/>
      <c r="H1667" s="256"/>
      <c r="I1667" s="200"/>
      <c r="J1667" s="203"/>
      <c r="K1667" s="200"/>
      <c r="L1667" s="200"/>
      <c r="M1667" s="37"/>
      <c r="N1667" s="37"/>
      <c r="O1667" s="153"/>
      <c r="P1667" s="45"/>
      <c r="Q1667" s="54"/>
      <c r="R1667" s="260"/>
      <c r="S1667" s="258"/>
      <c r="T1667" s="258"/>
      <c r="U1667" s="38"/>
      <c r="V1667" s="261"/>
      <c r="W1667" s="256"/>
      <c r="X1667" s="256"/>
      <c r="Y1667" s="256"/>
      <c r="Z1667" s="256"/>
      <c r="AA1667" s="54"/>
      <c r="AB1667" s="200"/>
      <c r="AC1667" s="31"/>
      <c r="AD1667" s="184"/>
      <c r="AE1667" s="51"/>
      <c r="AF1667" s="52"/>
      <c r="AG1667" s="41"/>
      <c r="AH1667" s="45"/>
      <c r="AI1667" s="28"/>
      <c r="AJ1667" s="28"/>
      <c r="AK1667" s="28"/>
      <c r="AL1667" s="28"/>
      <c r="AM1667" s="12"/>
      <c r="AN1667" s="12"/>
      <c r="AO1667" s="12"/>
      <c r="AP1667" s="12"/>
      <c r="AQ1667" s="12"/>
      <c r="AR1667" s="13"/>
      <c r="AS1667" s="14"/>
    </row>
    <row r="1668" spans="1:45" s="16" customFormat="1" ht="30.6" hidden="1" customHeight="1" x14ac:dyDescent="0.2">
      <c r="A1668" s="35"/>
      <c r="B1668" s="36"/>
      <c r="C1668" s="43"/>
      <c r="D1668" s="29">
        <v>3744889</v>
      </c>
      <c r="E1668" s="29">
        <v>4162224</v>
      </c>
      <c r="F1668" s="255" t="str">
        <f>IF(D1668="","",VLOOKUP(D1668,契約台帳!$A$3:$K$4986,6,FALSE)&amp;VLOOKUP(D1668,契約台帳!$A$3:$K$4986,7,FALSE)&amp;VLOOKUP(D1668,契約台帳!$A$3:$K$4986,8,FALSE)&amp;VLOOKUP(D1668,契約台帳!$A$3:$K$4986,9,FALSE)&amp;VLOOKUP(D1668,契約台帳!$A$3:$K$4986,11,FALSE))</f>
        <v>3SYMLBMSBBF</v>
      </c>
      <c r="G1668" s="256" t="str">
        <f>IF(D1668="","",VLOOKUP(F1668,製品マスタ!$G$5:$H$4999,2,FALSE))</f>
        <v>S</v>
      </c>
      <c r="H1668" s="256" t="str">
        <f>IF(D1668="","",VLOOKUP(F1668,製品マスタ!$G$5:$K$4999,5,FALSE))</f>
        <v>MSBBF</v>
      </c>
      <c r="I1668" s="200" t="str">
        <f>IF(D1668="","",VLOOKUP(F1668,製品マスタ!$G$5:$L$4999,6,FALSE))</f>
        <v>ＭＥＴＡＬＵＭＹ　ＳＩＬＶＥＲ　ＢＲＩＧＨＴ　Ｔ６２Ｍ　Ｂ</v>
      </c>
      <c r="J1668" s="203" t="s">
        <v>935</v>
      </c>
      <c r="K1668" s="200">
        <f>IF(D1668="","",VLOOKUP(D1668,契約台帳!$A$3:$L$4986,12,FALSE))</f>
        <v>50</v>
      </c>
      <c r="L1668" s="200" t="str">
        <f>IF(D1668="","",INDEX(製品マスタ!$Q$5:$Q$4999,MATCH('S4'!F1668&amp;'S4'!K1668,製品マスタ!$AO$5:$AO$4999,0)))</f>
        <v>T62</v>
      </c>
      <c r="M1668" s="37">
        <v>1120</v>
      </c>
      <c r="N1668" s="37">
        <v>5000</v>
      </c>
      <c r="O1668" s="153">
        <v>2</v>
      </c>
      <c r="P1668" s="45">
        <v>2</v>
      </c>
      <c r="Q1668" s="206">
        <v>45355</v>
      </c>
      <c r="R1668" s="257">
        <f ca="1">IF(D1668="","",IF(OFFSET(D1668,-1,0)&lt;&gt;"","",IF(OR(J1668="リード付け",J1668="巻足し",J1668="巻返しリード付け"),M1668,VLOOKUP(D1668,契約台帳!$A$3:$N$4986,14,FALSE))))</f>
        <v>1120</v>
      </c>
      <c r="S1668" s="258">
        <f ca="1">IF(D1668="","",IF(OFFSET(D1668,-1,0)&lt;&gt;"","",IF(OR(J1668="リード付け",J1668="巻足し",J1668="巻返しリード付け"),M1668,VLOOKUP(D1668,契約台帳!$A$3:$O$4986,15,FALSE))))</f>
        <v>1120</v>
      </c>
      <c r="T1668" s="258">
        <f ca="1">IF(D1668="","",IF(J1668="リード付け",N1668,IF(J1668="巻返しリード付け",N1668,IF(J1668="巻足し",N1668*P1668+OFFSET(N1668,1,0)*OFFSET(P1668,1,0),VLOOKUP(D1668,契約台帳!$A$3:$P$4986,16,FALSE)))))</f>
        <v>10000</v>
      </c>
      <c r="U1668" s="38">
        <v>1</v>
      </c>
      <c r="V1668" s="259">
        <f ca="1">IF(D1668="","",IF(OFFSET(D1668,-2,0)=D1668,"",VLOOKUP(D1668,契約台帳!$A$3:$R$4986,18,FALSE)))</f>
        <v>2</v>
      </c>
      <c r="W1668" s="256" t="str">
        <f ca="1">IF(D1668="","",IF(T1668="","",IF(OR(J1668="巻足し",J1668="巻返しリード付け"),"",IF(J1668="巻返し",VLOOKUP(F1668&amp;K1668&amp;M1668,製品マスタ!$M$5:$AD$4999,18,FALSE),IF(OR(J1668="リード付け",J1668="巻返しリード付け"),"原反コア",IF(J1668="スリット",VLOOKUP(F1668&amp;K1668&amp;R1668,製品マスタ!$N$5:$AD$4999,17,FALSE),""))))))</f>
        <v/>
      </c>
      <c r="X1668" s="256" t="str">
        <f ca="1">IF(D1668="","",IF(T1668="","",IF(J1668="巻足し","",IF(J1668="巻返し",VLOOKUP(F1668&amp;K1668&amp;M1668,製品マスタ!$M$5:$AE$4999,19,FALSE),IF(OR(J1668="リード付け",J1668="巻返しリード付け"),"",IF(J1668="スリット",VLOOKUP(F1668&amp;K1668&amp;R1668,製品マスタ!$N$5:$AE$4999,18,FALSE),""))))))</f>
        <v/>
      </c>
      <c r="Y1668" s="256">
        <f ca="1">IF(D1668="","",IF(T1668="","",VLOOKUP(D1668,契約台帳!$A$3:$Q$4986,17,FALSE)))</f>
        <v>2</v>
      </c>
      <c r="Z1668" s="256" t="str">
        <f ca="1">IF(D1668="","",IF(T1668="","",VLOOKUP(D1668,契約台帳!$A$3:$E$4986,5,FALSE)))</f>
        <v>リンテック㈱</v>
      </c>
      <c r="AA1668" s="54"/>
      <c r="AB1668" s="200" t="str">
        <f>IFERROR((VLOOKUP(F1668&amp;K1668&amp;M1668,製品マスタ!$M$5:$AM$4999,27,FALSE)),"")</f>
        <v>原反ケース再利用</v>
      </c>
      <c r="AC1668" s="31"/>
      <c r="AD1668" s="184"/>
      <c r="AE1668" s="51"/>
      <c r="AF1668" s="52">
        <f>+M1668*N1668*O1668/1000</f>
        <v>11200</v>
      </c>
      <c r="AG1668" s="41"/>
      <c r="AH1668" s="45"/>
      <c r="AI1668" s="28"/>
      <c r="AJ1668" s="28"/>
      <c r="AK1668" s="28"/>
      <c r="AL1668" s="28"/>
      <c r="AM1668" s="12"/>
      <c r="AN1668" s="12"/>
      <c r="AO1668" s="12"/>
      <c r="AP1668" s="12"/>
      <c r="AQ1668" s="12"/>
      <c r="AR1668" s="13"/>
      <c r="AS1668" s="14"/>
    </row>
    <row r="1669" spans="1:45" s="16" customFormat="1" ht="30.95" hidden="1" customHeight="1" x14ac:dyDescent="0.2">
      <c r="A1669" s="35"/>
      <c r="B1669" s="36"/>
      <c r="C1669" s="43"/>
      <c r="D1669" s="29"/>
      <c r="E1669" s="29"/>
      <c r="F1669" s="255"/>
      <c r="G1669" s="256"/>
      <c r="H1669" s="256"/>
      <c r="I1669" s="200"/>
      <c r="J1669" s="203"/>
      <c r="K1669" s="200"/>
      <c r="L1669" s="200"/>
      <c r="M1669" s="37"/>
      <c r="N1669" s="37"/>
      <c r="O1669" s="153"/>
      <c r="P1669" s="45"/>
      <c r="Q1669" s="54"/>
      <c r="R1669" s="260"/>
      <c r="S1669" s="258"/>
      <c r="T1669" s="258"/>
      <c r="U1669" s="38"/>
      <c r="V1669" s="261"/>
      <c r="W1669" s="256"/>
      <c r="X1669" s="256"/>
      <c r="Y1669" s="256"/>
      <c r="Z1669" s="256"/>
      <c r="AA1669" s="54"/>
      <c r="AB1669" s="200"/>
      <c r="AC1669" s="31"/>
      <c r="AD1669" s="184"/>
      <c r="AE1669" s="51"/>
      <c r="AF1669" s="52"/>
      <c r="AG1669" s="41"/>
      <c r="AH1669" s="45"/>
      <c r="AI1669" s="28"/>
      <c r="AJ1669" s="28"/>
      <c r="AK1669" s="28"/>
      <c r="AL1669" s="28"/>
      <c r="AM1669" s="12"/>
      <c r="AN1669" s="12"/>
      <c r="AO1669" s="12"/>
      <c r="AP1669" s="12"/>
      <c r="AQ1669" s="12"/>
      <c r="AR1669" s="13"/>
      <c r="AS1669" s="14"/>
    </row>
    <row r="1670" spans="1:45" s="16" customFormat="1" ht="30.6" hidden="1" customHeight="1" x14ac:dyDescent="0.2">
      <c r="A1670" s="35"/>
      <c r="B1670" s="36"/>
      <c r="C1670" s="43"/>
      <c r="D1670" s="29">
        <v>3745647</v>
      </c>
      <c r="E1670" s="29">
        <v>4162247</v>
      </c>
      <c r="F1670" s="255" t="str">
        <f>IF(D1670="","",VLOOKUP(D1670,契約台帳!$A$3:$K$4986,6,FALSE)&amp;VLOOKUP(D1670,契約台帳!$A$3:$K$4986,7,FALSE)&amp;VLOOKUP(D1670,契約台帳!$A$3:$K$4986,8,FALSE)&amp;VLOOKUP(D1670,契約台帳!$A$3:$K$4986,9,FALSE)&amp;VLOOKUP(D1670,契約台帳!$A$3:$K$4986,11,FALSE))</f>
        <v>3SYMLBMSBBF</v>
      </c>
      <c r="G1670" s="256" t="str">
        <f>IF(D1670="","",VLOOKUP(F1670,製品マスタ!$G$5:$H$4999,2,FALSE))</f>
        <v>S</v>
      </c>
      <c r="H1670" s="256" t="str">
        <f>IF(D1670="","",VLOOKUP(F1670,製品マスタ!$G$5:$K$4999,5,FALSE))</f>
        <v>MSBBF</v>
      </c>
      <c r="I1670" s="200" t="str">
        <f>IF(D1670="","",VLOOKUP(F1670,製品マスタ!$G$5:$L$4999,6,FALSE))</f>
        <v>ＭＥＴＡＬＵＭＹ　ＳＩＬＶＥＲ　ＢＲＩＧＨＴ　Ｔ６２Ｍ　Ｂ</v>
      </c>
      <c r="J1670" s="203" t="s">
        <v>464</v>
      </c>
      <c r="K1670" s="200">
        <f>IF(D1670="","",VLOOKUP(D1670,契約台帳!$A$3:$L$4986,12,FALSE))</f>
        <v>25</v>
      </c>
      <c r="L1670" s="200" t="str">
        <f>IF(D1670="","",INDEX(製品マスタ!$Q$5:$Q$4999,MATCH('S4'!F1670&amp;'S4'!K1670,製品マスタ!$AO$5:$AO$4999,0)))</f>
        <v>T62</v>
      </c>
      <c r="M1670" s="37">
        <v>1120</v>
      </c>
      <c r="N1670" s="37">
        <v>8000</v>
      </c>
      <c r="O1670" s="153">
        <v>1</v>
      </c>
      <c r="P1670" s="45">
        <v>1</v>
      </c>
      <c r="Q1670" s="206">
        <v>45356</v>
      </c>
      <c r="R1670" s="257">
        <f ca="1">IF(D1670="","",IF(OFFSET(D1670,-1,0)&lt;&gt;"","",IF(OR(J1670="リード付け",J1670="巻足し",J1670="巻返しリード付け"),M1670,VLOOKUP(D1670,契約台帳!$A$3:$N$4986,14,FALSE))))</f>
        <v>1120</v>
      </c>
      <c r="S1670" s="258">
        <f ca="1">IF(D1670="","",IF(OFFSET(D1670,-1,0)&lt;&gt;"","",IF(OR(J1670="リード付け",J1670="巻足し",J1670="巻返しリード付け"),M1670,VLOOKUP(D1670,契約台帳!$A$3:$O$4986,15,FALSE))))</f>
        <v>1120</v>
      </c>
      <c r="T1670" s="258">
        <f ca="1">IF(D1670="","",IF(J1670="リード付け",N1670,IF(J1670="巻返しリード付け",N1670,IF(J1670="巻足し",N1670*P1670+OFFSET(N1670,1,0)*OFFSET(P1670,1,0),VLOOKUP(D1670,契約台帳!$A$3:$P$4986,16,FALSE)))))</f>
        <v>8000</v>
      </c>
      <c r="U1670" s="38">
        <v>1</v>
      </c>
      <c r="V1670" s="259">
        <f ca="1">IF(D1670="","",IF(OFFSET(D1670,-2,0)=D1670,"",VLOOKUP(D1670,契約台帳!$A$3:$R$4986,18,FALSE)))</f>
        <v>2</v>
      </c>
      <c r="W1670" s="256" t="str">
        <f ca="1">IF(D1670="","",IF(T1670="","",IF(OR(J1670="巻足し",J1670="巻返しリード付け"),"",IF(J1670="巻返し",VLOOKUP(F1670&amp;K1670&amp;M1670,製品マスタ!$M$5:$AD$4999,18,FALSE),IF(OR(J1670="リード付け",J1670="巻返しリード付け"),"原反コア",IF(J1670="スリット",VLOOKUP(F1670&amp;K1670&amp;R1670,製品マスタ!$N$5:$AD$4999,17,FALSE),""))))))</f>
        <v>原反コア</v>
      </c>
      <c r="X1670" s="256" t="str">
        <f ca="1">IF(D1670="","",IF(T1670="","",IF(J1670="巻足し","",IF(J1670="巻返し",VLOOKUP(F1670&amp;K1670&amp;M1670,製品マスタ!$M$5:$AE$4999,19,FALSE),IF(OR(J1670="リード付け",J1670="巻返しリード付け"),"",IF(J1670="スリット",VLOOKUP(F1670&amp;K1670&amp;R1670,製品マスタ!$N$5:$AE$4999,18,FALSE),""))))))</f>
        <v/>
      </c>
      <c r="Y1670" s="256">
        <f ca="1">IF(D1670="","",IF(T1670="","",VLOOKUP(D1670,契約台帳!$A$3:$Q$4986,17,FALSE)))</f>
        <v>2</v>
      </c>
      <c r="Z1670" s="256" t="str">
        <f ca="1">IF(D1670="","",IF(T1670="","",VLOOKUP(D1670,契約台帳!$A$3:$E$4986,5,FALSE)))</f>
        <v>リンテック㈱</v>
      </c>
      <c r="AA1670" s="54"/>
      <c r="AB1670" s="200">
        <f>IFERROR((VLOOKUP(F1670&amp;K1670&amp;M1670,製品マスタ!$M$5:$AM$4999,27,FALSE)),"")</f>
        <v>0</v>
      </c>
      <c r="AC1670" s="31"/>
      <c r="AD1670" s="184"/>
      <c r="AE1670" s="51"/>
      <c r="AF1670" s="52">
        <f>+M1670*N1670*O1670/1000</f>
        <v>8960</v>
      </c>
      <c r="AG1670" s="41"/>
      <c r="AH1670" s="45"/>
      <c r="AI1670" s="28"/>
      <c r="AJ1670" s="28"/>
      <c r="AK1670" s="28"/>
      <c r="AL1670" s="28"/>
      <c r="AM1670" s="12"/>
      <c r="AN1670" s="12"/>
      <c r="AO1670" s="12"/>
      <c r="AP1670" s="12"/>
      <c r="AQ1670" s="12"/>
      <c r="AR1670" s="13"/>
      <c r="AS1670" s="14"/>
    </row>
    <row r="1671" spans="1:45" s="16" customFormat="1" ht="30.95" hidden="1" customHeight="1" x14ac:dyDescent="0.2">
      <c r="A1671" s="35"/>
      <c r="B1671" s="36"/>
      <c r="C1671" s="43"/>
      <c r="D1671" s="29"/>
      <c r="E1671" s="29"/>
      <c r="F1671" s="255"/>
      <c r="G1671" s="256"/>
      <c r="H1671" s="256"/>
      <c r="I1671" s="200"/>
      <c r="J1671" s="203"/>
      <c r="K1671" s="200"/>
      <c r="L1671" s="200"/>
      <c r="M1671" s="37"/>
      <c r="N1671" s="37"/>
      <c r="O1671" s="153"/>
      <c r="P1671" s="45"/>
      <c r="Q1671" s="54"/>
      <c r="R1671" s="260"/>
      <c r="S1671" s="258"/>
      <c r="T1671" s="258"/>
      <c r="U1671" s="38"/>
      <c r="V1671" s="261"/>
      <c r="W1671" s="256"/>
      <c r="X1671" s="256"/>
      <c r="Y1671" s="256"/>
      <c r="Z1671" s="256"/>
      <c r="AA1671" s="54"/>
      <c r="AB1671" s="200"/>
      <c r="AC1671" s="31"/>
      <c r="AD1671" s="184"/>
      <c r="AE1671" s="51"/>
      <c r="AF1671" s="52"/>
      <c r="AG1671" s="41"/>
      <c r="AH1671" s="45"/>
      <c r="AI1671" s="28"/>
      <c r="AJ1671" s="28"/>
      <c r="AK1671" s="28"/>
      <c r="AL1671" s="28"/>
      <c r="AM1671" s="12"/>
      <c r="AN1671" s="12"/>
      <c r="AO1671" s="12"/>
      <c r="AP1671" s="12"/>
      <c r="AQ1671" s="12"/>
      <c r="AR1671" s="13"/>
      <c r="AS1671" s="14"/>
    </row>
    <row r="1672" spans="1:45" s="16" customFormat="1" ht="30.6" hidden="1" customHeight="1" x14ac:dyDescent="0.2">
      <c r="A1672" s="35" t="s">
        <v>2277</v>
      </c>
      <c r="B1672" s="36" t="s">
        <v>2278</v>
      </c>
      <c r="C1672" s="43"/>
      <c r="D1672" s="29">
        <v>3744883</v>
      </c>
      <c r="E1672" s="29">
        <v>4162222</v>
      </c>
      <c r="F1672" s="255" t="str">
        <f>IF(D1672="","",VLOOKUP(D1672,契約台帳!$A$3:$K$4986,6,FALSE)&amp;VLOOKUP(D1672,契約台帳!$A$3:$K$4986,7,FALSE)&amp;VLOOKUP(D1672,契約台帳!$A$3:$K$4986,8,FALSE)&amp;VLOOKUP(D1672,契約台帳!$A$3:$K$4986,9,FALSE)&amp;VLOOKUP(D1672,契約台帳!$A$3:$K$4986,11,FALSE))</f>
        <v>3SNMLBMNGKKBF</v>
      </c>
      <c r="G1672" s="256" t="str">
        <f>IF(D1672="","",VLOOKUP(F1672,製品マスタ!$G$5:$H$4999,2,FALSE))</f>
        <v>S</v>
      </c>
      <c r="H1672" s="256" t="str">
        <f>IF(D1672="","",VLOOKUP(F1672,製品マスタ!$G$5:$K$4999,5,FALSE))</f>
        <v>MNGKKBF</v>
      </c>
      <c r="I1672" s="200" t="str">
        <f>IF(D1672="","",VLOOKUP(F1672,製品マスタ!$G$5:$L$4999,6,FALSE))</f>
        <v>メタルミー　ネーマー銀消改　Ｂ</v>
      </c>
      <c r="J1672" s="203" t="s">
        <v>935</v>
      </c>
      <c r="K1672" s="200">
        <f>IF(D1672="","",VLOOKUP(D1672,契約台帳!$A$3:$L$4986,12,FALSE))</f>
        <v>50</v>
      </c>
      <c r="L1672" s="200" t="str">
        <f>IF(D1672="","",INDEX(製品マスタ!$Q$5:$Q$4999,MATCH('S4'!F1672&amp;'S4'!K1672,製品マスタ!$AO$5:$AO$4999,0)))</f>
        <v>S99-MAT</v>
      </c>
      <c r="M1672" s="37">
        <v>1120</v>
      </c>
      <c r="N1672" s="37">
        <v>4000</v>
      </c>
      <c r="O1672" s="153">
        <v>12</v>
      </c>
      <c r="P1672" s="45">
        <v>3</v>
      </c>
      <c r="Q1672" s="206">
        <v>45356</v>
      </c>
      <c r="R1672" s="257">
        <f ca="1">IF(D1672="","",IF(OFFSET(D1672,-1,0)&lt;&gt;"","",IF(OR(J1672="リード付け",J1672="巻足し",J1672="巻返しリード付け"),M1672,VLOOKUP(D1672,契約台帳!$A$3:$N$4986,14,FALSE))))</f>
        <v>1120</v>
      </c>
      <c r="S1672" s="258">
        <f ca="1">IF(D1672="","",IF(OFFSET(D1672,-1,0)&lt;&gt;"","",IF(OR(J1672="リード付け",J1672="巻足し",J1672="巻返しリード付け"),M1672,VLOOKUP(D1672,契約台帳!$A$3:$O$4986,15,FALSE))))</f>
        <v>1120</v>
      </c>
      <c r="T1672" s="258">
        <f ca="1">IF(D1672="","",IF(J1672="リード付け",N1672,IF(J1672="巻返しリード付け",N1672,IF(J1672="巻足し",N1672*P1672+OFFSET(N1672,1,0)*OFFSET(P1672,1,0),VLOOKUP(D1672,契約台帳!$A$3:$P$4986,16,FALSE)))))</f>
        <v>12000</v>
      </c>
      <c r="U1672" s="38">
        <v>4</v>
      </c>
      <c r="V1672" s="259">
        <f ca="1">IF(D1672="","",IF(OFFSET(D1672,-2,0)=D1672,"",VLOOKUP(D1672,契約台帳!$A$3:$R$4986,18,FALSE)))</f>
        <v>12</v>
      </c>
      <c r="W1672" s="256" t="str">
        <f ca="1">IF(D1672="","",IF(T1672="","",IF(OR(J1672="巻足し",J1672="巻返しリード付け"),"",IF(J1672="巻返し",VLOOKUP(F1672&amp;K1672&amp;M1672,製品マスタ!$M$5:$AD$4999,18,FALSE),IF(OR(J1672="リード付け",J1672="巻返しリード付け"),"原反コア",IF(J1672="スリット",VLOOKUP(F1672&amp;K1672&amp;R1672,製品マスタ!$N$5:$AD$4999,17,FALSE),""))))))</f>
        <v/>
      </c>
      <c r="X1672" s="256" t="str">
        <f ca="1">IF(D1672="","",IF(T1672="","",IF(J1672="巻足し","",IF(J1672="巻返し",VLOOKUP(F1672&amp;K1672&amp;M1672,製品マスタ!$M$5:$AE$4999,19,FALSE),IF(OR(J1672="リード付け",J1672="巻返しリード付け"),"",IF(J1672="スリット",VLOOKUP(F1672&amp;K1672&amp;R1672,製品マスタ!$N$5:$AE$4999,18,FALSE),""))))))</f>
        <v/>
      </c>
      <c r="Y1672" s="256">
        <f ca="1">IF(D1672="","",IF(T1672="","",VLOOKUP(D1672,契約台帳!$A$3:$Q$4986,17,FALSE)))</f>
        <v>2</v>
      </c>
      <c r="Z1672" s="256" t="str">
        <f ca="1">IF(D1672="","",IF(T1672="","",VLOOKUP(D1672,契約台帳!$A$3:$E$4986,5,FALSE)))</f>
        <v>リンテック㈱</v>
      </c>
      <c r="AA1672" s="54"/>
      <c r="AB1672" s="200">
        <f>IFERROR((VLOOKUP(F1672&amp;K1672&amp;M1672,製品マスタ!$M$5:$AM$4999,27,FALSE)),"")</f>
        <v>0</v>
      </c>
      <c r="AC1672" s="31"/>
      <c r="AD1672" s="184"/>
      <c r="AE1672" s="51"/>
      <c r="AF1672" s="52">
        <f>+M1672*N1672*O1672/1000</f>
        <v>53760</v>
      </c>
      <c r="AG1672" s="41"/>
      <c r="AH1672" s="45"/>
      <c r="AI1672" s="28"/>
      <c r="AJ1672" s="28"/>
      <c r="AK1672" s="28"/>
      <c r="AL1672" s="28"/>
      <c r="AM1672" s="12"/>
      <c r="AN1672" s="12"/>
      <c r="AO1672" s="12"/>
      <c r="AP1672" s="12"/>
      <c r="AQ1672" s="12"/>
      <c r="AR1672" s="13"/>
      <c r="AS1672" s="14"/>
    </row>
    <row r="1673" spans="1:45" s="16" customFormat="1" ht="30.95" hidden="1" customHeight="1" x14ac:dyDescent="0.2">
      <c r="A1673" s="35"/>
      <c r="B1673" s="36"/>
      <c r="C1673" s="43"/>
      <c r="D1673" s="29"/>
      <c r="E1673" s="29"/>
      <c r="F1673" s="255"/>
      <c r="G1673" s="256"/>
      <c r="H1673" s="256"/>
      <c r="I1673" s="200"/>
      <c r="J1673" s="203"/>
      <c r="K1673" s="200"/>
      <c r="L1673" s="200"/>
      <c r="M1673" s="37"/>
      <c r="N1673" s="37"/>
      <c r="O1673" s="153"/>
      <c r="P1673" s="45"/>
      <c r="Q1673" s="54"/>
      <c r="R1673" s="260"/>
      <c r="S1673" s="258"/>
      <c r="T1673" s="258"/>
      <c r="U1673" s="38"/>
      <c r="V1673" s="261"/>
      <c r="W1673" s="256"/>
      <c r="X1673" s="256"/>
      <c r="Y1673" s="256"/>
      <c r="Z1673" s="256"/>
      <c r="AA1673" s="54"/>
      <c r="AB1673" s="200"/>
      <c r="AC1673" s="31"/>
      <c r="AD1673" s="184"/>
      <c r="AE1673" s="51"/>
      <c r="AF1673" s="52"/>
      <c r="AG1673" s="41"/>
      <c r="AH1673" s="45"/>
      <c r="AI1673" s="28"/>
      <c r="AJ1673" s="28"/>
      <c r="AK1673" s="28"/>
      <c r="AL1673" s="28"/>
      <c r="AM1673" s="12"/>
      <c r="AN1673" s="12"/>
      <c r="AO1673" s="12"/>
      <c r="AP1673" s="12"/>
      <c r="AQ1673" s="12"/>
      <c r="AR1673" s="13"/>
      <c r="AS1673" s="14"/>
    </row>
    <row r="1674" spans="1:45" s="16" customFormat="1" ht="30.95" hidden="1" customHeight="1" x14ac:dyDescent="0.2">
      <c r="A1674" s="35"/>
      <c r="B1674" s="36"/>
      <c r="C1674" s="43"/>
      <c r="D1674" s="29" t="s">
        <v>1276</v>
      </c>
      <c r="E1674" s="337" t="s">
        <v>1277</v>
      </c>
      <c r="F1674" s="255" t="s">
        <v>1304</v>
      </c>
      <c r="G1674" s="256" t="s">
        <v>269</v>
      </c>
      <c r="H1674" s="256" t="s">
        <v>319</v>
      </c>
      <c r="I1674" s="200" t="s">
        <v>2275</v>
      </c>
      <c r="J1674" s="203" t="s">
        <v>935</v>
      </c>
      <c r="K1674" s="200">
        <v>50</v>
      </c>
      <c r="L1674" s="200" t="s">
        <v>831</v>
      </c>
      <c r="M1674" s="37">
        <v>1030</v>
      </c>
      <c r="N1674" s="37">
        <v>4100</v>
      </c>
      <c r="O1674" s="153">
        <v>1</v>
      </c>
      <c r="P1674" s="45">
        <v>2</v>
      </c>
      <c r="Q1674" s="54"/>
      <c r="R1674" s="257">
        <v>1030</v>
      </c>
      <c r="S1674" s="258">
        <v>1030</v>
      </c>
      <c r="T1674" s="258">
        <v>8200</v>
      </c>
      <c r="U1674" s="38">
        <v>1</v>
      </c>
      <c r="V1674" s="259">
        <v>1</v>
      </c>
      <c r="W1674" s="256" t="s">
        <v>928</v>
      </c>
      <c r="X1674" s="256" t="s">
        <v>928</v>
      </c>
      <c r="Y1674" s="256">
        <v>2</v>
      </c>
      <c r="Z1674" s="256" t="s">
        <v>116</v>
      </c>
      <c r="AA1674" s="54"/>
      <c r="AB1674" s="200" t="s">
        <v>774</v>
      </c>
      <c r="AC1674" s="31"/>
      <c r="AD1674" s="184"/>
      <c r="AE1674" s="51"/>
      <c r="AF1674" s="52"/>
      <c r="AG1674" s="41"/>
      <c r="AH1674" s="45"/>
      <c r="AI1674" s="28"/>
      <c r="AJ1674" s="28"/>
      <c r="AK1674" s="28"/>
      <c r="AL1674" s="28"/>
      <c r="AM1674" s="12"/>
      <c r="AN1674" s="12"/>
      <c r="AO1674" s="12"/>
      <c r="AP1674" s="12"/>
      <c r="AQ1674" s="12"/>
      <c r="AR1674" s="13"/>
      <c r="AS1674" s="14"/>
    </row>
    <row r="1675" spans="1:45" s="16" customFormat="1" ht="30.95" hidden="1" customHeight="1" x14ac:dyDescent="0.2">
      <c r="A1675" s="35"/>
      <c r="B1675" s="36"/>
      <c r="C1675" s="43"/>
      <c r="D1675" s="29" t="s">
        <v>1276</v>
      </c>
      <c r="E1675" s="337" t="s">
        <v>1277</v>
      </c>
      <c r="F1675" s="255" t="s">
        <v>1304</v>
      </c>
      <c r="G1675" s="256" t="s">
        <v>269</v>
      </c>
      <c r="H1675" s="256" t="s">
        <v>322</v>
      </c>
      <c r="I1675" s="200" t="s">
        <v>2276</v>
      </c>
      <c r="J1675" s="203" t="s">
        <v>935</v>
      </c>
      <c r="K1675" s="200">
        <v>50</v>
      </c>
      <c r="L1675" s="200" t="s">
        <v>831</v>
      </c>
      <c r="M1675" s="37">
        <v>1030</v>
      </c>
      <c r="N1675" s="37">
        <v>4100</v>
      </c>
      <c r="O1675" s="153">
        <v>1</v>
      </c>
      <c r="P1675" s="45"/>
      <c r="Q1675" s="54"/>
      <c r="R1675" s="257" t="s">
        <v>928</v>
      </c>
      <c r="S1675" s="258" t="s">
        <v>928</v>
      </c>
      <c r="T1675" s="258">
        <v>0</v>
      </c>
      <c r="U1675" s="38"/>
      <c r="V1675" s="259">
        <v>1</v>
      </c>
      <c r="W1675" s="256" t="s">
        <v>928</v>
      </c>
      <c r="X1675" s="256" t="s">
        <v>928</v>
      </c>
      <c r="Y1675" s="256">
        <v>2</v>
      </c>
      <c r="Z1675" s="256" t="s">
        <v>116</v>
      </c>
      <c r="AA1675" s="54"/>
      <c r="AB1675" s="200" t="s">
        <v>774</v>
      </c>
      <c r="AC1675" s="31"/>
      <c r="AD1675" s="184"/>
      <c r="AE1675" s="51"/>
      <c r="AF1675" s="52"/>
      <c r="AG1675" s="41"/>
      <c r="AH1675" s="45"/>
      <c r="AI1675" s="28"/>
      <c r="AJ1675" s="28"/>
      <c r="AK1675" s="28"/>
      <c r="AL1675" s="28"/>
      <c r="AM1675" s="12"/>
      <c r="AN1675" s="12"/>
      <c r="AO1675" s="12"/>
      <c r="AP1675" s="12"/>
      <c r="AQ1675" s="12"/>
      <c r="AR1675" s="13"/>
      <c r="AS1675" s="14"/>
    </row>
    <row r="1676" spans="1:45" s="16" customFormat="1" ht="30.95" hidden="1" customHeight="1" x14ac:dyDescent="0.2">
      <c r="A1676" s="35"/>
      <c r="B1676" s="36"/>
      <c r="C1676" s="43"/>
      <c r="D1676" s="29"/>
      <c r="E1676" s="29"/>
      <c r="F1676" s="255"/>
      <c r="G1676" s="256"/>
      <c r="H1676" s="256"/>
      <c r="I1676" s="200"/>
      <c r="J1676" s="203"/>
      <c r="K1676" s="200"/>
      <c r="L1676" s="200"/>
      <c r="M1676" s="37"/>
      <c r="N1676" s="37"/>
      <c r="O1676" s="153"/>
      <c r="P1676" s="45"/>
      <c r="Q1676" s="54"/>
      <c r="R1676" s="260"/>
      <c r="S1676" s="258"/>
      <c r="T1676" s="258"/>
      <c r="U1676" s="38"/>
      <c r="V1676" s="261"/>
      <c r="W1676" s="256"/>
      <c r="X1676" s="256"/>
      <c r="Y1676" s="256"/>
      <c r="Z1676" s="256"/>
      <c r="AA1676" s="54"/>
      <c r="AB1676" s="200"/>
      <c r="AC1676" s="31"/>
      <c r="AD1676" s="184"/>
      <c r="AE1676" s="51"/>
      <c r="AF1676" s="52"/>
      <c r="AG1676" s="41"/>
      <c r="AH1676" s="45"/>
      <c r="AI1676" s="28"/>
      <c r="AJ1676" s="28"/>
      <c r="AK1676" s="28"/>
      <c r="AL1676" s="28"/>
      <c r="AM1676" s="12"/>
      <c r="AN1676" s="12"/>
      <c r="AO1676" s="12"/>
      <c r="AP1676" s="12"/>
      <c r="AQ1676" s="12"/>
      <c r="AR1676" s="13"/>
      <c r="AS1676" s="14"/>
    </row>
    <row r="1677" spans="1:45" s="16" customFormat="1" ht="30.95" hidden="1" customHeight="1" x14ac:dyDescent="0.2">
      <c r="A1677" s="35"/>
      <c r="B1677" s="36"/>
      <c r="C1677" s="43"/>
      <c r="D1677" s="29">
        <v>3741619</v>
      </c>
      <c r="E1677" s="29">
        <v>4162214</v>
      </c>
      <c r="F1677" s="255" t="str">
        <f>IF(D1677="","",VLOOKUP(D1677,契約台帳!$A$3:$K$4986,6,FALSE)&amp;VLOOKUP(D1677,契約台帳!$A$3:$K$4986,7,FALSE)&amp;VLOOKUP(D1677,契約台帳!$A$3:$K$4986,8,FALSE)&amp;VLOOKUP(D1677,契約台帳!$A$3:$K$4986,9,FALSE)&amp;VLOOKUP(D1677,契約台帳!$A$3:$K$4986,11,FALSE))</f>
        <v>3SNMCLBTETV0V</v>
      </c>
      <c r="G1677" s="256" t="str">
        <f>IF(D1677="","",VLOOKUP(F1677,製品マスタ!$G$5:$H$4999,2,FALSE))</f>
        <v>S</v>
      </c>
      <c r="H1677" s="256" t="str">
        <f>IF(D1677="","",VLOOKUP(F1677,製品マスタ!$G$5:$K$4999,5,FALSE))</f>
        <v>TETV0V</v>
      </c>
      <c r="I1677" s="200" t="str">
        <f>IF(D1677="","",VLOOKUP(F1677,製品マスタ!$G$5:$L$4999,6,FALSE))</f>
        <v>メタルミー　ＴＥＳ艶ＶＯＩＤＶ</v>
      </c>
      <c r="J1677" s="203" t="s">
        <v>935</v>
      </c>
      <c r="K1677" s="200">
        <f>IF(D1677="","",VLOOKUP(D1677,契約台帳!$A$3:$L$4986,12,FALSE))</f>
        <v>50</v>
      </c>
      <c r="L1677" s="200" t="str">
        <f>IF(D1677="","",INDEX(製品マスタ!$Q$5:$Q$4999,MATCH('S4'!F1677&amp;'S4'!K1677,製品マスタ!$AO$5:$AO$4999,0)))</f>
        <v>S28SEPA</v>
      </c>
      <c r="M1677" s="37">
        <v>1005</v>
      </c>
      <c r="N1677" s="37">
        <v>4100</v>
      </c>
      <c r="O1677" s="153">
        <v>2</v>
      </c>
      <c r="P1677" s="45">
        <v>2</v>
      </c>
      <c r="Q1677" s="206">
        <v>45349</v>
      </c>
      <c r="R1677" s="257">
        <f ca="1">IF(D1677="","",IF(OFFSET(D1677,-1,0)&lt;&gt;"","",IF(OR(J1677="リード付け",J1677="巻足し",J1677="巻返しリード付け"),M1677,VLOOKUP(D1677,契約台帳!$A$3:$N$4986,14,FALSE))))</f>
        <v>1005</v>
      </c>
      <c r="S1677" s="258">
        <f ca="1">IF(D1677="","",IF(OFFSET(D1677,-1,0)&lt;&gt;"","",IF(OR(J1677="リード付け",J1677="巻足し",J1677="巻返しリード付け"),M1677,VLOOKUP(D1677,契約台帳!$A$3:$O$4986,15,FALSE))))</f>
        <v>1005</v>
      </c>
      <c r="T1677" s="258">
        <f ca="1">IF(D1677="","",IF(J1677="リード付け",N1677,IF(J1677="巻返しリード付け",N1677,IF(J1677="巻足し",N1677*P1677+OFFSET(N1677,1,0)*OFFSET(P1677,1,0),VLOOKUP(D1677,契約台帳!$A$3:$P$4986,16,FALSE)))))</f>
        <v>8200</v>
      </c>
      <c r="U1677" s="38">
        <v>1</v>
      </c>
      <c r="V1677" s="259">
        <f ca="1">IF(D1677="","",IF(OFFSET(D1677,-2,0)=D1677,"",VLOOKUP(D1677,契約台帳!$A$3:$R$4986,18,FALSE)))</f>
        <v>2</v>
      </c>
      <c r="W1677" s="256" t="str">
        <f ca="1">IF(D1677="","",IF(T1677="","",IF(OR(J1677="巻足し",J1677="巻返しリード付け"),"",IF(J1677="巻返し",VLOOKUP(F1677&amp;K1677&amp;M1677,製品マスタ!$M$5:$AD$4999,18,FALSE),IF(OR(J1677="リード付け",J1677="巻返しリード付け"),"原反コア",IF(J1677="スリット",VLOOKUP(F1677&amp;K1677&amp;R1677,製品マスタ!$N$5:$AD$4999,17,FALSE),""))))))</f>
        <v/>
      </c>
      <c r="X1677" s="256" t="str">
        <f ca="1">IF(D1677="","",IF(T1677="","",IF(J1677="巻足し","",IF(J1677="巻返し",VLOOKUP(F1677&amp;K1677&amp;M1677,製品マスタ!$M$5:$AE$4999,19,FALSE),IF(OR(J1677="リード付け",J1677="巻返しリード付け"),"",IF(J1677="スリット",VLOOKUP(F1677&amp;K1677&amp;R1677,製品マスタ!$N$5:$AE$4999,18,FALSE),""))))))</f>
        <v/>
      </c>
      <c r="Y1677" s="256">
        <f ca="1">IF(D1677="","",IF(T1677="","",VLOOKUP(D1677,契約台帳!$A$3:$Q$4986,17,FALSE)))</f>
        <v>2</v>
      </c>
      <c r="Z1677" s="256" t="str">
        <f ca="1">IF(D1677="","",IF(T1677="","",VLOOKUP(D1677,契約台帳!$A$3:$E$4986,5,FALSE)))</f>
        <v>リンテック㈱</v>
      </c>
      <c r="AA1677" s="54"/>
      <c r="AB1677" s="200">
        <f>IFERROR((VLOOKUP(F1677&amp;K1677&amp;M1677,製品マスタ!$M$5:$AM$4999,27,FALSE)),"")</f>
        <v>0</v>
      </c>
      <c r="AC1677" s="31"/>
      <c r="AD1677" s="184"/>
      <c r="AE1677" s="51"/>
      <c r="AF1677" s="52">
        <f>+M1677*N1677*O1677/1000</f>
        <v>8241</v>
      </c>
      <c r="AG1677" s="41"/>
      <c r="AH1677" s="45"/>
      <c r="AI1677" s="28"/>
      <c r="AJ1677" s="28"/>
      <c r="AK1677" s="28"/>
      <c r="AL1677" s="28"/>
      <c r="AM1677" s="12"/>
      <c r="AN1677" s="12"/>
      <c r="AO1677" s="12"/>
      <c r="AP1677" s="12"/>
      <c r="AQ1677" s="12"/>
      <c r="AR1677" s="13"/>
      <c r="AS1677" s="14"/>
    </row>
    <row r="1678" spans="1:45" s="16" customFormat="1" ht="30.95" hidden="1" customHeight="1" x14ac:dyDescent="0.2">
      <c r="A1678" s="35"/>
      <c r="B1678" s="36"/>
      <c r="C1678" s="43"/>
      <c r="D1678" s="29"/>
      <c r="E1678" s="29"/>
      <c r="F1678" s="255"/>
      <c r="G1678" s="256"/>
      <c r="H1678" s="256"/>
      <c r="I1678" s="200"/>
      <c r="J1678" s="203"/>
      <c r="K1678" s="200"/>
      <c r="L1678" s="200"/>
      <c r="M1678" s="37"/>
      <c r="N1678" s="37"/>
      <c r="O1678" s="153"/>
      <c r="P1678" s="45"/>
      <c r="Q1678" s="54"/>
      <c r="R1678" s="260"/>
      <c r="S1678" s="258"/>
      <c r="T1678" s="258"/>
      <c r="U1678" s="38"/>
      <c r="V1678" s="261"/>
      <c r="W1678" s="256"/>
      <c r="X1678" s="256"/>
      <c r="Y1678" s="256"/>
      <c r="Z1678" s="256"/>
      <c r="AA1678" s="54"/>
      <c r="AB1678" s="200"/>
      <c r="AC1678" s="31"/>
      <c r="AD1678" s="184"/>
      <c r="AE1678" s="51"/>
      <c r="AF1678" s="52"/>
      <c r="AG1678" s="41"/>
      <c r="AH1678" s="45"/>
      <c r="AI1678" s="28"/>
      <c r="AJ1678" s="28"/>
      <c r="AK1678" s="28"/>
      <c r="AL1678" s="28"/>
      <c r="AM1678" s="12"/>
      <c r="AN1678" s="12"/>
      <c r="AO1678" s="12"/>
      <c r="AP1678" s="12"/>
      <c r="AQ1678" s="12"/>
      <c r="AR1678" s="13"/>
      <c r="AS1678" s="14"/>
    </row>
    <row r="1679" spans="1:45" s="16" customFormat="1" ht="30.95" hidden="1" customHeight="1" x14ac:dyDescent="0.2">
      <c r="A1679" s="35" t="s">
        <v>949</v>
      </c>
      <c r="B1679" s="36" t="s">
        <v>445</v>
      </c>
      <c r="C1679" s="43"/>
      <c r="D1679" s="29"/>
      <c r="E1679" s="29"/>
      <c r="F1679" s="255"/>
      <c r="G1679" s="256"/>
      <c r="H1679" s="256"/>
      <c r="I1679" s="200"/>
      <c r="J1679" s="203" t="s">
        <v>448</v>
      </c>
      <c r="K1679" s="200"/>
      <c r="L1679" s="200"/>
      <c r="M1679" s="37"/>
      <c r="N1679" s="37"/>
      <c r="O1679" s="153"/>
      <c r="P1679" s="45"/>
      <c r="Q1679" s="54"/>
      <c r="R1679" s="260"/>
      <c r="S1679" s="258"/>
      <c r="T1679" s="258"/>
      <c r="U1679" s="38"/>
      <c r="V1679" s="261"/>
      <c r="W1679" s="256"/>
      <c r="X1679" s="256"/>
      <c r="Y1679" s="256"/>
      <c r="Z1679" s="256"/>
      <c r="AA1679" s="54"/>
      <c r="AB1679" s="200"/>
      <c r="AC1679" s="31"/>
      <c r="AD1679" s="184"/>
      <c r="AE1679" s="51"/>
      <c r="AF1679" s="52"/>
      <c r="AG1679" s="41"/>
      <c r="AH1679" s="45"/>
      <c r="AI1679" s="28"/>
      <c r="AJ1679" s="28"/>
      <c r="AK1679" s="28"/>
      <c r="AL1679" s="28"/>
      <c r="AM1679" s="12"/>
      <c r="AN1679" s="12"/>
      <c r="AO1679" s="12"/>
      <c r="AP1679" s="12"/>
      <c r="AQ1679" s="12"/>
      <c r="AR1679" s="13"/>
      <c r="AS1679" s="14"/>
    </row>
    <row r="1680" spans="1:45" s="16" customFormat="1" ht="30.95" hidden="1" customHeight="1" x14ac:dyDescent="0.2">
      <c r="A1680" s="35"/>
      <c r="B1680" s="36"/>
      <c r="C1680" s="43"/>
      <c r="D1680" s="29"/>
      <c r="E1680" s="29"/>
      <c r="F1680" s="255"/>
      <c r="G1680" s="256"/>
      <c r="H1680" s="256"/>
      <c r="I1680" s="200"/>
      <c r="J1680" s="203"/>
      <c r="K1680" s="200"/>
      <c r="L1680" s="200"/>
      <c r="M1680" s="37"/>
      <c r="N1680" s="37"/>
      <c r="O1680" s="153"/>
      <c r="P1680" s="45"/>
      <c r="Q1680" s="54"/>
      <c r="R1680" s="260"/>
      <c r="S1680" s="258"/>
      <c r="T1680" s="258"/>
      <c r="U1680" s="38"/>
      <c r="V1680" s="261"/>
      <c r="W1680" s="256"/>
      <c r="X1680" s="256"/>
      <c r="Y1680" s="256"/>
      <c r="Z1680" s="256"/>
      <c r="AA1680" s="54"/>
      <c r="AB1680" s="200"/>
      <c r="AC1680" s="31"/>
      <c r="AD1680" s="184"/>
      <c r="AE1680" s="51"/>
      <c r="AF1680" s="52"/>
      <c r="AG1680" s="41"/>
      <c r="AH1680" s="45"/>
      <c r="AI1680" s="28"/>
      <c r="AJ1680" s="28"/>
      <c r="AK1680" s="28"/>
      <c r="AL1680" s="28"/>
      <c r="AM1680" s="12"/>
      <c r="AN1680" s="12"/>
      <c r="AO1680" s="12"/>
      <c r="AP1680" s="12"/>
      <c r="AQ1680" s="12"/>
      <c r="AR1680" s="13"/>
      <c r="AS1680" s="14"/>
    </row>
    <row r="1681" spans="1:45" s="16" customFormat="1" ht="30.95" hidden="1" customHeight="1" x14ac:dyDescent="0.2">
      <c r="A1681" s="35" t="s">
        <v>950</v>
      </c>
      <c r="B1681" s="36" t="s">
        <v>446</v>
      </c>
      <c r="C1681" s="43"/>
      <c r="D1681" s="29"/>
      <c r="E1681" s="29"/>
      <c r="F1681" s="255"/>
      <c r="G1681" s="256"/>
      <c r="H1681" s="256"/>
      <c r="I1681" s="200"/>
      <c r="J1681" s="203" t="s">
        <v>448</v>
      </c>
      <c r="K1681" s="200"/>
      <c r="L1681" s="200"/>
      <c r="M1681" s="37"/>
      <c r="N1681" s="37"/>
      <c r="O1681" s="153"/>
      <c r="P1681" s="45"/>
      <c r="Q1681" s="54"/>
      <c r="R1681" s="260"/>
      <c r="S1681" s="258"/>
      <c r="T1681" s="258"/>
      <c r="U1681" s="38"/>
      <c r="V1681" s="261"/>
      <c r="W1681" s="256"/>
      <c r="X1681" s="256"/>
      <c r="Y1681" s="256"/>
      <c r="Z1681" s="256"/>
      <c r="AA1681" s="54"/>
      <c r="AB1681" s="200"/>
      <c r="AC1681" s="31"/>
      <c r="AD1681" s="184"/>
      <c r="AE1681" s="51"/>
      <c r="AF1681" s="52"/>
      <c r="AG1681" s="41"/>
      <c r="AH1681" s="45"/>
      <c r="AI1681" s="28"/>
      <c r="AJ1681" s="28"/>
      <c r="AK1681" s="28"/>
      <c r="AL1681" s="28"/>
      <c r="AM1681" s="12"/>
      <c r="AN1681" s="12"/>
      <c r="AO1681" s="12"/>
      <c r="AP1681" s="12"/>
      <c r="AQ1681" s="12"/>
      <c r="AR1681" s="13"/>
      <c r="AS1681" s="14"/>
    </row>
    <row r="1682" spans="1:45" s="16" customFormat="1" ht="30.95" hidden="1" customHeight="1" x14ac:dyDescent="0.2">
      <c r="A1682" s="35"/>
      <c r="B1682" s="36"/>
      <c r="C1682" s="43"/>
      <c r="D1682" s="29"/>
      <c r="E1682" s="29"/>
      <c r="F1682" s="255"/>
      <c r="G1682" s="256"/>
      <c r="H1682" s="256"/>
      <c r="I1682" s="200"/>
      <c r="J1682" s="203"/>
      <c r="K1682" s="200"/>
      <c r="L1682" s="200"/>
      <c r="M1682" s="37"/>
      <c r="N1682" s="37"/>
      <c r="O1682" s="153"/>
      <c r="P1682" s="45"/>
      <c r="Q1682" s="54"/>
      <c r="R1682" s="260"/>
      <c r="S1682" s="258"/>
      <c r="T1682" s="258"/>
      <c r="U1682" s="38"/>
      <c r="V1682" s="261"/>
      <c r="W1682" s="256"/>
      <c r="X1682" s="256"/>
      <c r="Y1682" s="256"/>
      <c r="Z1682" s="256"/>
      <c r="AA1682" s="54"/>
      <c r="AB1682" s="200"/>
      <c r="AC1682" s="31"/>
      <c r="AD1682" s="184"/>
      <c r="AE1682" s="51"/>
      <c r="AF1682" s="52"/>
      <c r="AG1682" s="41"/>
      <c r="AH1682" s="45"/>
      <c r="AI1682" s="28"/>
      <c r="AJ1682" s="28"/>
      <c r="AK1682" s="28"/>
      <c r="AL1682" s="28"/>
      <c r="AM1682" s="12"/>
      <c r="AN1682" s="12"/>
      <c r="AO1682" s="12"/>
      <c r="AP1682" s="12"/>
      <c r="AQ1682" s="12"/>
      <c r="AR1682" s="13"/>
      <c r="AS1682" s="14"/>
    </row>
    <row r="1683" spans="1:45" s="16" customFormat="1" ht="30.95" hidden="1" customHeight="1" x14ac:dyDescent="0.2">
      <c r="A1683" s="35" t="s">
        <v>2285</v>
      </c>
      <c r="B1683" s="36" t="s">
        <v>2286</v>
      </c>
      <c r="C1683" s="43"/>
      <c r="D1683" s="29">
        <v>3741618</v>
      </c>
      <c r="E1683" s="29">
        <v>4162193</v>
      </c>
      <c r="F1683" s="255" t="str">
        <f>IF(D1683="","",VLOOKUP(D1683,契約台帳!$A$3:$K$4986,6,FALSE)&amp;VLOOKUP(D1683,契約台帳!$A$3:$K$4986,7,FALSE)&amp;VLOOKUP(D1683,契約台帳!$A$3:$K$4986,8,FALSE)&amp;VLOOKUP(D1683,契約台帳!$A$3:$K$4986,9,FALSE)&amp;VLOOKUP(D1683,契約台帳!$A$3:$K$4986,11,FALSE))</f>
        <v>33SSNMCLBTETKFV</v>
      </c>
      <c r="G1683" s="256" t="str">
        <f>IF(D1683="","",VLOOKUP(F1683,製品マスタ!$G$5:$H$4999,2,FALSE))</f>
        <v>S</v>
      </c>
      <c r="H1683" s="256" t="str">
        <f>IF(D1683="","",VLOOKUP(F1683,製品マスタ!$G$5:$K$4999,5,FALSE))</f>
        <v>TETKFV</v>
      </c>
      <c r="I1683" s="200" t="str">
        <f>IF(D1683="","",VLOOKUP(F1683,製品マスタ!$G$5:$L$4999,6,FALSE))</f>
        <v>メタルミー　ＴＥＳ艶開封　Ｖ</v>
      </c>
      <c r="J1683" s="203" t="s">
        <v>935</v>
      </c>
      <c r="K1683" s="200">
        <f>IF(D1683="","",VLOOKUP(D1683,契約台帳!$A$3:$L$4986,12,FALSE))</f>
        <v>50</v>
      </c>
      <c r="L1683" s="200" t="str">
        <f>IF(D1683="","",INDEX(製品マスタ!$Q$5:$Q$4999,MATCH('S4'!F1683&amp;'S4'!K1683,製品マスタ!$AO$5:$AO$4999,0)))</f>
        <v>S28SEPA</v>
      </c>
      <c r="M1683" s="37">
        <v>1005</v>
      </c>
      <c r="N1683" s="37">
        <v>4100</v>
      </c>
      <c r="O1683" s="153">
        <v>6</v>
      </c>
      <c r="P1683" s="45">
        <v>3</v>
      </c>
      <c r="Q1683" s="206">
        <v>45349</v>
      </c>
      <c r="R1683" s="257">
        <f ca="1">IF(D1683="","",IF(OFFSET(D1683,-1,0)&lt;&gt;"","",IF(OR(J1683="リード付け",J1683="巻足し",J1683="巻返しリード付け"),M1683,VLOOKUP(D1683,契約台帳!$A$3:$N$4986,14,FALSE))))</f>
        <v>1005</v>
      </c>
      <c r="S1683" s="258">
        <f ca="1">IF(D1683="","",IF(OFFSET(D1683,-1,0)&lt;&gt;"","",IF(OR(J1683="リード付け",J1683="巻足し",J1683="巻返しリード付け"),M1683,VLOOKUP(D1683,契約台帳!$A$3:$O$4986,15,FALSE))))</f>
        <v>1005</v>
      </c>
      <c r="T1683" s="258">
        <f ca="1">IF(D1683="","",IF(J1683="リード付け",N1683,IF(J1683="巻返しリード付け",N1683,IF(J1683="巻足し",N1683*P1683+OFFSET(N1683,1,0)*OFFSET(P1683,1,0),VLOOKUP(D1683,契約台帳!$A$3:$P$4986,16,FALSE)))))</f>
        <v>12300</v>
      </c>
      <c r="U1683" s="38">
        <v>2</v>
      </c>
      <c r="V1683" s="259">
        <f ca="1">IF(D1683="","",IF(OFFSET(D1683,-2,0)=D1683,"",VLOOKUP(D1683,契約台帳!$A$3:$R$4986,18,FALSE)))</f>
        <v>6</v>
      </c>
      <c r="W1683" s="256" t="str">
        <f ca="1">IF(D1683="","",IF(T1683="","",IF(OR(J1683="巻足し",J1683="巻返しリード付け"),"",IF(J1683="巻返し",VLOOKUP(F1683&amp;K1683&amp;M1683,製品マスタ!$M$5:$AD$4999,18,FALSE),IF(OR(J1683="リード付け",J1683="巻返しリード付け"),"原反コア",IF(J1683="スリット",VLOOKUP(F1683&amp;K1683&amp;R1683,製品マスタ!$N$5:$AD$4999,17,FALSE),""))))))</f>
        <v/>
      </c>
      <c r="X1683" s="256" t="str">
        <f ca="1">IF(D1683="","",IF(T1683="","",IF(J1683="巻足し","",IF(J1683="巻返し",VLOOKUP(F1683&amp;K1683&amp;M1683,製品マスタ!$M$5:$AE$4999,19,FALSE),IF(OR(J1683="リード付け",J1683="巻返しリード付け"),"",IF(J1683="スリット",VLOOKUP(F1683&amp;K1683&amp;R1683,製品マスタ!$N$5:$AE$4999,18,FALSE),""))))))</f>
        <v/>
      </c>
      <c r="Y1683" s="256">
        <f ca="1">IF(D1683="","",IF(T1683="","",VLOOKUP(D1683,契約台帳!$A$3:$Q$4986,17,FALSE)))</f>
        <v>2</v>
      </c>
      <c r="Z1683" s="256" t="str">
        <f ca="1">IF(D1683="","",IF(T1683="","",VLOOKUP(D1683,契約台帳!$A$3:$E$4986,5,FALSE)))</f>
        <v>リンテック㈱</v>
      </c>
      <c r="AA1683" s="54"/>
      <c r="AB1683" s="200">
        <f>IFERROR((VLOOKUP(F1683&amp;K1683&amp;M1683,製品マスタ!$M$5:$AM$4999,27,FALSE)),"")</f>
        <v>0</v>
      </c>
      <c r="AC1683" s="31"/>
      <c r="AD1683" s="184"/>
      <c r="AE1683" s="51"/>
      <c r="AF1683" s="52">
        <f>+M1683*N1683*O1683/1000</f>
        <v>24723</v>
      </c>
      <c r="AG1683" s="41"/>
      <c r="AH1683" s="45"/>
      <c r="AI1683" s="28"/>
      <c r="AJ1683" s="28"/>
      <c r="AK1683" s="28"/>
      <c r="AL1683" s="28"/>
      <c r="AM1683" s="12"/>
      <c r="AN1683" s="12"/>
      <c r="AO1683" s="12"/>
      <c r="AP1683" s="12"/>
      <c r="AQ1683" s="12"/>
      <c r="AR1683" s="13"/>
      <c r="AS1683" s="14"/>
    </row>
    <row r="1684" spans="1:45" s="16" customFormat="1" ht="30.95" hidden="1" customHeight="1" x14ac:dyDescent="0.2">
      <c r="A1684" s="35"/>
      <c r="B1684" s="36"/>
      <c r="C1684" s="43"/>
      <c r="D1684" s="29"/>
      <c r="E1684" s="29"/>
      <c r="F1684" s="255"/>
      <c r="G1684" s="256"/>
      <c r="H1684" s="256"/>
      <c r="I1684" s="200"/>
      <c r="J1684" s="203"/>
      <c r="K1684" s="200"/>
      <c r="L1684" s="200"/>
      <c r="M1684" s="37"/>
      <c r="N1684" s="37"/>
      <c r="O1684" s="153"/>
      <c r="P1684" s="45"/>
      <c r="Q1684" s="54"/>
      <c r="R1684" s="260"/>
      <c r="S1684" s="258"/>
      <c r="T1684" s="258"/>
      <c r="U1684" s="38"/>
      <c r="V1684" s="261"/>
      <c r="W1684" s="256"/>
      <c r="X1684" s="256"/>
      <c r="Y1684" s="256"/>
      <c r="Z1684" s="256"/>
      <c r="AA1684" s="54"/>
      <c r="AB1684" s="200"/>
      <c r="AC1684" s="31"/>
      <c r="AD1684" s="184"/>
      <c r="AE1684" s="51"/>
      <c r="AF1684" s="52"/>
      <c r="AG1684" s="41"/>
      <c r="AH1684" s="45"/>
      <c r="AI1684" s="28"/>
      <c r="AJ1684" s="28"/>
      <c r="AK1684" s="28"/>
      <c r="AL1684" s="28"/>
      <c r="AM1684" s="12"/>
      <c r="AN1684" s="12"/>
      <c r="AO1684" s="12"/>
      <c r="AP1684" s="12"/>
      <c r="AQ1684" s="12"/>
      <c r="AR1684" s="13"/>
      <c r="AS1684" s="14"/>
    </row>
    <row r="1685" spans="1:45" s="16" customFormat="1" ht="30.6" hidden="1" customHeight="1" x14ac:dyDescent="0.2">
      <c r="A1685" s="35"/>
      <c r="B1685" s="36"/>
      <c r="C1685" s="43"/>
      <c r="D1685" s="29">
        <v>3744881</v>
      </c>
      <c r="E1685" s="29">
        <v>4162231</v>
      </c>
      <c r="F1685" s="255" t="str">
        <f>IF(D1685="","",VLOOKUP(D1685,契約台帳!$A$3:$K$4986,6,FALSE)&amp;VLOOKUP(D1685,契約台帳!$A$3:$K$4986,7,FALSE)&amp;VLOOKUP(D1685,契約台帳!$A$3:$K$4986,8,FALSE)&amp;VLOOKUP(D1685,契約台帳!$A$3:$K$4986,9,FALSE)&amp;VLOOKUP(D1685,契約台帳!$A$3:$K$4986,11,FALSE))</f>
        <v>33SSNMCLBTETKFV</v>
      </c>
      <c r="G1685" s="256" t="str">
        <f>IF(D1685="","",VLOOKUP(F1685,製品マスタ!$G$5:$H$4999,2,FALSE))</f>
        <v>S</v>
      </c>
      <c r="H1685" s="256" t="str">
        <f>IF(D1685="","",VLOOKUP(F1685,製品マスタ!$G$5:$K$4999,5,FALSE))</f>
        <v>TETKFV</v>
      </c>
      <c r="I1685" s="200" t="str">
        <f>IF(D1685="","",VLOOKUP(F1685,製品マスタ!$G$5:$L$4999,6,FALSE))</f>
        <v>メタルミー　ＴＥＳ艶開封　Ｖ</v>
      </c>
      <c r="J1685" s="203" t="s">
        <v>935</v>
      </c>
      <c r="K1685" s="200">
        <f>IF(D1685="","",VLOOKUP(D1685,契約台帳!$A$3:$L$4986,12,FALSE))</f>
        <v>50</v>
      </c>
      <c r="L1685" s="200" t="str">
        <f>IF(D1685="","",INDEX(製品マスタ!$Q$5:$Q$4999,MATCH('S4'!F1685&amp;'S4'!K1685,製品マスタ!$AO$5:$AO$4999,0)))</f>
        <v>S28SEPA</v>
      </c>
      <c r="M1685" s="37">
        <v>1005</v>
      </c>
      <c r="N1685" s="37">
        <v>4100</v>
      </c>
      <c r="O1685" s="153">
        <v>6</v>
      </c>
      <c r="P1685" s="45">
        <v>3</v>
      </c>
      <c r="Q1685" s="206">
        <v>45359</v>
      </c>
      <c r="R1685" s="257">
        <f ca="1">IF(D1685="","",IF(OFFSET(D1685,-1,0)&lt;&gt;"","",IF(OR(J1685="リード付け",J1685="巻足し",J1685="巻返しリード付け"),M1685,VLOOKUP(D1685,契約台帳!$A$3:$N$4986,14,FALSE))))</f>
        <v>1005</v>
      </c>
      <c r="S1685" s="258">
        <f ca="1">IF(D1685="","",IF(OFFSET(D1685,-1,0)&lt;&gt;"","",IF(OR(J1685="リード付け",J1685="巻足し",J1685="巻返しリード付け"),M1685,VLOOKUP(D1685,契約台帳!$A$3:$O$4986,15,FALSE))))</f>
        <v>1005</v>
      </c>
      <c r="T1685" s="258">
        <f ca="1">IF(D1685="","",IF(J1685="リード付け",N1685,IF(J1685="巻返しリード付け",N1685,IF(J1685="巻足し",N1685*P1685+OFFSET(N1685,1,0)*OFFSET(P1685,1,0),VLOOKUP(D1685,契約台帳!$A$3:$P$4986,16,FALSE)))))</f>
        <v>12300</v>
      </c>
      <c r="U1685" s="38">
        <v>2</v>
      </c>
      <c r="V1685" s="259">
        <f ca="1">IF(D1685="","",IF(OFFSET(D1685,-2,0)=D1685,"",VLOOKUP(D1685,契約台帳!$A$3:$R$4986,18,FALSE)))</f>
        <v>6</v>
      </c>
      <c r="W1685" s="256" t="str">
        <f ca="1">IF(D1685="","",IF(T1685="","",IF(OR(J1685="巻足し",J1685="巻返しリード付け"),"",IF(J1685="巻返し",VLOOKUP(F1685&amp;K1685&amp;M1685,製品マスタ!$M$5:$AD$4999,18,FALSE),IF(OR(J1685="リード付け",J1685="巻返しリード付け"),"原反コア",IF(J1685="スリット",VLOOKUP(F1685&amp;K1685&amp;R1685,製品マスタ!$N$5:$AD$4999,17,FALSE),""))))))</f>
        <v/>
      </c>
      <c r="X1685" s="256" t="str">
        <f ca="1">IF(D1685="","",IF(T1685="","",IF(J1685="巻足し","",IF(J1685="巻返し",VLOOKUP(F1685&amp;K1685&amp;M1685,製品マスタ!$M$5:$AE$4999,19,FALSE),IF(OR(J1685="リード付け",J1685="巻返しリード付け"),"",IF(J1685="スリット",VLOOKUP(F1685&amp;K1685&amp;R1685,製品マスタ!$N$5:$AE$4999,18,FALSE),""))))))</f>
        <v/>
      </c>
      <c r="Y1685" s="256">
        <f ca="1">IF(D1685="","",IF(T1685="","",VLOOKUP(D1685,契約台帳!$A$3:$Q$4986,17,FALSE)))</f>
        <v>2</v>
      </c>
      <c r="Z1685" s="256" t="str">
        <f ca="1">IF(D1685="","",IF(T1685="","",VLOOKUP(D1685,契約台帳!$A$3:$E$4986,5,FALSE)))</f>
        <v>リンテック㈱</v>
      </c>
      <c r="AA1685" s="54"/>
      <c r="AB1685" s="200">
        <f>IFERROR((VLOOKUP(F1685&amp;K1685&amp;M1685,製品マスタ!$M$5:$AM$4999,27,FALSE)),"")</f>
        <v>0</v>
      </c>
      <c r="AC1685" s="31"/>
      <c r="AD1685" s="184"/>
      <c r="AE1685" s="51"/>
      <c r="AF1685" s="52">
        <f>+M1685*N1685*O1685/1000</f>
        <v>24723</v>
      </c>
      <c r="AG1685" s="41"/>
      <c r="AH1685" s="45"/>
      <c r="AI1685" s="28"/>
      <c r="AJ1685" s="28"/>
      <c r="AK1685" s="28"/>
      <c r="AL1685" s="28"/>
      <c r="AM1685" s="12"/>
      <c r="AN1685" s="12"/>
      <c r="AO1685" s="12"/>
      <c r="AP1685" s="12"/>
      <c r="AQ1685" s="12"/>
      <c r="AR1685" s="13"/>
      <c r="AS1685" s="14"/>
    </row>
    <row r="1686" spans="1:45" s="16" customFormat="1" ht="30.95" hidden="1" customHeight="1" x14ac:dyDescent="0.2">
      <c r="A1686" s="35"/>
      <c r="B1686" s="36"/>
      <c r="C1686" s="43"/>
      <c r="D1686" s="29"/>
      <c r="E1686" s="29"/>
      <c r="F1686" s="255"/>
      <c r="G1686" s="256"/>
      <c r="H1686" s="256"/>
      <c r="I1686" s="200"/>
      <c r="J1686" s="203"/>
      <c r="K1686" s="200"/>
      <c r="L1686" s="200"/>
      <c r="M1686" s="37"/>
      <c r="N1686" s="37"/>
      <c r="O1686" s="153"/>
      <c r="P1686" s="45"/>
      <c r="Q1686" s="54"/>
      <c r="R1686" s="260"/>
      <c r="S1686" s="258"/>
      <c r="T1686" s="258"/>
      <c r="U1686" s="38"/>
      <c r="V1686" s="261"/>
      <c r="W1686" s="256"/>
      <c r="X1686" s="256"/>
      <c r="Y1686" s="256"/>
      <c r="Z1686" s="256"/>
      <c r="AA1686" s="54"/>
      <c r="AB1686" s="200"/>
      <c r="AC1686" s="31"/>
      <c r="AD1686" s="184"/>
      <c r="AE1686" s="51"/>
      <c r="AF1686" s="52"/>
      <c r="AG1686" s="41"/>
      <c r="AH1686" s="45"/>
      <c r="AI1686" s="28"/>
      <c r="AJ1686" s="28"/>
      <c r="AK1686" s="28"/>
      <c r="AL1686" s="28"/>
      <c r="AM1686" s="12"/>
      <c r="AN1686" s="12"/>
      <c r="AO1686" s="12"/>
      <c r="AP1686" s="12"/>
      <c r="AQ1686" s="12"/>
      <c r="AR1686" s="13"/>
      <c r="AS1686" s="14"/>
    </row>
    <row r="1687" spans="1:45" s="16" customFormat="1" ht="30.6" hidden="1" customHeight="1" x14ac:dyDescent="0.2">
      <c r="A1687" s="35"/>
      <c r="B1687" s="36"/>
      <c r="C1687" s="43"/>
      <c r="D1687" s="29">
        <v>3744882</v>
      </c>
      <c r="E1687" s="29">
        <v>4162244</v>
      </c>
      <c r="F1687" s="255" t="str">
        <f>IF(D1687="","",VLOOKUP(D1687,契約台帳!$A$3:$K$4986,6,FALSE)&amp;VLOOKUP(D1687,契約台帳!$A$3:$K$4986,7,FALSE)&amp;VLOOKUP(D1687,契約台帳!$A$3:$K$4986,8,FALSE)&amp;VLOOKUP(D1687,契約台帳!$A$3:$K$4986,9,FALSE)&amp;VLOOKUP(D1687,契約台帳!$A$3:$K$4986,11,FALSE))</f>
        <v>3SNMCLBTETV0V</v>
      </c>
      <c r="G1687" s="256" t="str">
        <f>IF(D1687="","",VLOOKUP(F1687,製品マスタ!$G$5:$H$4999,2,FALSE))</f>
        <v>S</v>
      </c>
      <c r="H1687" s="256" t="str">
        <f>IF(D1687="","",VLOOKUP(F1687,製品マスタ!$G$5:$K$4999,5,FALSE))</f>
        <v>TETV0V</v>
      </c>
      <c r="I1687" s="200" t="str">
        <f>IF(D1687="","",VLOOKUP(F1687,製品マスタ!$G$5:$L$4999,6,FALSE))</f>
        <v>メタルミー　ＴＥＳ艶ＶＯＩＤＶ</v>
      </c>
      <c r="J1687" s="203" t="s">
        <v>935</v>
      </c>
      <c r="K1687" s="200">
        <f>IF(D1687="","",VLOOKUP(D1687,契約台帳!$A$3:$L$4986,12,FALSE))</f>
        <v>50</v>
      </c>
      <c r="L1687" s="200" t="str">
        <f>IF(D1687="","",INDEX(製品マスタ!$Q$5:$Q$4999,MATCH('S4'!F1687&amp;'S4'!K1687,製品マスタ!$AO$5:$AO$4999,0)))</f>
        <v>S28SEPA</v>
      </c>
      <c r="M1687" s="37">
        <v>1005</v>
      </c>
      <c r="N1687" s="37">
        <v>4100</v>
      </c>
      <c r="O1687" s="153">
        <v>2</v>
      </c>
      <c r="P1687" s="45">
        <v>2</v>
      </c>
      <c r="Q1687" s="206">
        <v>45359</v>
      </c>
      <c r="R1687" s="257">
        <f ca="1">IF(D1687="","",IF(OFFSET(D1687,-1,0)&lt;&gt;"","",IF(OR(J1687="リード付け",J1687="巻足し",J1687="巻返しリード付け"),M1687,VLOOKUP(D1687,契約台帳!$A$3:$N$4986,14,FALSE))))</f>
        <v>1005</v>
      </c>
      <c r="S1687" s="258">
        <f ca="1">IF(D1687="","",IF(OFFSET(D1687,-1,0)&lt;&gt;"","",IF(OR(J1687="リード付け",J1687="巻足し",J1687="巻返しリード付け"),M1687,VLOOKUP(D1687,契約台帳!$A$3:$O$4986,15,FALSE))))</f>
        <v>1005</v>
      </c>
      <c r="T1687" s="258">
        <f ca="1">IF(D1687="","",IF(J1687="リード付け",N1687,IF(J1687="巻返しリード付け",N1687,IF(J1687="巻足し",N1687*P1687+OFFSET(N1687,1,0)*OFFSET(P1687,1,0),VLOOKUP(D1687,契約台帳!$A$3:$P$4986,16,FALSE)))))</f>
        <v>8200</v>
      </c>
      <c r="U1687" s="38">
        <v>1</v>
      </c>
      <c r="V1687" s="259">
        <f ca="1">IF(D1687="","",IF(OFFSET(D1687,-2,0)=D1687,"",VLOOKUP(D1687,契約台帳!$A$3:$R$4986,18,FALSE)))</f>
        <v>2</v>
      </c>
      <c r="W1687" s="256" t="str">
        <f ca="1">IF(D1687="","",IF(T1687="","",IF(OR(J1687="巻足し",J1687="巻返しリード付け"),"",IF(J1687="巻返し",VLOOKUP(F1687&amp;K1687&amp;M1687,製品マスタ!$M$5:$AD$4999,18,FALSE),IF(OR(J1687="リード付け",J1687="巻返しリード付け"),"原反コア",IF(J1687="スリット",VLOOKUP(F1687&amp;K1687&amp;R1687,製品マスタ!$N$5:$AD$4999,17,FALSE),""))))))</f>
        <v/>
      </c>
      <c r="X1687" s="256" t="str">
        <f ca="1">IF(D1687="","",IF(T1687="","",IF(J1687="巻足し","",IF(J1687="巻返し",VLOOKUP(F1687&amp;K1687&amp;M1687,製品マスタ!$M$5:$AE$4999,19,FALSE),IF(OR(J1687="リード付け",J1687="巻返しリード付け"),"",IF(J1687="スリット",VLOOKUP(F1687&amp;K1687&amp;R1687,製品マスタ!$N$5:$AE$4999,18,FALSE),""))))))</f>
        <v/>
      </c>
      <c r="Y1687" s="256">
        <f ca="1">IF(D1687="","",IF(T1687="","",VLOOKUP(D1687,契約台帳!$A$3:$Q$4986,17,FALSE)))</f>
        <v>2</v>
      </c>
      <c r="Z1687" s="256" t="str">
        <f ca="1">IF(D1687="","",IF(T1687="","",VLOOKUP(D1687,契約台帳!$A$3:$E$4986,5,FALSE)))</f>
        <v>リンテック㈱</v>
      </c>
      <c r="AA1687" s="54"/>
      <c r="AB1687" s="200">
        <f>IFERROR((VLOOKUP(F1687&amp;K1687&amp;M1687,製品マスタ!$M$5:$AM$4999,27,FALSE)),"")</f>
        <v>0</v>
      </c>
      <c r="AC1687" s="31"/>
      <c r="AD1687" s="184"/>
      <c r="AE1687" s="51"/>
      <c r="AF1687" s="52">
        <f>+M1687*N1687*O1687/1000</f>
        <v>8241</v>
      </c>
      <c r="AG1687" s="41"/>
      <c r="AH1687" s="45"/>
      <c r="AI1687" s="28"/>
      <c r="AJ1687" s="28"/>
      <c r="AK1687" s="28"/>
      <c r="AL1687" s="28"/>
      <c r="AM1687" s="12"/>
      <c r="AN1687" s="12"/>
      <c r="AO1687" s="12"/>
      <c r="AP1687" s="12"/>
      <c r="AQ1687" s="12"/>
      <c r="AR1687" s="13"/>
      <c r="AS1687" s="14"/>
    </row>
    <row r="1688" spans="1:45" s="16" customFormat="1" ht="30.95" hidden="1" customHeight="1" x14ac:dyDescent="0.2">
      <c r="A1688" s="35"/>
      <c r="B1688" s="36"/>
      <c r="C1688" s="43"/>
      <c r="D1688" s="29"/>
      <c r="E1688" s="29"/>
      <c r="F1688" s="255"/>
      <c r="G1688" s="256"/>
      <c r="H1688" s="256"/>
      <c r="I1688" s="200"/>
      <c r="J1688" s="203"/>
      <c r="K1688" s="200"/>
      <c r="L1688" s="200"/>
      <c r="M1688" s="37"/>
      <c r="N1688" s="37"/>
      <c r="O1688" s="153"/>
      <c r="P1688" s="45"/>
      <c r="Q1688" s="54"/>
      <c r="R1688" s="260"/>
      <c r="S1688" s="258"/>
      <c r="T1688" s="258"/>
      <c r="U1688" s="38"/>
      <c r="V1688" s="261"/>
      <c r="W1688" s="256"/>
      <c r="X1688" s="256"/>
      <c r="Y1688" s="256"/>
      <c r="Z1688" s="256"/>
      <c r="AA1688" s="54"/>
      <c r="AB1688" s="200"/>
      <c r="AC1688" s="31"/>
      <c r="AD1688" s="184"/>
      <c r="AE1688" s="51"/>
      <c r="AF1688" s="52"/>
      <c r="AG1688" s="41"/>
      <c r="AH1688" s="45"/>
      <c r="AI1688" s="28"/>
      <c r="AJ1688" s="28"/>
      <c r="AK1688" s="28"/>
      <c r="AL1688" s="28"/>
      <c r="AM1688" s="12"/>
      <c r="AN1688" s="12"/>
      <c r="AO1688" s="12"/>
      <c r="AP1688" s="12"/>
      <c r="AQ1688" s="12"/>
      <c r="AR1688" s="13"/>
      <c r="AS1688" s="14"/>
    </row>
    <row r="1689" spans="1:45" s="16" customFormat="1" ht="30.6" hidden="1" customHeight="1" x14ac:dyDescent="0.2">
      <c r="A1689" s="35"/>
      <c r="B1689" s="36"/>
      <c r="C1689" s="43"/>
      <c r="D1689" s="29">
        <v>3741608</v>
      </c>
      <c r="E1689" s="29">
        <v>4162213</v>
      </c>
      <c r="F1689" s="255" t="str">
        <f>IF(D1689="","",VLOOKUP(D1689,契約台帳!$A$3:$K$4986,6,FALSE)&amp;VLOOKUP(D1689,契約台帳!$A$3:$K$4986,7,FALSE)&amp;VLOOKUP(D1689,契約台帳!$A$3:$K$4986,8,FALSE)&amp;VLOOKUP(D1689,契約台帳!$A$3:$K$4986,9,FALSE)&amp;VLOOKUP(D1689,契約台帳!$A$3:$K$4986,11,FALSE))</f>
        <v>3SNMCLBNGKVB</v>
      </c>
      <c r="G1689" s="256" t="str">
        <f>IF(D1689="","",VLOOKUP(F1689,製品マスタ!$G$5:$H$4999,2,FALSE))</f>
        <v>S</v>
      </c>
      <c r="H1689" s="256" t="str">
        <f>IF(D1689="","",VLOOKUP(F1689,製品マスタ!$G$5:$K$4999,5,FALSE))</f>
        <v>NGKVB</v>
      </c>
      <c r="I1689" s="200" t="str">
        <f>IF(D1689="","",VLOOKUP(F1689,製品マスタ!$G$5:$L$4999,6,FALSE))</f>
        <v>メタルミー　ネーマー銀消　ＶＢ</v>
      </c>
      <c r="J1689" s="203" t="s">
        <v>935</v>
      </c>
      <c r="K1689" s="200">
        <f>IF(D1689="","",VLOOKUP(D1689,契約台帳!$A$3:$L$4986,12,FALSE))</f>
        <v>50</v>
      </c>
      <c r="L1689" s="200" t="str">
        <f>IF(D1689="","",INDEX(製品マスタ!$Q$5:$Q$4999,MATCH('S4'!F1689&amp;'S4'!K1689,製品マスタ!$AO$5:$AO$4999,0)))</f>
        <v>MAT</v>
      </c>
      <c r="M1689" s="37">
        <v>1005</v>
      </c>
      <c r="N1689" s="37">
        <v>4100</v>
      </c>
      <c r="O1689" s="153">
        <v>3</v>
      </c>
      <c r="P1689" s="45">
        <v>3</v>
      </c>
      <c r="Q1689" s="206">
        <v>45348</v>
      </c>
      <c r="R1689" s="257">
        <f ca="1">IF(D1689="","",IF(OFFSET(D1689,-1,0)&lt;&gt;"","",IF(OR(J1689="リード付け",J1689="巻足し",J1689="巻返しリード付け"),M1689,VLOOKUP(D1689,契約台帳!$A$3:$N$4986,14,FALSE))))</f>
        <v>1005</v>
      </c>
      <c r="S1689" s="258">
        <f ca="1">IF(D1689="","",IF(OFFSET(D1689,-1,0)&lt;&gt;"","",IF(OR(J1689="リード付け",J1689="巻足し",J1689="巻返しリード付け"),M1689,VLOOKUP(D1689,契約台帳!$A$3:$O$4986,15,FALSE))))</f>
        <v>1005</v>
      </c>
      <c r="T1689" s="258">
        <f ca="1">IF(D1689="","",IF(J1689="リード付け",N1689,IF(J1689="巻返しリード付け",N1689,IF(J1689="巻足し",N1689*P1689+OFFSET(N1689,1,0)*OFFSET(P1689,1,0),VLOOKUP(D1689,契約台帳!$A$3:$P$4986,16,FALSE)))))</f>
        <v>12300</v>
      </c>
      <c r="U1689" s="38">
        <v>1</v>
      </c>
      <c r="V1689" s="259">
        <f ca="1">IF(D1689="","",IF(OFFSET(D1689,-2,0)=D1689,"",VLOOKUP(D1689,契約台帳!$A$3:$R$4986,18,FALSE)))</f>
        <v>3</v>
      </c>
      <c r="W1689" s="256" t="str">
        <f ca="1">IF(D1689="","",IF(T1689="","",IF(OR(J1689="巻足し",J1689="巻返しリード付け"),"",IF(J1689="巻返し",VLOOKUP(F1689&amp;K1689&amp;M1689,製品マスタ!$M$5:$AD$4999,18,FALSE),IF(OR(J1689="リード付け",J1689="巻返しリード付け"),"原反コア",IF(J1689="スリット",VLOOKUP(F1689&amp;K1689&amp;R1689,製品マスタ!$N$5:$AD$4999,17,FALSE),""))))))</f>
        <v/>
      </c>
      <c r="X1689" s="256" t="str">
        <f ca="1">IF(D1689="","",IF(T1689="","",IF(J1689="巻足し","",IF(J1689="巻返し",VLOOKUP(F1689&amp;K1689&amp;M1689,製品マスタ!$M$5:$AE$4999,19,FALSE),IF(OR(J1689="リード付け",J1689="巻返しリード付け"),"",IF(J1689="スリット",VLOOKUP(F1689&amp;K1689&amp;R1689,製品マスタ!$N$5:$AE$4999,18,FALSE),""))))))</f>
        <v/>
      </c>
      <c r="Y1689" s="256">
        <f ca="1">IF(D1689="","",IF(T1689="","",VLOOKUP(D1689,契約台帳!$A$3:$Q$4986,17,FALSE)))</f>
        <v>2</v>
      </c>
      <c r="Z1689" s="256" t="str">
        <f ca="1">IF(D1689="","",IF(T1689="","",VLOOKUP(D1689,契約台帳!$A$3:$E$4986,5,FALSE)))</f>
        <v>リンテック㈱</v>
      </c>
      <c r="AA1689" s="54"/>
      <c r="AB1689" s="200">
        <f>IFERROR((VLOOKUP(F1689&amp;K1689&amp;M1689,製品マスタ!$M$5:$AM$4999,27,FALSE)),"")</f>
        <v>0</v>
      </c>
      <c r="AC1689" s="31"/>
      <c r="AD1689" s="184"/>
      <c r="AE1689" s="51"/>
      <c r="AF1689" s="52">
        <f>+M1689*N1689*O1689/1000</f>
        <v>12361.5</v>
      </c>
      <c r="AG1689" s="41"/>
      <c r="AH1689" s="45"/>
      <c r="AI1689" s="28"/>
      <c r="AJ1689" s="28"/>
      <c r="AK1689" s="28"/>
      <c r="AL1689" s="28"/>
      <c r="AM1689" s="12"/>
      <c r="AN1689" s="12"/>
      <c r="AO1689" s="12"/>
      <c r="AP1689" s="12"/>
      <c r="AQ1689" s="12"/>
      <c r="AR1689" s="13"/>
      <c r="AS1689" s="14"/>
    </row>
    <row r="1690" spans="1:45" s="16" customFormat="1" ht="30.95" hidden="1" customHeight="1" x14ac:dyDescent="0.2">
      <c r="A1690" s="35"/>
      <c r="B1690" s="36"/>
      <c r="C1690" s="43"/>
      <c r="D1690" s="29"/>
      <c r="E1690" s="29"/>
      <c r="F1690" s="255"/>
      <c r="G1690" s="256"/>
      <c r="H1690" s="256"/>
      <c r="I1690" s="200"/>
      <c r="J1690" s="203"/>
      <c r="K1690" s="200"/>
      <c r="L1690" s="200"/>
      <c r="M1690" s="37"/>
      <c r="N1690" s="37"/>
      <c r="O1690" s="153"/>
      <c r="P1690" s="45"/>
      <c r="Q1690" s="54"/>
      <c r="R1690" s="260"/>
      <c r="S1690" s="258"/>
      <c r="T1690" s="258"/>
      <c r="U1690" s="38"/>
      <c r="V1690" s="261"/>
      <c r="W1690" s="256"/>
      <c r="X1690" s="256"/>
      <c r="Y1690" s="256"/>
      <c r="Z1690" s="256"/>
      <c r="AA1690" s="54"/>
      <c r="AB1690" s="200"/>
      <c r="AC1690" s="31"/>
      <c r="AD1690" s="184"/>
      <c r="AE1690" s="51"/>
      <c r="AF1690" s="52"/>
      <c r="AG1690" s="41"/>
      <c r="AH1690" s="45"/>
      <c r="AI1690" s="28"/>
      <c r="AJ1690" s="28"/>
      <c r="AK1690" s="28"/>
      <c r="AL1690" s="28"/>
      <c r="AM1690" s="12"/>
      <c r="AN1690" s="12"/>
      <c r="AO1690" s="12"/>
      <c r="AP1690" s="12"/>
      <c r="AQ1690" s="12"/>
      <c r="AR1690" s="13"/>
      <c r="AS1690" s="14"/>
    </row>
    <row r="1691" spans="1:45" s="16" customFormat="1" ht="30.6" hidden="1" customHeight="1" x14ac:dyDescent="0.2">
      <c r="A1691" s="35" t="s">
        <v>2283</v>
      </c>
      <c r="B1691" s="36" t="s">
        <v>2280</v>
      </c>
      <c r="C1691" s="43"/>
      <c r="D1691" s="29">
        <v>3741615</v>
      </c>
      <c r="E1691" s="29">
        <v>4162190</v>
      </c>
      <c r="F1691" s="255" t="str">
        <f>IF(D1691="","",VLOOKUP(D1691,契約台帳!$A$3:$K$4986,6,FALSE)&amp;VLOOKUP(D1691,契約台帳!$A$3:$K$4986,7,FALSE)&amp;VLOOKUP(D1691,契約台帳!$A$3:$K$4986,8,FALSE)&amp;VLOOKUP(D1691,契約台帳!$A$3:$K$4986,9,FALSE)&amp;VLOOKUP(D1691,契約台帳!$A$3:$K$4986,11,FALSE))</f>
        <v>33SSNMCLBTEKKFV</v>
      </c>
      <c r="G1691" s="256" t="str">
        <f>IF(D1691="","",VLOOKUP(F1691,製品マスタ!$G$5:$H$4999,2,FALSE))</f>
        <v>S</v>
      </c>
      <c r="H1691" s="256" t="str">
        <f>IF(D1691="","",VLOOKUP(F1691,製品マスタ!$G$5:$K$4999,5,FALSE))</f>
        <v>TEKKFV</v>
      </c>
      <c r="I1691" s="200" t="str">
        <f>IF(D1691="","",VLOOKUP(F1691,製品マスタ!$G$5:$L$4999,6,FALSE))</f>
        <v>メタルミー　ＴＥＳ消開封　Ｖ</v>
      </c>
      <c r="J1691" s="203" t="s">
        <v>935</v>
      </c>
      <c r="K1691" s="200">
        <f>IF(D1691="","",VLOOKUP(D1691,契約台帳!$A$3:$L$4986,12,FALSE))</f>
        <v>50</v>
      </c>
      <c r="L1691" s="200" t="str">
        <f>IF(D1691="","",INDEX(製品マスタ!$Q$5:$Q$4999,MATCH('S4'!F1691&amp;'S4'!K1691,製品マスタ!$AO$5:$AO$4999,0)))</f>
        <v>X44SEPA</v>
      </c>
      <c r="M1691" s="37">
        <v>1005</v>
      </c>
      <c r="N1691" s="37">
        <v>4000</v>
      </c>
      <c r="O1691" s="153">
        <v>6</v>
      </c>
      <c r="P1691" s="45">
        <v>3</v>
      </c>
      <c r="Q1691" s="206">
        <v>45349</v>
      </c>
      <c r="R1691" s="257">
        <f ca="1">IF(D1691="","",IF(OFFSET(D1691,-1,0)&lt;&gt;"","",IF(OR(J1691="リード付け",J1691="巻足し",J1691="巻返しリード付け"),M1691,VLOOKUP(D1691,契約台帳!$A$3:$N$4986,14,FALSE))))</f>
        <v>1005</v>
      </c>
      <c r="S1691" s="258">
        <f ca="1">IF(D1691="","",IF(OFFSET(D1691,-1,0)&lt;&gt;"","",IF(OR(J1691="リード付け",J1691="巻足し",J1691="巻返しリード付け"),M1691,VLOOKUP(D1691,契約台帳!$A$3:$O$4986,15,FALSE))))</f>
        <v>1005</v>
      </c>
      <c r="T1691" s="258">
        <f ca="1">IF(D1691="","",IF(J1691="リード付け",N1691,IF(J1691="巻返しリード付け",N1691,IF(J1691="巻足し",N1691*P1691+OFFSET(N1691,1,0)*OFFSET(P1691,1,0),VLOOKUP(D1691,契約台帳!$A$3:$P$4986,16,FALSE)))))</f>
        <v>12000</v>
      </c>
      <c r="U1691" s="38">
        <v>2</v>
      </c>
      <c r="V1691" s="259">
        <f ca="1">IF(D1691="","",IF(OFFSET(D1691,-2,0)=D1691,"",VLOOKUP(D1691,契約台帳!$A$3:$R$4986,18,FALSE)))</f>
        <v>6</v>
      </c>
      <c r="W1691" s="256" t="str">
        <f ca="1">IF(D1691="","",IF(T1691="","",IF(OR(J1691="巻足し",J1691="巻返しリード付け"),"",IF(J1691="巻返し",VLOOKUP(F1691&amp;K1691&amp;M1691,製品マスタ!$M$5:$AD$4999,18,FALSE),IF(OR(J1691="リード付け",J1691="巻返しリード付け"),"原反コア",IF(J1691="スリット",VLOOKUP(F1691&amp;K1691&amp;R1691,製品マスタ!$N$5:$AD$4999,17,FALSE),""))))))</f>
        <v/>
      </c>
      <c r="X1691" s="256" t="str">
        <f ca="1">IF(D1691="","",IF(T1691="","",IF(J1691="巻足し","",IF(J1691="巻返し",VLOOKUP(F1691&amp;K1691&amp;M1691,製品マスタ!$M$5:$AE$4999,19,FALSE),IF(OR(J1691="リード付け",J1691="巻返しリード付け"),"",IF(J1691="スリット",VLOOKUP(F1691&amp;K1691&amp;R1691,製品マスタ!$N$5:$AE$4999,18,FALSE),""))))))</f>
        <v/>
      </c>
      <c r="Y1691" s="256">
        <f ca="1">IF(D1691="","",IF(T1691="","",VLOOKUP(D1691,契約台帳!$A$3:$Q$4986,17,FALSE)))</f>
        <v>2</v>
      </c>
      <c r="Z1691" s="256" t="str">
        <f ca="1">IF(D1691="","",IF(T1691="","",VLOOKUP(D1691,契約台帳!$A$3:$E$4986,5,FALSE)))</f>
        <v>リンテック㈱</v>
      </c>
      <c r="AA1691" s="54"/>
      <c r="AB1691" s="200">
        <f>IFERROR((VLOOKUP(F1691&amp;K1691&amp;M1691,製品マスタ!$M$5:$AM$4999,27,FALSE)),"")</f>
        <v>0</v>
      </c>
      <c r="AC1691" s="31"/>
      <c r="AD1691" s="184"/>
      <c r="AE1691" s="51"/>
      <c r="AF1691" s="52">
        <f>+M1691*N1691*O1691/1000</f>
        <v>24120</v>
      </c>
      <c r="AG1691" s="41"/>
      <c r="AH1691" s="45"/>
      <c r="AI1691" s="28"/>
      <c r="AJ1691" s="28"/>
      <c r="AK1691" s="28"/>
      <c r="AL1691" s="28"/>
      <c r="AM1691" s="12"/>
      <c r="AN1691" s="12"/>
      <c r="AO1691" s="12"/>
      <c r="AP1691" s="12"/>
      <c r="AQ1691" s="12"/>
      <c r="AR1691" s="13"/>
      <c r="AS1691" s="14"/>
    </row>
    <row r="1692" spans="1:45" s="16" customFormat="1" ht="30.95" hidden="1" customHeight="1" x14ac:dyDescent="0.2">
      <c r="A1692" s="35"/>
      <c r="B1692" s="36"/>
      <c r="C1692" s="43"/>
      <c r="D1692" s="29"/>
      <c r="E1692" s="29"/>
      <c r="F1692" s="255"/>
      <c r="G1692" s="256"/>
      <c r="H1692" s="256"/>
      <c r="I1692" s="200"/>
      <c r="J1692" s="203"/>
      <c r="K1692" s="200"/>
      <c r="L1692" s="200"/>
      <c r="M1692" s="37"/>
      <c r="N1692" s="37"/>
      <c r="O1692" s="153"/>
      <c r="P1692" s="45"/>
      <c r="Q1692" s="54"/>
      <c r="R1692" s="260"/>
      <c r="S1692" s="258"/>
      <c r="T1692" s="258"/>
      <c r="U1692" s="38"/>
      <c r="V1692" s="261"/>
      <c r="W1692" s="256"/>
      <c r="X1692" s="256"/>
      <c r="Y1692" s="256"/>
      <c r="Z1692" s="256"/>
      <c r="AA1692" s="54"/>
      <c r="AB1692" s="200"/>
      <c r="AC1692" s="31"/>
      <c r="AD1692" s="184"/>
      <c r="AE1692" s="51"/>
      <c r="AF1692" s="52"/>
      <c r="AG1692" s="41"/>
      <c r="AH1692" s="45"/>
      <c r="AI1692" s="28"/>
      <c r="AJ1692" s="28"/>
      <c r="AK1692" s="28"/>
      <c r="AL1692" s="28"/>
      <c r="AM1692" s="12"/>
      <c r="AN1692" s="12"/>
      <c r="AO1692" s="12"/>
      <c r="AP1692" s="12"/>
      <c r="AQ1692" s="12"/>
      <c r="AR1692" s="13"/>
      <c r="AS1692" s="14"/>
    </row>
    <row r="1693" spans="1:45" s="16" customFormat="1" ht="30.6" hidden="1" customHeight="1" x14ac:dyDescent="0.2">
      <c r="A1693" s="35"/>
      <c r="B1693" s="36"/>
      <c r="C1693" s="43"/>
      <c r="D1693" s="29">
        <v>3741616</v>
      </c>
      <c r="E1693" s="29">
        <v>4162191</v>
      </c>
      <c r="F1693" s="255" t="str">
        <f>IF(D1693="","",VLOOKUP(D1693,契約台帳!$A$3:$K$4986,6,FALSE)&amp;VLOOKUP(D1693,契約台帳!$A$3:$K$4986,7,FALSE)&amp;VLOOKUP(D1693,契約台帳!$A$3:$K$4986,8,FALSE)&amp;VLOOKUP(D1693,契約台帳!$A$3:$K$4986,9,FALSE)&amp;VLOOKUP(D1693,契約台帳!$A$3:$K$4986,11,FALSE))</f>
        <v>33SSNMCLBTEKV0V</v>
      </c>
      <c r="G1693" s="256" t="str">
        <f>IF(D1693="","",VLOOKUP(F1693,製品マスタ!$G$5:$H$4999,2,FALSE))</f>
        <v>S</v>
      </c>
      <c r="H1693" s="256" t="str">
        <f>IF(D1693="","",VLOOKUP(F1693,製品マスタ!$G$5:$K$4999,5,FALSE))</f>
        <v>TEKV0V</v>
      </c>
      <c r="I1693" s="200" t="str">
        <f>IF(D1693="","",VLOOKUP(F1693,製品マスタ!$G$5:$L$4999,6,FALSE))</f>
        <v>メタルミー　ＴＥ－Ｓ消　ＶＯＩＤ　Ｖ</v>
      </c>
      <c r="J1693" s="203" t="s">
        <v>935</v>
      </c>
      <c r="K1693" s="200">
        <f>IF(D1693="","",VLOOKUP(D1693,契約台帳!$A$3:$L$4986,12,FALSE))</f>
        <v>50</v>
      </c>
      <c r="L1693" s="200" t="str">
        <f>IF(D1693="","",INDEX(製品マスタ!$Q$5:$Q$4999,MATCH('S4'!F1693&amp;'S4'!K1693,製品マスタ!$AO$5:$AO$4999,0)))</f>
        <v>X44SEPA</v>
      </c>
      <c r="M1693" s="37">
        <v>1005</v>
      </c>
      <c r="N1693" s="37">
        <v>4000</v>
      </c>
      <c r="O1693" s="153">
        <v>6</v>
      </c>
      <c r="P1693" s="45">
        <v>3</v>
      </c>
      <c r="Q1693" s="206">
        <v>45349</v>
      </c>
      <c r="R1693" s="257">
        <f ca="1">IF(D1693="","",IF(OFFSET(D1693,-1,0)&lt;&gt;"","",IF(OR(J1693="リード付け",J1693="巻足し",J1693="巻返しリード付け"),M1693,VLOOKUP(D1693,契約台帳!$A$3:$N$4986,14,FALSE))))</f>
        <v>1005</v>
      </c>
      <c r="S1693" s="258">
        <f ca="1">IF(D1693="","",IF(OFFSET(D1693,-1,0)&lt;&gt;"","",IF(OR(J1693="リード付け",J1693="巻足し",J1693="巻返しリード付け"),M1693,VLOOKUP(D1693,契約台帳!$A$3:$O$4986,15,FALSE))))</f>
        <v>1005</v>
      </c>
      <c r="T1693" s="258">
        <f ca="1">IF(D1693="","",IF(J1693="リード付け",N1693,IF(J1693="巻返しリード付け",N1693,IF(J1693="巻足し",N1693*P1693+OFFSET(N1693,1,0)*OFFSET(P1693,1,0),VLOOKUP(D1693,契約台帳!$A$3:$P$4986,16,FALSE)))))</f>
        <v>12000</v>
      </c>
      <c r="U1693" s="38">
        <v>2</v>
      </c>
      <c r="V1693" s="259">
        <f ca="1">IF(D1693="","",IF(OFFSET(D1693,-2,0)=D1693,"",VLOOKUP(D1693,契約台帳!$A$3:$R$4986,18,FALSE)))</f>
        <v>8</v>
      </c>
      <c r="W1693" s="256" t="str">
        <f ca="1">IF(D1693="","",IF(T1693="","",IF(OR(J1693="巻足し",J1693="巻返しリード付け"),"",IF(J1693="巻返し",VLOOKUP(F1693&amp;K1693&amp;M1693,製品マスタ!$M$5:$AD$4999,18,FALSE),IF(OR(J1693="リード付け",J1693="巻返しリード付け"),"原反コア",IF(J1693="スリット",VLOOKUP(F1693&amp;K1693&amp;R1693,製品マスタ!$N$5:$AD$4999,17,FALSE),""))))))</f>
        <v/>
      </c>
      <c r="X1693" s="256" t="str">
        <f ca="1">IF(D1693="","",IF(T1693="","",IF(J1693="巻足し","",IF(J1693="巻返し",VLOOKUP(F1693&amp;K1693&amp;M1693,製品マスタ!$M$5:$AE$4999,19,FALSE),IF(OR(J1693="リード付け",J1693="巻返しリード付け"),"",IF(J1693="スリット",VLOOKUP(F1693&amp;K1693&amp;R1693,製品マスタ!$N$5:$AE$4999,18,FALSE),""))))))</f>
        <v/>
      </c>
      <c r="Y1693" s="256">
        <f ca="1">IF(D1693="","",IF(T1693="","",VLOOKUP(D1693,契約台帳!$A$3:$Q$4986,17,FALSE)))</f>
        <v>2</v>
      </c>
      <c r="Z1693" s="256" t="str">
        <f ca="1">IF(D1693="","",IF(T1693="","",VLOOKUP(D1693,契約台帳!$A$3:$E$4986,5,FALSE)))</f>
        <v>リンテック㈱</v>
      </c>
      <c r="AA1693" s="54"/>
      <c r="AB1693" s="200">
        <f>IFERROR((VLOOKUP(F1693&amp;K1693&amp;M1693,製品マスタ!$M$5:$AM$4999,27,FALSE)),"")</f>
        <v>0</v>
      </c>
      <c r="AC1693" s="31"/>
      <c r="AD1693" s="184"/>
      <c r="AE1693" s="51"/>
      <c r="AF1693" s="52">
        <f>+M1693*N1693*O1693/1000</f>
        <v>24120</v>
      </c>
      <c r="AG1693" s="41"/>
      <c r="AH1693" s="45"/>
      <c r="AI1693" s="28"/>
      <c r="AJ1693" s="28"/>
      <c r="AK1693" s="28"/>
      <c r="AL1693" s="28"/>
      <c r="AM1693" s="12"/>
      <c r="AN1693" s="12"/>
      <c r="AO1693" s="12"/>
      <c r="AP1693" s="12"/>
      <c r="AQ1693" s="12"/>
      <c r="AR1693" s="13"/>
      <c r="AS1693" s="14"/>
    </row>
    <row r="1694" spans="1:45" s="16" customFormat="1" ht="30.95" hidden="1" customHeight="1" x14ac:dyDescent="0.2">
      <c r="A1694" s="35"/>
      <c r="B1694" s="36"/>
      <c r="C1694" s="43"/>
      <c r="D1694" s="29"/>
      <c r="E1694" s="29"/>
      <c r="F1694" s="255"/>
      <c r="G1694" s="256"/>
      <c r="H1694" s="256"/>
      <c r="I1694" s="200"/>
      <c r="J1694" s="203"/>
      <c r="K1694" s="200"/>
      <c r="L1694" s="200"/>
      <c r="M1694" s="37"/>
      <c r="N1694" s="37"/>
      <c r="O1694" s="153"/>
      <c r="P1694" s="45"/>
      <c r="Q1694" s="54"/>
      <c r="R1694" s="260"/>
      <c r="S1694" s="258"/>
      <c r="T1694" s="258"/>
      <c r="U1694" s="38"/>
      <c r="V1694" s="261"/>
      <c r="W1694" s="256"/>
      <c r="X1694" s="256"/>
      <c r="Y1694" s="256"/>
      <c r="Z1694" s="256"/>
      <c r="AA1694" s="54"/>
      <c r="AB1694" s="200"/>
      <c r="AC1694" s="31"/>
      <c r="AD1694" s="184"/>
      <c r="AE1694" s="51"/>
      <c r="AF1694" s="52"/>
      <c r="AG1694" s="41"/>
      <c r="AH1694" s="45"/>
      <c r="AI1694" s="28"/>
      <c r="AJ1694" s="28"/>
      <c r="AK1694" s="28"/>
      <c r="AL1694" s="28"/>
      <c r="AM1694" s="12"/>
      <c r="AN1694" s="12"/>
      <c r="AO1694" s="12"/>
      <c r="AP1694" s="12"/>
      <c r="AQ1694" s="12"/>
      <c r="AR1694" s="13"/>
      <c r="AS1694" s="14"/>
    </row>
    <row r="1695" spans="1:45" s="16" customFormat="1" ht="30.6" hidden="1" customHeight="1" x14ac:dyDescent="0.2">
      <c r="A1695" s="35"/>
      <c r="B1695" s="36"/>
      <c r="C1695" s="43"/>
      <c r="D1695" s="29">
        <v>3741616</v>
      </c>
      <c r="E1695" s="29">
        <v>4162191</v>
      </c>
      <c r="F1695" s="255" t="str">
        <f>IF(D1695="","",VLOOKUP(D1695,契約台帳!$A$3:$K$4986,6,FALSE)&amp;VLOOKUP(D1695,契約台帳!$A$3:$K$4986,7,FALSE)&amp;VLOOKUP(D1695,契約台帳!$A$3:$K$4986,8,FALSE)&amp;VLOOKUP(D1695,契約台帳!$A$3:$K$4986,9,FALSE)&amp;VLOOKUP(D1695,契約台帳!$A$3:$K$4986,11,FALSE))</f>
        <v>33SSNMCLBTEKV0V</v>
      </c>
      <c r="G1695" s="256" t="str">
        <f>IF(D1695="","",VLOOKUP(F1695,製品マスタ!$G$5:$H$4999,2,FALSE))</f>
        <v>S</v>
      </c>
      <c r="H1695" s="256" t="str">
        <f>IF(D1695="","",VLOOKUP(F1695,製品マスタ!$G$5:$K$4999,5,FALSE))</f>
        <v>TEKV0V</v>
      </c>
      <c r="I1695" s="200" t="str">
        <f>IF(D1695="","",VLOOKUP(F1695,製品マスタ!$G$5:$L$4999,6,FALSE))</f>
        <v>メタルミー　ＴＥ－Ｓ消　ＶＯＩＤ　Ｖ</v>
      </c>
      <c r="J1695" s="203" t="s">
        <v>935</v>
      </c>
      <c r="K1695" s="200">
        <f>IF(D1695="","",VLOOKUP(D1695,契約台帳!$A$3:$L$4986,12,FALSE))</f>
        <v>50</v>
      </c>
      <c r="L1695" s="200" t="str">
        <f>IF(D1695="","",INDEX(製品マスタ!$Q$5:$Q$4999,MATCH('S4'!F1695&amp;'S4'!K1695,製品マスタ!$AO$5:$AO$4999,0)))</f>
        <v>X44SEPA</v>
      </c>
      <c r="M1695" s="37">
        <v>1005</v>
      </c>
      <c r="N1695" s="37">
        <v>4000</v>
      </c>
      <c r="O1695" s="153">
        <v>2</v>
      </c>
      <c r="P1695" s="45">
        <v>3</v>
      </c>
      <c r="Q1695" s="206">
        <v>45349</v>
      </c>
      <c r="R1695" s="257">
        <f ca="1">IF(D1695="","",IF(OFFSET(D1695,-1,0)&lt;&gt;"","",IF(OR(J1695="リード付け",J1695="巻足し",J1695="巻返しリード付け"),M1695,VLOOKUP(D1695,契約台帳!$A$3:$N$4986,14,FALSE))))</f>
        <v>1005</v>
      </c>
      <c r="S1695" s="258">
        <f ca="1">IF(D1695="","",IF(OFFSET(D1695,-1,0)&lt;&gt;"","",IF(OR(J1695="リード付け",J1695="巻足し",J1695="巻返しリード付け"),M1695,VLOOKUP(D1695,契約台帳!$A$3:$O$4986,15,FALSE))))</f>
        <v>1005</v>
      </c>
      <c r="T1695" s="258">
        <f ca="1">IF(D1695="","",IF(J1695="リード付け",N1695,IF(J1695="巻返しリード付け",N1695,IF(J1695="巻足し",N1695*P1695+OFFSET(N1695,1,0)*OFFSET(P1695,1,0),VLOOKUP(D1695,契約台帳!$A$3:$P$4986,16,FALSE)))))</f>
        <v>12000</v>
      </c>
      <c r="U1695" s="38">
        <v>1</v>
      </c>
      <c r="V1695" s="259" t="str">
        <f ca="1">IF(D1695="","",IF(OFFSET(D1695,-2,0)=D1695,"",VLOOKUP(D1695,契約台帳!$A$3:$R$4986,18,FALSE)))</f>
        <v/>
      </c>
      <c r="W1695" s="256" t="str">
        <f ca="1">IF(D1695="","",IF(T1695="","",IF(OR(J1695="巻足し",J1695="巻返しリード付け"),"",IF(J1695="巻返し",VLOOKUP(F1695&amp;K1695&amp;M1695,製品マスタ!$M$5:$AD$4999,18,FALSE),IF(OR(J1695="リード付け",J1695="巻返しリード付け"),"原反コア",IF(J1695="スリット",VLOOKUP(F1695&amp;K1695&amp;R1695,製品マスタ!$N$5:$AD$4999,17,FALSE),""))))))</f>
        <v/>
      </c>
      <c r="X1695" s="256" t="str">
        <f ca="1">IF(D1695="","",IF(T1695="","",IF(J1695="巻足し","",IF(J1695="巻返し",VLOOKUP(F1695&amp;K1695&amp;M1695,製品マスタ!$M$5:$AE$4999,19,FALSE),IF(OR(J1695="リード付け",J1695="巻返しリード付け"),"",IF(J1695="スリット",VLOOKUP(F1695&amp;K1695&amp;R1695,製品マスタ!$N$5:$AE$4999,18,FALSE),""))))))</f>
        <v/>
      </c>
      <c r="Y1695" s="256">
        <f ca="1">IF(D1695="","",IF(T1695="","",VLOOKUP(D1695,契約台帳!$A$3:$Q$4986,17,FALSE)))</f>
        <v>2</v>
      </c>
      <c r="Z1695" s="256" t="str">
        <f ca="1">IF(D1695="","",IF(T1695="","",VLOOKUP(D1695,契約台帳!$A$3:$E$4986,5,FALSE)))</f>
        <v>リンテック㈱</v>
      </c>
      <c r="AA1695" s="54"/>
      <c r="AB1695" s="200">
        <f>IFERROR((VLOOKUP(F1695&amp;K1695&amp;M1695,製品マスタ!$M$5:$AM$4999,27,FALSE)),"")</f>
        <v>0</v>
      </c>
      <c r="AC1695" s="31"/>
      <c r="AD1695" s="184"/>
      <c r="AE1695" s="51"/>
      <c r="AF1695" s="52">
        <f>+M1695*N1695*O1695/1000</f>
        <v>8040</v>
      </c>
      <c r="AG1695" s="41"/>
      <c r="AH1695" s="45"/>
      <c r="AI1695" s="28"/>
      <c r="AJ1695" s="28"/>
      <c r="AK1695" s="28"/>
      <c r="AL1695" s="28"/>
      <c r="AM1695" s="12"/>
      <c r="AN1695" s="12"/>
      <c r="AO1695" s="12"/>
      <c r="AP1695" s="12"/>
      <c r="AQ1695" s="12"/>
      <c r="AR1695" s="13"/>
      <c r="AS1695" s="14"/>
    </row>
    <row r="1696" spans="1:45" s="16" customFormat="1" ht="30.6" hidden="1" customHeight="1" x14ac:dyDescent="0.2">
      <c r="A1696" s="35"/>
      <c r="B1696" s="36"/>
      <c r="C1696" s="43"/>
      <c r="D1696" s="29">
        <v>3741617</v>
      </c>
      <c r="E1696" s="29">
        <v>4162192</v>
      </c>
      <c r="F1696" s="255" t="str">
        <f>IF(D1696="","",VLOOKUP(D1696,契約台帳!$A$3:$K$4986,6,FALSE)&amp;VLOOKUP(D1696,契約台帳!$A$3:$K$4986,7,FALSE)&amp;VLOOKUP(D1696,契約台帳!$A$3:$K$4986,8,FALSE)&amp;VLOOKUP(D1696,契約台帳!$A$3:$K$4986,9,FALSE)&amp;VLOOKUP(D1696,契約台帳!$A$3:$K$4986,11,FALSE))</f>
        <v>33SSYMCLBTEKV0V</v>
      </c>
      <c r="G1696" s="256" t="str">
        <f>IF(D1696="","",VLOOKUP(F1696,製品マスタ!$G$5:$H$4999,2,FALSE))</f>
        <v>S</v>
      </c>
      <c r="H1696" s="256" t="str">
        <f>IF(D1696="","",VLOOKUP(F1696,製品マスタ!$G$5:$K$4999,5,FALSE))</f>
        <v>TEKV0V</v>
      </c>
      <c r="I1696" s="200" t="str">
        <f>IF(D1696="","",VLOOKUP(F1696,製品マスタ!$G$5:$L$4999,6,FALSE))</f>
        <v>メタルミー　ＴＥ－Ｓ消　ＶＯＩＤ　Ｖ</v>
      </c>
      <c r="J1696" s="203" t="s">
        <v>935</v>
      </c>
      <c r="K1696" s="200">
        <f>IF(D1696="","",VLOOKUP(D1696,契約台帳!$A$3:$L$4986,12,FALSE))</f>
        <v>50</v>
      </c>
      <c r="L1696" s="200" t="str">
        <f>IF(D1696="","",INDEX(製品マスタ!$Q$5:$Q$4999,MATCH('S4'!F1696&amp;'S4'!K1696,製品マスタ!$AO$5:$AO$4999,0)))</f>
        <v>X44SEPA</v>
      </c>
      <c r="M1696" s="37">
        <v>1005</v>
      </c>
      <c r="N1696" s="37">
        <v>4000</v>
      </c>
      <c r="O1696" s="153">
        <v>1</v>
      </c>
      <c r="P1696" s="45"/>
      <c r="Q1696" s="54"/>
      <c r="R1696" s="257" t="str">
        <f ca="1">IF(D1696="","",IF(OFFSET(D1696,-1,0)&lt;&gt;"","",IF(OR(J1696="リード付け",J1696="巻足し",J1696="巻返しリード付け"),M1696,VLOOKUP(D1696,契約台帳!$A$3:$N$4986,14,FALSE))))</f>
        <v/>
      </c>
      <c r="S1696" s="258" t="str">
        <f ca="1">IF(D1696="","",IF(OFFSET(D1696,-1,0)&lt;&gt;"","",IF(OR(J1696="リード付け",J1696="巻足し",J1696="巻返しリード付け"),M1696,VLOOKUP(D1696,契約台帳!$A$3:$O$4986,15,FALSE))))</f>
        <v/>
      </c>
      <c r="T1696" s="258">
        <f ca="1">IF(D1696="","",IF(J1696="リード付け",N1696,IF(J1696="巻返しリード付け",N1696,IF(J1696="巻足し",N1696*P1696+OFFSET(N1696,1,0)*OFFSET(P1696,1,0),VLOOKUP(D1696,契約台帳!$A$3:$P$4986,16,FALSE)))))</f>
        <v>0</v>
      </c>
      <c r="U1696" s="38"/>
      <c r="V1696" s="259">
        <f ca="1">IF(D1696="","",IF(OFFSET(D1696,-2,0)=D1696,"",VLOOKUP(D1696,契約台帳!$A$3:$R$4986,18,FALSE)))</f>
        <v>1</v>
      </c>
      <c r="W1696" s="256" t="str">
        <f ca="1">IF(D1696="","",IF(T1696="","",IF(OR(J1696="巻足し",J1696="巻返しリード付け"),"",IF(J1696="巻返し",VLOOKUP(F1696&amp;K1696&amp;M1696,製品マスタ!$M$5:$AD$4999,18,FALSE),IF(OR(J1696="リード付け",J1696="巻返しリード付け"),"原反コア",IF(J1696="スリット",VLOOKUP(F1696&amp;K1696&amp;R1696,製品マスタ!$N$5:$AD$4999,17,FALSE),""))))))</f>
        <v/>
      </c>
      <c r="X1696" s="256" t="str">
        <f ca="1">IF(D1696="","",IF(T1696="","",IF(J1696="巻足し","",IF(J1696="巻返し",VLOOKUP(F1696&amp;K1696&amp;M1696,製品マスタ!$M$5:$AE$4999,19,FALSE),IF(OR(J1696="リード付け",J1696="巻返しリード付け"),"",IF(J1696="スリット",VLOOKUP(F1696&amp;K1696&amp;R1696,製品マスタ!$N$5:$AE$4999,18,FALSE),""))))))</f>
        <v/>
      </c>
      <c r="Y1696" s="256">
        <f ca="1">IF(D1696="","",IF(T1696="","",VLOOKUP(D1696,契約台帳!$A$3:$Q$4986,17,FALSE)))</f>
        <v>2</v>
      </c>
      <c r="Z1696" s="256" t="str">
        <f ca="1">IF(D1696="","",IF(T1696="","",VLOOKUP(D1696,契約台帳!$A$3:$E$4986,5,FALSE)))</f>
        <v>リンテック㈱</v>
      </c>
      <c r="AA1696" s="54"/>
      <c r="AB1696" s="301" t="s">
        <v>2247</v>
      </c>
      <c r="AC1696" s="31"/>
      <c r="AD1696" s="184"/>
      <c r="AE1696" s="51"/>
      <c r="AF1696" s="52">
        <f>+M1696*N1696*O1696/1000</f>
        <v>4020</v>
      </c>
      <c r="AG1696" s="41"/>
      <c r="AH1696" s="45"/>
      <c r="AI1696" s="28"/>
      <c r="AJ1696" s="28"/>
      <c r="AK1696" s="28"/>
      <c r="AL1696" s="28"/>
      <c r="AM1696" s="12"/>
      <c r="AN1696" s="12"/>
      <c r="AO1696" s="12"/>
      <c r="AP1696" s="12"/>
      <c r="AQ1696" s="12"/>
      <c r="AR1696" s="13"/>
      <c r="AS1696" s="14"/>
    </row>
    <row r="1697" spans="1:45" s="16" customFormat="1" ht="30.95" hidden="1" customHeight="1" x14ac:dyDescent="0.2">
      <c r="A1697" s="35"/>
      <c r="B1697" s="36"/>
      <c r="C1697" s="43"/>
      <c r="D1697" s="29"/>
      <c r="E1697" s="29"/>
      <c r="F1697" s="255"/>
      <c r="G1697" s="256"/>
      <c r="H1697" s="256"/>
      <c r="I1697" s="200"/>
      <c r="J1697" s="203"/>
      <c r="K1697" s="200"/>
      <c r="L1697" s="200"/>
      <c r="M1697" s="37"/>
      <c r="N1697" s="37"/>
      <c r="O1697" s="153"/>
      <c r="P1697" s="45"/>
      <c r="Q1697" s="54"/>
      <c r="R1697" s="260"/>
      <c r="S1697" s="258"/>
      <c r="T1697" s="258"/>
      <c r="U1697" s="38"/>
      <c r="V1697" s="261"/>
      <c r="W1697" s="256"/>
      <c r="X1697" s="256"/>
      <c r="Y1697" s="256"/>
      <c r="Z1697" s="256"/>
      <c r="AA1697" s="54"/>
      <c r="AB1697" s="200"/>
      <c r="AC1697" s="31"/>
      <c r="AD1697" s="184"/>
      <c r="AE1697" s="51"/>
      <c r="AF1697" s="52"/>
      <c r="AG1697" s="41"/>
      <c r="AH1697" s="45"/>
      <c r="AI1697" s="28"/>
      <c r="AJ1697" s="28"/>
      <c r="AK1697" s="28"/>
      <c r="AL1697" s="28"/>
      <c r="AM1697" s="12"/>
      <c r="AN1697" s="12"/>
      <c r="AO1697" s="12"/>
      <c r="AP1697" s="12"/>
      <c r="AQ1697" s="12"/>
      <c r="AR1697" s="13"/>
      <c r="AS1697" s="14"/>
    </row>
    <row r="1698" spans="1:45" s="16" customFormat="1" ht="30.6" hidden="1" customHeight="1" x14ac:dyDescent="0.2">
      <c r="A1698" s="35"/>
      <c r="B1698" s="36"/>
      <c r="C1698" s="43"/>
      <c r="D1698" s="29">
        <v>3744888</v>
      </c>
      <c r="E1698" s="29">
        <v>4162241</v>
      </c>
      <c r="F1698" s="255" t="str">
        <f>IF(D1698="","",VLOOKUP(D1698,契約台帳!$A$3:$K$4986,6,FALSE)&amp;VLOOKUP(D1698,契約台帳!$A$3:$K$4986,7,FALSE)&amp;VLOOKUP(D1698,契約台帳!$A$3:$K$4986,8,FALSE)&amp;VLOOKUP(D1698,契約台帳!$A$3:$K$4986,9,FALSE)&amp;VLOOKUP(D1698,契約台帳!$A$3:$K$4986,11,FALSE))</f>
        <v>33SSNMCLBTEKV0V</v>
      </c>
      <c r="G1698" s="256" t="str">
        <f>IF(D1698="","",VLOOKUP(F1698,製品マスタ!$G$5:$H$4999,2,FALSE))</f>
        <v>S</v>
      </c>
      <c r="H1698" s="256" t="str">
        <f>IF(D1698="","",VLOOKUP(F1698,製品マスタ!$G$5:$K$4999,5,FALSE))</f>
        <v>TEKV0V</v>
      </c>
      <c r="I1698" s="200" t="str">
        <f>IF(D1698="","",VLOOKUP(F1698,製品マスタ!$G$5:$L$4999,6,FALSE))</f>
        <v>メタルミー　ＴＥ－Ｓ消　ＶＯＩＤ　Ｖ</v>
      </c>
      <c r="J1698" s="203" t="s">
        <v>935</v>
      </c>
      <c r="K1698" s="200">
        <f>IF(D1698="","",VLOOKUP(D1698,契約台帳!$A$3:$L$4986,12,FALSE))</f>
        <v>50</v>
      </c>
      <c r="L1698" s="200" t="str">
        <f>IF(D1698="","",INDEX(製品マスタ!$Q$5:$Q$4999,MATCH('S4'!F1698&amp;'S4'!K1698,製品マスタ!$AO$5:$AO$4999,0)))</f>
        <v>X44SEPA</v>
      </c>
      <c r="M1698" s="37">
        <v>1005</v>
      </c>
      <c r="N1698" s="37">
        <v>4000</v>
      </c>
      <c r="O1698" s="153">
        <v>6</v>
      </c>
      <c r="P1698" s="45">
        <v>3</v>
      </c>
      <c r="Q1698" s="206">
        <v>45359</v>
      </c>
      <c r="R1698" s="257">
        <f ca="1">IF(D1698="","",IF(OFFSET(D1698,-1,0)&lt;&gt;"","",IF(OR(J1698="リード付け",J1698="巻足し",J1698="巻返しリード付け"),M1698,VLOOKUP(D1698,契約台帳!$A$3:$N$4986,14,FALSE))))</f>
        <v>1005</v>
      </c>
      <c r="S1698" s="258">
        <f ca="1">IF(D1698="","",IF(OFFSET(D1698,-1,0)&lt;&gt;"","",IF(OR(J1698="リード付け",J1698="巻足し",J1698="巻返しリード付け"),M1698,VLOOKUP(D1698,契約台帳!$A$3:$O$4986,15,FALSE))))</f>
        <v>1005</v>
      </c>
      <c r="T1698" s="258">
        <f ca="1">IF(D1698="","",IF(J1698="リード付け",N1698,IF(J1698="巻返しリード付け",N1698,IF(J1698="巻足し",N1698*P1698+OFFSET(N1698,1,0)*OFFSET(P1698,1,0),VLOOKUP(D1698,契約台帳!$A$3:$P$4986,16,FALSE)))))</f>
        <v>12000</v>
      </c>
      <c r="U1698" s="38">
        <v>2</v>
      </c>
      <c r="V1698" s="259">
        <f ca="1">IF(D1698="","",IF(OFFSET(D1698,-2,0)=D1698,"",VLOOKUP(D1698,契約台帳!$A$3:$R$4986,18,FALSE)))</f>
        <v>6</v>
      </c>
      <c r="W1698" s="256" t="str">
        <f ca="1">IF(D1698="","",IF(T1698="","",IF(OR(J1698="巻足し",J1698="巻返しリード付け"),"",IF(J1698="巻返し",VLOOKUP(F1698&amp;K1698&amp;M1698,製品マスタ!$M$5:$AD$4999,18,FALSE),IF(OR(J1698="リード付け",J1698="巻返しリード付け"),"原反コア",IF(J1698="スリット",VLOOKUP(F1698&amp;K1698&amp;R1698,製品マスタ!$N$5:$AD$4999,17,FALSE),""))))))</f>
        <v/>
      </c>
      <c r="X1698" s="256" t="str">
        <f ca="1">IF(D1698="","",IF(T1698="","",IF(J1698="巻足し","",IF(J1698="巻返し",VLOOKUP(F1698&amp;K1698&amp;M1698,製品マスタ!$M$5:$AE$4999,19,FALSE),IF(OR(J1698="リード付け",J1698="巻返しリード付け"),"",IF(J1698="スリット",VLOOKUP(F1698&amp;K1698&amp;R1698,製品マスタ!$N$5:$AE$4999,18,FALSE),""))))))</f>
        <v/>
      </c>
      <c r="Y1698" s="256">
        <f ca="1">IF(D1698="","",IF(T1698="","",VLOOKUP(D1698,契約台帳!$A$3:$Q$4986,17,FALSE)))</f>
        <v>2</v>
      </c>
      <c r="Z1698" s="256" t="str">
        <f ca="1">IF(D1698="","",IF(T1698="","",VLOOKUP(D1698,契約台帳!$A$3:$E$4986,5,FALSE)))</f>
        <v>リンテック㈱</v>
      </c>
      <c r="AA1698" s="54"/>
      <c r="AB1698" s="200">
        <f>IFERROR((VLOOKUP(F1698&amp;K1698&amp;M1698,製品マスタ!$M$5:$AM$4999,27,FALSE)),"")</f>
        <v>0</v>
      </c>
      <c r="AC1698" s="31"/>
      <c r="AD1698" s="184"/>
      <c r="AE1698" s="51"/>
      <c r="AF1698" s="52">
        <f>+M1698*N1698*O1698/1000</f>
        <v>24120</v>
      </c>
      <c r="AG1698" s="41"/>
      <c r="AH1698" s="45"/>
      <c r="AI1698" s="28"/>
      <c r="AJ1698" s="28"/>
      <c r="AK1698" s="28"/>
      <c r="AL1698" s="28"/>
      <c r="AM1698" s="12"/>
      <c r="AN1698" s="12"/>
      <c r="AO1698" s="12"/>
      <c r="AP1698" s="12"/>
      <c r="AQ1698" s="12"/>
      <c r="AR1698" s="13"/>
      <c r="AS1698" s="14"/>
    </row>
    <row r="1699" spans="1:45" s="16" customFormat="1" ht="30.95" hidden="1" customHeight="1" x14ac:dyDescent="0.2">
      <c r="A1699" s="35"/>
      <c r="B1699" s="36"/>
      <c r="C1699" s="43"/>
      <c r="D1699" s="29"/>
      <c r="E1699" s="29"/>
      <c r="F1699" s="255"/>
      <c r="G1699" s="256"/>
      <c r="H1699" s="256"/>
      <c r="I1699" s="200"/>
      <c r="J1699" s="203"/>
      <c r="K1699" s="200"/>
      <c r="L1699" s="200"/>
      <c r="M1699" s="37"/>
      <c r="N1699" s="37"/>
      <c r="O1699" s="153"/>
      <c r="P1699" s="45"/>
      <c r="Q1699" s="54"/>
      <c r="R1699" s="260"/>
      <c r="S1699" s="258"/>
      <c r="T1699" s="258"/>
      <c r="U1699" s="38"/>
      <c r="V1699" s="261"/>
      <c r="W1699" s="256"/>
      <c r="X1699" s="256"/>
      <c r="Y1699" s="256"/>
      <c r="Z1699" s="256"/>
      <c r="AA1699" s="54"/>
      <c r="AB1699" s="200"/>
      <c r="AC1699" s="31"/>
      <c r="AD1699" s="184"/>
      <c r="AE1699" s="51"/>
      <c r="AF1699" s="52"/>
      <c r="AG1699" s="41"/>
      <c r="AH1699" s="45"/>
      <c r="AI1699" s="28"/>
      <c r="AJ1699" s="28"/>
      <c r="AK1699" s="28"/>
      <c r="AL1699" s="28"/>
      <c r="AM1699" s="12"/>
      <c r="AN1699" s="12"/>
      <c r="AO1699" s="12"/>
      <c r="AP1699" s="12"/>
      <c r="AQ1699" s="12"/>
      <c r="AR1699" s="13"/>
      <c r="AS1699" s="14"/>
    </row>
    <row r="1700" spans="1:45" s="16" customFormat="1" ht="30.6" hidden="1" customHeight="1" x14ac:dyDescent="0.2">
      <c r="A1700" s="35" t="s">
        <v>2284</v>
      </c>
      <c r="B1700" s="36" t="s">
        <v>2282</v>
      </c>
      <c r="C1700" s="43"/>
      <c r="D1700" s="29">
        <v>3745509</v>
      </c>
      <c r="E1700" s="29">
        <v>4162234</v>
      </c>
      <c r="F1700" s="255" t="str">
        <f>IF(D1700="","",VLOOKUP(D1700,契約台帳!$A$3:$K$4986,6,FALSE)&amp;VLOOKUP(D1700,契約台帳!$A$3:$K$4986,7,FALSE)&amp;VLOOKUP(D1700,契約台帳!$A$3:$K$4986,8,FALSE)&amp;VLOOKUP(D1700,契約台帳!$A$3:$K$4986,9,FALSE)&amp;VLOOKUP(D1700,契約台帳!$A$3:$K$4986,11,FALSE))</f>
        <v>33SSNMCLBTEKKFV</v>
      </c>
      <c r="G1700" s="256" t="str">
        <f>IF(D1700="","",VLOOKUP(F1700,製品マスタ!$G$5:$H$4999,2,FALSE))</f>
        <v>S</v>
      </c>
      <c r="H1700" s="256" t="str">
        <f>IF(D1700="","",VLOOKUP(F1700,製品マスタ!$G$5:$K$4999,5,FALSE))</f>
        <v>TEKKFV</v>
      </c>
      <c r="I1700" s="200" t="str">
        <f>IF(D1700="","",VLOOKUP(F1700,製品マスタ!$G$5:$L$4999,6,FALSE))</f>
        <v>メタルミー　ＴＥＳ消開封　Ｖ</v>
      </c>
      <c r="J1700" s="203" t="s">
        <v>464</v>
      </c>
      <c r="K1700" s="200">
        <f>IF(D1700="","",VLOOKUP(D1700,契約台帳!$A$3:$L$4986,12,FALSE))</f>
        <v>38</v>
      </c>
      <c r="L1700" s="200" t="str">
        <f>IF(D1700="","",INDEX(製品マスタ!$Q$5:$Q$4999,MATCH('S4'!F1700&amp;'S4'!K1700,製品マスタ!$AO$5:$AO$4999,0)))</f>
        <v>X44SEPA</v>
      </c>
      <c r="M1700" s="37">
        <v>1005</v>
      </c>
      <c r="N1700" s="37">
        <v>2000</v>
      </c>
      <c r="O1700" s="153">
        <v>1</v>
      </c>
      <c r="P1700" s="45">
        <v>1</v>
      </c>
      <c r="Q1700" s="206">
        <v>45359</v>
      </c>
      <c r="R1700" s="257">
        <f ca="1">IF(D1700="","",IF(OFFSET(D1700,-1,0)&lt;&gt;"","",IF(OR(J1700="リード付け",J1700="巻足し",J1700="巻返しリード付け"),M1700,VLOOKUP(D1700,契約台帳!$A$3:$N$4986,14,FALSE))))</f>
        <v>1005</v>
      </c>
      <c r="S1700" s="258">
        <f ca="1">IF(D1700="","",IF(OFFSET(D1700,-1,0)&lt;&gt;"","",IF(OR(J1700="リード付け",J1700="巻足し",J1700="巻返しリード付け"),M1700,VLOOKUP(D1700,契約台帳!$A$3:$O$4986,15,FALSE))))</f>
        <v>1005</v>
      </c>
      <c r="T1700" s="258">
        <f ca="1">IF(D1700="","",IF(J1700="リード付け",N1700,IF(J1700="巻返しリード付け",N1700,IF(J1700="巻足し",N1700*P1700+OFFSET(N1700,1,0)*OFFSET(P1700,1,0),VLOOKUP(D1700,契約台帳!$A$3:$P$4986,16,FALSE)))))</f>
        <v>2000</v>
      </c>
      <c r="U1700" s="38">
        <v>1</v>
      </c>
      <c r="V1700" s="259">
        <f ca="1">IF(D1700="","",IF(OFFSET(D1700,-2,0)=D1700,"",VLOOKUP(D1700,契約台帳!$A$3:$R$4986,18,FALSE)))</f>
        <v>1</v>
      </c>
      <c r="W1700" s="256" t="str">
        <f ca="1">IF(D1700="","",IF(T1700="","",IF(OR(J1700="巻足し",J1700="巻返しリード付け"),"",IF(J1700="巻返し",VLOOKUP(F1700&amp;K1700&amp;M1700,製品マスタ!$M$5:$AD$4999,18,FALSE),IF(OR(J1700="リード付け",J1700="巻返しリード付け"),"原反コア",IF(J1700="スリット",VLOOKUP(F1700&amp;K1700&amp;R1700,製品マスタ!$N$5:$AD$4999,17,FALSE),""))))))</f>
        <v>原反コア</v>
      </c>
      <c r="X1700" s="256" t="str">
        <f ca="1">IF(D1700="","",IF(T1700="","",IF(J1700="巻足し","",IF(J1700="巻返し",VLOOKUP(F1700&amp;K1700&amp;M1700,製品マスタ!$M$5:$AE$4999,19,FALSE),IF(OR(J1700="リード付け",J1700="巻返しリード付け"),"",IF(J1700="スリット",VLOOKUP(F1700&amp;K1700&amp;R1700,製品マスタ!$N$5:$AE$4999,18,FALSE),""))))))</f>
        <v/>
      </c>
      <c r="Y1700" s="256">
        <f ca="1">IF(D1700="","",IF(T1700="","",VLOOKUP(D1700,契約台帳!$A$3:$Q$4986,17,FALSE)))</f>
        <v>2</v>
      </c>
      <c r="Z1700" s="256" t="str">
        <f ca="1">IF(D1700="","",IF(T1700="","",VLOOKUP(D1700,契約台帳!$A$3:$E$4986,5,FALSE)))</f>
        <v>リンテック㈱</v>
      </c>
      <c r="AA1700" s="54"/>
      <c r="AB1700" s="200">
        <f>IFERROR((VLOOKUP(F1700&amp;K1700&amp;M1700,製品マスタ!$M$5:$AM$4999,27,FALSE)),"")</f>
        <v>0</v>
      </c>
      <c r="AC1700" s="31"/>
      <c r="AD1700" s="184"/>
      <c r="AE1700" s="51"/>
      <c r="AF1700" s="52"/>
      <c r="AG1700" s="41"/>
      <c r="AH1700" s="45"/>
      <c r="AI1700" s="28"/>
      <c r="AJ1700" s="28"/>
      <c r="AK1700" s="28"/>
      <c r="AL1700" s="28"/>
      <c r="AM1700" s="12"/>
      <c r="AN1700" s="12"/>
      <c r="AO1700" s="12"/>
      <c r="AP1700" s="12"/>
      <c r="AQ1700" s="12"/>
      <c r="AR1700" s="13"/>
      <c r="AS1700" s="14"/>
    </row>
    <row r="1701" spans="1:45" s="16" customFormat="1" ht="30.95" hidden="1" customHeight="1" x14ac:dyDescent="0.2">
      <c r="A1701" s="35"/>
      <c r="B1701" s="36"/>
      <c r="C1701" s="43"/>
      <c r="D1701" s="29"/>
      <c r="E1701" s="29"/>
      <c r="F1701" s="255"/>
      <c r="G1701" s="256"/>
      <c r="H1701" s="256"/>
      <c r="I1701" s="200"/>
      <c r="J1701" s="203"/>
      <c r="K1701" s="200"/>
      <c r="L1701" s="200"/>
      <c r="M1701" s="37"/>
      <c r="N1701" s="37"/>
      <c r="O1701" s="153"/>
      <c r="P1701" s="45"/>
      <c r="Q1701" s="54"/>
      <c r="R1701" s="260"/>
      <c r="S1701" s="258"/>
      <c r="T1701" s="258"/>
      <c r="U1701" s="38"/>
      <c r="V1701" s="261"/>
      <c r="W1701" s="256"/>
      <c r="X1701" s="256"/>
      <c r="Y1701" s="256"/>
      <c r="Z1701" s="256"/>
      <c r="AA1701" s="54"/>
      <c r="AB1701" s="200"/>
      <c r="AC1701" s="31"/>
      <c r="AD1701" s="184"/>
      <c r="AE1701" s="51"/>
      <c r="AF1701" s="52"/>
      <c r="AG1701" s="41"/>
      <c r="AH1701" s="45"/>
      <c r="AI1701" s="28"/>
      <c r="AJ1701" s="28"/>
      <c r="AK1701" s="28"/>
      <c r="AL1701" s="28"/>
      <c r="AM1701" s="12"/>
      <c r="AN1701" s="12"/>
      <c r="AO1701" s="12"/>
      <c r="AP1701" s="12"/>
      <c r="AQ1701" s="12"/>
      <c r="AR1701" s="13"/>
      <c r="AS1701" s="14"/>
    </row>
    <row r="1702" spans="1:45" s="16" customFormat="1" ht="30.6" hidden="1" customHeight="1" x14ac:dyDescent="0.2">
      <c r="A1702" s="35"/>
      <c r="B1702" s="36"/>
      <c r="C1702" s="43"/>
      <c r="D1702" s="29">
        <v>3745895</v>
      </c>
      <c r="E1702" s="29">
        <v>4162245</v>
      </c>
      <c r="F1702" s="255" t="str">
        <f>IF(D1702="","",VLOOKUP(D1702,契約台帳!$A$3:$K$4986,6,FALSE)&amp;VLOOKUP(D1702,契約台帳!$A$3:$K$4986,7,FALSE)&amp;VLOOKUP(D1702,契約台帳!$A$3:$K$4986,8,FALSE)&amp;VLOOKUP(D1702,契約台帳!$A$3:$K$4986,9,FALSE)&amp;VLOOKUP(D1702,契約台帳!$A$3:$K$4986,11,FALSE))</f>
        <v>3TNMCLBHLGTV</v>
      </c>
      <c r="G1702" s="256" t="str">
        <f>IF(D1702="","",VLOOKUP(F1702,製品マスタ!$G$5:$H$4999,2,FALSE))</f>
        <v>T</v>
      </c>
      <c r="H1702" s="256" t="str">
        <f>IF(D1702="","",VLOOKUP(F1702,製品マスタ!$G$5:$K$4999,5,FALSE))</f>
        <v>HLGTV</v>
      </c>
      <c r="I1702" s="200" t="str">
        <f>IF(D1702="","",VLOOKUP(F1702,製品マスタ!$G$5:$L$4999,6,FALSE))</f>
        <v>メタルミー　ヘヤライン　銀艶Ｖ</v>
      </c>
      <c r="J1702" s="203" t="s">
        <v>935</v>
      </c>
      <c r="K1702" s="200">
        <f>IF(D1702="","",VLOOKUP(D1702,契約台帳!$A$3:$L$4986,12,FALSE))</f>
        <v>50</v>
      </c>
      <c r="L1702" s="200" t="str">
        <f>IF(D1702="","",INDEX(製品マスタ!$Q$5:$Q$4999,MATCH('S4'!F1702&amp;'S4'!K1702,製品マスタ!$AO$5:$AO$4999,0)))</f>
        <v>BRIGHT</v>
      </c>
      <c r="M1702" s="37">
        <v>1005</v>
      </c>
      <c r="N1702" s="37">
        <v>4100</v>
      </c>
      <c r="O1702" s="153">
        <v>3</v>
      </c>
      <c r="P1702" s="45">
        <v>3</v>
      </c>
      <c r="Q1702" s="206">
        <v>45359</v>
      </c>
      <c r="R1702" s="257">
        <f ca="1">IF(D1702="","",IF(OFFSET(D1702,-1,0)&lt;&gt;"","",IF(OR(J1702="リード付け",J1702="巻足し",J1702="巻返しリード付け"),M1702,VLOOKUP(D1702,契約台帳!$A$3:$N$4986,14,FALSE))))</f>
        <v>1005</v>
      </c>
      <c r="S1702" s="258">
        <f ca="1">IF(D1702="","",IF(OFFSET(D1702,-1,0)&lt;&gt;"","",IF(OR(J1702="リード付け",J1702="巻足し",J1702="巻返しリード付け"),M1702,VLOOKUP(D1702,契約台帳!$A$3:$O$4986,15,FALSE))))</f>
        <v>1005</v>
      </c>
      <c r="T1702" s="258">
        <f ca="1">IF(D1702="","",IF(J1702="リード付け",N1702,IF(J1702="巻返しリード付け",N1702,IF(J1702="巻足し",N1702*P1702+OFFSET(N1702,1,0)*OFFSET(P1702,1,0),VLOOKUP(D1702,契約台帳!$A$3:$P$4986,16,FALSE)))))</f>
        <v>12300</v>
      </c>
      <c r="U1702" s="38">
        <v>1</v>
      </c>
      <c r="V1702" s="259">
        <f ca="1">IF(D1702="","",IF(OFFSET(D1702,-2,0)=D1702,"",VLOOKUP(D1702,契約台帳!$A$3:$R$4986,18,FALSE)))</f>
        <v>3</v>
      </c>
      <c r="W1702" s="256" t="str">
        <f ca="1">IF(D1702="","",IF(T1702="","",IF(OR(J1702="巻足し",J1702="巻返しリード付け"),"",IF(J1702="巻返し",VLOOKUP(F1702&amp;K1702&amp;M1702,製品マスタ!$M$5:$AD$4999,18,FALSE),IF(OR(J1702="リード付け",J1702="巻返しリード付け"),"原反コア",IF(J1702="スリット",VLOOKUP(F1702&amp;K1702&amp;R1702,製品マスタ!$N$5:$AD$4999,17,FALSE),""))))))</f>
        <v/>
      </c>
      <c r="X1702" s="256" t="str">
        <f ca="1">IF(D1702="","",IF(T1702="","",IF(J1702="巻足し","",IF(J1702="巻返し",VLOOKUP(F1702&amp;K1702&amp;M1702,製品マスタ!$M$5:$AE$4999,19,FALSE),IF(OR(J1702="リード付け",J1702="巻返しリード付け"),"",IF(J1702="スリット",VLOOKUP(F1702&amp;K1702&amp;R1702,製品マスタ!$N$5:$AE$4999,18,FALSE),""))))))</f>
        <v/>
      </c>
      <c r="Y1702" s="256">
        <f ca="1">IF(D1702="","",IF(T1702="","",VLOOKUP(D1702,契約台帳!$A$3:$Q$4986,17,FALSE)))</f>
        <v>2</v>
      </c>
      <c r="Z1702" s="256" t="str">
        <f ca="1">IF(D1702="","",IF(T1702="","",VLOOKUP(D1702,契約台帳!$A$3:$E$4986,5,FALSE)))</f>
        <v>リンテック㈱</v>
      </c>
      <c r="AA1702" s="54"/>
      <c r="AB1702" s="200">
        <f>IFERROR((VLOOKUP(F1702&amp;K1702&amp;M1702,製品マスタ!$M$5:$AM$4999,27,FALSE)),"")</f>
        <v>0</v>
      </c>
      <c r="AC1702" s="31"/>
      <c r="AD1702" s="184"/>
      <c r="AE1702" s="51"/>
      <c r="AF1702" s="52">
        <f>+M1702*N1702*O1702/1000</f>
        <v>12361.5</v>
      </c>
      <c r="AG1702" s="41"/>
      <c r="AH1702" s="45"/>
      <c r="AI1702" s="28"/>
      <c r="AJ1702" s="28"/>
      <c r="AK1702" s="28"/>
      <c r="AL1702" s="28"/>
      <c r="AM1702" s="12"/>
      <c r="AN1702" s="12"/>
      <c r="AO1702" s="12"/>
      <c r="AP1702" s="12"/>
      <c r="AQ1702" s="12"/>
      <c r="AR1702" s="13"/>
      <c r="AS1702" s="14"/>
    </row>
    <row r="1703" spans="1:45" s="16" customFormat="1" ht="30.95" hidden="1" customHeight="1" x14ac:dyDescent="0.2">
      <c r="A1703" s="35"/>
      <c r="B1703" s="36"/>
      <c r="C1703" s="43"/>
      <c r="D1703" s="29"/>
      <c r="E1703" s="29"/>
      <c r="F1703" s="255"/>
      <c r="G1703" s="256"/>
      <c r="H1703" s="256"/>
      <c r="I1703" s="200"/>
      <c r="J1703" s="203"/>
      <c r="K1703" s="200"/>
      <c r="L1703" s="200"/>
      <c r="M1703" s="37"/>
      <c r="N1703" s="37"/>
      <c r="O1703" s="153"/>
      <c r="P1703" s="45"/>
      <c r="Q1703" s="54"/>
      <c r="R1703" s="260"/>
      <c r="S1703" s="258"/>
      <c r="T1703" s="258"/>
      <c r="U1703" s="38"/>
      <c r="V1703" s="261"/>
      <c r="W1703" s="256"/>
      <c r="X1703" s="256"/>
      <c r="Y1703" s="256"/>
      <c r="Z1703" s="256"/>
      <c r="AA1703" s="54"/>
      <c r="AB1703" s="200"/>
      <c r="AC1703" s="31"/>
      <c r="AD1703" s="184"/>
      <c r="AE1703" s="51"/>
      <c r="AF1703" s="52"/>
      <c r="AG1703" s="41"/>
      <c r="AH1703" s="45"/>
      <c r="AI1703" s="28"/>
      <c r="AJ1703" s="28"/>
      <c r="AK1703" s="28"/>
      <c r="AL1703" s="28"/>
      <c r="AM1703" s="12"/>
      <c r="AN1703" s="12"/>
      <c r="AO1703" s="12"/>
      <c r="AP1703" s="12"/>
      <c r="AQ1703" s="12"/>
      <c r="AR1703" s="13"/>
      <c r="AS1703" s="14"/>
    </row>
    <row r="1704" spans="1:45" s="16" customFormat="1" ht="30.95" hidden="1" customHeight="1" x14ac:dyDescent="0.2">
      <c r="A1704" s="35" t="s">
        <v>2305</v>
      </c>
      <c r="B1704" s="36" t="s">
        <v>2306</v>
      </c>
      <c r="C1704" s="43"/>
      <c r="D1704" s="29"/>
      <c r="E1704" s="29"/>
      <c r="F1704" s="255"/>
      <c r="G1704" s="256"/>
      <c r="H1704" s="256"/>
      <c r="I1704" s="200"/>
      <c r="J1704" s="203"/>
      <c r="K1704" s="200"/>
      <c r="L1704" s="200"/>
      <c r="M1704" s="37"/>
      <c r="N1704" s="37"/>
      <c r="O1704" s="153"/>
      <c r="P1704" s="45"/>
      <c r="Q1704" s="54"/>
      <c r="R1704" s="260"/>
      <c r="S1704" s="258"/>
      <c r="T1704" s="258"/>
      <c r="U1704" s="38"/>
      <c r="V1704" s="261"/>
      <c r="W1704" s="256"/>
      <c r="X1704" s="256"/>
      <c r="Y1704" s="256"/>
      <c r="Z1704" s="256"/>
      <c r="AA1704" s="54"/>
      <c r="AB1704" s="200"/>
      <c r="AC1704" s="31"/>
      <c r="AD1704" s="184"/>
      <c r="AE1704" s="51"/>
      <c r="AF1704" s="52"/>
      <c r="AG1704" s="41"/>
      <c r="AH1704" s="45"/>
      <c r="AI1704" s="28"/>
      <c r="AJ1704" s="28"/>
      <c r="AK1704" s="28"/>
      <c r="AL1704" s="28"/>
      <c r="AM1704" s="12"/>
      <c r="AN1704" s="12"/>
      <c r="AO1704" s="12"/>
      <c r="AP1704" s="12"/>
      <c r="AQ1704" s="12"/>
      <c r="AR1704" s="13"/>
      <c r="AS1704" s="14"/>
    </row>
    <row r="1705" spans="1:45" s="16" customFormat="1" ht="30.95" hidden="1" customHeight="1" x14ac:dyDescent="0.2">
      <c r="A1705" s="35"/>
      <c r="B1705" s="36"/>
      <c r="C1705" s="43"/>
      <c r="D1705" s="29"/>
      <c r="E1705" s="29"/>
      <c r="F1705" s="255"/>
      <c r="G1705" s="256"/>
      <c r="H1705" s="256"/>
      <c r="I1705" s="200"/>
      <c r="J1705" s="203"/>
      <c r="K1705" s="200"/>
      <c r="L1705" s="200"/>
      <c r="M1705" s="37"/>
      <c r="N1705" s="37"/>
      <c r="O1705" s="153"/>
      <c r="P1705" s="45"/>
      <c r="Q1705" s="54"/>
      <c r="R1705" s="260"/>
      <c r="S1705" s="258"/>
      <c r="T1705" s="258"/>
      <c r="U1705" s="38"/>
      <c r="V1705" s="261"/>
      <c r="W1705" s="256"/>
      <c r="X1705" s="256"/>
      <c r="Y1705" s="256"/>
      <c r="Z1705" s="256"/>
      <c r="AA1705" s="54"/>
      <c r="AB1705" s="200"/>
      <c r="AC1705" s="31"/>
      <c r="AD1705" s="184"/>
      <c r="AE1705" s="51"/>
      <c r="AF1705" s="52"/>
      <c r="AG1705" s="41"/>
      <c r="AH1705" s="45"/>
      <c r="AI1705" s="28"/>
      <c r="AJ1705" s="28"/>
      <c r="AK1705" s="28"/>
      <c r="AL1705" s="28"/>
      <c r="AM1705" s="12"/>
      <c r="AN1705" s="12"/>
      <c r="AO1705" s="12"/>
      <c r="AP1705" s="12"/>
      <c r="AQ1705" s="12"/>
      <c r="AR1705" s="13"/>
      <c r="AS1705" s="14"/>
    </row>
    <row r="1706" spans="1:45" s="16" customFormat="1" ht="30.95" hidden="1" customHeight="1" x14ac:dyDescent="0.2">
      <c r="A1706" s="35" t="s">
        <v>2307</v>
      </c>
      <c r="B1706" s="36" t="s">
        <v>2308</v>
      </c>
      <c r="C1706" s="43"/>
      <c r="D1706" s="29"/>
      <c r="E1706" s="29"/>
      <c r="F1706" s="255"/>
      <c r="G1706" s="256"/>
      <c r="H1706" s="256"/>
      <c r="I1706" s="200"/>
      <c r="J1706" s="203"/>
      <c r="K1706" s="200"/>
      <c r="L1706" s="200"/>
      <c r="M1706" s="37"/>
      <c r="N1706" s="37"/>
      <c r="O1706" s="153"/>
      <c r="P1706" s="45"/>
      <c r="Q1706" s="54"/>
      <c r="R1706" s="260"/>
      <c r="S1706" s="258"/>
      <c r="T1706" s="258"/>
      <c r="U1706" s="38"/>
      <c r="V1706" s="261"/>
      <c r="W1706" s="256"/>
      <c r="X1706" s="256"/>
      <c r="Y1706" s="256"/>
      <c r="Z1706" s="256"/>
      <c r="AA1706" s="54"/>
      <c r="AB1706" s="200"/>
      <c r="AC1706" s="31"/>
      <c r="AD1706" s="184"/>
      <c r="AE1706" s="51"/>
      <c r="AF1706" s="52"/>
      <c r="AG1706" s="41"/>
      <c r="AH1706" s="45"/>
      <c r="AI1706" s="28"/>
      <c r="AJ1706" s="28"/>
      <c r="AK1706" s="28"/>
      <c r="AL1706" s="28"/>
      <c r="AM1706" s="12"/>
      <c r="AN1706" s="12"/>
      <c r="AO1706" s="12"/>
      <c r="AP1706" s="12"/>
      <c r="AQ1706" s="12"/>
      <c r="AR1706" s="13"/>
      <c r="AS1706" s="14"/>
    </row>
    <row r="1707" spans="1:45" s="16" customFormat="1" ht="30.95" hidden="1" customHeight="1" x14ac:dyDescent="0.2">
      <c r="A1707" s="35"/>
      <c r="B1707" s="36"/>
      <c r="C1707" s="43"/>
      <c r="D1707" s="29"/>
      <c r="E1707" s="29"/>
      <c r="F1707" s="255"/>
      <c r="G1707" s="256"/>
      <c r="H1707" s="256"/>
      <c r="I1707" s="200"/>
      <c r="J1707" s="203"/>
      <c r="K1707" s="200"/>
      <c r="L1707" s="200"/>
      <c r="M1707" s="37"/>
      <c r="N1707" s="37"/>
      <c r="O1707" s="153"/>
      <c r="P1707" s="45"/>
      <c r="Q1707" s="54"/>
      <c r="R1707" s="260"/>
      <c r="S1707" s="258"/>
      <c r="T1707" s="258"/>
      <c r="U1707" s="38"/>
      <c r="V1707" s="261"/>
      <c r="W1707" s="256"/>
      <c r="X1707" s="256"/>
      <c r="Y1707" s="256"/>
      <c r="Z1707" s="256"/>
      <c r="AA1707" s="54"/>
      <c r="AB1707" s="200"/>
      <c r="AC1707" s="31"/>
      <c r="AD1707" s="184"/>
      <c r="AE1707" s="51"/>
      <c r="AF1707" s="52"/>
      <c r="AG1707" s="41"/>
      <c r="AH1707" s="45"/>
      <c r="AI1707" s="28"/>
      <c r="AJ1707" s="28"/>
      <c r="AK1707" s="28"/>
      <c r="AL1707" s="28"/>
      <c r="AM1707" s="12"/>
      <c r="AN1707" s="12"/>
      <c r="AO1707" s="12"/>
      <c r="AP1707" s="12"/>
      <c r="AQ1707" s="12"/>
      <c r="AR1707" s="13"/>
      <c r="AS1707" s="14"/>
    </row>
    <row r="1708" spans="1:45" s="16" customFormat="1" ht="30.95" hidden="1" customHeight="1" x14ac:dyDescent="0.2">
      <c r="A1708" s="35" t="s">
        <v>2309</v>
      </c>
      <c r="B1708" s="36" t="s">
        <v>2310</v>
      </c>
      <c r="C1708" s="43"/>
      <c r="D1708" s="29"/>
      <c r="E1708" s="29"/>
      <c r="F1708" s="255"/>
      <c r="G1708" s="256"/>
      <c r="H1708" s="256"/>
      <c r="I1708" s="200"/>
      <c r="J1708" s="203" t="s">
        <v>448</v>
      </c>
      <c r="K1708" s="200"/>
      <c r="L1708" s="200"/>
      <c r="M1708" s="37"/>
      <c r="N1708" s="37"/>
      <c r="O1708" s="153"/>
      <c r="P1708" s="45"/>
      <c r="Q1708" s="54"/>
      <c r="R1708" s="260"/>
      <c r="S1708" s="258"/>
      <c r="T1708" s="258"/>
      <c r="U1708" s="38"/>
      <c r="V1708" s="261"/>
      <c r="W1708" s="256"/>
      <c r="X1708" s="256"/>
      <c r="Y1708" s="256"/>
      <c r="Z1708" s="256"/>
      <c r="AA1708" s="54"/>
      <c r="AB1708" s="200"/>
      <c r="AC1708" s="31"/>
      <c r="AD1708" s="184"/>
      <c r="AE1708" s="51"/>
      <c r="AF1708" s="52"/>
      <c r="AG1708" s="41"/>
      <c r="AH1708" s="45"/>
      <c r="AI1708" s="28"/>
      <c r="AJ1708" s="28"/>
      <c r="AK1708" s="28"/>
      <c r="AL1708" s="28"/>
      <c r="AM1708" s="12"/>
      <c r="AN1708" s="12"/>
      <c r="AO1708" s="12"/>
      <c r="AP1708" s="12"/>
      <c r="AQ1708" s="12"/>
      <c r="AR1708" s="13"/>
      <c r="AS1708" s="14"/>
    </row>
    <row r="1709" spans="1:45" s="16" customFormat="1" ht="30.95" hidden="1" customHeight="1" x14ac:dyDescent="0.2">
      <c r="A1709" s="35"/>
      <c r="B1709" s="36"/>
      <c r="C1709" s="43"/>
      <c r="D1709" s="29"/>
      <c r="E1709" s="29"/>
      <c r="F1709" s="255"/>
      <c r="G1709" s="256"/>
      <c r="H1709" s="256"/>
      <c r="I1709" s="200"/>
      <c r="J1709" s="203"/>
      <c r="K1709" s="200"/>
      <c r="L1709" s="200"/>
      <c r="M1709" s="37"/>
      <c r="N1709" s="37"/>
      <c r="O1709" s="153"/>
      <c r="P1709" s="45"/>
      <c r="Q1709" s="54"/>
      <c r="R1709" s="260"/>
      <c r="S1709" s="258"/>
      <c r="T1709" s="258"/>
      <c r="U1709" s="38"/>
      <c r="V1709" s="261"/>
      <c r="W1709" s="256"/>
      <c r="X1709" s="256"/>
      <c r="Y1709" s="256"/>
      <c r="Z1709" s="256"/>
      <c r="AA1709" s="54"/>
      <c r="AB1709" s="200"/>
      <c r="AC1709" s="31"/>
      <c r="AD1709" s="184"/>
      <c r="AE1709" s="51"/>
      <c r="AF1709" s="52"/>
      <c r="AG1709" s="41"/>
      <c r="AH1709" s="45"/>
      <c r="AI1709" s="28"/>
      <c r="AJ1709" s="28"/>
      <c r="AK1709" s="28"/>
      <c r="AL1709" s="28"/>
      <c r="AM1709" s="12"/>
      <c r="AN1709" s="12"/>
      <c r="AO1709" s="12"/>
      <c r="AP1709" s="12"/>
      <c r="AQ1709" s="12"/>
      <c r="AR1709" s="13"/>
      <c r="AS1709" s="14"/>
    </row>
    <row r="1710" spans="1:45" s="16" customFormat="1" ht="30.95" hidden="1" customHeight="1" x14ac:dyDescent="0.2">
      <c r="A1710" s="35" t="s">
        <v>2311</v>
      </c>
      <c r="B1710" s="36" t="s">
        <v>2312</v>
      </c>
      <c r="C1710" s="43"/>
      <c r="D1710" s="29"/>
      <c r="E1710" s="29"/>
      <c r="F1710" s="255"/>
      <c r="G1710" s="256"/>
      <c r="H1710" s="256"/>
      <c r="I1710" s="200"/>
      <c r="J1710" s="203" t="s">
        <v>448</v>
      </c>
      <c r="K1710" s="200"/>
      <c r="L1710" s="200"/>
      <c r="M1710" s="37"/>
      <c r="N1710" s="37"/>
      <c r="O1710" s="153"/>
      <c r="P1710" s="45"/>
      <c r="Q1710" s="54"/>
      <c r="R1710" s="260"/>
      <c r="S1710" s="258"/>
      <c r="T1710" s="258"/>
      <c r="U1710" s="38"/>
      <c r="V1710" s="261"/>
      <c r="W1710" s="256"/>
      <c r="X1710" s="256"/>
      <c r="Y1710" s="256"/>
      <c r="Z1710" s="256"/>
      <c r="AA1710" s="54"/>
      <c r="AB1710" s="200"/>
      <c r="AC1710" s="31"/>
      <c r="AD1710" s="184"/>
      <c r="AE1710" s="51"/>
      <c r="AF1710" s="52"/>
      <c r="AG1710" s="41"/>
      <c r="AH1710" s="45"/>
      <c r="AI1710" s="28"/>
      <c r="AJ1710" s="28"/>
      <c r="AK1710" s="28"/>
      <c r="AL1710" s="28"/>
      <c r="AM1710" s="12"/>
      <c r="AN1710" s="12"/>
      <c r="AO1710" s="12"/>
      <c r="AP1710" s="12"/>
      <c r="AQ1710" s="12"/>
      <c r="AR1710" s="13"/>
      <c r="AS1710" s="14"/>
    </row>
    <row r="1711" spans="1:45" s="16" customFormat="1" ht="30.95" hidden="1" customHeight="1" x14ac:dyDescent="0.2">
      <c r="A1711" s="35"/>
      <c r="B1711" s="36"/>
      <c r="C1711" s="43"/>
      <c r="D1711" s="29"/>
      <c r="E1711" s="29"/>
      <c r="F1711" s="255"/>
      <c r="G1711" s="256"/>
      <c r="H1711" s="256"/>
      <c r="I1711" s="200"/>
      <c r="J1711" s="203"/>
      <c r="K1711" s="200"/>
      <c r="L1711" s="200"/>
      <c r="M1711" s="37"/>
      <c r="N1711" s="37"/>
      <c r="O1711" s="153"/>
      <c r="P1711" s="45"/>
      <c r="Q1711" s="54"/>
      <c r="R1711" s="260"/>
      <c r="S1711" s="258"/>
      <c r="T1711" s="258"/>
      <c r="U1711" s="38"/>
      <c r="V1711" s="261"/>
      <c r="W1711" s="256"/>
      <c r="X1711" s="256"/>
      <c r="Y1711" s="256"/>
      <c r="Z1711" s="256"/>
      <c r="AA1711" s="54"/>
      <c r="AB1711" s="200"/>
      <c r="AC1711" s="31"/>
      <c r="AD1711" s="184"/>
      <c r="AE1711" s="51"/>
      <c r="AF1711" s="52"/>
      <c r="AG1711" s="41"/>
      <c r="AH1711" s="45"/>
      <c r="AI1711" s="28"/>
      <c r="AJ1711" s="28"/>
      <c r="AK1711" s="28"/>
      <c r="AL1711" s="28"/>
      <c r="AM1711" s="12"/>
      <c r="AN1711" s="12"/>
      <c r="AO1711" s="12"/>
      <c r="AP1711" s="12"/>
      <c r="AQ1711" s="12"/>
      <c r="AR1711" s="13"/>
      <c r="AS1711" s="14"/>
    </row>
    <row r="1712" spans="1:45" s="16" customFormat="1" ht="30.95" hidden="1" customHeight="1" x14ac:dyDescent="0.2">
      <c r="A1712" s="35" t="s">
        <v>2313</v>
      </c>
      <c r="B1712" s="36" t="s">
        <v>2314</v>
      </c>
      <c r="C1712" s="43"/>
      <c r="D1712" s="29"/>
      <c r="E1712" s="29"/>
      <c r="F1712" s="255"/>
      <c r="G1712" s="256"/>
      <c r="H1712" s="256"/>
      <c r="I1712" s="200"/>
      <c r="J1712" s="203"/>
      <c r="K1712" s="200"/>
      <c r="L1712" s="200"/>
      <c r="M1712" s="37"/>
      <c r="N1712" s="37"/>
      <c r="O1712" s="153"/>
      <c r="P1712" s="45"/>
      <c r="Q1712" s="54"/>
      <c r="R1712" s="260"/>
      <c r="S1712" s="258"/>
      <c r="T1712" s="258"/>
      <c r="U1712" s="38"/>
      <c r="V1712" s="261"/>
      <c r="W1712" s="256"/>
      <c r="X1712" s="256"/>
      <c r="Y1712" s="256"/>
      <c r="Z1712" s="256"/>
      <c r="AA1712" s="54"/>
      <c r="AB1712" s="200"/>
      <c r="AC1712" s="31"/>
      <c r="AD1712" s="184"/>
      <c r="AE1712" s="51"/>
      <c r="AF1712" s="52"/>
      <c r="AG1712" s="41"/>
      <c r="AH1712" s="45"/>
      <c r="AI1712" s="28"/>
      <c r="AJ1712" s="28"/>
      <c r="AK1712" s="28"/>
      <c r="AL1712" s="28"/>
      <c r="AM1712" s="12"/>
      <c r="AN1712" s="12"/>
      <c r="AO1712" s="12"/>
      <c r="AP1712" s="12"/>
      <c r="AQ1712" s="12"/>
      <c r="AR1712" s="13"/>
      <c r="AS1712" s="14"/>
    </row>
    <row r="1713" spans="1:45" s="16" customFormat="1" ht="30.95" hidden="1" customHeight="1" x14ac:dyDescent="0.2">
      <c r="A1713" s="35"/>
      <c r="B1713" s="36"/>
      <c r="C1713" s="43"/>
      <c r="D1713" s="29"/>
      <c r="E1713" s="29"/>
      <c r="F1713" s="255"/>
      <c r="G1713" s="256"/>
      <c r="H1713" s="256"/>
      <c r="I1713" s="200"/>
      <c r="J1713" s="203"/>
      <c r="K1713" s="200"/>
      <c r="L1713" s="200"/>
      <c r="M1713" s="37"/>
      <c r="N1713" s="37"/>
      <c r="O1713" s="153"/>
      <c r="P1713" s="45"/>
      <c r="Q1713" s="54"/>
      <c r="R1713" s="260"/>
      <c r="S1713" s="258"/>
      <c r="T1713" s="258"/>
      <c r="U1713" s="38"/>
      <c r="V1713" s="261"/>
      <c r="W1713" s="256"/>
      <c r="X1713" s="256"/>
      <c r="Y1713" s="256"/>
      <c r="Z1713" s="256"/>
      <c r="AA1713" s="54"/>
      <c r="AB1713" s="200"/>
      <c r="AC1713" s="31"/>
      <c r="AD1713" s="184"/>
      <c r="AE1713" s="51"/>
      <c r="AF1713" s="52"/>
      <c r="AG1713" s="41"/>
      <c r="AH1713" s="45"/>
      <c r="AI1713" s="28"/>
      <c r="AJ1713" s="28"/>
      <c r="AK1713" s="28"/>
      <c r="AL1713" s="28"/>
      <c r="AM1713" s="12"/>
      <c r="AN1713" s="12"/>
      <c r="AO1713" s="12"/>
      <c r="AP1713" s="12"/>
      <c r="AQ1713" s="12"/>
      <c r="AR1713" s="13"/>
      <c r="AS1713" s="14"/>
    </row>
    <row r="1714" spans="1:45" s="16" customFormat="1" ht="30.95" hidden="1" customHeight="1" x14ac:dyDescent="0.2">
      <c r="A1714" s="35" t="s">
        <v>968</v>
      </c>
      <c r="B1714" s="36" t="s">
        <v>688</v>
      </c>
      <c r="C1714" s="43"/>
      <c r="D1714" s="29">
        <v>3746133</v>
      </c>
      <c r="E1714" s="29">
        <v>4141106</v>
      </c>
      <c r="F1714" s="255" t="str">
        <f>IF(D1714="","",VLOOKUP(D1714,契約台帳!$A$3:$K$4986,6,FALSE)&amp;VLOOKUP(D1714,契約台帳!$A$3:$K$4986,7,FALSE)&amp;VLOOKUP(D1714,契約台帳!$A$3:$K$4986,8,FALSE)&amp;VLOOKUP(D1714,契約台帳!$A$3:$K$4986,9,FALSE)&amp;VLOOKUP(D1714,契約台帳!$A$3:$K$4986,11,FALSE))</f>
        <v>3XSNMCLBEYK</v>
      </c>
      <c r="G1714" s="256" t="str">
        <f>IF(D1714="","",VLOOKUP(F1714,製品マスタ!$G$5:$H$4999,2,FALSE))</f>
        <v>S</v>
      </c>
      <c r="H1714" s="256" t="str">
        <f>IF(D1714="","",VLOOKUP(F1714,製品マスタ!$G$5:$K$4999,5,FALSE))</f>
        <v>EYK</v>
      </c>
      <c r="I1714" s="200" t="str">
        <f>IF(D1714="","",VLOOKUP(F1714,製品マスタ!$G$5:$L$4999,6,FALSE))</f>
        <v>メタルミー　ＥＹＫ</v>
      </c>
      <c r="J1714" s="203" t="s">
        <v>447</v>
      </c>
      <c r="K1714" s="200">
        <f>IF(D1714="","",VLOOKUP(D1714,契約台帳!$A$3:$L$4986,12,FALSE))</f>
        <v>50</v>
      </c>
      <c r="L1714" s="200" t="str">
        <f>IF(D1714="","",INDEX(製品マスタ!$Q$5:$Q$4999,MATCH('S4'!F1714&amp;'S4'!K1714,製品マスタ!$AO$5:$AO$4999,0)))</f>
        <v>T62M</v>
      </c>
      <c r="M1714" s="37">
        <v>1195</v>
      </c>
      <c r="N1714" s="37">
        <v>12200</v>
      </c>
      <c r="O1714" s="153">
        <v>1</v>
      </c>
      <c r="P1714" s="45">
        <v>1</v>
      </c>
      <c r="Q1714" s="54"/>
      <c r="R1714" s="257">
        <f ca="1">IF(D1714="","",IF(OFFSET(D1714,-1,0)&lt;&gt;"","",IF(OR(J1714="リード付け",J1714="巻足し",J1714="巻返しリード付け"),M1714,VLOOKUP(D1714,契約台帳!$A$3:$N$4986,14,FALSE))))</f>
        <v>1120</v>
      </c>
      <c r="S1714" s="258">
        <f ca="1">IF(D1714="","",IF(OFFSET(D1714,-1,0)&lt;&gt;"","",IF(OR(J1714="リード付け",J1714="巻足し",J1714="巻返しリード付け"),M1714,VLOOKUP(D1714,契約台帳!$A$3:$O$4986,15,FALSE))))</f>
        <v>1120</v>
      </c>
      <c r="T1714" s="258">
        <f ca="1">IF(D1714="","",IF(J1714="リード付け",N1714,IF(J1714="巻返しリード付け",N1714,IF(J1714="巻足し",N1714*P1714+OFFSET(N1714,1,0)*OFFSET(P1714,1,0),VLOOKUP(D1714,契約台帳!$A$3:$P$4986,16,FALSE)))))</f>
        <v>6000</v>
      </c>
      <c r="U1714" s="38">
        <v>2</v>
      </c>
      <c r="V1714" s="259">
        <f ca="1">IF(D1714="","",IF(OFFSET(D1714,-2,0)=D1714,"",VLOOKUP(D1714,契約台帳!$A$3:$R$4986,18,FALSE)))</f>
        <v>2</v>
      </c>
      <c r="W1714" s="256" t="str">
        <f ca="1">IF(D1714="","",IF(T1714="","",IF(OR(J1714="巻足し",J1714="巻返しリード付け"),"",IF(J1714="巻返し",VLOOKUP(F1714&amp;K1714&amp;M1714,製品マスタ!$M$5:$AD$4999,18,FALSE),IF(OR(J1714="リード付け",J1714="巻返しリード付け"),"原反コア",IF(J1714="スリット",VLOOKUP(F1714&amp;K1714&amp;R1714,製品マスタ!$N$5:$AD$4999,17,FALSE),""))))))</f>
        <v>6ｲﾝﾁMｺｱ</v>
      </c>
      <c r="X1714" s="256">
        <f ca="1">IF(D1714="","",IF(T1714="","",IF(J1714="巻足し","",IF(J1714="巻返し",VLOOKUP(F1714&amp;K1714&amp;M1714,製品マスタ!$M$5:$AE$4999,19,FALSE),IF(OR(J1714="リード付け",J1714="巻返しリード付け"),"",IF(J1714="スリット",VLOOKUP(F1714&amp;K1714&amp;R1714,製品マスタ!$N$5:$AE$4999,18,FALSE),""))))))</f>
        <v>1140</v>
      </c>
      <c r="Y1714" s="256">
        <f ca="1">IF(D1714="","",IF(T1714="","",VLOOKUP(D1714,契約台帳!$A$3:$Q$4986,17,FALSE)))</f>
        <v>2</v>
      </c>
      <c r="Z1714" s="256" t="str">
        <f ca="1">IF(D1714="","",IF(T1714="","",VLOOKUP(D1714,契約台帳!$A$3:$E$4986,5,FALSE)))</f>
        <v>新タック化成㈱</v>
      </c>
      <c r="AA1714" s="54"/>
      <c r="AB1714" s="200"/>
      <c r="AC1714" s="31"/>
      <c r="AD1714" s="184"/>
      <c r="AE1714" s="51"/>
      <c r="AF1714" s="52"/>
      <c r="AG1714" s="41"/>
      <c r="AH1714" s="45"/>
      <c r="AI1714" s="28"/>
      <c r="AJ1714" s="28"/>
      <c r="AK1714" s="28"/>
      <c r="AL1714" s="28"/>
      <c r="AM1714" s="12"/>
      <c r="AN1714" s="12"/>
      <c r="AO1714" s="12"/>
      <c r="AP1714" s="12"/>
      <c r="AQ1714" s="12"/>
      <c r="AR1714" s="13"/>
      <c r="AS1714" s="14"/>
    </row>
    <row r="1715" spans="1:45" s="16" customFormat="1" ht="30.95" hidden="1" customHeight="1" x14ac:dyDescent="0.2">
      <c r="A1715" s="35"/>
      <c r="B1715" s="36"/>
      <c r="C1715" s="43"/>
      <c r="D1715" s="29"/>
      <c r="E1715" s="29"/>
      <c r="F1715" s="255"/>
      <c r="G1715" s="256"/>
      <c r="H1715" s="256"/>
      <c r="I1715" s="200"/>
      <c r="J1715" s="203"/>
      <c r="K1715" s="200"/>
      <c r="L1715" s="200"/>
      <c r="M1715" s="37"/>
      <c r="N1715" s="37"/>
      <c r="O1715" s="153"/>
      <c r="P1715" s="45"/>
      <c r="Q1715" s="54"/>
      <c r="R1715" s="260"/>
      <c r="S1715" s="258"/>
      <c r="T1715" s="258"/>
      <c r="U1715" s="38"/>
      <c r="V1715" s="261"/>
      <c r="W1715" s="256"/>
      <c r="X1715" s="256"/>
      <c r="Y1715" s="256"/>
      <c r="Z1715" s="256"/>
      <c r="AA1715" s="54"/>
      <c r="AB1715" s="200"/>
      <c r="AC1715" s="31"/>
      <c r="AD1715" s="184"/>
      <c r="AE1715" s="51"/>
      <c r="AF1715" s="52"/>
      <c r="AG1715" s="41"/>
      <c r="AH1715" s="45"/>
      <c r="AI1715" s="28"/>
      <c r="AJ1715" s="28"/>
      <c r="AK1715" s="28"/>
      <c r="AL1715" s="28"/>
      <c r="AM1715" s="12"/>
      <c r="AN1715" s="12"/>
      <c r="AO1715" s="12"/>
      <c r="AP1715" s="12"/>
      <c r="AQ1715" s="12"/>
      <c r="AR1715" s="13"/>
      <c r="AS1715" s="14"/>
    </row>
    <row r="1716" spans="1:45" s="16" customFormat="1" ht="30.95" hidden="1" customHeight="1" x14ac:dyDescent="0.2">
      <c r="A1716" s="35"/>
      <c r="B1716" s="36"/>
      <c r="C1716" s="43"/>
      <c r="D1716" s="29">
        <v>3744886</v>
      </c>
      <c r="E1716" s="29">
        <v>4141108</v>
      </c>
      <c r="F1716" s="255" t="str">
        <f>IF(D1716="","",VLOOKUP(D1716,契約台帳!$A$3:$K$4986,6,FALSE)&amp;VLOOKUP(D1716,契約台帳!$A$3:$K$4986,7,FALSE)&amp;VLOOKUP(D1716,契約台帳!$A$3:$K$4986,8,FALSE)&amp;VLOOKUP(D1716,契約台帳!$A$3:$K$4986,9,FALSE)&amp;VLOOKUP(D1716,契約台帳!$A$3:$K$4986,11,FALSE))</f>
        <v>3SNCLBLMEYK</v>
      </c>
      <c r="G1716" s="256" t="str">
        <f>IF(D1716="","",VLOOKUP(F1716,製品マスタ!$G$5:$H$4999,2,FALSE))</f>
        <v>S</v>
      </c>
      <c r="H1716" s="256" t="str">
        <f>IF(D1716="","",VLOOKUP(F1716,製品マスタ!$G$5:$K$4999,5,FALSE))</f>
        <v>LMEYK</v>
      </c>
      <c r="I1716" s="200" t="str">
        <f>IF(D1716="","",VLOOKUP(F1716,製品マスタ!$G$5:$L$4999,6,FALSE))</f>
        <v>ルミマットＥＹＫ</v>
      </c>
      <c r="J1716" s="203" t="s">
        <v>447</v>
      </c>
      <c r="K1716" s="200">
        <f>IF(D1716="","",VLOOKUP(D1716,契約台帳!$A$3:$L$4986,12,FALSE))</f>
        <v>38</v>
      </c>
      <c r="L1716" s="200" t="str">
        <f>IF(D1716="","",INDEX(製品マスタ!$Q$5:$Q$4999,MATCH('S4'!F1716&amp;'S4'!K1716,製品マスタ!$AO$5:$AO$4999,0)))</f>
        <v>LUMIMAT</v>
      </c>
      <c r="M1716" s="37">
        <v>1005</v>
      </c>
      <c r="N1716" s="37">
        <v>8000</v>
      </c>
      <c r="O1716" s="153">
        <v>3</v>
      </c>
      <c r="P1716" s="45">
        <v>3</v>
      </c>
      <c r="Q1716" s="54"/>
      <c r="R1716" s="257">
        <f ca="1">IF(D1716="","",IF(OFFSET(D1716,-1,0)&lt;&gt;"","",IF(OR(J1716="リード付け",J1716="巻足し",J1716="巻返しリード付け"),M1716,VLOOKUP(D1716,契約台帳!$A$3:$N$4986,14,FALSE))))</f>
        <v>1005</v>
      </c>
      <c r="S1716" s="258">
        <f ca="1">IF(D1716="","",IF(OFFSET(D1716,-1,0)&lt;&gt;"","",IF(OR(J1716="リード付け",J1716="巻足し",J1716="巻返しリード付け"),M1716,VLOOKUP(D1716,契約台帳!$A$3:$O$4986,15,FALSE))))</f>
        <v>1000</v>
      </c>
      <c r="T1716" s="258">
        <f ca="1">IF(D1716="","",IF(J1716="リード付け",N1716,IF(J1716="巻返しリード付け",N1716,IF(J1716="巻足し",N1716*P1716+OFFSET(N1716,1,0)*OFFSET(P1716,1,0),VLOOKUP(D1716,契約台帳!$A$3:$P$4986,16,FALSE)))))</f>
        <v>4000</v>
      </c>
      <c r="U1716" s="38">
        <v>6</v>
      </c>
      <c r="V1716" s="259">
        <f ca="1">IF(D1716="","",IF(OFFSET(D1716,-2,0)=D1716,"",VLOOKUP(D1716,契約台帳!$A$3:$R$4986,18,FALSE)))</f>
        <v>6</v>
      </c>
      <c r="W1716" s="256" t="str">
        <f ca="1">IF(D1716="","",IF(T1716="","",IF(OR(J1716="巻足し",J1716="巻返しリード付け"),"",IF(J1716="巻返し",VLOOKUP(F1716&amp;K1716&amp;M1716,製品マスタ!$M$5:$AD$4999,18,FALSE),IF(OR(J1716="リード付け",J1716="巻返しリード付け"),"原反コア",IF(J1716="スリット",VLOOKUP(F1716&amp;K1716&amp;R1716,製品マスタ!$N$5:$AD$4999,17,FALSE),""))))))</f>
        <v>3ｲﾝﾁSｺｱ</v>
      </c>
      <c r="X1716" s="256">
        <f ca="1">IF(D1716="","",IF(T1716="","",IF(J1716="巻足し","",IF(J1716="巻返し",VLOOKUP(F1716&amp;K1716&amp;M1716,製品マスタ!$M$5:$AE$4999,19,FALSE),IF(OR(J1716="リード付け",J1716="巻返しリード付け"),"",IF(J1716="スリット",VLOOKUP(F1716&amp;K1716&amp;R1716,製品マスタ!$N$5:$AE$4999,18,FALSE),""))))))</f>
        <v>1015</v>
      </c>
      <c r="Y1716" s="256">
        <f ca="1">IF(D1716="","",IF(T1716="","",VLOOKUP(D1716,契約台帳!$A$3:$Q$4986,17,FALSE)))</f>
        <v>2</v>
      </c>
      <c r="Z1716" s="256" t="str">
        <f ca="1">IF(D1716="","",IF(T1716="","",VLOOKUP(D1716,契約台帳!$A$3:$E$4986,5,FALSE)))</f>
        <v>リンテック㈱</v>
      </c>
      <c r="AA1716" s="54"/>
      <c r="AB1716" s="200"/>
      <c r="AC1716" s="31"/>
      <c r="AD1716" s="184"/>
      <c r="AE1716" s="51"/>
      <c r="AF1716" s="52"/>
      <c r="AG1716" s="41"/>
      <c r="AH1716" s="45"/>
      <c r="AI1716" s="28"/>
      <c r="AJ1716" s="28"/>
      <c r="AK1716" s="28"/>
      <c r="AL1716" s="28"/>
      <c r="AM1716" s="12"/>
      <c r="AN1716" s="12"/>
      <c r="AO1716" s="12"/>
      <c r="AP1716" s="12"/>
      <c r="AQ1716" s="12"/>
      <c r="AR1716" s="13"/>
      <c r="AS1716" s="14"/>
    </row>
    <row r="1717" spans="1:45" s="16" customFormat="1" ht="30.95" hidden="1" customHeight="1" x14ac:dyDescent="0.2">
      <c r="A1717" s="35"/>
      <c r="B1717" s="36"/>
      <c r="C1717" s="43"/>
      <c r="D1717" s="29"/>
      <c r="E1717" s="29"/>
      <c r="F1717" s="255"/>
      <c r="G1717" s="256"/>
      <c r="H1717" s="256"/>
      <c r="I1717" s="200"/>
      <c r="J1717" s="203"/>
      <c r="K1717" s="200"/>
      <c r="L1717" s="200"/>
      <c r="M1717" s="37"/>
      <c r="N1717" s="37"/>
      <c r="O1717" s="153"/>
      <c r="P1717" s="45"/>
      <c r="Q1717" s="54"/>
      <c r="R1717" s="260"/>
      <c r="S1717" s="258"/>
      <c r="T1717" s="258"/>
      <c r="U1717" s="38"/>
      <c r="V1717" s="261"/>
      <c r="W1717" s="256"/>
      <c r="X1717" s="256"/>
      <c r="Y1717" s="256"/>
      <c r="Z1717" s="256"/>
      <c r="AA1717" s="54"/>
      <c r="AB1717" s="200"/>
      <c r="AC1717" s="31"/>
      <c r="AD1717" s="184"/>
      <c r="AE1717" s="51"/>
      <c r="AF1717" s="52"/>
      <c r="AG1717" s="41"/>
      <c r="AH1717" s="45"/>
      <c r="AI1717" s="28"/>
      <c r="AJ1717" s="28"/>
      <c r="AK1717" s="28"/>
      <c r="AL1717" s="28"/>
      <c r="AM1717" s="12"/>
      <c r="AN1717" s="12"/>
      <c r="AO1717" s="12"/>
      <c r="AP1717" s="12"/>
      <c r="AQ1717" s="12"/>
      <c r="AR1717" s="13"/>
      <c r="AS1717" s="14"/>
    </row>
    <row r="1718" spans="1:45" s="16" customFormat="1" ht="30.95" hidden="1" customHeight="1" x14ac:dyDescent="0.2">
      <c r="A1718" s="35" t="s">
        <v>2316</v>
      </c>
      <c r="B1718" s="36" t="s">
        <v>2317</v>
      </c>
      <c r="C1718" s="43"/>
      <c r="D1718" s="29">
        <v>3741618</v>
      </c>
      <c r="E1718" s="29">
        <v>4141085</v>
      </c>
      <c r="F1718" s="255" t="str">
        <f>IF(D1718="","",VLOOKUP(D1718,契約台帳!$A$3:$K$4986,6,FALSE)&amp;VLOOKUP(D1718,契約台帳!$A$3:$K$4986,7,FALSE)&amp;VLOOKUP(D1718,契約台帳!$A$3:$K$4986,8,FALSE)&amp;VLOOKUP(D1718,契約台帳!$A$3:$K$4986,9,FALSE)&amp;VLOOKUP(D1718,契約台帳!$A$3:$K$4986,11,FALSE))</f>
        <v>33SSNMCLBTETKFV</v>
      </c>
      <c r="G1718" s="256" t="str">
        <f>IF(D1718="","",VLOOKUP(F1718,製品マスタ!$G$5:$H$4999,2,FALSE))</f>
        <v>S</v>
      </c>
      <c r="H1718" s="256" t="str">
        <f>IF(D1718="","",VLOOKUP(F1718,製品マスタ!$G$5:$K$4999,5,FALSE))</f>
        <v>TETKFV</v>
      </c>
      <c r="I1718" s="200" t="str">
        <f>IF(D1718="","",VLOOKUP(F1718,製品マスタ!$G$5:$L$4999,6,FALSE))</f>
        <v>メタルミー　ＴＥＳ艶開封　Ｖ</v>
      </c>
      <c r="J1718" s="203" t="s">
        <v>447</v>
      </c>
      <c r="K1718" s="200">
        <f>IF(D1718="","",VLOOKUP(D1718,契約台帳!$A$3:$L$4986,12,FALSE))</f>
        <v>50</v>
      </c>
      <c r="L1718" s="200" t="str">
        <f>IF(D1718="","",INDEX(製品マスタ!$Q$5:$Q$4999,MATCH('S4'!F1718&amp;'S4'!K1718,製品マスタ!$AO$5:$AO$4999,0)))</f>
        <v>S28SEPA</v>
      </c>
      <c r="M1718" s="37">
        <v>1005</v>
      </c>
      <c r="N1718" s="37">
        <v>12300</v>
      </c>
      <c r="O1718" s="153">
        <v>2</v>
      </c>
      <c r="P1718" s="45">
        <v>2</v>
      </c>
      <c r="Q1718" s="54"/>
      <c r="R1718" s="257">
        <f ca="1">IF(D1718="","",IF(OFFSET(D1718,-1,0)&lt;&gt;"","",IF(OR(J1718="リード付け",J1718="巻足し",J1718="巻返しリード付け"),M1718,VLOOKUP(D1718,契約台帳!$A$3:$N$4986,14,FALSE))))</f>
        <v>1005</v>
      </c>
      <c r="S1718" s="258">
        <f ca="1">IF(D1718="","",IF(OFFSET(D1718,-1,0)&lt;&gt;"","",IF(OR(J1718="リード付け",J1718="巻足し",J1718="巻返しリード付け"),M1718,VLOOKUP(D1718,契約台帳!$A$3:$O$4986,15,FALSE))))</f>
        <v>1000</v>
      </c>
      <c r="T1718" s="258">
        <f ca="1">IF(D1718="","",IF(J1718="リード付け",N1718,IF(J1718="巻返しリード付け",N1718,IF(J1718="巻足し",N1718*P1718+OFFSET(N1718,1,0)*OFFSET(P1718,1,0),VLOOKUP(D1718,契約台帳!$A$3:$P$4986,16,FALSE)))))</f>
        <v>4100</v>
      </c>
      <c r="U1718" s="38">
        <v>6</v>
      </c>
      <c r="V1718" s="259">
        <f ca="1">IF(D1718="","",IF(OFFSET(D1718,-2,0)=D1718,"",VLOOKUP(D1718,契約台帳!$A$3:$R$4986,18,FALSE)))</f>
        <v>6</v>
      </c>
      <c r="W1718" s="256" t="str">
        <f ca="1">IF(D1718="","",IF(T1718="","",IF(OR(J1718="巻足し",J1718="巻返しリード付け"),"",IF(J1718="巻返し",VLOOKUP(F1718&amp;K1718&amp;M1718,製品マスタ!$M$5:$AD$4999,18,FALSE),IF(OR(J1718="リード付け",J1718="巻返しリード付け"),"原反コア",IF(J1718="スリット",VLOOKUP(F1718&amp;K1718&amp;R1718,製品マスタ!$N$5:$AD$4999,17,FALSE),""))))))</f>
        <v>6ｲﾝﾁSｺｱ</v>
      </c>
      <c r="X1718" s="256">
        <f ca="1">IF(D1718="","",IF(T1718="","",IF(J1718="巻足し","",IF(J1718="巻返し",VLOOKUP(F1718&amp;K1718&amp;M1718,製品マスタ!$M$5:$AE$4999,19,FALSE),IF(OR(J1718="リード付け",J1718="巻返しリード付け"),"",IF(J1718="スリット",VLOOKUP(F1718&amp;K1718&amp;R1718,製品マスタ!$N$5:$AE$4999,18,FALSE),""))))))</f>
        <v>1015</v>
      </c>
      <c r="Y1718" s="256">
        <f ca="1">IF(D1718="","",IF(T1718="","",VLOOKUP(D1718,契約台帳!$A$3:$Q$4986,17,FALSE)))</f>
        <v>2</v>
      </c>
      <c r="Z1718" s="256" t="str">
        <f ca="1">IF(D1718="","",IF(T1718="","",VLOOKUP(D1718,契約台帳!$A$3:$E$4986,5,FALSE)))</f>
        <v>リンテック㈱</v>
      </c>
      <c r="AA1718" s="54"/>
      <c r="AB1718" s="200"/>
      <c r="AC1718" s="31"/>
      <c r="AD1718" s="184"/>
      <c r="AE1718" s="51"/>
      <c r="AF1718" s="52"/>
      <c r="AG1718" s="41"/>
      <c r="AH1718" s="45"/>
      <c r="AI1718" s="28"/>
      <c r="AJ1718" s="28"/>
      <c r="AK1718" s="28"/>
      <c r="AL1718" s="28"/>
      <c r="AM1718" s="12"/>
      <c r="AN1718" s="12"/>
      <c r="AO1718" s="12"/>
      <c r="AP1718" s="12"/>
      <c r="AQ1718" s="12"/>
      <c r="AR1718" s="13"/>
      <c r="AS1718" s="14"/>
    </row>
    <row r="1719" spans="1:45" s="16" customFormat="1" ht="30.95" hidden="1" customHeight="1" x14ac:dyDescent="0.2">
      <c r="A1719" s="35"/>
      <c r="B1719" s="36"/>
      <c r="C1719" s="43"/>
      <c r="D1719" s="29"/>
      <c r="E1719" s="29"/>
      <c r="F1719" s="255" t="str">
        <f>IF(D1719="","",VLOOKUP(D1719,契約台帳!$A$3:$K$4986,6,FALSE)&amp;VLOOKUP(D1719,契約台帳!$A$3:$K$4986,7,FALSE)&amp;VLOOKUP(D1719,契約台帳!$A$3:$K$4986,8,FALSE)&amp;VLOOKUP(D1719,契約台帳!$A$3:$K$4986,9,FALSE)&amp;VLOOKUP(D1719,契約台帳!$A$3:$K$4986,11,FALSE))</f>
        <v/>
      </c>
      <c r="G1719" s="256" t="str">
        <f>IF(D1719="","",VLOOKUP(F1719,製品マスタ!$G$5:$H$4999,2,FALSE))</f>
        <v/>
      </c>
      <c r="H1719" s="256" t="str">
        <f>IF(D1719="","",VLOOKUP(F1719,製品マスタ!$G$5:$K$4999,5,FALSE))</f>
        <v/>
      </c>
      <c r="I1719" s="200" t="str">
        <f>IF(D1719="","",VLOOKUP(F1719,製品マスタ!$G$5:$L$4999,6,FALSE))</f>
        <v/>
      </c>
      <c r="J1719" s="203"/>
      <c r="K1719" s="200" t="str">
        <f>IF(D1719="","",VLOOKUP(D1719,契約台帳!$A$3:$L$4986,12,FALSE))</f>
        <v/>
      </c>
      <c r="L1719" s="200" t="str">
        <f>IF(D1719="","",INDEX(製品マスタ!$Q$5:$Q$4999,MATCH('S4'!F1719&amp;'S4'!K1719,製品マスタ!$AO$5:$AO$4999,0)))</f>
        <v/>
      </c>
      <c r="M1719" s="37"/>
      <c r="N1719" s="37"/>
      <c r="O1719" s="153"/>
      <c r="P1719" s="45"/>
      <c r="Q1719" s="54"/>
      <c r="R1719" s="257" t="str">
        <f ca="1">IF(D1719="","",IF(OFFSET(D1719,-1,0)&lt;&gt;"","",IF(OR(J1719="リード付け",J1719="巻足し",J1719="巻返しリード付け"),M1719,VLOOKUP(D1719,契約台帳!$A$3:$N$4986,14,FALSE))))</f>
        <v/>
      </c>
      <c r="S1719" s="258" t="str">
        <f ca="1">IF(D1719="","",IF(OFFSET(D1719,-1,0)&lt;&gt;"","",IF(OR(J1719="リード付け",J1719="巻足し",J1719="巻返しリード付け"),M1719,VLOOKUP(D1719,契約台帳!$A$3:$O$4986,15,FALSE))))</f>
        <v/>
      </c>
      <c r="T1719" s="258" t="str">
        <f ca="1">IF(D1719="","",IF(J1719="リード付け",N1719,IF(J1719="巻返しリード付け",N1719,IF(J1719="巻足し",N1719*P1719+OFFSET(N1719,1,0)*OFFSET(P1719,1,0),VLOOKUP(D1719,契約台帳!$A$3:$P$4986,16,FALSE)))))</f>
        <v/>
      </c>
      <c r="U1719" s="38"/>
      <c r="V1719" s="259" t="str">
        <f ca="1">IF(D1719="","",IF(OFFSET(D1719,-2,0)=D1719,"",VLOOKUP(D1719,契約台帳!$A$3:$R$4986,18,FALSE)))</f>
        <v/>
      </c>
      <c r="W1719" s="256" t="str">
        <f>IF(D1719="","",IF(T1719="","",IF(OR(J1719="巻足し",J1719="巻返しリード付け"),"",IF(J1719="巻返し",VLOOKUP(F1719&amp;K1719&amp;M1719,製品マスタ!$M$5:$AD$4999,18,FALSE),IF(OR(J1719="リード付け",J1719="巻返しリード付け"),"原反コア",IF(J1719="スリット",VLOOKUP(F1719&amp;K1719&amp;R1719,製品マスタ!$N$5:$AD$4999,17,FALSE),""))))))</f>
        <v/>
      </c>
      <c r="X1719" s="256" t="str">
        <f>IF(D1719="","",IF(T1719="","",IF(J1719="巻足し","",IF(J1719="巻返し",VLOOKUP(F1719&amp;K1719&amp;M1719,製品マスタ!$M$5:$AE$4999,19,FALSE),IF(OR(J1719="リード付け",J1719="巻返しリード付け"),"",IF(J1719="スリット",VLOOKUP(F1719&amp;K1719&amp;R1719,製品マスタ!$N$5:$AE$4999,18,FALSE),""))))))</f>
        <v/>
      </c>
      <c r="Y1719" s="256" t="str">
        <f>IF(D1719="","",IF(T1719="","",VLOOKUP(D1719,契約台帳!$A$3:$Q$4986,17,FALSE)))</f>
        <v/>
      </c>
      <c r="Z1719" s="256" t="str">
        <f>IF(D1719="","",IF(T1719="","",VLOOKUP(D1719,契約台帳!$A$3:$E$4986,5,FALSE)))</f>
        <v/>
      </c>
      <c r="AA1719" s="54"/>
      <c r="AB1719" s="200"/>
      <c r="AC1719" s="31"/>
      <c r="AD1719" s="184"/>
      <c r="AE1719" s="51"/>
      <c r="AF1719" s="52"/>
      <c r="AG1719" s="41"/>
      <c r="AH1719" s="45"/>
      <c r="AI1719" s="28"/>
      <c r="AJ1719" s="28"/>
      <c r="AK1719" s="28"/>
      <c r="AL1719" s="28"/>
      <c r="AM1719" s="12"/>
      <c r="AN1719" s="12"/>
      <c r="AO1719" s="12"/>
      <c r="AP1719" s="12"/>
      <c r="AQ1719" s="12"/>
      <c r="AR1719" s="13"/>
      <c r="AS1719" s="14"/>
    </row>
    <row r="1720" spans="1:45" s="16" customFormat="1" ht="30.95" hidden="1" customHeight="1" x14ac:dyDescent="0.2">
      <c r="A1720" s="35"/>
      <c r="B1720" s="36"/>
      <c r="C1720" s="43"/>
      <c r="D1720" s="29">
        <v>3744881</v>
      </c>
      <c r="E1720" s="29">
        <v>4141099</v>
      </c>
      <c r="F1720" s="255" t="str">
        <f>IF(D1720="","",VLOOKUP(D1720,契約台帳!$A$3:$K$4986,6,FALSE)&amp;VLOOKUP(D1720,契約台帳!$A$3:$K$4986,7,FALSE)&amp;VLOOKUP(D1720,契約台帳!$A$3:$K$4986,8,FALSE)&amp;VLOOKUP(D1720,契約台帳!$A$3:$K$4986,9,FALSE)&amp;VLOOKUP(D1720,契約台帳!$A$3:$K$4986,11,FALSE))</f>
        <v>33SSNMCLBTETKFV</v>
      </c>
      <c r="G1720" s="256" t="str">
        <f>IF(D1720="","",VLOOKUP(F1720,製品マスタ!$G$5:$H$4999,2,FALSE))</f>
        <v>S</v>
      </c>
      <c r="H1720" s="256" t="str">
        <f>IF(D1720="","",VLOOKUP(F1720,製品マスタ!$G$5:$K$4999,5,FALSE))</f>
        <v>TETKFV</v>
      </c>
      <c r="I1720" s="200" t="str">
        <f>IF(D1720="","",VLOOKUP(F1720,製品マスタ!$G$5:$L$4999,6,FALSE))</f>
        <v>メタルミー　ＴＥＳ艶開封　Ｖ</v>
      </c>
      <c r="J1720" s="203" t="s">
        <v>447</v>
      </c>
      <c r="K1720" s="200">
        <f>IF(D1720="","",VLOOKUP(D1720,契約台帳!$A$3:$L$4986,12,FALSE))</f>
        <v>50</v>
      </c>
      <c r="L1720" s="200" t="str">
        <f>IF(D1720="","",INDEX(製品マスタ!$Q$5:$Q$4999,MATCH('S4'!F1720&amp;'S4'!K1720,製品マスタ!$AO$5:$AO$4999,0)))</f>
        <v>S28SEPA</v>
      </c>
      <c r="M1720" s="37">
        <v>1005</v>
      </c>
      <c r="N1720" s="37">
        <v>12300</v>
      </c>
      <c r="O1720" s="153">
        <v>2</v>
      </c>
      <c r="P1720" s="45">
        <v>2</v>
      </c>
      <c r="Q1720" s="54"/>
      <c r="R1720" s="257">
        <f ca="1">IF(D1720="","",IF(OFFSET(D1720,-1,0)&lt;&gt;"","",IF(OR(J1720="リード付け",J1720="巻足し",J1720="巻返しリード付け"),M1720,VLOOKUP(D1720,契約台帳!$A$3:$N$4986,14,FALSE))))</f>
        <v>1005</v>
      </c>
      <c r="S1720" s="258">
        <f ca="1">IF(D1720="","",IF(OFFSET(D1720,-1,0)&lt;&gt;"","",IF(OR(J1720="リード付け",J1720="巻足し",J1720="巻返しリード付け"),M1720,VLOOKUP(D1720,契約台帳!$A$3:$O$4986,15,FALSE))))</f>
        <v>1000</v>
      </c>
      <c r="T1720" s="258">
        <f ca="1">IF(D1720="","",IF(J1720="リード付け",N1720,IF(J1720="巻返しリード付け",N1720,IF(J1720="巻足し",N1720*P1720+OFFSET(N1720,1,0)*OFFSET(P1720,1,0),VLOOKUP(D1720,契約台帳!$A$3:$P$4986,16,FALSE)))))</f>
        <v>4100</v>
      </c>
      <c r="U1720" s="38">
        <v>6</v>
      </c>
      <c r="V1720" s="259">
        <v>6</v>
      </c>
      <c r="W1720" s="256" t="str">
        <f ca="1">IF(D1720="","",IF(T1720="","",IF(OR(J1720="巻足し",J1720="巻返しリード付け"),"",IF(J1720="巻返し",VLOOKUP(F1720&amp;K1720&amp;M1720,製品マスタ!$M$5:$AD$4999,18,FALSE),IF(OR(J1720="リード付け",J1720="巻返しリード付け"),"原反コア",IF(J1720="スリット",VLOOKUP(F1720&amp;K1720&amp;R1720,製品マスタ!$N$5:$AD$4999,17,FALSE),""))))))</f>
        <v>6ｲﾝﾁSｺｱ</v>
      </c>
      <c r="X1720" s="256">
        <f ca="1">IF(D1720="","",IF(T1720="","",IF(J1720="巻足し","",IF(J1720="巻返し",VLOOKUP(F1720&amp;K1720&amp;M1720,製品マスタ!$M$5:$AE$4999,19,FALSE),IF(OR(J1720="リード付け",J1720="巻返しリード付け"),"",IF(J1720="スリット",VLOOKUP(F1720&amp;K1720&amp;R1720,製品マスタ!$N$5:$AE$4999,18,FALSE),""))))))</f>
        <v>1015</v>
      </c>
      <c r="Y1720" s="256">
        <f ca="1">IF(D1720="","",IF(T1720="","",VLOOKUP(D1720,契約台帳!$A$3:$Q$4986,17,FALSE)))</f>
        <v>2</v>
      </c>
      <c r="Z1720" s="256" t="str">
        <f ca="1">IF(D1720="","",IF(T1720="","",VLOOKUP(D1720,契約台帳!$A$3:$E$4986,5,FALSE)))</f>
        <v>リンテック㈱</v>
      </c>
      <c r="AA1720" s="54"/>
      <c r="AB1720" s="200"/>
      <c r="AC1720" s="31"/>
      <c r="AD1720" s="184"/>
      <c r="AE1720" s="51"/>
      <c r="AF1720" s="52"/>
      <c r="AG1720" s="41"/>
      <c r="AH1720" s="45"/>
      <c r="AI1720" s="28"/>
      <c r="AJ1720" s="28"/>
      <c r="AK1720" s="28"/>
      <c r="AL1720" s="28"/>
      <c r="AM1720" s="12"/>
      <c r="AN1720" s="12"/>
      <c r="AO1720" s="12"/>
      <c r="AP1720" s="12"/>
      <c r="AQ1720" s="12"/>
      <c r="AR1720" s="13"/>
      <c r="AS1720" s="14"/>
    </row>
    <row r="1721" spans="1:45" s="16" customFormat="1" ht="30.95" hidden="1" customHeight="1" x14ac:dyDescent="0.2">
      <c r="A1721" s="35"/>
      <c r="B1721" s="36"/>
      <c r="C1721" s="43"/>
      <c r="D1721" s="29"/>
      <c r="E1721" s="29"/>
      <c r="F1721" s="255"/>
      <c r="G1721" s="256"/>
      <c r="H1721" s="256"/>
      <c r="I1721" s="200"/>
      <c r="J1721" s="203"/>
      <c r="K1721" s="200"/>
      <c r="L1721" s="200"/>
      <c r="M1721" s="37"/>
      <c r="N1721" s="37"/>
      <c r="O1721" s="153"/>
      <c r="P1721" s="45"/>
      <c r="Q1721" s="54"/>
      <c r="R1721" s="260"/>
      <c r="S1721" s="258"/>
      <c r="T1721" s="258"/>
      <c r="U1721" s="38"/>
      <c r="V1721" s="261"/>
      <c r="W1721" s="256"/>
      <c r="X1721" s="256"/>
      <c r="Y1721" s="256"/>
      <c r="Z1721" s="256"/>
      <c r="AA1721" s="54"/>
      <c r="AB1721" s="200"/>
      <c r="AC1721" s="31"/>
      <c r="AD1721" s="184"/>
      <c r="AE1721" s="51"/>
      <c r="AF1721" s="52"/>
      <c r="AG1721" s="41"/>
      <c r="AH1721" s="45"/>
      <c r="AI1721" s="28"/>
      <c r="AJ1721" s="28"/>
      <c r="AK1721" s="28"/>
      <c r="AL1721" s="28"/>
      <c r="AM1721" s="12"/>
      <c r="AN1721" s="12"/>
      <c r="AO1721" s="12"/>
      <c r="AP1721" s="12"/>
      <c r="AQ1721" s="12"/>
      <c r="AR1721" s="13"/>
      <c r="AS1721" s="14"/>
    </row>
    <row r="1722" spans="1:45" s="16" customFormat="1" ht="30.95" hidden="1" customHeight="1" x14ac:dyDescent="0.2">
      <c r="A1722" s="35"/>
      <c r="B1722" s="36"/>
      <c r="C1722" s="43"/>
      <c r="D1722" s="29">
        <v>3741619</v>
      </c>
      <c r="E1722" s="29">
        <v>4141090</v>
      </c>
      <c r="F1722" s="255" t="str">
        <f>IF(D1722="","",VLOOKUP(D1722,契約台帳!$A$3:$K$4986,6,FALSE)&amp;VLOOKUP(D1722,契約台帳!$A$3:$K$4986,7,FALSE)&amp;VLOOKUP(D1722,契約台帳!$A$3:$K$4986,8,FALSE)&amp;VLOOKUP(D1722,契約台帳!$A$3:$K$4986,9,FALSE)&amp;VLOOKUP(D1722,契約台帳!$A$3:$K$4986,11,FALSE))</f>
        <v>3SNMCLBTETV0V</v>
      </c>
      <c r="G1722" s="256" t="str">
        <f>IF(D1722="","",VLOOKUP(F1722,製品マスタ!$G$5:$H$4999,2,FALSE))</f>
        <v>S</v>
      </c>
      <c r="H1722" s="256" t="str">
        <f>IF(D1722="","",VLOOKUP(F1722,製品マスタ!$G$5:$K$4999,5,FALSE))</f>
        <v>TETV0V</v>
      </c>
      <c r="I1722" s="200" t="str">
        <f>IF(D1722="","",VLOOKUP(F1722,製品マスタ!$G$5:$L$4999,6,FALSE))</f>
        <v>メタルミー　ＴＥＳ艶ＶＯＩＤＶ</v>
      </c>
      <c r="J1722" s="203" t="s">
        <v>447</v>
      </c>
      <c r="K1722" s="200">
        <f>IF(D1722="","",VLOOKUP(D1722,契約台帳!$A$3:$L$4986,12,FALSE))</f>
        <v>50</v>
      </c>
      <c r="L1722" s="200" t="str">
        <f>IF(D1722="","",INDEX(製品マスタ!$Q$5:$Q$4999,MATCH('S4'!F1722&amp;'S4'!K1722,製品マスタ!$AO$5:$AO$4999,0)))</f>
        <v>S28SEPA</v>
      </c>
      <c r="M1722" s="37">
        <v>1005</v>
      </c>
      <c r="N1722" s="37">
        <v>8200</v>
      </c>
      <c r="O1722" s="153">
        <v>1</v>
      </c>
      <c r="P1722" s="45">
        <v>1</v>
      </c>
      <c r="Q1722" s="54"/>
      <c r="R1722" s="257">
        <f ca="1">IF(D1722="","",IF(OFFSET(D1722,-1,0)&lt;&gt;"","",IF(OR(J1722="リード付け",J1722="巻足し",J1722="巻返しリード付け"),M1722,VLOOKUP(D1722,契約台帳!$A$3:$N$4986,14,FALSE))))</f>
        <v>1005</v>
      </c>
      <c r="S1722" s="258">
        <f ca="1">IF(D1722="","",IF(OFFSET(D1722,-1,0)&lt;&gt;"","",IF(OR(J1722="リード付け",J1722="巻足し",J1722="巻返しリード付け"),M1722,VLOOKUP(D1722,契約台帳!$A$3:$O$4986,15,FALSE))))</f>
        <v>1000</v>
      </c>
      <c r="T1722" s="258">
        <f ca="1">IF(D1722="","",IF(J1722="リード付け",N1722,IF(J1722="巻返しリード付け",N1722,IF(J1722="巻足し",N1722*P1722+OFFSET(N1722,1,0)*OFFSET(P1722,1,0),VLOOKUP(D1722,契約台帳!$A$3:$P$4986,16,FALSE)))))</f>
        <v>4100</v>
      </c>
      <c r="U1722" s="38">
        <v>2</v>
      </c>
      <c r="V1722" s="259">
        <f ca="1">IF(D1722="","",IF(OFFSET(D1722,-2,0)=D1722,"",VLOOKUP(D1722,契約台帳!$A$3:$R$4986,18,FALSE)))</f>
        <v>2</v>
      </c>
      <c r="W1722" s="256" t="str">
        <f ca="1">IF(D1722="","",IF(T1722="","",IF(OR(J1722="巻足し",J1722="巻返しリード付け"),"",IF(J1722="巻返し",VLOOKUP(F1722&amp;K1722&amp;M1722,製品マスタ!$M$5:$AD$4999,18,FALSE),IF(OR(J1722="リード付け",J1722="巻返しリード付け"),"原反コア",IF(J1722="スリット",VLOOKUP(F1722&amp;K1722&amp;R1722,製品マスタ!$N$5:$AD$4999,17,FALSE),""))))))</f>
        <v>6ｲﾝﾁSｺｱ</v>
      </c>
      <c r="X1722" s="256">
        <f ca="1">IF(D1722="","",IF(T1722="","",IF(J1722="巻足し","",IF(J1722="巻返し",VLOOKUP(F1722&amp;K1722&amp;M1722,製品マスタ!$M$5:$AE$4999,19,FALSE),IF(OR(J1722="リード付け",J1722="巻返しリード付け"),"",IF(J1722="スリット",VLOOKUP(F1722&amp;K1722&amp;R1722,製品マスタ!$N$5:$AE$4999,18,FALSE),""))))))</f>
        <v>1015</v>
      </c>
      <c r="Y1722" s="256">
        <f ca="1">IF(D1722="","",IF(T1722="","",VLOOKUP(D1722,契約台帳!$A$3:$Q$4986,17,FALSE)))</f>
        <v>2</v>
      </c>
      <c r="Z1722" s="256" t="str">
        <f ca="1">IF(D1722="","",IF(T1722="","",VLOOKUP(D1722,契約台帳!$A$3:$E$4986,5,FALSE)))</f>
        <v>リンテック㈱</v>
      </c>
      <c r="AA1722" s="54"/>
      <c r="AB1722" s="200"/>
      <c r="AC1722" s="31"/>
      <c r="AD1722" s="184"/>
      <c r="AE1722" s="51"/>
      <c r="AF1722" s="52"/>
      <c r="AG1722" s="41"/>
      <c r="AH1722" s="45"/>
      <c r="AI1722" s="28"/>
      <c r="AJ1722" s="28"/>
      <c r="AK1722" s="28"/>
      <c r="AL1722" s="28"/>
      <c r="AM1722" s="12"/>
      <c r="AN1722" s="12"/>
      <c r="AO1722" s="12"/>
      <c r="AP1722" s="12"/>
      <c r="AQ1722" s="12"/>
      <c r="AR1722" s="13"/>
      <c r="AS1722" s="14"/>
    </row>
    <row r="1723" spans="1:45" s="16" customFormat="1" ht="30.95" hidden="1" customHeight="1" x14ac:dyDescent="0.2">
      <c r="A1723" s="35"/>
      <c r="B1723" s="36"/>
      <c r="C1723" s="43"/>
      <c r="D1723" s="29"/>
      <c r="E1723" s="29"/>
      <c r="F1723" s="255"/>
      <c r="G1723" s="256"/>
      <c r="H1723" s="256"/>
      <c r="I1723" s="200"/>
      <c r="J1723" s="203"/>
      <c r="K1723" s="200"/>
      <c r="L1723" s="200"/>
      <c r="M1723" s="37"/>
      <c r="N1723" s="37"/>
      <c r="O1723" s="37"/>
      <c r="P1723" s="45"/>
      <c r="Q1723" s="54"/>
      <c r="R1723" s="257"/>
      <c r="S1723" s="258"/>
      <c r="T1723" s="258"/>
      <c r="U1723" s="38"/>
      <c r="V1723" s="259"/>
      <c r="W1723" s="256"/>
      <c r="X1723" s="256"/>
      <c r="Y1723" s="256"/>
      <c r="Z1723" s="256"/>
      <c r="AA1723" s="54"/>
      <c r="AB1723" s="200"/>
      <c r="AC1723" s="31"/>
      <c r="AD1723" s="184"/>
      <c r="AE1723" s="51"/>
      <c r="AF1723" s="52"/>
      <c r="AG1723" s="41"/>
      <c r="AH1723" s="45"/>
      <c r="AI1723" s="28"/>
      <c r="AJ1723" s="28"/>
      <c r="AK1723" s="28"/>
      <c r="AL1723" s="28"/>
      <c r="AM1723" s="12"/>
      <c r="AN1723" s="12"/>
      <c r="AO1723" s="12"/>
      <c r="AP1723" s="12"/>
      <c r="AQ1723" s="12"/>
      <c r="AR1723" s="13"/>
      <c r="AS1723" s="14"/>
    </row>
    <row r="1724" spans="1:45" s="16" customFormat="1" ht="30.95" hidden="1" customHeight="1" x14ac:dyDescent="0.2">
      <c r="A1724" s="35" t="s">
        <v>2318</v>
      </c>
      <c r="B1724" s="36" t="s">
        <v>2306</v>
      </c>
      <c r="C1724" s="43"/>
      <c r="D1724" s="29">
        <v>3744882</v>
      </c>
      <c r="E1724" s="29">
        <v>4141104</v>
      </c>
      <c r="F1724" s="255" t="str">
        <f>IF(D1724="","",VLOOKUP(D1724,契約台帳!$A$3:$K$4986,6,FALSE)&amp;VLOOKUP(D1724,契約台帳!$A$3:$K$4986,7,FALSE)&amp;VLOOKUP(D1724,契約台帳!$A$3:$K$4986,8,FALSE)&amp;VLOOKUP(D1724,契約台帳!$A$3:$K$4986,9,FALSE)&amp;VLOOKUP(D1724,契約台帳!$A$3:$K$4986,11,FALSE))</f>
        <v>3SNMCLBTETV0V</v>
      </c>
      <c r="G1724" s="256" t="str">
        <f>IF(D1724="","",VLOOKUP(F1724,製品マスタ!$G$5:$H$4999,2,FALSE))</f>
        <v>S</v>
      </c>
      <c r="H1724" s="256" t="str">
        <f>IF(D1724="","",VLOOKUP(F1724,製品マスタ!$G$5:$K$4999,5,FALSE))</f>
        <v>TETV0V</v>
      </c>
      <c r="I1724" s="200" t="str">
        <f>IF(D1724="","",VLOOKUP(F1724,製品マスタ!$G$5:$L$4999,6,FALSE))</f>
        <v>メタルミー　ＴＥＳ艶ＶＯＩＤＶ</v>
      </c>
      <c r="J1724" s="203" t="s">
        <v>447</v>
      </c>
      <c r="K1724" s="200">
        <f>IF(D1724="","",VLOOKUP(D1724,契約台帳!$A$3:$L$4986,12,FALSE))</f>
        <v>50</v>
      </c>
      <c r="L1724" s="200" t="str">
        <f>IF(D1724="","",INDEX(製品マスタ!$Q$5:$Q$4999,MATCH('S4'!F1724&amp;'S4'!K1724,製品マスタ!$AO$5:$AO$4999,0)))</f>
        <v>S28SEPA</v>
      </c>
      <c r="M1724" s="37">
        <v>1005</v>
      </c>
      <c r="N1724" s="37">
        <v>8200</v>
      </c>
      <c r="O1724" s="153">
        <v>1</v>
      </c>
      <c r="P1724" s="45">
        <v>1</v>
      </c>
      <c r="Q1724" s="54"/>
      <c r="R1724" s="257">
        <f ca="1">IF(D1724="","",IF(OFFSET(D1724,-1,0)&lt;&gt;"","",IF(OR(J1724="リード付け",J1724="巻足し",J1724="巻返しリード付け"),M1724,VLOOKUP(D1724,契約台帳!$A$3:$N$4986,14,FALSE))))</f>
        <v>1005</v>
      </c>
      <c r="S1724" s="258">
        <f ca="1">IF(D1724="","",IF(OFFSET(D1724,-1,0)&lt;&gt;"","",IF(OR(J1724="リード付け",J1724="巻足し",J1724="巻返しリード付け"),M1724,VLOOKUP(D1724,契約台帳!$A$3:$O$4986,15,FALSE))))</f>
        <v>1000</v>
      </c>
      <c r="T1724" s="258">
        <f ca="1">IF(D1724="","",IF(J1724="リード付け",N1724,IF(J1724="巻返しリード付け",N1724,IF(J1724="巻足し",N1724*P1724+OFFSET(N1724,1,0)*OFFSET(P1724,1,0),VLOOKUP(D1724,契約台帳!$A$3:$P$4986,16,FALSE)))))</f>
        <v>4100</v>
      </c>
      <c r="U1724" s="38">
        <v>2</v>
      </c>
      <c r="V1724" s="259">
        <f ca="1">IF(D1724="","",IF(OFFSET(D1724,-2,0)=D1724,"",VLOOKUP(D1724,契約台帳!$A$3:$R$4986,18,FALSE)))</f>
        <v>2</v>
      </c>
      <c r="W1724" s="256" t="str">
        <f ca="1">IF(D1724="","",IF(T1724="","",IF(OR(J1724="巻足し",J1724="巻返しリード付け"),"",IF(J1724="巻返し",VLOOKUP(F1724&amp;K1724&amp;M1724,製品マスタ!$M$5:$AD$4999,18,FALSE),IF(OR(J1724="リード付け",J1724="巻返しリード付け"),"原反コア",IF(J1724="スリット",VLOOKUP(F1724&amp;K1724&amp;R1724,製品マスタ!$N$5:$AD$4999,17,FALSE),""))))))</f>
        <v>6ｲﾝﾁSｺｱ</v>
      </c>
      <c r="X1724" s="256">
        <f ca="1">IF(D1724="","",IF(T1724="","",IF(J1724="巻足し","",IF(J1724="巻返し",VLOOKUP(F1724&amp;K1724&amp;M1724,製品マスタ!$M$5:$AE$4999,19,FALSE),IF(OR(J1724="リード付け",J1724="巻返しリード付け"),"",IF(J1724="スリット",VLOOKUP(F1724&amp;K1724&amp;R1724,製品マスタ!$N$5:$AE$4999,18,FALSE),""))))))</f>
        <v>1015</v>
      </c>
      <c r="Y1724" s="256">
        <f ca="1">IF(D1724="","",IF(T1724="","",VLOOKUP(D1724,契約台帳!$A$3:$Q$4986,17,FALSE)))</f>
        <v>2</v>
      </c>
      <c r="Z1724" s="256" t="str">
        <f ca="1">IF(D1724="","",IF(T1724="","",VLOOKUP(D1724,契約台帳!$A$3:$E$4986,5,FALSE)))</f>
        <v>リンテック㈱</v>
      </c>
      <c r="AA1724" s="54"/>
      <c r="AB1724" s="200"/>
      <c r="AC1724" s="31"/>
      <c r="AD1724" s="184"/>
      <c r="AE1724" s="51"/>
      <c r="AF1724" s="52"/>
      <c r="AG1724" s="41"/>
      <c r="AH1724" s="45"/>
      <c r="AI1724" s="28"/>
      <c r="AJ1724" s="28"/>
      <c r="AK1724" s="28"/>
      <c r="AL1724" s="28"/>
      <c r="AM1724" s="12"/>
      <c r="AN1724" s="12"/>
      <c r="AO1724" s="12"/>
      <c r="AP1724" s="12"/>
      <c r="AQ1724" s="12"/>
      <c r="AR1724" s="13"/>
      <c r="AS1724" s="14"/>
    </row>
    <row r="1725" spans="1:45" s="16" customFormat="1" ht="30.95" hidden="1" customHeight="1" x14ac:dyDescent="0.2">
      <c r="A1725" s="35"/>
      <c r="B1725" s="36"/>
      <c r="C1725" s="43"/>
      <c r="D1725" s="29"/>
      <c r="E1725" s="29"/>
      <c r="F1725" s="255"/>
      <c r="G1725" s="256"/>
      <c r="H1725" s="256"/>
      <c r="I1725" s="200"/>
      <c r="J1725" s="203"/>
      <c r="K1725" s="200"/>
      <c r="L1725" s="200"/>
      <c r="M1725" s="37"/>
      <c r="N1725" s="37"/>
      <c r="O1725" s="37"/>
      <c r="P1725" s="45"/>
      <c r="Q1725" s="54"/>
      <c r="R1725" s="257"/>
      <c r="S1725" s="258"/>
      <c r="T1725" s="258"/>
      <c r="U1725" s="38"/>
      <c r="V1725" s="259"/>
      <c r="W1725" s="256"/>
      <c r="X1725" s="256"/>
      <c r="Y1725" s="256"/>
      <c r="Z1725" s="256"/>
      <c r="AA1725" s="54"/>
      <c r="AB1725" s="200"/>
      <c r="AC1725" s="31"/>
      <c r="AD1725" s="184"/>
      <c r="AE1725" s="51"/>
      <c r="AF1725" s="52"/>
      <c r="AG1725" s="41"/>
      <c r="AH1725" s="45"/>
      <c r="AI1725" s="28"/>
      <c r="AJ1725" s="28"/>
      <c r="AK1725" s="28"/>
      <c r="AL1725" s="28"/>
      <c r="AM1725" s="12"/>
      <c r="AN1725" s="12"/>
      <c r="AO1725" s="12"/>
      <c r="AP1725" s="12"/>
      <c r="AQ1725" s="12"/>
      <c r="AR1725" s="13"/>
      <c r="AS1725" s="14"/>
    </row>
    <row r="1726" spans="1:45" s="16" customFormat="1" ht="30.95" hidden="1" customHeight="1" x14ac:dyDescent="0.2">
      <c r="A1726" s="35"/>
      <c r="B1726" s="36"/>
      <c r="C1726" s="43"/>
      <c r="D1726" s="29">
        <v>3741608</v>
      </c>
      <c r="E1726" s="29">
        <v>4141089</v>
      </c>
      <c r="F1726" s="255" t="str">
        <f>IF(D1726="","",VLOOKUP(D1726,契約台帳!$A$3:$K$4986,6,FALSE)&amp;VLOOKUP(D1726,契約台帳!$A$3:$K$4986,7,FALSE)&amp;VLOOKUP(D1726,契約台帳!$A$3:$K$4986,8,FALSE)&amp;VLOOKUP(D1726,契約台帳!$A$3:$K$4986,9,FALSE)&amp;VLOOKUP(D1726,契約台帳!$A$3:$K$4986,11,FALSE))</f>
        <v>3SNMCLBNGKVB</v>
      </c>
      <c r="G1726" s="256" t="str">
        <f>IF(D1726="","",VLOOKUP(F1726,製品マスタ!$G$5:$H$4999,2,FALSE))</f>
        <v>S</v>
      </c>
      <c r="H1726" s="256" t="str">
        <f>IF(D1726="","",VLOOKUP(F1726,製品マスタ!$G$5:$K$4999,5,FALSE))</f>
        <v>NGKVB</v>
      </c>
      <c r="I1726" s="200" t="str">
        <f>IF(D1726="","",VLOOKUP(F1726,製品マスタ!$G$5:$L$4999,6,FALSE))</f>
        <v>メタルミー　ネーマー銀消　ＶＢ</v>
      </c>
      <c r="J1726" s="203" t="s">
        <v>447</v>
      </c>
      <c r="K1726" s="200">
        <f>IF(D1726="","",VLOOKUP(D1726,契約台帳!$A$3:$L$4986,12,FALSE))</f>
        <v>50</v>
      </c>
      <c r="L1726" s="200" t="str">
        <f>IF(D1726="","",INDEX(製品マスタ!$Q$5:$Q$4999,MATCH('S4'!F1726&amp;'S4'!K1726,製品マスタ!$AO$5:$AO$4999,0)))</f>
        <v>MAT</v>
      </c>
      <c r="M1726" s="37">
        <v>1005</v>
      </c>
      <c r="N1726" s="37">
        <v>12300</v>
      </c>
      <c r="O1726" s="153">
        <v>1</v>
      </c>
      <c r="P1726" s="45">
        <v>1</v>
      </c>
      <c r="Q1726" s="54"/>
      <c r="R1726" s="257">
        <f ca="1">IF(D1726="","",IF(OFFSET(D1726,-1,0)&lt;&gt;"","",IF(OR(J1726="リード付け",J1726="巻足し",J1726="巻返しリード付け"),M1726,VLOOKUP(D1726,契約台帳!$A$3:$N$4986,14,FALSE))))</f>
        <v>1005</v>
      </c>
      <c r="S1726" s="258">
        <f ca="1">IF(D1726="","",IF(OFFSET(D1726,-1,0)&lt;&gt;"","",IF(OR(J1726="リード付け",J1726="巻足し",J1726="巻返しリード付け"),M1726,VLOOKUP(D1726,契約台帳!$A$3:$O$4986,15,FALSE))))</f>
        <v>1000</v>
      </c>
      <c r="T1726" s="258">
        <f ca="1">IF(D1726="","",IF(J1726="リード付け",N1726,IF(J1726="巻返しリード付け",N1726,IF(J1726="巻足し",N1726*P1726+OFFSET(N1726,1,0)*OFFSET(P1726,1,0),VLOOKUP(D1726,契約台帳!$A$3:$P$4986,16,FALSE)))))</f>
        <v>4100</v>
      </c>
      <c r="U1726" s="38">
        <v>3</v>
      </c>
      <c r="V1726" s="259">
        <f ca="1">IF(D1726="","",IF(OFFSET(D1726,-2,0)=D1726,"",VLOOKUP(D1726,契約台帳!$A$3:$R$4986,18,FALSE)))</f>
        <v>3</v>
      </c>
      <c r="W1726" s="256" t="str">
        <f ca="1">IF(D1726="","",IF(T1726="","",IF(OR(J1726="巻足し",J1726="巻返しリード付け"),"",IF(J1726="巻返し",VLOOKUP(F1726&amp;K1726&amp;M1726,製品マスタ!$M$5:$AD$4999,18,FALSE),IF(OR(J1726="リード付け",J1726="巻返しリード付け"),"原反コア",IF(J1726="スリット",VLOOKUP(F1726&amp;K1726&amp;R1726,製品マスタ!$N$5:$AD$4999,17,FALSE),""))))))</f>
        <v>6ｲﾝﾁMｺｱ</v>
      </c>
      <c r="X1726" s="256">
        <f ca="1">IF(D1726="","",IF(T1726="","",IF(J1726="巻足し","",IF(J1726="巻返し",VLOOKUP(F1726&amp;K1726&amp;M1726,製品マスタ!$M$5:$AE$4999,19,FALSE),IF(OR(J1726="リード付け",J1726="巻返しリード付け"),"",IF(J1726="スリット",VLOOKUP(F1726&amp;K1726&amp;R1726,製品マスタ!$N$5:$AE$4999,18,FALSE),""))))))</f>
        <v>1020</v>
      </c>
      <c r="Y1726" s="256">
        <f ca="1">IF(D1726="","",IF(T1726="","",VLOOKUP(D1726,契約台帳!$A$3:$Q$4986,17,FALSE)))</f>
        <v>2</v>
      </c>
      <c r="Z1726" s="256" t="str">
        <f ca="1">IF(D1726="","",IF(T1726="","",VLOOKUP(D1726,契約台帳!$A$3:$E$4986,5,FALSE)))</f>
        <v>リンテック㈱</v>
      </c>
      <c r="AA1726" s="54"/>
      <c r="AB1726" s="200"/>
      <c r="AC1726" s="31"/>
      <c r="AD1726" s="184"/>
      <c r="AE1726" s="51"/>
      <c r="AF1726" s="52"/>
      <c r="AG1726" s="41"/>
      <c r="AH1726" s="45"/>
      <c r="AI1726" s="28"/>
      <c r="AJ1726" s="28"/>
      <c r="AK1726" s="28"/>
      <c r="AL1726" s="28"/>
      <c r="AM1726" s="12"/>
      <c r="AN1726" s="12"/>
      <c r="AO1726" s="12"/>
      <c r="AP1726" s="12"/>
      <c r="AQ1726" s="12"/>
      <c r="AR1726" s="13"/>
      <c r="AS1726" s="14"/>
    </row>
    <row r="1727" spans="1:45" s="16" customFormat="1" ht="30.95" hidden="1" customHeight="1" x14ac:dyDescent="0.2">
      <c r="A1727" s="35"/>
      <c r="B1727" s="36"/>
      <c r="C1727" s="43"/>
      <c r="D1727" s="29"/>
      <c r="E1727" s="29"/>
      <c r="F1727" s="255"/>
      <c r="G1727" s="256"/>
      <c r="H1727" s="256"/>
      <c r="I1727" s="200"/>
      <c r="J1727" s="203"/>
      <c r="K1727" s="200"/>
      <c r="L1727" s="200"/>
      <c r="M1727" s="37"/>
      <c r="N1727" s="37"/>
      <c r="O1727" s="153"/>
      <c r="P1727" s="45"/>
      <c r="Q1727" s="54"/>
      <c r="R1727" s="260"/>
      <c r="S1727" s="258"/>
      <c r="T1727" s="258"/>
      <c r="U1727" s="38"/>
      <c r="V1727" s="261"/>
      <c r="W1727" s="256"/>
      <c r="X1727" s="256"/>
      <c r="Y1727" s="256"/>
      <c r="Z1727" s="256"/>
      <c r="AA1727" s="54"/>
      <c r="AB1727" s="200"/>
      <c r="AC1727" s="31"/>
      <c r="AD1727" s="184"/>
      <c r="AE1727" s="51"/>
      <c r="AF1727" s="52"/>
      <c r="AG1727" s="41"/>
      <c r="AH1727" s="45"/>
      <c r="AI1727" s="28"/>
      <c r="AJ1727" s="28"/>
      <c r="AK1727" s="28"/>
      <c r="AL1727" s="28"/>
      <c r="AM1727" s="12"/>
      <c r="AN1727" s="12"/>
      <c r="AO1727" s="12"/>
      <c r="AP1727" s="12"/>
      <c r="AQ1727" s="12"/>
      <c r="AR1727" s="13"/>
      <c r="AS1727" s="14"/>
    </row>
    <row r="1728" spans="1:45" s="16" customFormat="1" ht="30.95" hidden="1" customHeight="1" x14ac:dyDescent="0.2">
      <c r="A1728" s="35"/>
      <c r="B1728" s="36"/>
      <c r="C1728" s="43"/>
      <c r="D1728" s="29">
        <v>3741616</v>
      </c>
      <c r="E1728" s="29">
        <v>4141083</v>
      </c>
      <c r="F1728" s="255" t="str">
        <f>IF(D1728="","",VLOOKUP(D1728,契約台帳!$A$3:$K$4986,6,FALSE)&amp;VLOOKUP(D1728,契約台帳!$A$3:$K$4986,7,FALSE)&amp;VLOOKUP(D1728,契約台帳!$A$3:$K$4986,8,FALSE)&amp;VLOOKUP(D1728,契約台帳!$A$3:$K$4986,9,FALSE)&amp;VLOOKUP(D1728,契約台帳!$A$3:$K$4986,11,FALSE))</f>
        <v>33SSNMCLBTEKV0V</v>
      </c>
      <c r="G1728" s="256" t="str">
        <f>IF(D1728="","",VLOOKUP(F1728,製品マスタ!$G$5:$H$4999,2,FALSE))</f>
        <v>S</v>
      </c>
      <c r="H1728" s="256" t="str">
        <f>IF(D1728="","",VLOOKUP(F1728,製品マスタ!$G$5:$K$4999,5,FALSE))</f>
        <v>TEKV0V</v>
      </c>
      <c r="I1728" s="200" t="str">
        <f>IF(D1728="","",VLOOKUP(F1728,製品マスタ!$G$5:$L$4999,6,FALSE))</f>
        <v>メタルミー　ＴＥ－Ｓ消　ＶＯＩＤ　Ｖ</v>
      </c>
      <c r="J1728" s="203" t="s">
        <v>447</v>
      </c>
      <c r="K1728" s="200">
        <f>IF(D1728="","",VLOOKUP(D1728,契約台帳!$A$3:$L$4986,12,FALSE))</f>
        <v>50</v>
      </c>
      <c r="L1728" s="200" t="str">
        <f>IF(D1728="","",INDEX(製品マスタ!$Q$5:$Q$4999,MATCH('S4'!F1728&amp;'S4'!K1728,製品マスタ!$AO$5:$AO$4999,0)))</f>
        <v>X44SEPA</v>
      </c>
      <c r="M1728" s="37">
        <v>1005</v>
      </c>
      <c r="N1728" s="37">
        <v>12000</v>
      </c>
      <c r="O1728" s="153">
        <v>2</v>
      </c>
      <c r="P1728" s="45">
        <v>3</v>
      </c>
      <c r="Q1728" s="54"/>
      <c r="R1728" s="257">
        <f ca="1">IF(D1728="","",IF(OFFSET(D1728,-1,0)&lt;&gt;"","",IF(OR(J1728="リード付け",J1728="巻足し",J1728="巻返しリード付け"),M1728,VLOOKUP(D1728,契約台帳!$A$3:$N$4986,14,FALSE))))</f>
        <v>1005</v>
      </c>
      <c r="S1728" s="258">
        <f ca="1">IF(D1728="","",IF(OFFSET(D1728,-1,0)&lt;&gt;"","",IF(OR(J1728="リード付け",J1728="巻足し",J1728="巻返しリード付け"),M1728,VLOOKUP(D1728,契約台帳!$A$3:$O$4986,15,FALSE))))</f>
        <v>1000</v>
      </c>
      <c r="T1728" s="258">
        <f ca="1">IF(D1728="","",IF(J1728="リード付け",N1728,IF(J1728="巻返しリード付け",N1728,IF(J1728="巻足し",N1728*P1728+OFFSET(N1728,1,0)*OFFSET(P1728,1,0),VLOOKUP(D1728,契約台帳!$A$3:$P$4986,16,FALSE)))))</f>
        <v>4000</v>
      </c>
      <c r="U1728" s="38">
        <v>6</v>
      </c>
      <c r="V1728" s="259">
        <v>8</v>
      </c>
      <c r="W1728" s="256" t="str">
        <f ca="1">IF(D1728="","",IF(T1728="","",IF(OR(J1728="巻足し",J1728="巻返しリード付け"),"",IF(J1728="巻返し",VLOOKUP(F1728&amp;K1728&amp;M1728,製品マスタ!$M$5:$AD$4999,18,FALSE),IF(OR(J1728="リード付け",J1728="巻返しリード付け"),"原反コア",IF(J1728="スリット",VLOOKUP(F1728&amp;K1728&amp;R1728,製品マスタ!$N$5:$AD$4999,17,FALSE),""))))))</f>
        <v>6ｲﾝﾁSｺｱ</v>
      </c>
      <c r="X1728" s="256">
        <f ca="1">IF(D1728="","",IF(T1728="","",IF(J1728="巻足し","",IF(J1728="巻返し",VLOOKUP(F1728&amp;K1728&amp;M1728,製品マスタ!$M$5:$AE$4999,19,FALSE),IF(OR(J1728="リード付け",J1728="巻返しリード付け"),"",IF(J1728="スリット",VLOOKUP(F1728&amp;K1728&amp;R1728,製品マスタ!$N$5:$AE$4999,18,FALSE),""))))))</f>
        <v>1015</v>
      </c>
      <c r="Y1728" s="256">
        <f ca="1">IF(D1728="","",IF(T1728="","",VLOOKUP(D1728,契約台帳!$A$3:$Q$4986,17,FALSE)))</f>
        <v>2</v>
      </c>
      <c r="Z1728" s="256" t="str">
        <f ca="1">IF(D1728="","",IF(T1728="","",VLOOKUP(D1728,契約台帳!$A$3:$E$4986,5,FALSE)))</f>
        <v>リンテック㈱</v>
      </c>
      <c r="AA1728" s="54"/>
      <c r="AB1728" s="200"/>
      <c r="AC1728" s="31"/>
      <c r="AD1728" s="184"/>
      <c r="AE1728" s="51"/>
      <c r="AF1728" s="52"/>
      <c r="AG1728" s="41"/>
      <c r="AH1728" s="45"/>
      <c r="AI1728" s="28"/>
      <c r="AJ1728" s="28"/>
      <c r="AK1728" s="28"/>
      <c r="AL1728" s="28"/>
      <c r="AM1728" s="12"/>
      <c r="AN1728" s="12"/>
      <c r="AO1728" s="12"/>
      <c r="AP1728" s="12"/>
      <c r="AQ1728" s="12"/>
      <c r="AR1728" s="13"/>
      <c r="AS1728" s="14"/>
    </row>
    <row r="1729" spans="1:45" s="16" customFormat="1" ht="30.95" hidden="1" customHeight="1" x14ac:dyDescent="0.2">
      <c r="A1729" s="35"/>
      <c r="B1729" s="36"/>
      <c r="C1729" s="43"/>
      <c r="D1729" s="29"/>
      <c r="E1729" s="29"/>
      <c r="F1729" s="255"/>
      <c r="G1729" s="256"/>
      <c r="H1729" s="256"/>
      <c r="I1729" s="200"/>
      <c r="J1729" s="203"/>
      <c r="K1729" s="200"/>
      <c r="L1729" s="200"/>
      <c r="M1729" s="37"/>
      <c r="N1729" s="37"/>
      <c r="O1729" s="153"/>
      <c r="P1729" s="45"/>
      <c r="Q1729" s="54"/>
      <c r="R1729" s="257"/>
      <c r="S1729" s="258"/>
      <c r="T1729" s="258"/>
      <c r="U1729" s="38"/>
      <c r="V1729" s="259"/>
      <c r="W1729" s="256"/>
      <c r="X1729" s="256"/>
      <c r="Y1729" s="256"/>
      <c r="Z1729" s="256"/>
      <c r="AA1729" s="54"/>
      <c r="AB1729" s="200"/>
      <c r="AC1729" s="31"/>
      <c r="AD1729" s="184"/>
      <c r="AE1729" s="51"/>
      <c r="AF1729" s="52"/>
      <c r="AG1729" s="41"/>
      <c r="AH1729" s="45"/>
      <c r="AI1729" s="28"/>
      <c r="AJ1729" s="28"/>
      <c r="AK1729" s="28"/>
      <c r="AL1729" s="28"/>
      <c r="AM1729" s="12"/>
      <c r="AN1729" s="12"/>
      <c r="AO1729" s="12"/>
      <c r="AP1729" s="12"/>
      <c r="AQ1729" s="12"/>
      <c r="AR1729" s="13"/>
      <c r="AS1729" s="14"/>
    </row>
    <row r="1730" spans="1:45" s="16" customFormat="1" ht="30.95" hidden="1" customHeight="1" x14ac:dyDescent="0.2">
      <c r="A1730" s="35" t="s">
        <v>995</v>
      </c>
      <c r="B1730" s="36" t="s">
        <v>444</v>
      </c>
      <c r="C1730" s="43"/>
      <c r="D1730" s="29">
        <v>3741616</v>
      </c>
      <c r="E1730" s="29">
        <v>4141083</v>
      </c>
      <c r="F1730" s="255" t="str">
        <f>IF(D1730="","",VLOOKUP(D1730,契約台帳!$A$3:$K$4986,6,FALSE)&amp;VLOOKUP(D1730,契約台帳!$A$3:$K$4986,7,FALSE)&amp;VLOOKUP(D1730,契約台帳!$A$3:$K$4986,8,FALSE)&amp;VLOOKUP(D1730,契約台帳!$A$3:$K$4986,9,FALSE)&amp;VLOOKUP(D1730,契約台帳!$A$3:$K$4986,11,FALSE))</f>
        <v>33SSNMCLBTEKV0V</v>
      </c>
      <c r="G1730" s="256" t="str">
        <f>IF(D1730="","",VLOOKUP(F1730,製品マスタ!$G$5:$H$4999,2,FALSE))</f>
        <v>S</v>
      </c>
      <c r="H1730" s="256" t="str">
        <f>IF(D1730="","",VLOOKUP(F1730,製品マスタ!$G$5:$K$4999,5,FALSE))</f>
        <v>TEKV0V</v>
      </c>
      <c r="I1730" s="200" t="str">
        <f>IF(D1730="","",VLOOKUP(F1730,製品マスタ!$G$5:$L$4999,6,FALSE))</f>
        <v>メタルミー　ＴＥ－Ｓ消　ＶＯＩＤ　Ｖ</v>
      </c>
      <c r="J1730" s="203" t="s">
        <v>447</v>
      </c>
      <c r="K1730" s="200">
        <f>IF(D1730="","",VLOOKUP(D1730,契約台帳!$A$3:$L$4986,12,FALSE))</f>
        <v>50</v>
      </c>
      <c r="L1730" s="200" t="str">
        <f>IF(D1730="","",INDEX(製品マスタ!$Q$5:$Q$4999,MATCH('S4'!F1730&amp;'S4'!K1730,製品マスタ!$AO$5:$AO$4999,0)))</f>
        <v>X44SEPA</v>
      </c>
      <c r="M1730" s="37">
        <v>1005</v>
      </c>
      <c r="N1730" s="37">
        <v>12000</v>
      </c>
      <c r="O1730" s="153">
        <v>1</v>
      </c>
      <c r="P1730" s="45">
        <v>3</v>
      </c>
      <c r="Q1730" s="54"/>
      <c r="R1730" s="257">
        <f ca="1">IF(D1730="","",IF(OFFSET(D1730,-1,0)&lt;&gt;"","",IF(OR(J1730="リード付け",J1730="巻足し",J1730="巻返しリード付け"),M1730,VLOOKUP(D1730,契約台帳!$A$3:$N$4986,14,FALSE))))</f>
        <v>1005</v>
      </c>
      <c r="S1730" s="258">
        <f ca="1">IF(D1730="","",IF(OFFSET(D1730,-1,0)&lt;&gt;"","",IF(OR(J1730="リード付け",J1730="巻足し",J1730="巻返しリード付け"),M1730,VLOOKUP(D1730,契約台帳!$A$3:$O$4986,15,FALSE))))</f>
        <v>1000</v>
      </c>
      <c r="T1730" s="258">
        <f ca="1">IF(D1730="","",IF(J1730="リード付け",N1730,IF(J1730="巻返しリード付け",N1730,IF(J1730="巻足し",N1730*P1730+OFFSET(N1730,1,0)*OFFSET(P1730,1,0),VLOOKUP(D1730,契約台帳!$A$3:$P$4986,16,FALSE)))))</f>
        <v>4000</v>
      </c>
      <c r="U1730" s="38">
        <v>2</v>
      </c>
      <c r="V1730" s="259">
        <v>8</v>
      </c>
      <c r="W1730" s="256" t="str">
        <f ca="1">IF(D1730="","",IF(T1730="","",IF(OR(J1730="巻足し",J1730="巻返しリード付け"),"",IF(J1730="巻返し",VLOOKUP(F1730&amp;K1730&amp;M1730,製品マスタ!$M$5:$AD$4999,18,FALSE),IF(OR(J1730="リード付け",J1730="巻返しリード付け"),"原反コア",IF(J1730="スリット",VLOOKUP(F1730&amp;K1730&amp;R1730,製品マスタ!$N$5:$AD$4999,17,FALSE),""))))))</f>
        <v>6ｲﾝﾁSｺｱ</v>
      </c>
      <c r="X1730" s="256">
        <f ca="1">IF(D1730="","",IF(T1730="","",IF(J1730="巻足し","",IF(J1730="巻返し",VLOOKUP(F1730&amp;K1730&amp;M1730,製品マスタ!$M$5:$AE$4999,19,FALSE),IF(OR(J1730="リード付け",J1730="巻返しリード付け"),"",IF(J1730="スリット",VLOOKUP(F1730&amp;K1730&amp;R1730,製品マスタ!$N$5:$AE$4999,18,FALSE),""))))))</f>
        <v>1015</v>
      </c>
      <c r="Y1730" s="256">
        <f ca="1">IF(D1730="","",IF(T1730="","",VLOOKUP(D1730,契約台帳!$A$3:$Q$4986,17,FALSE)))</f>
        <v>2</v>
      </c>
      <c r="Z1730" s="256" t="str">
        <f ca="1">IF(D1730="","",IF(T1730="","",VLOOKUP(D1730,契約台帳!$A$3:$E$4986,5,FALSE)))</f>
        <v>リンテック㈱</v>
      </c>
      <c r="AA1730" s="54"/>
      <c r="AB1730" s="200"/>
      <c r="AC1730" s="31"/>
      <c r="AD1730" s="184"/>
      <c r="AE1730" s="51"/>
      <c r="AF1730" s="52"/>
      <c r="AG1730" s="41"/>
      <c r="AH1730" s="45"/>
      <c r="AI1730" s="28"/>
      <c r="AJ1730" s="28"/>
      <c r="AK1730" s="28"/>
      <c r="AL1730" s="28"/>
      <c r="AM1730" s="12"/>
      <c r="AN1730" s="12"/>
      <c r="AO1730" s="12"/>
      <c r="AP1730" s="12"/>
      <c r="AQ1730" s="12"/>
      <c r="AR1730" s="13"/>
      <c r="AS1730" s="14"/>
    </row>
    <row r="1731" spans="1:45" s="16" customFormat="1" ht="30.95" hidden="1" customHeight="1" x14ac:dyDescent="0.2">
      <c r="A1731" s="35"/>
      <c r="B1731" s="36"/>
      <c r="C1731" s="43"/>
      <c r="D1731" s="29">
        <v>3741617</v>
      </c>
      <c r="E1731" s="29"/>
      <c r="F1731" s="255" t="str">
        <f>IF(D1731="","",VLOOKUP(D1731,契約台帳!$A$3:$K$4986,6,FALSE)&amp;VLOOKUP(D1731,契約台帳!$A$3:$K$4986,7,FALSE)&amp;VLOOKUP(D1731,契約台帳!$A$3:$K$4986,8,FALSE)&amp;VLOOKUP(D1731,契約台帳!$A$3:$K$4986,9,FALSE)&amp;VLOOKUP(D1731,契約台帳!$A$3:$K$4986,11,FALSE))</f>
        <v>33SSYMCLBTEKV0V</v>
      </c>
      <c r="G1731" s="256" t="str">
        <f>IF(D1731="","",VLOOKUP(F1731,製品マスタ!$G$5:$H$4999,2,FALSE))</f>
        <v>S</v>
      </c>
      <c r="H1731" s="256" t="str">
        <f>IF(D1731="","",VLOOKUP(F1731,製品マスタ!$G$5:$K$4999,5,FALSE))</f>
        <v>TEKV0V</v>
      </c>
      <c r="I1731" s="200" t="str">
        <f>IF(D1731="","",VLOOKUP(F1731,製品マスタ!$G$5:$L$4999,6,FALSE))</f>
        <v>メタルミー　ＴＥ－Ｓ消　ＶＯＩＤ　Ｖ</v>
      </c>
      <c r="J1731" s="203" t="s">
        <v>447</v>
      </c>
      <c r="K1731" s="200">
        <f>IF(D1731="","",VLOOKUP(D1731,契約台帳!$A$3:$L$4986,12,FALSE))</f>
        <v>50</v>
      </c>
      <c r="L1731" s="200" t="str">
        <f>IF(D1731="","",INDEX(製品マスタ!$Q$5:$Q$4999,MATCH('S4'!F1731&amp;'S4'!K1731,製品マスタ!$AO$5:$AO$4999,0)))</f>
        <v>X44SEPA</v>
      </c>
      <c r="M1731" s="37">
        <v>1005</v>
      </c>
      <c r="N1731" s="37"/>
      <c r="O1731" s="153"/>
      <c r="P1731" s="45"/>
      <c r="Q1731" s="54"/>
      <c r="R1731" s="257">
        <v>1005</v>
      </c>
      <c r="S1731" s="258">
        <v>1000</v>
      </c>
      <c r="T1731" s="258">
        <f ca="1">IF(D1731="","",IF(J1731="リード付け",N1731,IF(J1731="巻返しリード付け",N1731,IF(J1731="巻足し",N1731*P1731+OFFSET(N1731,1,0)*OFFSET(P1731,1,0),VLOOKUP(D1731,契約台帳!$A$3:$P$4986,16,FALSE)))))</f>
        <v>4000</v>
      </c>
      <c r="U1731" s="38">
        <v>1</v>
      </c>
      <c r="V1731" s="259">
        <f ca="1">IF(D1731="","",IF(OFFSET(D1731,-2,0)=D1731,"",VLOOKUP(D1731,契約台帳!$A$3:$R$4986,18,FALSE)))</f>
        <v>1</v>
      </c>
      <c r="W1731" s="256" t="str">
        <f ca="1">IF(D1731="","",IF(T1731="","",IF(OR(J1731="巻足し",J1731="巻返しリード付け"),"",IF(J1731="巻返し",VLOOKUP(F1731&amp;K1731&amp;M1731,製品マスタ!$M$5:$AD$4999,18,FALSE),IF(OR(J1731="リード付け",J1731="巻返しリード付け"),"原反コア",IF(J1731="スリット",VLOOKUP(F1731&amp;K1731&amp;R1731,製品マスタ!$N$5:$AD$4999,17,FALSE),""))))))</f>
        <v>6ｲﾝﾁSｺｱ</v>
      </c>
      <c r="X1731" s="256">
        <f ca="1">IF(D1731="","",IF(T1731="","",IF(J1731="巻足し","",IF(J1731="巻返し",VLOOKUP(F1731&amp;K1731&amp;M1731,製品マスタ!$M$5:$AE$4999,19,FALSE),IF(OR(J1731="リード付け",J1731="巻返しリード付け"),"",IF(J1731="スリット",VLOOKUP(F1731&amp;K1731&amp;R1731,製品マスタ!$N$5:$AE$4999,18,FALSE),""))))))</f>
        <v>1015</v>
      </c>
      <c r="Y1731" s="256">
        <f ca="1">IF(D1731="","",IF(T1731="","",VLOOKUP(D1731,契約台帳!$A$3:$Q$4986,17,FALSE)))</f>
        <v>2</v>
      </c>
      <c r="Z1731" s="256" t="str">
        <f ca="1">IF(D1731="","",IF(T1731="","",VLOOKUP(D1731,契約台帳!$A$3:$E$4986,5,FALSE)))</f>
        <v>リンテック㈱</v>
      </c>
      <c r="AA1731" s="54"/>
      <c r="AB1731" s="279" t="s">
        <v>2335</v>
      </c>
      <c r="AC1731" s="31"/>
      <c r="AD1731" s="184"/>
      <c r="AE1731" s="51"/>
      <c r="AF1731" s="52"/>
      <c r="AG1731" s="41"/>
      <c r="AH1731" s="45"/>
      <c r="AI1731" s="28"/>
      <c r="AJ1731" s="28"/>
      <c r="AK1731" s="28"/>
      <c r="AL1731" s="28"/>
      <c r="AM1731" s="12"/>
      <c r="AN1731" s="12"/>
      <c r="AO1731" s="12"/>
      <c r="AP1731" s="12"/>
      <c r="AQ1731" s="12"/>
      <c r="AR1731" s="13"/>
      <c r="AS1731" s="14"/>
    </row>
    <row r="1732" spans="1:45" s="16" customFormat="1" ht="30.95" hidden="1" customHeight="1" x14ac:dyDescent="0.2">
      <c r="A1732" s="35"/>
      <c r="B1732" s="36"/>
      <c r="C1732" s="43"/>
      <c r="D1732" s="29"/>
      <c r="E1732" s="29"/>
      <c r="F1732" s="255" t="str">
        <f>IF(D1732="","",VLOOKUP(D1732,契約台帳!$A$3:$K$4986,6,FALSE)&amp;VLOOKUP(D1732,契約台帳!$A$3:$K$4986,7,FALSE)&amp;VLOOKUP(D1732,契約台帳!$A$3:$K$4986,8,FALSE)&amp;VLOOKUP(D1732,契約台帳!$A$3:$K$4986,9,FALSE)&amp;VLOOKUP(D1732,契約台帳!$A$3:$K$4986,11,FALSE))</f>
        <v/>
      </c>
      <c r="G1732" s="256" t="str">
        <f>IF(D1732="","",VLOOKUP(F1732,製品マスタ!$G$5:$H$4999,2,FALSE))</f>
        <v/>
      </c>
      <c r="H1732" s="256" t="str">
        <f>IF(D1732="","",VLOOKUP(F1732,製品マスタ!$G$5:$K$4999,5,FALSE))</f>
        <v/>
      </c>
      <c r="I1732" s="200" t="str">
        <f>IF(D1732="","",VLOOKUP(F1732,製品マスタ!$G$5:$L$4999,6,FALSE))</f>
        <v/>
      </c>
      <c r="J1732" s="203"/>
      <c r="K1732" s="200" t="str">
        <f>IF(D1732="","",VLOOKUP(D1732,契約台帳!$A$3:$L$4986,12,FALSE))</f>
        <v/>
      </c>
      <c r="L1732" s="200" t="str">
        <f>IF(D1732="","",INDEX(製品マスタ!$Q$5:$Q$4999,MATCH('S4'!F1732&amp;'S4'!K1732,製品マスタ!$AO$5:$AO$4999,0)))</f>
        <v/>
      </c>
      <c r="M1732" s="37"/>
      <c r="N1732" s="37"/>
      <c r="O1732" s="153"/>
      <c r="P1732" s="45"/>
      <c r="Q1732" s="54"/>
      <c r="R1732" s="257" t="str">
        <f ca="1">IF(D1732="","",IF(OFFSET(D1732,-1,0)&lt;&gt;"","",IF(OR(J1732="リード付け",J1732="巻足し",J1732="巻返しリード付け"),M1732,VLOOKUP(D1732,契約台帳!$A$3:$N$4986,14,FALSE))))</f>
        <v/>
      </c>
      <c r="S1732" s="258" t="str">
        <f ca="1">IF(D1732="","",IF(OFFSET(D1732,-1,0)&lt;&gt;"","",IF(OR(J1732="リード付け",J1732="巻足し",J1732="巻返しリード付け"),M1732,VLOOKUP(D1732,契約台帳!$A$3:$O$4986,15,FALSE))))</f>
        <v/>
      </c>
      <c r="T1732" s="258" t="str">
        <f ca="1">IF(D1732="","",IF(J1732="リード付け",N1732,IF(J1732="巻返しリード付け",N1732,IF(J1732="巻足し",N1732*P1732+OFFSET(N1732,1,0)*OFFSET(P1732,1,0),VLOOKUP(D1732,契約台帳!$A$3:$P$4986,16,FALSE)))))</f>
        <v/>
      </c>
      <c r="U1732" s="38"/>
      <c r="V1732" s="259" t="str">
        <f ca="1">IF(D1732="","",IF(OFFSET(D1732,-2,0)=D1732,"",VLOOKUP(D1732,契約台帳!$A$3:$R$4986,18,FALSE)))</f>
        <v/>
      </c>
      <c r="W1732" s="256" t="str">
        <f>IF(D1732="","",IF(T1732="","",IF(OR(J1732="巻足し",J1732="巻返しリード付け"),"",IF(J1732="巻返し",VLOOKUP(F1732&amp;K1732&amp;M1732,製品マスタ!$M$5:$AD$4999,18,FALSE),IF(OR(J1732="リード付け",J1732="巻返しリード付け"),"原反コア",IF(J1732="スリット",VLOOKUP(F1732&amp;K1732&amp;R1732,製品マスタ!$N$5:$AD$4999,17,FALSE),""))))))</f>
        <v/>
      </c>
      <c r="X1732" s="256" t="str">
        <f>IF(D1732="","",IF(T1732="","",IF(J1732="巻足し","",IF(J1732="巻返し",VLOOKUP(F1732&amp;K1732&amp;M1732,製品マスタ!$M$5:$AE$4999,19,FALSE),IF(OR(J1732="リード付け",J1732="巻返しリード付け"),"",IF(J1732="スリット",VLOOKUP(F1732&amp;K1732&amp;R1732,製品マスタ!$N$5:$AE$4999,18,FALSE),""))))))</f>
        <v/>
      </c>
      <c r="Y1732" s="256" t="str">
        <f>IF(D1732="","",IF(T1732="","",VLOOKUP(D1732,契約台帳!$A$3:$Q$4986,17,FALSE)))</f>
        <v/>
      </c>
      <c r="Z1732" s="256" t="str">
        <f>IF(D1732="","",IF(T1732="","",VLOOKUP(D1732,契約台帳!$A$3:$E$4986,5,FALSE)))</f>
        <v/>
      </c>
      <c r="AA1732" s="54"/>
      <c r="AB1732" s="200"/>
      <c r="AC1732" s="31"/>
      <c r="AD1732" s="184"/>
      <c r="AE1732" s="51"/>
      <c r="AF1732" s="52"/>
      <c r="AG1732" s="41"/>
      <c r="AH1732" s="45"/>
      <c r="AI1732" s="28"/>
      <c r="AJ1732" s="28"/>
      <c r="AK1732" s="28"/>
      <c r="AL1732" s="28"/>
      <c r="AM1732" s="12"/>
      <c r="AN1732" s="12"/>
      <c r="AO1732" s="12"/>
      <c r="AP1732" s="12"/>
      <c r="AQ1732" s="12"/>
      <c r="AR1732" s="13"/>
      <c r="AS1732" s="14"/>
    </row>
    <row r="1733" spans="1:45" s="16" customFormat="1" ht="30.95" hidden="1" customHeight="1" x14ac:dyDescent="0.2">
      <c r="A1733" s="35"/>
      <c r="B1733" s="36"/>
      <c r="C1733" s="43"/>
      <c r="D1733" s="29">
        <v>3744888</v>
      </c>
      <c r="E1733" s="29">
        <v>4141103</v>
      </c>
      <c r="F1733" s="255" t="str">
        <f>IF(D1733="","",VLOOKUP(D1733,契約台帳!$A$3:$K$4986,6,FALSE)&amp;VLOOKUP(D1733,契約台帳!$A$3:$K$4986,7,FALSE)&amp;VLOOKUP(D1733,契約台帳!$A$3:$K$4986,8,FALSE)&amp;VLOOKUP(D1733,契約台帳!$A$3:$K$4986,9,FALSE)&amp;VLOOKUP(D1733,契約台帳!$A$3:$K$4986,11,FALSE))</f>
        <v>33SSNMCLBTEKV0V</v>
      </c>
      <c r="G1733" s="256" t="str">
        <f>IF(D1733="","",VLOOKUP(F1733,製品マスタ!$G$5:$H$4999,2,FALSE))</f>
        <v>S</v>
      </c>
      <c r="H1733" s="256" t="str">
        <f>IF(D1733="","",VLOOKUP(F1733,製品マスタ!$G$5:$K$4999,5,FALSE))</f>
        <v>TEKV0V</v>
      </c>
      <c r="I1733" s="200" t="str">
        <f>IF(D1733="","",VLOOKUP(F1733,製品マスタ!$G$5:$L$4999,6,FALSE))</f>
        <v>メタルミー　ＴＥ－Ｓ消　ＶＯＩＤ　Ｖ</v>
      </c>
      <c r="J1733" s="203" t="s">
        <v>447</v>
      </c>
      <c r="K1733" s="200">
        <f>IF(D1733="","",VLOOKUP(D1733,契約台帳!$A$3:$L$4986,12,FALSE))</f>
        <v>50</v>
      </c>
      <c r="L1733" s="200" t="str">
        <f>IF(D1733="","",INDEX(製品マスタ!$Q$5:$Q$4999,MATCH('S4'!F1733&amp;'S4'!K1733,製品マスタ!$AO$5:$AO$4999,0)))</f>
        <v>X44SEPA</v>
      </c>
      <c r="M1733" s="37">
        <v>1005</v>
      </c>
      <c r="N1733" s="37">
        <v>12000</v>
      </c>
      <c r="O1733" s="153">
        <v>2</v>
      </c>
      <c r="P1733" s="45">
        <v>2</v>
      </c>
      <c r="Q1733" s="54"/>
      <c r="R1733" s="257">
        <f ca="1">IF(D1733="","",IF(OFFSET(D1733,-1,0)&lt;&gt;"","",IF(OR(J1733="リード付け",J1733="巻足し",J1733="巻返しリード付け"),M1733,VLOOKUP(D1733,契約台帳!$A$3:$N$4986,14,FALSE))))</f>
        <v>1005</v>
      </c>
      <c r="S1733" s="258">
        <f ca="1">IF(D1733="","",IF(OFFSET(D1733,-1,0)&lt;&gt;"","",IF(OR(J1733="リード付け",J1733="巻足し",J1733="巻返しリード付け"),M1733,VLOOKUP(D1733,契約台帳!$A$3:$O$4986,15,FALSE))))</f>
        <v>1000</v>
      </c>
      <c r="T1733" s="258">
        <f ca="1">IF(D1733="","",IF(J1733="リード付け",N1733,IF(J1733="巻返しリード付け",N1733,IF(J1733="巻足し",N1733*P1733+OFFSET(N1733,1,0)*OFFSET(P1733,1,0),VLOOKUP(D1733,契約台帳!$A$3:$P$4986,16,FALSE)))))</f>
        <v>4000</v>
      </c>
      <c r="U1733" s="38">
        <v>6</v>
      </c>
      <c r="V1733" s="259">
        <v>6</v>
      </c>
      <c r="W1733" s="256" t="str">
        <f ca="1">IF(D1733="","",IF(T1733="","",IF(OR(J1733="巻足し",J1733="巻返しリード付け"),"",IF(J1733="巻返し",VLOOKUP(F1733&amp;K1733&amp;M1733,製品マスタ!$M$5:$AD$4999,18,FALSE),IF(OR(J1733="リード付け",J1733="巻返しリード付け"),"原反コア",IF(J1733="スリット",VLOOKUP(F1733&amp;K1733&amp;R1733,製品マスタ!$N$5:$AD$4999,17,FALSE),""))))))</f>
        <v>6ｲﾝﾁSｺｱ</v>
      </c>
      <c r="X1733" s="256">
        <f ca="1">IF(D1733="","",IF(T1733="","",IF(J1733="巻足し","",IF(J1733="巻返し",VLOOKUP(F1733&amp;K1733&amp;M1733,製品マスタ!$M$5:$AE$4999,19,FALSE),IF(OR(J1733="リード付け",J1733="巻返しリード付け"),"",IF(J1733="スリット",VLOOKUP(F1733&amp;K1733&amp;R1733,製品マスタ!$N$5:$AE$4999,18,FALSE),""))))))</f>
        <v>1015</v>
      </c>
      <c r="Y1733" s="256">
        <f ca="1">IF(D1733="","",IF(T1733="","",VLOOKUP(D1733,契約台帳!$A$3:$Q$4986,17,FALSE)))</f>
        <v>2</v>
      </c>
      <c r="Z1733" s="256" t="str">
        <f ca="1">IF(D1733="","",IF(T1733="","",VLOOKUP(D1733,契約台帳!$A$3:$E$4986,5,FALSE)))</f>
        <v>リンテック㈱</v>
      </c>
      <c r="AA1733" s="54"/>
      <c r="AB1733" s="200"/>
      <c r="AC1733" s="31"/>
      <c r="AD1733" s="184"/>
      <c r="AE1733" s="51"/>
      <c r="AF1733" s="52"/>
      <c r="AG1733" s="41"/>
      <c r="AH1733" s="45"/>
      <c r="AI1733" s="28"/>
      <c r="AJ1733" s="28"/>
      <c r="AK1733" s="28"/>
      <c r="AL1733" s="28"/>
      <c r="AM1733" s="12"/>
      <c r="AN1733" s="12"/>
      <c r="AO1733" s="12"/>
      <c r="AP1733" s="12"/>
      <c r="AQ1733" s="12"/>
      <c r="AR1733" s="13"/>
      <c r="AS1733" s="14"/>
    </row>
    <row r="1734" spans="1:45" s="16" customFormat="1" ht="30.95" hidden="1" customHeight="1" x14ac:dyDescent="0.2">
      <c r="A1734" s="35"/>
      <c r="B1734" s="36"/>
      <c r="C1734" s="43"/>
      <c r="D1734" s="29"/>
      <c r="E1734" s="29"/>
      <c r="F1734" s="255"/>
      <c r="G1734" s="256"/>
      <c r="H1734" s="256"/>
      <c r="I1734" s="200"/>
      <c r="J1734" s="203"/>
      <c r="K1734" s="200"/>
      <c r="L1734" s="200"/>
      <c r="M1734" s="37"/>
      <c r="N1734" s="37"/>
      <c r="O1734" s="37"/>
      <c r="P1734" s="45"/>
      <c r="Q1734" s="54"/>
      <c r="R1734" s="257"/>
      <c r="S1734" s="258"/>
      <c r="T1734" s="258"/>
      <c r="U1734" s="38"/>
      <c r="V1734" s="259"/>
      <c r="W1734" s="256"/>
      <c r="X1734" s="256"/>
      <c r="Y1734" s="256"/>
      <c r="Z1734" s="256"/>
      <c r="AA1734" s="54"/>
      <c r="AB1734" s="200"/>
      <c r="AC1734" s="31"/>
      <c r="AD1734" s="184"/>
      <c r="AE1734" s="51"/>
      <c r="AF1734" s="52"/>
      <c r="AG1734" s="41"/>
      <c r="AH1734" s="45"/>
      <c r="AI1734" s="28"/>
      <c r="AJ1734" s="28"/>
      <c r="AK1734" s="28"/>
      <c r="AL1734" s="28"/>
      <c r="AM1734" s="12"/>
      <c r="AN1734" s="12"/>
      <c r="AO1734" s="12"/>
      <c r="AP1734" s="12"/>
      <c r="AQ1734" s="12"/>
      <c r="AR1734" s="13"/>
      <c r="AS1734" s="14"/>
    </row>
    <row r="1735" spans="1:45" s="16" customFormat="1" ht="30.95" hidden="1" customHeight="1" x14ac:dyDescent="0.2">
      <c r="A1735" s="35"/>
      <c r="B1735" s="36"/>
      <c r="C1735" s="43"/>
      <c r="D1735" s="29">
        <v>3741615</v>
      </c>
      <c r="E1735" s="29">
        <v>4141082</v>
      </c>
      <c r="F1735" s="255" t="str">
        <f>IF(D1735="","",VLOOKUP(D1735,契約台帳!$A$3:$K$4986,6,FALSE)&amp;VLOOKUP(D1735,契約台帳!$A$3:$K$4986,7,FALSE)&amp;VLOOKUP(D1735,契約台帳!$A$3:$K$4986,8,FALSE)&amp;VLOOKUP(D1735,契約台帳!$A$3:$K$4986,9,FALSE)&amp;VLOOKUP(D1735,契約台帳!$A$3:$K$4986,11,FALSE))</f>
        <v>33SSNMCLBTEKKFV</v>
      </c>
      <c r="G1735" s="256" t="str">
        <f>IF(D1735="","",VLOOKUP(F1735,製品マスタ!$G$5:$H$4999,2,FALSE))</f>
        <v>S</v>
      </c>
      <c r="H1735" s="256" t="str">
        <f>IF(D1735="","",VLOOKUP(F1735,製品マスタ!$G$5:$K$4999,5,FALSE))</f>
        <v>TEKKFV</v>
      </c>
      <c r="I1735" s="200" t="str">
        <f>IF(D1735="","",VLOOKUP(F1735,製品マスタ!$G$5:$L$4999,6,FALSE))</f>
        <v>メタルミー　ＴＥＳ消開封　Ｖ</v>
      </c>
      <c r="J1735" s="203" t="s">
        <v>447</v>
      </c>
      <c r="K1735" s="200">
        <f>IF(D1735="","",VLOOKUP(D1735,契約台帳!$A$3:$L$4986,12,FALSE))</f>
        <v>50</v>
      </c>
      <c r="L1735" s="200" t="str">
        <f>IF(D1735="","",INDEX(製品マスタ!$Q$5:$Q$4999,MATCH('S4'!F1735&amp;'S4'!K1735,製品マスタ!$AO$5:$AO$4999,0)))</f>
        <v>X44SEPA</v>
      </c>
      <c r="M1735" s="37">
        <v>1005</v>
      </c>
      <c r="N1735" s="37">
        <v>12000</v>
      </c>
      <c r="O1735" s="153">
        <v>2</v>
      </c>
      <c r="P1735" s="45">
        <v>2</v>
      </c>
      <c r="Q1735" s="54"/>
      <c r="R1735" s="257">
        <f ca="1">IF(D1735="","",IF(OFFSET(D1735,-1,0)&lt;&gt;"","",IF(OR(J1735="リード付け",J1735="巻足し",J1735="巻返しリード付け"),M1735,VLOOKUP(D1735,契約台帳!$A$3:$N$4986,14,FALSE))))</f>
        <v>1005</v>
      </c>
      <c r="S1735" s="258">
        <f ca="1">IF(D1735="","",IF(OFFSET(D1735,-1,0)&lt;&gt;"","",IF(OR(J1735="リード付け",J1735="巻足し",J1735="巻返しリード付け"),M1735,VLOOKUP(D1735,契約台帳!$A$3:$O$4986,15,FALSE))))</f>
        <v>1000</v>
      </c>
      <c r="T1735" s="258">
        <f ca="1">IF(D1735="","",IF(J1735="リード付け",N1735,IF(J1735="巻返しリード付け",N1735,IF(J1735="巻足し",N1735*P1735+OFFSET(N1735,1,0)*OFFSET(P1735,1,0),VLOOKUP(D1735,契約台帳!$A$3:$P$4986,16,FALSE)))))</f>
        <v>4000</v>
      </c>
      <c r="U1735" s="38">
        <v>6</v>
      </c>
      <c r="V1735" s="259">
        <f ca="1">IF(D1735="","",IF(OFFSET(D1735,-2,0)=D1735,"",VLOOKUP(D1735,契約台帳!$A$3:$R$4986,18,FALSE)))</f>
        <v>6</v>
      </c>
      <c r="W1735" s="256" t="str">
        <f ca="1">IF(D1735="","",IF(T1735="","",IF(OR(J1735="巻足し",J1735="巻返しリード付け"),"",IF(J1735="巻返し",VLOOKUP(F1735&amp;K1735&amp;M1735,製品マスタ!$M$5:$AD$4999,18,FALSE),IF(OR(J1735="リード付け",J1735="巻返しリード付け"),"原反コア",IF(J1735="スリット",VLOOKUP(F1735&amp;K1735&amp;R1735,製品マスタ!$N$5:$AD$4999,17,FALSE),""))))))</f>
        <v>6ｲﾝﾁSｺｱ</v>
      </c>
      <c r="X1735" s="256">
        <f ca="1">IF(D1735="","",IF(T1735="","",IF(J1735="巻足し","",IF(J1735="巻返し",VLOOKUP(F1735&amp;K1735&amp;M1735,製品マスタ!$M$5:$AE$4999,19,FALSE),IF(OR(J1735="リード付け",J1735="巻返しリード付け"),"",IF(J1735="スリット",VLOOKUP(F1735&amp;K1735&amp;R1735,製品マスタ!$N$5:$AE$4999,18,FALSE),""))))))</f>
        <v>1015</v>
      </c>
      <c r="Y1735" s="256">
        <f ca="1">IF(D1735="","",IF(T1735="","",VLOOKUP(D1735,契約台帳!$A$3:$Q$4986,17,FALSE)))</f>
        <v>2</v>
      </c>
      <c r="Z1735" s="256" t="str">
        <f ca="1">IF(D1735="","",IF(T1735="","",VLOOKUP(D1735,契約台帳!$A$3:$E$4986,5,FALSE)))</f>
        <v>リンテック㈱</v>
      </c>
      <c r="AA1735" s="54"/>
      <c r="AB1735" s="200"/>
      <c r="AC1735" s="31"/>
      <c r="AD1735" s="184"/>
      <c r="AE1735" s="51"/>
      <c r="AF1735" s="52"/>
      <c r="AG1735" s="41"/>
      <c r="AH1735" s="45"/>
      <c r="AI1735" s="28"/>
      <c r="AJ1735" s="28"/>
      <c r="AK1735" s="28"/>
      <c r="AL1735" s="28"/>
      <c r="AM1735" s="12"/>
      <c r="AN1735" s="12"/>
      <c r="AO1735" s="12"/>
      <c r="AP1735" s="12"/>
      <c r="AQ1735" s="12"/>
      <c r="AR1735" s="13"/>
      <c r="AS1735" s="14"/>
    </row>
    <row r="1736" spans="1:45" s="16" customFormat="1" ht="30.95" hidden="1" customHeight="1" x14ac:dyDescent="0.2">
      <c r="A1736" s="35"/>
      <c r="B1736" s="36"/>
      <c r="C1736" s="43"/>
      <c r="D1736" s="29"/>
      <c r="E1736" s="29"/>
      <c r="F1736" s="255"/>
      <c r="G1736" s="256"/>
      <c r="H1736" s="256"/>
      <c r="I1736" s="200"/>
      <c r="J1736" s="203"/>
      <c r="K1736" s="200"/>
      <c r="L1736" s="200"/>
      <c r="M1736" s="37"/>
      <c r="N1736" s="37"/>
      <c r="O1736" s="153"/>
      <c r="P1736" s="45"/>
      <c r="Q1736" s="54"/>
      <c r="R1736" s="257"/>
      <c r="S1736" s="258"/>
      <c r="T1736" s="258"/>
      <c r="U1736" s="38"/>
      <c r="V1736" s="259"/>
      <c r="W1736" s="256"/>
      <c r="X1736" s="256"/>
      <c r="Y1736" s="256"/>
      <c r="Z1736" s="256"/>
      <c r="AA1736" s="54"/>
      <c r="AB1736" s="200"/>
      <c r="AC1736" s="31"/>
      <c r="AD1736" s="184"/>
      <c r="AE1736" s="51"/>
      <c r="AF1736" s="52"/>
      <c r="AG1736" s="41"/>
      <c r="AH1736" s="45"/>
      <c r="AI1736" s="28"/>
      <c r="AJ1736" s="28"/>
      <c r="AK1736" s="28"/>
      <c r="AL1736" s="28"/>
      <c r="AM1736" s="12"/>
      <c r="AN1736" s="12"/>
      <c r="AO1736" s="12"/>
      <c r="AP1736" s="12"/>
      <c r="AQ1736" s="12"/>
      <c r="AR1736" s="13"/>
      <c r="AS1736" s="14"/>
    </row>
    <row r="1737" spans="1:45" s="16" customFormat="1" ht="30.6" hidden="1" customHeight="1" x14ac:dyDescent="0.2">
      <c r="A1737" s="35"/>
      <c r="B1737" s="36"/>
      <c r="C1737" s="43"/>
      <c r="D1737" s="29">
        <v>3745509</v>
      </c>
      <c r="E1737" s="29">
        <v>4141101</v>
      </c>
      <c r="F1737" s="255" t="str">
        <f>IF(D1737="","",VLOOKUP(D1737,契約台帳!$A$3:$K$4986,6,FALSE)&amp;VLOOKUP(D1737,契約台帳!$A$3:$K$4986,7,FALSE)&amp;VLOOKUP(D1737,契約台帳!$A$3:$K$4986,8,FALSE)&amp;VLOOKUP(D1737,契約台帳!$A$3:$K$4986,9,FALSE)&amp;VLOOKUP(D1737,契約台帳!$A$3:$K$4986,11,FALSE))</f>
        <v>33SSNMCLBTEKKFV</v>
      </c>
      <c r="G1737" s="256" t="str">
        <f>IF(D1737="","",VLOOKUP(F1737,製品マスタ!$G$5:$H$4999,2,FALSE))</f>
        <v>S</v>
      </c>
      <c r="H1737" s="256" t="str">
        <f>IF(D1737="","",VLOOKUP(F1737,製品マスタ!$G$5:$K$4999,5,FALSE))</f>
        <v>TEKKFV</v>
      </c>
      <c r="I1737" s="200" t="str">
        <f>IF(D1737="","",VLOOKUP(F1737,製品マスタ!$G$5:$L$4999,6,FALSE))</f>
        <v>メタルミー　ＴＥＳ消開封　Ｖ</v>
      </c>
      <c r="J1737" s="203" t="s">
        <v>447</v>
      </c>
      <c r="K1737" s="200">
        <f>IF(D1737="","",VLOOKUP(D1737,契約台帳!$A$3:$L$4986,12,FALSE))</f>
        <v>38</v>
      </c>
      <c r="L1737" s="200" t="str">
        <f>IF(D1737="","",INDEX(製品マスタ!$Q$5:$Q$4999,MATCH('S4'!F1737&amp;'S4'!K1737,製品マスタ!$AO$5:$AO$4999,0)))</f>
        <v>X44SEPA</v>
      </c>
      <c r="M1737" s="37">
        <v>1005</v>
      </c>
      <c r="N1737" s="37">
        <v>2000</v>
      </c>
      <c r="O1737" s="153">
        <v>1</v>
      </c>
      <c r="P1737" s="45">
        <v>1</v>
      </c>
      <c r="Q1737" s="54"/>
      <c r="R1737" s="257">
        <f ca="1">IF(D1737="","",IF(OFFSET(D1737,-1,0)&lt;&gt;"","",IF(OR(J1737="リード付け",J1737="巻足し",J1737="巻返しリード付け"),M1737,VLOOKUP(D1737,契約台帳!$A$3:$N$4986,14,FALSE))))</f>
        <v>1005</v>
      </c>
      <c r="S1737" s="258">
        <f ca="1">IF(D1737="","",IF(OFFSET(D1737,-1,0)&lt;&gt;"","",IF(OR(J1737="リード付け",J1737="巻足し",J1737="巻返しリード付け"),M1737,VLOOKUP(D1737,契約台帳!$A$3:$O$4986,15,FALSE))))</f>
        <v>1000</v>
      </c>
      <c r="T1737" s="258">
        <f ca="1">IF(D1737="","",IF(J1737="リード付け",N1737,IF(J1737="巻返しリード付け",N1737,IF(J1737="巻足し",N1737*P1737+OFFSET(N1737,1,0)*OFFSET(P1737,1,0),VLOOKUP(D1737,契約台帳!$A$3:$P$4986,16,FALSE)))))</f>
        <v>2000</v>
      </c>
      <c r="U1737" s="38">
        <v>1</v>
      </c>
      <c r="V1737" s="259">
        <f ca="1">IF(D1737="","",IF(OFFSET(D1737,-2,0)=D1737,"",VLOOKUP(D1737,契約台帳!$A$3:$R$4986,18,FALSE)))</f>
        <v>1</v>
      </c>
      <c r="W1737" s="256" t="str">
        <f ca="1">IF(D1737="","",IF(T1737="","",IF(OR(J1737="巻足し",J1737="巻返しリード付け"),"",IF(J1737="巻返し",VLOOKUP(F1737&amp;K1737&amp;M1737,製品マスタ!$M$5:$AD$4999,18,FALSE),IF(OR(J1737="リード付け",J1737="巻返しリード付け"),"原反コア",IF(J1737="スリット",VLOOKUP(F1737&amp;K1737&amp;R1737,製品マスタ!$N$5:$AD$4999,17,FALSE),""))))))</f>
        <v>6ｲﾝﾁSｺｱ</v>
      </c>
      <c r="X1737" s="256">
        <f ca="1">IF(D1737="","",IF(T1737="","",IF(J1737="巻足し","",IF(J1737="巻返し",VLOOKUP(F1737&amp;K1737&amp;M1737,製品マスタ!$M$5:$AE$4999,19,FALSE),IF(OR(J1737="リード付け",J1737="巻返しリード付け"),"",IF(J1737="スリット",VLOOKUP(F1737&amp;K1737&amp;R1737,製品マスタ!$N$5:$AE$4999,18,FALSE),""))))))</f>
        <v>1015</v>
      </c>
      <c r="Y1737" s="256">
        <f ca="1">IF(D1737="","",IF(T1737="","",VLOOKUP(D1737,契約台帳!$A$3:$Q$4986,17,FALSE)))</f>
        <v>2</v>
      </c>
      <c r="Z1737" s="256" t="str">
        <f ca="1">IF(D1737="","",IF(T1737="","",VLOOKUP(D1737,契約台帳!$A$3:$E$4986,5,FALSE)))</f>
        <v>リンテック㈱</v>
      </c>
      <c r="AA1737" s="54"/>
      <c r="AB1737" s="200">
        <f>IFERROR((VLOOKUP(F1737&amp;K1737&amp;M1737,製品マスタ!$M$5:$AM$4999,27,FALSE)),"")</f>
        <v>0</v>
      </c>
      <c r="AC1737" s="31"/>
      <c r="AD1737" s="184"/>
      <c r="AE1737" s="51"/>
      <c r="AF1737" s="52"/>
      <c r="AG1737" s="41"/>
      <c r="AH1737" s="45"/>
      <c r="AI1737" s="28"/>
      <c r="AJ1737" s="28"/>
      <c r="AK1737" s="28"/>
      <c r="AL1737" s="28"/>
      <c r="AM1737" s="12"/>
      <c r="AN1737" s="12"/>
      <c r="AO1737" s="12"/>
      <c r="AP1737" s="12"/>
      <c r="AQ1737" s="12"/>
      <c r="AR1737" s="13"/>
      <c r="AS1737" s="14"/>
    </row>
    <row r="1738" spans="1:45" s="16" customFormat="1" ht="30.95" hidden="1" customHeight="1" x14ac:dyDescent="0.2">
      <c r="A1738" s="35"/>
      <c r="B1738" s="36"/>
      <c r="C1738" s="43"/>
      <c r="D1738" s="29"/>
      <c r="E1738" s="29"/>
      <c r="F1738" s="255"/>
      <c r="G1738" s="256"/>
      <c r="H1738" s="256"/>
      <c r="I1738" s="200"/>
      <c r="J1738" s="203"/>
      <c r="K1738" s="200"/>
      <c r="L1738" s="200"/>
      <c r="M1738" s="37"/>
      <c r="N1738" s="37"/>
      <c r="O1738" s="153"/>
      <c r="P1738" s="45"/>
      <c r="Q1738" s="54"/>
      <c r="R1738" s="260"/>
      <c r="S1738" s="258"/>
      <c r="T1738" s="258"/>
      <c r="U1738" s="38"/>
      <c r="V1738" s="261"/>
      <c r="W1738" s="256"/>
      <c r="X1738" s="256"/>
      <c r="Y1738" s="256"/>
      <c r="Z1738" s="256"/>
      <c r="AA1738" s="54"/>
      <c r="AB1738" s="200"/>
      <c r="AC1738" s="31"/>
      <c r="AD1738" s="184"/>
      <c r="AE1738" s="51"/>
      <c r="AF1738" s="52"/>
      <c r="AG1738" s="41"/>
      <c r="AH1738" s="45"/>
      <c r="AI1738" s="28"/>
      <c r="AJ1738" s="28"/>
      <c r="AK1738" s="28"/>
      <c r="AL1738" s="28"/>
      <c r="AM1738" s="12"/>
      <c r="AN1738" s="12"/>
      <c r="AO1738" s="12"/>
      <c r="AP1738" s="12"/>
      <c r="AQ1738" s="12"/>
      <c r="AR1738" s="13"/>
      <c r="AS1738" s="14"/>
    </row>
    <row r="1739" spans="1:45" s="16" customFormat="1" ht="30.6" hidden="1" customHeight="1" x14ac:dyDescent="0.2">
      <c r="A1739" s="35" t="s">
        <v>2336</v>
      </c>
      <c r="B1739" s="36" t="s">
        <v>445</v>
      </c>
      <c r="C1739" s="43"/>
      <c r="D1739" s="29">
        <v>3748890</v>
      </c>
      <c r="E1739" s="29">
        <v>4141109</v>
      </c>
      <c r="F1739" s="255" t="str">
        <f>IF(D1739="","",VLOOKUP(D1739,契約台帳!$A$3:$K$4986,6,FALSE)&amp;VLOOKUP(D1739,契約台帳!$A$3:$K$4986,7,FALSE)&amp;VLOOKUP(D1739,契約台帳!$A$3:$K$4986,8,FALSE)&amp;VLOOKUP(D1739,契約台帳!$A$3:$K$4986,9,FALSE)&amp;VLOOKUP(D1739,契約台帳!$A$3:$K$4986,11,FALSE))</f>
        <v>3TNMCLBHLKTV</v>
      </c>
      <c r="G1739" s="256" t="str">
        <f>IF(D1739="","",VLOOKUP(F1739,製品マスタ!$G$5:$H$4999,2,FALSE))</f>
        <v>T</v>
      </c>
      <c r="H1739" s="256" t="str">
        <f>IF(D1739="","",VLOOKUP(F1739,製品マスタ!$G$5:$K$4999,5,FALSE))</f>
        <v>HLKTV</v>
      </c>
      <c r="I1739" s="200" t="str">
        <f>IF(D1739="","",VLOOKUP(F1739,製品マスタ!$G$5:$L$4999,6,FALSE))</f>
        <v>メタルミー　ヘヤライン金艶　Ｖ</v>
      </c>
      <c r="J1739" s="203" t="s">
        <v>447</v>
      </c>
      <c r="K1739" s="200">
        <f>IF(D1739="","",VLOOKUP(D1739,契約台帳!$A$3:$L$4986,12,FALSE))</f>
        <v>25</v>
      </c>
      <c r="L1739" s="200" t="str">
        <f>IF(D1739="","",INDEX(製品マスタ!$Q$5:$Q$4999,MATCH('S4'!F1739&amp;'S4'!K1739,製品マスタ!$AO$5:$AO$4999,0)))</f>
        <v>HL25/EC</v>
      </c>
      <c r="M1739" s="37">
        <v>1030</v>
      </c>
      <c r="N1739" s="37">
        <v>2000</v>
      </c>
      <c r="O1739" s="153">
        <v>1</v>
      </c>
      <c r="P1739" s="45">
        <v>1</v>
      </c>
      <c r="Q1739" s="54"/>
      <c r="R1739" s="257">
        <f ca="1">IF(D1739="","",IF(OFFSET(D1739,-1,0)&lt;&gt;"","",IF(OR(J1739="リード付け",J1739="巻足し",J1739="巻返しリード付け"),M1739,VLOOKUP(D1739,契約台帳!$A$3:$N$4986,14,FALSE))))</f>
        <v>1000</v>
      </c>
      <c r="S1739" s="258">
        <f ca="1">IF(D1739="","",IF(OFFSET(D1739,-1,0)&lt;&gt;"","",IF(OR(J1739="リード付け",J1739="巻足し",J1739="巻返しリード付け"),M1739,VLOOKUP(D1739,契約台帳!$A$3:$O$4986,15,FALSE))))</f>
        <v>1000</v>
      </c>
      <c r="T1739" s="258">
        <f ca="1">IF(D1739="","",IF(J1739="リード付け",N1739,IF(J1739="巻返しリード付け",N1739,IF(J1739="巻足し",N1739*P1739+OFFSET(N1739,1,0)*OFFSET(P1739,1,0),VLOOKUP(D1739,契約台帳!$A$3:$P$4986,16,FALSE)))))</f>
        <v>2000</v>
      </c>
      <c r="U1739" s="38">
        <v>2</v>
      </c>
      <c r="V1739" s="259">
        <f ca="1">IF(D1739="","",IF(OFFSET(D1739,-2,0)=D1739,"",VLOOKUP(D1739,契約台帳!$A$3:$R$4986,18,FALSE)))</f>
        <v>2</v>
      </c>
      <c r="W1739" s="256" t="str">
        <f ca="1">IF(D1739="","",IF(T1739="","",IF(OR(J1739="巻足し",J1739="巻返しリード付け"),"",IF(J1739="巻返し",VLOOKUP(F1739&amp;K1739&amp;M1739,製品マスタ!$M$5:$AD$4999,18,FALSE),IF(OR(J1739="リード付け",J1739="巻返しリード付け"),"原反コア",IF(J1739="スリット",VLOOKUP(F1739&amp;K1739&amp;R1739,製品マスタ!$N$5:$AD$4999,17,FALSE),""))))))</f>
        <v>6ｲﾝﾁSｺｱ</v>
      </c>
      <c r="X1739" s="256">
        <f ca="1">IF(D1739="","",IF(T1739="","",IF(J1739="巻足し","",IF(J1739="巻返し",VLOOKUP(F1739&amp;K1739&amp;M1739,製品マスタ!$M$5:$AE$4999,19,FALSE),IF(OR(J1739="リード付け",J1739="巻返しリード付け"),"",IF(J1739="スリット",VLOOKUP(F1739&amp;K1739&amp;R1739,製品マスタ!$N$5:$AE$4999,18,FALSE),""))))))</f>
        <v>1015</v>
      </c>
      <c r="Y1739" s="256">
        <f ca="1">IF(D1739="","",IF(T1739="","",VLOOKUP(D1739,契約台帳!$A$3:$Q$4986,17,FALSE)))</f>
        <v>2</v>
      </c>
      <c r="Z1739" s="256" t="str">
        <f ca="1">IF(D1739="","",IF(T1739="","",VLOOKUP(D1739,契約台帳!$A$3:$E$4986,5,FALSE)))</f>
        <v>リンテック㈱</v>
      </c>
      <c r="AA1739" s="54"/>
      <c r="AB1739" s="200" t="s">
        <v>774</v>
      </c>
      <c r="AC1739" s="31"/>
      <c r="AD1739" s="184"/>
      <c r="AE1739" s="51"/>
      <c r="AF1739" s="52"/>
      <c r="AG1739" s="41"/>
      <c r="AH1739" s="45"/>
      <c r="AI1739" s="28"/>
      <c r="AJ1739" s="28"/>
      <c r="AK1739" s="28"/>
      <c r="AL1739" s="28"/>
      <c r="AM1739" s="12"/>
      <c r="AN1739" s="12"/>
      <c r="AO1739" s="12"/>
      <c r="AP1739" s="12"/>
      <c r="AQ1739" s="12"/>
      <c r="AR1739" s="13"/>
      <c r="AS1739" s="14"/>
    </row>
    <row r="1740" spans="1:45" s="16" customFormat="1" ht="30.95" hidden="1" customHeight="1" x14ac:dyDescent="0.2">
      <c r="A1740" s="35"/>
      <c r="B1740" s="36"/>
      <c r="C1740" s="43"/>
      <c r="D1740" s="29"/>
      <c r="E1740" s="29"/>
      <c r="F1740" s="255"/>
      <c r="G1740" s="256"/>
      <c r="H1740" s="256"/>
      <c r="I1740" s="200"/>
      <c r="J1740" s="203"/>
      <c r="K1740" s="200"/>
      <c r="L1740" s="200"/>
      <c r="M1740" s="37"/>
      <c r="N1740" s="37"/>
      <c r="O1740" s="153"/>
      <c r="P1740" s="45"/>
      <c r="Q1740" s="54"/>
      <c r="R1740" s="260"/>
      <c r="S1740" s="258"/>
      <c r="T1740" s="258"/>
      <c r="U1740" s="38"/>
      <c r="V1740" s="261"/>
      <c r="W1740" s="256"/>
      <c r="X1740" s="256"/>
      <c r="Y1740" s="256"/>
      <c r="Z1740" s="256"/>
      <c r="AA1740" s="54"/>
      <c r="AB1740" s="200"/>
      <c r="AC1740" s="31"/>
      <c r="AD1740" s="184"/>
      <c r="AE1740" s="51"/>
      <c r="AF1740" s="52"/>
      <c r="AG1740" s="41"/>
      <c r="AH1740" s="45"/>
      <c r="AI1740" s="28"/>
      <c r="AJ1740" s="28"/>
      <c r="AK1740" s="28"/>
      <c r="AL1740" s="28"/>
      <c r="AM1740" s="12"/>
      <c r="AN1740" s="12"/>
      <c r="AO1740" s="12"/>
      <c r="AP1740" s="12"/>
      <c r="AQ1740" s="12"/>
      <c r="AR1740" s="13"/>
      <c r="AS1740" s="14"/>
    </row>
    <row r="1741" spans="1:45" s="16" customFormat="1" ht="30.95" hidden="1" customHeight="1" x14ac:dyDescent="0.2">
      <c r="A1741" s="35"/>
      <c r="B1741" s="36"/>
      <c r="C1741" s="43"/>
      <c r="D1741" s="29" t="s">
        <v>1276</v>
      </c>
      <c r="E1741" s="337" t="s">
        <v>1277</v>
      </c>
      <c r="F1741" s="255" t="s">
        <v>1304</v>
      </c>
      <c r="G1741" s="256" t="s">
        <v>269</v>
      </c>
      <c r="H1741" s="256" t="s">
        <v>319</v>
      </c>
      <c r="I1741" s="200" t="s">
        <v>2359</v>
      </c>
      <c r="J1741" s="203" t="s">
        <v>447</v>
      </c>
      <c r="K1741" s="200">
        <v>50</v>
      </c>
      <c r="L1741" s="200" t="s">
        <v>831</v>
      </c>
      <c r="M1741" s="37">
        <v>1030</v>
      </c>
      <c r="N1741" s="37">
        <v>8200</v>
      </c>
      <c r="O1741" s="153">
        <v>1</v>
      </c>
      <c r="P1741" s="45">
        <v>1</v>
      </c>
      <c r="Q1741" s="54"/>
      <c r="R1741" s="257">
        <v>1000</v>
      </c>
      <c r="S1741" s="258">
        <v>1000</v>
      </c>
      <c r="T1741" s="258">
        <v>500</v>
      </c>
      <c r="U1741" s="38">
        <v>1</v>
      </c>
      <c r="V1741" s="259">
        <v>1</v>
      </c>
      <c r="W1741" s="256" t="s">
        <v>928</v>
      </c>
      <c r="X1741" s="256" t="s">
        <v>928</v>
      </c>
      <c r="Y1741" s="256">
        <v>2</v>
      </c>
      <c r="Z1741" s="256" t="s">
        <v>116</v>
      </c>
      <c r="AA1741" s="54"/>
      <c r="AB1741" s="200" t="s">
        <v>2358</v>
      </c>
      <c r="AC1741" s="31"/>
      <c r="AD1741" s="184"/>
      <c r="AE1741" s="51"/>
      <c r="AF1741" s="52"/>
      <c r="AG1741" s="41"/>
      <c r="AH1741" s="45"/>
      <c r="AI1741" s="28"/>
      <c r="AJ1741" s="28"/>
      <c r="AK1741" s="28"/>
      <c r="AL1741" s="28"/>
      <c r="AM1741" s="12"/>
      <c r="AN1741" s="12"/>
      <c r="AO1741" s="12"/>
      <c r="AP1741" s="12"/>
      <c r="AQ1741" s="12"/>
      <c r="AR1741" s="13"/>
      <c r="AS1741" s="14"/>
    </row>
    <row r="1742" spans="1:45" s="16" customFormat="1" ht="30.95" hidden="1" customHeight="1" x14ac:dyDescent="0.2">
      <c r="A1742" s="35"/>
      <c r="B1742" s="36"/>
      <c r="C1742" s="43"/>
      <c r="D1742" s="29" t="s">
        <v>1276</v>
      </c>
      <c r="E1742" s="337" t="s">
        <v>1277</v>
      </c>
      <c r="F1742" s="255" t="s">
        <v>1304</v>
      </c>
      <c r="G1742" s="256" t="s">
        <v>269</v>
      </c>
      <c r="H1742" s="256" t="s">
        <v>322</v>
      </c>
      <c r="I1742" s="200" t="s">
        <v>2360</v>
      </c>
      <c r="J1742" s="203" t="s">
        <v>447</v>
      </c>
      <c r="K1742" s="200">
        <v>50</v>
      </c>
      <c r="L1742" s="200" t="s">
        <v>831</v>
      </c>
      <c r="M1742" s="37">
        <v>1030</v>
      </c>
      <c r="N1742" s="37"/>
      <c r="O1742" s="153"/>
      <c r="P1742" s="45"/>
      <c r="Q1742" s="54"/>
      <c r="R1742" s="257">
        <v>1000</v>
      </c>
      <c r="S1742" s="258">
        <v>1000</v>
      </c>
      <c r="T1742" s="258">
        <v>500</v>
      </c>
      <c r="U1742" s="38">
        <v>1</v>
      </c>
      <c r="V1742" s="259">
        <v>1</v>
      </c>
      <c r="W1742" s="256" t="s">
        <v>928</v>
      </c>
      <c r="X1742" s="256" t="s">
        <v>928</v>
      </c>
      <c r="Y1742" s="256">
        <v>2</v>
      </c>
      <c r="Z1742" s="256" t="s">
        <v>116</v>
      </c>
      <c r="AA1742" s="54"/>
      <c r="AB1742" s="200" t="s">
        <v>2358</v>
      </c>
      <c r="AC1742" s="31"/>
      <c r="AD1742" s="184"/>
      <c r="AE1742" s="51"/>
      <c r="AF1742" s="52"/>
      <c r="AG1742" s="41"/>
      <c r="AH1742" s="45"/>
      <c r="AI1742" s="28"/>
      <c r="AJ1742" s="28"/>
      <c r="AK1742" s="28"/>
      <c r="AL1742" s="28"/>
      <c r="AM1742" s="12"/>
      <c r="AN1742" s="12"/>
      <c r="AO1742" s="12"/>
      <c r="AP1742" s="12"/>
      <c r="AQ1742" s="12"/>
      <c r="AR1742" s="13"/>
      <c r="AS1742" s="14"/>
    </row>
    <row r="1743" spans="1:45" s="16" customFormat="1" ht="30.95" hidden="1" customHeight="1" x14ac:dyDescent="0.2">
      <c r="A1743" s="35"/>
      <c r="B1743" s="36"/>
      <c r="C1743" s="43"/>
      <c r="D1743" s="29"/>
      <c r="E1743" s="29"/>
      <c r="F1743" s="255"/>
      <c r="G1743" s="256"/>
      <c r="H1743" s="256"/>
      <c r="I1743" s="200"/>
      <c r="J1743" s="203"/>
      <c r="K1743" s="200"/>
      <c r="L1743" s="200"/>
      <c r="M1743" s="37"/>
      <c r="N1743" s="37"/>
      <c r="O1743" s="153"/>
      <c r="P1743" s="45"/>
      <c r="Q1743" s="54"/>
      <c r="R1743" s="260"/>
      <c r="S1743" s="258"/>
      <c r="T1743" s="258"/>
      <c r="U1743" s="38"/>
      <c r="V1743" s="261"/>
      <c r="W1743" s="256"/>
      <c r="X1743" s="256"/>
      <c r="Y1743" s="256"/>
      <c r="Z1743" s="256"/>
      <c r="AA1743" s="54"/>
      <c r="AB1743" s="200"/>
      <c r="AC1743" s="31"/>
      <c r="AD1743" s="184"/>
      <c r="AE1743" s="51"/>
      <c r="AF1743" s="52"/>
      <c r="AG1743" s="41"/>
      <c r="AH1743" s="45"/>
      <c r="AI1743" s="28"/>
      <c r="AJ1743" s="28"/>
      <c r="AK1743" s="28"/>
      <c r="AL1743" s="28"/>
      <c r="AM1743" s="12"/>
      <c r="AN1743" s="12"/>
      <c r="AO1743" s="12"/>
      <c r="AP1743" s="12"/>
      <c r="AQ1743" s="12"/>
      <c r="AR1743" s="13"/>
      <c r="AS1743" s="14"/>
    </row>
    <row r="1744" spans="1:45" s="16" customFormat="1" ht="30.95" hidden="1" customHeight="1" x14ac:dyDescent="0.2">
      <c r="A1744" s="35"/>
      <c r="B1744" s="36"/>
      <c r="C1744" s="43"/>
      <c r="D1744" s="29"/>
      <c r="E1744" s="29"/>
      <c r="F1744" s="255"/>
      <c r="G1744" s="256"/>
      <c r="H1744" s="256"/>
      <c r="I1744" s="200"/>
      <c r="J1744" s="203" t="s">
        <v>490</v>
      </c>
      <c r="K1744" s="200"/>
      <c r="L1744" s="200"/>
      <c r="M1744" s="37"/>
      <c r="N1744" s="37"/>
      <c r="O1744" s="153"/>
      <c r="P1744" s="45"/>
      <c r="Q1744" s="54"/>
      <c r="R1744" s="260"/>
      <c r="S1744" s="258"/>
      <c r="T1744" s="258"/>
      <c r="U1744" s="38"/>
      <c r="V1744" s="261"/>
      <c r="W1744" s="256"/>
      <c r="X1744" s="256"/>
      <c r="Y1744" s="256"/>
      <c r="Z1744" s="256"/>
      <c r="AA1744" s="54"/>
      <c r="AB1744" s="200"/>
      <c r="AC1744" s="31"/>
      <c r="AD1744" s="184"/>
      <c r="AE1744" s="51"/>
      <c r="AF1744" s="52"/>
      <c r="AG1744" s="41"/>
      <c r="AH1744" s="45"/>
      <c r="AI1744" s="28"/>
      <c r="AJ1744" s="28"/>
      <c r="AK1744" s="28"/>
      <c r="AL1744" s="28"/>
      <c r="AM1744" s="12"/>
      <c r="AN1744" s="12"/>
      <c r="AO1744" s="12"/>
      <c r="AP1744" s="12"/>
      <c r="AQ1744" s="12"/>
      <c r="AR1744" s="13"/>
      <c r="AS1744" s="14"/>
    </row>
    <row r="1745" spans="1:45" s="16" customFormat="1" ht="30.95" hidden="1" customHeight="1" x14ac:dyDescent="0.2">
      <c r="A1745" s="35"/>
      <c r="B1745" s="36"/>
      <c r="C1745" s="43"/>
      <c r="D1745" s="29"/>
      <c r="E1745" s="29"/>
      <c r="F1745" s="255"/>
      <c r="G1745" s="256"/>
      <c r="H1745" s="256"/>
      <c r="I1745" s="200"/>
      <c r="J1745" s="203"/>
      <c r="K1745" s="200"/>
      <c r="L1745" s="200"/>
      <c r="M1745" s="37"/>
      <c r="N1745" s="37"/>
      <c r="O1745" s="153"/>
      <c r="P1745" s="45"/>
      <c r="Q1745" s="54"/>
      <c r="R1745" s="260"/>
      <c r="S1745" s="258"/>
      <c r="T1745" s="258"/>
      <c r="U1745" s="38"/>
      <c r="V1745" s="261"/>
      <c r="W1745" s="256"/>
      <c r="X1745" s="256"/>
      <c r="Y1745" s="256"/>
      <c r="Z1745" s="256"/>
      <c r="AA1745" s="54"/>
      <c r="AB1745" s="200"/>
      <c r="AC1745" s="31"/>
      <c r="AD1745" s="184"/>
      <c r="AE1745" s="51"/>
      <c r="AF1745" s="52"/>
      <c r="AG1745" s="41"/>
      <c r="AH1745" s="45"/>
      <c r="AI1745" s="28"/>
      <c r="AJ1745" s="28"/>
      <c r="AK1745" s="28"/>
      <c r="AL1745" s="28"/>
      <c r="AM1745" s="12"/>
      <c r="AN1745" s="12"/>
      <c r="AO1745" s="12"/>
      <c r="AP1745" s="12"/>
      <c r="AQ1745" s="12"/>
      <c r="AR1745" s="13"/>
      <c r="AS1745" s="14"/>
    </row>
    <row r="1746" spans="1:45" s="16" customFormat="1" ht="30.95" hidden="1" customHeight="1" x14ac:dyDescent="0.2">
      <c r="A1746" s="35" t="s">
        <v>2319</v>
      </c>
      <c r="B1746" s="36" t="s">
        <v>2312</v>
      </c>
      <c r="C1746" s="43"/>
      <c r="D1746" s="29"/>
      <c r="E1746" s="29"/>
      <c r="F1746" s="255"/>
      <c r="G1746" s="256"/>
      <c r="H1746" s="256"/>
      <c r="I1746" s="200"/>
      <c r="J1746" s="203" t="s">
        <v>2320</v>
      </c>
      <c r="K1746" s="200"/>
      <c r="L1746" s="200"/>
      <c r="M1746" s="37"/>
      <c r="N1746" s="37"/>
      <c r="O1746" s="153"/>
      <c r="P1746" s="45"/>
      <c r="Q1746" s="54"/>
      <c r="R1746" s="260"/>
      <c r="S1746" s="258"/>
      <c r="T1746" s="258"/>
      <c r="U1746" s="38"/>
      <c r="V1746" s="261"/>
      <c r="W1746" s="256"/>
      <c r="X1746" s="256"/>
      <c r="Y1746" s="256"/>
      <c r="Z1746" s="256"/>
      <c r="AA1746" s="54"/>
      <c r="AB1746" s="200"/>
      <c r="AC1746" s="31"/>
      <c r="AD1746" s="184"/>
      <c r="AE1746" s="51"/>
      <c r="AF1746" s="52"/>
      <c r="AG1746" s="41"/>
      <c r="AH1746" s="45"/>
      <c r="AI1746" s="28"/>
      <c r="AJ1746" s="28"/>
      <c r="AK1746" s="28"/>
      <c r="AL1746" s="28"/>
      <c r="AM1746" s="12"/>
      <c r="AN1746" s="12"/>
      <c r="AO1746" s="12"/>
      <c r="AP1746" s="12"/>
      <c r="AQ1746" s="12"/>
      <c r="AR1746" s="13"/>
      <c r="AS1746" s="14"/>
    </row>
    <row r="1747" spans="1:45" s="16" customFormat="1" ht="30.95" hidden="1" customHeight="1" x14ac:dyDescent="0.2">
      <c r="A1747" s="35"/>
      <c r="B1747" s="36"/>
      <c r="C1747" s="43"/>
      <c r="D1747" s="29"/>
      <c r="E1747" s="29"/>
      <c r="F1747" s="255"/>
      <c r="G1747" s="256"/>
      <c r="H1747" s="256"/>
      <c r="I1747" s="200"/>
      <c r="J1747" s="203"/>
      <c r="K1747" s="200"/>
      <c r="L1747" s="200"/>
      <c r="M1747" s="37"/>
      <c r="N1747" s="37"/>
      <c r="O1747" s="153"/>
      <c r="P1747" s="45"/>
      <c r="Q1747" s="54"/>
      <c r="R1747" s="260"/>
      <c r="S1747" s="258"/>
      <c r="T1747" s="258"/>
      <c r="U1747" s="38"/>
      <c r="V1747" s="261"/>
      <c r="W1747" s="256"/>
      <c r="X1747" s="256"/>
      <c r="Y1747" s="256"/>
      <c r="Z1747" s="256"/>
      <c r="AA1747" s="54"/>
      <c r="AB1747" s="200"/>
      <c r="AC1747" s="31"/>
      <c r="AD1747" s="184"/>
      <c r="AE1747" s="51"/>
      <c r="AF1747" s="52"/>
      <c r="AG1747" s="41"/>
      <c r="AH1747" s="45"/>
      <c r="AI1747" s="28"/>
      <c r="AJ1747" s="28"/>
      <c r="AK1747" s="28"/>
      <c r="AL1747" s="28"/>
      <c r="AM1747" s="12"/>
      <c r="AN1747" s="12"/>
      <c r="AO1747" s="12"/>
      <c r="AP1747" s="12"/>
      <c r="AQ1747" s="12"/>
      <c r="AR1747" s="13"/>
      <c r="AS1747" s="14"/>
    </row>
    <row r="1748" spans="1:45" s="16" customFormat="1" ht="30.95" hidden="1" customHeight="1" x14ac:dyDescent="0.2">
      <c r="A1748" s="35" t="s">
        <v>2321</v>
      </c>
      <c r="B1748" s="36" t="s">
        <v>2314</v>
      </c>
      <c r="C1748" s="43"/>
      <c r="D1748" s="29"/>
      <c r="E1748" s="29"/>
      <c r="F1748" s="255"/>
      <c r="G1748" s="256"/>
      <c r="H1748" s="256"/>
      <c r="I1748" s="200"/>
      <c r="J1748" s="203" t="s">
        <v>489</v>
      </c>
      <c r="K1748" s="200"/>
      <c r="L1748" s="200"/>
      <c r="M1748" s="37"/>
      <c r="N1748" s="37"/>
      <c r="O1748" s="153"/>
      <c r="P1748" s="45"/>
      <c r="Q1748" s="54"/>
      <c r="R1748" s="260"/>
      <c r="S1748" s="258"/>
      <c r="T1748" s="258"/>
      <c r="U1748" s="38"/>
      <c r="V1748" s="261"/>
      <c r="W1748" s="256"/>
      <c r="X1748" s="256"/>
      <c r="Y1748" s="256"/>
      <c r="Z1748" s="256"/>
      <c r="AA1748" s="54"/>
      <c r="AB1748" s="200"/>
      <c r="AC1748" s="31"/>
      <c r="AD1748" s="184"/>
      <c r="AE1748" s="51"/>
      <c r="AF1748" s="52"/>
      <c r="AG1748" s="41"/>
      <c r="AH1748" s="45"/>
      <c r="AI1748" s="28"/>
      <c r="AJ1748" s="28"/>
      <c r="AK1748" s="28"/>
      <c r="AL1748" s="28"/>
      <c r="AM1748" s="12"/>
      <c r="AN1748" s="12"/>
      <c r="AO1748" s="12"/>
      <c r="AP1748" s="12"/>
      <c r="AQ1748" s="12"/>
      <c r="AR1748" s="13"/>
      <c r="AS1748" s="14"/>
    </row>
    <row r="1749" spans="1:45" s="16" customFormat="1" ht="30.95" hidden="1" customHeight="1" x14ac:dyDescent="0.2">
      <c r="A1749" s="35"/>
      <c r="B1749" s="36"/>
      <c r="C1749" s="43"/>
      <c r="D1749" s="29"/>
      <c r="E1749" s="29"/>
      <c r="F1749" s="255"/>
      <c r="G1749" s="256"/>
      <c r="H1749" s="256"/>
      <c r="I1749" s="200"/>
      <c r="J1749" s="203"/>
      <c r="K1749" s="200"/>
      <c r="L1749" s="200"/>
      <c r="M1749" s="37"/>
      <c r="N1749" s="37"/>
      <c r="O1749" s="153"/>
      <c r="P1749" s="45"/>
      <c r="Q1749" s="54"/>
      <c r="R1749" s="260"/>
      <c r="S1749" s="258"/>
      <c r="T1749" s="258"/>
      <c r="U1749" s="38"/>
      <c r="V1749" s="261"/>
      <c r="W1749" s="256"/>
      <c r="X1749" s="256"/>
      <c r="Y1749" s="256"/>
      <c r="Z1749" s="256"/>
      <c r="AA1749" s="54"/>
      <c r="AB1749" s="200"/>
      <c r="AC1749" s="31"/>
      <c r="AD1749" s="184"/>
      <c r="AE1749" s="51"/>
      <c r="AF1749" s="52"/>
      <c r="AG1749" s="41"/>
      <c r="AH1749" s="45"/>
      <c r="AI1749" s="28"/>
      <c r="AJ1749" s="28"/>
      <c r="AK1749" s="28"/>
      <c r="AL1749" s="28"/>
      <c r="AM1749" s="12"/>
      <c r="AN1749" s="12"/>
      <c r="AO1749" s="12"/>
      <c r="AP1749" s="12"/>
      <c r="AQ1749" s="12"/>
      <c r="AR1749" s="13"/>
      <c r="AS1749" s="14"/>
    </row>
    <row r="1750" spans="1:45" s="16" customFormat="1" ht="30.95" hidden="1" customHeight="1" x14ac:dyDescent="0.2">
      <c r="A1750" s="35" t="s">
        <v>2322</v>
      </c>
      <c r="B1750" s="36" t="s">
        <v>2315</v>
      </c>
      <c r="C1750" s="43"/>
      <c r="D1750" s="29"/>
      <c r="E1750" s="29"/>
      <c r="F1750" s="255"/>
      <c r="G1750" s="256"/>
      <c r="H1750" s="256"/>
      <c r="I1750" s="200"/>
      <c r="J1750" s="203" t="s">
        <v>489</v>
      </c>
      <c r="K1750" s="200"/>
      <c r="L1750" s="200"/>
      <c r="M1750" s="37"/>
      <c r="N1750" s="37"/>
      <c r="O1750" s="153"/>
      <c r="P1750" s="45"/>
      <c r="Q1750" s="54"/>
      <c r="R1750" s="260"/>
      <c r="S1750" s="258"/>
      <c r="T1750" s="258"/>
      <c r="U1750" s="38"/>
      <c r="V1750" s="261"/>
      <c r="W1750" s="256"/>
      <c r="X1750" s="256"/>
      <c r="Y1750" s="256"/>
      <c r="Z1750" s="256"/>
      <c r="AA1750" s="54"/>
      <c r="AB1750" s="200"/>
      <c r="AC1750" s="31"/>
      <c r="AD1750" s="184"/>
      <c r="AE1750" s="51"/>
      <c r="AF1750" s="52"/>
      <c r="AG1750" s="41"/>
      <c r="AH1750" s="45"/>
      <c r="AI1750" s="28"/>
      <c r="AJ1750" s="28"/>
      <c r="AK1750" s="28"/>
      <c r="AL1750" s="28"/>
      <c r="AM1750" s="12"/>
      <c r="AN1750" s="12"/>
      <c r="AO1750" s="12"/>
      <c r="AP1750" s="12"/>
      <c r="AQ1750" s="12"/>
      <c r="AR1750" s="13"/>
      <c r="AS1750" s="14"/>
    </row>
    <row r="1751" spans="1:45" s="16" customFormat="1" ht="30.95" hidden="1" customHeight="1" x14ac:dyDescent="0.2">
      <c r="A1751" s="35"/>
      <c r="B1751" s="36"/>
      <c r="C1751" s="43"/>
      <c r="D1751" s="29"/>
      <c r="E1751" s="29"/>
      <c r="F1751" s="255"/>
      <c r="G1751" s="256"/>
      <c r="H1751" s="256"/>
      <c r="I1751" s="200"/>
      <c r="J1751" s="203"/>
      <c r="K1751" s="200"/>
      <c r="L1751" s="200"/>
      <c r="M1751" s="37"/>
      <c r="N1751" s="37"/>
      <c r="O1751" s="153"/>
      <c r="P1751" s="45"/>
      <c r="Q1751" s="54"/>
      <c r="R1751" s="260"/>
      <c r="S1751" s="258"/>
      <c r="T1751" s="258"/>
      <c r="U1751" s="38"/>
      <c r="V1751" s="261"/>
      <c r="W1751" s="256"/>
      <c r="X1751" s="256"/>
      <c r="Y1751" s="256"/>
      <c r="Z1751" s="256"/>
      <c r="AA1751" s="54"/>
      <c r="AB1751" s="200"/>
      <c r="AC1751" s="31"/>
      <c r="AD1751" s="184"/>
      <c r="AE1751" s="51"/>
      <c r="AF1751" s="52"/>
      <c r="AG1751" s="41"/>
      <c r="AH1751" s="45"/>
      <c r="AI1751" s="28"/>
      <c r="AJ1751" s="28"/>
      <c r="AK1751" s="28"/>
      <c r="AL1751" s="28"/>
      <c r="AM1751" s="12"/>
      <c r="AN1751" s="12"/>
      <c r="AO1751" s="12"/>
      <c r="AP1751" s="12"/>
      <c r="AQ1751" s="12"/>
      <c r="AR1751" s="13"/>
      <c r="AS1751" s="14"/>
    </row>
    <row r="1752" spans="1:45" s="16" customFormat="1" ht="30.6" hidden="1" customHeight="1" x14ac:dyDescent="0.2">
      <c r="A1752" s="35" t="s">
        <v>975</v>
      </c>
      <c r="B1752" s="36" t="s">
        <v>442</v>
      </c>
      <c r="C1752" s="43"/>
      <c r="D1752" s="29">
        <v>3750059</v>
      </c>
      <c r="E1752" s="29">
        <v>4162284</v>
      </c>
      <c r="F1752" s="255" t="str">
        <f>IF(D1752="","",VLOOKUP(D1752,契約台帳!$A$3:$K$4986,6,FALSE)&amp;VLOOKUP(D1752,契約台帳!$A$3:$K$4986,7,FALSE)&amp;VLOOKUP(D1752,契約台帳!$A$3:$K$4986,8,FALSE)&amp;VLOOKUP(D1752,契約台帳!$A$3:$K$4986,9,FALSE)&amp;VLOOKUP(D1752,契約台帳!$A$3:$K$4986,11,FALSE))</f>
        <v>3SNMLBMTSF</v>
      </c>
      <c r="G1752" s="256" t="str">
        <f>IF(D1752="","",VLOOKUP(F1752,製品マスタ!$G$5:$H$4999,2,FALSE))</f>
        <v>S</v>
      </c>
      <c r="H1752" s="256" t="str">
        <f>IF(D1752="","",VLOOKUP(F1752,製品マスタ!$G$5:$K$4999,5,FALSE))</f>
        <v>MTSF</v>
      </c>
      <c r="I1752" s="200" t="str">
        <f>IF(D1752="","",VLOOKUP(F1752,製品マスタ!$G$5:$L$4999,6,FALSE))</f>
        <v>メタルミー　ＴＳ</v>
      </c>
      <c r="J1752" s="203" t="s">
        <v>935</v>
      </c>
      <c r="K1752" s="200">
        <f>IF(D1752="","",VLOOKUP(D1752,契約台帳!$A$3:$L$4986,12,FALSE))</f>
        <v>50</v>
      </c>
      <c r="L1752" s="200" t="str">
        <f>IF(D1752="","",INDEX(製品マスタ!$Q$5:$Q$4999,MATCH('S4'!F1752&amp;'S4'!K1752,製品マスタ!$AO$5:$AO$4999,0)))</f>
        <v>T62M</v>
      </c>
      <c r="M1752" s="37">
        <v>1255</v>
      </c>
      <c r="N1752" s="37">
        <v>6100</v>
      </c>
      <c r="O1752" s="153">
        <v>2</v>
      </c>
      <c r="P1752" s="45">
        <v>2</v>
      </c>
      <c r="Q1752" s="206">
        <v>45377</v>
      </c>
      <c r="R1752" s="257">
        <f ca="1">IF(D1752="","",IF(OFFSET(D1752,-1,0)&lt;&gt;"","",IF(OR(J1752="リード付け",J1752="巻足し",J1752="巻返しリード付け"),M1752,VLOOKUP(D1752,契約台帳!$A$3:$N$4986,14,FALSE))))</f>
        <v>1255</v>
      </c>
      <c r="S1752" s="258">
        <f ca="1">IF(D1752="","",IF(OFFSET(D1752,-1,0)&lt;&gt;"","",IF(OR(J1752="リード付け",J1752="巻足し",J1752="巻返しリード付け"),M1752,VLOOKUP(D1752,契約台帳!$A$3:$O$4986,15,FALSE))))</f>
        <v>1255</v>
      </c>
      <c r="T1752" s="258">
        <f ca="1">IF(D1752="","",IF(J1752="リード付け",N1752,IF(J1752="巻返しリード付け",N1752,IF(J1752="巻足し",N1752*P1752+OFFSET(N1752,1,0)*OFFSET(P1752,1,0),VLOOKUP(D1752,契約台帳!$A$3:$P$4986,16,FALSE)))))</f>
        <v>12200</v>
      </c>
      <c r="U1752" s="38">
        <v>1</v>
      </c>
      <c r="V1752" s="259">
        <f ca="1">IF(D1752="","",IF(OFFSET(D1752,-2,0)=D1752,"",VLOOKUP(D1752,契約台帳!$A$3:$R$4986,18,FALSE)))</f>
        <v>6</v>
      </c>
      <c r="W1752" s="256" t="str">
        <f ca="1">IF(D1752="","",IF(T1752="","",IF(OR(J1752="巻足し",J1752="巻返しリード付け"),"",IF(J1752="巻返し",VLOOKUP(F1752&amp;K1752&amp;M1752,製品マスタ!$M$5:$AD$4999,18,FALSE),IF(OR(J1752="リード付け",J1752="巻返しリード付け"),"原反コア",IF(J1752="スリット",VLOOKUP(F1752&amp;K1752&amp;R1752,製品マスタ!$N$5:$AD$4999,17,FALSE),""))))))</f>
        <v/>
      </c>
      <c r="X1752" s="256" t="str">
        <f ca="1">IF(D1752="","",IF(T1752="","",IF(J1752="巻足し","",IF(J1752="巻返し",VLOOKUP(F1752&amp;K1752&amp;M1752,製品マスタ!$M$5:$AE$4999,19,FALSE),IF(OR(J1752="リード付け",J1752="巻返しリード付け"),"",IF(J1752="スリット",VLOOKUP(F1752&amp;K1752&amp;R1752,製品マスタ!$N$5:$AE$4999,18,FALSE),""))))))</f>
        <v/>
      </c>
      <c r="Y1752" s="256">
        <f ca="1">IF(D1752="","",IF(T1752="","",VLOOKUP(D1752,契約台帳!$A$3:$Q$4986,17,FALSE)))</f>
        <v>2</v>
      </c>
      <c r="Z1752" s="256" t="str">
        <f ca="1">IF(D1752="","",IF(T1752="","",VLOOKUP(D1752,契約台帳!$A$3:$E$4986,5,FALSE)))</f>
        <v>日東電工㈱豊橋工場</v>
      </c>
      <c r="AA1752" s="54"/>
      <c r="AB1752" s="200">
        <f>IFERROR((VLOOKUP(F1752&amp;K1752&amp;M1752,製品マスタ!$M$5:$AM$4999,27,FALSE)),"")</f>
        <v>0</v>
      </c>
      <c r="AC1752" s="31"/>
      <c r="AD1752" s="184"/>
      <c r="AE1752" s="51"/>
      <c r="AF1752" s="52">
        <f>+M1752*N1752*O1752/1000</f>
        <v>15311</v>
      </c>
      <c r="AG1752" s="41"/>
      <c r="AH1752" s="45"/>
      <c r="AI1752" s="28"/>
      <c r="AJ1752" s="28"/>
      <c r="AK1752" s="28"/>
      <c r="AL1752" s="28"/>
      <c r="AM1752" s="12"/>
      <c r="AN1752" s="12"/>
      <c r="AO1752" s="12"/>
      <c r="AP1752" s="12"/>
      <c r="AQ1752" s="12"/>
      <c r="AR1752" s="13"/>
      <c r="AS1752" s="14"/>
    </row>
    <row r="1753" spans="1:45" s="16" customFormat="1" ht="30.95" hidden="1" customHeight="1" x14ac:dyDescent="0.2">
      <c r="A1753" s="35"/>
      <c r="B1753" s="36"/>
      <c r="C1753" s="43"/>
      <c r="D1753" s="29"/>
      <c r="E1753" s="29"/>
      <c r="F1753" s="255"/>
      <c r="G1753" s="256"/>
      <c r="H1753" s="256"/>
      <c r="I1753" s="200"/>
      <c r="J1753" s="203"/>
      <c r="K1753" s="200"/>
      <c r="L1753" s="200"/>
      <c r="M1753" s="37"/>
      <c r="N1753" s="37"/>
      <c r="O1753" s="153"/>
      <c r="P1753" s="45"/>
      <c r="Q1753" s="54"/>
      <c r="R1753" s="260"/>
      <c r="S1753" s="258"/>
      <c r="T1753" s="258"/>
      <c r="U1753" s="38"/>
      <c r="V1753" s="261"/>
      <c r="W1753" s="256"/>
      <c r="X1753" s="256"/>
      <c r="Y1753" s="256"/>
      <c r="Z1753" s="256"/>
      <c r="AA1753" s="54"/>
      <c r="AB1753" s="200"/>
      <c r="AC1753" s="31"/>
      <c r="AD1753" s="184"/>
      <c r="AE1753" s="51"/>
      <c r="AF1753" s="52"/>
      <c r="AG1753" s="41"/>
      <c r="AH1753" s="45"/>
      <c r="AI1753" s="28"/>
      <c r="AJ1753" s="28"/>
      <c r="AK1753" s="28"/>
      <c r="AL1753" s="28"/>
      <c r="AM1753" s="12"/>
      <c r="AN1753" s="12"/>
      <c r="AO1753" s="12"/>
      <c r="AP1753" s="12"/>
      <c r="AQ1753" s="12"/>
      <c r="AR1753" s="13"/>
      <c r="AS1753" s="14"/>
    </row>
    <row r="1754" spans="1:45" s="16" customFormat="1" ht="30.6" hidden="1" customHeight="1" x14ac:dyDescent="0.2">
      <c r="A1754" s="35"/>
      <c r="B1754" s="36"/>
      <c r="C1754" s="43"/>
      <c r="D1754" s="29">
        <v>3750061</v>
      </c>
      <c r="E1754" s="29">
        <v>4162257</v>
      </c>
      <c r="F1754" s="255" t="str">
        <f>IF(D1754="","",VLOOKUP(D1754,契約台帳!$A$3:$K$4986,6,FALSE)&amp;VLOOKUP(D1754,契約台帳!$A$3:$K$4986,7,FALSE)&amp;VLOOKUP(D1754,契約台帳!$A$3:$K$4986,8,FALSE)&amp;VLOOKUP(D1754,契約台帳!$A$3:$K$4986,9,FALSE)&amp;VLOOKUP(D1754,契約台帳!$A$3:$K$4986,11,FALSE))</f>
        <v>3XSNMCLBEYK</v>
      </c>
      <c r="G1754" s="256" t="str">
        <f>IF(D1754="","",VLOOKUP(F1754,製品マスタ!$G$5:$H$4999,2,FALSE))</f>
        <v>S</v>
      </c>
      <c r="H1754" s="256" t="str">
        <f>IF(D1754="","",VLOOKUP(F1754,製品マスタ!$G$5:$K$4999,5,FALSE))</f>
        <v>EYK</v>
      </c>
      <c r="I1754" s="200" t="str">
        <f>IF(D1754="","",VLOOKUP(F1754,製品マスタ!$G$5:$L$4999,6,FALSE))</f>
        <v>メタルミー　ＥＹＫ</v>
      </c>
      <c r="J1754" s="203" t="s">
        <v>935</v>
      </c>
      <c r="K1754" s="200">
        <f>IF(D1754="","",VLOOKUP(D1754,契約台帳!$A$3:$L$4986,12,FALSE))</f>
        <v>50</v>
      </c>
      <c r="L1754" s="200" t="str">
        <f>IF(D1754="","",INDEX(製品マスタ!$Q$5:$Q$4999,MATCH('S4'!F1754&amp;'S4'!K1754,製品マスタ!$AO$5:$AO$4999,0)))</f>
        <v>T62M</v>
      </c>
      <c r="M1754" s="37">
        <v>1195</v>
      </c>
      <c r="N1754" s="37">
        <v>6100</v>
      </c>
      <c r="O1754" s="153">
        <v>2</v>
      </c>
      <c r="P1754" s="45">
        <v>2</v>
      </c>
      <c r="Q1754" s="206">
        <v>45377</v>
      </c>
      <c r="R1754" s="257">
        <f ca="1">IF(D1754="","",IF(OFFSET(D1754,-1,0)&lt;&gt;"","",IF(OR(J1754="リード付け",J1754="巻足し",J1754="巻返しリード付け"),M1754,VLOOKUP(D1754,契約台帳!$A$3:$N$4986,14,FALSE))))</f>
        <v>1195</v>
      </c>
      <c r="S1754" s="258">
        <f ca="1">IF(D1754="","",IF(OFFSET(D1754,-1,0)&lt;&gt;"","",IF(OR(J1754="リード付け",J1754="巻足し",J1754="巻返しリード付け"),M1754,VLOOKUP(D1754,契約台帳!$A$3:$O$4986,15,FALSE))))</f>
        <v>1195</v>
      </c>
      <c r="T1754" s="258">
        <f ca="1">IF(D1754="","",IF(J1754="リード付け",N1754,IF(J1754="巻返しリード付け",N1754,IF(J1754="巻足し",N1754*P1754+OFFSET(N1754,1,0)*OFFSET(P1754,1,0),VLOOKUP(D1754,契約台帳!$A$3:$P$4986,16,FALSE)))))</f>
        <v>12200</v>
      </c>
      <c r="U1754" s="38">
        <v>1</v>
      </c>
      <c r="V1754" s="259">
        <f ca="1">IF(D1754="","",IF(OFFSET(D1754,-2,0)=D1754,"",VLOOKUP(D1754,契約台帳!$A$3:$R$4986,18,FALSE)))</f>
        <v>3</v>
      </c>
      <c r="W1754" s="256" t="str">
        <f ca="1">IF(D1754="","",IF(T1754="","",IF(OR(J1754="巻足し",J1754="巻返しリード付け"),"",IF(J1754="巻返し",VLOOKUP(F1754&amp;K1754&amp;M1754,製品マスタ!$M$5:$AD$4999,18,FALSE),IF(OR(J1754="リード付け",J1754="巻返しリード付け"),"原反コア",IF(J1754="スリット",VLOOKUP(F1754&amp;K1754&amp;R1754,製品マスタ!$N$5:$AD$4999,17,FALSE),""))))))</f>
        <v/>
      </c>
      <c r="X1754" s="256" t="str">
        <f ca="1">IF(D1754="","",IF(T1754="","",IF(J1754="巻足し","",IF(J1754="巻返し",VLOOKUP(F1754&amp;K1754&amp;M1754,製品マスタ!$M$5:$AE$4999,19,FALSE),IF(OR(J1754="リード付け",J1754="巻返しリード付け"),"",IF(J1754="スリット",VLOOKUP(F1754&amp;K1754&amp;R1754,製品マスタ!$N$5:$AE$4999,18,FALSE),""))))))</f>
        <v/>
      </c>
      <c r="Y1754" s="256">
        <f ca="1">IF(D1754="","",IF(T1754="","",VLOOKUP(D1754,契約台帳!$A$3:$Q$4986,17,FALSE)))</f>
        <v>2</v>
      </c>
      <c r="Z1754" s="256" t="str">
        <f ca="1">IF(D1754="","",IF(T1754="","",VLOOKUP(D1754,契約台帳!$A$3:$E$4986,5,FALSE)))</f>
        <v>新タック化成㈱</v>
      </c>
      <c r="AA1754" s="54"/>
      <c r="AB1754" s="200" t="str">
        <f>IFERROR((VLOOKUP(F1754&amp;K1754&amp;M1754,製品マスタ!$M$5:$AM$4999,27,FALSE)),"")</f>
        <v>原反ケース再利用</v>
      </c>
      <c r="AC1754" s="31"/>
      <c r="AD1754" s="184"/>
      <c r="AE1754" s="51"/>
      <c r="AF1754" s="52">
        <f>+M1754*N1754*O1754/1000</f>
        <v>14579</v>
      </c>
      <c r="AG1754" s="41"/>
      <c r="AH1754" s="45"/>
      <c r="AI1754" s="28"/>
      <c r="AJ1754" s="28"/>
      <c r="AK1754" s="28"/>
      <c r="AL1754" s="28"/>
      <c r="AM1754" s="12"/>
      <c r="AN1754" s="12"/>
      <c r="AO1754" s="12"/>
      <c r="AP1754" s="12"/>
      <c r="AQ1754" s="12"/>
      <c r="AR1754" s="13"/>
      <c r="AS1754" s="14"/>
    </row>
    <row r="1755" spans="1:45" s="16" customFormat="1" ht="30.95" hidden="1" customHeight="1" x14ac:dyDescent="0.2">
      <c r="A1755" s="35"/>
      <c r="B1755" s="36"/>
      <c r="C1755" s="43"/>
      <c r="D1755" s="29"/>
      <c r="E1755" s="29"/>
      <c r="F1755" s="255"/>
      <c r="G1755" s="256"/>
      <c r="H1755" s="256"/>
      <c r="I1755" s="200"/>
      <c r="J1755" s="203"/>
      <c r="K1755" s="200"/>
      <c r="L1755" s="200"/>
      <c r="M1755" s="37"/>
      <c r="N1755" s="37"/>
      <c r="O1755" s="153"/>
      <c r="P1755" s="45"/>
      <c r="Q1755" s="54"/>
      <c r="R1755" s="260"/>
      <c r="S1755" s="258"/>
      <c r="T1755" s="258"/>
      <c r="U1755" s="38"/>
      <c r="V1755" s="261"/>
      <c r="W1755" s="256"/>
      <c r="X1755" s="256"/>
      <c r="Y1755" s="256"/>
      <c r="Z1755" s="256"/>
      <c r="AA1755" s="54"/>
      <c r="AB1755" s="200"/>
      <c r="AC1755" s="31"/>
      <c r="AD1755" s="184"/>
      <c r="AE1755" s="51"/>
      <c r="AF1755" s="52"/>
      <c r="AG1755" s="41"/>
      <c r="AH1755" s="45"/>
      <c r="AI1755" s="28"/>
      <c r="AJ1755" s="28"/>
      <c r="AK1755" s="28"/>
      <c r="AL1755" s="28"/>
      <c r="AM1755" s="12"/>
      <c r="AN1755" s="12"/>
      <c r="AO1755" s="12"/>
      <c r="AP1755" s="12"/>
      <c r="AQ1755" s="12"/>
      <c r="AR1755" s="13"/>
      <c r="AS1755" s="14"/>
    </row>
    <row r="1756" spans="1:45" s="16" customFormat="1" ht="30.6" hidden="1" customHeight="1" x14ac:dyDescent="0.2">
      <c r="A1756" s="35"/>
      <c r="B1756" s="36"/>
      <c r="C1756" s="43"/>
      <c r="D1756" s="29">
        <v>3750061</v>
      </c>
      <c r="E1756" s="29">
        <v>4162257</v>
      </c>
      <c r="F1756" s="255" t="str">
        <f>IF(D1756="","",VLOOKUP(D1756,契約台帳!$A$3:$K$4986,6,FALSE)&amp;VLOOKUP(D1756,契約台帳!$A$3:$K$4986,7,FALSE)&amp;VLOOKUP(D1756,契約台帳!$A$3:$K$4986,8,FALSE)&amp;VLOOKUP(D1756,契約台帳!$A$3:$K$4986,9,FALSE)&amp;VLOOKUP(D1756,契約台帳!$A$3:$K$4986,11,FALSE))</f>
        <v>3XSNMCLBEYK</v>
      </c>
      <c r="G1756" s="256" t="str">
        <f>IF(D1756="","",VLOOKUP(F1756,製品マスタ!$G$5:$H$4999,2,FALSE))</f>
        <v>S</v>
      </c>
      <c r="H1756" s="256" t="str">
        <f>IF(D1756="","",VLOOKUP(F1756,製品マスタ!$G$5:$K$4999,5,FALSE))</f>
        <v>EYK</v>
      </c>
      <c r="I1756" s="200" t="str">
        <f>IF(D1756="","",VLOOKUP(F1756,製品マスタ!$G$5:$L$4999,6,FALSE))</f>
        <v>メタルミー　ＥＹＫ</v>
      </c>
      <c r="J1756" s="203" t="s">
        <v>935</v>
      </c>
      <c r="K1756" s="200">
        <f>IF(D1756="","",VLOOKUP(D1756,契約台帳!$A$3:$L$4986,12,FALSE))</f>
        <v>50</v>
      </c>
      <c r="L1756" s="200" t="str">
        <f>IF(D1756="","",INDEX(製品マスタ!$Q$5:$Q$4999,MATCH('S4'!F1756&amp;'S4'!K1756,製品マスタ!$AO$5:$AO$4999,0)))</f>
        <v>T62M</v>
      </c>
      <c r="M1756" s="37">
        <v>1195</v>
      </c>
      <c r="N1756" s="37">
        <v>6100</v>
      </c>
      <c r="O1756" s="153">
        <v>1</v>
      </c>
      <c r="P1756" s="45">
        <v>2</v>
      </c>
      <c r="Q1756" s="206">
        <v>45377</v>
      </c>
      <c r="R1756" s="257">
        <f ca="1">IF(D1756="","",IF(OFFSET(D1756,-1,0)&lt;&gt;"","",IF(OR(J1756="リード付け",J1756="巻足し",J1756="巻返しリード付け"),M1756,VLOOKUP(D1756,契約台帳!$A$3:$N$4986,14,FALSE))))</f>
        <v>1195</v>
      </c>
      <c r="S1756" s="258">
        <f ca="1">IF(D1756="","",IF(OFFSET(D1756,-1,0)&lt;&gt;"","",IF(OR(J1756="リード付け",J1756="巻足し",J1756="巻返しリード付け"),M1756,VLOOKUP(D1756,契約台帳!$A$3:$O$4986,15,FALSE))))</f>
        <v>1195</v>
      </c>
      <c r="T1756" s="258">
        <f ca="1">IF(D1756="","",IF(J1756="リード付け",N1756,IF(J1756="巻返しリード付け",N1756,IF(J1756="巻足し",N1756*P1756+OFFSET(N1756,1,0)*OFFSET(P1756,1,0),VLOOKUP(D1756,契約台帳!$A$3:$P$4986,16,FALSE)))))</f>
        <v>12200</v>
      </c>
      <c r="U1756" s="38">
        <v>1</v>
      </c>
      <c r="V1756" s="259" t="str">
        <f ca="1">IF(D1756="","",IF(OFFSET(D1756,-2,0)=D1756,"",VLOOKUP(D1756,契約台帳!$A$3:$R$4986,18,FALSE)))</f>
        <v/>
      </c>
      <c r="W1756" s="256" t="str">
        <f ca="1">IF(D1756="","",IF(T1756="","",IF(OR(J1756="巻足し",J1756="巻返しリード付け"),"",IF(J1756="巻返し",VLOOKUP(F1756&amp;K1756&amp;M1756,製品マスタ!$M$5:$AD$4999,18,FALSE),IF(OR(J1756="リード付け",J1756="巻返しリード付け"),"原反コア",IF(J1756="スリット",VLOOKUP(F1756&amp;K1756&amp;R1756,製品マスタ!$N$5:$AD$4999,17,FALSE),""))))))</f>
        <v/>
      </c>
      <c r="X1756" s="256" t="str">
        <f ca="1">IF(D1756="","",IF(T1756="","",IF(J1756="巻足し","",IF(J1756="巻返し",VLOOKUP(F1756&amp;K1756&amp;M1756,製品マスタ!$M$5:$AE$4999,19,FALSE),IF(OR(J1756="リード付け",J1756="巻返しリード付け"),"",IF(J1756="スリット",VLOOKUP(F1756&amp;K1756&amp;R1756,製品マスタ!$N$5:$AE$4999,18,FALSE),""))))))</f>
        <v/>
      </c>
      <c r="Y1756" s="256">
        <f ca="1">IF(D1756="","",IF(T1756="","",VLOOKUP(D1756,契約台帳!$A$3:$Q$4986,17,FALSE)))</f>
        <v>2</v>
      </c>
      <c r="Z1756" s="256" t="str">
        <f ca="1">IF(D1756="","",IF(T1756="","",VLOOKUP(D1756,契約台帳!$A$3:$E$4986,5,FALSE)))</f>
        <v>新タック化成㈱</v>
      </c>
      <c r="AA1756" s="54"/>
      <c r="AB1756" s="200" t="str">
        <f>IFERROR((VLOOKUP(F1756&amp;K1756&amp;M1756,製品マスタ!$M$5:$AM$4999,27,FALSE)),"")</f>
        <v>原反ケース再利用</v>
      </c>
      <c r="AC1756" s="31"/>
      <c r="AD1756" s="184"/>
      <c r="AE1756" s="51"/>
      <c r="AF1756" s="52">
        <f>+M1756*N1756*O1756/1000</f>
        <v>7289.5</v>
      </c>
      <c r="AG1756" s="41"/>
      <c r="AH1756" s="45"/>
      <c r="AI1756" s="28"/>
      <c r="AJ1756" s="28"/>
      <c r="AK1756" s="28"/>
      <c r="AL1756" s="28"/>
      <c r="AM1756" s="12"/>
      <c r="AN1756" s="12"/>
      <c r="AO1756" s="12"/>
      <c r="AP1756" s="12"/>
      <c r="AQ1756" s="12"/>
      <c r="AR1756" s="13"/>
      <c r="AS1756" s="14"/>
    </row>
    <row r="1757" spans="1:45" s="16" customFormat="1" ht="30.6" hidden="1" customHeight="1" x14ac:dyDescent="0.2">
      <c r="A1757" s="35"/>
      <c r="B1757" s="36"/>
      <c r="C1757" s="43"/>
      <c r="D1757" s="29">
        <v>3750062</v>
      </c>
      <c r="E1757" s="29"/>
      <c r="F1757" s="255" t="str">
        <f>IF(D1757="","",VLOOKUP(D1757,契約台帳!$A$3:$K$4986,6,FALSE)&amp;VLOOKUP(D1757,契約台帳!$A$3:$K$4986,7,FALSE)&amp;VLOOKUP(D1757,契約台帳!$A$3:$K$4986,8,FALSE)&amp;VLOOKUP(D1757,契約台帳!$A$3:$K$4986,9,FALSE)&amp;VLOOKUP(D1757,契約台帳!$A$3:$K$4986,11,FALSE))</f>
        <v>3XSNMCLBEYK</v>
      </c>
      <c r="G1757" s="256" t="str">
        <f>IF(D1757="","",VLOOKUP(F1757,製品マスタ!$G$5:$H$4999,2,FALSE))</f>
        <v>S</v>
      </c>
      <c r="H1757" s="256" t="str">
        <f>IF(D1757="","",VLOOKUP(F1757,製品マスタ!$G$5:$K$4999,5,FALSE))</f>
        <v>EYK</v>
      </c>
      <c r="I1757" s="200" t="str">
        <f>IF(D1757="","",VLOOKUP(F1757,製品マスタ!$G$5:$L$4999,6,FALSE))</f>
        <v>メタルミー　ＥＹＫ</v>
      </c>
      <c r="J1757" s="203" t="s">
        <v>935</v>
      </c>
      <c r="K1757" s="200">
        <f>IF(D1757="","",VLOOKUP(D1757,契約台帳!$A$3:$L$4986,12,FALSE))</f>
        <v>50</v>
      </c>
      <c r="L1757" s="200" t="str">
        <f>IF(D1757="","",INDEX(製品マスタ!$Q$5:$Q$4999,MATCH('S4'!F1757&amp;'S4'!K1757,製品マスタ!$AO$5:$AO$4999,0)))</f>
        <v>T62M</v>
      </c>
      <c r="M1757" s="37">
        <v>1195</v>
      </c>
      <c r="N1757" s="37">
        <v>6100</v>
      </c>
      <c r="O1757" s="153">
        <v>1</v>
      </c>
      <c r="P1757" s="45"/>
      <c r="Q1757" s="206">
        <v>45377</v>
      </c>
      <c r="R1757" s="257" t="str">
        <f ca="1">IF(D1757="","",IF(OFFSET(D1757,-1,0)&lt;&gt;"","",IF(OR(J1757="リード付け",J1757="巻足し",J1757="巻返しリード付け"),M1757,VLOOKUP(D1757,契約台帳!$A$3:$N$4986,14,FALSE))))</f>
        <v/>
      </c>
      <c r="S1757" s="258" t="str">
        <f ca="1">IF(D1757="","",IF(OFFSET(D1757,-1,0)&lt;&gt;"","",IF(OR(J1757="リード付け",J1757="巻足し",J1757="巻返しリード付け"),M1757,VLOOKUP(D1757,契約台帳!$A$3:$O$4986,15,FALSE))))</f>
        <v/>
      </c>
      <c r="T1757" s="258">
        <f ca="1">IF(D1757="","",IF(J1757="リード付け",N1757,IF(J1757="巻返しリード付け",N1757,IF(J1757="巻足し",N1757*P1757+OFFSET(N1757,1,0)*OFFSET(P1757,1,0),VLOOKUP(D1757,契約台帳!$A$3:$P$4986,16,FALSE)))))</f>
        <v>0</v>
      </c>
      <c r="U1757" s="38"/>
      <c r="V1757" s="259">
        <f ca="1">IF(D1757="","",IF(OFFSET(D1757,-2,0)=D1757,"",VLOOKUP(D1757,契約台帳!$A$3:$R$4986,18,FALSE)))</f>
        <v>1</v>
      </c>
      <c r="W1757" s="256" t="str">
        <f ca="1">IF(D1757="","",IF(T1757="","",IF(OR(J1757="巻足し",J1757="巻返しリード付け"),"",IF(J1757="巻返し",VLOOKUP(F1757&amp;K1757&amp;M1757,製品マスタ!$M$5:$AD$4999,18,FALSE),IF(OR(J1757="リード付け",J1757="巻返しリード付け"),"原反コア",IF(J1757="スリット",VLOOKUP(F1757&amp;K1757&amp;R1757,製品マスタ!$N$5:$AD$4999,17,FALSE),""))))))</f>
        <v/>
      </c>
      <c r="X1757" s="256" t="str">
        <f ca="1">IF(D1757="","",IF(T1757="","",IF(J1757="巻足し","",IF(J1757="巻返し",VLOOKUP(F1757&amp;K1757&amp;M1757,製品マスタ!$M$5:$AE$4999,19,FALSE),IF(OR(J1757="リード付け",J1757="巻返しリード付け"),"",IF(J1757="スリット",VLOOKUP(F1757&amp;K1757&amp;R1757,製品マスタ!$N$5:$AE$4999,18,FALSE),""))))))</f>
        <v/>
      </c>
      <c r="Y1757" s="256">
        <f ca="1">IF(D1757="","",IF(T1757="","",VLOOKUP(D1757,契約台帳!$A$3:$Q$4986,17,FALSE)))</f>
        <v>2</v>
      </c>
      <c r="Z1757" s="256" t="str">
        <f ca="1">IF(D1757="","",IF(T1757="","",VLOOKUP(D1757,契約台帳!$A$3:$E$4986,5,FALSE)))</f>
        <v>新タック化成㈱</v>
      </c>
      <c r="AA1757" s="54"/>
      <c r="AB1757" s="200" t="str">
        <f>IFERROR((VLOOKUP(F1757&amp;K1757&amp;M1757,製品マスタ!$M$5:$AM$4999,27,FALSE)),"")</f>
        <v>原反ケース再利用</v>
      </c>
      <c r="AC1757" s="31"/>
      <c r="AD1757" s="184"/>
      <c r="AE1757" s="51"/>
      <c r="AF1757" s="52">
        <f>+M1757*N1757*O1757/1000</f>
        <v>7289.5</v>
      </c>
      <c r="AG1757" s="41"/>
      <c r="AH1757" s="45"/>
      <c r="AI1757" s="28"/>
      <c r="AJ1757" s="28"/>
      <c r="AK1757" s="28"/>
      <c r="AL1757" s="28"/>
      <c r="AM1757" s="12"/>
      <c r="AN1757" s="12"/>
      <c r="AO1757" s="12"/>
      <c r="AP1757" s="12"/>
      <c r="AQ1757" s="12"/>
      <c r="AR1757" s="13"/>
      <c r="AS1757" s="14"/>
    </row>
    <row r="1758" spans="1:45" s="16" customFormat="1" ht="30.95" hidden="1" customHeight="1" x14ac:dyDescent="0.2">
      <c r="A1758" s="35"/>
      <c r="B1758" s="36"/>
      <c r="C1758" s="43"/>
      <c r="D1758" s="29"/>
      <c r="E1758" s="29"/>
      <c r="F1758" s="255"/>
      <c r="G1758" s="256"/>
      <c r="H1758" s="256"/>
      <c r="I1758" s="200"/>
      <c r="J1758" s="203"/>
      <c r="K1758" s="200"/>
      <c r="L1758" s="200"/>
      <c r="M1758" s="37"/>
      <c r="N1758" s="37"/>
      <c r="O1758" s="153"/>
      <c r="P1758" s="45"/>
      <c r="Q1758" s="54"/>
      <c r="R1758" s="260"/>
      <c r="S1758" s="258"/>
      <c r="T1758" s="258"/>
      <c r="U1758" s="38"/>
      <c r="V1758" s="261"/>
      <c r="W1758" s="256"/>
      <c r="X1758" s="256"/>
      <c r="Y1758" s="256"/>
      <c r="Z1758" s="256"/>
      <c r="AA1758" s="54"/>
      <c r="AB1758" s="200"/>
      <c r="AC1758" s="31"/>
      <c r="AD1758" s="184"/>
      <c r="AE1758" s="51"/>
      <c r="AF1758" s="52"/>
      <c r="AG1758" s="41"/>
      <c r="AH1758" s="45"/>
      <c r="AI1758" s="28"/>
      <c r="AJ1758" s="28"/>
      <c r="AK1758" s="28"/>
      <c r="AL1758" s="28"/>
      <c r="AM1758" s="12"/>
      <c r="AN1758" s="12"/>
      <c r="AO1758" s="12"/>
      <c r="AP1758" s="12"/>
      <c r="AQ1758" s="12"/>
      <c r="AR1758" s="13"/>
      <c r="AS1758" s="14"/>
    </row>
    <row r="1759" spans="1:45" s="16" customFormat="1" ht="30.6" hidden="1" customHeight="1" x14ac:dyDescent="0.2">
      <c r="A1759" s="35"/>
      <c r="B1759" s="36"/>
      <c r="C1759" s="43"/>
      <c r="D1759" s="29">
        <v>3750071</v>
      </c>
      <c r="E1759" s="29">
        <v>4162264</v>
      </c>
      <c r="F1759" s="255" t="str">
        <f>IF(D1759="","",VLOOKUP(D1759,契約台帳!$A$3:$K$4986,6,FALSE)&amp;VLOOKUP(D1759,契約台帳!$A$3:$K$4986,7,FALSE)&amp;VLOOKUP(D1759,契約台帳!$A$3:$K$4986,8,FALSE)&amp;VLOOKUP(D1759,契約台帳!$A$3:$K$4986,9,FALSE)&amp;VLOOKUP(D1759,契約台帳!$A$3:$K$4986,11,FALSE))</f>
        <v>3SNMLBMNGTBF</v>
      </c>
      <c r="G1759" s="256" t="str">
        <f>IF(D1759="","",VLOOKUP(F1759,製品マスタ!$G$5:$H$4999,2,FALSE))</f>
        <v>S</v>
      </c>
      <c r="H1759" s="256" t="str">
        <f>IF(D1759="","",VLOOKUP(F1759,製品マスタ!$G$5:$K$4999,5,FALSE))</f>
        <v>MNGTBF</v>
      </c>
      <c r="I1759" s="200" t="str">
        <f>IF(D1759="","",VLOOKUP(F1759,製品マスタ!$G$5:$L$4999,6,FALSE))</f>
        <v>メタルミー　ネーマー　銀艶　Ｂ</v>
      </c>
      <c r="J1759" s="203" t="s">
        <v>935</v>
      </c>
      <c r="K1759" s="200">
        <f>IF(D1759="","",VLOOKUP(D1759,契約台帳!$A$3:$L$4986,12,FALSE))</f>
        <v>50</v>
      </c>
      <c r="L1759" s="200" t="str">
        <f>IF(D1759="","",INDEX(製品マスタ!$Q$5:$Q$4999,MATCH('S4'!F1759&amp;'S4'!K1759,製品マスタ!$AO$5:$AO$4999,0)))</f>
        <v>T62</v>
      </c>
      <c r="M1759" s="37">
        <v>1120</v>
      </c>
      <c r="N1759" s="37">
        <v>5000</v>
      </c>
      <c r="O1759" s="153">
        <v>14</v>
      </c>
      <c r="P1759" s="45">
        <v>2</v>
      </c>
      <c r="Q1759" s="206">
        <v>45377</v>
      </c>
      <c r="R1759" s="257">
        <f ca="1">IF(D1759="","",IF(OFFSET(D1759,-1,0)&lt;&gt;"","",IF(OR(J1759="リード付け",J1759="巻足し",J1759="巻返しリード付け"),M1759,VLOOKUP(D1759,契約台帳!$A$3:$N$4986,14,FALSE))))</f>
        <v>1120</v>
      </c>
      <c r="S1759" s="258">
        <f ca="1">IF(D1759="","",IF(OFFSET(D1759,-1,0)&lt;&gt;"","",IF(OR(J1759="リード付け",J1759="巻足し",J1759="巻返しリード付け"),M1759,VLOOKUP(D1759,契約台帳!$A$3:$O$4986,15,FALSE))))</f>
        <v>1120</v>
      </c>
      <c r="T1759" s="258">
        <f ca="1">IF(D1759="","",IF(J1759="リード付け",N1759,IF(J1759="巻返しリード付け",N1759,IF(J1759="巻足し",N1759*P1759+OFFSET(N1759,1,0)*OFFSET(P1759,1,0),VLOOKUP(D1759,契約台帳!$A$3:$P$4986,16,FALSE)))))</f>
        <v>10000</v>
      </c>
      <c r="U1759" s="38">
        <v>7</v>
      </c>
      <c r="V1759" s="259">
        <f ca="1">IF(D1759="","",IF(OFFSET(D1759,-2,0)=D1759,"",VLOOKUP(D1759,契約台帳!$A$3:$R$4986,18,FALSE)))</f>
        <v>50</v>
      </c>
      <c r="W1759" s="256" t="str">
        <f ca="1">IF(D1759="","",IF(T1759="","",IF(OR(J1759="巻足し",J1759="巻返しリード付け"),"",IF(J1759="巻返し",VLOOKUP(F1759&amp;K1759&amp;M1759,製品マスタ!$M$5:$AD$4999,18,FALSE),IF(OR(J1759="リード付け",J1759="巻返しリード付け"),"原反コア",IF(J1759="スリット",VLOOKUP(F1759&amp;K1759&amp;R1759,製品マスタ!$N$5:$AD$4999,17,FALSE),""))))))</f>
        <v/>
      </c>
      <c r="X1759" s="256" t="str">
        <f ca="1">IF(D1759="","",IF(T1759="","",IF(J1759="巻足し","",IF(J1759="巻返し",VLOOKUP(F1759&amp;K1759&amp;M1759,製品マスタ!$M$5:$AE$4999,19,FALSE),IF(OR(J1759="リード付け",J1759="巻返しリード付け"),"",IF(J1759="スリット",VLOOKUP(F1759&amp;K1759&amp;R1759,製品マスタ!$N$5:$AE$4999,18,FALSE),""))))))</f>
        <v/>
      </c>
      <c r="Y1759" s="256">
        <f ca="1">IF(D1759="","",IF(T1759="","",VLOOKUP(D1759,契約台帳!$A$3:$Q$4986,17,FALSE)))</f>
        <v>2</v>
      </c>
      <c r="Z1759" s="256" t="str">
        <f ca="1">IF(D1759="","",IF(T1759="","",VLOOKUP(D1759,契約台帳!$A$3:$E$4986,5,FALSE)))</f>
        <v>リンテック㈱</v>
      </c>
      <c r="AA1759" s="54"/>
      <c r="AB1759" s="200" t="str">
        <f>IFERROR((VLOOKUP(F1759&amp;K1759&amp;M1759,製品マスタ!$M$5:$AM$4999,27,FALSE)),"")</f>
        <v>原反ケース再利用</v>
      </c>
      <c r="AC1759" s="31"/>
      <c r="AD1759" s="184"/>
      <c r="AE1759" s="51"/>
      <c r="AF1759" s="52">
        <f>+M1759*N1759*O1759/1000</f>
        <v>78400</v>
      </c>
      <c r="AG1759" s="41"/>
      <c r="AH1759" s="45"/>
      <c r="AI1759" s="28"/>
      <c r="AJ1759" s="28"/>
      <c r="AK1759" s="28"/>
      <c r="AL1759" s="28"/>
      <c r="AM1759" s="12"/>
      <c r="AN1759" s="12"/>
      <c r="AO1759" s="12"/>
      <c r="AP1759" s="12"/>
      <c r="AQ1759" s="12"/>
      <c r="AR1759" s="13"/>
      <c r="AS1759" s="14"/>
    </row>
    <row r="1760" spans="1:45" s="16" customFormat="1" ht="30.95" hidden="1" customHeight="1" x14ac:dyDescent="0.2">
      <c r="A1760" s="35"/>
      <c r="B1760" s="36"/>
      <c r="C1760" s="43"/>
      <c r="D1760" s="29"/>
      <c r="E1760" s="29"/>
      <c r="F1760" s="255"/>
      <c r="G1760" s="256"/>
      <c r="H1760" s="256"/>
      <c r="I1760" s="200"/>
      <c r="J1760" s="203"/>
      <c r="K1760" s="200"/>
      <c r="L1760" s="200"/>
      <c r="M1760" s="37"/>
      <c r="N1760" s="37"/>
      <c r="O1760" s="153"/>
      <c r="P1760" s="45"/>
      <c r="Q1760" s="54"/>
      <c r="R1760" s="260"/>
      <c r="S1760" s="258"/>
      <c r="T1760" s="258"/>
      <c r="U1760" s="38"/>
      <c r="V1760" s="261"/>
      <c r="W1760" s="256"/>
      <c r="X1760" s="256"/>
      <c r="Y1760" s="256"/>
      <c r="Z1760" s="256"/>
      <c r="AA1760" s="54"/>
      <c r="AB1760" s="200"/>
      <c r="AC1760" s="31"/>
      <c r="AD1760" s="184"/>
      <c r="AE1760" s="51"/>
      <c r="AF1760" s="52"/>
      <c r="AG1760" s="41"/>
      <c r="AH1760" s="45"/>
      <c r="AI1760" s="28"/>
      <c r="AJ1760" s="28"/>
      <c r="AK1760" s="28"/>
      <c r="AL1760" s="28"/>
      <c r="AM1760" s="12"/>
      <c r="AN1760" s="12"/>
      <c r="AO1760" s="12"/>
      <c r="AP1760" s="12"/>
      <c r="AQ1760" s="12"/>
      <c r="AR1760" s="13"/>
      <c r="AS1760" s="14"/>
    </row>
    <row r="1761" spans="1:45" s="16" customFormat="1" ht="30.6" hidden="1" customHeight="1" x14ac:dyDescent="0.2">
      <c r="A1761" s="35" t="s">
        <v>976</v>
      </c>
      <c r="B1761" s="36" t="s">
        <v>443</v>
      </c>
      <c r="C1761" s="43"/>
      <c r="D1761" s="29">
        <v>3750071</v>
      </c>
      <c r="E1761" s="29">
        <v>4162264</v>
      </c>
      <c r="F1761" s="255" t="str">
        <f>IF(D1761="","",VLOOKUP(D1761,契約台帳!$A$3:$K$4986,6,FALSE)&amp;VLOOKUP(D1761,契約台帳!$A$3:$K$4986,7,FALSE)&amp;VLOOKUP(D1761,契約台帳!$A$3:$K$4986,8,FALSE)&amp;VLOOKUP(D1761,契約台帳!$A$3:$K$4986,9,FALSE)&amp;VLOOKUP(D1761,契約台帳!$A$3:$K$4986,11,FALSE))</f>
        <v>3SNMLBMNGTBF</v>
      </c>
      <c r="G1761" s="256" t="str">
        <f>IF(D1761="","",VLOOKUP(F1761,製品マスタ!$G$5:$H$4999,2,FALSE))</f>
        <v>S</v>
      </c>
      <c r="H1761" s="256" t="str">
        <f>IF(D1761="","",VLOOKUP(F1761,製品マスタ!$G$5:$K$4999,5,FALSE))</f>
        <v>MNGTBF</v>
      </c>
      <c r="I1761" s="200" t="str">
        <f>IF(D1761="","",VLOOKUP(F1761,製品マスタ!$G$5:$L$4999,6,FALSE))</f>
        <v>メタルミー　ネーマー　銀艶　Ｂ</v>
      </c>
      <c r="J1761" s="203" t="s">
        <v>935</v>
      </c>
      <c r="K1761" s="200">
        <f>IF(D1761="","",VLOOKUP(D1761,契約台帳!$A$3:$L$4986,12,FALSE))</f>
        <v>50</v>
      </c>
      <c r="L1761" s="200" t="str">
        <f>IF(D1761="","",INDEX(製品マスタ!$Q$5:$Q$4999,MATCH('S4'!F1761&amp;'S4'!K1761,製品マスタ!$AO$5:$AO$4999,0)))</f>
        <v>T62</v>
      </c>
      <c r="M1761" s="37">
        <v>1120</v>
      </c>
      <c r="N1761" s="37">
        <v>5000</v>
      </c>
      <c r="O1761" s="153">
        <v>18</v>
      </c>
      <c r="P1761" s="45">
        <v>2</v>
      </c>
      <c r="Q1761" s="206">
        <v>45378</v>
      </c>
      <c r="R1761" s="257">
        <f ca="1">IF(D1761="","",IF(OFFSET(D1761,-1,0)&lt;&gt;"","",IF(OR(J1761="リード付け",J1761="巻足し",J1761="巻返しリード付け"),M1761,VLOOKUP(D1761,契約台帳!$A$3:$N$4986,14,FALSE))))</f>
        <v>1120</v>
      </c>
      <c r="S1761" s="258">
        <f ca="1">IF(D1761="","",IF(OFFSET(D1761,-1,0)&lt;&gt;"","",IF(OR(J1761="リード付け",J1761="巻足し",J1761="巻返しリード付け"),M1761,VLOOKUP(D1761,契約台帳!$A$3:$O$4986,15,FALSE))))</f>
        <v>1120</v>
      </c>
      <c r="T1761" s="258">
        <f ca="1">IF(D1761="","",IF(J1761="リード付け",N1761,IF(J1761="巻返しリード付け",N1761,IF(J1761="巻足し",N1761*P1761+OFFSET(N1761,1,0)*OFFSET(P1761,1,0),VLOOKUP(D1761,契約台帳!$A$3:$P$4986,16,FALSE)))))</f>
        <v>10000</v>
      </c>
      <c r="U1761" s="38">
        <v>9</v>
      </c>
      <c r="V1761" s="259" t="str">
        <f ca="1">IF(D1761="","",IF(OFFSET(D1761,-2,0)=D1761,"",VLOOKUP(D1761,契約台帳!$A$3:$R$4986,18,FALSE)))</f>
        <v/>
      </c>
      <c r="W1761" s="256" t="str">
        <f ca="1">IF(D1761="","",IF(T1761="","",IF(OR(J1761="巻足し",J1761="巻返しリード付け"),"",IF(J1761="巻返し",VLOOKUP(F1761&amp;K1761&amp;M1761,製品マスタ!$M$5:$AD$4999,18,FALSE),IF(OR(J1761="リード付け",J1761="巻返しリード付け"),"原反コア",IF(J1761="スリット",VLOOKUP(F1761&amp;K1761&amp;R1761,製品マスタ!$N$5:$AD$4999,17,FALSE),""))))))</f>
        <v/>
      </c>
      <c r="X1761" s="256" t="str">
        <f ca="1">IF(D1761="","",IF(T1761="","",IF(J1761="巻足し","",IF(J1761="巻返し",VLOOKUP(F1761&amp;K1761&amp;M1761,製品マスタ!$M$5:$AE$4999,19,FALSE),IF(OR(J1761="リード付け",J1761="巻返しリード付け"),"",IF(J1761="スリット",VLOOKUP(F1761&amp;K1761&amp;R1761,製品マスタ!$N$5:$AE$4999,18,FALSE),""))))))</f>
        <v/>
      </c>
      <c r="Y1761" s="256">
        <f ca="1">IF(D1761="","",IF(T1761="","",VLOOKUP(D1761,契約台帳!$A$3:$Q$4986,17,FALSE)))</f>
        <v>2</v>
      </c>
      <c r="Z1761" s="256" t="str">
        <f ca="1">IF(D1761="","",IF(T1761="","",VLOOKUP(D1761,契約台帳!$A$3:$E$4986,5,FALSE)))</f>
        <v>リンテック㈱</v>
      </c>
      <c r="AA1761" s="54"/>
      <c r="AB1761" s="200" t="str">
        <f>IFERROR((VLOOKUP(F1761&amp;K1761&amp;M1761,製品マスタ!$M$5:$AM$4999,27,FALSE)),"")</f>
        <v>原反ケース再利用</v>
      </c>
      <c r="AC1761" s="31"/>
      <c r="AD1761" s="184"/>
      <c r="AE1761" s="51"/>
      <c r="AF1761" s="52">
        <f>+M1761*N1761*O1761/1000</f>
        <v>100800</v>
      </c>
      <c r="AG1761" s="41"/>
      <c r="AH1761" s="45"/>
      <c r="AI1761" s="28"/>
      <c r="AJ1761" s="28"/>
      <c r="AK1761" s="28"/>
      <c r="AL1761" s="28"/>
      <c r="AM1761" s="12"/>
      <c r="AN1761" s="12"/>
      <c r="AO1761" s="12"/>
      <c r="AP1761" s="12"/>
      <c r="AQ1761" s="12"/>
      <c r="AR1761" s="13"/>
      <c r="AS1761" s="14"/>
    </row>
    <row r="1762" spans="1:45" s="16" customFormat="1" ht="30.95" hidden="1" customHeight="1" x14ac:dyDescent="0.2">
      <c r="A1762" s="35"/>
      <c r="B1762" s="36"/>
      <c r="C1762" s="43"/>
      <c r="D1762" s="29"/>
      <c r="E1762" s="29"/>
      <c r="F1762" s="255"/>
      <c r="G1762" s="256"/>
      <c r="H1762" s="256"/>
      <c r="I1762" s="200"/>
      <c r="J1762" s="203"/>
      <c r="K1762" s="200"/>
      <c r="L1762" s="200"/>
      <c r="M1762" s="37"/>
      <c r="N1762" s="37"/>
      <c r="O1762" s="153"/>
      <c r="P1762" s="45"/>
      <c r="Q1762" s="54"/>
      <c r="R1762" s="260"/>
      <c r="S1762" s="258"/>
      <c r="T1762" s="258"/>
      <c r="U1762" s="38"/>
      <c r="V1762" s="261"/>
      <c r="W1762" s="256"/>
      <c r="X1762" s="256"/>
      <c r="Y1762" s="256"/>
      <c r="Z1762" s="256"/>
      <c r="AA1762" s="54"/>
      <c r="AB1762" s="200"/>
      <c r="AC1762" s="31"/>
      <c r="AD1762" s="184"/>
      <c r="AE1762" s="51"/>
      <c r="AF1762" s="52"/>
      <c r="AG1762" s="41"/>
      <c r="AH1762" s="45"/>
      <c r="AI1762" s="28"/>
      <c r="AJ1762" s="28"/>
      <c r="AK1762" s="28"/>
      <c r="AL1762" s="28"/>
      <c r="AM1762" s="12"/>
      <c r="AN1762" s="12"/>
      <c r="AO1762" s="12"/>
      <c r="AP1762" s="12"/>
      <c r="AQ1762" s="12"/>
      <c r="AR1762" s="13"/>
      <c r="AS1762" s="14"/>
    </row>
    <row r="1763" spans="1:45" s="16" customFormat="1" ht="30.6" hidden="1" customHeight="1" x14ac:dyDescent="0.2">
      <c r="A1763" s="35" t="s">
        <v>977</v>
      </c>
      <c r="B1763" s="36" t="s">
        <v>444</v>
      </c>
      <c r="C1763" s="43"/>
      <c r="D1763" s="29">
        <v>3750071</v>
      </c>
      <c r="E1763" s="29">
        <v>4162264</v>
      </c>
      <c r="F1763" s="255" t="str">
        <f>IF(D1763="","",VLOOKUP(D1763,契約台帳!$A$3:$K$4986,6,FALSE)&amp;VLOOKUP(D1763,契約台帳!$A$3:$K$4986,7,FALSE)&amp;VLOOKUP(D1763,契約台帳!$A$3:$K$4986,8,FALSE)&amp;VLOOKUP(D1763,契約台帳!$A$3:$K$4986,9,FALSE)&amp;VLOOKUP(D1763,契約台帳!$A$3:$K$4986,11,FALSE))</f>
        <v>3SNMLBMNGTBF</v>
      </c>
      <c r="G1763" s="256" t="str">
        <f>IF(D1763="","",VLOOKUP(F1763,製品マスタ!$G$5:$H$4999,2,FALSE))</f>
        <v>S</v>
      </c>
      <c r="H1763" s="256" t="str">
        <f>IF(D1763="","",VLOOKUP(F1763,製品マスタ!$G$5:$K$4999,5,FALSE))</f>
        <v>MNGTBF</v>
      </c>
      <c r="I1763" s="200" t="str">
        <f>IF(D1763="","",VLOOKUP(F1763,製品マスタ!$G$5:$L$4999,6,FALSE))</f>
        <v>メタルミー　ネーマー　銀艶　Ｂ</v>
      </c>
      <c r="J1763" s="203" t="s">
        <v>935</v>
      </c>
      <c r="K1763" s="200">
        <f>IF(D1763="","",VLOOKUP(D1763,契約台帳!$A$3:$L$4986,12,FALSE))</f>
        <v>50</v>
      </c>
      <c r="L1763" s="200" t="str">
        <f>IF(D1763="","",INDEX(製品マスタ!$Q$5:$Q$4999,MATCH('S4'!F1763&amp;'S4'!K1763,製品マスタ!$AO$5:$AO$4999,0)))</f>
        <v>T62</v>
      </c>
      <c r="M1763" s="37">
        <v>1120</v>
      </c>
      <c r="N1763" s="37">
        <v>5000</v>
      </c>
      <c r="O1763" s="153">
        <v>18</v>
      </c>
      <c r="P1763" s="45">
        <v>2</v>
      </c>
      <c r="Q1763" s="206">
        <v>45378</v>
      </c>
      <c r="R1763" s="257">
        <f ca="1">IF(D1763="","",IF(OFFSET(D1763,-1,0)&lt;&gt;"","",IF(OR(J1763="リード付け",J1763="巻足し",J1763="巻返しリード付け"),M1763,VLOOKUP(D1763,契約台帳!$A$3:$N$4986,14,FALSE))))</f>
        <v>1120</v>
      </c>
      <c r="S1763" s="258">
        <f ca="1">IF(D1763="","",IF(OFFSET(D1763,-1,0)&lt;&gt;"","",IF(OR(J1763="リード付け",J1763="巻足し",J1763="巻返しリード付け"),M1763,VLOOKUP(D1763,契約台帳!$A$3:$O$4986,15,FALSE))))</f>
        <v>1120</v>
      </c>
      <c r="T1763" s="258">
        <f ca="1">IF(D1763="","",IF(J1763="リード付け",N1763,IF(J1763="巻返しリード付け",N1763,IF(J1763="巻足し",N1763*P1763+OFFSET(N1763,1,0)*OFFSET(P1763,1,0),VLOOKUP(D1763,契約台帳!$A$3:$P$4986,16,FALSE)))))</f>
        <v>10000</v>
      </c>
      <c r="U1763" s="38">
        <v>9</v>
      </c>
      <c r="V1763" s="259" t="str">
        <f ca="1">IF(D1763="","",IF(OFFSET(D1763,-2,0)=D1763,"",VLOOKUP(D1763,契約台帳!$A$3:$R$4986,18,FALSE)))</f>
        <v/>
      </c>
      <c r="W1763" s="256" t="str">
        <f ca="1">IF(D1763="","",IF(T1763="","",IF(OR(J1763="巻足し",J1763="巻返しリード付け"),"",IF(J1763="巻返し",VLOOKUP(F1763&amp;K1763&amp;M1763,製品マスタ!$M$5:$AD$4999,18,FALSE),IF(OR(J1763="リード付け",J1763="巻返しリード付け"),"原反コア",IF(J1763="スリット",VLOOKUP(F1763&amp;K1763&amp;R1763,製品マスタ!$N$5:$AD$4999,17,FALSE),""))))))</f>
        <v/>
      </c>
      <c r="X1763" s="256" t="str">
        <f ca="1">IF(D1763="","",IF(T1763="","",IF(J1763="巻足し","",IF(J1763="巻返し",VLOOKUP(F1763&amp;K1763&amp;M1763,製品マスタ!$M$5:$AE$4999,19,FALSE),IF(OR(J1763="リード付け",J1763="巻返しリード付け"),"",IF(J1763="スリット",VLOOKUP(F1763&amp;K1763&amp;R1763,製品マスタ!$N$5:$AE$4999,18,FALSE),""))))))</f>
        <v/>
      </c>
      <c r="Y1763" s="256">
        <f ca="1">IF(D1763="","",IF(T1763="","",VLOOKUP(D1763,契約台帳!$A$3:$Q$4986,17,FALSE)))</f>
        <v>2</v>
      </c>
      <c r="Z1763" s="256" t="str">
        <f ca="1">IF(D1763="","",IF(T1763="","",VLOOKUP(D1763,契約台帳!$A$3:$E$4986,5,FALSE)))</f>
        <v>リンテック㈱</v>
      </c>
      <c r="AA1763" s="54"/>
      <c r="AB1763" s="200" t="str">
        <f>IFERROR((VLOOKUP(F1763&amp;K1763&amp;M1763,製品マスタ!$M$5:$AM$4999,27,FALSE)),"")</f>
        <v>原反ケース再利用</v>
      </c>
      <c r="AC1763" s="31"/>
      <c r="AD1763" s="184"/>
      <c r="AE1763" s="51"/>
      <c r="AF1763" s="52">
        <f>+M1763*N1763*O1763/1000</f>
        <v>100800</v>
      </c>
      <c r="AG1763" s="41"/>
      <c r="AH1763" s="45"/>
      <c r="AI1763" s="28"/>
      <c r="AJ1763" s="28"/>
      <c r="AK1763" s="28"/>
      <c r="AL1763" s="28"/>
      <c r="AM1763" s="12"/>
      <c r="AN1763" s="12"/>
      <c r="AO1763" s="12"/>
      <c r="AP1763" s="12"/>
      <c r="AQ1763" s="12"/>
      <c r="AR1763" s="13"/>
      <c r="AS1763" s="14"/>
    </row>
    <row r="1764" spans="1:45" s="16" customFormat="1" ht="30.95" hidden="1" customHeight="1" x14ac:dyDescent="0.2">
      <c r="A1764" s="35"/>
      <c r="B1764" s="36"/>
      <c r="C1764" s="43"/>
      <c r="D1764" s="29"/>
      <c r="E1764" s="29"/>
      <c r="F1764" s="255"/>
      <c r="G1764" s="256"/>
      <c r="H1764" s="256"/>
      <c r="I1764" s="200"/>
      <c r="J1764" s="203"/>
      <c r="K1764" s="200"/>
      <c r="L1764" s="200"/>
      <c r="M1764" s="37"/>
      <c r="N1764" s="37"/>
      <c r="O1764" s="153"/>
      <c r="P1764" s="45"/>
      <c r="Q1764" s="54"/>
      <c r="R1764" s="260"/>
      <c r="S1764" s="258"/>
      <c r="T1764" s="258"/>
      <c r="U1764" s="38"/>
      <c r="V1764" s="261"/>
      <c r="W1764" s="256"/>
      <c r="X1764" s="256"/>
      <c r="Y1764" s="256"/>
      <c r="Z1764" s="256"/>
      <c r="AA1764" s="54"/>
      <c r="AB1764" s="200"/>
      <c r="AC1764" s="31"/>
      <c r="AD1764" s="184"/>
      <c r="AE1764" s="51"/>
      <c r="AF1764" s="52"/>
      <c r="AG1764" s="41"/>
      <c r="AH1764" s="45"/>
      <c r="AI1764" s="28"/>
      <c r="AJ1764" s="28"/>
      <c r="AK1764" s="28"/>
      <c r="AL1764" s="28"/>
      <c r="AM1764" s="12"/>
      <c r="AN1764" s="12"/>
      <c r="AO1764" s="12"/>
      <c r="AP1764" s="12"/>
      <c r="AQ1764" s="12"/>
      <c r="AR1764" s="13"/>
      <c r="AS1764" s="14"/>
    </row>
    <row r="1765" spans="1:45" s="16" customFormat="1" ht="30.95" hidden="1" customHeight="1" x14ac:dyDescent="0.2">
      <c r="A1765" s="35" t="s">
        <v>2324</v>
      </c>
      <c r="B1765" s="36" t="s">
        <v>2310</v>
      </c>
      <c r="C1765" s="43"/>
      <c r="D1765" s="29"/>
      <c r="E1765" s="29"/>
      <c r="F1765" s="255"/>
      <c r="G1765" s="256"/>
      <c r="H1765" s="256"/>
      <c r="I1765" s="200"/>
      <c r="J1765" s="203" t="s">
        <v>2320</v>
      </c>
      <c r="K1765" s="200"/>
      <c r="L1765" s="200"/>
      <c r="M1765" s="37"/>
      <c r="N1765" s="37"/>
      <c r="O1765" s="153"/>
      <c r="P1765" s="45"/>
      <c r="Q1765" s="54"/>
      <c r="R1765" s="260"/>
      <c r="S1765" s="258"/>
      <c r="T1765" s="258"/>
      <c r="U1765" s="38"/>
      <c r="V1765" s="261"/>
      <c r="W1765" s="256"/>
      <c r="X1765" s="256"/>
      <c r="Y1765" s="256"/>
      <c r="Z1765" s="256"/>
      <c r="AA1765" s="54"/>
      <c r="AB1765" s="200"/>
      <c r="AC1765" s="31"/>
      <c r="AD1765" s="184"/>
      <c r="AE1765" s="51"/>
      <c r="AF1765" s="52"/>
      <c r="AG1765" s="41"/>
      <c r="AH1765" s="45"/>
      <c r="AI1765" s="28"/>
      <c r="AJ1765" s="28"/>
      <c r="AK1765" s="28"/>
      <c r="AL1765" s="28"/>
      <c r="AM1765" s="12"/>
      <c r="AN1765" s="12"/>
      <c r="AO1765" s="12"/>
      <c r="AP1765" s="12"/>
      <c r="AQ1765" s="12"/>
      <c r="AR1765" s="13"/>
      <c r="AS1765" s="14"/>
    </row>
    <row r="1766" spans="1:45" s="16" customFormat="1" ht="30.95" hidden="1" customHeight="1" x14ac:dyDescent="0.2">
      <c r="A1766" s="35"/>
      <c r="B1766" s="36"/>
      <c r="C1766" s="43"/>
      <c r="D1766" s="29"/>
      <c r="E1766" s="29"/>
      <c r="F1766" s="255"/>
      <c r="G1766" s="256"/>
      <c r="H1766" s="256"/>
      <c r="I1766" s="200"/>
      <c r="J1766" s="203"/>
      <c r="K1766" s="200"/>
      <c r="L1766" s="200"/>
      <c r="M1766" s="37"/>
      <c r="N1766" s="37"/>
      <c r="O1766" s="153"/>
      <c r="P1766" s="45"/>
      <c r="Q1766" s="54"/>
      <c r="R1766" s="260"/>
      <c r="S1766" s="258"/>
      <c r="T1766" s="258"/>
      <c r="U1766" s="38"/>
      <c r="V1766" s="261"/>
      <c r="W1766" s="256"/>
      <c r="X1766" s="256"/>
      <c r="Y1766" s="256"/>
      <c r="Z1766" s="256"/>
      <c r="AA1766" s="54"/>
      <c r="AB1766" s="200"/>
      <c r="AC1766" s="31"/>
      <c r="AD1766" s="184"/>
      <c r="AE1766" s="51"/>
      <c r="AF1766" s="52"/>
      <c r="AG1766" s="41"/>
      <c r="AH1766" s="45"/>
      <c r="AI1766" s="28"/>
      <c r="AJ1766" s="28"/>
      <c r="AK1766" s="28"/>
      <c r="AL1766" s="28"/>
      <c r="AM1766" s="12"/>
      <c r="AN1766" s="12"/>
      <c r="AO1766" s="12"/>
      <c r="AP1766" s="12"/>
      <c r="AQ1766" s="12"/>
      <c r="AR1766" s="13"/>
      <c r="AS1766" s="14"/>
    </row>
    <row r="1767" spans="1:45" s="16" customFormat="1" ht="30.95" hidden="1" customHeight="1" x14ac:dyDescent="0.2">
      <c r="A1767" s="35" t="s">
        <v>2323</v>
      </c>
      <c r="B1767" s="36" t="s">
        <v>2312</v>
      </c>
      <c r="C1767" s="43"/>
      <c r="D1767" s="29"/>
      <c r="E1767" s="29"/>
      <c r="F1767" s="255"/>
      <c r="G1767" s="256"/>
      <c r="H1767" s="256"/>
      <c r="I1767" s="200"/>
      <c r="J1767" s="203" t="s">
        <v>2320</v>
      </c>
      <c r="K1767" s="200"/>
      <c r="L1767" s="200"/>
      <c r="M1767" s="37"/>
      <c r="N1767" s="37"/>
      <c r="O1767" s="153"/>
      <c r="P1767" s="45"/>
      <c r="Q1767" s="54"/>
      <c r="R1767" s="260"/>
      <c r="S1767" s="258"/>
      <c r="T1767" s="258"/>
      <c r="U1767" s="38"/>
      <c r="V1767" s="261"/>
      <c r="W1767" s="256"/>
      <c r="X1767" s="256"/>
      <c r="Y1767" s="256"/>
      <c r="Z1767" s="256"/>
      <c r="AA1767" s="54"/>
      <c r="AB1767" s="200"/>
      <c r="AC1767" s="31"/>
      <c r="AD1767" s="184"/>
      <c r="AE1767" s="51"/>
      <c r="AF1767" s="52"/>
      <c r="AG1767" s="41"/>
      <c r="AH1767" s="45"/>
      <c r="AI1767" s="28"/>
      <c r="AJ1767" s="28"/>
      <c r="AK1767" s="28"/>
      <c r="AL1767" s="28"/>
      <c r="AM1767" s="12"/>
      <c r="AN1767" s="12"/>
      <c r="AO1767" s="12"/>
      <c r="AP1767" s="12"/>
      <c r="AQ1767" s="12"/>
      <c r="AR1767" s="13"/>
      <c r="AS1767" s="14"/>
    </row>
    <row r="1768" spans="1:45" s="16" customFormat="1" ht="30.95" hidden="1" customHeight="1" x14ac:dyDescent="0.2">
      <c r="A1768" s="35"/>
      <c r="B1768" s="36"/>
      <c r="C1768" s="43"/>
      <c r="D1768" s="29"/>
      <c r="E1768" s="29"/>
      <c r="F1768" s="255"/>
      <c r="G1768" s="256"/>
      <c r="H1768" s="256"/>
      <c r="I1768" s="200"/>
      <c r="J1768" s="203"/>
      <c r="K1768" s="200"/>
      <c r="L1768" s="200"/>
      <c r="M1768" s="37"/>
      <c r="N1768" s="37"/>
      <c r="O1768" s="153"/>
      <c r="P1768" s="45"/>
      <c r="Q1768" s="54"/>
      <c r="R1768" s="260"/>
      <c r="S1768" s="258"/>
      <c r="T1768" s="258"/>
      <c r="U1768" s="38"/>
      <c r="V1768" s="261"/>
      <c r="W1768" s="256"/>
      <c r="X1768" s="256"/>
      <c r="Y1768" s="256"/>
      <c r="Z1768" s="256"/>
      <c r="AA1768" s="54"/>
      <c r="AB1768" s="200"/>
      <c r="AC1768" s="31"/>
      <c r="AD1768" s="184"/>
      <c r="AE1768" s="51"/>
      <c r="AF1768" s="52"/>
      <c r="AG1768" s="41"/>
      <c r="AH1768" s="45"/>
      <c r="AI1768" s="28"/>
      <c r="AJ1768" s="28"/>
      <c r="AK1768" s="28"/>
      <c r="AL1768" s="28"/>
      <c r="AM1768" s="12"/>
      <c r="AN1768" s="12"/>
      <c r="AO1768" s="12"/>
      <c r="AP1768" s="12"/>
      <c r="AQ1768" s="12"/>
      <c r="AR1768" s="13"/>
      <c r="AS1768" s="14"/>
    </row>
    <row r="1769" spans="1:45" s="16" customFormat="1" ht="30.6" hidden="1" customHeight="1" x14ac:dyDescent="0.2">
      <c r="A1769" s="35" t="s">
        <v>980</v>
      </c>
      <c r="B1769" s="36" t="s">
        <v>462</v>
      </c>
      <c r="C1769" s="43"/>
      <c r="D1769" s="29">
        <v>3750087</v>
      </c>
      <c r="E1769" s="29">
        <v>4162270</v>
      </c>
      <c r="F1769" s="255" t="str">
        <f>IF(D1769="","",VLOOKUP(D1769,契約台帳!$A$3:$K$4986,6,FALSE)&amp;VLOOKUP(D1769,契約台帳!$A$3:$K$4986,7,FALSE)&amp;VLOOKUP(D1769,契約台帳!$A$3:$K$4986,8,FALSE)&amp;VLOOKUP(D1769,契約台帳!$A$3:$K$4986,9,FALSE)&amp;VLOOKUP(D1769,契約台帳!$A$3:$K$4986,11,FALSE))</f>
        <v>3SYMLBMSBBF</v>
      </c>
      <c r="G1769" s="256" t="str">
        <f>IF(D1769="","",VLOOKUP(F1769,製品マスタ!$G$5:$H$4999,2,FALSE))</f>
        <v>S</v>
      </c>
      <c r="H1769" s="256" t="str">
        <f>IF(D1769="","",VLOOKUP(F1769,製品マスタ!$G$5:$K$4999,5,FALSE))</f>
        <v>MSBBF</v>
      </c>
      <c r="I1769" s="200" t="str">
        <f>IF(D1769="","",VLOOKUP(F1769,製品マスタ!$G$5:$L$4999,6,FALSE))</f>
        <v>ＭＥＴＡＬＵＭＹ　ＳＩＬＶＥＲ　ＢＲＩＧＨＴ　Ｔ６２Ｍ　Ｂ</v>
      </c>
      <c r="J1769" s="203" t="s">
        <v>935</v>
      </c>
      <c r="K1769" s="200">
        <f>IF(D1769="","",VLOOKUP(D1769,契約台帳!$A$3:$L$4986,12,FALSE))</f>
        <v>50</v>
      </c>
      <c r="L1769" s="200" t="str">
        <f>IF(D1769="","",INDEX(製品マスタ!$Q$5:$Q$4999,MATCH('S4'!F1769&amp;'S4'!K1769,製品マスタ!$AO$5:$AO$4999,0)))</f>
        <v>T62</v>
      </c>
      <c r="M1769" s="37">
        <v>1120</v>
      </c>
      <c r="N1769" s="37">
        <v>5000</v>
      </c>
      <c r="O1769" s="153">
        <v>2</v>
      </c>
      <c r="P1769" s="45">
        <v>2</v>
      </c>
      <c r="Q1769" s="206">
        <v>45379</v>
      </c>
      <c r="R1769" s="257">
        <f ca="1">IF(D1769="","",IF(OFFSET(D1769,-1,0)&lt;&gt;"","",IF(OR(J1769="リード付け",J1769="巻足し",J1769="巻返しリード付け"),M1769,VLOOKUP(D1769,契約台帳!$A$3:$N$4986,14,FALSE))))</f>
        <v>1120</v>
      </c>
      <c r="S1769" s="258">
        <f ca="1">IF(D1769="","",IF(OFFSET(D1769,-1,0)&lt;&gt;"","",IF(OR(J1769="リード付け",J1769="巻足し",J1769="巻返しリード付け"),M1769,VLOOKUP(D1769,契約台帳!$A$3:$O$4986,15,FALSE))))</f>
        <v>1120</v>
      </c>
      <c r="T1769" s="258">
        <f ca="1">IF(D1769="","",IF(J1769="リード付け",N1769,IF(J1769="巻返しリード付け",N1769,IF(J1769="巻足し",N1769*P1769+OFFSET(N1769,1,0)*OFFSET(P1769,1,0),VLOOKUP(D1769,契約台帳!$A$3:$P$4986,16,FALSE)))))</f>
        <v>10000</v>
      </c>
      <c r="U1769" s="38">
        <v>1</v>
      </c>
      <c r="V1769" s="259">
        <f ca="1">IF(D1769="","",IF(OFFSET(D1769,-2,0)=D1769,"",VLOOKUP(D1769,契約台帳!$A$3:$R$4986,18,FALSE)))</f>
        <v>2</v>
      </c>
      <c r="W1769" s="256" t="str">
        <f ca="1">IF(D1769="","",IF(T1769="","",IF(OR(J1769="巻足し",J1769="巻返しリード付け"),"",IF(J1769="巻返し",VLOOKUP(F1769&amp;K1769&amp;M1769,製品マスタ!$M$5:$AD$4999,18,FALSE),IF(OR(J1769="リード付け",J1769="巻返しリード付け"),"原反コア",IF(J1769="スリット",VLOOKUP(F1769&amp;K1769&amp;R1769,製品マスタ!$N$5:$AD$4999,17,FALSE),""))))))</f>
        <v/>
      </c>
      <c r="X1769" s="256" t="str">
        <f ca="1">IF(D1769="","",IF(T1769="","",IF(J1769="巻足し","",IF(J1769="巻返し",VLOOKUP(F1769&amp;K1769&amp;M1769,製品マスタ!$M$5:$AE$4999,19,FALSE),IF(OR(J1769="リード付け",J1769="巻返しリード付け"),"",IF(J1769="スリット",VLOOKUP(F1769&amp;K1769&amp;R1769,製品マスタ!$N$5:$AE$4999,18,FALSE),""))))))</f>
        <v/>
      </c>
      <c r="Y1769" s="256">
        <f ca="1">IF(D1769="","",IF(T1769="","",VLOOKUP(D1769,契約台帳!$A$3:$Q$4986,17,FALSE)))</f>
        <v>2</v>
      </c>
      <c r="Z1769" s="256" t="str">
        <f ca="1">IF(D1769="","",IF(T1769="","",VLOOKUP(D1769,契約台帳!$A$3:$E$4986,5,FALSE)))</f>
        <v>リンテック㈱</v>
      </c>
      <c r="AA1769" s="54"/>
      <c r="AB1769" s="200" t="str">
        <f>IFERROR((VLOOKUP(F1769&amp;K1769&amp;M1769,製品マスタ!$M$5:$AM$4999,27,FALSE)),"")</f>
        <v>原反ケース再利用</v>
      </c>
      <c r="AC1769" s="31"/>
      <c r="AD1769" s="184"/>
      <c r="AE1769" s="51"/>
      <c r="AF1769" s="52">
        <f>+M1769*N1769*O1769/1000</f>
        <v>11200</v>
      </c>
      <c r="AG1769" s="41"/>
      <c r="AH1769" s="45"/>
      <c r="AI1769" s="28"/>
      <c r="AJ1769" s="28"/>
      <c r="AK1769" s="28"/>
      <c r="AL1769" s="28"/>
      <c r="AM1769" s="12"/>
      <c r="AN1769" s="12"/>
      <c r="AO1769" s="12"/>
      <c r="AP1769" s="12"/>
      <c r="AQ1769" s="12"/>
      <c r="AR1769" s="13"/>
      <c r="AS1769" s="14"/>
    </row>
    <row r="1770" spans="1:45" s="16" customFormat="1" ht="30.95" hidden="1" customHeight="1" x14ac:dyDescent="0.2">
      <c r="A1770" s="35"/>
      <c r="B1770" s="36"/>
      <c r="C1770" s="43"/>
      <c r="D1770" s="29"/>
      <c r="E1770" s="29"/>
      <c r="F1770" s="255"/>
      <c r="G1770" s="256"/>
      <c r="H1770" s="256"/>
      <c r="I1770" s="200"/>
      <c r="J1770" s="203"/>
      <c r="K1770" s="200"/>
      <c r="L1770" s="200"/>
      <c r="M1770" s="37"/>
      <c r="N1770" s="37"/>
      <c r="O1770" s="153"/>
      <c r="P1770" s="45"/>
      <c r="Q1770" s="54"/>
      <c r="R1770" s="260"/>
      <c r="S1770" s="258"/>
      <c r="T1770" s="258"/>
      <c r="U1770" s="38"/>
      <c r="V1770" s="261"/>
      <c r="W1770" s="256"/>
      <c r="X1770" s="256"/>
      <c r="Y1770" s="256"/>
      <c r="Z1770" s="256"/>
      <c r="AA1770" s="54"/>
      <c r="AB1770" s="200"/>
      <c r="AC1770" s="31"/>
      <c r="AD1770" s="184"/>
      <c r="AE1770" s="51"/>
      <c r="AF1770" s="52"/>
      <c r="AG1770" s="41"/>
      <c r="AH1770" s="45"/>
      <c r="AI1770" s="28"/>
      <c r="AJ1770" s="28"/>
      <c r="AK1770" s="28"/>
      <c r="AL1770" s="28"/>
      <c r="AM1770" s="12"/>
      <c r="AN1770" s="12"/>
      <c r="AO1770" s="12"/>
      <c r="AP1770" s="12"/>
      <c r="AQ1770" s="12"/>
      <c r="AR1770" s="13"/>
      <c r="AS1770" s="14"/>
    </row>
    <row r="1771" spans="1:45" s="16" customFormat="1" ht="30.6" hidden="1" customHeight="1" x14ac:dyDescent="0.2">
      <c r="A1771" s="35"/>
      <c r="B1771" s="36"/>
      <c r="C1771" s="43"/>
      <c r="D1771" s="29">
        <v>3750093</v>
      </c>
      <c r="E1771" s="29">
        <v>4162271</v>
      </c>
      <c r="F1771" s="255" t="str">
        <f>IF(D1771="","",VLOOKUP(D1771,契約台帳!$A$3:$K$4986,6,FALSE)&amp;VLOOKUP(D1771,契約台帳!$A$3:$K$4986,7,FALSE)&amp;VLOOKUP(D1771,契約台帳!$A$3:$K$4986,8,FALSE)&amp;VLOOKUP(D1771,契約台帳!$A$3:$K$4986,9,FALSE)&amp;VLOOKUP(D1771,契約台帳!$A$3:$K$4986,11,FALSE))</f>
        <v>3SYMLBMSBBF</v>
      </c>
      <c r="G1771" s="256" t="str">
        <f>IF(D1771="","",VLOOKUP(F1771,製品マスタ!$G$5:$H$4999,2,FALSE))</f>
        <v>S</v>
      </c>
      <c r="H1771" s="256" t="str">
        <f>IF(D1771="","",VLOOKUP(F1771,製品マスタ!$G$5:$K$4999,5,FALSE))</f>
        <v>MSBBF</v>
      </c>
      <c r="I1771" s="200" t="str">
        <f>IF(D1771="","",VLOOKUP(F1771,製品マスタ!$G$5:$L$4999,6,FALSE))</f>
        <v>ＭＥＴＡＬＵＭＹ　ＳＩＬＶＥＲ　ＢＲＩＧＨＴ　Ｔ６２Ｍ　Ｂ</v>
      </c>
      <c r="J1771" s="203" t="s">
        <v>935</v>
      </c>
      <c r="K1771" s="200">
        <f>IF(D1771="","",VLOOKUP(D1771,契約台帳!$A$3:$L$4986,12,FALSE))</f>
        <v>50</v>
      </c>
      <c r="L1771" s="200" t="str">
        <f>IF(D1771="","",INDEX(製品マスタ!$Q$5:$Q$4999,MATCH('S4'!F1771&amp;'S4'!K1771,製品マスタ!$AO$5:$AO$4999,0)))</f>
        <v>T62</v>
      </c>
      <c r="M1771" s="37">
        <v>1120</v>
      </c>
      <c r="N1771" s="37">
        <v>5000</v>
      </c>
      <c r="O1771" s="153">
        <v>2</v>
      </c>
      <c r="P1771" s="45">
        <v>2</v>
      </c>
      <c r="Q1771" s="206">
        <v>45379</v>
      </c>
      <c r="R1771" s="257">
        <f ca="1">IF(D1771="","",IF(OFFSET(D1771,-1,0)&lt;&gt;"","",IF(OR(J1771="リード付け",J1771="巻足し",J1771="巻返しリード付け"),M1771,VLOOKUP(D1771,契約台帳!$A$3:$N$4986,14,FALSE))))</f>
        <v>1120</v>
      </c>
      <c r="S1771" s="258">
        <f ca="1">IF(D1771="","",IF(OFFSET(D1771,-1,0)&lt;&gt;"","",IF(OR(J1771="リード付け",J1771="巻足し",J1771="巻返しリード付け"),M1771,VLOOKUP(D1771,契約台帳!$A$3:$O$4986,15,FALSE))))</f>
        <v>1120</v>
      </c>
      <c r="T1771" s="258">
        <f ca="1">IF(D1771="","",IF(J1771="リード付け",N1771,IF(J1771="巻返しリード付け",N1771,IF(J1771="巻足し",N1771*P1771+OFFSET(N1771,1,0)*OFFSET(P1771,1,0),VLOOKUP(D1771,契約台帳!$A$3:$P$4986,16,FALSE)))))</f>
        <v>10000</v>
      </c>
      <c r="U1771" s="38">
        <v>1</v>
      </c>
      <c r="V1771" s="259">
        <f ca="1">IF(D1771="","",IF(OFFSET(D1771,-2,0)=D1771,"",VLOOKUP(D1771,契約台帳!$A$3:$R$4986,18,FALSE)))</f>
        <v>2</v>
      </c>
      <c r="W1771" s="256" t="str">
        <f ca="1">IF(D1771="","",IF(T1771="","",IF(OR(J1771="巻足し",J1771="巻返しリード付け"),"",IF(J1771="巻返し",VLOOKUP(F1771&amp;K1771&amp;M1771,製品マスタ!$M$5:$AD$4999,18,FALSE),IF(OR(J1771="リード付け",J1771="巻返しリード付け"),"原反コア",IF(J1771="スリット",VLOOKUP(F1771&amp;K1771&amp;R1771,製品マスタ!$N$5:$AD$4999,17,FALSE),""))))))</f>
        <v/>
      </c>
      <c r="X1771" s="256" t="str">
        <f ca="1">IF(D1771="","",IF(T1771="","",IF(J1771="巻足し","",IF(J1771="巻返し",VLOOKUP(F1771&amp;K1771&amp;M1771,製品マスタ!$M$5:$AE$4999,19,FALSE),IF(OR(J1771="リード付け",J1771="巻返しリード付け"),"",IF(J1771="スリット",VLOOKUP(F1771&amp;K1771&amp;R1771,製品マスタ!$N$5:$AE$4999,18,FALSE),""))))))</f>
        <v/>
      </c>
      <c r="Y1771" s="256">
        <f ca="1">IF(D1771="","",IF(T1771="","",VLOOKUP(D1771,契約台帳!$A$3:$Q$4986,17,FALSE)))</f>
        <v>2</v>
      </c>
      <c r="Z1771" s="256" t="str">
        <f ca="1">IF(D1771="","",IF(T1771="","",VLOOKUP(D1771,契約台帳!$A$3:$E$4986,5,FALSE)))</f>
        <v>リンテック㈱</v>
      </c>
      <c r="AA1771" s="54"/>
      <c r="AB1771" s="200" t="str">
        <f>IFERROR((VLOOKUP(F1771&amp;K1771&amp;M1771,製品マスタ!$M$5:$AM$4999,27,FALSE)),"")</f>
        <v>原反ケース再利用</v>
      </c>
      <c r="AC1771" s="31"/>
      <c r="AD1771" s="184"/>
      <c r="AE1771" s="51"/>
      <c r="AF1771" s="52">
        <f>+M1771*N1771*O1771/1000</f>
        <v>11200</v>
      </c>
      <c r="AG1771" s="41"/>
      <c r="AH1771" s="45"/>
      <c r="AI1771" s="28"/>
      <c r="AJ1771" s="28"/>
      <c r="AK1771" s="28"/>
      <c r="AL1771" s="28"/>
      <c r="AM1771" s="12"/>
      <c r="AN1771" s="12"/>
      <c r="AO1771" s="12"/>
      <c r="AP1771" s="12"/>
      <c r="AQ1771" s="12"/>
      <c r="AR1771" s="13"/>
      <c r="AS1771" s="14"/>
    </row>
    <row r="1772" spans="1:45" s="16" customFormat="1" ht="30.95" hidden="1" customHeight="1" x14ac:dyDescent="0.2">
      <c r="A1772" s="35"/>
      <c r="B1772" s="36"/>
      <c r="C1772" s="43"/>
      <c r="D1772" s="29"/>
      <c r="E1772" s="29"/>
      <c r="F1772" s="255"/>
      <c r="G1772" s="256"/>
      <c r="H1772" s="256"/>
      <c r="I1772" s="200"/>
      <c r="J1772" s="203"/>
      <c r="K1772" s="200"/>
      <c r="L1772" s="200"/>
      <c r="M1772" s="37"/>
      <c r="N1772" s="37"/>
      <c r="O1772" s="153"/>
      <c r="P1772" s="45"/>
      <c r="Q1772" s="54"/>
      <c r="R1772" s="260"/>
      <c r="S1772" s="258"/>
      <c r="T1772" s="258"/>
      <c r="U1772" s="38"/>
      <c r="V1772" s="261"/>
      <c r="W1772" s="256"/>
      <c r="X1772" s="256"/>
      <c r="Y1772" s="256"/>
      <c r="Z1772" s="256"/>
      <c r="AA1772" s="54"/>
      <c r="AB1772" s="200"/>
      <c r="AC1772" s="31"/>
      <c r="AD1772" s="184"/>
      <c r="AE1772" s="51"/>
      <c r="AF1772" s="52"/>
      <c r="AG1772" s="41"/>
      <c r="AH1772" s="45"/>
      <c r="AI1772" s="28"/>
      <c r="AJ1772" s="28"/>
      <c r="AK1772" s="28"/>
      <c r="AL1772" s="28"/>
      <c r="AM1772" s="12"/>
      <c r="AN1772" s="12"/>
      <c r="AO1772" s="12"/>
      <c r="AP1772" s="12"/>
      <c r="AQ1772" s="12"/>
      <c r="AR1772" s="13"/>
      <c r="AS1772" s="14"/>
    </row>
    <row r="1773" spans="1:45" s="16" customFormat="1" ht="30.6" hidden="1" customHeight="1" x14ac:dyDescent="0.2">
      <c r="A1773" s="35"/>
      <c r="B1773" s="36"/>
      <c r="C1773" s="43"/>
      <c r="D1773" s="29">
        <v>3750090</v>
      </c>
      <c r="E1773" s="29">
        <v>4162282</v>
      </c>
      <c r="F1773" s="255" t="str">
        <f>IF(D1773="","",VLOOKUP(D1773,契約台帳!$A$3:$K$4986,6,FALSE)&amp;VLOOKUP(D1773,契約台帳!$A$3:$K$4986,7,FALSE)&amp;VLOOKUP(D1773,契約台帳!$A$3:$K$4986,8,FALSE)&amp;VLOOKUP(D1773,契約台帳!$A$3:$K$4986,9,FALSE)&amp;VLOOKUP(D1773,契約台帳!$A$3:$K$4986,11,FALSE))</f>
        <v>3SYMLBMSSMBF</v>
      </c>
      <c r="G1773" s="256" t="str">
        <f>IF(D1773="","",VLOOKUP(F1773,製品マスタ!$G$5:$H$4999,2,FALSE))</f>
        <v>S</v>
      </c>
      <c r="H1773" s="256" t="str">
        <f>IF(D1773="","",VLOOKUP(F1773,製品マスタ!$G$5:$K$4999,5,FALSE))</f>
        <v>MSSMBF</v>
      </c>
      <c r="I1773" s="200" t="str">
        <f>IF(D1773="","",VLOOKUP(F1773,製品マスタ!$G$5:$L$4999,6,FALSE))</f>
        <v>ＭＥＴＡＬＵＭＹ　ＳＩＬＶＥＲ　Ｓ－ＭＡＴＴＥ　Ｓ２８ＭＭ　Ｂ</v>
      </c>
      <c r="J1773" s="203" t="s">
        <v>935</v>
      </c>
      <c r="K1773" s="200">
        <f>IF(D1773="","",VLOOKUP(D1773,契約台帳!$A$3:$L$4986,12,FALSE))</f>
        <v>50</v>
      </c>
      <c r="L1773" s="200" t="str">
        <f>IF(D1773="","",INDEX(製品マスタ!$Q$5:$Q$4999,MATCH('S4'!F1773&amp;'S4'!K1773,製品マスタ!$AO$5:$AO$4999,0)))</f>
        <v>LI-MAT</v>
      </c>
      <c r="M1773" s="37">
        <v>1120</v>
      </c>
      <c r="N1773" s="37">
        <v>4000</v>
      </c>
      <c r="O1773" s="153">
        <v>2</v>
      </c>
      <c r="P1773" s="45">
        <v>2</v>
      </c>
      <c r="Q1773" s="206">
        <v>45383</v>
      </c>
      <c r="R1773" s="257">
        <f ca="1">IF(D1773="","",IF(OFFSET(D1773,-1,0)&lt;&gt;"","",IF(OR(J1773="リード付け",J1773="巻足し",J1773="巻返しリード付け"),M1773,VLOOKUP(D1773,契約台帳!$A$3:$N$4986,14,FALSE))))</f>
        <v>1120</v>
      </c>
      <c r="S1773" s="258">
        <f ca="1">IF(D1773="","",IF(OFFSET(D1773,-1,0)&lt;&gt;"","",IF(OR(J1773="リード付け",J1773="巻足し",J1773="巻返しリード付け"),M1773,VLOOKUP(D1773,契約台帳!$A$3:$O$4986,15,FALSE))))</f>
        <v>1120</v>
      </c>
      <c r="T1773" s="258">
        <f ca="1">IF(D1773="","",IF(J1773="リード付け",N1773,IF(J1773="巻返しリード付け",N1773,IF(J1773="巻足し",N1773*P1773+OFFSET(N1773,1,0)*OFFSET(P1773,1,0),VLOOKUP(D1773,契約台帳!$A$3:$P$4986,16,FALSE)))))</f>
        <v>8000</v>
      </c>
      <c r="U1773" s="38">
        <v>1</v>
      </c>
      <c r="V1773" s="259">
        <f ca="1">IF(D1773="","",IF(OFFSET(D1773,-2,0)=D1773,"",VLOOKUP(D1773,契約台帳!$A$3:$R$4986,18,FALSE)))</f>
        <v>2</v>
      </c>
      <c r="W1773" s="256" t="str">
        <f ca="1">IF(D1773="","",IF(T1773="","",IF(OR(J1773="巻足し",J1773="巻返しリード付け"),"",IF(J1773="巻返し",VLOOKUP(F1773&amp;K1773&amp;M1773,製品マスタ!$M$5:$AD$4999,18,FALSE),IF(OR(J1773="リード付け",J1773="巻返しリード付け"),"原反コア",IF(J1773="スリット",VLOOKUP(F1773&amp;K1773&amp;R1773,製品マスタ!$N$5:$AD$4999,17,FALSE),""))))))</f>
        <v/>
      </c>
      <c r="X1773" s="256" t="str">
        <f ca="1">IF(D1773="","",IF(T1773="","",IF(J1773="巻足し","",IF(J1773="巻返し",VLOOKUP(F1773&amp;K1773&amp;M1773,製品マスタ!$M$5:$AE$4999,19,FALSE),IF(OR(J1773="リード付け",J1773="巻返しリード付け"),"",IF(J1773="スリット",VLOOKUP(F1773&amp;K1773&amp;R1773,製品マスタ!$N$5:$AE$4999,18,FALSE),""))))))</f>
        <v/>
      </c>
      <c r="Y1773" s="256">
        <f ca="1">IF(D1773="","",IF(T1773="","",VLOOKUP(D1773,契約台帳!$A$3:$Q$4986,17,FALSE)))</f>
        <v>2</v>
      </c>
      <c r="Z1773" s="256" t="str">
        <f ca="1">IF(D1773="","",IF(T1773="","",VLOOKUP(D1773,契約台帳!$A$3:$E$4986,5,FALSE)))</f>
        <v>リンテック㈱</v>
      </c>
      <c r="AA1773" s="54"/>
      <c r="AB1773" s="200">
        <f>IFERROR((VLOOKUP(F1773&amp;K1773&amp;M1773,製品マスタ!$M$5:$AM$4999,27,FALSE)),"")</f>
        <v>0</v>
      </c>
      <c r="AC1773" s="31"/>
      <c r="AD1773" s="184"/>
      <c r="AE1773" s="51"/>
      <c r="AF1773" s="52">
        <f>+M1773*N1773*O1773/1000</f>
        <v>8960</v>
      </c>
      <c r="AG1773" s="41"/>
      <c r="AH1773" s="45"/>
      <c r="AI1773" s="28"/>
      <c r="AJ1773" s="28"/>
      <c r="AK1773" s="28"/>
      <c r="AL1773" s="28"/>
      <c r="AM1773" s="12"/>
      <c r="AN1773" s="12"/>
      <c r="AO1773" s="12"/>
      <c r="AP1773" s="12"/>
      <c r="AQ1773" s="12"/>
      <c r="AR1773" s="13"/>
      <c r="AS1773" s="14"/>
    </row>
    <row r="1774" spans="1:45" s="16" customFormat="1" ht="30.95" hidden="1" customHeight="1" x14ac:dyDescent="0.2">
      <c r="A1774" s="35"/>
      <c r="B1774" s="36"/>
      <c r="C1774" s="43"/>
      <c r="D1774" s="29"/>
      <c r="E1774" s="29"/>
      <c r="F1774" s="255"/>
      <c r="G1774" s="256"/>
      <c r="H1774" s="256"/>
      <c r="I1774" s="200"/>
      <c r="J1774" s="203"/>
      <c r="K1774" s="200"/>
      <c r="L1774" s="200"/>
      <c r="M1774" s="37"/>
      <c r="N1774" s="37"/>
      <c r="O1774" s="153"/>
      <c r="P1774" s="45"/>
      <c r="Q1774" s="54"/>
      <c r="R1774" s="260"/>
      <c r="S1774" s="258"/>
      <c r="T1774" s="258"/>
      <c r="U1774" s="38"/>
      <c r="V1774" s="261"/>
      <c r="W1774" s="256"/>
      <c r="X1774" s="256"/>
      <c r="Y1774" s="256"/>
      <c r="Z1774" s="256"/>
      <c r="AA1774" s="54"/>
      <c r="AB1774" s="200"/>
      <c r="AC1774" s="31"/>
      <c r="AD1774" s="184"/>
      <c r="AE1774" s="51"/>
      <c r="AF1774" s="52"/>
      <c r="AG1774" s="41"/>
      <c r="AH1774" s="45"/>
      <c r="AI1774" s="28"/>
      <c r="AJ1774" s="28"/>
      <c r="AK1774" s="28"/>
      <c r="AL1774" s="28"/>
      <c r="AM1774" s="12"/>
      <c r="AN1774" s="12"/>
      <c r="AO1774" s="12"/>
      <c r="AP1774" s="12"/>
      <c r="AQ1774" s="12"/>
      <c r="AR1774" s="13"/>
      <c r="AS1774" s="14"/>
    </row>
    <row r="1775" spans="1:45" s="16" customFormat="1" ht="30.6" hidden="1" customHeight="1" x14ac:dyDescent="0.2">
      <c r="A1775" s="35"/>
      <c r="B1775" s="36"/>
      <c r="C1775" s="43"/>
      <c r="D1775" s="29">
        <v>3750065</v>
      </c>
      <c r="E1775" s="29">
        <v>4162261</v>
      </c>
      <c r="F1775" s="255" t="str">
        <f>IF(D1775="","",VLOOKUP(D1775,契約台帳!$A$3:$K$4986,6,FALSE)&amp;VLOOKUP(D1775,契約台帳!$A$3:$K$4986,7,FALSE)&amp;VLOOKUP(D1775,契約台帳!$A$3:$K$4986,8,FALSE)&amp;VLOOKUP(D1775,契約台帳!$A$3:$K$4986,9,FALSE)&amp;VLOOKUP(D1775,契約台帳!$A$3:$K$4986,11,FALSE))</f>
        <v>3SNMLBMNGKKBF</v>
      </c>
      <c r="G1775" s="256" t="str">
        <f>IF(D1775="","",VLOOKUP(F1775,製品マスタ!$G$5:$H$4999,2,FALSE))</f>
        <v>S</v>
      </c>
      <c r="H1775" s="256" t="str">
        <f>IF(D1775="","",VLOOKUP(F1775,製品マスタ!$G$5:$K$4999,5,FALSE))</f>
        <v>MNGKKBF</v>
      </c>
      <c r="I1775" s="200" t="str">
        <f>IF(D1775="","",VLOOKUP(F1775,製品マスタ!$G$5:$L$4999,6,FALSE))</f>
        <v>メタルミー　ネーマー銀消改　Ｂ</v>
      </c>
      <c r="J1775" s="203" t="s">
        <v>935</v>
      </c>
      <c r="K1775" s="200">
        <f>IF(D1775="","",VLOOKUP(D1775,契約台帳!$A$3:$L$4986,12,FALSE))</f>
        <v>25</v>
      </c>
      <c r="L1775" s="200" t="str">
        <f>IF(D1775="","",INDEX(製品マスタ!$Q$5:$Q$4999,MATCH('S4'!F1775&amp;'S4'!K1775,製品マスタ!$AO$5:$AO$4999,0)))</f>
        <v>FMATS99</v>
      </c>
      <c r="M1775" s="37">
        <v>1120</v>
      </c>
      <c r="N1775" s="37">
        <v>4000</v>
      </c>
      <c r="O1775" s="153">
        <v>4</v>
      </c>
      <c r="P1775" s="45">
        <v>2</v>
      </c>
      <c r="Q1775" s="206">
        <v>45383</v>
      </c>
      <c r="R1775" s="257">
        <f ca="1">IF(D1775="","",IF(OFFSET(D1775,-1,0)&lt;&gt;"","",IF(OR(J1775="リード付け",J1775="巻足し",J1775="巻返しリード付け"),M1775,VLOOKUP(D1775,契約台帳!$A$3:$N$4986,14,FALSE))))</f>
        <v>1120</v>
      </c>
      <c r="S1775" s="258">
        <f ca="1">IF(D1775="","",IF(OFFSET(D1775,-1,0)&lt;&gt;"","",IF(OR(J1775="リード付け",J1775="巻足し",J1775="巻返しリード付け"),M1775,VLOOKUP(D1775,契約台帳!$A$3:$O$4986,15,FALSE))))</f>
        <v>1120</v>
      </c>
      <c r="T1775" s="258">
        <f ca="1">IF(D1775="","",IF(J1775="リード付け",N1775,IF(J1775="巻返しリード付け",N1775,IF(J1775="巻足し",N1775*P1775+OFFSET(N1775,1,0)*OFFSET(P1775,1,0),VLOOKUP(D1775,契約台帳!$A$3:$P$4986,16,FALSE)))))</f>
        <v>8000</v>
      </c>
      <c r="U1775" s="38">
        <v>2</v>
      </c>
      <c r="V1775" s="259">
        <f ca="1">IF(D1775="","",IF(OFFSET(D1775,-2,0)=D1775,"",VLOOKUP(D1775,契約台帳!$A$3:$R$4986,18,FALSE)))</f>
        <v>4</v>
      </c>
      <c r="W1775" s="256" t="str">
        <f ca="1">IF(D1775="","",IF(T1775="","",IF(OR(J1775="巻足し",J1775="巻返しリード付け"),"",IF(J1775="巻返し",VLOOKUP(F1775&amp;K1775&amp;M1775,製品マスタ!$M$5:$AD$4999,18,FALSE),IF(OR(J1775="リード付け",J1775="巻返しリード付け"),"原反コア",IF(J1775="スリット",VLOOKUP(F1775&amp;K1775&amp;R1775,製品マスタ!$N$5:$AD$4999,17,FALSE),""))))))</f>
        <v/>
      </c>
      <c r="X1775" s="256" t="str">
        <f ca="1">IF(D1775="","",IF(T1775="","",IF(J1775="巻足し","",IF(J1775="巻返し",VLOOKUP(F1775&amp;K1775&amp;M1775,製品マスタ!$M$5:$AE$4999,19,FALSE),IF(OR(J1775="リード付け",J1775="巻返しリード付け"),"",IF(J1775="スリット",VLOOKUP(F1775&amp;K1775&amp;R1775,製品マスタ!$N$5:$AE$4999,18,FALSE),""))))))</f>
        <v/>
      </c>
      <c r="Y1775" s="256">
        <f ca="1">IF(D1775="","",IF(T1775="","",VLOOKUP(D1775,契約台帳!$A$3:$Q$4986,17,FALSE)))</f>
        <v>2</v>
      </c>
      <c r="Z1775" s="256" t="str">
        <f ca="1">IF(D1775="","",IF(T1775="","",VLOOKUP(D1775,契約台帳!$A$3:$E$4986,5,FALSE)))</f>
        <v>リンテック㈱</v>
      </c>
      <c r="AA1775" s="54"/>
      <c r="AB1775" s="200">
        <f>IFERROR((VLOOKUP(F1775&amp;K1775&amp;M1775,製品マスタ!$M$5:$AM$4999,27,FALSE)),"")</f>
        <v>0</v>
      </c>
      <c r="AC1775" s="31"/>
      <c r="AD1775" s="184"/>
      <c r="AE1775" s="51"/>
      <c r="AF1775" s="52">
        <f>+M1775*N1775*O1775/1000</f>
        <v>17920</v>
      </c>
      <c r="AG1775" s="41"/>
      <c r="AH1775" s="45"/>
      <c r="AI1775" s="28"/>
      <c r="AJ1775" s="28"/>
      <c r="AK1775" s="28"/>
      <c r="AL1775" s="28"/>
      <c r="AM1775" s="12"/>
      <c r="AN1775" s="12"/>
      <c r="AO1775" s="12"/>
      <c r="AP1775" s="12"/>
      <c r="AQ1775" s="12"/>
      <c r="AR1775" s="13"/>
      <c r="AS1775" s="14"/>
    </row>
    <row r="1776" spans="1:45" s="16" customFormat="1" ht="30.95" hidden="1" customHeight="1" x14ac:dyDescent="0.2">
      <c r="A1776" s="35"/>
      <c r="B1776" s="36"/>
      <c r="C1776" s="43"/>
      <c r="D1776" s="29"/>
      <c r="E1776" s="29"/>
      <c r="F1776" s="255"/>
      <c r="G1776" s="256"/>
      <c r="H1776" s="256"/>
      <c r="I1776" s="200"/>
      <c r="J1776" s="203"/>
      <c r="K1776" s="200"/>
      <c r="L1776" s="200"/>
      <c r="M1776" s="37"/>
      <c r="N1776" s="37"/>
      <c r="O1776" s="153"/>
      <c r="P1776" s="45"/>
      <c r="Q1776" s="54"/>
      <c r="R1776" s="260"/>
      <c r="S1776" s="258"/>
      <c r="T1776" s="258"/>
      <c r="U1776" s="38"/>
      <c r="V1776" s="261"/>
      <c r="W1776" s="256"/>
      <c r="X1776" s="256"/>
      <c r="Y1776" s="256"/>
      <c r="Z1776" s="256"/>
      <c r="AA1776" s="54"/>
      <c r="AB1776" s="200"/>
      <c r="AC1776" s="31"/>
      <c r="AD1776" s="184"/>
      <c r="AE1776" s="51"/>
      <c r="AF1776" s="52"/>
      <c r="AG1776" s="41"/>
      <c r="AH1776" s="45"/>
      <c r="AI1776" s="28"/>
      <c r="AJ1776" s="28"/>
      <c r="AK1776" s="28"/>
      <c r="AL1776" s="28"/>
      <c r="AM1776" s="12"/>
      <c r="AN1776" s="12"/>
      <c r="AO1776" s="12"/>
      <c r="AP1776" s="12"/>
      <c r="AQ1776" s="12"/>
      <c r="AR1776" s="13"/>
      <c r="AS1776" s="14"/>
    </row>
    <row r="1777" spans="1:45" s="16" customFormat="1" ht="30.95" hidden="1" customHeight="1" x14ac:dyDescent="0.2">
      <c r="A1777" s="35"/>
      <c r="B1777" s="36"/>
      <c r="C1777" s="43"/>
      <c r="D1777" s="29">
        <v>3750080</v>
      </c>
      <c r="E1777" s="29">
        <v>4162290</v>
      </c>
      <c r="F1777" s="255" t="str">
        <f>IF(D1777="","",VLOOKUP(D1777,契約台帳!$A$3:$K$4986,6,FALSE)&amp;VLOOKUP(D1777,契約台帳!$A$3:$K$4986,7,FALSE)&amp;VLOOKUP(D1777,契約台帳!$A$3:$K$4986,8,FALSE)&amp;VLOOKUP(D1777,契約台帳!$A$3:$K$4986,9,FALSE)&amp;VLOOKUP(D1777,契約台帳!$A$3:$K$4986,11,FALSE))</f>
        <v>3SNMLBMNQR66F</v>
      </c>
      <c r="G1777" s="256" t="str">
        <f>IF(D1777="","",VLOOKUP(F1777,製品マスタ!$G$5:$H$4999,2,FALSE))</f>
        <v>S</v>
      </c>
      <c r="H1777" s="256" t="str">
        <f>IF(D1777="","",VLOOKUP(F1777,製品マスタ!$G$5:$K$4999,5,FALSE))</f>
        <v>MNQR66F</v>
      </c>
      <c r="I1777" s="200" t="str">
        <f>IF(D1777="","",VLOOKUP(F1777,製品マスタ!$G$5:$L$4999,6,FALSE))</f>
        <v>ＱＲ６６蒸着品</v>
      </c>
      <c r="J1777" s="203" t="s">
        <v>935</v>
      </c>
      <c r="K1777" s="200">
        <f>IF(D1777="","",VLOOKUP(D1777,契約台帳!$A$3:$L$4986,12,FALSE))</f>
        <v>25</v>
      </c>
      <c r="L1777" s="200" t="str">
        <f>IF(D1777="","",INDEX(製品マスタ!$Q$5:$Q$4999,MATCH('S4'!F1777&amp;'S4'!K1777,製品マスタ!$AO$5:$AO$4999,0)))</f>
        <v>E315</v>
      </c>
      <c r="M1777" s="37">
        <v>1100</v>
      </c>
      <c r="N1777" s="37">
        <v>6000</v>
      </c>
      <c r="O1777" s="153">
        <v>6</v>
      </c>
      <c r="P1777" s="45">
        <v>3</v>
      </c>
      <c r="Q1777" s="206">
        <v>45379</v>
      </c>
      <c r="R1777" s="257">
        <f ca="1">IF(D1777="","",IF(OFFSET(D1777,-1,0)&lt;&gt;"","",IF(OR(J1777="リード付け",J1777="巻足し",J1777="巻返しリード付け"),M1777,VLOOKUP(D1777,契約台帳!$A$3:$N$4986,14,FALSE))))</f>
        <v>1100</v>
      </c>
      <c r="S1777" s="258">
        <f ca="1">IF(D1777="","",IF(OFFSET(D1777,-1,0)&lt;&gt;"","",IF(OR(J1777="リード付け",J1777="巻足し",J1777="巻返しリード付け"),M1777,VLOOKUP(D1777,契約台帳!$A$3:$O$4986,15,FALSE))))</f>
        <v>1100</v>
      </c>
      <c r="T1777" s="258">
        <f ca="1">IF(D1777="","",IF(J1777="リード付け",N1777,IF(J1777="巻返しリード付け",N1777,IF(J1777="巻足し",N1777*P1777+OFFSET(N1777,1,0)*OFFSET(P1777,1,0),VLOOKUP(D1777,契約台帳!$A$3:$P$4986,16,FALSE)))))</f>
        <v>18000</v>
      </c>
      <c r="U1777" s="38">
        <v>2</v>
      </c>
      <c r="V1777" s="259">
        <f ca="1">IF(D1777="","",IF(OFFSET(D1777,-2,0)=D1777,"",VLOOKUP(D1777,契約台帳!$A$3:$R$4986,18,FALSE)))</f>
        <v>10</v>
      </c>
      <c r="W1777" s="256" t="str">
        <f ca="1">IF(D1777="","",IF(T1777="","",IF(OR(J1777="巻足し",J1777="巻返しリード付け"),"",IF(J1777="巻返し",VLOOKUP(F1777&amp;K1777&amp;M1777,製品マスタ!$M$5:$AD$4999,18,FALSE),IF(OR(J1777="リード付け",J1777="巻返しリード付け"),"原反コア",IF(J1777="スリット",VLOOKUP(F1777&amp;K1777&amp;R1777,製品マスタ!$N$5:$AD$4999,17,FALSE),""))))))</f>
        <v/>
      </c>
      <c r="X1777" s="256" t="str">
        <f ca="1">IF(D1777="","",IF(T1777="","",IF(J1777="巻足し","",IF(J1777="巻返し",VLOOKUP(F1777&amp;K1777&amp;M1777,製品マスタ!$M$5:$AE$4999,19,FALSE),IF(OR(J1777="リード付け",J1777="巻返しリード付け"),"",IF(J1777="スリット",VLOOKUP(F1777&amp;K1777&amp;R1777,製品マスタ!$N$5:$AE$4999,18,FALSE),""))))))</f>
        <v/>
      </c>
      <c r="Y1777" s="256">
        <f ca="1">IF(D1777="","",IF(T1777="","",VLOOKUP(D1777,契約台帳!$A$3:$Q$4986,17,FALSE)))</f>
        <v>2</v>
      </c>
      <c r="Z1777" s="256" t="str">
        <f ca="1">IF(D1777="","",IF(T1777="","",VLOOKUP(D1777,契約台帳!$A$3:$E$4986,5,FALSE)))</f>
        <v>リンテック㈱</v>
      </c>
      <c r="AA1777" s="54"/>
      <c r="AB1777" s="200" t="str">
        <f>IFERROR((VLOOKUP(F1777&amp;K1777&amp;M1777,製品マスタ!$M$5:$AM$4999,27,FALSE)),"")</f>
        <v>原反ケース再利用</v>
      </c>
      <c r="AC1777" s="31"/>
      <c r="AD1777" s="184"/>
      <c r="AE1777" s="51"/>
      <c r="AF1777" s="52">
        <f>+M1777*N1777*O1777/1000</f>
        <v>39600</v>
      </c>
      <c r="AG1777" s="41"/>
      <c r="AH1777" s="45"/>
      <c r="AI1777" s="28"/>
      <c r="AJ1777" s="28"/>
      <c r="AK1777" s="28"/>
      <c r="AL1777" s="28"/>
      <c r="AM1777" s="12"/>
      <c r="AN1777" s="12"/>
      <c r="AO1777" s="12"/>
      <c r="AP1777" s="12"/>
      <c r="AQ1777" s="12"/>
      <c r="AR1777" s="13"/>
      <c r="AS1777" s="14"/>
    </row>
    <row r="1778" spans="1:45" s="16" customFormat="1" ht="30.95" hidden="1" customHeight="1" x14ac:dyDescent="0.2">
      <c r="A1778" s="35"/>
      <c r="B1778" s="36"/>
      <c r="C1778" s="43"/>
      <c r="D1778" s="29"/>
      <c r="E1778" s="29"/>
      <c r="F1778" s="255"/>
      <c r="G1778" s="256"/>
      <c r="H1778" s="256"/>
      <c r="I1778" s="200"/>
      <c r="J1778" s="203"/>
      <c r="K1778" s="200"/>
      <c r="L1778" s="200"/>
      <c r="M1778" s="37"/>
      <c r="N1778" s="37"/>
      <c r="O1778" s="153"/>
      <c r="P1778" s="45"/>
      <c r="Q1778" s="54"/>
      <c r="R1778" s="260"/>
      <c r="S1778" s="258"/>
      <c r="T1778" s="258"/>
      <c r="U1778" s="38"/>
      <c r="V1778" s="261"/>
      <c r="W1778" s="256"/>
      <c r="X1778" s="256"/>
      <c r="Y1778" s="256"/>
      <c r="Z1778" s="256"/>
      <c r="AA1778" s="54"/>
      <c r="AB1778" s="200"/>
      <c r="AC1778" s="31"/>
      <c r="AD1778" s="184"/>
      <c r="AE1778" s="51"/>
      <c r="AF1778" s="52"/>
      <c r="AG1778" s="41"/>
      <c r="AH1778" s="45"/>
      <c r="AI1778" s="28"/>
      <c r="AJ1778" s="28"/>
      <c r="AK1778" s="28"/>
      <c r="AL1778" s="28"/>
      <c r="AM1778" s="12"/>
      <c r="AN1778" s="12"/>
      <c r="AO1778" s="12"/>
      <c r="AP1778" s="12"/>
      <c r="AQ1778" s="12"/>
      <c r="AR1778" s="13"/>
      <c r="AS1778" s="14"/>
    </row>
    <row r="1779" spans="1:45" s="16" customFormat="1" ht="30.95" hidden="1" customHeight="1" x14ac:dyDescent="0.2">
      <c r="A1779" s="35" t="s">
        <v>2372</v>
      </c>
      <c r="B1779" s="36" t="s">
        <v>2373</v>
      </c>
      <c r="C1779" s="43"/>
      <c r="D1779" s="29">
        <v>3750080</v>
      </c>
      <c r="E1779" s="29">
        <v>4162290</v>
      </c>
      <c r="F1779" s="255" t="str">
        <f>IF(D1779="","",VLOOKUP(D1779,契約台帳!$A$3:$K$4986,6,FALSE)&amp;VLOOKUP(D1779,契約台帳!$A$3:$K$4986,7,FALSE)&amp;VLOOKUP(D1779,契約台帳!$A$3:$K$4986,8,FALSE)&amp;VLOOKUP(D1779,契約台帳!$A$3:$K$4986,9,FALSE)&amp;VLOOKUP(D1779,契約台帳!$A$3:$K$4986,11,FALSE))</f>
        <v>3SNMLBMNQR66F</v>
      </c>
      <c r="G1779" s="256" t="str">
        <f>IF(D1779="","",VLOOKUP(F1779,製品マスタ!$G$5:$H$4999,2,FALSE))</f>
        <v>S</v>
      </c>
      <c r="H1779" s="256" t="str">
        <f>IF(D1779="","",VLOOKUP(F1779,製品マスタ!$G$5:$K$4999,5,FALSE))</f>
        <v>MNQR66F</v>
      </c>
      <c r="I1779" s="200" t="str">
        <f>IF(D1779="","",VLOOKUP(F1779,製品マスタ!$G$5:$L$4999,6,FALSE))</f>
        <v>ＱＲ６６蒸着品</v>
      </c>
      <c r="J1779" s="203" t="s">
        <v>935</v>
      </c>
      <c r="K1779" s="200">
        <f>IF(D1779="","",VLOOKUP(D1779,契約台帳!$A$3:$L$4986,12,FALSE))</f>
        <v>25</v>
      </c>
      <c r="L1779" s="200" t="str">
        <f>IF(D1779="","",INDEX(製品マスタ!$Q$5:$Q$4999,MATCH('S4'!F1779&amp;'S4'!K1779,製品マスタ!$AO$5:$AO$4999,0)))</f>
        <v>E315</v>
      </c>
      <c r="M1779" s="37">
        <v>1100</v>
      </c>
      <c r="N1779" s="37">
        <v>6000</v>
      </c>
      <c r="O1779" s="153">
        <v>4</v>
      </c>
      <c r="P1779" s="45">
        <v>2</v>
      </c>
      <c r="Q1779" s="206">
        <v>45379</v>
      </c>
      <c r="R1779" s="257">
        <f ca="1">IF(D1779="","",IF(OFFSET(D1779,-1,0)&lt;&gt;"","",IF(OR(J1779="リード付け",J1779="巻足し",J1779="巻返しリード付け"),M1779,VLOOKUP(D1779,契約台帳!$A$3:$N$4986,14,FALSE))))</f>
        <v>1100</v>
      </c>
      <c r="S1779" s="258">
        <f ca="1">IF(D1779="","",IF(OFFSET(D1779,-1,0)&lt;&gt;"","",IF(OR(J1779="リード付け",J1779="巻足し",J1779="巻返しリード付け"),M1779,VLOOKUP(D1779,契約台帳!$A$3:$O$4986,15,FALSE))))</f>
        <v>1100</v>
      </c>
      <c r="T1779" s="258">
        <f ca="1">IF(D1779="","",IF(J1779="リード付け",N1779,IF(J1779="巻返しリード付け",N1779,IF(J1779="巻足し",N1779*P1779+OFFSET(N1779,1,0)*OFFSET(P1779,1,0),VLOOKUP(D1779,契約台帳!$A$3:$P$4986,16,FALSE)))))</f>
        <v>12000</v>
      </c>
      <c r="U1779" s="38">
        <v>2</v>
      </c>
      <c r="V1779" s="259" t="str">
        <f ca="1">IF(D1779="","",IF(OFFSET(D1779,-2,0)=D1779,"",VLOOKUP(D1779,契約台帳!$A$3:$R$4986,18,FALSE)))</f>
        <v/>
      </c>
      <c r="W1779" s="256" t="str">
        <f ca="1">IF(D1779="","",IF(T1779="","",IF(OR(J1779="巻足し",J1779="巻返しリード付け"),"",IF(J1779="巻返し",VLOOKUP(F1779&amp;K1779&amp;M1779,製品マスタ!$M$5:$AD$4999,18,FALSE),IF(OR(J1779="リード付け",J1779="巻返しリード付け"),"原反コア",IF(J1779="スリット",VLOOKUP(F1779&amp;K1779&amp;R1779,製品マスタ!$N$5:$AD$4999,17,FALSE),""))))))</f>
        <v/>
      </c>
      <c r="X1779" s="256" t="str">
        <f ca="1">IF(D1779="","",IF(T1779="","",IF(J1779="巻足し","",IF(J1779="巻返し",VLOOKUP(F1779&amp;K1779&amp;M1779,製品マスタ!$M$5:$AE$4999,19,FALSE),IF(OR(J1779="リード付け",J1779="巻返しリード付け"),"",IF(J1779="スリット",VLOOKUP(F1779&amp;K1779&amp;R1779,製品マスタ!$N$5:$AE$4999,18,FALSE),""))))))</f>
        <v/>
      </c>
      <c r="Y1779" s="256">
        <f ca="1">IF(D1779="","",IF(T1779="","",VLOOKUP(D1779,契約台帳!$A$3:$Q$4986,17,FALSE)))</f>
        <v>2</v>
      </c>
      <c r="Z1779" s="256" t="str">
        <f ca="1">IF(D1779="","",IF(T1779="","",VLOOKUP(D1779,契約台帳!$A$3:$E$4986,5,FALSE)))</f>
        <v>リンテック㈱</v>
      </c>
      <c r="AA1779" s="54"/>
      <c r="AB1779" s="200" t="str">
        <f>IFERROR((VLOOKUP(F1779&amp;K1779&amp;M1779,製品マスタ!$M$5:$AM$4999,27,FALSE)),"")</f>
        <v>原反ケース再利用</v>
      </c>
      <c r="AC1779" s="31"/>
      <c r="AD1779" s="184"/>
      <c r="AE1779" s="51"/>
      <c r="AF1779" s="52">
        <f>+M1779*N1779*O1779/1000</f>
        <v>26400</v>
      </c>
      <c r="AG1779" s="41"/>
      <c r="AH1779" s="45"/>
      <c r="AI1779" s="28"/>
      <c r="AJ1779" s="28"/>
      <c r="AK1779" s="28"/>
      <c r="AL1779" s="28"/>
      <c r="AM1779" s="12"/>
      <c r="AN1779" s="12"/>
      <c r="AO1779" s="12"/>
      <c r="AP1779" s="12"/>
      <c r="AQ1779" s="12"/>
      <c r="AR1779" s="13"/>
      <c r="AS1779" s="14"/>
    </row>
    <row r="1780" spans="1:45" s="16" customFormat="1" ht="30.95" hidden="1" customHeight="1" x14ac:dyDescent="0.2">
      <c r="A1780" s="35"/>
      <c r="B1780" s="36"/>
      <c r="C1780" s="43"/>
      <c r="D1780" s="29"/>
      <c r="E1780" s="29"/>
      <c r="F1780" s="255"/>
      <c r="G1780" s="256"/>
      <c r="H1780" s="256"/>
      <c r="I1780" s="200"/>
      <c r="J1780" s="203"/>
      <c r="K1780" s="200"/>
      <c r="L1780" s="200"/>
      <c r="M1780" s="37"/>
      <c r="N1780" s="37"/>
      <c r="O1780" s="153"/>
      <c r="P1780" s="45"/>
      <c r="Q1780" s="54"/>
      <c r="R1780" s="260"/>
      <c r="S1780" s="258"/>
      <c r="T1780" s="258"/>
      <c r="U1780" s="38"/>
      <c r="V1780" s="261"/>
      <c r="W1780" s="256"/>
      <c r="X1780" s="256"/>
      <c r="Y1780" s="256"/>
      <c r="Z1780" s="256"/>
      <c r="AA1780" s="54"/>
      <c r="AB1780" s="200"/>
      <c r="AC1780" s="31"/>
      <c r="AD1780" s="184"/>
      <c r="AE1780" s="51"/>
      <c r="AF1780" s="52"/>
      <c r="AG1780" s="41"/>
      <c r="AH1780" s="45"/>
      <c r="AI1780" s="28"/>
      <c r="AJ1780" s="28"/>
      <c r="AK1780" s="28"/>
      <c r="AL1780" s="28"/>
      <c r="AM1780" s="12"/>
      <c r="AN1780" s="12"/>
      <c r="AO1780" s="12"/>
      <c r="AP1780" s="12"/>
      <c r="AQ1780" s="12"/>
      <c r="AR1780" s="13"/>
      <c r="AS1780" s="14"/>
    </row>
    <row r="1781" spans="1:45" s="16" customFormat="1" ht="30.95" hidden="1" customHeight="1" x14ac:dyDescent="0.2">
      <c r="A1781" s="35"/>
      <c r="B1781" s="36"/>
      <c r="C1781" s="43"/>
      <c r="D1781" s="29">
        <v>3750067</v>
      </c>
      <c r="E1781" s="29">
        <v>4162260</v>
      </c>
      <c r="F1781" s="255" t="str">
        <f>IF(D1781="","",VLOOKUP(D1781,契約台帳!$A$3:$K$4986,6,FALSE)&amp;VLOOKUP(D1781,契約台帳!$A$3:$K$4986,7,FALSE)&amp;VLOOKUP(D1781,契約台帳!$A$3:$K$4986,8,FALSE)&amp;VLOOKUP(D1781,契約台帳!$A$3:$K$4986,9,FALSE)&amp;VLOOKUP(D1781,契約台帳!$A$3:$K$4986,11,FALSE))</f>
        <v>3SNMLBMNGKBF</v>
      </c>
      <c r="G1781" s="256" t="str">
        <f>IF(D1781="","",VLOOKUP(F1781,製品マスタ!$G$5:$H$4999,2,FALSE))</f>
        <v>S</v>
      </c>
      <c r="H1781" s="256" t="str">
        <f>IF(D1781="","",VLOOKUP(F1781,製品マスタ!$G$5:$K$4999,5,FALSE))</f>
        <v>MNGKBF</v>
      </c>
      <c r="I1781" s="200" t="str">
        <f>IF(D1781="","",VLOOKUP(F1781,製品マスタ!$G$5:$L$4999,6,FALSE))</f>
        <v>メタルミー　ネーマー銀消　Ｂ</v>
      </c>
      <c r="J1781" s="203" t="s">
        <v>935</v>
      </c>
      <c r="K1781" s="200">
        <f>IF(D1781="","",VLOOKUP(D1781,契約台帳!$A$3:$L$4986,12,FALSE))</f>
        <v>50</v>
      </c>
      <c r="L1781" s="200" t="str">
        <f>IF(D1781="","",INDEX(製品マスタ!$Q$5:$Q$4999,MATCH('S4'!F1781&amp;'S4'!K1781,製品マスタ!$AO$5:$AO$4999,0)))</f>
        <v>MAT</v>
      </c>
      <c r="M1781" s="37">
        <v>1050</v>
      </c>
      <c r="N1781" s="37">
        <v>4100</v>
      </c>
      <c r="O1781" s="153">
        <v>6</v>
      </c>
      <c r="P1781" s="45">
        <v>3</v>
      </c>
      <c r="Q1781" s="206">
        <v>45383</v>
      </c>
      <c r="R1781" s="257">
        <f ca="1">IF(D1781="","",IF(OFFSET(D1781,-1,0)&lt;&gt;"","",IF(OR(J1781="リード付け",J1781="巻足し",J1781="巻返しリード付け"),M1781,VLOOKUP(D1781,契約台帳!$A$3:$N$4986,14,FALSE))))</f>
        <v>1050</v>
      </c>
      <c r="S1781" s="258">
        <f ca="1">IF(D1781="","",IF(OFFSET(D1781,-1,0)&lt;&gt;"","",IF(OR(J1781="リード付け",J1781="巻足し",J1781="巻返しリード付け"),M1781,VLOOKUP(D1781,契約台帳!$A$3:$O$4986,15,FALSE))))</f>
        <v>1050</v>
      </c>
      <c r="T1781" s="258">
        <f ca="1">IF(D1781="","",IF(J1781="リード付け",N1781,IF(J1781="巻返しリード付け",N1781,IF(J1781="巻足し",N1781*P1781+OFFSET(N1781,1,0)*OFFSET(P1781,1,0),VLOOKUP(D1781,契約台帳!$A$3:$P$4986,16,FALSE)))))</f>
        <v>12300</v>
      </c>
      <c r="U1781" s="38">
        <v>2</v>
      </c>
      <c r="V1781" s="259">
        <f ca="1">IF(D1781="","",IF(OFFSET(D1781,-2,0)=D1781,"",VLOOKUP(D1781,契約台帳!$A$3:$R$4986,18,FALSE)))</f>
        <v>6</v>
      </c>
      <c r="W1781" s="256" t="str">
        <f ca="1">IF(D1781="","",IF(T1781="","",IF(OR(J1781="巻足し",J1781="巻返しリード付け"),"",IF(J1781="巻返し",VLOOKUP(F1781&amp;K1781&amp;M1781,製品マスタ!$M$5:$AD$4999,18,FALSE),IF(OR(J1781="リード付け",J1781="巻返しリード付け"),"原反コア",IF(J1781="スリット",VLOOKUP(F1781&amp;K1781&amp;R1781,製品マスタ!$N$5:$AD$4999,17,FALSE),""))))))</f>
        <v/>
      </c>
      <c r="X1781" s="256" t="str">
        <f ca="1">IF(D1781="","",IF(T1781="","",IF(J1781="巻足し","",IF(J1781="巻返し",VLOOKUP(F1781&amp;K1781&amp;M1781,製品マスタ!$M$5:$AE$4999,19,FALSE),IF(OR(J1781="リード付け",J1781="巻返しリード付け"),"",IF(J1781="スリット",VLOOKUP(F1781&amp;K1781&amp;R1781,製品マスタ!$N$5:$AE$4999,18,FALSE),""))))))</f>
        <v/>
      </c>
      <c r="Y1781" s="256">
        <f ca="1">IF(D1781="","",IF(T1781="","",VLOOKUP(D1781,契約台帳!$A$3:$Q$4986,17,FALSE)))</f>
        <v>2</v>
      </c>
      <c r="Z1781" s="256" t="str">
        <f ca="1">IF(D1781="","",IF(T1781="","",VLOOKUP(D1781,契約台帳!$A$3:$E$4986,5,FALSE)))</f>
        <v>リンテック㈱</v>
      </c>
      <c r="AA1781" s="54"/>
      <c r="AB1781" s="200">
        <f>IFERROR((VLOOKUP(F1781&amp;K1781&amp;M1781,製品マスタ!$M$5:$AM$4999,27,FALSE)),"")</f>
        <v>0</v>
      </c>
      <c r="AC1781" s="31"/>
      <c r="AD1781" s="184"/>
      <c r="AE1781" s="51"/>
      <c r="AF1781" s="52">
        <f>+M1781*N1781*O1781/1000</f>
        <v>25830</v>
      </c>
      <c r="AG1781" s="41"/>
      <c r="AH1781" s="45"/>
      <c r="AI1781" s="28"/>
      <c r="AJ1781" s="28"/>
      <c r="AK1781" s="28"/>
      <c r="AL1781" s="28"/>
      <c r="AM1781" s="12"/>
      <c r="AN1781" s="12"/>
      <c r="AO1781" s="12"/>
      <c r="AP1781" s="12"/>
      <c r="AQ1781" s="12"/>
      <c r="AR1781" s="13"/>
      <c r="AS1781" s="14"/>
    </row>
    <row r="1782" spans="1:45" s="16" customFormat="1" ht="30.95" hidden="1" customHeight="1" x14ac:dyDescent="0.2">
      <c r="A1782" s="35"/>
      <c r="B1782" s="36"/>
      <c r="C1782" s="43"/>
      <c r="D1782" s="29"/>
      <c r="E1782" s="29"/>
      <c r="F1782" s="255"/>
      <c r="G1782" s="256"/>
      <c r="H1782" s="256"/>
      <c r="I1782" s="200"/>
      <c r="J1782" s="203"/>
      <c r="K1782" s="200"/>
      <c r="L1782" s="200"/>
      <c r="M1782" s="37"/>
      <c r="N1782" s="37"/>
      <c r="O1782" s="153"/>
      <c r="P1782" s="45"/>
      <c r="Q1782" s="54"/>
      <c r="R1782" s="260"/>
      <c r="S1782" s="258"/>
      <c r="T1782" s="258"/>
      <c r="U1782" s="38"/>
      <c r="V1782" s="261"/>
      <c r="W1782" s="256"/>
      <c r="X1782" s="256"/>
      <c r="Y1782" s="256"/>
      <c r="Z1782" s="256"/>
      <c r="AA1782" s="54"/>
      <c r="AB1782" s="200"/>
      <c r="AC1782" s="31"/>
      <c r="AD1782" s="184"/>
      <c r="AE1782" s="51"/>
      <c r="AF1782" s="52"/>
      <c r="AG1782" s="41"/>
      <c r="AH1782" s="45"/>
      <c r="AI1782" s="28"/>
      <c r="AJ1782" s="28"/>
      <c r="AK1782" s="28"/>
      <c r="AL1782" s="28"/>
      <c r="AM1782" s="12"/>
      <c r="AN1782" s="12"/>
      <c r="AO1782" s="12"/>
      <c r="AP1782" s="12"/>
      <c r="AQ1782" s="12"/>
      <c r="AR1782" s="13"/>
      <c r="AS1782" s="14"/>
    </row>
    <row r="1783" spans="1:45" s="16" customFormat="1" ht="30.95" hidden="1" customHeight="1" x14ac:dyDescent="0.2">
      <c r="A1783" s="35"/>
      <c r="B1783" s="36"/>
      <c r="C1783" s="43"/>
      <c r="D1783" s="29">
        <v>3750083</v>
      </c>
      <c r="E1783" s="29">
        <v>4162289</v>
      </c>
      <c r="F1783" s="255" t="str">
        <f>IF(D1783="","",VLOOKUP(D1783,契約台帳!$A$3:$K$4986,6,FALSE)&amp;VLOOKUP(D1783,契約台帳!$A$3:$K$4986,7,FALSE)&amp;VLOOKUP(D1783,契約台帳!$A$3:$K$4986,8,FALSE)&amp;VLOOKUP(D1783,契約台帳!$A$3:$K$4986,9,FALSE)&amp;VLOOKUP(D1783,契約台帳!$A$3:$K$4986,11,FALSE))</f>
        <v>3SNMLBMNNGKBF</v>
      </c>
      <c r="G1783" s="256" t="str">
        <f>IF(D1783="","",VLOOKUP(F1783,製品マスタ!$G$5:$H$4999,2,FALSE))</f>
        <v>S</v>
      </c>
      <c r="H1783" s="256" t="str">
        <f>IF(D1783="","",VLOOKUP(F1783,製品マスタ!$G$5:$K$4999,5,FALSE))</f>
        <v>MNNGKBF</v>
      </c>
      <c r="I1783" s="200" t="str">
        <f>IF(D1783="","",VLOOKUP(F1783,製品マスタ!$G$5:$L$4999,6,FALSE))</f>
        <v>メタルミー　ニューネーマー銀消　Ｂ</v>
      </c>
      <c r="J1783" s="203" t="s">
        <v>935</v>
      </c>
      <c r="K1783" s="200">
        <f>IF(D1783="","",VLOOKUP(D1783,契約台帳!$A$3:$L$4986,12,FALSE))</f>
        <v>25</v>
      </c>
      <c r="L1783" s="200" t="str">
        <f>IF(D1783="","",INDEX(製品マスタ!$Q$5:$Q$4999,MATCH('S4'!F1783&amp;'S4'!K1783,製品マスタ!$AO$5:$AO$4999,0)))</f>
        <v>X44C</v>
      </c>
      <c r="M1783" s="37">
        <v>1005</v>
      </c>
      <c r="N1783" s="37">
        <v>8000</v>
      </c>
      <c r="O1783" s="153">
        <v>2</v>
      </c>
      <c r="P1783" s="45">
        <v>2</v>
      </c>
      <c r="Q1783" s="206">
        <v>45383</v>
      </c>
      <c r="R1783" s="257">
        <f ca="1">IF(D1783="","",IF(OFFSET(D1783,-1,0)&lt;&gt;"","",IF(OR(J1783="リード付け",J1783="巻足し",J1783="巻返しリード付け"),M1783,VLOOKUP(D1783,契約台帳!$A$3:$N$4986,14,FALSE))))</f>
        <v>1005</v>
      </c>
      <c r="S1783" s="258">
        <f ca="1">IF(D1783="","",IF(OFFSET(D1783,-1,0)&lt;&gt;"","",IF(OR(J1783="リード付け",J1783="巻足し",J1783="巻返しリード付け"),M1783,VLOOKUP(D1783,契約台帳!$A$3:$O$4986,15,FALSE))))</f>
        <v>1005</v>
      </c>
      <c r="T1783" s="258">
        <f ca="1">IF(D1783="","",IF(J1783="リード付け",N1783,IF(J1783="巻返しリード付け",N1783,IF(J1783="巻足し",N1783*P1783+OFFSET(N1783,1,0)*OFFSET(P1783,1,0),VLOOKUP(D1783,契約台帳!$A$3:$P$4986,16,FALSE)))))</f>
        <v>16000</v>
      </c>
      <c r="U1783" s="38">
        <v>1</v>
      </c>
      <c r="V1783" s="259">
        <f ca="1">IF(D1783="","",IF(OFFSET(D1783,-2,0)=D1783,"",VLOOKUP(D1783,契約台帳!$A$3:$R$4986,18,FALSE)))</f>
        <v>6</v>
      </c>
      <c r="W1783" s="256" t="str">
        <f ca="1">IF(D1783="","",IF(T1783="","",IF(OR(J1783="巻足し",J1783="巻返しリード付け"),"",IF(J1783="巻返し",VLOOKUP(F1783&amp;K1783&amp;M1783,製品マスタ!$M$5:$AD$4999,18,FALSE),IF(OR(J1783="リード付け",J1783="巻返しリード付け"),"原反コア",IF(J1783="スリット",VLOOKUP(F1783&amp;K1783&amp;R1783,製品マスタ!$N$5:$AD$4999,17,FALSE),""))))))</f>
        <v/>
      </c>
      <c r="X1783" s="256" t="str">
        <f ca="1">IF(D1783="","",IF(T1783="","",IF(J1783="巻足し","",IF(J1783="巻返し",VLOOKUP(F1783&amp;K1783&amp;M1783,製品マスタ!$M$5:$AE$4999,19,FALSE),IF(OR(J1783="リード付け",J1783="巻返しリード付け"),"",IF(J1783="スリット",VLOOKUP(F1783&amp;K1783&amp;R1783,製品マスタ!$N$5:$AE$4999,18,FALSE),""))))))</f>
        <v/>
      </c>
      <c r="Y1783" s="256">
        <f ca="1">IF(D1783="","",IF(T1783="","",VLOOKUP(D1783,契約台帳!$A$3:$Q$4986,17,FALSE)))</f>
        <v>2</v>
      </c>
      <c r="Z1783" s="256" t="str">
        <f ca="1">IF(D1783="","",IF(T1783="","",VLOOKUP(D1783,契約台帳!$A$3:$E$4986,5,FALSE)))</f>
        <v>リンテック㈱</v>
      </c>
      <c r="AA1783" s="54"/>
      <c r="AB1783" s="200">
        <f>IFERROR((VLOOKUP(F1783&amp;K1783&amp;M1783,製品マスタ!$M$5:$AM$4999,27,FALSE)),"")</f>
        <v>0</v>
      </c>
      <c r="AC1783" s="31"/>
      <c r="AD1783" s="184"/>
      <c r="AE1783" s="51"/>
      <c r="AF1783" s="52">
        <f>+M1783*N1783*O1783/1000</f>
        <v>16080</v>
      </c>
      <c r="AG1783" s="41"/>
      <c r="AH1783" s="45"/>
      <c r="AI1783" s="28"/>
      <c r="AJ1783" s="28"/>
      <c r="AK1783" s="28"/>
      <c r="AL1783" s="28"/>
      <c r="AM1783" s="12"/>
      <c r="AN1783" s="12"/>
      <c r="AO1783" s="12"/>
      <c r="AP1783" s="12"/>
      <c r="AQ1783" s="12"/>
      <c r="AR1783" s="13"/>
      <c r="AS1783" s="14"/>
    </row>
    <row r="1784" spans="1:45" s="16" customFormat="1" ht="30.95" hidden="1" customHeight="1" x14ac:dyDescent="0.2">
      <c r="A1784" s="35"/>
      <c r="B1784" s="36"/>
      <c r="C1784" s="43"/>
      <c r="D1784" s="29"/>
      <c r="E1784" s="29"/>
      <c r="F1784" s="255"/>
      <c r="G1784" s="256"/>
      <c r="H1784" s="256"/>
      <c r="I1784" s="200"/>
      <c r="J1784" s="203"/>
      <c r="K1784" s="200"/>
      <c r="L1784" s="200"/>
      <c r="M1784" s="37"/>
      <c r="N1784" s="37"/>
      <c r="O1784" s="153"/>
      <c r="P1784" s="45"/>
      <c r="Q1784" s="54"/>
      <c r="R1784" s="260"/>
      <c r="S1784" s="258"/>
      <c r="T1784" s="258"/>
      <c r="U1784" s="38"/>
      <c r="V1784" s="261"/>
      <c r="W1784" s="256"/>
      <c r="X1784" s="256"/>
      <c r="Y1784" s="256"/>
      <c r="Z1784" s="256"/>
      <c r="AA1784" s="54"/>
      <c r="AB1784" s="200"/>
      <c r="AC1784" s="31"/>
      <c r="AD1784" s="184"/>
      <c r="AE1784" s="51"/>
      <c r="AF1784" s="52"/>
      <c r="AG1784" s="41"/>
      <c r="AH1784" s="45"/>
      <c r="AI1784" s="28"/>
      <c r="AJ1784" s="28"/>
      <c r="AK1784" s="28"/>
      <c r="AL1784" s="28"/>
      <c r="AM1784" s="12"/>
      <c r="AN1784" s="12"/>
      <c r="AO1784" s="12"/>
      <c r="AP1784" s="12"/>
      <c r="AQ1784" s="12"/>
      <c r="AR1784" s="13"/>
      <c r="AS1784" s="14"/>
    </row>
    <row r="1785" spans="1:45" s="16" customFormat="1" ht="30.95" hidden="1" customHeight="1" x14ac:dyDescent="0.2">
      <c r="A1785" s="35"/>
      <c r="B1785" s="36"/>
      <c r="C1785" s="43"/>
      <c r="D1785" s="29">
        <v>3750083</v>
      </c>
      <c r="E1785" s="29">
        <v>4162289</v>
      </c>
      <c r="F1785" s="255" t="str">
        <f>IF(D1785="","",VLOOKUP(D1785,契約台帳!$A$3:$K$4986,6,FALSE)&amp;VLOOKUP(D1785,契約台帳!$A$3:$K$4986,7,FALSE)&amp;VLOOKUP(D1785,契約台帳!$A$3:$K$4986,8,FALSE)&amp;VLOOKUP(D1785,契約台帳!$A$3:$K$4986,9,FALSE)&amp;VLOOKUP(D1785,契約台帳!$A$3:$K$4986,11,FALSE))</f>
        <v>3SNMLBMNNGKBF</v>
      </c>
      <c r="G1785" s="256" t="str">
        <f>IF(D1785="","",VLOOKUP(F1785,製品マスタ!$G$5:$H$4999,2,FALSE))</f>
        <v>S</v>
      </c>
      <c r="H1785" s="256" t="str">
        <f>IF(D1785="","",VLOOKUP(F1785,製品マスタ!$G$5:$K$4999,5,FALSE))</f>
        <v>MNNGKBF</v>
      </c>
      <c r="I1785" s="200" t="str">
        <f>IF(D1785="","",VLOOKUP(F1785,製品マスタ!$G$5:$L$4999,6,FALSE))</f>
        <v>メタルミー　ニューネーマー銀消　Ｂ</v>
      </c>
      <c r="J1785" s="203" t="s">
        <v>464</v>
      </c>
      <c r="K1785" s="200">
        <f>IF(D1785="","",VLOOKUP(D1785,契約台帳!$A$3:$L$4986,12,FALSE))</f>
        <v>25</v>
      </c>
      <c r="L1785" s="200" t="str">
        <f>IF(D1785="","",INDEX(製品マスタ!$Q$5:$Q$4999,MATCH('S4'!F1785&amp;'S4'!K1785,製品マスタ!$AO$5:$AO$4999,0)))</f>
        <v>X44C</v>
      </c>
      <c r="M1785" s="37">
        <v>1005</v>
      </c>
      <c r="N1785" s="37">
        <v>8000</v>
      </c>
      <c r="O1785" s="153">
        <v>1</v>
      </c>
      <c r="P1785" s="45">
        <v>1</v>
      </c>
      <c r="Q1785" s="206">
        <v>45383</v>
      </c>
      <c r="R1785" s="257">
        <f ca="1">IF(D1785="","",IF(OFFSET(D1785,-1,0)&lt;&gt;"","",IF(OR(J1785="リード付け",J1785="巻足し",J1785="巻返しリード付け"),M1785,VLOOKUP(D1785,契約台帳!$A$3:$N$4986,14,FALSE))))</f>
        <v>1005</v>
      </c>
      <c r="S1785" s="258">
        <f ca="1">IF(D1785="","",IF(OFFSET(D1785,-1,0)&lt;&gt;"","",IF(OR(J1785="リード付け",J1785="巻足し",J1785="巻返しリード付け"),M1785,VLOOKUP(D1785,契約台帳!$A$3:$O$4986,15,FALSE))))</f>
        <v>1005</v>
      </c>
      <c r="T1785" s="258">
        <f ca="1">IF(D1785="","",IF(J1785="リード付け",N1785,IF(J1785="巻返しリード付け",N1785,IF(J1785="巻足し",N1785*P1785+OFFSET(N1785,1,0)*OFFSET(P1785,1,0),VLOOKUP(D1785,契約台帳!$A$3:$P$4986,16,FALSE)))))</f>
        <v>8000</v>
      </c>
      <c r="U1785" s="38">
        <v>1</v>
      </c>
      <c r="V1785" s="259" t="str">
        <f ca="1">IF(D1785="","",IF(OFFSET(D1785,-2,0)=D1785,"",VLOOKUP(D1785,契約台帳!$A$3:$R$4986,18,FALSE)))</f>
        <v/>
      </c>
      <c r="W1785" s="256" t="str">
        <f ca="1">IF(D1785="","",IF(T1785="","",IF(OR(J1785="巻足し",J1785="巻返しリード付け"),"",IF(J1785="巻返し",VLOOKUP(F1785&amp;K1785&amp;M1785,製品マスタ!$M$5:$AD$4999,18,FALSE),IF(OR(J1785="リード付け",J1785="巻返しリード付け"),"原反コア",IF(J1785="スリット",VLOOKUP(F1785&amp;K1785&amp;R1785,製品マスタ!$N$5:$AD$4999,17,FALSE),""))))))</f>
        <v>原反コア</v>
      </c>
      <c r="X1785" s="256" t="str">
        <f ca="1">IF(D1785="","",IF(T1785="","",IF(J1785="巻足し","",IF(J1785="巻返し",VLOOKUP(F1785&amp;K1785&amp;M1785,製品マスタ!$M$5:$AE$4999,19,FALSE),IF(OR(J1785="リード付け",J1785="巻返しリード付け"),"",IF(J1785="スリット",VLOOKUP(F1785&amp;K1785&amp;R1785,製品マスタ!$N$5:$AE$4999,18,FALSE),""))))))</f>
        <v/>
      </c>
      <c r="Y1785" s="256">
        <f ca="1">IF(D1785="","",IF(T1785="","",VLOOKUP(D1785,契約台帳!$A$3:$Q$4986,17,FALSE)))</f>
        <v>2</v>
      </c>
      <c r="Z1785" s="256" t="str">
        <f ca="1">IF(D1785="","",IF(T1785="","",VLOOKUP(D1785,契約台帳!$A$3:$E$4986,5,FALSE)))</f>
        <v>リンテック㈱</v>
      </c>
      <c r="AA1785" s="54"/>
      <c r="AB1785" s="200">
        <f>IFERROR((VLOOKUP(F1785&amp;K1785&amp;M1785,製品マスタ!$M$5:$AM$4999,27,FALSE)),"")</f>
        <v>0</v>
      </c>
      <c r="AC1785" s="31"/>
      <c r="AD1785" s="184"/>
      <c r="AE1785" s="51"/>
      <c r="AF1785" s="52">
        <f>+M1785*N1785*O1785/1000</f>
        <v>8040</v>
      </c>
      <c r="AG1785" s="41"/>
      <c r="AH1785" s="45"/>
      <c r="AI1785" s="28"/>
      <c r="AJ1785" s="28"/>
      <c r="AK1785" s="28"/>
      <c r="AL1785" s="28"/>
      <c r="AM1785" s="12"/>
      <c r="AN1785" s="12"/>
      <c r="AO1785" s="12"/>
      <c r="AP1785" s="12"/>
      <c r="AQ1785" s="12"/>
      <c r="AR1785" s="13"/>
      <c r="AS1785" s="14"/>
    </row>
    <row r="1786" spans="1:45" s="16" customFormat="1" ht="30.95" hidden="1" customHeight="1" x14ac:dyDescent="0.2">
      <c r="A1786" s="35"/>
      <c r="B1786" s="36"/>
      <c r="C1786" s="43"/>
      <c r="D1786" s="29"/>
      <c r="E1786" s="29"/>
      <c r="F1786" s="255"/>
      <c r="G1786" s="256"/>
      <c r="H1786" s="256"/>
      <c r="I1786" s="200"/>
      <c r="J1786" s="203"/>
      <c r="K1786" s="200"/>
      <c r="L1786" s="200"/>
      <c r="M1786" s="37"/>
      <c r="N1786" s="37"/>
      <c r="O1786" s="153"/>
      <c r="P1786" s="45"/>
      <c r="Q1786" s="54"/>
      <c r="R1786" s="260"/>
      <c r="S1786" s="258"/>
      <c r="T1786" s="258"/>
      <c r="U1786" s="38"/>
      <c r="V1786" s="261"/>
      <c r="W1786" s="256"/>
      <c r="X1786" s="256"/>
      <c r="Y1786" s="256"/>
      <c r="Z1786" s="256"/>
      <c r="AA1786" s="54"/>
      <c r="AB1786" s="200"/>
      <c r="AC1786" s="31"/>
      <c r="AD1786" s="184"/>
      <c r="AE1786" s="51"/>
      <c r="AF1786" s="52"/>
      <c r="AG1786" s="41"/>
      <c r="AH1786" s="45"/>
      <c r="AI1786" s="28"/>
      <c r="AJ1786" s="28"/>
      <c r="AK1786" s="28"/>
      <c r="AL1786" s="28"/>
      <c r="AM1786" s="12"/>
      <c r="AN1786" s="12"/>
      <c r="AO1786" s="12"/>
      <c r="AP1786" s="12"/>
      <c r="AQ1786" s="12"/>
      <c r="AR1786" s="13"/>
      <c r="AS1786" s="14"/>
    </row>
    <row r="1787" spans="1:45" s="16" customFormat="1" ht="30.6" hidden="1" customHeight="1" x14ac:dyDescent="0.2">
      <c r="A1787" s="35" t="s">
        <v>2374</v>
      </c>
      <c r="B1787" s="36" t="s">
        <v>2375</v>
      </c>
      <c r="C1787" s="43"/>
      <c r="D1787" s="29">
        <v>3750060</v>
      </c>
      <c r="E1787" s="29">
        <v>4162276</v>
      </c>
      <c r="F1787" s="255" t="str">
        <f>IF(D1787="","",VLOOKUP(D1787,契約台帳!$A$3:$K$4986,6,FALSE)&amp;VLOOKUP(D1787,契約台帳!$A$3:$K$4986,7,FALSE)&amp;VLOOKUP(D1787,契約台帳!$A$3:$K$4986,8,FALSE)&amp;VLOOKUP(D1787,契約台帳!$A$3:$K$4986,9,FALSE)&amp;VLOOKUP(D1787,契約台帳!$A$3:$K$4986,11,FALSE))</f>
        <v>3SNMCLBMSNEYK</v>
      </c>
      <c r="G1787" s="256" t="str">
        <f>IF(D1787="","",VLOOKUP(F1787,製品マスタ!$G$5:$H$4999,2,FALSE))</f>
        <v>S</v>
      </c>
      <c r="H1787" s="256" t="str">
        <f>IF(D1787="","",VLOOKUP(F1787,製品マスタ!$G$5:$K$4999,5,FALSE))</f>
        <v>MSNEYK</v>
      </c>
      <c r="I1787" s="200" t="str">
        <f>IF(D1787="","",VLOOKUP(F1787,製品マスタ!$G$5:$L$4999,6,FALSE))</f>
        <v>ＭＳＮ　ＥＹＫ</v>
      </c>
      <c r="J1787" s="203" t="s">
        <v>935</v>
      </c>
      <c r="K1787" s="200">
        <f>IF(D1787="","",VLOOKUP(D1787,契約台帳!$A$3:$L$4986,12,FALSE))</f>
        <v>50</v>
      </c>
      <c r="L1787" s="200" t="str">
        <f>IF(D1787="","",INDEX(製品マスタ!$Q$5:$Q$4999,MATCH('S4'!F1787&amp;'S4'!K1787,製品マスタ!$AO$5:$AO$4999,0)))</f>
        <v>N-MAT</v>
      </c>
      <c r="M1787" s="37">
        <v>1200</v>
      </c>
      <c r="N1787" s="37">
        <v>6000</v>
      </c>
      <c r="O1787" s="153">
        <v>12</v>
      </c>
      <c r="P1787" s="45">
        <v>2</v>
      </c>
      <c r="Q1787" s="206">
        <v>45383</v>
      </c>
      <c r="R1787" s="257">
        <f ca="1">IF(D1787="","",IF(OFFSET(D1787,-1,0)&lt;&gt;"","",IF(OR(J1787="リード付け",J1787="巻足し",J1787="巻返しリード付け"),M1787,VLOOKUP(D1787,契約台帳!$A$3:$N$4986,14,FALSE))))</f>
        <v>1200</v>
      </c>
      <c r="S1787" s="258">
        <f ca="1">IF(D1787="","",IF(OFFSET(D1787,-1,0)&lt;&gt;"","",IF(OR(J1787="リード付け",J1787="巻足し",J1787="巻返しリード付け"),M1787,VLOOKUP(D1787,契約台帳!$A$3:$O$4986,15,FALSE))))</f>
        <v>1200</v>
      </c>
      <c r="T1787" s="258">
        <f ca="1">IF(D1787="","",IF(J1787="リード付け",N1787,IF(J1787="巻返しリード付け",N1787,IF(J1787="巻足し",N1787*P1787+OFFSET(N1787,1,0)*OFFSET(P1787,1,0),VLOOKUP(D1787,契約台帳!$A$3:$P$4986,16,FALSE)))))</f>
        <v>12000</v>
      </c>
      <c r="U1787" s="38">
        <v>6</v>
      </c>
      <c r="V1787" s="259">
        <f ca="1">IF(D1787="","",IF(OFFSET(D1787,-2,0)=D1787,"",VLOOKUP(D1787,契約台帳!$A$3:$R$4986,18,FALSE)))</f>
        <v>12</v>
      </c>
      <c r="W1787" s="256" t="str">
        <f ca="1">IF(D1787="","",IF(T1787="","",IF(OR(J1787="巻足し",J1787="巻返しリード付け"),"",IF(J1787="巻返し",VLOOKUP(F1787&amp;K1787&amp;M1787,製品マスタ!$M$5:$AD$4999,18,FALSE),IF(OR(J1787="リード付け",J1787="巻返しリード付け"),"原反コア",IF(J1787="スリット",VLOOKUP(F1787&amp;K1787&amp;R1787,製品マスタ!$N$5:$AD$4999,17,FALSE),""))))))</f>
        <v/>
      </c>
      <c r="X1787" s="256" t="str">
        <f ca="1">IF(D1787="","",IF(T1787="","",IF(J1787="巻足し","",IF(J1787="巻返し",VLOOKUP(F1787&amp;K1787&amp;M1787,製品マスタ!$M$5:$AE$4999,19,FALSE),IF(OR(J1787="リード付け",J1787="巻返しリード付け"),"",IF(J1787="スリット",VLOOKUP(F1787&amp;K1787&amp;R1787,製品マスタ!$N$5:$AE$4999,18,FALSE),""))))))</f>
        <v/>
      </c>
      <c r="Y1787" s="256">
        <f ca="1">IF(D1787="","",IF(T1787="","",VLOOKUP(D1787,契約台帳!$A$3:$Q$4986,17,FALSE)))</f>
        <v>2</v>
      </c>
      <c r="Z1787" s="256" t="str">
        <f ca="1">IF(D1787="","",IF(T1787="","",VLOOKUP(D1787,契約台帳!$A$3:$E$4986,5,FALSE)))</f>
        <v>大阪シーリング印刷㈱</v>
      </c>
      <c r="AA1787" s="54"/>
      <c r="AB1787" s="200" t="str">
        <f>IFERROR((VLOOKUP(F1787&amp;K1787&amp;M1787,製品マスタ!$M$5:$AM$4999,27,FALSE)),"")</f>
        <v>原反ケース再利用</v>
      </c>
      <c r="AC1787" s="31"/>
      <c r="AD1787" s="184"/>
      <c r="AE1787" s="51"/>
      <c r="AF1787" s="52">
        <f>+M1787*N1787*O1787/1000</f>
        <v>86400</v>
      </c>
      <c r="AG1787" s="41"/>
      <c r="AH1787" s="45"/>
      <c r="AI1787" s="28"/>
      <c r="AJ1787" s="28"/>
      <c r="AK1787" s="28"/>
      <c r="AL1787" s="28"/>
      <c r="AM1787" s="12"/>
      <c r="AN1787" s="12"/>
      <c r="AO1787" s="12"/>
      <c r="AP1787" s="12"/>
      <c r="AQ1787" s="12"/>
      <c r="AR1787" s="13"/>
      <c r="AS1787" s="14"/>
    </row>
    <row r="1788" spans="1:45" s="16" customFormat="1" ht="30.95" hidden="1" customHeight="1" x14ac:dyDescent="0.2">
      <c r="A1788" s="35"/>
      <c r="B1788" s="36"/>
      <c r="C1788" s="43"/>
      <c r="D1788" s="29"/>
      <c r="E1788" s="29"/>
      <c r="F1788" s="255"/>
      <c r="G1788" s="256"/>
      <c r="H1788" s="256"/>
      <c r="I1788" s="200"/>
      <c r="J1788" s="203"/>
      <c r="K1788" s="200"/>
      <c r="L1788" s="200"/>
      <c r="M1788" s="37"/>
      <c r="N1788" s="37"/>
      <c r="O1788" s="153"/>
      <c r="P1788" s="45"/>
      <c r="Q1788" s="54"/>
      <c r="R1788" s="260"/>
      <c r="S1788" s="258"/>
      <c r="T1788" s="258"/>
      <c r="U1788" s="38"/>
      <c r="V1788" s="261"/>
      <c r="W1788" s="256"/>
      <c r="X1788" s="256"/>
      <c r="Y1788" s="256"/>
      <c r="Z1788" s="256"/>
      <c r="AA1788" s="54"/>
      <c r="AB1788" s="200"/>
      <c r="AC1788" s="31"/>
      <c r="AD1788" s="184"/>
      <c r="AE1788" s="51"/>
      <c r="AF1788" s="52"/>
      <c r="AG1788" s="41"/>
      <c r="AH1788" s="45"/>
      <c r="AI1788" s="28"/>
      <c r="AJ1788" s="28"/>
      <c r="AK1788" s="28"/>
      <c r="AL1788" s="28"/>
      <c r="AM1788" s="12"/>
      <c r="AN1788" s="12"/>
      <c r="AO1788" s="12"/>
      <c r="AP1788" s="12"/>
      <c r="AQ1788" s="12"/>
      <c r="AR1788" s="13"/>
      <c r="AS1788" s="14"/>
    </row>
    <row r="1789" spans="1:45" s="16" customFormat="1" ht="30.95" hidden="1" customHeight="1" x14ac:dyDescent="0.2">
      <c r="A1789" s="35"/>
      <c r="B1789" s="36"/>
      <c r="C1789" s="43"/>
      <c r="D1789" s="29">
        <v>3750064</v>
      </c>
      <c r="E1789" s="29">
        <v>4162255</v>
      </c>
      <c r="F1789" s="255" t="str">
        <f>IF(D1789="","",VLOOKUP(D1789,契約台帳!$A$3:$K$4986,6,FALSE)&amp;VLOOKUP(D1789,契約台帳!$A$3:$K$4986,7,FALSE)&amp;VLOOKUP(D1789,契約台帳!$A$3:$K$4986,8,FALSE)&amp;VLOOKUP(D1789,契約台帳!$A$3:$K$4986,9,FALSE)&amp;VLOOKUP(D1789,契約台帳!$A$3:$K$4986,11,FALSE))</f>
        <v>3HSNMCLBWCB</v>
      </c>
      <c r="G1789" s="256" t="str">
        <f>IF(D1789="","",VLOOKUP(F1789,製品マスタ!$G$5:$H$4999,2,FALSE))</f>
        <v>S</v>
      </c>
      <c r="H1789" s="256" t="str">
        <f>IF(D1789="","",VLOOKUP(F1789,製品マスタ!$G$5:$K$4999,5,FALSE))</f>
        <v>WCB</v>
      </c>
      <c r="I1789" s="200" t="str">
        <f>IF(D1789="","",VLOOKUP(F1789,製品マスタ!$G$5:$L$4999,6,FALSE))</f>
        <v>メタルミー　ホワイトコート　（Ｂ）</v>
      </c>
      <c r="J1789" s="203" t="s">
        <v>464</v>
      </c>
      <c r="K1789" s="200">
        <f>IF(D1789="","",VLOOKUP(D1789,契約台帳!$A$3:$L$4986,12,FALSE))</f>
        <v>50</v>
      </c>
      <c r="L1789" s="200" t="s">
        <v>2377</v>
      </c>
      <c r="M1789" s="37">
        <v>1195</v>
      </c>
      <c r="N1789" s="37">
        <v>6100</v>
      </c>
      <c r="O1789" s="153">
        <v>1</v>
      </c>
      <c r="P1789" s="45">
        <v>1</v>
      </c>
      <c r="Q1789" s="206">
        <v>45383</v>
      </c>
      <c r="R1789" s="257">
        <f ca="1">IF(D1789="","",IF(OFFSET(D1789,-1,0)&lt;&gt;"","",IF(OR(J1789="リード付け",J1789="巻足し",J1789="巻返しリード付け"),M1789,VLOOKUP(D1789,契約台帳!$A$3:$N$4986,14,FALSE))))</f>
        <v>1195</v>
      </c>
      <c r="S1789" s="258">
        <f ca="1">IF(D1789="","",IF(OFFSET(D1789,-1,0)&lt;&gt;"","",IF(OR(J1789="リード付け",J1789="巻足し",J1789="巻返しリード付け"),M1789,VLOOKUP(D1789,契約台帳!$A$3:$O$4986,15,FALSE))))</f>
        <v>1195</v>
      </c>
      <c r="T1789" s="258">
        <v>5300</v>
      </c>
      <c r="U1789" s="38">
        <v>1</v>
      </c>
      <c r="V1789" s="259">
        <f ca="1">IF(D1789="","",IF(OFFSET(D1789,-2,0)=D1789,"",VLOOKUP(D1789,契約台帳!$A$3:$R$4986,18,FALSE)))</f>
        <v>1</v>
      </c>
      <c r="W1789" s="256" t="str">
        <f>IF(D1789="","",IF(T1789="","",IF(OR(J1789="巻足し",J1789="巻返しリード付け"),"",IF(J1789="巻返し",VLOOKUP(F1789&amp;K1789&amp;M1789,製品マスタ!$M$5:$AD$4999,18,FALSE),IF(OR(J1789="リード付け",J1789="巻返しリード付け"),"原反コア",IF(J1789="スリット",VLOOKUP(F1789&amp;K1789&amp;R1789,製品マスタ!$N$5:$AD$4999,17,FALSE),""))))))</f>
        <v>原反コア</v>
      </c>
      <c r="X1789" s="256" t="str">
        <f>IF(D1789="","",IF(T1789="","",IF(J1789="巻足し","",IF(J1789="巻返し",VLOOKUP(F1789&amp;K1789&amp;M1789,製品マスタ!$M$5:$AE$4999,19,FALSE),IF(OR(J1789="リード付け",J1789="巻返しリード付け"),"",IF(J1789="スリット",VLOOKUP(F1789&amp;K1789&amp;R1789,製品マスタ!$N$5:$AE$4999,18,FALSE),""))))))</f>
        <v/>
      </c>
      <c r="Y1789" s="256">
        <f>IF(D1789="","",IF(T1789="","",VLOOKUP(D1789,契約台帳!$A$3:$Q$4986,17,FALSE)))</f>
        <v>2</v>
      </c>
      <c r="Z1789" s="256" t="str">
        <f>IF(D1789="","",IF(T1789="","",VLOOKUP(D1789,契約台帳!$A$3:$E$4986,5,FALSE)))</f>
        <v>新タック化成㈱</v>
      </c>
      <c r="AA1789" s="54"/>
      <c r="AB1789" s="200" t="str">
        <f>IFERROR((VLOOKUP(F1789&amp;K1789&amp;M1789,製品マスタ!$M$5:$AM$4999,27,FALSE)),"")</f>
        <v/>
      </c>
      <c r="AC1789" s="31"/>
      <c r="AD1789" s="184"/>
      <c r="AE1789" s="51"/>
      <c r="AF1789" s="52">
        <f>+M1789*N1789*O1789/1000</f>
        <v>7289.5</v>
      </c>
      <c r="AG1789" s="41"/>
      <c r="AH1789" s="45"/>
      <c r="AI1789" s="28"/>
      <c r="AJ1789" s="28"/>
      <c r="AK1789" s="28"/>
      <c r="AL1789" s="28"/>
      <c r="AM1789" s="12"/>
      <c r="AN1789" s="12"/>
      <c r="AO1789" s="12"/>
      <c r="AP1789" s="12"/>
      <c r="AQ1789" s="12"/>
      <c r="AR1789" s="13"/>
      <c r="AS1789" s="14"/>
    </row>
    <row r="1790" spans="1:45" s="16" customFormat="1" ht="30.95" hidden="1" customHeight="1" x14ac:dyDescent="0.2">
      <c r="A1790" s="35"/>
      <c r="B1790" s="36"/>
      <c r="C1790" s="43"/>
      <c r="D1790" s="29"/>
      <c r="E1790" s="29"/>
      <c r="F1790" s="255"/>
      <c r="G1790" s="256"/>
      <c r="H1790" s="256"/>
      <c r="I1790" s="200"/>
      <c r="J1790" s="203"/>
      <c r="K1790" s="200"/>
      <c r="L1790" s="200"/>
      <c r="M1790" s="37"/>
      <c r="N1790" s="37"/>
      <c r="O1790" s="153"/>
      <c r="P1790" s="45"/>
      <c r="Q1790" s="54"/>
      <c r="R1790" s="260"/>
      <c r="S1790" s="258"/>
      <c r="T1790" s="258"/>
      <c r="U1790" s="38"/>
      <c r="V1790" s="261"/>
      <c r="W1790" s="256"/>
      <c r="X1790" s="256"/>
      <c r="Y1790" s="256"/>
      <c r="Z1790" s="256"/>
      <c r="AA1790" s="54"/>
      <c r="AB1790" s="200"/>
      <c r="AC1790" s="31"/>
      <c r="AD1790" s="184"/>
      <c r="AE1790" s="51"/>
      <c r="AF1790" s="52"/>
      <c r="AG1790" s="41"/>
      <c r="AH1790" s="45"/>
      <c r="AI1790" s="28"/>
      <c r="AJ1790" s="28"/>
      <c r="AK1790" s="28"/>
      <c r="AL1790" s="28"/>
      <c r="AM1790" s="12"/>
      <c r="AN1790" s="12"/>
      <c r="AO1790" s="12"/>
      <c r="AP1790" s="12"/>
      <c r="AQ1790" s="12"/>
      <c r="AR1790" s="13"/>
      <c r="AS1790" s="14"/>
    </row>
    <row r="1791" spans="1:45" s="16" customFormat="1" ht="30.6" hidden="1" customHeight="1" x14ac:dyDescent="0.2">
      <c r="A1791" s="35" t="s">
        <v>2378</v>
      </c>
      <c r="B1791" s="36" t="s">
        <v>2379</v>
      </c>
      <c r="C1791" s="43"/>
      <c r="D1791" s="29">
        <v>3750066</v>
      </c>
      <c r="E1791" s="29">
        <v>4162262</v>
      </c>
      <c r="F1791" s="255" t="str">
        <f>IF(D1791="","",VLOOKUP(D1791,契約台帳!$A$3:$K$4986,6,FALSE)&amp;VLOOKUP(D1791,契約台帳!$A$3:$K$4986,7,FALSE)&amp;VLOOKUP(D1791,契約台帳!$A$3:$K$4986,8,FALSE)&amp;VLOOKUP(D1791,契約台帳!$A$3:$K$4986,9,FALSE)&amp;VLOOKUP(D1791,契約台帳!$A$3:$K$4986,11,FALSE))</f>
        <v>3SNMLBMNGKKBF</v>
      </c>
      <c r="G1791" s="256" t="str">
        <f>IF(D1791="","",VLOOKUP(F1791,製品マスタ!$G$5:$H$4999,2,FALSE))</f>
        <v>S</v>
      </c>
      <c r="H1791" s="256" t="str">
        <f>IF(D1791="","",VLOOKUP(F1791,製品マスタ!$G$5:$K$4999,5,FALSE))</f>
        <v>MNGKKBF</v>
      </c>
      <c r="I1791" s="200" t="str">
        <f>IF(D1791="","",VLOOKUP(F1791,製品マスタ!$G$5:$L$4999,6,FALSE))</f>
        <v>メタルミー　ネーマー銀消改　Ｂ</v>
      </c>
      <c r="J1791" s="203" t="s">
        <v>935</v>
      </c>
      <c r="K1791" s="200">
        <f>IF(D1791="","",VLOOKUP(D1791,契約台帳!$A$3:$L$4986,12,FALSE))</f>
        <v>50</v>
      </c>
      <c r="L1791" s="200" t="str">
        <f>IF(D1791="","",INDEX(製品マスタ!$Q$5:$Q$4999,MATCH('S4'!F1791&amp;'S4'!K1791,製品マスタ!$AO$5:$AO$4999,0)))</f>
        <v>S99-MAT</v>
      </c>
      <c r="M1791" s="37">
        <v>1120</v>
      </c>
      <c r="N1791" s="37">
        <v>4000</v>
      </c>
      <c r="O1791" s="153">
        <v>15</v>
      </c>
      <c r="P1791" s="45">
        <v>3</v>
      </c>
      <c r="Q1791" s="206">
        <v>45386</v>
      </c>
      <c r="R1791" s="257">
        <f ca="1">IF(D1791="","",IF(OFFSET(D1791,-1,0)&lt;&gt;"","",IF(OR(J1791="リード付け",J1791="巻足し",J1791="巻返しリード付け"),M1791,VLOOKUP(D1791,契約台帳!$A$3:$N$4986,14,FALSE))))</f>
        <v>1120</v>
      </c>
      <c r="S1791" s="258">
        <f ca="1">IF(D1791="","",IF(OFFSET(D1791,-1,0)&lt;&gt;"","",IF(OR(J1791="リード付け",J1791="巻足し",J1791="巻返しリード付け"),M1791,VLOOKUP(D1791,契約台帳!$A$3:$O$4986,15,FALSE))))</f>
        <v>1120</v>
      </c>
      <c r="T1791" s="258">
        <f ca="1">IF(D1791="","",IF(J1791="リード付け",N1791,IF(J1791="巻返しリード付け",N1791,IF(J1791="巻足し",N1791*P1791+OFFSET(N1791,1,0)*OFFSET(P1791,1,0),VLOOKUP(D1791,契約台帳!$A$3:$P$4986,16,FALSE)))))</f>
        <v>12000</v>
      </c>
      <c r="U1791" s="38">
        <v>5</v>
      </c>
      <c r="V1791" s="259">
        <f ca="1">IF(D1791="","",IF(OFFSET(D1791,-2,0)=D1791,"",VLOOKUP(D1791,契約台帳!$A$3:$R$4986,18,FALSE)))</f>
        <v>30</v>
      </c>
      <c r="W1791" s="256" t="str">
        <f ca="1">IF(D1791="","",IF(T1791="","",IF(OR(J1791="巻足し",J1791="巻返しリード付け"),"",IF(J1791="巻返し",VLOOKUP(F1791&amp;K1791&amp;M1791,製品マスタ!$M$5:$AD$4999,18,FALSE),IF(OR(J1791="リード付け",J1791="巻返しリード付け"),"原反コア",IF(J1791="スリット",VLOOKUP(F1791&amp;K1791&amp;R1791,製品マスタ!$N$5:$AD$4999,17,FALSE),""))))))</f>
        <v/>
      </c>
      <c r="X1791" s="256" t="str">
        <f ca="1">IF(D1791="","",IF(T1791="","",IF(J1791="巻足し","",IF(J1791="巻返し",VLOOKUP(F1791&amp;K1791&amp;M1791,製品マスタ!$M$5:$AE$4999,19,FALSE),IF(OR(J1791="リード付け",J1791="巻返しリード付け"),"",IF(J1791="スリット",VLOOKUP(F1791&amp;K1791&amp;R1791,製品マスタ!$N$5:$AE$4999,18,FALSE),""))))))</f>
        <v/>
      </c>
      <c r="Y1791" s="256">
        <f ca="1">IF(D1791="","",IF(T1791="","",VLOOKUP(D1791,契約台帳!$A$3:$Q$4986,17,FALSE)))</f>
        <v>2</v>
      </c>
      <c r="Z1791" s="256" t="str">
        <f ca="1">IF(D1791="","",IF(T1791="","",VLOOKUP(D1791,契約台帳!$A$3:$E$4986,5,FALSE)))</f>
        <v>リンテック㈱</v>
      </c>
      <c r="AA1791" s="54"/>
      <c r="AB1791" s="200">
        <f>IFERROR((VLOOKUP(F1791&amp;K1791&amp;M1791,製品マスタ!$M$5:$AM$4999,27,FALSE)),"")</f>
        <v>0</v>
      </c>
      <c r="AC1791" s="31"/>
      <c r="AD1791" s="184"/>
      <c r="AE1791" s="51"/>
      <c r="AF1791" s="52">
        <f>+M1791*N1791*O1791/1000</f>
        <v>67200</v>
      </c>
      <c r="AG1791" s="41"/>
      <c r="AH1791" s="45"/>
      <c r="AI1791" s="28"/>
      <c r="AJ1791" s="28"/>
      <c r="AK1791" s="28"/>
      <c r="AL1791" s="28"/>
      <c r="AM1791" s="12"/>
      <c r="AN1791" s="12"/>
      <c r="AO1791" s="12"/>
      <c r="AP1791" s="12"/>
      <c r="AQ1791" s="12"/>
      <c r="AR1791" s="13"/>
      <c r="AS1791" s="14"/>
    </row>
    <row r="1792" spans="1:45" s="16" customFormat="1" ht="30.95" hidden="1" customHeight="1" x14ac:dyDescent="0.2">
      <c r="A1792" s="35"/>
      <c r="B1792" s="36"/>
      <c r="C1792" s="43"/>
      <c r="D1792" s="29"/>
      <c r="E1792" s="29"/>
      <c r="F1792" s="255"/>
      <c r="G1792" s="256"/>
      <c r="H1792" s="256"/>
      <c r="I1792" s="200"/>
      <c r="J1792" s="203"/>
      <c r="K1792" s="200"/>
      <c r="L1792" s="200"/>
      <c r="M1792" s="37"/>
      <c r="N1792" s="37"/>
      <c r="O1792" s="153"/>
      <c r="P1792" s="45"/>
      <c r="Q1792" s="54"/>
      <c r="R1792" s="260"/>
      <c r="S1792" s="258"/>
      <c r="T1792" s="258"/>
      <c r="U1792" s="38"/>
      <c r="V1792" s="261"/>
      <c r="W1792" s="256"/>
      <c r="X1792" s="256"/>
      <c r="Y1792" s="256"/>
      <c r="Z1792" s="256"/>
      <c r="AA1792" s="54"/>
      <c r="AB1792" s="200"/>
      <c r="AC1792" s="31"/>
      <c r="AD1792" s="184"/>
      <c r="AE1792" s="51"/>
      <c r="AF1792" s="52"/>
      <c r="AG1792" s="41"/>
      <c r="AH1792" s="45"/>
      <c r="AI1792" s="28"/>
      <c r="AJ1792" s="28"/>
      <c r="AK1792" s="28"/>
      <c r="AL1792" s="28"/>
      <c r="AM1792" s="12"/>
      <c r="AN1792" s="12"/>
      <c r="AO1792" s="12"/>
      <c r="AP1792" s="12"/>
      <c r="AQ1792" s="12"/>
      <c r="AR1792" s="13"/>
      <c r="AS1792" s="14"/>
    </row>
    <row r="1793" spans="1:45" s="16" customFormat="1" ht="30.6" hidden="1" customHeight="1" x14ac:dyDescent="0.2">
      <c r="A1793" s="35" t="s">
        <v>2380</v>
      </c>
      <c r="B1793" s="36" t="s">
        <v>2381</v>
      </c>
      <c r="C1793" s="43"/>
      <c r="D1793" s="29">
        <v>3750066</v>
      </c>
      <c r="E1793" s="29">
        <v>4162262</v>
      </c>
      <c r="F1793" s="255" t="str">
        <f>IF(D1793="","",VLOOKUP(D1793,契約台帳!$A$3:$K$4986,6,FALSE)&amp;VLOOKUP(D1793,契約台帳!$A$3:$K$4986,7,FALSE)&amp;VLOOKUP(D1793,契約台帳!$A$3:$K$4986,8,FALSE)&amp;VLOOKUP(D1793,契約台帳!$A$3:$K$4986,9,FALSE)&amp;VLOOKUP(D1793,契約台帳!$A$3:$K$4986,11,FALSE))</f>
        <v>3SNMLBMNGKKBF</v>
      </c>
      <c r="G1793" s="256" t="str">
        <f>IF(D1793="","",VLOOKUP(F1793,製品マスタ!$G$5:$H$4999,2,FALSE))</f>
        <v>S</v>
      </c>
      <c r="H1793" s="256" t="str">
        <f>IF(D1793="","",VLOOKUP(F1793,製品マスタ!$G$5:$K$4999,5,FALSE))</f>
        <v>MNGKKBF</v>
      </c>
      <c r="I1793" s="200" t="str">
        <f>IF(D1793="","",VLOOKUP(F1793,製品マスタ!$G$5:$L$4999,6,FALSE))</f>
        <v>メタルミー　ネーマー銀消改　Ｂ</v>
      </c>
      <c r="J1793" s="203" t="s">
        <v>935</v>
      </c>
      <c r="K1793" s="200">
        <f>IF(D1793="","",VLOOKUP(D1793,契約台帳!$A$3:$L$4986,12,FALSE))</f>
        <v>50</v>
      </c>
      <c r="L1793" s="200" t="str">
        <f>IF(D1793="","",INDEX(製品マスタ!$Q$5:$Q$4999,MATCH('S4'!F1793&amp;'S4'!K1793,製品マスタ!$AO$5:$AO$4999,0)))</f>
        <v>S99-MAT</v>
      </c>
      <c r="M1793" s="37">
        <v>1120</v>
      </c>
      <c r="N1793" s="37">
        <v>4000</v>
      </c>
      <c r="O1793" s="153">
        <v>15</v>
      </c>
      <c r="P1793" s="45">
        <v>3</v>
      </c>
      <c r="Q1793" s="206">
        <v>45386</v>
      </c>
      <c r="R1793" s="257">
        <f ca="1">IF(D1793="","",IF(OFFSET(D1793,-1,0)&lt;&gt;"","",IF(OR(J1793="リード付け",J1793="巻足し",J1793="巻返しリード付け"),M1793,VLOOKUP(D1793,契約台帳!$A$3:$N$4986,14,FALSE))))</f>
        <v>1120</v>
      </c>
      <c r="S1793" s="258">
        <f ca="1">IF(D1793="","",IF(OFFSET(D1793,-1,0)&lt;&gt;"","",IF(OR(J1793="リード付け",J1793="巻足し",J1793="巻返しリード付け"),M1793,VLOOKUP(D1793,契約台帳!$A$3:$O$4986,15,FALSE))))</f>
        <v>1120</v>
      </c>
      <c r="T1793" s="258">
        <f ca="1">IF(D1793="","",IF(J1793="リード付け",N1793,IF(J1793="巻返しリード付け",N1793,IF(J1793="巻足し",N1793*P1793+OFFSET(N1793,1,0)*OFFSET(P1793,1,0),VLOOKUP(D1793,契約台帳!$A$3:$P$4986,16,FALSE)))))</f>
        <v>12000</v>
      </c>
      <c r="U1793" s="38">
        <v>5</v>
      </c>
      <c r="V1793" s="259" t="str">
        <f ca="1">IF(D1793="","",IF(OFFSET(D1793,-2,0)=D1793,"",VLOOKUP(D1793,契約台帳!$A$3:$R$4986,18,FALSE)))</f>
        <v/>
      </c>
      <c r="W1793" s="256" t="str">
        <f ca="1">IF(D1793="","",IF(T1793="","",IF(OR(J1793="巻足し",J1793="巻返しリード付け"),"",IF(J1793="巻返し",VLOOKUP(F1793&amp;K1793&amp;M1793,製品マスタ!$M$5:$AD$4999,18,FALSE),IF(OR(J1793="リード付け",J1793="巻返しリード付け"),"原反コア",IF(J1793="スリット",VLOOKUP(F1793&amp;K1793&amp;R1793,製品マスタ!$N$5:$AD$4999,17,FALSE),""))))))</f>
        <v/>
      </c>
      <c r="X1793" s="256" t="str">
        <f ca="1">IF(D1793="","",IF(T1793="","",IF(J1793="巻足し","",IF(J1793="巻返し",VLOOKUP(F1793&amp;K1793&amp;M1793,製品マスタ!$M$5:$AE$4999,19,FALSE),IF(OR(J1793="リード付け",J1793="巻返しリード付け"),"",IF(J1793="スリット",VLOOKUP(F1793&amp;K1793&amp;R1793,製品マスタ!$N$5:$AE$4999,18,FALSE),""))))))</f>
        <v/>
      </c>
      <c r="Y1793" s="256">
        <f ca="1">IF(D1793="","",IF(T1793="","",VLOOKUP(D1793,契約台帳!$A$3:$Q$4986,17,FALSE)))</f>
        <v>2</v>
      </c>
      <c r="Z1793" s="256" t="str">
        <f ca="1">IF(D1793="","",IF(T1793="","",VLOOKUP(D1793,契約台帳!$A$3:$E$4986,5,FALSE)))</f>
        <v>リンテック㈱</v>
      </c>
      <c r="AA1793" s="54"/>
      <c r="AB1793" s="200">
        <f>IFERROR((VLOOKUP(F1793&amp;K1793&amp;M1793,製品マスタ!$M$5:$AM$4999,27,FALSE)),"")</f>
        <v>0</v>
      </c>
      <c r="AC1793" s="31"/>
      <c r="AD1793" s="184"/>
      <c r="AE1793" s="51"/>
      <c r="AF1793" s="52">
        <f>+M1793*N1793*O1793/1000</f>
        <v>67200</v>
      </c>
      <c r="AG1793" s="41"/>
      <c r="AH1793" s="45"/>
      <c r="AI1793" s="28"/>
      <c r="AJ1793" s="28"/>
      <c r="AK1793" s="28"/>
      <c r="AL1793" s="28"/>
      <c r="AM1793" s="12"/>
      <c r="AN1793" s="12"/>
      <c r="AO1793" s="12"/>
      <c r="AP1793" s="12"/>
      <c r="AQ1793" s="12"/>
      <c r="AR1793" s="13"/>
      <c r="AS1793" s="14"/>
    </row>
    <row r="1794" spans="1:45" s="16" customFormat="1" ht="30.95" hidden="1" customHeight="1" x14ac:dyDescent="0.2">
      <c r="A1794" s="35"/>
      <c r="B1794" s="36"/>
      <c r="C1794" s="43"/>
      <c r="D1794" s="29"/>
      <c r="E1794" s="29"/>
      <c r="F1794" s="255"/>
      <c r="G1794" s="256"/>
      <c r="H1794" s="256"/>
      <c r="I1794" s="200"/>
      <c r="J1794" s="203"/>
      <c r="K1794" s="200"/>
      <c r="L1794" s="200"/>
      <c r="M1794" s="37"/>
      <c r="N1794" s="37"/>
      <c r="O1794" s="153"/>
      <c r="P1794" s="45"/>
      <c r="Q1794" s="54"/>
      <c r="R1794" s="260"/>
      <c r="S1794" s="258"/>
      <c r="T1794" s="258"/>
      <c r="U1794" s="38"/>
      <c r="V1794" s="261"/>
      <c r="W1794" s="256"/>
      <c r="X1794" s="256"/>
      <c r="Y1794" s="256"/>
      <c r="Z1794" s="256"/>
      <c r="AA1794" s="54"/>
      <c r="AB1794" s="200"/>
      <c r="AC1794" s="31"/>
      <c r="AD1794" s="184"/>
      <c r="AE1794" s="51"/>
      <c r="AF1794" s="52"/>
      <c r="AG1794" s="41"/>
      <c r="AH1794" s="45"/>
      <c r="AI1794" s="28"/>
      <c r="AJ1794" s="28"/>
      <c r="AK1794" s="28"/>
      <c r="AL1794" s="28"/>
      <c r="AM1794" s="12"/>
      <c r="AN1794" s="12"/>
      <c r="AO1794" s="12"/>
      <c r="AP1794" s="12"/>
      <c r="AQ1794" s="12"/>
      <c r="AR1794" s="13"/>
      <c r="AS1794" s="14"/>
    </row>
    <row r="1795" spans="1:45" s="16" customFormat="1" ht="30.95" hidden="1" customHeight="1" x14ac:dyDescent="0.2">
      <c r="A1795" s="35"/>
      <c r="B1795" s="36"/>
      <c r="C1795" s="43"/>
      <c r="D1795" s="29">
        <v>3750085</v>
      </c>
      <c r="E1795" s="29">
        <v>4162268</v>
      </c>
      <c r="F1795" s="255" t="str">
        <f>IF(D1795="","",VLOOKUP(D1795,契約台帳!$A$3:$K$4986,6,FALSE)&amp;VLOOKUP(D1795,契約台帳!$A$3:$K$4986,7,FALSE)&amp;VLOOKUP(D1795,契約台帳!$A$3:$K$4986,8,FALSE)&amp;VLOOKUP(D1795,契約台帳!$A$3:$K$4986,9,FALSE)&amp;VLOOKUP(D1795,契約台帳!$A$3:$K$4986,11,FALSE))</f>
        <v>3SYMLBMSBBF</v>
      </c>
      <c r="G1795" s="256" t="str">
        <f>IF(D1795="","",VLOOKUP(F1795,製品マスタ!$G$5:$H$4999,2,FALSE))</f>
        <v>S</v>
      </c>
      <c r="H1795" s="256" t="str">
        <f>IF(D1795="","",VLOOKUP(F1795,製品マスタ!$G$5:$K$4999,5,FALSE))</f>
        <v>MSBBF</v>
      </c>
      <c r="I1795" s="200" t="str">
        <f>IF(D1795="","",VLOOKUP(F1795,製品マスタ!$G$5:$L$4999,6,FALSE))</f>
        <v>ＭＥＴＡＬＵＭＹ　ＳＩＬＶＥＲ　ＢＲＩＧＨＴ　Ｔ６２Ｍ　Ｂ</v>
      </c>
      <c r="J1795" s="203" t="s">
        <v>464</v>
      </c>
      <c r="K1795" s="200">
        <f>IF(D1795="","",VLOOKUP(D1795,契約台帳!$A$3:$L$4986,12,FALSE))</f>
        <v>25</v>
      </c>
      <c r="L1795" s="200" t="s">
        <v>2377</v>
      </c>
      <c r="M1795" s="37">
        <v>1120</v>
      </c>
      <c r="N1795" s="37">
        <v>8000</v>
      </c>
      <c r="O1795" s="153">
        <v>1</v>
      </c>
      <c r="P1795" s="45">
        <v>1</v>
      </c>
      <c r="Q1795" s="206">
        <v>45387</v>
      </c>
      <c r="R1795" s="257">
        <f ca="1">IF(D1795="","",IF(OFFSET(D1795,-1,0)&lt;&gt;"","",IF(OR(J1795="リード付け",J1795="巻足し",J1795="巻返しリード付け"),M1795,VLOOKUP(D1795,契約台帳!$A$3:$N$4986,14,FALSE))))</f>
        <v>1120</v>
      </c>
      <c r="S1795" s="258">
        <f ca="1">IF(D1795="","",IF(OFFSET(D1795,-1,0)&lt;&gt;"","",IF(OR(J1795="リード付け",J1795="巻足し",J1795="巻返しリード付け"),M1795,VLOOKUP(D1795,契約台帳!$A$3:$O$4986,15,FALSE))))</f>
        <v>1120</v>
      </c>
      <c r="T1795" s="258">
        <f ca="1">IF(D1795="","",IF(J1795="リード付け",N1795,IF(J1795="巻返しリード付け",N1795,IF(J1795="巻足し",N1795*P1795+OFFSET(N1795,1,0)*OFFSET(P1795,1,0),VLOOKUP(D1795,契約台帳!$A$3:$P$4986,16,FALSE)))))</f>
        <v>8000</v>
      </c>
      <c r="U1795" s="38">
        <v>1</v>
      </c>
      <c r="V1795" s="259">
        <f ca="1">IF(D1795="","",IF(OFFSET(D1795,-2,0)=D1795,"",VLOOKUP(D1795,契約台帳!$A$3:$R$4986,18,FALSE)))</f>
        <v>1</v>
      </c>
      <c r="W1795" s="256" t="str">
        <f ca="1">IF(D1795="","",IF(T1795="","",IF(OR(J1795="巻足し",J1795="巻返しリード付け"),"",IF(J1795="巻返し",VLOOKUP(F1795&amp;K1795&amp;M1795,製品マスタ!$M$5:$AD$4999,18,FALSE),IF(OR(J1795="リード付け",J1795="巻返しリード付け"),"原反コア",IF(J1795="スリット",VLOOKUP(F1795&amp;K1795&amp;R1795,製品マスタ!$N$5:$AD$4999,17,FALSE),""))))))</f>
        <v>原反コア</v>
      </c>
      <c r="X1795" s="256" t="str">
        <f ca="1">IF(D1795="","",IF(T1795="","",IF(J1795="巻足し","",IF(J1795="巻返し",VLOOKUP(F1795&amp;K1795&amp;M1795,製品マスタ!$M$5:$AE$4999,19,FALSE),IF(OR(J1795="リード付け",J1795="巻返しリード付け"),"",IF(J1795="スリット",VLOOKUP(F1795&amp;K1795&amp;R1795,製品マスタ!$N$5:$AE$4999,18,FALSE),""))))))</f>
        <v/>
      </c>
      <c r="Y1795" s="256">
        <f ca="1">IF(D1795="","",IF(T1795="","",VLOOKUP(D1795,契約台帳!$A$3:$Q$4986,17,FALSE)))</f>
        <v>2</v>
      </c>
      <c r="Z1795" s="256" t="str">
        <f ca="1">IF(D1795="","",IF(T1795="","",VLOOKUP(D1795,契約台帳!$A$3:$E$4986,5,FALSE)))</f>
        <v>リンテック㈱</v>
      </c>
      <c r="AA1795" s="54"/>
      <c r="AB1795" s="200">
        <f>IFERROR((VLOOKUP(F1795&amp;K1795&amp;M1795,製品マスタ!$M$5:$AM$4999,27,FALSE)),"")</f>
        <v>0</v>
      </c>
      <c r="AC1795" s="31"/>
      <c r="AD1795" s="184"/>
      <c r="AE1795" s="51"/>
      <c r="AF1795" s="52">
        <f>+M1795*N1795*O1795/1000</f>
        <v>8960</v>
      </c>
      <c r="AG1795" s="41"/>
      <c r="AH1795" s="45"/>
      <c r="AI1795" s="28"/>
      <c r="AJ1795" s="28"/>
      <c r="AK1795" s="28"/>
      <c r="AL1795" s="28"/>
      <c r="AM1795" s="12"/>
      <c r="AN1795" s="12"/>
      <c r="AO1795" s="12"/>
      <c r="AP1795" s="12"/>
      <c r="AQ1795" s="12"/>
      <c r="AR1795" s="13"/>
      <c r="AS1795" s="14"/>
    </row>
    <row r="1796" spans="1:45" s="16" customFormat="1" ht="30.95" hidden="1" customHeight="1" x14ac:dyDescent="0.2">
      <c r="A1796" s="35"/>
      <c r="B1796" s="36"/>
      <c r="C1796" s="43"/>
      <c r="D1796" s="29"/>
      <c r="E1796" s="29"/>
      <c r="F1796" s="255"/>
      <c r="G1796" s="256"/>
      <c r="H1796" s="256"/>
      <c r="I1796" s="200"/>
      <c r="J1796" s="203"/>
      <c r="K1796" s="200"/>
      <c r="L1796" s="200"/>
      <c r="M1796" s="37"/>
      <c r="N1796" s="37"/>
      <c r="O1796" s="153"/>
      <c r="P1796" s="45"/>
      <c r="Q1796" s="54"/>
      <c r="R1796" s="260"/>
      <c r="S1796" s="258"/>
      <c r="T1796" s="258"/>
      <c r="U1796" s="38"/>
      <c r="V1796" s="261"/>
      <c r="W1796" s="256"/>
      <c r="X1796" s="256"/>
      <c r="Y1796" s="256"/>
      <c r="Z1796" s="256"/>
      <c r="AA1796" s="54"/>
      <c r="AB1796" s="200"/>
      <c r="AC1796" s="31"/>
      <c r="AD1796" s="184"/>
      <c r="AE1796" s="51"/>
      <c r="AF1796" s="52"/>
      <c r="AG1796" s="41"/>
      <c r="AH1796" s="45"/>
      <c r="AI1796" s="28"/>
      <c r="AJ1796" s="28"/>
      <c r="AK1796" s="28"/>
      <c r="AL1796" s="28"/>
      <c r="AM1796" s="12"/>
      <c r="AN1796" s="12"/>
      <c r="AO1796" s="12"/>
      <c r="AP1796" s="12"/>
      <c r="AQ1796" s="12"/>
      <c r="AR1796" s="13"/>
      <c r="AS1796" s="14"/>
    </row>
    <row r="1797" spans="1:45" s="16" customFormat="1" ht="30.95" hidden="1" customHeight="1" x14ac:dyDescent="0.2">
      <c r="A1797" s="35"/>
      <c r="B1797" s="36"/>
      <c r="C1797" s="43"/>
      <c r="D1797" s="29">
        <v>3750091</v>
      </c>
      <c r="E1797" s="29">
        <v>4162269</v>
      </c>
      <c r="F1797" s="255" t="str">
        <f>IF(D1797="","",VLOOKUP(D1797,契約台帳!$A$3:$K$4986,6,FALSE)&amp;VLOOKUP(D1797,契約台帳!$A$3:$K$4986,7,FALSE)&amp;VLOOKUP(D1797,契約台帳!$A$3:$K$4986,8,FALSE)&amp;VLOOKUP(D1797,契約台帳!$A$3:$K$4986,9,FALSE)&amp;VLOOKUP(D1797,契約台帳!$A$3:$K$4986,11,FALSE))</f>
        <v>3SYMLBMSBBF</v>
      </c>
      <c r="G1797" s="256" t="str">
        <f>IF(D1797="","",VLOOKUP(F1797,製品マスタ!$G$5:$H$4999,2,FALSE))</f>
        <v>S</v>
      </c>
      <c r="H1797" s="256" t="str">
        <f>IF(D1797="","",VLOOKUP(F1797,製品マスタ!$G$5:$K$4999,5,FALSE))</f>
        <v>MSBBF</v>
      </c>
      <c r="I1797" s="200" t="str">
        <f>IF(D1797="","",VLOOKUP(F1797,製品マスタ!$G$5:$L$4999,6,FALSE))</f>
        <v>ＭＥＴＡＬＵＭＹ　ＳＩＬＶＥＲ　ＢＲＩＧＨＴ　Ｔ６２Ｍ　Ｂ</v>
      </c>
      <c r="J1797" s="203" t="s">
        <v>464</v>
      </c>
      <c r="K1797" s="200">
        <f>IF(D1797="","",VLOOKUP(D1797,契約台帳!$A$3:$L$4986,12,FALSE))</f>
        <v>25</v>
      </c>
      <c r="L1797" s="200" t="s">
        <v>2377</v>
      </c>
      <c r="M1797" s="37">
        <v>1120</v>
      </c>
      <c r="N1797" s="37">
        <v>8000</v>
      </c>
      <c r="O1797" s="153">
        <v>1</v>
      </c>
      <c r="P1797" s="45">
        <v>1</v>
      </c>
      <c r="Q1797" s="206">
        <v>45387</v>
      </c>
      <c r="R1797" s="257">
        <f ca="1">IF(D1797="","",IF(OFFSET(D1797,-1,0)&lt;&gt;"","",IF(OR(J1797="リード付け",J1797="巻足し",J1797="巻返しリード付け"),M1797,VLOOKUP(D1797,契約台帳!$A$3:$N$4986,14,FALSE))))</f>
        <v>1120</v>
      </c>
      <c r="S1797" s="258">
        <f ca="1">IF(D1797="","",IF(OFFSET(D1797,-1,0)&lt;&gt;"","",IF(OR(J1797="リード付け",J1797="巻足し",J1797="巻返しリード付け"),M1797,VLOOKUP(D1797,契約台帳!$A$3:$O$4986,15,FALSE))))</f>
        <v>1120</v>
      </c>
      <c r="T1797" s="258">
        <f ca="1">IF(D1797="","",IF(J1797="リード付け",N1797,IF(J1797="巻返しリード付け",N1797,IF(J1797="巻足し",N1797*P1797+OFFSET(N1797,1,0)*OFFSET(P1797,1,0),VLOOKUP(D1797,契約台帳!$A$3:$P$4986,16,FALSE)))))</f>
        <v>8000</v>
      </c>
      <c r="U1797" s="38">
        <v>1</v>
      </c>
      <c r="V1797" s="259">
        <f ca="1">IF(D1797="","",IF(OFFSET(D1797,-2,0)=D1797,"",VLOOKUP(D1797,契約台帳!$A$3:$R$4986,18,FALSE)))</f>
        <v>1</v>
      </c>
      <c r="W1797" s="256" t="str">
        <f ca="1">IF(D1797="","",IF(T1797="","",IF(OR(J1797="巻足し",J1797="巻返しリード付け"),"",IF(J1797="巻返し",VLOOKUP(F1797&amp;K1797&amp;M1797,製品マスタ!$M$5:$AD$4999,18,FALSE),IF(OR(J1797="リード付け",J1797="巻返しリード付け"),"原反コア",IF(J1797="スリット",VLOOKUP(F1797&amp;K1797&amp;R1797,製品マスタ!$N$5:$AD$4999,17,FALSE),""))))))</f>
        <v>原反コア</v>
      </c>
      <c r="X1797" s="256" t="str">
        <f ca="1">IF(D1797="","",IF(T1797="","",IF(J1797="巻足し","",IF(J1797="巻返し",VLOOKUP(F1797&amp;K1797&amp;M1797,製品マスタ!$M$5:$AE$4999,19,FALSE),IF(OR(J1797="リード付け",J1797="巻返しリード付け"),"",IF(J1797="スリット",VLOOKUP(F1797&amp;K1797&amp;R1797,製品マスタ!$N$5:$AE$4999,18,FALSE),""))))))</f>
        <v/>
      </c>
      <c r="Y1797" s="256">
        <f ca="1">IF(D1797="","",IF(T1797="","",VLOOKUP(D1797,契約台帳!$A$3:$Q$4986,17,FALSE)))</f>
        <v>2</v>
      </c>
      <c r="Z1797" s="256" t="str">
        <f ca="1">IF(D1797="","",IF(T1797="","",VLOOKUP(D1797,契約台帳!$A$3:$E$4986,5,FALSE)))</f>
        <v>リンテック㈱</v>
      </c>
      <c r="AA1797" s="54"/>
      <c r="AB1797" s="200">
        <f>IFERROR((VLOOKUP(F1797&amp;K1797&amp;M1797,製品マスタ!$M$5:$AM$4999,27,FALSE)),"")</f>
        <v>0</v>
      </c>
      <c r="AC1797" s="31"/>
      <c r="AD1797" s="184"/>
      <c r="AE1797" s="51"/>
      <c r="AF1797" s="52">
        <f>+M1797*N1797*O1797/1000</f>
        <v>8960</v>
      </c>
      <c r="AG1797" s="41"/>
      <c r="AH1797" s="45"/>
      <c r="AI1797" s="28"/>
      <c r="AJ1797" s="28"/>
      <c r="AK1797" s="28"/>
      <c r="AL1797" s="28"/>
      <c r="AM1797" s="12"/>
      <c r="AN1797" s="12"/>
      <c r="AO1797" s="12"/>
      <c r="AP1797" s="12"/>
      <c r="AQ1797" s="12"/>
      <c r="AR1797" s="13"/>
      <c r="AS1797" s="14"/>
    </row>
    <row r="1798" spans="1:45" s="16" customFormat="1" ht="30.95" hidden="1" customHeight="1" x14ac:dyDescent="0.2">
      <c r="A1798" s="35"/>
      <c r="B1798" s="36"/>
      <c r="C1798" s="43"/>
      <c r="D1798" s="29"/>
      <c r="E1798" s="29"/>
      <c r="F1798" s="255"/>
      <c r="G1798" s="256"/>
      <c r="H1798" s="256"/>
      <c r="I1798" s="200"/>
      <c r="J1798" s="203"/>
      <c r="K1798" s="200"/>
      <c r="L1798" s="200"/>
      <c r="M1798" s="37"/>
      <c r="N1798" s="37"/>
      <c r="O1798" s="153"/>
      <c r="P1798" s="45"/>
      <c r="Q1798" s="54"/>
      <c r="R1798" s="260"/>
      <c r="S1798" s="258"/>
      <c r="T1798" s="258"/>
      <c r="U1798" s="38"/>
      <c r="V1798" s="261"/>
      <c r="W1798" s="256"/>
      <c r="X1798" s="256"/>
      <c r="Y1798" s="256"/>
      <c r="Z1798" s="256"/>
      <c r="AA1798" s="54"/>
      <c r="AB1798" s="200"/>
      <c r="AC1798" s="31"/>
      <c r="AD1798" s="184"/>
      <c r="AE1798" s="51"/>
      <c r="AF1798" s="52"/>
      <c r="AG1798" s="41"/>
      <c r="AH1798" s="45"/>
      <c r="AI1798" s="28"/>
      <c r="AJ1798" s="28"/>
      <c r="AK1798" s="28"/>
      <c r="AL1798" s="28"/>
      <c r="AM1798" s="12"/>
      <c r="AN1798" s="12"/>
      <c r="AO1798" s="12"/>
      <c r="AP1798" s="12"/>
      <c r="AQ1798" s="12"/>
      <c r="AR1798" s="13"/>
      <c r="AS1798" s="14"/>
    </row>
    <row r="1799" spans="1:45" s="16" customFormat="1" ht="30.95" hidden="1" customHeight="1" x14ac:dyDescent="0.2">
      <c r="A1799" s="35" t="s">
        <v>2382</v>
      </c>
      <c r="B1799" s="36" t="s">
        <v>2383</v>
      </c>
      <c r="C1799" s="43"/>
      <c r="D1799" s="29"/>
      <c r="E1799" s="29"/>
      <c r="F1799" s="255"/>
      <c r="G1799" s="256"/>
      <c r="H1799" s="256"/>
      <c r="I1799" s="200"/>
      <c r="J1799" s="203" t="s">
        <v>448</v>
      </c>
      <c r="K1799" s="200"/>
      <c r="L1799" s="200"/>
      <c r="M1799" s="37"/>
      <c r="N1799" s="37"/>
      <c r="O1799" s="153"/>
      <c r="P1799" s="45"/>
      <c r="Q1799" s="54"/>
      <c r="R1799" s="260"/>
      <c r="S1799" s="258"/>
      <c r="T1799" s="258"/>
      <c r="U1799" s="38"/>
      <c r="V1799" s="261"/>
      <c r="W1799" s="256"/>
      <c r="X1799" s="256"/>
      <c r="Y1799" s="256"/>
      <c r="Z1799" s="256"/>
      <c r="AA1799" s="54"/>
      <c r="AB1799" s="200"/>
      <c r="AC1799" s="31"/>
      <c r="AD1799" s="184"/>
      <c r="AE1799" s="51"/>
      <c r="AF1799" s="52"/>
      <c r="AG1799" s="41"/>
      <c r="AH1799" s="45"/>
      <c r="AI1799" s="28"/>
      <c r="AJ1799" s="28"/>
      <c r="AK1799" s="28"/>
      <c r="AL1799" s="28"/>
      <c r="AM1799" s="12"/>
      <c r="AN1799" s="12"/>
      <c r="AO1799" s="12"/>
      <c r="AP1799" s="12"/>
      <c r="AQ1799" s="12"/>
      <c r="AR1799" s="13"/>
      <c r="AS1799" s="14"/>
    </row>
    <row r="1800" spans="1:45" s="16" customFormat="1" ht="30.95" hidden="1" customHeight="1" x14ac:dyDescent="0.2">
      <c r="A1800" s="35"/>
      <c r="B1800" s="36"/>
      <c r="C1800" s="43"/>
      <c r="D1800" s="29"/>
      <c r="E1800" s="29"/>
      <c r="F1800" s="255"/>
      <c r="G1800" s="256"/>
      <c r="H1800" s="256"/>
      <c r="I1800" s="200"/>
      <c r="J1800" s="203"/>
      <c r="K1800" s="200"/>
      <c r="L1800" s="200"/>
      <c r="M1800" s="37"/>
      <c r="N1800" s="37"/>
      <c r="O1800" s="153"/>
      <c r="P1800" s="45"/>
      <c r="Q1800" s="54"/>
      <c r="R1800" s="260"/>
      <c r="S1800" s="258"/>
      <c r="T1800" s="258"/>
      <c r="U1800" s="38"/>
      <c r="V1800" s="261"/>
      <c r="W1800" s="256"/>
      <c r="X1800" s="256"/>
      <c r="Y1800" s="256"/>
      <c r="Z1800" s="256"/>
      <c r="AA1800" s="54"/>
      <c r="AB1800" s="200"/>
      <c r="AC1800" s="31"/>
      <c r="AD1800" s="184"/>
      <c r="AE1800" s="51"/>
      <c r="AF1800" s="52"/>
      <c r="AG1800" s="41"/>
      <c r="AH1800" s="45"/>
      <c r="AI1800" s="28"/>
      <c r="AJ1800" s="28"/>
      <c r="AK1800" s="28"/>
      <c r="AL1800" s="28"/>
      <c r="AM1800" s="12"/>
      <c r="AN1800" s="12"/>
      <c r="AO1800" s="12"/>
      <c r="AP1800" s="12"/>
      <c r="AQ1800" s="12"/>
      <c r="AR1800" s="13"/>
      <c r="AS1800" s="14"/>
    </row>
    <row r="1801" spans="1:45" s="16" customFormat="1" ht="30.95" hidden="1" customHeight="1" x14ac:dyDescent="0.2">
      <c r="A1801" s="35" t="s">
        <v>2384</v>
      </c>
      <c r="B1801" s="36" t="s">
        <v>2385</v>
      </c>
      <c r="C1801" s="43"/>
      <c r="D1801" s="29"/>
      <c r="E1801" s="29"/>
      <c r="F1801" s="255"/>
      <c r="G1801" s="256"/>
      <c r="H1801" s="256"/>
      <c r="I1801" s="200"/>
      <c r="J1801" s="203" t="s">
        <v>448</v>
      </c>
      <c r="K1801" s="200"/>
      <c r="L1801" s="200"/>
      <c r="M1801" s="37"/>
      <c r="N1801" s="37"/>
      <c r="O1801" s="153"/>
      <c r="P1801" s="45"/>
      <c r="Q1801" s="54"/>
      <c r="R1801" s="260"/>
      <c r="S1801" s="258"/>
      <c r="T1801" s="258"/>
      <c r="U1801" s="38"/>
      <c r="V1801" s="261"/>
      <c r="W1801" s="256"/>
      <c r="X1801" s="256"/>
      <c r="Y1801" s="256"/>
      <c r="Z1801" s="256"/>
      <c r="AA1801" s="54"/>
      <c r="AB1801" s="200"/>
      <c r="AC1801" s="31"/>
      <c r="AD1801" s="184"/>
      <c r="AE1801" s="51"/>
      <c r="AF1801" s="52"/>
      <c r="AG1801" s="41"/>
      <c r="AH1801" s="45"/>
      <c r="AI1801" s="28"/>
      <c r="AJ1801" s="28"/>
      <c r="AK1801" s="28"/>
      <c r="AL1801" s="28"/>
      <c r="AM1801" s="12"/>
      <c r="AN1801" s="12"/>
      <c r="AO1801" s="12"/>
      <c r="AP1801" s="12"/>
      <c r="AQ1801" s="12"/>
      <c r="AR1801" s="13"/>
      <c r="AS1801" s="14"/>
    </row>
    <row r="1802" spans="1:45" s="16" customFormat="1" ht="30.95" hidden="1" customHeight="1" x14ac:dyDescent="0.2">
      <c r="A1802" s="35"/>
      <c r="B1802" s="36"/>
      <c r="C1802" s="43"/>
      <c r="D1802" s="29"/>
      <c r="E1802" s="29"/>
      <c r="F1802" s="255"/>
      <c r="G1802" s="256"/>
      <c r="H1802" s="256"/>
      <c r="I1802" s="200"/>
      <c r="J1802" s="203"/>
      <c r="K1802" s="200"/>
      <c r="L1802" s="200"/>
      <c r="M1802" s="37"/>
      <c r="N1802" s="37"/>
      <c r="O1802" s="153"/>
      <c r="P1802" s="45"/>
      <c r="Q1802" s="54"/>
      <c r="R1802" s="260"/>
      <c r="S1802" s="258"/>
      <c r="T1802" s="258"/>
      <c r="U1802" s="38"/>
      <c r="V1802" s="261"/>
      <c r="W1802" s="256"/>
      <c r="X1802" s="256"/>
      <c r="Y1802" s="256"/>
      <c r="Z1802" s="256"/>
      <c r="AA1802" s="54"/>
      <c r="AB1802" s="200"/>
      <c r="AC1802" s="31"/>
      <c r="AD1802" s="184"/>
      <c r="AE1802" s="51"/>
      <c r="AF1802" s="52"/>
      <c r="AG1802" s="41"/>
      <c r="AH1802" s="45"/>
      <c r="AI1802" s="28"/>
      <c r="AJ1802" s="28"/>
      <c r="AK1802" s="28"/>
      <c r="AL1802" s="28"/>
      <c r="AM1802" s="12"/>
      <c r="AN1802" s="12"/>
      <c r="AO1802" s="12"/>
      <c r="AP1802" s="12"/>
      <c r="AQ1802" s="12"/>
      <c r="AR1802" s="13"/>
      <c r="AS1802" s="14"/>
    </row>
    <row r="1803" spans="1:45" s="16" customFormat="1" ht="30.6" hidden="1" customHeight="1" x14ac:dyDescent="0.2">
      <c r="A1803" s="35" t="s">
        <v>2386</v>
      </c>
      <c r="B1803" s="36" t="s">
        <v>2387</v>
      </c>
      <c r="C1803" s="43"/>
      <c r="D1803" s="29">
        <v>3750068</v>
      </c>
      <c r="E1803" s="29">
        <v>4162286</v>
      </c>
      <c r="F1803" s="255" t="str">
        <f>IF(D1803="","",VLOOKUP(D1803,契約台帳!$A$3:$K$4986,6,FALSE)&amp;VLOOKUP(D1803,契約台帳!$A$3:$K$4986,7,FALSE)&amp;VLOOKUP(D1803,契約台帳!$A$3:$K$4986,8,FALSE)&amp;VLOOKUP(D1803,契約台帳!$A$3:$K$4986,9,FALSE)&amp;VLOOKUP(D1803,契約台帳!$A$3:$K$4986,11,FALSE))</f>
        <v>3SNMCLBNGKVB</v>
      </c>
      <c r="G1803" s="256" t="str">
        <f>IF(D1803="","",VLOOKUP(F1803,製品マスタ!$G$5:$H$4999,2,FALSE))</f>
        <v>S</v>
      </c>
      <c r="H1803" s="256" t="str">
        <f>IF(D1803="","",VLOOKUP(F1803,製品マスタ!$G$5:$K$4999,5,FALSE))</f>
        <v>NGKVB</v>
      </c>
      <c r="I1803" s="200" t="str">
        <f>IF(D1803="","",VLOOKUP(F1803,製品マスタ!$G$5:$L$4999,6,FALSE))</f>
        <v>メタルミー　ネーマー銀消　ＶＢ</v>
      </c>
      <c r="J1803" s="203" t="s">
        <v>935</v>
      </c>
      <c r="K1803" s="200">
        <f>IF(D1803="","",VLOOKUP(D1803,契約台帳!$A$3:$L$4986,12,FALSE))</f>
        <v>50</v>
      </c>
      <c r="L1803" s="200" t="str">
        <f>IF(D1803="","",INDEX(製品マスタ!$Q$5:$Q$4999,MATCH('S4'!F1803&amp;'S4'!K1803,製品マスタ!$AO$5:$AO$4999,0)))</f>
        <v>MAT</v>
      </c>
      <c r="M1803" s="37">
        <v>1005</v>
      </c>
      <c r="N1803" s="37">
        <v>4100</v>
      </c>
      <c r="O1803" s="153">
        <v>2</v>
      </c>
      <c r="P1803" s="45">
        <v>2</v>
      </c>
      <c r="Q1803" s="206">
        <v>45386</v>
      </c>
      <c r="R1803" s="257">
        <f ca="1">IF(D1803="","",IF(OFFSET(D1803,-1,0)&lt;&gt;"","",IF(OR(J1803="リード付け",J1803="巻足し",J1803="巻返しリード付け"),M1803,VLOOKUP(D1803,契約台帳!$A$3:$N$4986,14,FALSE))))</f>
        <v>1005</v>
      </c>
      <c r="S1803" s="258">
        <f ca="1">IF(D1803="","",IF(OFFSET(D1803,-1,0)&lt;&gt;"","",IF(OR(J1803="リード付け",J1803="巻足し",J1803="巻返しリード付け"),M1803,VLOOKUP(D1803,契約台帳!$A$3:$O$4986,15,FALSE))))</f>
        <v>1005</v>
      </c>
      <c r="T1803" s="258">
        <f ca="1">IF(D1803="","",IF(J1803="リード付け",N1803,IF(J1803="巻返しリード付け",N1803,IF(J1803="巻足し",N1803*P1803+OFFSET(N1803,1,0)*OFFSET(P1803,1,0),VLOOKUP(D1803,契約台帳!$A$3:$P$4986,16,FALSE)))))</f>
        <v>8200</v>
      </c>
      <c r="U1803" s="38">
        <v>1</v>
      </c>
      <c r="V1803" s="259">
        <f ca="1">IF(D1803="","",IF(OFFSET(D1803,-2,0)=D1803,"",VLOOKUP(D1803,契約台帳!$A$3:$R$4986,18,FALSE)))</f>
        <v>2</v>
      </c>
      <c r="W1803" s="256" t="str">
        <f ca="1">IF(D1803="","",IF(T1803="","",IF(OR(J1803="巻足し",J1803="巻返しリード付け"),"",IF(J1803="巻返し",VLOOKUP(F1803&amp;K1803&amp;M1803,製品マスタ!$M$5:$AD$4999,18,FALSE),IF(OR(J1803="リード付け",J1803="巻返しリード付け"),"原反コア",IF(J1803="スリット",VLOOKUP(F1803&amp;K1803&amp;R1803,製品マスタ!$N$5:$AD$4999,17,FALSE),""))))))</f>
        <v/>
      </c>
      <c r="X1803" s="256" t="str">
        <f ca="1">IF(D1803="","",IF(T1803="","",IF(J1803="巻足し","",IF(J1803="巻返し",VLOOKUP(F1803&amp;K1803&amp;M1803,製品マスタ!$M$5:$AE$4999,19,FALSE),IF(OR(J1803="リード付け",J1803="巻返しリード付け"),"",IF(J1803="スリット",VLOOKUP(F1803&amp;K1803&amp;R1803,製品マスタ!$N$5:$AE$4999,18,FALSE),""))))))</f>
        <v/>
      </c>
      <c r="Y1803" s="256">
        <f ca="1">IF(D1803="","",IF(T1803="","",VLOOKUP(D1803,契約台帳!$A$3:$Q$4986,17,FALSE)))</f>
        <v>2</v>
      </c>
      <c r="Z1803" s="256" t="str">
        <f ca="1">IF(D1803="","",IF(T1803="","",VLOOKUP(D1803,契約台帳!$A$3:$E$4986,5,FALSE)))</f>
        <v>リンテック㈱</v>
      </c>
      <c r="AA1803" s="54"/>
      <c r="AB1803" s="200">
        <f>IFERROR((VLOOKUP(F1803&amp;K1803&amp;M1803,製品マスタ!$M$5:$AM$4999,27,FALSE)),"")</f>
        <v>0</v>
      </c>
      <c r="AC1803" s="31"/>
      <c r="AD1803" s="184"/>
      <c r="AE1803" s="51"/>
      <c r="AF1803" s="52">
        <f>+M1803*N1803*O1803/1000</f>
        <v>8241</v>
      </c>
      <c r="AG1803" s="41"/>
      <c r="AH1803" s="45"/>
      <c r="AI1803" s="28"/>
      <c r="AJ1803" s="28"/>
      <c r="AK1803" s="28"/>
      <c r="AL1803" s="28"/>
      <c r="AM1803" s="12"/>
      <c r="AN1803" s="12"/>
      <c r="AO1803" s="12"/>
      <c r="AP1803" s="12"/>
      <c r="AQ1803" s="12"/>
      <c r="AR1803" s="13"/>
      <c r="AS1803" s="14"/>
    </row>
    <row r="1804" spans="1:45" s="16" customFormat="1" ht="30.95" hidden="1" customHeight="1" x14ac:dyDescent="0.2">
      <c r="A1804" s="35"/>
      <c r="B1804" s="36"/>
      <c r="C1804" s="43"/>
      <c r="D1804" s="29"/>
      <c r="E1804" s="29"/>
      <c r="F1804" s="255"/>
      <c r="G1804" s="256"/>
      <c r="H1804" s="256"/>
      <c r="I1804" s="200"/>
      <c r="J1804" s="203"/>
      <c r="K1804" s="200"/>
      <c r="L1804" s="200"/>
      <c r="M1804" s="37"/>
      <c r="N1804" s="37"/>
      <c r="O1804" s="153"/>
      <c r="P1804" s="45"/>
      <c r="Q1804" s="54"/>
      <c r="R1804" s="260"/>
      <c r="S1804" s="258"/>
      <c r="T1804" s="258"/>
      <c r="U1804" s="38"/>
      <c r="V1804" s="261"/>
      <c r="W1804" s="256"/>
      <c r="X1804" s="256"/>
      <c r="Y1804" s="256"/>
      <c r="Z1804" s="256"/>
      <c r="AA1804" s="54"/>
      <c r="AB1804" s="200"/>
      <c r="AC1804" s="31"/>
      <c r="AD1804" s="184"/>
      <c r="AE1804" s="51"/>
      <c r="AF1804" s="52"/>
      <c r="AG1804" s="41"/>
      <c r="AH1804" s="45"/>
      <c r="AI1804" s="28"/>
      <c r="AJ1804" s="28"/>
      <c r="AK1804" s="28"/>
      <c r="AL1804" s="28"/>
      <c r="AM1804" s="12"/>
      <c r="AN1804" s="12"/>
      <c r="AO1804" s="12"/>
      <c r="AP1804" s="12"/>
      <c r="AQ1804" s="12"/>
      <c r="AR1804" s="13"/>
      <c r="AS1804" s="14"/>
    </row>
    <row r="1805" spans="1:45" s="16" customFormat="1" ht="30.95" hidden="1" customHeight="1" x14ac:dyDescent="0.2">
      <c r="A1805" s="35"/>
      <c r="B1805" s="36"/>
      <c r="C1805" s="43"/>
      <c r="D1805" s="29">
        <v>3750076</v>
      </c>
      <c r="E1805" s="29">
        <v>4162259</v>
      </c>
      <c r="F1805" s="255" t="str">
        <f>IF(D1805="","",VLOOKUP(D1805,契約台帳!$A$3:$K$4986,6,FALSE)&amp;VLOOKUP(D1805,契約台帳!$A$3:$K$4986,7,FALSE)&amp;VLOOKUP(D1805,契約台帳!$A$3:$K$4986,8,FALSE)&amp;VLOOKUP(D1805,契約台帳!$A$3:$K$4986,9,FALSE)&amp;VLOOKUP(D1805,契約台帳!$A$3:$K$4986,11,FALSE))</f>
        <v>3SNMCLBDMSV</v>
      </c>
      <c r="G1805" s="256" t="str">
        <f>IF(D1805="","",VLOOKUP(F1805,製品マスタ!$G$5:$H$4999,2,FALSE))</f>
        <v>S</v>
      </c>
      <c r="H1805" s="256" t="str">
        <f>IF(D1805="","",VLOOKUP(F1805,製品マスタ!$G$5:$K$4999,5,FALSE))</f>
        <v>DMSV</v>
      </c>
      <c r="I1805" s="200" t="str">
        <f>IF(D1805="","",VLOOKUP(F1805,製品マスタ!$G$5:$L$4999,6,FALSE))</f>
        <v>ＤＭＳ　Ｖ</v>
      </c>
      <c r="J1805" s="203" t="s">
        <v>464</v>
      </c>
      <c r="K1805" s="200">
        <f>IF(D1805="","",VLOOKUP(D1805,契約台帳!$A$3:$L$4986,12,FALSE))</f>
        <v>50</v>
      </c>
      <c r="L1805" s="200" t="str">
        <f>IF(D1805="","",INDEX(製品マスタ!$Q$5:$Q$4999,MATCH('S4'!F1805&amp;'S4'!K1805,製品マスタ!$AO$5:$AO$4999,0)))</f>
        <v>X44</v>
      </c>
      <c r="M1805" s="37">
        <v>1005</v>
      </c>
      <c r="N1805" s="37">
        <v>4000</v>
      </c>
      <c r="O1805" s="153">
        <v>1</v>
      </c>
      <c r="P1805" s="45">
        <v>1</v>
      </c>
      <c r="Q1805" s="206">
        <v>45387</v>
      </c>
      <c r="R1805" s="257">
        <f ca="1">IF(D1805="","",IF(OFFSET(D1805,-1,0)&lt;&gt;"","",IF(OR(J1805="リード付け",J1805="巻足し",J1805="巻返しリード付け"),M1805,VLOOKUP(D1805,契約台帳!$A$3:$N$4986,14,FALSE))))</f>
        <v>1005</v>
      </c>
      <c r="S1805" s="258">
        <f ca="1">IF(D1805="","",IF(OFFSET(D1805,-1,0)&lt;&gt;"","",IF(OR(J1805="リード付け",J1805="巻足し",J1805="巻返しリード付け"),M1805,VLOOKUP(D1805,契約台帳!$A$3:$O$4986,15,FALSE))))</f>
        <v>1005</v>
      </c>
      <c r="T1805" s="258">
        <f ca="1">IF(D1805="","",IF(J1805="リード付け",N1805,IF(J1805="巻返しリード付け",N1805,IF(J1805="巻足し",N1805*P1805+OFFSET(N1805,1,0)*OFFSET(P1805,1,0),VLOOKUP(D1805,契約台帳!$A$3:$P$4986,16,FALSE)))))</f>
        <v>4000</v>
      </c>
      <c r="U1805" s="38">
        <v>1</v>
      </c>
      <c r="V1805" s="259">
        <f ca="1">IF(D1805="","",IF(OFFSET(D1805,-2,0)=D1805,"",VLOOKUP(D1805,契約台帳!$A$3:$R$4986,18,FALSE)))</f>
        <v>2</v>
      </c>
      <c r="W1805" s="256" t="str">
        <f ca="1">IF(D1805="","",IF(T1805="","",IF(OR(J1805="巻足し",J1805="巻返しリード付け"),"",IF(J1805="巻返し",VLOOKUP(F1805&amp;K1805&amp;M1805,製品マスタ!$M$5:$AD$4999,18,FALSE),IF(OR(J1805="リード付け",J1805="巻返しリード付け"),"原反コア",IF(J1805="スリット",VLOOKUP(F1805&amp;K1805&amp;R1805,製品マスタ!$N$5:$AD$4999,17,FALSE),""))))))</f>
        <v>原反コア</v>
      </c>
      <c r="X1805" s="256" t="str">
        <f ca="1">IF(D1805="","",IF(T1805="","",IF(J1805="巻足し","",IF(J1805="巻返し",VLOOKUP(F1805&amp;K1805&amp;M1805,製品マスタ!$M$5:$AE$4999,19,FALSE),IF(OR(J1805="リード付け",J1805="巻返しリード付け"),"",IF(J1805="スリット",VLOOKUP(F1805&amp;K1805&amp;R1805,製品マスタ!$N$5:$AE$4999,18,FALSE),""))))))</f>
        <v/>
      </c>
      <c r="Y1805" s="256">
        <f ca="1">IF(D1805="","",IF(T1805="","",VLOOKUP(D1805,契約台帳!$A$3:$Q$4986,17,FALSE)))</f>
        <v>2</v>
      </c>
      <c r="Z1805" s="256" t="str">
        <f ca="1">IF(D1805="","",IF(T1805="","",VLOOKUP(D1805,契約台帳!$A$3:$E$4986,5,FALSE)))</f>
        <v>リンテック㈱</v>
      </c>
      <c r="AA1805" s="54"/>
      <c r="AB1805" s="200">
        <f>IFERROR((VLOOKUP(F1805&amp;K1805&amp;M1805,製品マスタ!$M$5:$AM$4999,27,FALSE)),"")</f>
        <v>0</v>
      </c>
      <c r="AC1805" s="31"/>
      <c r="AD1805" s="184"/>
      <c r="AE1805" s="51"/>
      <c r="AF1805" s="52">
        <f>+M1805*N1805*O1805/1000</f>
        <v>4020</v>
      </c>
      <c r="AG1805" s="41"/>
      <c r="AH1805" s="45"/>
      <c r="AI1805" s="28"/>
      <c r="AJ1805" s="28"/>
      <c r="AK1805" s="28"/>
      <c r="AL1805" s="28"/>
      <c r="AM1805" s="12"/>
      <c r="AN1805" s="12"/>
      <c r="AO1805" s="12"/>
      <c r="AP1805" s="12"/>
      <c r="AQ1805" s="12"/>
      <c r="AR1805" s="13"/>
      <c r="AS1805" s="14"/>
    </row>
    <row r="1806" spans="1:45" s="16" customFormat="1" ht="30.95" hidden="1" customHeight="1" x14ac:dyDescent="0.2">
      <c r="A1806" s="35"/>
      <c r="B1806" s="36"/>
      <c r="C1806" s="43"/>
      <c r="D1806" s="29"/>
      <c r="E1806" s="29"/>
      <c r="F1806" s="255"/>
      <c r="G1806" s="256"/>
      <c r="H1806" s="256"/>
      <c r="I1806" s="200"/>
      <c r="J1806" s="203"/>
      <c r="K1806" s="200"/>
      <c r="L1806" s="200"/>
      <c r="M1806" s="37"/>
      <c r="N1806" s="37"/>
      <c r="O1806" s="153"/>
      <c r="P1806" s="45"/>
      <c r="Q1806" s="54"/>
      <c r="R1806" s="260"/>
      <c r="S1806" s="258"/>
      <c r="T1806" s="258"/>
      <c r="U1806" s="38"/>
      <c r="V1806" s="261"/>
      <c r="W1806" s="256"/>
      <c r="X1806" s="256"/>
      <c r="Y1806" s="256"/>
      <c r="Z1806" s="256"/>
      <c r="AA1806" s="54"/>
      <c r="AB1806" s="200"/>
      <c r="AC1806" s="31"/>
      <c r="AD1806" s="184"/>
      <c r="AE1806" s="51"/>
      <c r="AF1806" s="52"/>
      <c r="AG1806" s="41"/>
      <c r="AH1806" s="45"/>
      <c r="AI1806" s="28"/>
      <c r="AJ1806" s="28"/>
      <c r="AK1806" s="28"/>
      <c r="AL1806" s="28"/>
      <c r="AM1806" s="12"/>
      <c r="AN1806" s="12"/>
      <c r="AO1806" s="12"/>
      <c r="AP1806" s="12"/>
      <c r="AQ1806" s="12"/>
      <c r="AR1806" s="13"/>
      <c r="AS1806" s="14"/>
    </row>
    <row r="1807" spans="1:45" s="16" customFormat="1" ht="30.95" hidden="1" customHeight="1" x14ac:dyDescent="0.2">
      <c r="A1807" s="35"/>
      <c r="B1807" s="36"/>
      <c r="C1807" s="43"/>
      <c r="D1807" s="29">
        <v>3750069</v>
      </c>
      <c r="E1807" s="29">
        <v>4162285</v>
      </c>
      <c r="F1807" s="255" t="str">
        <f>IF(D1807="","",VLOOKUP(D1807,契約台帳!$A$3:$K$4986,6,FALSE)&amp;VLOOKUP(D1807,契約台帳!$A$3:$K$4986,7,FALSE)&amp;VLOOKUP(D1807,契約台帳!$A$3:$K$4986,8,FALSE)&amp;VLOOKUP(D1807,契約台帳!$A$3:$K$4986,9,FALSE)&amp;VLOOKUP(D1807,契約台帳!$A$3:$K$4986,11,FALSE))</f>
        <v>3SNMCLBNGKEYKB</v>
      </c>
      <c r="G1807" s="256" t="str">
        <f>IF(D1807="","",VLOOKUP(F1807,製品マスタ!$G$5:$H$4999,2,FALSE))</f>
        <v>S</v>
      </c>
      <c r="H1807" s="256" t="str">
        <f>IF(D1807="","",VLOOKUP(F1807,製品マスタ!$G$5:$K$4999,5,FALSE))</f>
        <v>NGKEYKB</v>
      </c>
      <c r="I1807" s="200" t="str">
        <f>IF(D1807="","",VLOOKUP(F1807,製品マスタ!$G$5:$L$4999,6,FALSE))</f>
        <v>メタルミー　ネーマー銀消ＥＹＫ　Ｂ</v>
      </c>
      <c r="J1807" s="203" t="s">
        <v>464</v>
      </c>
      <c r="K1807" s="200">
        <f>IF(D1807="","",VLOOKUP(D1807,契約台帳!$A$3:$L$4986,12,FALSE))</f>
        <v>16</v>
      </c>
      <c r="L1807" s="200" t="str">
        <f>IF(D1807="","",INDEX(製品マスタ!$Q$5:$Q$4999,MATCH('S4'!F1807&amp;'S4'!K1807,製品マスタ!$AO$5:$AO$4999,0)))</f>
        <v>LUMIMAT</v>
      </c>
      <c r="M1807" s="37">
        <v>1005</v>
      </c>
      <c r="N1807" s="37">
        <v>3200</v>
      </c>
      <c r="O1807" s="153">
        <v>1</v>
      </c>
      <c r="P1807" s="45">
        <v>1</v>
      </c>
      <c r="Q1807" s="206">
        <v>45390</v>
      </c>
      <c r="R1807" s="257">
        <f ca="1">IF(D1807="","",IF(OFFSET(D1807,-1,0)&lt;&gt;"","",IF(OR(J1807="リード付け",J1807="巻足し",J1807="巻返しリード付け"),M1807,VLOOKUP(D1807,契約台帳!$A$3:$N$4986,14,FALSE))))</f>
        <v>1005</v>
      </c>
      <c r="S1807" s="258">
        <f ca="1">IF(D1807="","",IF(OFFSET(D1807,-1,0)&lt;&gt;"","",IF(OR(J1807="リード付け",J1807="巻足し",J1807="巻返しリード付け"),M1807,VLOOKUP(D1807,契約台帳!$A$3:$O$4986,15,FALSE))))</f>
        <v>1005</v>
      </c>
      <c r="T1807" s="258">
        <f ca="1">IF(D1807="","",IF(J1807="リード付け",N1807,IF(J1807="巻返しリード付け",N1807,IF(J1807="巻足し",N1807*P1807+OFFSET(N1807,1,0)*OFFSET(P1807,1,0),VLOOKUP(D1807,契約台帳!$A$3:$P$4986,16,FALSE)))))</f>
        <v>3200</v>
      </c>
      <c r="U1807" s="38">
        <v>1</v>
      </c>
      <c r="V1807" s="259">
        <f ca="1">IF(D1807="","",IF(OFFSET(D1807,-2,0)=D1807,"",VLOOKUP(D1807,契約台帳!$A$3:$R$4986,18,FALSE)))</f>
        <v>1</v>
      </c>
      <c r="W1807" s="256" t="str">
        <f ca="1">IF(D1807="","",IF(T1807="","",IF(OR(J1807="巻足し",J1807="巻返しリード付け"),"",IF(J1807="巻返し",VLOOKUP(F1807&amp;K1807&amp;M1807,製品マスタ!$M$5:$AD$4999,18,FALSE),IF(OR(J1807="リード付け",J1807="巻返しリード付け"),"原反コア",IF(J1807="スリット",VLOOKUP(F1807&amp;K1807&amp;R1807,製品マスタ!$N$5:$AD$4999,17,FALSE),""))))))</f>
        <v>原反コア</v>
      </c>
      <c r="X1807" s="256" t="str">
        <f ca="1">IF(D1807="","",IF(T1807="","",IF(J1807="巻足し","",IF(J1807="巻返し",VLOOKUP(F1807&amp;K1807&amp;M1807,製品マスタ!$M$5:$AE$4999,19,FALSE),IF(OR(J1807="リード付け",J1807="巻返しリード付け"),"",IF(J1807="スリット",VLOOKUP(F1807&amp;K1807&amp;R1807,製品マスタ!$N$5:$AE$4999,18,FALSE),""))))))</f>
        <v/>
      </c>
      <c r="Y1807" s="256">
        <f ca="1">IF(D1807="","",IF(T1807="","",VLOOKUP(D1807,契約台帳!$A$3:$Q$4986,17,FALSE)))</f>
        <v>2</v>
      </c>
      <c r="Z1807" s="256" t="str">
        <f ca="1">IF(D1807="","",IF(T1807="","",VLOOKUP(D1807,契約台帳!$A$3:$E$4986,5,FALSE)))</f>
        <v>リンテック㈱</v>
      </c>
      <c r="AA1807" s="54"/>
      <c r="AB1807" s="200">
        <f>IFERROR((VLOOKUP(F1807&amp;K1807&amp;M1807,製品マスタ!$M$5:$AM$4999,27,FALSE)),"")</f>
        <v>0</v>
      </c>
      <c r="AC1807" s="31"/>
      <c r="AD1807" s="184"/>
      <c r="AE1807" s="51"/>
      <c r="AF1807" s="52">
        <f>+M1807*N1807*O1807/1000</f>
        <v>3216</v>
      </c>
      <c r="AG1807" s="41"/>
      <c r="AH1807" s="45"/>
      <c r="AI1807" s="28"/>
      <c r="AJ1807" s="28"/>
      <c r="AK1807" s="28"/>
      <c r="AL1807" s="28"/>
      <c r="AM1807" s="12"/>
      <c r="AN1807" s="12"/>
      <c r="AO1807" s="12"/>
      <c r="AP1807" s="12"/>
      <c r="AQ1807" s="12"/>
      <c r="AR1807" s="13"/>
      <c r="AS1807" s="14"/>
    </row>
    <row r="1808" spans="1:45" s="16" customFormat="1" ht="30.95" hidden="1" customHeight="1" x14ac:dyDescent="0.2">
      <c r="A1808" s="35"/>
      <c r="B1808" s="36"/>
      <c r="C1808" s="43"/>
      <c r="D1808" s="29"/>
      <c r="E1808" s="29"/>
      <c r="F1808" s="255"/>
      <c r="G1808" s="256"/>
      <c r="H1808" s="256"/>
      <c r="I1808" s="200"/>
      <c r="J1808" s="203"/>
      <c r="K1808" s="200"/>
      <c r="L1808" s="200"/>
      <c r="M1808" s="37"/>
      <c r="N1808" s="37"/>
      <c r="O1808" s="153"/>
      <c r="P1808" s="45"/>
      <c r="Q1808" s="54"/>
      <c r="R1808" s="260"/>
      <c r="S1808" s="258"/>
      <c r="T1808" s="258"/>
      <c r="U1808" s="38"/>
      <c r="V1808" s="261"/>
      <c r="W1808" s="256"/>
      <c r="X1808" s="256"/>
      <c r="Y1808" s="256"/>
      <c r="Z1808" s="256"/>
      <c r="AA1808" s="54"/>
      <c r="AB1808" s="200"/>
      <c r="AC1808" s="31"/>
      <c r="AD1808" s="184"/>
      <c r="AE1808" s="51"/>
      <c r="AF1808" s="52"/>
      <c r="AG1808" s="41"/>
      <c r="AH1808" s="45"/>
      <c r="AI1808" s="28"/>
      <c r="AJ1808" s="28"/>
      <c r="AK1808" s="28"/>
      <c r="AL1808" s="28"/>
      <c r="AM1808" s="12"/>
      <c r="AN1808" s="12"/>
      <c r="AO1808" s="12"/>
      <c r="AP1808" s="12"/>
      <c r="AQ1808" s="12"/>
      <c r="AR1808" s="13"/>
      <c r="AS1808" s="14"/>
    </row>
    <row r="1809" spans="1:45" s="16" customFormat="1" ht="30.6" hidden="1" customHeight="1" x14ac:dyDescent="0.2">
      <c r="A1809" s="35"/>
      <c r="B1809" s="36"/>
      <c r="C1809" s="43"/>
      <c r="D1809" s="29">
        <v>3750096</v>
      </c>
      <c r="E1809" s="29">
        <v>4162291</v>
      </c>
      <c r="F1809" s="255" t="str">
        <f>IF(D1809="","",VLOOKUP(D1809,契約台帳!$A$3:$K$4986,6,FALSE)&amp;VLOOKUP(D1809,契約台帳!$A$3:$K$4986,7,FALSE)&amp;VLOOKUP(D1809,契約台帳!$A$3:$K$4986,8,FALSE)&amp;VLOOKUP(D1809,契約台帳!$A$3:$K$4986,9,FALSE)&amp;VLOOKUP(D1809,契約台帳!$A$3:$K$4986,11,FALSE))</f>
        <v>3TNMCLBHLGTV</v>
      </c>
      <c r="G1809" s="256" t="str">
        <f>IF(D1809="","",VLOOKUP(F1809,製品マスタ!$G$5:$H$4999,2,FALSE))</f>
        <v>T</v>
      </c>
      <c r="H1809" s="256" t="str">
        <f>IF(D1809="","",VLOOKUP(F1809,製品マスタ!$G$5:$K$4999,5,FALSE))</f>
        <v>HLGTV</v>
      </c>
      <c r="I1809" s="200" t="str">
        <f>IF(D1809="","",VLOOKUP(F1809,製品マスタ!$G$5:$L$4999,6,FALSE))</f>
        <v>メタルミー　ヘヤライン　銀艶Ｖ</v>
      </c>
      <c r="J1809" s="203" t="s">
        <v>935</v>
      </c>
      <c r="K1809" s="200">
        <f>IF(D1809="","",VLOOKUP(D1809,契約台帳!$A$3:$L$4986,12,FALSE))</f>
        <v>50</v>
      </c>
      <c r="L1809" s="200" t="str">
        <f>IF(D1809="","",INDEX(製品マスタ!$Q$5:$Q$4999,MATCH('S4'!F1809&amp;'S4'!K1809,製品マスタ!$AO$5:$AO$4999,0)))</f>
        <v>BRIGHT</v>
      </c>
      <c r="M1809" s="37">
        <v>1005</v>
      </c>
      <c r="N1809" s="37">
        <v>4100</v>
      </c>
      <c r="O1809" s="153">
        <v>1</v>
      </c>
      <c r="P1809" s="45">
        <v>2</v>
      </c>
      <c r="Q1809" s="206">
        <v>45390</v>
      </c>
      <c r="R1809" s="257">
        <f ca="1">IF(D1809="","",IF(OFFSET(D1809,-1,0)&lt;&gt;"","",IF(OR(J1809="リード付け",J1809="巻足し",J1809="巻返しリード付け"),M1809,VLOOKUP(D1809,契約台帳!$A$3:$N$4986,14,FALSE))))</f>
        <v>1005</v>
      </c>
      <c r="S1809" s="258">
        <f ca="1">IF(D1809="","",IF(OFFSET(D1809,-1,0)&lt;&gt;"","",IF(OR(J1809="リード付け",J1809="巻足し",J1809="巻返しリード付け"),M1809,VLOOKUP(D1809,契約台帳!$A$3:$O$4986,15,FALSE))))</f>
        <v>1005</v>
      </c>
      <c r="T1809" s="258">
        <f ca="1">IF(D1809="","",IF(J1809="リード付け",N1809,IF(J1809="巻返しリード付け",N1809,IF(J1809="巻足し",N1809*P1809+OFFSET(N1809,1,0)*OFFSET(P1809,1,0),VLOOKUP(D1809,契約台帳!$A$3:$P$4986,16,FALSE)))))</f>
        <v>8200</v>
      </c>
      <c r="U1809" s="38">
        <v>1</v>
      </c>
      <c r="V1809" s="259">
        <f ca="1">IF(D1809="","",IF(OFFSET(D1809,-2,0)=D1809,"",VLOOKUP(D1809,契約台帳!$A$3:$R$4986,18,FALSE)))</f>
        <v>1</v>
      </c>
      <c r="W1809" s="256" t="str">
        <f ca="1">IF(D1809="","",IF(T1809="","",IF(OR(J1809="巻足し",J1809="巻返しリード付け"),"",IF(J1809="巻返し",VLOOKUP(F1809&amp;K1809&amp;M1809,製品マスタ!$M$5:$AD$4999,18,FALSE),IF(OR(J1809="リード付け",J1809="巻返しリード付け"),"原反コア",IF(J1809="スリット",VLOOKUP(F1809&amp;K1809&amp;R1809,製品マスタ!$N$5:$AD$4999,17,FALSE),""))))))</f>
        <v/>
      </c>
      <c r="X1809" s="256" t="str">
        <f ca="1">IF(D1809="","",IF(T1809="","",IF(J1809="巻足し","",IF(J1809="巻返し",VLOOKUP(F1809&amp;K1809&amp;M1809,製品マスタ!$M$5:$AE$4999,19,FALSE),IF(OR(J1809="リード付け",J1809="巻返しリード付け"),"",IF(J1809="スリット",VLOOKUP(F1809&amp;K1809&amp;R1809,製品マスタ!$N$5:$AE$4999,18,FALSE),""))))))</f>
        <v/>
      </c>
      <c r="Y1809" s="256">
        <f ca="1">IF(D1809="","",IF(T1809="","",VLOOKUP(D1809,契約台帳!$A$3:$Q$4986,17,FALSE)))</f>
        <v>2</v>
      </c>
      <c r="Z1809" s="256" t="str">
        <f ca="1">IF(D1809="","",IF(T1809="","",VLOOKUP(D1809,契約台帳!$A$3:$E$4986,5,FALSE)))</f>
        <v>リンテック㈱</v>
      </c>
      <c r="AA1809" s="54"/>
      <c r="AB1809" s="200">
        <f>IFERROR((VLOOKUP(F1809&amp;K1809&amp;M1809,製品マスタ!$M$5:$AM$4999,27,FALSE)),"")</f>
        <v>0</v>
      </c>
      <c r="AC1809" s="31"/>
      <c r="AD1809" s="184"/>
      <c r="AE1809" s="51"/>
      <c r="AF1809" s="52">
        <f>+M1809*N1809*O1809/1000</f>
        <v>4120.5</v>
      </c>
      <c r="AG1809" s="41"/>
      <c r="AH1809" s="45"/>
      <c r="AI1809" s="28"/>
      <c r="AJ1809" s="28"/>
      <c r="AK1809" s="28"/>
      <c r="AL1809" s="28"/>
      <c r="AM1809" s="12"/>
      <c r="AN1809" s="12"/>
      <c r="AO1809" s="12"/>
      <c r="AP1809" s="12"/>
      <c r="AQ1809" s="12"/>
      <c r="AR1809" s="13"/>
      <c r="AS1809" s="14"/>
    </row>
    <row r="1810" spans="1:45" s="16" customFormat="1" ht="30.6" hidden="1" customHeight="1" x14ac:dyDescent="0.2">
      <c r="A1810" s="35"/>
      <c r="B1810" s="36"/>
      <c r="C1810" s="43"/>
      <c r="D1810" s="29">
        <v>3750097</v>
      </c>
      <c r="E1810" s="29"/>
      <c r="F1810" s="255" t="str">
        <f>IF(D1810="","",VLOOKUP(D1810,契約台帳!$A$3:$K$4986,6,FALSE)&amp;VLOOKUP(D1810,契約台帳!$A$3:$K$4986,7,FALSE)&amp;VLOOKUP(D1810,契約台帳!$A$3:$K$4986,8,FALSE)&amp;VLOOKUP(D1810,契約台帳!$A$3:$K$4986,9,FALSE)&amp;VLOOKUP(D1810,契約台帳!$A$3:$K$4986,11,FALSE))</f>
        <v>3TNMCLBHLGTV</v>
      </c>
      <c r="G1810" s="256" t="str">
        <f>IF(D1810="","",VLOOKUP(F1810,製品マスタ!$G$5:$H$4999,2,FALSE))</f>
        <v>T</v>
      </c>
      <c r="H1810" s="256" t="str">
        <f>IF(D1810="","",VLOOKUP(F1810,製品マスタ!$G$5:$K$4999,5,FALSE))</f>
        <v>HLGTV</v>
      </c>
      <c r="I1810" s="200" t="str">
        <f>IF(D1810="","",VLOOKUP(F1810,製品マスタ!$G$5:$L$4999,6,FALSE))</f>
        <v>メタルミー　ヘヤライン　銀艶Ｖ</v>
      </c>
      <c r="J1810" s="203" t="s">
        <v>935</v>
      </c>
      <c r="K1810" s="200">
        <f>IF(D1810="","",VLOOKUP(D1810,契約台帳!$A$3:$L$4986,12,FALSE))</f>
        <v>50</v>
      </c>
      <c r="L1810" s="200" t="str">
        <f>IF(D1810="","",INDEX(製品マスタ!$Q$5:$Q$4999,MATCH('S4'!F1810&amp;'S4'!K1810,製品マスタ!$AO$5:$AO$4999,0)))</f>
        <v>BRIGHT</v>
      </c>
      <c r="M1810" s="37">
        <v>1005</v>
      </c>
      <c r="N1810" s="37">
        <v>4100</v>
      </c>
      <c r="O1810" s="153">
        <v>1</v>
      </c>
      <c r="P1810" s="45"/>
      <c r="Q1810" s="206">
        <v>45390</v>
      </c>
      <c r="R1810" s="257" t="str">
        <f ca="1">IF(D1810="","",IF(OFFSET(D1810,-1,0)&lt;&gt;"","",IF(OR(J1810="リード付け",J1810="巻足し",J1810="巻返しリード付け"),M1810,VLOOKUP(D1810,契約台帳!$A$3:$N$4986,14,FALSE))))</f>
        <v/>
      </c>
      <c r="S1810" s="258" t="str">
        <f ca="1">IF(D1810="","",IF(OFFSET(D1810,-1,0)&lt;&gt;"","",IF(OR(J1810="リード付け",J1810="巻足し",J1810="巻返しリード付け"),M1810,VLOOKUP(D1810,契約台帳!$A$3:$O$4986,15,FALSE))))</f>
        <v/>
      </c>
      <c r="T1810" s="258">
        <f ca="1">IF(D1810="","",IF(J1810="リード付け",N1810,IF(J1810="巻返しリード付け",N1810,IF(J1810="巻足し",N1810*P1810+OFFSET(N1810,1,0)*OFFSET(P1810,1,0),VLOOKUP(D1810,契約台帳!$A$3:$P$4986,16,FALSE)))))</f>
        <v>0</v>
      </c>
      <c r="U1810" s="38"/>
      <c r="V1810" s="259">
        <f ca="1">IF(D1810="","",IF(OFFSET(D1810,-2,0)=D1810,"",VLOOKUP(D1810,契約台帳!$A$3:$R$4986,18,FALSE)))</f>
        <v>2</v>
      </c>
      <c r="W1810" s="256" t="str">
        <f ca="1">IF(D1810="","",IF(T1810="","",IF(OR(J1810="巻足し",J1810="巻返しリード付け"),"",IF(J1810="巻返し",VLOOKUP(F1810&amp;K1810&amp;M1810,製品マスタ!$M$5:$AD$4999,18,FALSE),IF(OR(J1810="リード付け",J1810="巻返しリード付け"),"原反コア",IF(J1810="スリット",VLOOKUP(F1810&amp;K1810&amp;R1810,製品マスタ!$N$5:$AD$4999,17,FALSE),""))))))</f>
        <v/>
      </c>
      <c r="X1810" s="256" t="str">
        <f ca="1">IF(D1810="","",IF(T1810="","",IF(J1810="巻足し","",IF(J1810="巻返し",VLOOKUP(F1810&amp;K1810&amp;M1810,製品マスタ!$M$5:$AE$4999,19,FALSE),IF(OR(J1810="リード付け",J1810="巻返しリード付け"),"",IF(J1810="スリット",VLOOKUP(F1810&amp;K1810&amp;R1810,製品マスタ!$N$5:$AE$4999,18,FALSE),""))))))</f>
        <v/>
      </c>
      <c r="Y1810" s="256">
        <f ca="1">IF(D1810="","",IF(T1810="","",VLOOKUP(D1810,契約台帳!$A$3:$Q$4986,17,FALSE)))</f>
        <v>2</v>
      </c>
      <c r="Z1810" s="256" t="str">
        <f ca="1">IF(D1810="","",IF(T1810="","",VLOOKUP(D1810,契約台帳!$A$3:$E$4986,5,FALSE)))</f>
        <v>リンテック㈱</v>
      </c>
      <c r="AA1810" s="54"/>
      <c r="AB1810" s="200">
        <f>IFERROR((VLOOKUP(F1810&amp;K1810&amp;M1810,製品マスタ!$M$5:$AM$4999,27,FALSE)),"")</f>
        <v>0</v>
      </c>
      <c r="AC1810" s="31"/>
      <c r="AD1810" s="184"/>
      <c r="AE1810" s="51"/>
      <c r="AF1810" s="52">
        <f>+M1810*N1810*O1810/1000</f>
        <v>4120.5</v>
      </c>
      <c r="AG1810" s="41"/>
      <c r="AH1810" s="45"/>
      <c r="AI1810" s="28"/>
      <c r="AJ1810" s="28"/>
      <c r="AK1810" s="28"/>
      <c r="AL1810" s="28"/>
      <c r="AM1810" s="12"/>
      <c r="AN1810" s="12"/>
      <c r="AO1810" s="12"/>
      <c r="AP1810" s="12"/>
      <c r="AQ1810" s="12"/>
      <c r="AR1810" s="13"/>
      <c r="AS1810" s="14"/>
    </row>
    <row r="1811" spans="1:45" s="16" customFormat="1" ht="30.95" hidden="1" customHeight="1" x14ac:dyDescent="0.2">
      <c r="A1811" s="35"/>
      <c r="B1811" s="36"/>
      <c r="C1811" s="43"/>
      <c r="D1811" s="29"/>
      <c r="E1811" s="29"/>
      <c r="F1811" s="255"/>
      <c r="G1811" s="256"/>
      <c r="H1811" s="256"/>
      <c r="I1811" s="200"/>
      <c r="J1811" s="203"/>
      <c r="K1811" s="200"/>
      <c r="L1811" s="200"/>
      <c r="M1811" s="37"/>
      <c r="N1811" s="37"/>
      <c r="O1811" s="153"/>
      <c r="P1811" s="45"/>
      <c r="Q1811" s="54"/>
      <c r="R1811" s="260"/>
      <c r="S1811" s="258"/>
      <c r="T1811" s="258"/>
      <c r="U1811" s="38"/>
      <c r="V1811" s="261"/>
      <c r="W1811" s="256"/>
      <c r="X1811" s="256"/>
      <c r="Y1811" s="256"/>
      <c r="Z1811" s="256"/>
      <c r="AA1811" s="54"/>
      <c r="AB1811" s="200"/>
      <c r="AC1811" s="31"/>
      <c r="AD1811" s="184"/>
      <c r="AE1811" s="51"/>
      <c r="AF1811" s="52"/>
      <c r="AG1811" s="41"/>
      <c r="AH1811" s="45"/>
      <c r="AI1811" s="28"/>
      <c r="AJ1811" s="28"/>
      <c r="AK1811" s="28"/>
      <c r="AL1811" s="28"/>
      <c r="AM1811" s="12"/>
      <c r="AN1811" s="12"/>
      <c r="AO1811" s="12"/>
      <c r="AP1811" s="12"/>
      <c r="AQ1811" s="12"/>
      <c r="AR1811" s="13"/>
      <c r="AS1811" s="14"/>
    </row>
    <row r="1812" spans="1:45" s="16" customFormat="1" ht="30" hidden="1" customHeight="1" x14ac:dyDescent="0.2">
      <c r="A1812" s="35"/>
      <c r="B1812" s="36"/>
      <c r="C1812" s="43"/>
      <c r="D1812" s="29">
        <v>3750088</v>
      </c>
      <c r="E1812" s="29">
        <v>4162277</v>
      </c>
      <c r="F1812" s="255" t="str">
        <f>IF(D1812="","",VLOOKUP(D1812,契約台帳!$A$3:$K$4986,6,FALSE)&amp;VLOOKUP(D1812,契約台帳!$A$3:$K$4986,7,FALSE)&amp;VLOOKUP(D1812,契約台帳!$A$3:$K$4986,8,FALSE)&amp;VLOOKUP(D1812,契約台帳!$A$3:$K$4986,9,FALSE)&amp;VLOOKUP(D1812,契約台帳!$A$3:$K$4986,11,FALSE))</f>
        <v>3SYMLBMSNMBF</v>
      </c>
      <c r="G1812" s="256" t="str">
        <f>IF(D1812="","",VLOOKUP(F1812,製品マスタ!$G$5:$H$4999,2,FALSE))</f>
        <v>S</v>
      </c>
      <c r="H1812" s="256" t="str">
        <f>IF(D1812="","",VLOOKUP(F1812,製品マスタ!$G$5:$K$4999,5,FALSE))</f>
        <v>MSNMBF</v>
      </c>
      <c r="I1812" s="200" t="str">
        <f>IF(D1812="","",VLOOKUP(F1812,製品マスタ!$G$5:$L$4999,6,FALSE))</f>
        <v>ＭＥＴＡＬＵＭＹ　ＳＩＬＶＥＲ　Ｎ－ＭＡＴＴＥ　Ｘ４４Ｍ　Ｂ</v>
      </c>
      <c r="J1812" s="203" t="s">
        <v>935</v>
      </c>
      <c r="K1812" s="200">
        <f>IF(D1812="","",VLOOKUP(D1812,契約台帳!$A$3:$L$4986,12,FALSE))</f>
        <v>50</v>
      </c>
      <c r="L1812" s="200" t="str">
        <f>IF(D1812="","",INDEX(製品マスタ!$Q$5:$Q$4999,MATCH('S4'!F1812&amp;'S4'!K1812,製品マスタ!$AO$5:$AO$4999,0)))</f>
        <v>X44</v>
      </c>
      <c r="M1812" s="37">
        <v>1120</v>
      </c>
      <c r="N1812" s="37">
        <v>4000</v>
      </c>
      <c r="O1812" s="153">
        <v>4</v>
      </c>
      <c r="P1812" s="45">
        <v>2</v>
      </c>
      <c r="Q1812" s="206">
        <v>45390</v>
      </c>
      <c r="R1812" s="257">
        <f ca="1">IF(D1812="","",IF(OFFSET(D1812,-1,0)&lt;&gt;"","",IF(OR(J1812="リード付け",J1812="巻足し",J1812="巻返しリード付け"),M1812,VLOOKUP(D1812,契約台帳!$A$3:$N$4986,14,FALSE))))</f>
        <v>1120</v>
      </c>
      <c r="S1812" s="258">
        <f ca="1">IF(D1812="","",IF(OFFSET(D1812,-1,0)&lt;&gt;"","",IF(OR(J1812="リード付け",J1812="巻足し",J1812="巻返しリード付け"),M1812,VLOOKUP(D1812,契約台帳!$A$3:$O$4986,15,FALSE))))</f>
        <v>1120</v>
      </c>
      <c r="T1812" s="258">
        <f ca="1">IF(D1812="","",IF(J1812="リード付け",N1812,IF(J1812="巻返しリード付け",N1812,IF(J1812="巻足し",N1812*P1812+OFFSET(N1812,1,0)*OFFSET(P1812,1,0),VLOOKUP(D1812,契約台帳!$A$3:$P$4986,16,FALSE)))))</f>
        <v>8000</v>
      </c>
      <c r="U1812" s="38">
        <v>2</v>
      </c>
      <c r="V1812" s="259">
        <f ca="1">IF(D1812="","",IF(OFFSET(D1812,-2,0)=D1812,"",VLOOKUP(D1812,契約台帳!$A$3:$R$4986,18,FALSE)))</f>
        <v>4</v>
      </c>
      <c r="W1812" s="256" t="str">
        <f ca="1">IF(D1812="","",IF(T1812="","",IF(OR(J1812="巻足し",J1812="巻返しリード付け"),"",IF(J1812="巻返し",VLOOKUP(F1812&amp;K1812&amp;M1812,製品マスタ!$M$5:$AD$4999,18,FALSE),IF(OR(J1812="リード付け",J1812="巻返しリード付け"),"原反コア",IF(J1812="スリット",VLOOKUP(F1812&amp;K1812&amp;R1812,製品マスタ!$N$5:$AD$4999,17,FALSE),""))))))</f>
        <v/>
      </c>
      <c r="X1812" s="256" t="str">
        <f ca="1">IF(D1812="","",IF(T1812="","",IF(J1812="巻足し","",IF(J1812="巻返し",VLOOKUP(F1812&amp;K1812&amp;M1812,製品マスタ!$M$5:$AE$4999,19,FALSE),IF(OR(J1812="リード付け",J1812="巻返しリード付け"),"",IF(J1812="スリット",VLOOKUP(F1812&amp;K1812&amp;R1812,製品マスタ!$N$5:$AE$4999,18,FALSE),""))))))</f>
        <v/>
      </c>
      <c r="Y1812" s="256">
        <f ca="1">IF(D1812="","",IF(T1812="","",VLOOKUP(D1812,契約台帳!$A$3:$Q$4986,17,FALSE)))</f>
        <v>2</v>
      </c>
      <c r="Z1812" s="256" t="str">
        <f ca="1">IF(D1812="","",IF(T1812="","",VLOOKUP(D1812,契約台帳!$A$3:$E$4986,5,FALSE)))</f>
        <v>リンテック㈱</v>
      </c>
      <c r="AA1812" s="54"/>
      <c r="AB1812" s="200">
        <f>IFERROR((VLOOKUP(F1812&amp;K1812&amp;M1812,製品マスタ!$M$5:$AM$4999,27,FALSE)),"")</f>
        <v>0</v>
      </c>
      <c r="AC1812" s="31"/>
      <c r="AD1812" s="184"/>
      <c r="AE1812" s="51"/>
      <c r="AF1812" s="52">
        <f>+M1812*N1812*O1812/1000</f>
        <v>17920</v>
      </c>
      <c r="AG1812" s="41"/>
      <c r="AH1812" s="45"/>
      <c r="AI1812" s="28"/>
      <c r="AJ1812" s="28"/>
      <c r="AK1812" s="28"/>
      <c r="AL1812" s="28"/>
      <c r="AM1812" s="12"/>
      <c r="AN1812" s="12"/>
      <c r="AO1812" s="12"/>
      <c r="AP1812" s="12"/>
      <c r="AQ1812" s="12"/>
      <c r="AR1812" s="13"/>
      <c r="AS1812" s="14"/>
    </row>
    <row r="1813" spans="1:45" s="16" customFormat="1" ht="30.95" hidden="1" customHeight="1" x14ac:dyDescent="0.2">
      <c r="A1813" s="35"/>
      <c r="B1813" s="36"/>
      <c r="C1813" s="43"/>
      <c r="D1813" s="29"/>
      <c r="E1813" s="29"/>
      <c r="F1813" s="255"/>
      <c r="G1813" s="256"/>
      <c r="H1813" s="256"/>
      <c r="I1813" s="200"/>
      <c r="J1813" s="203"/>
      <c r="K1813" s="200"/>
      <c r="L1813" s="200"/>
      <c r="M1813" s="37"/>
      <c r="N1813" s="37"/>
      <c r="O1813" s="153"/>
      <c r="P1813" s="45"/>
      <c r="Q1813" s="54"/>
      <c r="R1813" s="260"/>
      <c r="S1813" s="258"/>
      <c r="T1813" s="258"/>
      <c r="U1813" s="38"/>
      <c r="V1813" s="261"/>
      <c r="W1813" s="256"/>
      <c r="X1813" s="256"/>
      <c r="Y1813" s="256"/>
      <c r="Z1813" s="256"/>
      <c r="AA1813" s="54"/>
      <c r="AB1813" s="200"/>
      <c r="AC1813" s="31"/>
      <c r="AD1813" s="184"/>
      <c r="AE1813" s="51"/>
      <c r="AF1813" s="52"/>
      <c r="AG1813" s="41"/>
      <c r="AH1813" s="45"/>
      <c r="AI1813" s="28"/>
      <c r="AJ1813" s="28"/>
      <c r="AK1813" s="28"/>
      <c r="AL1813" s="28"/>
      <c r="AM1813" s="12"/>
      <c r="AN1813" s="12"/>
      <c r="AO1813" s="12"/>
      <c r="AP1813" s="12"/>
      <c r="AQ1813" s="12"/>
      <c r="AR1813" s="13"/>
      <c r="AS1813" s="14"/>
    </row>
    <row r="1814" spans="1:45" s="16" customFormat="1" ht="30" hidden="1" customHeight="1" x14ac:dyDescent="0.2">
      <c r="A1814" s="35"/>
      <c r="B1814" s="36"/>
      <c r="C1814" s="43"/>
      <c r="D1814" s="29">
        <v>3750089</v>
      </c>
      <c r="E1814" s="29">
        <v>4162278</v>
      </c>
      <c r="F1814" s="255" t="str">
        <f>IF(D1814="","",VLOOKUP(D1814,契約台帳!$A$3:$K$4986,6,FALSE)&amp;VLOOKUP(D1814,契約台帳!$A$3:$K$4986,7,FALSE)&amp;VLOOKUP(D1814,契約台帳!$A$3:$K$4986,8,FALSE)&amp;VLOOKUP(D1814,契約台帳!$A$3:$K$4986,9,FALSE)&amp;VLOOKUP(D1814,契約台帳!$A$3:$K$4986,11,FALSE))</f>
        <v>3SYMLBMSNMBF</v>
      </c>
      <c r="G1814" s="256" t="str">
        <f>IF(D1814="","",VLOOKUP(F1814,製品マスタ!$G$5:$H$4999,2,FALSE))</f>
        <v>S</v>
      </c>
      <c r="H1814" s="256" t="str">
        <f>IF(D1814="","",VLOOKUP(F1814,製品マスタ!$G$5:$K$4999,5,FALSE))</f>
        <v>MSNMBF</v>
      </c>
      <c r="I1814" s="200" t="str">
        <f>IF(D1814="","",VLOOKUP(F1814,製品マスタ!$G$5:$L$4999,6,FALSE))</f>
        <v>ＭＥＴＡＬＵＭＹ　ＳＩＬＶＥＲ　Ｎ－ＭＡＴＴＥ　Ｘ４４Ｍ　Ｂ</v>
      </c>
      <c r="J1814" s="203" t="s">
        <v>935</v>
      </c>
      <c r="K1814" s="200">
        <f>IF(D1814="","",VLOOKUP(D1814,契約台帳!$A$3:$L$4986,12,FALSE))</f>
        <v>50</v>
      </c>
      <c r="L1814" s="200" t="str">
        <f>IF(D1814="","",INDEX(製品マスタ!$Q$5:$Q$4999,MATCH('S4'!F1814&amp;'S4'!K1814,製品マスタ!$AO$5:$AO$4999,0)))</f>
        <v>X44</v>
      </c>
      <c r="M1814" s="37">
        <v>1120</v>
      </c>
      <c r="N1814" s="37">
        <v>4000</v>
      </c>
      <c r="O1814" s="153">
        <v>4</v>
      </c>
      <c r="P1814" s="45">
        <v>2</v>
      </c>
      <c r="Q1814" s="206">
        <v>45390</v>
      </c>
      <c r="R1814" s="257">
        <f ca="1">IF(D1814="","",IF(OFFSET(D1814,-1,0)&lt;&gt;"","",IF(OR(J1814="リード付け",J1814="巻足し",J1814="巻返しリード付け"),M1814,VLOOKUP(D1814,契約台帳!$A$3:$N$4986,14,FALSE))))</f>
        <v>1120</v>
      </c>
      <c r="S1814" s="258">
        <f ca="1">IF(D1814="","",IF(OFFSET(D1814,-1,0)&lt;&gt;"","",IF(OR(J1814="リード付け",J1814="巻足し",J1814="巻返しリード付け"),M1814,VLOOKUP(D1814,契約台帳!$A$3:$O$4986,15,FALSE))))</f>
        <v>1120</v>
      </c>
      <c r="T1814" s="258">
        <f ca="1">IF(D1814="","",IF(J1814="リード付け",N1814,IF(J1814="巻返しリード付け",N1814,IF(J1814="巻足し",N1814*P1814+OFFSET(N1814,1,0)*OFFSET(P1814,1,0),VLOOKUP(D1814,契約台帳!$A$3:$P$4986,16,FALSE)))))</f>
        <v>8000</v>
      </c>
      <c r="U1814" s="38">
        <v>2</v>
      </c>
      <c r="V1814" s="259">
        <f ca="1">IF(D1814="","",IF(OFFSET(D1814,-2,0)=D1814,"",VLOOKUP(D1814,契約台帳!$A$3:$R$4986,18,FALSE)))</f>
        <v>4</v>
      </c>
      <c r="W1814" s="256" t="str">
        <f ca="1">IF(D1814="","",IF(T1814="","",IF(OR(J1814="巻足し",J1814="巻返しリード付け"),"",IF(J1814="巻返し",VLOOKUP(F1814&amp;K1814&amp;M1814,製品マスタ!$M$5:$AD$4999,18,FALSE),IF(OR(J1814="リード付け",J1814="巻返しリード付け"),"原反コア",IF(J1814="スリット",VLOOKUP(F1814&amp;K1814&amp;R1814,製品マスタ!$N$5:$AD$4999,17,FALSE),""))))))</f>
        <v/>
      </c>
      <c r="X1814" s="256" t="str">
        <f ca="1">IF(D1814="","",IF(T1814="","",IF(J1814="巻足し","",IF(J1814="巻返し",VLOOKUP(F1814&amp;K1814&amp;M1814,製品マスタ!$M$5:$AE$4999,19,FALSE),IF(OR(J1814="リード付け",J1814="巻返しリード付け"),"",IF(J1814="スリット",VLOOKUP(F1814&amp;K1814&amp;R1814,製品マスタ!$N$5:$AE$4999,18,FALSE),""))))))</f>
        <v/>
      </c>
      <c r="Y1814" s="256">
        <f ca="1">IF(D1814="","",IF(T1814="","",VLOOKUP(D1814,契約台帳!$A$3:$Q$4986,17,FALSE)))</f>
        <v>2</v>
      </c>
      <c r="Z1814" s="256" t="str">
        <f ca="1">IF(D1814="","",IF(T1814="","",VLOOKUP(D1814,契約台帳!$A$3:$E$4986,5,FALSE)))</f>
        <v>リンテック㈱</v>
      </c>
      <c r="AA1814" s="54"/>
      <c r="AB1814" s="200">
        <f>IFERROR((VLOOKUP(F1814&amp;K1814&amp;M1814,製品マスタ!$M$5:$AM$4999,27,FALSE)),"")</f>
        <v>0</v>
      </c>
      <c r="AC1814" s="31"/>
      <c r="AD1814" s="184"/>
      <c r="AE1814" s="51"/>
      <c r="AF1814" s="52">
        <f>+M1814*N1814*O1814/1000</f>
        <v>17920</v>
      </c>
      <c r="AG1814" s="41"/>
      <c r="AH1814" s="45"/>
      <c r="AI1814" s="28"/>
      <c r="AJ1814" s="28"/>
      <c r="AK1814" s="28"/>
      <c r="AL1814" s="28"/>
      <c r="AM1814" s="12"/>
      <c r="AN1814" s="12"/>
      <c r="AO1814" s="12"/>
      <c r="AP1814" s="12"/>
      <c r="AQ1814" s="12"/>
      <c r="AR1814" s="13"/>
      <c r="AS1814" s="14"/>
    </row>
    <row r="1815" spans="1:45" s="16" customFormat="1" ht="30.95" hidden="1" customHeight="1" x14ac:dyDescent="0.2">
      <c r="A1815" s="35"/>
      <c r="B1815" s="36"/>
      <c r="C1815" s="43"/>
      <c r="D1815" s="29"/>
      <c r="E1815" s="29"/>
      <c r="F1815" s="255"/>
      <c r="G1815" s="256"/>
      <c r="H1815" s="256"/>
      <c r="I1815" s="200"/>
      <c r="J1815" s="203"/>
      <c r="K1815" s="200"/>
      <c r="L1815" s="200"/>
      <c r="M1815" s="37"/>
      <c r="N1815" s="37"/>
      <c r="O1815" s="153"/>
      <c r="P1815" s="45"/>
      <c r="Q1815" s="54"/>
      <c r="R1815" s="260"/>
      <c r="S1815" s="258"/>
      <c r="T1815" s="258"/>
      <c r="U1815" s="38"/>
      <c r="V1815" s="261"/>
      <c r="W1815" s="256"/>
      <c r="X1815" s="256"/>
      <c r="Y1815" s="256"/>
      <c r="Z1815" s="256"/>
      <c r="AA1815" s="54"/>
      <c r="AB1815" s="200"/>
      <c r="AC1815" s="31"/>
      <c r="AD1815" s="184"/>
      <c r="AE1815" s="51"/>
      <c r="AF1815" s="52"/>
      <c r="AG1815" s="41"/>
      <c r="AH1815" s="45"/>
      <c r="AI1815" s="28"/>
      <c r="AJ1815" s="28"/>
      <c r="AK1815" s="28"/>
      <c r="AL1815" s="28"/>
      <c r="AM1815" s="12"/>
      <c r="AN1815" s="12"/>
      <c r="AO1815" s="12"/>
      <c r="AP1815" s="12"/>
      <c r="AQ1815" s="12"/>
      <c r="AR1815" s="13"/>
      <c r="AS1815" s="14"/>
    </row>
    <row r="1816" spans="1:45" s="16" customFormat="1" ht="30" hidden="1" customHeight="1" x14ac:dyDescent="0.2">
      <c r="A1816" s="35"/>
      <c r="B1816" s="36"/>
      <c r="C1816" s="43"/>
      <c r="D1816" s="29">
        <v>3750092</v>
      </c>
      <c r="E1816" s="29">
        <v>4162279</v>
      </c>
      <c r="F1816" s="255" t="str">
        <f>IF(D1816="","",VLOOKUP(D1816,契約台帳!$A$3:$K$4986,6,FALSE)&amp;VLOOKUP(D1816,契約台帳!$A$3:$K$4986,7,FALSE)&amp;VLOOKUP(D1816,契約台帳!$A$3:$K$4986,8,FALSE)&amp;VLOOKUP(D1816,契約台帳!$A$3:$K$4986,9,FALSE)&amp;VLOOKUP(D1816,契約台帳!$A$3:$K$4986,11,FALSE))</f>
        <v>3SYMLBMSNMBF</v>
      </c>
      <c r="G1816" s="256" t="str">
        <f>IF(D1816="","",VLOOKUP(F1816,製品マスタ!$G$5:$H$4999,2,FALSE))</f>
        <v>S</v>
      </c>
      <c r="H1816" s="256" t="str">
        <f>IF(D1816="","",VLOOKUP(F1816,製品マスタ!$G$5:$K$4999,5,FALSE))</f>
        <v>MSNMBF</v>
      </c>
      <c r="I1816" s="200" t="str">
        <f>IF(D1816="","",VLOOKUP(F1816,製品マスタ!$G$5:$L$4999,6,FALSE))</f>
        <v>ＭＥＴＡＬＵＭＹ　ＳＩＬＶＥＲ　Ｎ－ＭＡＴＴＥ　Ｘ４４Ｍ　Ｂ</v>
      </c>
      <c r="J1816" s="203" t="s">
        <v>935</v>
      </c>
      <c r="K1816" s="200">
        <f>IF(D1816="","",VLOOKUP(D1816,契約台帳!$A$3:$L$4986,12,FALSE))</f>
        <v>50</v>
      </c>
      <c r="L1816" s="200" t="str">
        <f>IF(D1816="","",INDEX(製品マスタ!$Q$5:$Q$4999,MATCH('S4'!F1816&amp;'S4'!K1816,製品マスタ!$AO$5:$AO$4999,0)))</f>
        <v>X44</v>
      </c>
      <c r="M1816" s="37">
        <v>1120</v>
      </c>
      <c r="N1816" s="37">
        <v>4000</v>
      </c>
      <c r="O1816" s="153">
        <v>4</v>
      </c>
      <c r="P1816" s="45">
        <v>2</v>
      </c>
      <c r="Q1816" s="206">
        <v>45390</v>
      </c>
      <c r="R1816" s="257">
        <f ca="1">IF(D1816="","",IF(OFFSET(D1816,-1,0)&lt;&gt;"","",IF(OR(J1816="リード付け",J1816="巻足し",J1816="巻返しリード付け"),M1816,VLOOKUP(D1816,契約台帳!$A$3:$N$4986,14,FALSE))))</f>
        <v>1120</v>
      </c>
      <c r="S1816" s="258">
        <f ca="1">IF(D1816="","",IF(OFFSET(D1816,-1,0)&lt;&gt;"","",IF(OR(J1816="リード付け",J1816="巻足し",J1816="巻返しリード付け"),M1816,VLOOKUP(D1816,契約台帳!$A$3:$O$4986,15,FALSE))))</f>
        <v>1120</v>
      </c>
      <c r="T1816" s="258">
        <f ca="1">IF(D1816="","",IF(J1816="リード付け",N1816,IF(J1816="巻返しリード付け",N1816,IF(J1816="巻足し",N1816*P1816+OFFSET(N1816,1,0)*OFFSET(P1816,1,0),VLOOKUP(D1816,契約台帳!$A$3:$P$4986,16,FALSE)))))</f>
        <v>8000</v>
      </c>
      <c r="U1816" s="38">
        <v>2</v>
      </c>
      <c r="V1816" s="259">
        <f ca="1">IF(D1816="","",IF(OFFSET(D1816,-2,0)=D1816,"",VLOOKUP(D1816,契約台帳!$A$3:$R$4986,18,FALSE)))</f>
        <v>4</v>
      </c>
      <c r="W1816" s="256" t="str">
        <f ca="1">IF(D1816="","",IF(T1816="","",IF(OR(J1816="巻足し",J1816="巻返しリード付け"),"",IF(J1816="巻返し",VLOOKUP(F1816&amp;K1816&amp;M1816,製品マスタ!$M$5:$AD$4999,18,FALSE),IF(OR(J1816="リード付け",J1816="巻返しリード付け"),"原反コア",IF(J1816="スリット",VLOOKUP(F1816&amp;K1816&amp;R1816,製品マスタ!$N$5:$AD$4999,17,FALSE),""))))))</f>
        <v/>
      </c>
      <c r="X1816" s="256" t="str">
        <f ca="1">IF(D1816="","",IF(T1816="","",IF(J1816="巻足し","",IF(J1816="巻返し",VLOOKUP(F1816&amp;K1816&amp;M1816,製品マスタ!$M$5:$AE$4999,19,FALSE),IF(OR(J1816="リード付け",J1816="巻返しリード付け"),"",IF(J1816="スリット",VLOOKUP(F1816&amp;K1816&amp;R1816,製品マスタ!$N$5:$AE$4999,18,FALSE),""))))))</f>
        <v/>
      </c>
      <c r="Y1816" s="256">
        <f ca="1">IF(D1816="","",IF(T1816="","",VLOOKUP(D1816,契約台帳!$A$3:$Q$4986,17,FALSE)))</f>
        <v>2</v>
      </c>
      <c r="Z1816" s="256" t="str">
        <f ca="1">IF(D1816="","",IF(T1816="","",VLOOKUP(D1816,契約台帳!$A$3:$E$4986,5,FALSE)))</f>
        <v>リンテック㈱</v>
      </c>
      <c r="AA1816" s="54"/>
      <c r="AB1816" s="200">
        <f>IFERROR((VLOOKUP(F1816&amp;K1816&amp;M1816,製品マスタ!$M$5:$AM$4999,27,FALSE)),"")</f>
        <v>0</v>
      </c>
      <c r="AC1816" s="31"/>
      <c r="AD1816" s="184"/>
      <c r="AE1816" s="51"/>
      <c r="AF1816" s="52">
        <f>+M1816*N1816*O1816/1000</f>
        <v>17920</v>
      </c>
      <c r="AG1816" s="41"/>
      <c r="AH1816" s="45"/>
      <c r="AI1816" s="28"/>
      <c r="AJ1816" s="28"/>
      <c r="AK1816" s="28"/>
      <c r="AL1816" s="28"/>
      <c r="AM1816" s="12"/>
      <c r="AN1816" s="12"/>
      <c r="AO1816" s="12"/>
      <c r="AP1816" s="12"/>
      <c r="AQ1816" s="12"/>
      <c r="AR1816" s="13"/>
      <c r="AS1816" s="14"/>
    </row>
    <row r="1817" spans="1:45" s="16" customFormat="1" ht="30.95" hidden="1" customHeight="1" x14ac:dyDescent="0.2">
      <c r="A1817" s="35"/>
      <c r="B1817" s="36"/>
      <c r="C1817" s="43"/>
      <c r="D1817" s="29"/>
      <c r="E1817" s="29"/>
      <c r="F1817" s="255"/>
      <c r="G1817" s="256"/>
      <c r="H1817" s="256"/>
      <c r="I1817" s="200"/>
      <c r="J1817" s="203"/>
      <c r="K1817" s="200"/>
      <c r="L1817" s="200"/>
      <c r="M1817" s="37"/>
      <c r="N1817" s="37"/>
      <c r="O1817" s="153"/>
      <c r="P1817" s="45"/>
      <c r="Q1817" s="54"/>
      <c r="R1817" s="260"/>
      <c r="S1817" s="258"/>
      <c r="T1817" s="258"/>
      <c r="U1817" s="38"/>
      <c r="V1817" s="261"/>
      <c r="W1817" s="256"/>
      <c r="X1817" s="256"/>
      <c r="Y1817" s="256"/>
      <c r="Z1817" s="256"/>
      <c r="AA1817" s="54"/>
      <c r="AB1817" s="200"/>
      <c r="AC1817" s="31"/>
      <c r="AD1817" s="184"/>
      <c r="AE1817" s="51"/>
      <c r="AF1817" s="52"/>
      <c r="AG1817" s="41"/>
      <c r="AH1817" s="45"/>
      <c r="AI1817" s="28"/>
      <c r="AJ1817" s="28"/>
      <c r="AK1817" s="28"/>
      <c r="AL1817" s="28"/>
      <c r="AM1817" s="12"/>
      <c r="AN1817" s="12"/>
      <c r="AO1817" s="12"/>
      <c r="AP1817" s="12"/>
      <c r="AQ1817" s="12"/>
      <c r="AR1817" s="13"/>
      <c r="AS1817" s="14"/>
    </row>
    <row r="1818" spans="1:45" s="16" customFormat="1" ht="30.95" hidden="1" customHeight="1" x14ac:dyDescent="0.2">
      <c r="A1818" s="35" t="s">
        <v>2388</v>
      </c>
      <c r="B1818" s="36" t="s">
        <v>2373</v>
      </c>
      <c r="C1818" s="43"/>
      <c r="D1818" s="29"/>
      <c r="E1818" s="29"/>
      <c r="F1818" s="255"/>
      <c r="G1818" s="256"/>
      <c r="H1818" s="256"/>
      <c r="I1818" s="279" t="s">
        <v>2750</v>
      </c>
      <c r="J1818" s="203"/>
      <c r="K1818" s="200"/>
      <c r="L1818" s="200"/>
      <c r="M1818" s="37"/>
      <c r="N1818" s="37"/>
      <c r="O1818" s="153"/>
      <c r="P1818" s="45"/>
      <c r="Q1818" s="54"/>
      <c r="R1818" s="260"/>
      <c r="S1818" s="258"/>
      <c r="T1818" s="258"/>
      <c r="U1818" s="38"/>
      <c r="V1818" s="261"/>
      <c r="W1818" s="256"/>
      <c r="X1818" s="256"/>
      <c r="Y1818" s="256"/>
      <c r="Z1818" s="256"/>
      <c r="AA1818" s="54"/>
      <c r="AB1818" s="200"/>
      <c r="AC1818" s="31"/>
      <c r="AD1818" s="184"/>
      <c r="AE1818" s="51"/>
      <c r="AF1818" s="52"/>
      <c r="AG1818" s="41"/>
      <c r="AH1818" s="45"/>
      <c r="AI1818" s="28"/>
      <c r="AJ1818" s="28"/>
      <c r="AK1818" s="28"/>
      <c r="AL1818" s="28"/>
      <c r="AM1818" s="12"/>
      <c r="AN1818" s="12"/>
      <c r="AO1818" s="12"/>
      <c r="AP1818" s="12"/>
      <c r="AQ1818" s="12"/>
      <c r="AR1818" s="13"/>
      <c r="AS1818" s="14"/>
    </row>
    <row r="1819" spans="1:45" s="16" customFormat="1" ht="30.95" hidden="1" customHeight="1" x14ac:dyDescent="0.2">
      <c r="A1819" s="35"/>
      <c r="B1819" s="36"/>
      <c r="C1819" s="43"/>
      <c r="D1819" s="29"/>
      <c r="E1819" s="29"/>
      <c r="F1819" s="255"/>
      <c r="G1819" s="256"/>
      <c r="H1819" s="256"/>
      <c r="I1819" s="200"/>
      <c r="J1819" s="203"/>
      <c r="K1819" s="200"/>
      <c r="L1819" s="200"/>
      <c r="M1819" s="37"/>
      <c r="N1819" s="37"/>
      <c r="O1819" s="153"/>
      <c r="P1819" s="45"/>
      <c r="Q1819" s="54"/>
      <c r="R1819" s="260"/>
      <c r="S1819" s="258"/>
      <c r="T1819" s="258"/>
      <c r="U1819" s="38"/>
      <c r="V1819" s="261"/>
      <c r="W1819" s="256"/>
      <c r="X1819" s="256"/>
      <c r="Y1819" s="256"/>
      <c r="Z1819" s="256"/>
      <c r="AA1819" s="54"/>
      <c r="AB1819" s="200"/>
      <c r="AC1819" s="31"/>
      <c r="AD1819" s="184"/>
      <c r="AE1819" s="51"/>
      <c r="AF1819" s="52"/>
      <c r="AG1819" s="41"/>
      <c r="AH1819" s="45"/>
      <c r="AI1819" s="28"/>
      <c r="AJ1819" s="28"/>
      <c r="AK1819" s="28"/>
      <c r="AL1819" s="28"/>
      <c r="AM1819" s="12"/>
      <c r="AN1819" s="12"/>
      <c r="AO1819" s="12"/>
      <c r="AP1819" s="12"/>
      <c r="AQ1819" s="12"/>
      <c r="AR1819" s="13"/>
      <c r="AS1819" s="14"/>
    </row>
    <row r="1820" spans="1:45" s="16" customFormat="1" ht="30" hidden="1" customHeight="1" x14ac:dyDescent="0.2">
      <c r="A1820" s="35" t="s">
        <v>2389</v>
      </c>
      <c r="B1820" s="36" t="s">
        <v>2375</v>
      </c>
      <c r="C1820" s="43"/>
      <c r="D1820" s="29">
        <v>3750084</v>
      </c>
      <c r="E1820" s="29">
        <v>4162280</v>
      </c>
      <c r="F1820" s="255" t="str">
        <f>IF(D1820="","",VLOOKUP(D1820,契約台帳!$A$3:$K$4986,6,FALSE)&amp;VLOOKUP(D1820,契約台帳!$A$3:$K$4986,7,FALSE)&amp;VLOOKUP(D1820,契約台帳!$A$3:$K$4986,8,FALSE)&amp;VLOOKUP(D1820,契約台帳!$A$3:$K$4986,9,FALSE)&amp;VLOOKUP(D1820,契約台帳!$A$3:$K$4986,11,FALSE))</f>
        <v>3SYMLBMSSMBF</v>
      </c>
      <c r="G1820" s="256" t="str">
        <f>IF(D1820="","",VLOOKUP(F1820,製品マスタ!$G$5:$H$4999,2,FALSE))</f>
        <v>S</v>
      </c>
      <c r="H1820" s="256" t="str">
        <f>IF(D1820="","",VLOOKUP(F1820,製品マスタ!$G$5:$K$4999,5,FALSE))</f>
        <v>MSSMBF</v>
      </c>
      <c r="I1820" s="200" t="str">
        <f>IF(D1820="","",VLOOKUP(F1820,製品マスタ!$G$5:$L$4999,6,FALSE))</f>
        <v>ＭＥＴＡＬＵＭＹ　ＳＩＬＶＥＲ　Ｓ－ＭＡＴＴＥ　Ｓ２８ＭＭ　Ｂ</v>
      </c>
      <c r="J1820" s="203" t="s">
        <v>935</v>
      </c>
      <c r="K1820" s="200">
        <f>IF(D1820="","",VLOOKUP(D1820,契約台帳!$A$3:$L$4986,12,FALSE))</f>
        <v>25</v>
      </c>
      <c r="L1820" s="200" t="str">
        <f>IF(D1820="","",INDEX(製品マスタ!$Q$5:$Q$4999,MATCH('S4'!F1820&amp;'S4'!K1820,製品マスタ!$AO$5:$AO$4999,0)))</f>
        <v>LI-MAT</v>
      </c>
      <c r="M1820" s="37">
        <v>1120</v>
      </c>
      <c r="N1820" s="37">
        <v>8000</v>
      </c>
      <c r="O1820" s="153">
        <v>2</v>
      </c>
      <c r="P1820" s="45">
        <v>2</v>
      </c>
      <c r="Q1820" s="206">
        <v>45392</v>
      </c>
      <c r="R1820" s="257">
        <f ca="1">IF(D1820="","",IF(OFFSET(D1820,-1,0)&lt;&gt;"","",IF(OR(J1820="リード付け",J1820="巻足し",J1820="巻返しリード付け"),M1820,VLOOKUP(D1820,契約台帳!$A$3:$N$4986,14,FALSE))))</f>
        <v>1120</v>
      </c>
      <c r="S1820" s="258">
        <f ca="1">IF(D1820="","",IF(OFFSET(D1820,-1,0)&lt;&gt;"","",IF(OR(J1820="リード付け",J1820="巻足し",J1820="巻返しリード付け"),M1820,VLOOKUP(D1820,契約台帳!$A$3:$O$4986,15,FALSE))))</f>
        <v>1120</v>
      </c>
      <c r="T1820" s="258">
        <f ca="1">IF(D1820="","",IF(J1820="リード付け",N1820,IF(J1820="巻返しリード付け",N1820,IF(J1820="巻足し",N1820*P1820+OFFSET(N1820,1,0)*OFFSET(P1820,1,0),VLOOKUP(D1820,契約台帳!$A$3:$P$4986,16,FALSE)))))</f>
        <v>16000</v>
      </c>
      <c r="U1820" s="38">
        <v>1</v>
      </c>
      <c r="V1820" s="259">
        <f ca="1">IF(D1820="","",IF(OFFSET(D1820,-2,0)=D1820,"",VLOOKUP(D1820,契約台帳!$A$3:$R$4986,18,FALSE)))</f>
        <v>2</v>
      </c>
      <c r="W1820" s="256" t="str">
        <f ca="1">IF(D1820="","",IF(T1820="","",IF(OR(J1820="巻足し",J1820="巻返しリード付け"),"",IF(J1820="巻返し",VLOOKUP(F1820&amp;K1820&amp;M1820,製品マスタ!$M$5:$AD$4999,18,FALSE),IF(OR(J1820="リード付け",J1820="巻返しリード付け"),"原反コア",IF(J1820="スリット",VLOOKUP(F1820&amp;K1820&amp;R1820,製品マスタ!$N$5:$AD$4999,17,FALSE),""))))))</f>
        <v/>
      </c>
      <c r="X1820" s="256" t="str">
        <f ca="1">IF(D1820="","",IF(T1820="","",IF(J1820="巻足し","",IF(J1820="巻返し",VLOOKUP(F1820&amp;K1820&amp;M1820,製品マスタ!$M$5:$AE$4999,19,FALSE),IF(OR(J1820="リード付け",J1820="巻返しリード付け"),"",IF(J1820="スリット",VLOOKUP(F1820&amp;K1820&amp;R1820,製品マスタ!$N$5:$AE$4999,18,FALSE),""))))))</f>
        <v/>
      </c>
      <c r="Y1820" s="256">
        <f ca="1">IF(D1820="","",IF(T1820="","",VLOOKUP(D1820,契約台帳!$A$3:$Q$4986,17,FALSE)))</f>
        <v>2</v>
      </c>
      <c r="Z1820" s="256" t="str">
        <f ca="1">IF(D1820="","",IF(T1820="","",VLOOKUP(D1820,契約台帳!$A$3:$E$4986,5,FALSE)))</f>
        <v>リンテック㈱</v>
      </c>
      <c r="AA1820" s="54"/>
      <c r="AB1820" s="200">
        <f>IFERROR((VLOOKUP(F1820&amp;K1820&amp;M1820,製品マスタ!$M$5:$AM$4999,27,FALSE)),"")</f>
        <v>0</v>
      </c>
      <c r="AC1820" s="31"/>
      <c r="AD1820" s="184"/>
      <c r="AE1820" s="51"/>
      <c r="AF1820" s="52">
        <f>+M1820*N1820*O1820/1000</f>
        <v>17920</v>
      </c>
      <c r="AG1820" s="41"/>
      <c r="AH1820" s="45"/>
      <c r="AI1820" s="28"/>
      <c r="AJ1820" s="28"/>
      <c r="AK1820" s="28"/>
      <c r="AL1820" s="28"/>
      <c r="AM1820" s="12"/>
      <c r="AN1820" s="12"/>
      <c r="AO1820" s="12"/>
      <c r="AP1820" s="12"/>
      <c r="AQ1820" s="12"/>
      <c r="AR1820" s="13"/>
      <c r="AS1820" s="14"/>
    </row>
    <row r="1821" spans="1:45" s="16" customFormat="1" ht="30.95" hidden="1" customHeight="1" x14ac:dyDescent="0.2">
      <c r="A1821" s="35"/>
      <c r="B1821" s="36"/>
      <c r="C1821" s="43"/>
      <c r="D1821" s="29"/>
      <c r="E1821" s="29"/>
      <c r="F1821" s="255"/>
      <c r="G1821" s="256"/>
      <c r="H1821" s="256"/>
      <c r="I1821" s="200"/>
      <c r="J1821" s="203"/>
      <c r="K1821" s="200"/>
      <c r="L1821" s="200"/>
      <c r="M1821" s="37"/>
      <c r="N1821" s="37"/>
      <c r="O1821" s="153"/>
      <c r="P1821" s="45"/>
      <c r="Q1821" s="54"/>
      <c r="R1821" s="260"/>
      <c r="S1821" s="258"/>
      <c r="T1821" s="258"/>
      <c r="U1821" s="38"/>
      <c r="V1821" s="261"/>
      <c r="W1821" s="256"/>
      <c r="X1821" s="256"/>
      <c r="Y1821" s="256"/>
      <c r="Z1821" s="256"/>
      <c r="AA1821" s="54"/>
      <c r="AB1821" s="200"/>
      <c r="AC1821" s="31"/>
      <c r="AD1821" s="184"/>
      <c r="AE1821" s="51"/>
      <c r="AF1821" s="52"/>
      <c r="AG1821" s="41"/>
      <c r="AH1821" s="45"/>
      <c r="AI1821" s="28"/>
      <c r="AJ1821" s="28"/>
      <c r="AK1821" s="28"/>
      <c r="AL1821" s="28"/>
      <c r="AM1821" s="12"/>
      <c r="AN1821" s="12"/>
      <c r="AO1821" s="12"/>
      <c r="AP1821" s="12"/>
      <c r="AQ1821" s="12"/>
      <c r="AR1821" s="13"/>
      <c r="AS1821" s="14"/>
    </row>
    <row r="1822" spans="1:45" s="16" customFormat="1" ht="30" hidden="1" customHeight="1" x14ac:dyDescent="0.2">
      <c r="A1822" s="35"/>
      <c r="B1822" s="36"/>
      <c r="C1822" s="43"/>
      <c r="D1822" s="29">
        <v>3752405</v>
      </c>
      <c r="E1822" s="29">
        <v>4162293</v>
      </c>
      <c r="F1822" s="255" t="str">
        <f>IF(D1822="","",VLOOKUP(D1822,契約台帳!$A$3:$K$4986,6,FALSE)&amp;VLOOKUP(D1822,契約台帳!$A$3:$K$4986,7,FALSE)&amp;VLOOKUP(D1822,契約台帳!$A$3:$K$4986,8,FALSE)&amp;VLOOKUP(D1822,契約台帳!$A$3:$K$4986,9,FALSE)&amp;VLOOKUP(D1822,契約台帳!$A$3:$K$4986,11,FALSE))</f>
        <v>3HSYMLBMSSMBF</v>
      </c>
      <c r="G1822" s="256" t="str">
        <f>IF(D1822="","",VLOOKUP(F1822,製品マスタ!$G$5:$H$4999,2,FALSE))</f>
        <v>S</v>
      </c>
      <c r="H1822" s="256" t="str">
        <f>IF(D1822="","",VLOOKUP(F1822,製品マスタ!$G$5:$K$4999,5,FALSE))</f>
        <v>MSSMBF</v>
      </c>
      <c r="I1822" s="200" t="str">
        <f>IF(D1822="","",VLOOKUP(F1822,製品マスタ!$G$5:$L$4999,6,FALSE))</f>
        <v>ＭＥＴＡＬＵＭＹ　ＳＩＬＶＥＲ　Ｓ－ＭＡＴＴＥ　Ｓ２８ＭＭ　Ｂ</v>
      </c>
      <c r="J1822" s="203" t="s">
        <v>935</v>
      </c>
      <c r="K1822" s="200">
        <f>IF(D1822="","",VLOOKUP(D1822,契約台帳!$A$3:$L$4986,12,FALSE))</f>
        <v>50</v>
      </c>
      <c r="L1822" s="200" t="str">
        <f>IF(D1822="","",INDEX(製品マスタ!$Q$5:$Q$4999,MATCH('S4'!F1822&amp;'S4'!K1822,製品マスタ!$AO$5:$AO$4999,0)))</f>
        <v>LI-MAT</v>
      </c>
      <c r="M1822" s="37">
        <v>1120</v>
      </c>
      <c r="N1822" s="37">
        <v>4000</v>
      </c>
      <c r="O1822" s="153">
        <v>4</v>
      </c>
      <c r="P1822" s="45">
        <v>2</v>
      </c>
      <c r="Q1822" s="206">
        <v>45392</v>
      </c>
      <c r="R1822" s="257">
        <f ca="1">IF(D1822="","",IF(OFFSET(D1822,-1,0)&lt;&gt;"","",IF(OR(J1822="リード付け",J1822="巻足し",J1822="巻返しリード付け"),M1822,VLOOKUP(D1822,契約台帳!$A$3:$N$4986,14,FALSE))))</f>
        <v>1120</v>
      </c>
      <c r="S1822" s="258">
        <f ca="1">IF(D1822="","",IF(OFFSET(D1822,-1,0)&lt;&gt;"","",IF(OR(J1822="リード付け",J1822="巻足し",J1822="巻返しリード付け"),M1822,VLOOKUP(D1822,契約台帳!$A$3:$O$4986,15,FALSE))))</f>
        <v>1120</v>
      </c>
      <c r="T1822" s="258">
        <f ca="1">IF(D1822="","",IF(J1822="リード付け",N1822,IF(J1822="巻返しリード付け",N1822,IF(J1822="巻足し",N1822*P1822+OFFSET(N1822,1,0)*OFFSET(P1822,1,0),VLOOKUP(D1822,契約台帳!$A$3:$P$4986,16,FALSE)))))</f>
        <v>8000</v>
      </c>
      <c r="U1822" s="38">
        <v>2</v>
      </c>
      <c r="V1822" s="259">
        <f ca="1">IF(D1822="","",IF(OFFSET(D1822,-2,0)=D1822,"",VLOOKUP(D1822,契約台帳!$A$3:$R$4986,18,FALSE)))</f>
        <v>4</v>
      </c>
      <c r="W1822" s="256" t="str">
        <f ca="1">IF(D1822="","",IF(T1822="","",IF(OR(J1822="巻足し",J1822="巻返しリード付け"),"",IF(J1822="巻返し",VLOOKUP(F1822&amp;K1822&amp;M1822,製品マスタ!$M$5:$AD$4999,18,FALSE),IF(OR(J1822="リード付け",J1822="巻返しリード付け"),"原反コア",IF(J1822="スリット",VLOOKUP(F1822&amp;K1822&amp;R1822,製品マスタ!$N$5:$AD$4999,17,FALSE),""))))))</f>
        <v/>
      </c>
      <c r="X1822" s="256" t="str">
        <f ca="1">IF(D1822="","",IF(T1822="","",IF(J1822="巻足し","",IF(J1822="巻返し",VLOOKUP(F1822&amp;K1822&amp;M1822,製品マスタ!$M$5:$AE$4999,19,FALSE),IF(OR(J1822="リード付け",J1822="巻返しリード付け"),"",IF(J1822="スリット",VLOOKUP(F1822&amp;K1822&amp;R1822,製品マスタ!$N$5:$AE$4999,18,FALSE),""))))))</f>
        <v/>
      </c>
      <c r="Y1822" s="256">
        <f ca="1">IF(D1822="","",IF(T1822="","",VLOOKUP(D1822,契約台帳!$A$3:$Q$4986,17,FALSE)))</f>
        <v>2</v>
      </c>
      <c r="Z1822" s="256" t="str">
        <f ca="1">IF(D1822="","",IF(T1822="","",VLOOKUP(D1822,契約台帳!$A$3:$E$4986,5,FALSE)))</f>
        <v>リンテック㈱</v>
      </c>
      <c r="AA1822" s="54"/>
      <c r="AB1822" s="200">
        <f>IFERROR((VLOOKUP(F1822&amp;K1822&amp;M1822,製品マスタ!$M$5:$AM$4999,27,FALSE)),"")</f>
        <v>0</v>
      </c>
      <c r="AC1822" s="31"/>
      <c r="AD1822" s="184"/>
      <c r="AE1822" s="51"/>
      <c r="AF1822" s="52">
        <f>+M1822*N1822*O1822/1000</f>
        <v>17920</v>
      </c>
      <c r="AG1822" s="41"/>
      <c r="AH1822" s="45"/>
      <c r="AI1822" s="28"/>
      <c r="AJ1822" s="28"/>
      <c r="AK1822" s="28"/>
      <c r="AL1822" s="28"/>
      <c r="AM1822" s="12"/>
      <c r="AN1822" s="12"/>
      <c r="AO1822" s="12"/>
      <c r="AP1822" s="12"/>
      <c r="AQ1822" s="12"/>
      <c r="AR1822" s="13"/>
      <c r="AS1822" s="14"/>
    </row>
    <row r="1823" spans="1:45" s="16" customFormat="1" ht="30.95" hidden="1" customHeight="1" x14ac:dyDescent="0.2">
      <c r="A1823" s="35"/>
      <c r="B1823" s="36"/>
      <c r="C1823" s="43"/>
      <c r="D1823" s="29"/>
      <c r="E1823" s="29"/>
      <c r="F1823" s="255"/>
      <c r="G1823" s="256"/>
      <c r="H1823" s="256"/>
      <c r="I1823" s="200"/>
      <c r="J1823" s="203"/>
      <c r="K1823" s="200"/>
      <c r="L1823" s="200"/>
      <c r="M1823" s="37"/>
      <c r="N1823" s="37"/>
      <c r="O1823" s="153"/>
      <c r="P1823" s="45"/>
      <c r="Q1823" s="54"/>
      <c r="R1823" s="260"/>
      <c r="S1823" s="258"/>
      <c r="T1823" s="258"/>
      <c r="U1823" s="38"/>
      <c r="V1823" s="261"/>
      <c r="W1823" s="256"/>
      <c r="X1823" s="256"/>
      <c r="Y1823" s="256"/>
      <c r="Z1823" s="256"/>
      <c r="AA1823" s="54"/>
      <c r="AB1823" s="200"/>
      <c r="AC1823" s="31"/>
      <c r="AD1823" s="184"/>
      <c r="AE1823" s="51"/>
      <c r="AF1823" s="52"/>
      <c r="AG1823" s="41"/>
      <c r="AH1823" s="45"/>
      <c r="AI1823" s="28"/>
      <c r="AJ1823" s="28"/>
      <c r="AK1823" s="28"/>
      <c r="AL1823" s="28"/>
      <c r="AM1823" s="12"/>
      <c r="AN1823" s="12"/>
      <c r="AO1823" s="12"/>
      <c r="AP1823" s="12"/>
      <c r="AQ1823" s="12"/>
      <c r="AR1823" s="13"/>
      <c r="AS1823" s="14"/>
    </row>
    <row r="1824" spans="1:45" s="16" customFormat="1" ht="30" hidden="1" customHeight="1" x14ac:dyDescent="0.2">
      <c r="A1824" s="35"/>
      <c r="B1824" s="36"/>
      <c r="C1824" s="43"/>
      <c r="D1824" s="29">
        <v>3750072</v>
      </c>
      <c r="E1824" s="29">
        <v>4162266</v>
      </c>
      <c r="F1824" s="255" t="str">
        <f>IF(D1824="","",VLOOKUP(D1824,契約台帳!$A$3:$K$4986,6,FALSE)&amp;VLOOKUP(D1824,契約台帳!$A$3:$K$4986,7,FALSE)&amp;VLOOKUP(D1824,契約台帳!$A$3:$K$4986,8,FALSE)&amp;VLOOKUP(D1824,契約台帳!$A$3:$K$4986,9,FALSE)&amp;VLOOKUP(D1824,契約台帳!$A$3:$K$4986,11,FALSE))</f>
        <v>3SNMLBMNNGKBF</v>
      </c>
      <c r="G1824" s="256" t="str">
        <f>IF(D1824="","",VLOOKUP(F1824,製品マスタ!$G$5:$H$4999,2,FALSE))</f>
        <v>S</v>
      </c>
      <c r="H1824" s="256" t="str">
        <f>IF(D1824="","",VLOOKUP(F1824,製品マスタ!$G$5:$K$4999,5,FALSE))</f>
        <v>MNNGKBF</v>
      </c>
      <c r="I1824" s="200" t="str">
        <f>IF(D1824="","",VLOOKUP(F1824,製品マスタ!$G$5:$L$4999,6,FALSE))</f>
        <v>メタルミー　ニューネーマー銀消　Ｂ</v>
      </c>
      <c r="J1824" s="203" t="s">
        <v>935</v>
      </c>
      <c r="K1824" s="200">
        <f>IF(D1824="","",VLOOKUP(D1824,契約台帳!$A$3:$L$4986,12,FALSE))</f>
        <v>50</v>
      </c>
      <c r="L1824" s="200" t="str">
        <f>IF(D1824="","",INDEX(製品マスタ!$Q$5:$Q$4999,MATCH('S4'!F1824&amp;'S4'!K1824,製品マスタ!$AO$5:$AO$4999,0)))</f>
        <v>X44</v>
      </c>
      <c r="M1824" s="37">
        <v>1000</v>
      </c>
      <c r="N1824" s="37">
        <v>4000</v>
      </c>
      <c r="O1824" s="153">
        <v>6</v>
      </c>
      <c r="P1824" s="45">
        <v>3</v>
      </c>
      <c r="Q1824" s="206">
        <v>45391</v>
      </c>
      <c r="R1824" s="257">
        <f ca="1">IF(D1824="","",IF(OFFSET(D1824,-1,0)&lt;&gt;"","",IF(OR(J1824="リード付け",J1824="巻足し",J1824="巻返しリード付け"),M1824,VLOOKUP(D1824,契約台帳!$A$3:$N$4986,14,FALSE))))</f>
        <v>1000</v>
      </c>
      <c r="S1824" s="258">
        <f ca="1">IF(D1824="","",IF(OFFSET(D1824,-1,0)&lt;&gt;"","",IF(OR(J1824="リード付け",J1824="巻足し",J1824="巻返しリード付け"),M1824,VLOOKUP(D1824,契約台帳!$A$3:$O$4986,15,FALSE))))</f>
        <v>1000</v>
      </c>
      <c r="T1824" s="258">
        <f ca="1">IF(D1824="","",IF(J1824="リード付け",N1824,IF(J1824="巻返しリード付け",N1824,IF(J1824="巻足し",N1824*P1824+OFFSET(N1824,1,0)*OFFSET(P1824,1,0),VLOOKUP(D1824,契約台帳!$A$3:$P$4986,16,FALSE)))))</f>
        <v>12000</v>
      </c>
      <c r="U1824" s="38">
        <v>2</v>
      </c>
      <c r="V1824" s="259">
        <f ca="1">IF(D1824="","",IF(OFFSET(D1824,-2,0)=D1824,"",VLOOKUP(D1824,契約台帳!$A$3:$R$4986,18,FALSE)))</f>
        <v>28</v>
      </c>
      <c r="W1824" s="256" t="str">
        <f ca="1">IF(D1824="","",IF(T1824="","",IF(OR(J1824="巻足し",J1824="巻返しリード付け"),"",IF(J1824="巻返し",VLOOKUP(F1824&amp;K1824&amp;M1824,製品マスタ!$M$5:$AD$4999,18,FALSE),IF(OR(J1824="リード付け",J1824="巻返しリード付け"),"原反コア",IF(J1824="スリット",VLOOKUP(F1824&amp;K1824&amp;R1824,製品マスタ!$N$5:$AD$4999,17,FALSE),""))))))</f>
        <v/>
      </c>
      <c r="X1824" s="256" t="str">
        <f ca="1">IF(D1824="","",IF(T1824="","",IF(J1824="巻足し","",IF(J1824="巻返し",VLOOKUP(F1824&amp;K1824&amp;M1824,製品マスタ!$M$5:$AE$4999,19,FALSE),IF(OR(J1824="リード付け",J1824="巻返しリード付け"),"",IF(J1824="スリット",VLOOKUP(F1824&amp;K1824&amp;R1824,製品マスタ!$N$5:$AE$4999,18,FALSE),""))))))</f>
        <v/>
      </c>
      <c r="Y1824" s="256">
        <f ca="1">IF(D1824="","",IF(T1824="","",VLOOKUP(D1824,契約台帳!$A$3:$Q$4986,17,FALSE)))</f>
        <v>2</v>
      </c>
      <c r="Z1824" s="256" t="str">
        <f ca="1">IF(D1824="","",IF(T1824="","",VLOOKUP(D1824,契約台帳!$A$3:$E$4986,5,FALSE)))</f>
        <v>リンテック㈱</v>
      </c>
      <c r="AA1824" s="54"/>
      <c r="AB1824" s="200" t="str">
        <f>IFERROR((VLOOKUP(F1824&amp;K1824&amp;M1824,製品マスタ!$M$5:$AM$4999,27,FALSE)),"")</f>
        <v>原反ケース再利用</v>
      </c>
      <c r="AC1824" s="31"/>
      <c r="AD1824" s="184"/>
      <c r="AE1824" s="51"/>
      <c r="AF1824" s="52">
        <f>+M1824*N1824*O1824/1000</f>
        <v>24000</v>
      </c>
      <c r="AG1824" s="41"/>
      <c r="AH1824" s="45"/>
      <c r="AI1824" s="28"/>
      <c r="AJ1824" s="28"/>
      <c r="AK1824" s="28"/>
      <c r="AL1824" s="28"/>
      <c r="AM1824" s="12"/>
      <c r="AN1824" s="12"/>
      <c r="AO1824" s="12"/>
      <c r="AP1824" s="12"/>
      <c r="AQ1824" s="12"/>
      <c r="AR1824" s="13"/>
      <c r="AS1824" s="14"/>
    </row>
    <row r="1825" spans="1:45" s="16" customFormat="1" ht="30.95" hidden="1" customHeight="1" x14ac:dyDescent="0.2">
      <c r="A1825" s="35"/>
      <c r="B1825" s="36"/>
      <c r="C1825" s="43"/>
      <c r="D1825" s="29"/>
      <c r="E1825" s="29"/>
      <c r="F1825" s="255"/>
      <c r="G1825" s="256"/>
      <c r="H1825" s="256"/>
      <c r="I1825" s="200"/>
      <c r="J1825" s="203"/>
      <c r="K1825" s="200"/>
      <c r="L1825" s="200"/>
      <c r="M1825" s="37"/>
      <c r="N1825" s="37"/>
      <c r="O1825" s="153"/>
      <c r="P1825" s="45"/>
      <c r="Q1825" s="54"/>
      <c r="R1825" s="260"/>
      <c r="S1825" s="258"/>
      <c r="T1825" s="258"/>
      <c r="U1825" s="38"/>
      <c r="V1825" s="261"/>
      <c r="W1825" s="256"/>
      <c r="X1825" s="256"/>
      <c r="Y1825" s="256"/>
      <c r="Z1825" s="256"/>
      <c r="AA1825" s="54"/>
      <c r="AB1825" s="200"/>
      <c r="AC1825" s="31"/>
      <c r="AD1825" s="184"/>
      <c r="AE1825" s="51"/>
      <c r="AF1825" s="52"/>
      <c r="AG1825" s="41"/>
      <c r="AH1825" s="45"/>
      <c r="AI1825" s="28"/>
      <c r="AJ1825" s="28"/>
      <c r="AK1825" s="28"/>
      <c r="AL1825" s="28"/>
      <c r="AM1825" s="12"/>
      <c r="AN1825" s="12"/>
      <c r="AO1825" s="12"/>
      <c r="AP1825" s="12"/>
      <c r="AQ1825" s="12"/>
      <c r="AR1825" s="13"/>
      <c r="AS1825" s="14"/>
    </row>
    <row r="1826" spans="1:45" s="16" customFormat="1" ht="30" hidden="1" customHeight="1" x14ac:dyDescent="0.2">
      <c r="A1826" s="35" t="s">
        <v>1036</v>
      </c>
      <c r="B1826" s="36" t="s">
        <v>443</v>
      </c>
      <c r="C1826" s="43"/>
      <c r="D1826" s="29">
        <v>3750072</v>
      </c>
      <c r="E1826" s="29">
        <v>4162266</v>
      </c>
      <c r="F1826" s="255" t="str">
        <f>IF(D1826="","",VLOOKUP(D1826,契約台帳!$A$3:$K$4986,6,FALSE)&amp;VLOOKUP(D1826,契約台帳!$A$3:$K$4986,7,FALSE)&amp;VLOOKUP(D1826,契約台帳!$A$3:$K$4986,8,FALSE)&amp;VLOOKUP(D1826,契約台帳!$A$3:$K$4986,9,FALSE)&amp;VLOOKUP(D1826,契約台帳!$A$3:$K$4986,11,FALSE))</f>
        <v>3SNMLBMNNGKBF</v>
      </c>
      <c r="G1826" s="256" t="str">
        <f>IF(D1826="","",VLOOKUP(F1826,製品マスタ!$G$5:$H$4999,2,FALSE))</f>
        <v>S</v>
      </c>
      <c r="H1826" s="256" t="str">
        <f>IF(D1826="","",VLOOKUP(F1826,製品マスタ!$G$5:$K$4999,5,FALSE))</f>
        <v>MNNGKBF</v>
      </c>
      <c r="I1826" s="200" t="str">
        <f>IF(D1826="","",VLOOKUP(F1826,製品マスタ!$G$5:$L$4999,6,FALSE))</f>
        <v>メタルミー　ニューネーマー銀消　Ｂ</v>
      </c>
      <c r="J1826" s="203" t="s">
        <v>935</v>
      </c>
      <c r="K1826" s="200">
        <f>IF(D1826="","",VLOOKUP(D1826,契約台帳!$A$3:$L$4986,12,FALSE))</f>
        <v>50</v>
      </c>
      <c r="L1826" s="200" t="str">
        <f>IF(D1826="","",INDEX(製品マスタ!$Q$5:$Q$4999,MATCH('S4'!F1826&amp;'S4'!K1826,製品マスタ!$AO$5:$AO$4999,0)))</f>
        <v>X44</v>
      </c>
      <c r="M1826" s="37">
        <v>1000</v>
      </c>
      <c r="N1826" s="37">
        <v>4000</v>
      </c>
      <c r="O1826" s="153">
        <v>18</v>
      </c>
      <c r="P1826" s="45">
        <v>3</v>
      </c>
      <c r="Q1826" s="206">
        <v>45391</v>
      </c>
      <c r="R1826" s="257">
        <f ca="1">IF(D1826="","",IF(OFFSET(D1826,-1,0)&lt;&gt;"","",IF(OR(J1826="リード付け",J1826="巻足し",J1826="巻返しリード付け"),M1826,VLOOKUP(D1826,契約台帳!$A$3:$N$4986,14,FALSE))))</f>
        <v>1000</v>
      </c>
      <c r="S1826" s="258">
        <f ca="1">IF(D1826="","",IF(OFFSET(D1826,-1,0)&lt;&gt;"","",IF(OR(J1826="リード付け",J1826="巻足し",J1826="巻返しリード付け"),M1826,VLOOKUP(D1826,契約台帳!$A$3:$O$4986,15,FALSE))))</f>
        <v>1000</v>
      </c>
      <c r="T1826" s="258">
        <f ca="1">IF(D1826="","",IF(J1826="リード付け",N1826,IF(J1826="巻返しリード付け",N1826,IF(J1826="巻足し",N1826*P1826+OFFSET(N1826,1,0)*OFFSET(P1826,1,0),VLOOKUP(D1826,契約台帳!$A$3:$P$4986,16,FALSE)))))</f>
        <v>12000</v>
      </c>
      <c r="U1826" s="38">
        <v>6</v>
      </c>
      <c r="V1826" s="259" t="str">
        <f ca="1">IF(D1826="","",IF(OFFSET(D1826,-2,0)=D1826,"",VLOOKUP(D1826,契約台帳!$A$3:$R$4986,18,FALSE)))</f>
        <v/>
      </c>
      <c r="W1826" s="256" t="str">
        <f ca="1">IF(D1826="","",IF(T1826="","",IF(OR(J1826="巻足し",J1826="巻返しリード付け"),"",IF(J1826="巻返し",VLOOKUP(F1826&amp;K1826&amp;M1826,製品マスタ!$M$5:$AD$4999,18,FALSE),IF(OR(J1826="リード付け",J1826="巻返しリード付け"),"原反コア",IF(J1826="スリット",VLOOKUP(F1826&amp;K1826&amp;R1826,製品マスタ!$N$5:$AD$4999,17,FALSE),""))))))</f>
        <v/>
      </c>
      <c r="X1826" s="256" t="str">
        <f ca="1">IF(D1826="","",IF(T1826="","",IF(J1826="巻足し","",IF(J1826="巻返し",VLOOKUP(F1826&amp;K1826&amp;M1826,製品マスタ!$M$5:$AE$4999,19,FALSE),IF(OR(J1826="リード付け",J1826="巻返しリード付け"),"",IF(J1826="スリット",VLOOKUP(F1826&amp;K1826&amp;R1826,製品マスタ!$N$5:$AE$4999,18,FALSE),""))))))</f>
        <v/>
      </c>
      <c r="Y1826" s="256">
        <f ca="1">IF(D1826="","",IF(T1826="","",VLOOKUP(D1826,契約台帳!$A$3:$Q$4986,17,FALSE)))</f>
        <v>2</v>
      </c>
      <c r="Z1826" s="256" t="str">
        <f ca="1">IF(D1826="","",IF(T1826="","",VLOOKUP(D1826,契約台帳!$A$3:$E$4986,5,FALSE)))</f>
        <v>リンテック㈱</v>
      </c>
      <c r="AA1826" s="54"/>
      <c r="AB1826" s="200" t="str">
        <f>IFERROR((VLOOKUP(F1826&amp;K1826&amp;M1826,製品マスタ!$M$5:$AM$4999,27,FALSE)),"")</f>
        <v>原反ケース再利用</v>
      </c>
      <c r="AC1826" s="31"/>
      <c r="AD1826" s="184"/>
      <c r="AE1826" s="51"/>
      <c r="AF1826" s="52">
        <f>+M1826*N1826*O1826/1000</f>
        <v>72000</v>
      </c>
      <c r="AG1826" s="41"/>
      <c r="AH1826" s="45"/>
      <c r="AI1826" s="28"/>
      <c r="AJ1826" s="28"/>
      <c r="AK1826" s="28"/>
      <c r="AL1826" s="28"/>
      <c r="AM1826" s="12"/>
      <c r="AN1826" s="12"/>
      <c r="AO1826" s="12"/>
      <c r="AP1826" s="12"/>
      <c r="AQ1826" s="12"/>
      <c r="AR1826" s="13"/>
      <c r="AS1826" s="14"/>
    </row>
    <row r="1827" spans="1:45" s="16" customFormat="1" ht="30.95" hidden="1" customHeight="1" x14ac:dyDescent="0.2">
      <c r="A1827" s="35"/>
      <c r="B1827" s="36"/>
      <c r="C1827" s="43"/>
      <c r="D1827" s="29"/>
      <c r="E1827" s="29"/>
      <c r="F1827" s="255"/>
      <c r="G1827" s="256"/>
      <c r="H1827" s="256"/>
      <c r="I1827" s="200"/>
      <c r="J1827" s="203"/>
      <c r="K1827" s="200"/>
      <c r="L1827" s="200"/>
      <c r="M1827" s="37"/>
      <c r="N1827" s="37"/>
      <c r="O1827" s="153"/>
      <c r="P1827" s="45"/>
      <c r="Q1827" s="54"/>
      <c r="R1827" s="260"/>
      <c r="S1827" s="258"/>
      <c r="T1827" s="258"/>
      <c r="U1827" s="38"/>
      <c r="V1827" s="261"/>
      <c r="W1827" s="256"/>
      <c r="X1827" s="256"/>
      <c r="Y1827" s="256"/>
      <c r="Z1827" s="256"/>
      <c r="AA1827" s="54"/>
      <c r="AB1827" s="200"/>
      <c r="AC1827" s="31"/>
      <c r="AD1827" s="184"/>
      <c r="AE1827" s="51"/>
      <c r="AF1827" s="52"/>
      <c r="AG1827" s="41"/>
      <c r="AH1827" s="45"/>
      <c r="AI1827" s="28"/>
      <c r="AJ1827" s="28"/>
      <c r="AK1827" s="28"/>
      <c r="AL1827" s="28"/>
      <c r="AM1827" s="12"/>
      <c r="AN1827" s="12"/>
      <c r="AO1827" s="12"/>
      <c r="AP1827" s="12"/>
      <c r="AQ1827" s="12"/>
      <c r="AR1827" s="13"/>
      <c r="AS1827" s="14"/>
    </row>
    <row r="1828" spans="1:45" s="16" customFormat="1" ht="30" hidden="1" customHeight="1" x14ac:dyDescent="0.2">
      <c r="A1828" s="35" t="s">
        <v>2748</v>
      </c>
      <c r="B1828" s="36" t="s">
        <v>2749</v>
      </c>
      <c r="C1828" s="43"/>
      <c r="D1828" s="29">
        <v>3750072</v>
      </c>
      <c r="E1828" s="29">
        <v>4162266</v>
      </c>
      <c r="F1828" s="255" t="str">
        <f>IF(D1828="","",VLOOKUP(D1828,契約台帳!$A$3:$K$4986,6,FALSE)&amp;VLOOKUP(D1828,契約台帳!$A$3:$K$4986,7,FALSE)&amp;VLOOKUP(D1828,契約台帳!$A$3:$K$4986,8,FALSE)&amp;VLOOKUP(D1828,契約台帳!$A$3:$K$4986,9,FALSE)&amp;VLOOKUP(D1828,契約台帳!$A$3:$K$4986,11,FALSE))</f>
        <v>3SNMLBMNNGKBF</v>
      </c>
      <c r="G1828" s="256" t="str">
        <f>IF(D1828="","",VLOOKUP(F1828,製品マスタ!$G$5:$H$4999,2,FALSE))</f>
        <v>S</v>
      </c>
      <c r="H1828" s="256" t="str">
        <f>IF(D1828="","",VLOOKUP(F1828,製品マスタ!$G$5:$K$4999,5,FALSE))</f>
        <v>MNNGKBF</v>
      </c>
      <c r="I1828" s="200" t="str">
        <f>IF(D1828="","",VLOOKUP(F1828,製品マスタ!$G$5:$L$4999,6,FALSE))</f>
        <v>メタルミー　ニューネーマー銀消　Ｂ</v>
      </c>
      <c r="J1828" s="203" t="s">
        <v>935</v>
      </c>
      <c r="K1828" s="200">
        <f>IF(D1828="","",VLOOKUP(D1828,契約台帳!$A$3:$L$4986,12,FALSE))</f>
        <v>50</v>
      </c>
      <c r="L1828" s="200" t="str">
        <f>IF(D1828="","",INDEX(製品マスタ!$Q$5:$Q$4999,MATCH('S4'!F1828&amp;'S4'!K1828,製品マスタ!$AO$5:$AO$4999,0)))</f>
        <v>X44</v>
      </c>
      <c r="M1828" s="37">
        <v>1000</v>
      </c>
      <c r="N1828" s="37">
        <v>4000</v>
      </c>
      <c r="O1828" s="153">
        <v>4</v>
      </c>
      <c r="P1828" s="45">
        <v>2</v>
      </c>
      <c r="Q1828" s="206">
        <v>45391</v>
      </c>
      <c r="R1828" s="257">
        <f ca="1">IF(D1828="","",IF(OFFSET(D1828,-1,0)&lt;&gt;"","",IF(OR(J1828="リード付け",J1828="巻足し",J1828="巻返しリード付け"),M1828,VLOOKUP(D1828,契約台帳!$A$3:$N$4986,14,FALSE))))</f>
        <v>1000</v>
      </c>
      <c r="S1828" s="258">
        <f ca="1">IF(D1828="","",IF(OFFSET(D1828,-1,0)&lt;&gt;"","",IF(OR(J1828="リード付け",J1828="巻足し",J1828="巻返しリード付け"),M1828,VLOOKUP(D1828,契約台帳!$A$3:$O$4986,15,FALSE))))</f>
        <v>1000</v>
      </c>
      <c r="T1828" s="258">
        <f ca="1">IF(D1828="","",IF(J1828="リード付け",N1828,IF(J1828="巻返しリード付け",N1828,IF(J1828="巻足し",N1828*P1828+OFFSET(N1828,1,0)*OFFSET(P1828,1,0),VLOOKUP(D1828,契約台帳!$A$3:$P$4986,16,FALSE)))))</f>
        <v>8000</v>
      </c>
      <c r="U1828" s="38">
        <v>2</v>
      </c>
      <c r="V1828" s="259" t="str">
        <f ca="1">IF(D1828="","",IF(OFFSET(D1828,-2,0)=D1828,"",VLOOKUP(D1828,契約台帳!$A$3:$R$4986,18,FALSE)))</f>
        <v/>
      </c>
      <c r="W1828" s="256" t="str">
        <f ca="1">IF(D1828="","",IF(T1828="","",IF(OR(J1828="巻足し",J1828="巻返しリード付け"),"",IF(J1828="巻返し",VLOOKUP(F1828&amp;K1828&amp;M1828,製品マスタ!$M$5:$AD$4999,18,FALSE),IF(OR(J1828="リード付け",J1828="巻返しリード付け"),"原反コア",IF(J1828="スリット",VLOOKUP(F1828&amp;K1828&amp;R1828,製品マスタ!$N$5:$AD$4999,17,FALSE),""))))))</f>
        <v/>
      </c>
      <c r="X1828" s="256" t="str">
        <f ca="1">IF(D1828="","",IF(T1828="","",IF(J1828="巻足し","",IF(J1828="巻返し",VLOOKUP(F1828&amp;K1828&amp;M1828,製品マスタ!$M$5:$AE$4999,19,FALSE),IF(OR(J1828="リード付け",J1828="巻返しリード付け"),"",IF(J1828="スリット",VLOOKUP(F1828&amp;K1828&amp;R1828,製品マスタ!$N$5:$AE$4999,18,FALSE),""))))))</f>
        <v/>
      </c>
      <c r="Y1828" s="256">
        <f ca="1">IF(D1828="","",IF(T1828="","",VLOOKUP(D1828,契約台帳!$A$3:$Q$4986,17,FALSE)))</f>
        <v>2</v>
      </c>
      <c r="Z1828" s="256" t="str">
        <f ca="1">IF(D1828="","",IF(T1828="","",VLOOKUP(D1828,契約台帳!$A$3:$E$4986,5,FALSE)))</f>
        <v>リンテック㈱</v>
      </c>
      <c r="AA1828" s="54"/>
      <c r="AB1828" s="200" t="str">
        <f>IFERROR((VLOOKUP(F1828&amp;K1828&amp;M1828,製品マスタ!$M$5:$AM$4999,27,FALSE)),"")</f>
        <v>原反ケース再利用</v>
      </c>
      <c r="AC1828" s="31"/>
      <c r="AD1828" s="184"/>
      <c r="AE1828" s="51"/>
      <c r="AF1828" s="52">
        <f>+M1828*N1828*O1828/1000</f>
        <v>16000</v>
      </c>
      <c r="AG1828" s="41"/>
      <c r="AH1828" s="45"/>
      <c r="AI1828" s="28"/>
      <c r="AJ1828" s="28"/>
      <c r="AK1828" s="28"/>
      <c r="AL1828" s="28"/>
      <c r="AM1828" s="12"/>
      <c r="AN1828" s="12"/>
      <c r="AO1828" s="12"/>
      <c r="AP1828" s="12"/>
      <c r="AQ1828" s="12"/>
      <c r="AR1828" s="13"/>
      <c r="AS1828" s="14"/>
    </row>
    <row r="1829" spans="1:45" s="16" customFormat="1" ht="30.95" hidden="1" customHeight="1" x14ac:dyDescent="0.2">
      <c r="A1829" s="35"/>
      <c r="B1829" s="36"/>
      <c r="C1829" s="43"/>
      <c r="D1829" s="29"/>
      <c r="E1829" s="29"/>
      <c r="F1829" s="255"/>
      <c r="G1829" s="256"/>
      <c r="H1829" s="256"/>
      <c r="I1829" s="200"/>
      <c r="J1829" s="203"/>
      <c r="K1829" s="200"/>
      <c r="L1829" s="200"/>
      <c r="M1829" s="37"/>
      <c r="N1829" s="37"/>
      <c r="O1829" s="153"/>
      <c r="P1829" s="45"/>
      <c r="Q1829" s="54"/>
      <c r="R1829" s="260"/>
      <c r="S1829" s="258"/>
      <c r="T1829" s="258"/>
      <c r="U1829" s="38"/>
      <c r="V1829" s="261"/>
      <c r="W1829" s="256"/>
      <c r="X1829" s="256"/>
      <c r="Y1829" s="256"/>
      <c r="Z1829" s="256"/>
      <c r="AA1829" s="54"/>
      <c r="AB1829" s="200"/>
      <c r="AC1829" s="31"/>
      <c r="AD1829" s="184"/>
      <c r="AE1829" s="51"/>
      <c r="AF1829" s="52"/>
      <c r="AG1829" s="41"/>
      <c r="AH1829" s="45"/>
      <c r="AI1829" s="28"/>
      <c r="AJ1829" s="28"/>
      <c r="AK1829" s="28"/>
      <c r="AL1829" s="28"/>
      <c r="AM1829" s="12"/>
      <c r="AN1829" s="12"/>
      <c r="AO1829" s="12"/>
      <c r="AP1829" s="12"/>
      <c r="AQ1829" s="12"/>
      <c r="AR1829" s="13"/>
      <c r="AS1829" s="14"/>
    </row>
    <row r="1830" spans="1:45" s="16" customFormat="1" ht="30" hidden="1" customHeight="1" x14ac:dyDescent="0.2">
      <c r="A1830" s="35"/>
      <c r="B1830" s="36"/>
      <c r="C1830" s="43"/>
      <c r="D1830" s="29">
        <v>3750073</v>
      </c>
      <c r="E1830" s="29">
        <v>4162252</v>
      </c>
      <c r="F1830" s="255" t="str">
        <f>IF(D1830="","",VLOOKUP(D1830,契約台帳!$A$3:$K$4986,6,FALSE)&amp;VLOOKUP(D1830,契約台帳!$A$3:$K$4986,7,FALSE)&amp;VLOOKUP(D1830,契約台帳!$A$3:$K$4986,8,FALSE)&amp;VLOOKUP(D1830,契約台帳!$A$3:$K$4986,9,FALSE)&amp;VLOOKUP(D1830,契約台帳!$A$3:$K$4986,11,FALSE))</f>
        <v>33SSNMCLBTEKKFV</v>
      </c>
      <c r="G1830" s="256" t="str">
        <f>IF(D1830="","",VLOOKUP(F1830,製品マスタ!$G$5:$H$4999,2,FALSE))</f>
        <v>S</v>
      </c>
      <c r="H1830" s="256" t="str">
        <f>IF(D1830="","",VLOOKUP(F1830,製品マスタ!$G$5:$K$4999,5,FALSE))</f>
        <v>TEKKFV</v>
      </c>
      <c r="I1830" s="200" t="str">
        <f>IF(D1830="","",VLOOKUP(F1830,製品マスタ!$G$5:$L$4999,6,FALSE))</f>
        <v>メタルミー　ＴＥＳ消開封　Ｖ</v>
      </c>
      <c r="J1830" s="203" t="s">
        <v>935</v>
      </c>
      <c r="K1830" s="200">
        <f>IF(D1830="","",VLOOKUP(D1830,契約台帳!$A$3:$L$4986,12,FALSE))</f>
        <v>50</v>
      </c>
      <c r="L1830" s="200" t="str">
        <f>IF(D1830="","",INDEX(製品マスタ!$Q$5:$Q$4999,MATCH('S4'!F1830&amp;'S4'!K1830,製品マスタ!$AO$5:$AO$4999,0)))</f>
        <v>X44SEPA</v>
      </c>
      <c r="M1830" s="37">
        <v>1005</v>
      </c>
      <c r="N1830" s="37">
        <v>4000</v>
      </c>
      <c r="O1830" s="153">
        <v>3</v>
      </c>
      <c r="P1830" s="45">
        <v>3</v>
      </c>
      <c r="Q1830" s="206">
        <v>45392</v>
      </c>
      <c r="R1830" s="257">
        <f ca="1">IF(D1830="","",IF(OFFSET(D1830,-1,0)&lt;&gt;"","",IF(OR(J1830="リード付け",J1830="巻足し",J1830="巻返しリード付け"),M1830,VLOOKUP(D1830,契約台帳!$A$3:$N$4986,14,FALSE))))</f>
        <v>1005</v>
      </c>
      <c r="S1830" s="258">
        <f ca="1">IF(D1830="","",IF(OFFSET(D1830,-1,0)&lt;&gt;"","",IF(OR(J1830="リード付け",J1830="巻足し",J1830="巻返しリード付け"),M1830,VLOOKUP(D1830,契約台帳!$A$3:$O$4986,15,FALSE))))</f>
        <v>1005</v>
      </c>
      <c r="T1830" s="258">
        <f ca="1">IF(D1830="","",IF(J1830="リード付け",N1830,IF(J1830="巻返しリード付け",N1830,IF(J1830="巻足し",N1830*P1830+OFFSET(N1830,1,0)*OFFSET(P1830,1,0),VLOOKUP(D1830,契約台帳!$A$3:$P$4986,16,FALSE)))))</f>
        <v>12000</v>
      </c>
      <c r="U1830" s="38">
        <v>1</v>
      </c>
      <c r="V1830" s="259">
        <f ca="1">IF(D1830="","",IF(OFFSET(D1830,-2,0)=D1830,"",VLOOKUP(D1830,契約台帳!$A$3:$R$4986,18,FALSE)))</f>
        <v>3</v>
      </c>
      <c r="W1830" s="256" t="str">
        <f ca="1">IF(D1830="","",IF(T1830="","",IF(OR(J1830="巻足し",J1830="巻返しリード付け"),"",IF(J1830="巻返し",VLOOKUP(F1830&amp;K1830&amp;M1830,製品マスタ!$M$5:$AD$4999,18,FALSE),IF(OR(J1830="リード付け",J1830="巻返しリード付け"),"原反コア",IF(J1830="スリット",VLOOKUP(F1830&amp;K1830&amp;R1830,製品マスタ!$N$5:$AD$4999,17,FALSE),""))))))</f>
        <v/>
      </c>
      <c r="X1830" s="256" t="str">
        <f ca="1">IF(D1830="","",IF(T1830="","",IF(J1830="巻足し","",IF(J1830="巻返し",VLOOKUP(F1830&amp;K1830&amp;M1830,製品マスタ!$M$5:$AE$4999,19,FALSE),IF(OR(J1830="リード付け",J1830="巻返しリード付け"),"",IF(J1830="スリット",VLOOKUP(F1830&amp;K1830&amp;R1830,製品マスタ!$N$5:$AE$4999,18,FALSE),""))))))</f>
        <v/>
      </c>
      <c r="Y1830" s="256">
        <f ca="1">IF(D1830="","",IF(T1830="","",VLOOKUP(D1830,契約台帳!$A$3:$Q$4986,17,FALSE)))</f>
        <v>2</v>
      </c>
      <c r="Z1830" s="256" t="str">
        <f ca="1">IF(D1830="","",IF(T1830="","",VLOOKUP(D1830,契約台帳!$A$3:$E$4986,5,FALSE)))</f>
        <v>リンテック㈱</v>
      </c>
      <c r="AA1830" s="54"/>
      <c r="AB1830" s="200">
        <f>IFERROR((VLOOKUP(F1830&amp;K1830&amp;M1830,製品マスタ!$M$5:$AM$4999,27,FALSE)),"")</f>
        <v>0</v>
      </c>
      <c r="AC1830" s="31"/>
      <c r="AD1830" s="184"/>
      <c r="AE1830" s="51"/>
      <c r="AF1830" s="52">
        <f>+M1830*N1830*O1830/1000</f>
        <v>12060</v>
      </c>
      <c r="AG1830" s="41"/>
      <c r="AH1830" s="45"/>
      <c r="AI1830" s="28"/>
      <c r="AJ1830" s="28"/>
      <c r="AK1830" s="28"/>
      <c r="AL1830" s="28"/>
      <c r="AM1830" s="12"/>
      <c r="AN1830" s="12"/>
      <c r="AO1830" s="12"/>
      <c r="AP1830" s="12"/>
      <c r="AQ1830" s="12"/>
      <c r="AR1830" s="13"/>
      <c r="AS1830" s="14"/>
    </row>
    <row r="1831" spans="1:45" s="16" customFormat="1" ht="30.95" hidden="1" customHeight="1" x14ac:dyDescent="0.2">
      <c r="A1831" s="35"/>
      <c r="B1831" s="36"/>
      <c r="C1831" s="43"/>
      <c r="D1831" s="29"/>
      <c r="E1831" s="29"/>
      <c r="F1831" s="255"/>
      <c r="G1831" s="256"/>
      <c r="H1831" s="256"/>
      <c r="I1831" s="200"/>
      <c r="J1831" s="203"/>
      <c r="K1831" s="200"/>
      <c r="L1831" s="200"/>
      <c r="M1831" s="37"/>
      <c r="N1831" s="37"/>
      <c r="O1831" s="153"/>
      <c r="P1831" s="45"/>
      <c r="Q1831" s="54"/>
      <c r="R1831" s="260"/>
      <c r="S1831" s="258"/>
      <c r="T1831" s="258"/>
      <c r="U1831" s="38"/>
      <c r="V1831" s="261"/>
      <c r="W1831" s="256"/>
      <c r="X1831" s="256"/>
      <c r="Y1831" s="256"/>
      <c r="Z1831" s="256"/>
      <c r="AA1831" s="54"/>
      <c r="AB1831" s="200"/>
      <c r="AC1831" s="31"/>
      <c r="AD1831" s="184"/>
      <c r="AE1831" s="51"/>
      <c r="AF1831" s="52"/>
      <c r="AG1831" s="41"/>
      <c r="AH1831" s="45"/>
      <c r="AI1831" s="28"/>
      <c r="AJ1831" s="28"/>
      <c r="AK1831" s="28"/>
      <c r="AL1831" s="28"/>
      <c r="AM1831" s="12"/>
      <c r="AN1831" s="12"/>
      <c r="AO1831" s="12"/>
      <c r="AP1831" s="12"/>
      <c r="AQ1831" s="12"/>
      <c r="AR1831" s="13"/>
      <c r="AS1831" s="14"/>
    </row>
    <row r="1832" spans="1:45" s="16" customFormat="1" ht="30" hidden="1" customHeight="1" x14ac:dyDescent="0.2">
      <c r="A1832" s="35"/>
      <c r="B1832" s="36"/>
      <c r="C1832" s="43"/>
      <c r="D1832" s="29">
        <v>3750074</v>
      </c>
      <c r="E1832" s="29">
        <v>4162253</v>
      </c>
      <c r="F1832" s="255" t="str">
        <f>IF(D1832="","",VLOOKUP(D1832,契約台帳!$A$3:$K$4986,6,FALSE)&amp;VLOOKUP(D1832,契約台帳!$A$3:$K$4986,7,FALSE)&amp;VLOOKUP(D1832,契約台帳!$A$3:$K$4986,8,FALSE)&amp;VLOOKUP(D1832,契約台帳!$A$3:$K$4986,9,FALSE)&amp;VLOOKUP(D1832,契約台帳!$A$3:$K$4986,11,FALSE))</f>
        <v>33SSNMCLBTEKV0V</v>
      </c>
      <c r="G1832" s="256" t="str">
        <f>IF(D1832="","",VLOOKUP(F1832,製品マスタ!$G$5:$H$4999,2,FALSE))</f>
        <v>S</v>
      </c>
      <c r="H1832" s="256" t="str">
        <f>IF(D1832="","",VLOOKUP(F1832,製品マスタ!$G$5:$K$4999,5,FALSE))</f>
        <v>TEKV0V</v>
      </c>
      <c r="I1832" s="200" t="str">
        <f>IF(D1832="","",VLOOKUP(F1832,製品マスタ!$G$5:$L$4999,6,FALSE))</f>
        <v>メタルミー　ＴＥ－Ｓ消　ＶＯＩＤ　Ｖ</v>
      </c>
      <c r="J1832" s="203" t="s">
        <v>935</v>
      </c>
      <c r="K1832" s="200">
        <f>IF(D1832="","",VLOOKUP(D1832,契約台帳!$A$3:$L$4986,12,FALSE))</f>
        <v>50</v>
      </c>
      <c r="L1832" s="200" t="str">
        <f>IF(D1832="","",INDEX(製品マスタ!$Q$5:$Q$4999,MATCH('S4'!F1832&amp;'S4'!K1832,製品マスタ!$AO$5:$AO$4999,0)))</f>
        <v>X44SEPA</v>
      </c>
      <c r="M1832" s="37">
        <v>1005</v>
      </c>
      <c r="N1832" s="37">
        <v>4000</v>
      </c>
      <c r="O1832" s="153">
        <v>3</v>
      </c>
      <c r="P1832" s="45">
        <v>3</v>
      </c>
      <c r="Q1832" s="206">
        <v>45392</v>
      </c>
      <c r="R1832" s="257">
        <f ca="1">IF(D1832="","",IF(OFFSET(D1832,-1,0)&lt;&gt;"","",IF(OR(J1832="リード付け",J1832="巻足し",J1832="巻返しリード付け"),M1832,VLOOKUP(D1832,契約台帳!$A$3:$N$4986,14,FALSE))))</f>
        <v>1005</v>
      </c>
      <c r="S1832" s="258">
        <f ca="1">IF(D1832="","",IF(OFFSET(D1832,-1,0)&lt;&gt;"","",IF(OR(J1832="リード付け",J1832="巻足し",J1832="巻返しリード付け"),M1832,VLOOKUP(D1832,契約台帳!$A$3:$O$4986,15,FALSE))))</f>
        <v>1005</v>
      </c>
      <c r="T1832" s="258">
        <f ca="1">IF(D1832="","",IF(J1832="リード付け",N1832,IF(J1832="巻返しリード付け",N1832,IF(J1832="巻足し",N1832*P1832+OFFSET(N1832,1,0)*OFFSET(P1832,1,0),VLOOKUP(D1832,契約台帳!$A$3:$P$4986,16,FALSE)))))</f>
        <v>12000</v>
      </c>
      <c r="U1832" s="38">
        <v>1</v>
      </c>
      <c r="V1832" s="259">
        <f ca="1">IF(D1832="","",IF(OFFSET(D1832,-2,0)=D1832,"",VLOOKUP(D1832,契約台帳!$A$3:$R$4986,18,FALSE)))</f>
        <v>5</v>
      </c>
      <c r="W1832" s="256" t="str">
        <f ca="1">IF(D1832="","",IF(T1832="","",IF(OR(J1832="巻足し",J1832="巻返しリード付け"),"",IF(J1832="巻返し",VLOOKUP(F1832&amp;K1832&amp;M1832,製品マスタ!$M$5:$AD$4999,18,FALSE),IF(OR(J1832="リード付け",J1832="巻返しリード付け"),"原反コア",IF(J1832="スリット",VLOOKUP(F1832&amp;K1832&amp;R1832,製品マスタ!$N$5:$AD$4999,17,FALSE),""))))))</f>
        <v/>
      </c>
      <c r="X1832" s="256" t="str">
        <f ca="1">IF(D1832="","",IF(T1832="","",IF(J1832="巻足し","",IF(J1832="巻返し",VLOOKUP(F1832&amp;K1832&amp;M1832,製品マスタ!$M$5:$AE$4999,19,FALSE),IF(OR(J1832="リード付け",J1832="巻返しリード付け"),"",IF(J1832="スリット",VLOOKUP(F1832&amp;K1832&amp;R1832,製品マスタ!$N$5:$AE$4999,18,FALSE),""))))))</f>
        <v/>
      </c>
      <c r="Y1832" s="256">
        <f ca="1">IF(D1832="","",IF(T1832="","",VLOOKUP(D1832,契約台帳!$A$3:$Q$4986,17,FALSE)))</f>
        <v>2</v>
      </c>
      <c r="Z1832" s="256" t="str">
        <f ca="1">IF(D1832="","",IF(T1832="","",VLOOKUP(D1832,契約台帳!$A$3:$E$4986,5,FALSE)))</f>
        <v>リンテック㈱</v>
      </c>
      <c r="AA1832" s="54"/>
      <c r="AB1832" s="200">
        <f>IFERROR((VLOOKUP(F1832&amp;K1832&amp;M1832,製品マスタ!$M$5:$AM$4999,27,FALSE)),"")</f>
        <v>0</v>
      </c>
      <c r="AC1832" s="31"/>
      <c r="AD1832" s="184"/>
      <c r="AE1832" s="51"/>
      <c r="AF1832" s="52">
        <f>+M1832*N1832*O1832/1000</f>
        <v>12060</v>
      </c>
      <c r="AG1832" s="41"/>
      <c r="AH1832" s="45"/>
      <c r="AI1832" s="28"/>
      <c r="AJ1832" s="28"/>
      <c r="AK1832" s="28"/>
      <c r="AL1832" s="28"/>
      <c r="AM1832" s="12"/>
      <c r="AN1832" s="12"/>
      <c r="AO1832" s="12"/>
      <c r="AP1832" s="12"/>
      <c r="AQ1832" s="12"/>
      <c r="AR1832" s="13"/>
      <c r="AS1832" s="14"/>
    </row>
    <row r="1833" spans="1:45" s="16" customFormat="1" ht="30.95" hidden="1" customHeight="1" x14ac:dyDescent="0.2">
      <c r="A1833" s="35"/>
      <c r="B1833" s="36"/>
      <c r="C1833" s="43"/>
      <c r="D1833" s="29"/>
      <c r="E1833" s="29"/>
      <c r="F1833" s="255"/>
      <c r="G1833" s="256"/>
      <c r="H1833" s="256"/>
      <c r="I1833" s="200"/>
      <c r="J1833" s="203"/>
      <c r="K1833" s="200"/>
      <c r="L1833" s="200"/>
      <c r="M1833" s="37"/>
      <c r="N1833" s="37"/>
      <c r="O1833" s="153"/>
      <c r="P1833" s="45"/>
      <c r="Q1833" s="54"/>
      <c r="R1833" s="260"/>
      <c r="S1833" s="258"/>
      <c r="T1833" s="258"/>
      <c r="U1833" s="38"/>
      <c r="V1833" s="261"/>
      <c r="W1833" s="256"/>
      <c r="X1833" s="256"/>
      <c r="Y1833" s="256"/>
      <c r="Z1833" s="256"/>
      <c r="AA1833" s="54"/>
      <c r="AB1833" s="200"/>
      <c r="AC1833" s="31"/>
      <c r="AD1833" s="184"/>
      <c r="AE1833" s="51"/>
      <c r="AF1833" s="52"/>
      <c r="AG1833" s="41"/>
      <c r="AH1833" s="45"/>
      <c r="AI1833" s="28"/>
      <c r="AJ1833" s="28"/>
      <c r="AK1833" s="28"/>
      <c r="AL1833" s="28"/>
      <c r="AM1833" s="12"/>
      <c r="AN1833" s="12"/>
      <c r="AO1833" s="12"/>
      <c r="AP1833" s="12"/>
      <c r="AQ1833" s="12"/>
      <c r="AR1833" s="13"/>
      <c r="AS1833" s="14"/>
    </row>
    <row r="1834" spans="1:45" s="16" customFormat="1" ht="30" hidden="1" customHeight="1" x14ac:dyDescent="0.2">
      <c r="A1834" s="35"/>
      <c r="B1834" s="36"/>
      <c r="C1834" s="43"/>
      <c r="D1834" s="29">
        <v>3750074</v>
      </c>
      <c r="E1834" s="29">
        <v>4162253</v>
      </c>
      <c r="F1834" s="255" t="str">
        <f>IF(D1834="","",VLOOKUP(D1834,契約台帳!$A$3:$K$4986,6,FALSE)&amp;VLOOKUP(D1834,契約台帳!$A$3:$K$4986,7,FALSE)&amp;VLOOKUP(D1834,契約台帳!$A$3:$K$4986,8,FALSE)&amp;VLOOKUP(D1834,契約台帳!$A$3:$K$4986,9,FALSE)&amp;VLOOKUP(D1834,契約台帳!$A$3:$K$4986,11,FALSE))</f>
        <v>33SSNMCLBTEKV0V</v>
      </c>
      <c r="G1834" s="256" t="str">
        <f>IF(D1834="","",VLOOKUP(F1834,製品マスタ!$G$5:$H$4999,2,FALSE))</f>
        <v>S</v>
      </c>
      <c r="H1834" s="256" t="str">
        <f>IF(D1834="","",VLOOKUP(F1834,製品マスタ!$G$5:$K$4999,5,FALSE))</f>
        <v>TEKV0V</v>
      </c>
      <c r="I1834" s="200" t="str">
        <f>IF(D1834="","",VLOOKUP(F1834,製品マスタ!$G$5:$L$4999,6,FALSE))</f>
        <v>メタルミー　ＴＥ－Ｓ消　ＶＯＩＤ　Ｖ</v>
      </c>
      <c r="J1834" s="203" t="s">
        <v>935</v>
      </c>
      <c r="K1834" s="200">
        <f>IF(D1834="","",VLOOKUP(D1834,契約台帳!$A$3:$L$4986,12,FALSE))</f>
        <v>50</v>
      </c>
      <c r="L1834" s="200" t="str">
        <f>IF(D1834="","",INDEX(製品マスタ!$Q$5:$Q$4999,MATCH('S4'!F1834&amp;'S4'!K1834,製品マスタ!$AO$5:$AO$4999,0)))</f>
        <v>X44SEPA</v>
      </c>
      <c r="M1834" s="37">
        <v>1005</v>
      </c>
      <c r="N1834" s="37">
        <v>4000</v>
      </c>
      <c r="O1834" s="153">
        <v>2</v>
      </c>
      <c r="P1834" s="45">
        <v>3</v>
      </c>
      <c r="Q1834" s="206">
        <v>45392</v>
      </c>
      <c r="R1834" s="257">
        <f ca="1">IF(D1834="","",IF(OFFSET(D1834,-1,0)&lt;&gt;"","",IF(OR(J1834="リード付け",J1834="巻足し",J1834="巻返しリード付け"),M1834,VLOOKUP(D1834,契約台帳!$A$3:$N$4986,14,FALSE))))</f>
        <v>1005</v>
      </c>
      <c r="S1834" s="258">
        <f ca="1">IF(D1834="","",IF(OFFSET(D1834,-1,0)&lt;&gt;"","",IF(OR(J1834="リード付け",J1834="巻足し",J1834="巻返しリード付け"),M1834,VLOOKUP(D1834,契約台帳!$A$3:$O$4986,15,FALSE))))</f>
        <v>1005</v>
      </c>
      <c r="T1834" s="258">
        <f ca="1">IF(D1834="","",IF(J1834="リード付け",N1834,IF(J1834="巻返しリード付け",N1834,IF(J1834="巻足し",N1834*P1834+OFFSET(N1834,1,0)*OFFSET(P1834,1,0),VLOOKUP(D1834,契約台帳!$A$3:$P$4986,16,FALSE)))))</f>
        <v>12000</v>
      </c>
      <c r="U1834" s="38">
        <v>1</v>
      </c>
      <c r="V1834" s="259" t="str">
        <f ca="1">IF(D1834="","",IF(OFFSET(D1834,-2,0)=D1834,"",VLOOKUP(D1834,契約台帳!$A$3:$R$4986,18,FALSE)))</f>
        <v/>
      </c>
      <c r="W1834" s="256" t="str">
        <f ca="1">IF(D1834="","",IF(T1834="","",IF(OR(J1834="巻足し",J1834="巻返しリード付け"),"",IF(J1834="巻返し",VLOOKUP(F1834&amp;K1834&amp;M1834,製品マスタ!$M$5:$AD$4999,18,FALSE),IF(OR(J1834="リード付け",J1834="巻返しリード付け"),"原反コア",IF(J1834="スリット",VLOOKUP(F1834&amp;K1834&amp;R1834,製品マスタ!$N$5:$AD$4999,17,FALSE),""))))))</f>
        <v/>
      </c>
      <c r="X1834" s="256" t="str">
        <f ca="1">IF(D1834="","",IF(T1834="","",IF(J1834="巻足し","",IF(J1834="巻返し",VLOOKUP(F1834&amp;K1834&amp;M1834,製品マスタ!$M$5:$AE$4999,19,FALSE),IF(OR(J1834="リード付け",J1834="巻返しリード付け"),"",IF(J1834="スリット",VLOOKUP(F1834&amp;K1834&amp;R1834,製品マスタ!$N$5:$AE$4999,18,FALSE),""))))))</f>
        <v/>
      </c>
      <c r="Y1834" s="256">
        <f ca="1">IF(D1834="","",IF(T1834="","",VLOOKUP(D1834,契約台帳!$A$3:$Q$4986,17,FALSE)))</f>
        <v>2</v>
      </c>
      <c r="Z1834" s="256" t="str">
        <f ca="1">IF(D1834="","",IF(T1834="","",VLOOKUP(D1834,契約台帳!$A$3:$E$4986,5,FALSE)))</f>
        <v>リンテック㈱</v>
      </c>
      <c r="AA1834" s="54"/>
      <c r="AB1834" s="200">
        <f>IFERROR((VLOOKUP(F1834&amp;K1834&amp;M1834,製品マスタ!$M$5:$AM$4999,27,FALSE)),"")</f>
        <v>0</v>
      </c>
      <c r="AC1834" s="31"/>
      <c r="AD1834" s="184"/>
      <c r="AE1834" s="51"/>
      <c r="AF1834" s="52">
        <f>+M1834*N1834*O1834/1000</f>
        <v>8040</v>
      </c>
      <c r="AG1834" s="41"/>
      <c r="AH1834" s="45"/>
      <c r="AI1834" s="28"/>
      <c r="AJ1834" s="28"/>
      <c r="AK1834" s="28"/>
      <c r="AL1834" s="28"/>
      <c r="AM1834" s="12"/>
      <c r="AN1834" s="12"/>
      <c r="AO1834" s="12"/>
      <c r="AP1834" s="12"/>
      <c r="AQ1834" s="12"/>
      <c r="AR1834" s="13"/>
      <c r="AS1834" s="14"/>
    </row>
    <row r="1835" spans="1:45" s="16" customFormat="1" ht="30" hidden="1" customHeight="1" x14ac:dyDescent="0.2">
      <c r="A1835" s="35"/>
      <c r="B1835" s="36"/>
      <c r="C1835" s="43"/>
      <c r="D1835" s="29">
        <v>3750075</v>
      </c>
      <c r="E1835" s="29"/>
      <c r="F1835" s="255" t="str">
        <f>IF(D1835="","",VLOOKUP(D1835,契約台帳!$A$3:$K$4986,6,FALSE)&amp;VLOOKUP(D1835,契約台帳!$A$3:$K$4986,7,FALSE)&amp;VLOOKUP(D1835,契約台帳!$A$3:$K$4986,8,FALSE)&amp;VLOOKUP(D1835,契約台帳!$A$3:$K$4986,9,FALSE)&amp;VLOOKUP(D1835,契約台帳!$A$3:$K$4986,11,FALSE))</f>
        <v>33SSYMCLBTEKV0V</v>
      </c>
      <c r="G1835" s="256" t="str">
        <f>IF(D1835="","",VLOOKUP(F1835,製品マスタ!$G$5:$H$4999,2,FALSE))</f>
        <v>S</v>
      </c>
      <c r="H1835" s="256" t="str">
        <f>IF(D1835="","",VLOOKUP(F1835,製品マスタ!$G$5:$K$4999,5,FALSE))</f>
        <v>TEKV0V</v>
      </c>
      <c r="I1835" s="200" t="str">
        <f>IF(D1835="","",VLOOKUP(F1835,製品マスタ!$G$5:$L$4999,6,FALSE))</f>
        <v>メタルミー　ＴＥ－Ｓ消　ＶＯＩＤ　Ｖ</v>
      </c>
      <c r="J1835" s="203" t="s">
        <v>935</v>
      </c>
      <c r="K1835" s="200">
        <f>IF(D1835="","",VLOOKUP(D1835,契約台帳!$A$3:$L$4986,12,FALSE))</f>
        <v>50</v>
      </c>
      <c r="L1835" s="200" t="str">
        <f>IF(D1835="","",INDEX(製品マスタ!$Q$5:$Q$4999,MATCH('S4'!F1835&amp;'S4'!K1835,製品マスタ!$AO$5:$AO$4999,0)))</f>
        <v>X44SEPA</v>
      </c>
      <c r="M1835" s="37">
        <v>1005</v>
      </c>
      <c r="N1835" s="37">
        <v>4000</v>
      </c>
      <c r="O1835" s="153">
        <v>1</v>
      </c>
      <c r="P1835" s="45"/>
      <c r="Q1835" s="206">
        <v>45392</v>
      </c>
      <c r="R1835" s="257" t="str">
        <f ca="1">IF(D1835="","",IF(OFFSET(D1835,-1,0)&lt;&gt;"","",IF(OR(J1835="リード付け",J1835="巻足し",J1835="巻返しリード付け"),M1835,VLOOKUP(D1835,契約台帳!$A$3:$N$4986,14,FALSE))))</f>
        <v/>
      </c>
      <c r="S1835" s="258" t="str">
        <f ca="1">IF(D1835="","",IF(OFFSET(D1835,-1,0)&lt;&gt;"","",IF(OR(J1835="リード付け",J1835="巻足し",J1835="巻返しリード付け"),M1835,VLOOKUP(D1835,契約台帳!$A$3:$O$4986,15,FALSE))))</f>
        <v/>
      </c>
      <c r="T1835" s="258">
        <f ca="1">IF(D1835="","",IF(J1835="リード付け",N1835,IF(J1835="巻返しリード付け",N1835,IF(J1835="巻足し",N1835*P1835+OFFSET(N1835,1,0)*OFFSET(P1835,1,0),VLOOKUP(D1835,契約台帳!$A$3:$P$4986,16,FALSE)))))</f>
        <v>0</v>
      </c>
      <c r="U1835" s="38"/>
      <c r="V1835" s="259">
        <f ca="1">IF(D1835="","",IF(OFFSET(D1835,-2,0)=D1835,"",VLOOKUP(D1835,契約台帳!$A$3:$R$4986,18,FALSE)))</f>
        <v>1</v>
      </c>
      <c r="W1835" s="256" t="str">
        <f ca="1">IF(D1835="","",IF(T1835="","",IF(OR(J1835="巻足し",J1835="巻返しリード付け"),"",IF(J1835="巻返し",VLOOKUP(F1835&amp;K1835&amp;M1835,製品マスタ!$M$5:$AD$4999,18,FALSE),IF(OR(J1835="リード付け",J1835="巻返しリード付け"),"原反コア",IF(J1835="スリット",VLOOKUP(F1835&amp;K1835&amp;R1835,製品マスタ!$N$5:$AD$4999,17,FALSE),""))))))</f>
        <v/>
      </c>
      <c r="X1835" s="256" t="str">
        <f ca="1">IF(D1835="","",IF(T1835="","",IF(J1835="巻足し","",IF(J1835="巻返し",VLOOKUP(F1835&amp;K1835&amp;M1835,製品マスタ!$M$5:$AE$4999,19,FALSE),IF(OR(J1835="リード付け",J1835="巻返しリード付け"),"",IF(J1835="スリット",VLOOKUP(F1835&amp;K1835&amp;R1835,製品マスタ!$N$5:$AE$4999,18,FALSE),""))))))</f>
        <v/>
      </c>
      <c r="Y1835" s="256">
        <f ca="1">IF(D1835="","",IF(T1835="","",VLOOKUP(D1835,契約台帳!$A$3:$Q$4986,17,FALSE)))</f>
        <v>2</v>
      </c>
      <c r="Z1835" s="256" t="str">
        <f ca="1">IF(D1835="","",IF(T1835="","",VLOOKUP(D1835,契約台帳!$A$3:$E$4986,5,FALSE)))</f>
        <v>リンテック㈱</v>
      </c>
      <c r="AA1835" s="54"/>
      <c r="AB1835" s="200">
        <f>IFERROR((VLOOKUP(F1835&amp;K1835&amp;M1835,製品マスタ!$M$5:$AM$4999,27,FALSE)),"")</f>
        <v>0</v>
      </c>
      <c r="AC1835" s="31"/>
      <c r="AD1835" s="184"/>
      <c r="AE1835" s="51"/>
      <c r="AF1835" s="52">
        <f>+M1835*N1835*O1835/1000</f>
        <v>4020</v>
      </c>
      <c r="AG1835" s="41"/>
      <c r="AH1835" s="45"/>
      <c r="AI1835" s="28"/>
      <c r="AJ1835" s="28"/>
      <c r="AK1835" s="28"/>
      <c r="AL1835" s="28"/>
      <c r="AM1835" s="12"/>
      <c r="AN1835" s="12"/>
      <c r="AO1835" s="12"/>
      <c r="AP1835" s="12"/>
      <c r="AQ1835" s="12"/>
      <c r="AR1835" s="13"/>
      <c r="AS1835" s="14"/>
    </row>
    <row r="1836" spans="1:45" s="16" customFormat="1" ht="30.95" hidden="1" customHeight="1" x14ac:dyDescent="0.2">
      <c r="A1836" s="35"/>
      <c r="B1836" s="36"/>
      <c r="C1836" s="43"/>
      <c r="D1836" s="29"/>
      <c r="E1836" s="29"/>
      <c r="F1836" s="255"/>
      <c r="G1836" s="256"/>
      <c r="H1836" s="256"/>
      <c r="I1836" s="200"/>
      <c r="J1836" s="203"/>
      <c r="K1836" s="200"/>
      <c r="L1836" s="200"/>
      <c r="M1836" s="37"/>
      <c r="N1836" s="37"/>
      <c r="O1836" s="153"/>
      <c r="P1836" s="45"/>
      <c r="Q1836" s="54"/>
      <c r="R1836" s="260"/>
      <c r="S1836" s="258"/>
      <c r="T1836" s="258"/>
      <c r="U1836" s="38"/>
      <c r="V1836" s="261"/>
      <c r="W1836" s="256"/>
      <c r="X1836" s="256"/>
      <c r="Y1836" s="256"/>
      <c r="Z1836" s="256"/>
      <c r="AA1836" s="54"/>
      <c r="AB1836" s="200"/>
      <c r="AC1836" s="31"/>
      <c r="AD1836" s="184"/>
      <c r="AE1836" s="51"/>
      <c r="AF1836" s="52"/>
      <c r="AG1836" s="41"/>
      <c r="AH1836" s="45"/>
      <c r="AI1836" s="28"/>
      <c r="AJ1836" s="28"/>
      <c r="AK1836" s="28"/>
      <c r="AL1836" s="28"/>
      <c r="AM1836" s="12"/>
      <c r="AN1836" s="12"/>
      <c r="AO1836" s="12"/>
      <c r="AP1836" s="12"/>
      <c r="AQ1836" s="12"/>
      <c r="AR1836" s="13"/>
      <c r="AS1836" s="14"/>
    </row>
    <row r="1837" spans="1:45" s="16" customFormat="1" ht="30.95" hidden="1" customHeight="1" x14ac:dyDescent="0.2">
      <c r="A1837" s="35" t="s">
        <v>2390</v>
      </c>
      <c r="B1837" s="36" t="s">
        <v>2383</v>
      </c>
      <c r="C1837" s="43"/>
      <c r="D1837" s="29"/>
      <c r="E1837" s="29"/>
      <c r="F1837" s="255"/>
      <c r="G1837" s="256"/>
      <c r="H1837" s="256"/>
      <c r="I1837" s="200"/>
      <c r="J1837" s="203" t="s">
        <v>448</v>
      </c>
      <c r="K1837" s="200"/>
      <c r="L1837" s="200"/>
      <c r="M1837" s="37"/>
      <c r="N1837" s="37"/>
      <c r="O1837" s="153"/>
      <c r="P1837" s="45"/>
      <c r="Q1837" s="54"/>
      <c r="R1837" s="260"/>
      <c r="S1837" s="258"/>
      <c r="T1837" s="258"/>
      <c r="U1837" s="38"/>
      <c r="V1837" s="261"/>
      <c r="W1837" s="256"/>
      <c r="X1837" s="256"/>
      <c r="Y1837" s="256"/>
      <c r="Z1837" s="256"/>
      <c r="AA1837" s="54"/>
      <c r="AB1837" s="200"/>
      <c r="AC1837" s="31"/>
      <c r="AD1837" s="184"/>
      <c r="AE1837" s="51"/>
      <c r="AF1837" s="52"/>
      <c r="AG1837" s="41"/>
      <c r="AH1837" s="45"/>
      <c r="AI1837" s="28"/>
      <c r="AJ1837" s="28"/>
      <c r="AK1837" s="28"/>
      <c r="AL1837" s="28"/>
      <c r="AM1837" s="12"/>
      <c r="AN1837" s="12"/>
      <c r="AO1837" s="12"/>
      <c r="AP1837" s="12"/>
      <c r="AQ1837" s="12"/>
      <c r="AR1837" s="13"/>
      <c r="AS1837" s="14"/>
    </row>
    <row r="1838" spans="1:45" s="16" customFormat="1" ht="30.95" hidden="1" customHeight="1" x14ac:dyDescent="0.2">
      <c r="A1838" s="35"/>
      <c r="B1838" s="36"/>
      <c r="C1838" s="43"/>
      <c r="D1838" s="29"/>
      <c r="E1838" s="29"/>
      <c r="F1838" s="255"/>
      <c r="G1838" s="256"/>
      <c r="H1838" s="256"/>
      <c r="I1838" s="200"/>
      <c r="J1838" s="203"/>
      <c r="K1838" s="200"/>
      <c r="L1838" s="200"/>
      <c r="M1838" s="37"/>
      <c r="N1838" s="37"/>
      <c r="O1838" s="153"/>
      <c r="P1838" s="45"/>
      <c r="Q1838" s="54"/>
      <c r="R1838" s="260"/>
      <c r="S1838" s="258"/>
      <c r="T1838" s="258"/>
      <c r="U1838" s="38"/>
      <c r="V1838" s="261"/>
      <c r="W1838" s="256"/>
      <c r="X1838" s="256"/>
      <c r="Y1838" s="256"/>
      <c r="Z1838" s="256"/>
      <c r="AA1838" s="54"/>
      <c r="AB1838" s="200"/>
      <c r="AC1838" s="31"/>
      <c r="AD1838" s="184"/>
      <c r="AE1838" s="51"/>
      <c r="AF1838" s="52"/>
      <c r="AG1838" s="41"/>
      <c r="AH1838" s="45"/>
      <c r="AI1838" s="28"/>
      <c r="AJ1838" s="28"/>
      <c r="AK1838" s="28"/>
      <c r="AL1838" s="28"/>
      <c r="AM1838" s="12"/>
      <c r="AN1838" s="12"/>
      <c r="AO1838" s="12"/>
      <c r="AP1838" s="12"/>
      <c r="AQ1838" s="12"/>
      <c r="AR1838" s="13"/>
      <c r="AS1838" s="14"/>
    </row>
    <row r="1839" spans="1:45" s="16" customFormat="1" ht="30.95" hidden="1" customHeight="1" x14ac:dyDescent="0.2">
      <c r="A1839" s="35" t="s">
        <v>2391</v>
      </c>
      <c r="B1839" s="36" t="s">
        <v>2385</v>
      </c>
      <c r="C1839" s="43"/>
      <c r="D1839" s="29"/>
      <c r="E1839" s="29"/>
      <c r="F1839" s="255"/>
      <c r="G1839" s="256"/>
      <c r="H1839" s="256"/>
      <c r="I1839" s="200"/>
      <c r="J1839" s="203" t="s">
        <v>448</v>
      </c>
      <c r="K1839" s="200"/>
      <c r="L1839" s="200"/>
      <c r="M1839" s="37"/>
      <c r="N1839" s="37"/>
      <c r="O1839" s="153"/>
      <c r="P1839" s="45"/>
      <c r="Q1839" s="54"/>
      <c r="R1839" s="260"/>
      <c r="S1839" s="258"/>
      <c r="T1839" s="258"/>
      <c r="U1839" s="38"/>
      <c r="V1839" s="261"/>
      <c r="W1839" s="256"/>
      <c r="X1839" s="256"/>
      <c r="Y1839" s="256"/>
      <c r="Z1839" s="256"/>
      <c r="AA1839" s="54"/>
      <c r="AB1839" s="200"/>
      <c r="AC1839" s="31"/>
      <c r="AD1839" s="184"/>
      <c r="AE1839" s="51"/>
      <c r="AF1839" s="52"/>
      <c r="AG1839" s="41"/>
      <c r="AH1839" s="45"/>
      <c r="AI1839" s="28"/>
      <c r="AJ1839" s="28"/>
      <c r="AK1839" s="28"/>
      <c r="AL1839" s="28"/>
      <c r="AM1839" s="12"/>
      <c r="AN1839" s="12"/>
      <c r="AO1839" s="12"/>
      <c r="AP1839" s="12"/>
      <c r="AQ1839" s="12"/>
      <c r="AR1839" s="13"/>
      <c r="AS1839" s="14"/>
    </row>
    <row r="1840" spans="1:45" s="16" customFormat="1" ht="30.95" hidden="1" customHeight="1" x14ac:dyDescent="0.2">
      <c r="A1840" s="35"/>
      <c r="B1840" s="36"/>
      <c r="C1840" s="43"/>
      <c r="D1840" s="29"/>
      <c r="E1840" s="29"/>
      <c r="F1840" s="255"/>
      <c r="G1840" s="256"/>
      <c r="H1840" s="256"/>
      <c r="I1840" s="200"/>
      <c r="J1840" s="203"/>
      <c r="K1840" s="200"/>
      <c r="L1840" s="200"/>
      <c r="M1840" s="37"/>
      <c r="N1840" s="37"/>
      <c r="O1840" s="153"/>
      <c r="P1840" s="45"/>
      <c r="Q1840" s="54"/>
      <c r="R1840" s="260"/>
      <c r="S1840" s="258"/>
      <c r="T1840" s="258"/>
      <c r="U1840" s="38"/>
      <c r="V1840" s="261"/>
      <c r="W1840" s="256"/>
      <c r="X1840" s="256"/>
      <c r="Y1840" s="256"/>
      <c r="Z1840" s="256"/>
      <c r="AA1840" s="54"/>
      <c r="AB1840" s="200"/>
      <c r="AC1840" s="31"/>
      <c r="AD1840" s="184"/>
      <c r="AE1840" s="51"/>
      <c r="AF1840" s="52"/>
      <c r="AG1840" s="41"/>
      <c r="AH1840" s="45"/>
      <c r="AI1840" s="28"/>
      <c r="AJ1840" s="28"/>
      <c r="AK1840" s="28"/>
      <c r="AL1840" s="28"/>
      <c r="AM1840" s="12"/>
      <c r="AN1840" s="12"/>
      <c r="AO1840" s="12"/>
      <c r="AP1840" s="12"/>
      <c r="AQ1840" s="12"/>
      <c r="AR1840" s="13"/>
      <c r="AS1840" s="14"/>
    </row>
    <row r="1841" spans="1:45" s="16" customFormat="1" ht="30.95" hidden="1" customHeight="1" x14ac:dyDescent="0.2">
      <c r="A1841" s="35" t="s">
        <v>2736</v>
      </c>
      <c r="B1841" s="36" t="s">
        <v>2737</v>
      </c>
      <c r="C1841" s="43"/>
      <c r="D1841" s="29"/>
      <c r="E1841" s="29"/>
      <c r="F1841" s="255"/>
      <c r="G1841" s="256"/>
      <c r="H1841" s="256"/>
      <c r="I1841" s="200"/>
      <c r="J1841" s="203"/>
      <c r="K1841" s="200"/>
      <c r="L1841" s="200"/>
      <c r="M1841" s="37"/>
      <c r="N1841" s="37"/>
      <c r="O1841" s="153"/>
      <c r="P1841" s="45"/>
      <c r="Q1841" s="54"/>
      <c r="R1841" s="260"/>
      <c r="S1841" s="258"/>
      <c r="T1841" s="258"/>
      <c r="U1841" s="38"/>
      <c r="V1841" s="261"/>
      <c r="W1841" s="256"/>
      <c r="X1841" s="256"/>
      <c r="Y1841" s="256"/>
      <c r="Z1841" s="256"/>
      <c r="AA1841" s="54"/>
      <c r="AB1841" s="200"/>
      <c r="AC1841" s="31"/>
      <c r="AD1841" s="184"/>
      <c r="AE1841" s="51"/>
      <c r="AF1841" s="52"/>
      <c r="AG1841" s="41"/>
      <c r="AH1841" s="45"/>
      <c r="AI1841" s="28"/>
      <c r="AJ1841" s="28"/>
      <c r="AK1841" s="28"/>
      <c r="AL1841" s="28"/>
      <c r="AM1841" s="12"/>
      <c r="AN1841" s="12"/>
      <c r="AO1841" s="12"/>
      <c r="AP1841" s="12"/>
      <c r="AQ1841" s="12"/>
      <c r="AR1841" s="13"/>
      <c r="AS1841" s="14"/>
    </row>
    <row r="1842" spans="1:45" s="16" customFormat="1" ht="30.95" hidden="1" customHeight="1" x14ac:dyDescent="0.2">
      <c r="A1842" s="35"/>
      <c r="B1842" s="36"/>
      <c r="C1842" s="43"/>
      <c r="D1842" s="29"/>
      <c r="E1842" s="29"/>
      <c r="F1842" s="255"/>
      <c r="G1842" s="256"/>
      <c r="H1842" s="256"/>
      <c r="I1842" s="200"/>
      <c r="J1842" s="203"/>
      <c r="K1842" s="200"/>
      <c r="L1842" s="200"/>
      <c r="M1842" s="37"/>
      <c r="N1842" s="37"/>
      <c r="O1842" s="153"/>
      <c r="P1842" s="45"/>
      <c r="Q1842" s="54"/>
      <c r="R1842" s="260"/>
      <c r="S1842" s="258"/>
      <c r="T1842" s="258"/>
      <c r="U1842" s="38"/>
      <c r="V1842" s="261"/>
      <c r="W1842" s="256"/>
      <c r="X1842" s="256"/>
      <c r="Y1842" s="256"/>
      <c r="Z1842" s="256"/>
      <c r="AA1842" s="54"/>
      <c r="AB1842" s="200"/>
      <c r="AC1842" s="31"/>
      <c r="AD1842" s="184"/>
      <c r="AE1842" s="51"/>
      <c r="AF1842" s="52"/>
      <c r="AG1842" s="41"/>
      <c r="AH1842" s="45"/>
      <c r="AI1842" s="28"/>
      <c r="AJ1842" s="28"/>
      <c r="AK1842" s="28"/>
      <c r="AL1842" s="28"/>
      <c r="AM1842" s="12"/>
      <c r="AN1842" s="12"/>
      <c r="AO1842" s="12"/>
      <c r="AP1842" s="12"/>
      <c r="AQ1842" s="12"/>
      <c r="AR1842" s="13"/>
      <c r="AS1842" s="14"/>
    </row>
    <row r="1843" spans="1:45" s="16" customFormat="1" ht="30.95" hidden="1" customHeight="1" x14ac:dyDescent="0.2">
      <c r="A1843" s="35" t="s">
        <v>2738</v>
      </c>
      <c r="B1843" s="36" t="s">
        <v>1405</v>
      </c>
      <c r="C1843" s="43"/>
      <c r="D1843" s="29"/>
      <c r="E1843" s="29"/>
      <c r="F1843" s="255"/>
      <c r="G1843" s="256"/>
      <c r="H1843" s="256"/>
      <c r="I1843" s="200"/>
      <c r="J1843" s="203"/>
      <c r="K1843" s="200"/>
      <c r="L1843" s="200"/>
      <c r="M1843" s="37"/>
      <c r="N1843" s="37"/>
      <c r="O1843" s="153"/>
      <c r="P1843" s="45"/>
      <c r="Q1843" s="54"/>
      <c r="R1843" s="260"/>
      <c r="S1843" s="258"/>
      <c r="T1843" s="258"/>
      <c r="U1843" s="38"/>
      <c r="V1843" s="261"/>
      <c r="W1843" s="256"/>
      <c r="X1843" s="256"/>
      <c r="Y1843" s="256"/>
      <c r="Z1843" s="256"/>
      <c r="AA1843" s="54"/>
      <c r="AB1843" s="200"/>
      <c r="AC1843" s="31"/>
      <c r="AD1843" s="184"/>
      <c r="AE1843" s="51"/>
      <c r="AF1843" s="52"/>
      <c r="AG1843" s="41"/>
      <c r="AH1843" s="45"/>
      <c r="AI1843" s="28"/>
      <c r="AJ1843" s="28"/>
      <c r="AK1843" s="28"/>
      <c r="AL1843" s="28"/>
      <c r="AM1843" s="12"/>
      <c r="AN1843" s="12"/>
      <c r="AO1843" s="12"/>
      <c r="AP1843" s="12"/>
      <c r="AQ1843" s="12"/>
      <c r="AR1843" s="13"/>
      <c r="AS1843" s="14"/>
    </row>
    <row r="1844" spans="1:45" s="16" customFormat="1" ht="30.95" hidden="1" customHeight="1" x14ac:dyDescent="0.2">
      <c r="A1844" s="35"/>
      <c r="B1844" s="36"/>
      <c r="C1844" s="43"/>
      <c r="D1844" s="29"/>
      <c r="E1844" s="29"/>
      <c r="F1844" s="255"/>
      <c r="G1844" s="256"/>
      <c r="H1844" s="256"/>
      <c r="I1844" s="200"/>
      <c r="J1844" s="203"/>
      <c r="K1844" s="200"/>
      <c r="L1844" s="200"/>
      <c r="M1844" s="37"/>
      <c r="N1844" s="37"/>
      <c r="O1844" s="153"/>
      <c r="P1844" s="45"/>
      <c r="Q1844" s="54"/>
      <c r="R1844" s="260"/>
      <c r="S1844" s="258"/>
      <c r="T1844" s="258"/>
      <c r="U1844" s="38"/>
      <c r="V1844" s="261"/>
      <c r="W1844" s="256"/>
      <c r="X1844" s="256"/>
      <c r="Y1844" s="256"/>
      <c r="Z1844" s="256"/>
      <c r="AA1844" s="54"/>
      <c r="AB1844" s="200"/>
      <c r="AC1844" s="31"/>
      <c r="AD1844" s="184"/>
      <c r="AE1844" s="51"/>
      <c r="AF1844" s="52"/>
      <c r="AG1844" s="41"/>
      <c r="AH1844" s="45"/>
      <c r="AI1844" s="28"/>
      <c r="AJ1844" s="28"/>
      <c r="AK1844" s="28"/>
      <c r="AL1844" s="28"/>
      <c r="AM1844" s="12"/>
      <c r="AN1844" s="12"/>
      <c r="AO1844" s="12"/>
      <c r="AP1844" s="12"/>
      <c r="AQ1844" s="12"/>
      <c r="AR1844" s="13"/>
      <c r="AS1844" s="14"/>
    </row>
    <row r="1845" spans="1:45" s="16" customFormat="1" ht="30.95" hidden="1" customHeight="1" x14ac:dyDescent="0.2">
      <c r="A1845" s="35" t="s">
        <v>2739</v>
      </c>
      <c r="B1845" s="36" t="s">
        <v>1412</v>
      </c>
      <c r="C1845" s="43"/>
      <c r="D1845" s="29"/>
      <c r="E1845" s="29"/>
      <c r="F1845" s="255"/>
      <c r="G1845" s="256"/>
      <c r="H1845" s="256"/>
      <c r="I1845" s="200"/>
      <c r="J1845" s="203"/>
      <c r="K1845" s="200"/>
      <c r="L1845" s="200"/>
      <c r="M1845" s="37"/>
      <c r="N1845" s="37"/>
      <c r="O1845" s="153"/>
      <c r="P1845" s="45"/>
      <c r="Q1845" s="54"/>
      <c r="R1845" s="260"/>
      <c r="S1845" s="258"/>
      <c r="T1845" s="258"/>
      <c r="U1845" s="38"/>
      <c r="V1845" s="261"/>
      <c r="W1845" s="256"/>
      <c r="X1845" s="256"/>
      <c r="Y1845" s="256"/>
      <c r="Z1845" s="256"/>
      <c r="AA1845" s="54"/>
      <c r="AB1845" s="200"/>
      <c r="AC1845" s="31"/>
      <c r="AD1845" s="184"/>
      <c r="AE1845" s="51"/>
      <c r="AF1845" s="52"/>
      <c r="AG1845" s="41"/>
      <c r="AH1845" s="45"/>
      <c r="AI1845" s="28"/>
      <c r="AJ1845" s="28"/>
      <c r="AK1845" s="28"/>
      <c r="AL1845" s="28"/>
      <c r="AM1845" s="12"/>
      <c r="AN1845" s="12"/>
      <c r="AO1845" s="12"/>
      <c r="AP1845" s="12"/>
      <c r="AQ1845" s="12"/>
      <c r="AR1845" s="13"/>
      <c r="AS1845" s="14"/>
    </row>
    <row r="1846" spans="1:45" s="16" customFormat="1" ht="30.95" hidden="1" customHeight="1" x14ac:dyDescent="0.2">
      <c r="A1846" s="35"/>
      <c r="B1846" s="36"/>
      <c r="C1846" s="43"/>
      <c r="D1846" s="29"/>
      <c r="E1846" s="29"/>
      <c r="F1846" s="255"/>
      <c r="G1846" s="256"/>
      <c r="H1846" s="256"/>
      <c r="I1846" s="200"/>
      <c r="J1846" s="203"/>
      <c r="K1846" s="200"/>
      <c r="L1846" s="200"/>
      <c r="M1846" s="37"/>
      <c r="N1846" s="37"/>
      <c r="O1846" s="153"/>
      <c r="P1846" s="45"/>
      <c r="Q1846" s="54"/>
      <c r="R1846" s="260"/>
      <c r="S1846" s="258"/>
      <c r="T1846" s="258"/>
      <c r="U1846" s="38"/>
      <c r="V1846" s="261"/>
      <c r="W1846" s="256"/>
      <c r="X1846" s="256"/>
      <c r="Y1846" s="256"/>
      <c r="Z1846" s="256"/>
      <c r="AA1846" s="54"/>
      <c r="AB1846" s="200"/>
      <c r="AC1846" s="31"/>
      <c r="AD1846" s="184"/>
      <c r="AE1846" s="51"/>
      <c r="AF1846" s="52"/>
      <c r="AG1846" s="41"/>
      <c r="AH1846" s="45"/>
      <c r="AI1846" s="28"/>
      <c r="AJ1846" s="28"/>
      <c r="AK1846" s="28"/>
      <c r="AL1846" s="28"/>
      <c r="AM1846" s="12"/>
      <c r="AN1846" s="12"/>
      <c r="AO1846" s="12"/>
      <c r="AP1846" s="12"/>
      <c r="AQ1846" s="12"/>
      <c r="AR1846" s="13"/>
      <c r="AS1846" s="14"/>
    </row>
    <row r="1847" spans="1:45" s="16" customFormat="1" ht="30.95" hidden="1" customHeight="1" x14ac:dyDescent="0.2">
      <c r="A1847" s="35" t="s">
        <v>2267</v>
      </c>
      <c r="B1847" s="36" t="s">
        <v>2268</v>
      </c>
      <c r="C1847" s="43"/>
      <c r="D1847" s="29"/>
      <c r="E1847" s="29"/>
      <c r="F1847" s="255"/>
      <c r="G1847" s="256"/>
      <c r="H1847" s="256"/>
      <c r="I1847" s="279" t="s">
        <v>2751</v>
      </c>
      <c r="J1847" s="203"/>
      <c r="K1847" s="200"/>
      <c r="L1847" s="200"/>
      <c r="M1847" s="37"/>
      <c r="N1847" s="37"/>
      <c r="O1847" s="153"/>
      <c r="P1847" s="45"/>
      <c r="Q1847" s="54"/>
      <c r="R1847" s="260"/>
      <c r="S1847" s="258"/>
      <c r="T1847" s="258"/>
      <c r="U1847" s="38"/>
      <c r="V1847" s="261"/>
      <c r="W1847" s="256"/>
      <c r="X1847" s="256"/>
      <c r="Y1847" s="256"/>
      <c r="Z1847" s="256"/>
      <c r="AA1847" s="54"/>
      <c r="AB1847" s="200"/>
      <c r="AC1847" s="31"/>
      <c r="AD1847" s="184"/>
      <c r="AE1847" s="51"/>
      <c r="AF1847" s="52"/>
      <c r="AG1847" s="41"/>
      <c r="AH1847" s="45"/>
      <c r="AI1847" s="28"/>
      <c r="AJ1847" s="28"/>
      <c r="AK1847" s="28"/>
      <c r="AL1847" s="28"/>
      <c r="AM1847" s="12"/>
      <c r="AN1847" s="12"/>
      <c r="AO1847" s="12"/>
      <c r="AP1847" s="12"/>
      <c r="AQ1847" s="12"/>
      <c r="AR1847" s="13"/>
      <c r="AS1847" s="14"/>
    </row>
    <row r="1848" spans="1:45" s="16" customFormat="1" ht="30.95" hidden="1" customHeight="1" x14ac:dyDescent="0.2">
      <c r="A1848" s="35"/>
      <c r="B1848" s="36"/>
      <c r="C1848" s="43"/>
      <c r="D1848" s="29"/>
      <c r="E1848" s="29"/>
      <c r="F1848" s="255"/>
      <c r="G1848" s="256"/>
      <c r="H1848" s="256"/>
      <c r="I1848" s="200"/>
      <c r="J1848" s="203"/>
      <c r="K1848" s="200"/>
      <c r="L1848" s="200"/>
      <c r="M1848" s="37"/>
      <c r="N1848" s="37"/>
      <c r="O1848" s="153"/>
      <c r="P1848" s="45"/>
      <c r="Q1848" s="54"/>
      <c r="R1848" s="260"/>
      <c r="S1848" s="258"/>
      <c r="T1848" s="258"/>
      <c r="U1848" s="38"/>
      <c r="V1848" s="261"/>
      <c r="W1848" s="256"/>
      <c r="X1848" s="256"/>
      <c r="Y1848" s="256"/>
      <c r="Z1848" s="256"/>
      <c r="AA1848" s="54"/>
      <c r="AB1848" s="200"/>
      <c r="AC1848" s="31"/>
      <c r="AD1848" s="184"/>
      <c r="AE1848" s="51"/>
      <c r="AF1848" s="52"/>
      <c r="AG1848" s="41"/>
      <c r="AH1848" s="45"/>
      <c r="AI1848" s="28"/>
      <c r="AJ1848" s="28"/>
      <c r="AK1848" s="28"/>
      <c r="AL1848" s="28"/>
      <c r="AM1848" s="12"/>
      <c r="AN1848" s="12"/>
      <c r="AO1848" s="12"/>
      <c r="AP1848" s="12"/>
      <c r="AQ1848" s="12"/>
      <c r="AR1848" s="13"/>
      <c r="AS1848" s="14"/>
    </row>
    <row r="1849" spans="1:45" s="16" customFormat="1" ht="30.95" hidden="1" customHeight="1" x14ac:dyDescent="0.2">
      <c r="A1849" s="35" t="s">
        <v>2269</v>
      </c>
      <c r="B1849" s="36" t="s">
        <v>2270</v>
      </c>
      <c r="C1849" s="43"/>
      <c r="D1849" s="29"/>
      <c r="E1849" s="29"/>
      <c r="F1849" s="255"/>
      <c r="G1849" s="256"/>
      <c r="H1849" s="256"/>
      <c r="I1849" s="279" t="s">
        <v>2751</v>
      </c>
      <c r="J1849" s="203"/>
      <c r="K1849" s="200"/>
      <c r="L1849" s="200"/>
      <c r="M1849" s="37"/>
      <c r="N1849" s="37"/>
      <c r="O1849" s="153"/>
      <c r="P1849" s="45"/>
      <c r="Q1849" s="54"/>
      <c r="R1849" s="260"/>
      <c r="S1849" s="258"/>
      <c r="T1849" s="258"/>
      <c r="U1849" s="38"/>
      <c r="V1849" s="261"/>
      <c r="W1849" s="256"/>
      <c r="X1849" s="256"/>
      <c r="Y1849" s="256"/>
      <c r="Z1849" s="256"/>
      <c r="AA1849" s="54"/>
      <c r="AB1849" s="200"/>
      <c r="AC1849" s="31"/>
      <c r="AD1849" s="184"/>
      <c r="AE1849" s="51"/>
      <c r="AF1849" s="52"/>
      <c r="AG1849" s="41"/>
      <c r="AH1849" s="45"/>
      <c r="AI1849" s="28"/>
      <c r="AJ1849" s="28"/>
      <c r="AK1849" s="28"/>
      <c r="AL1849" s="28"/>
      <c r="AM1849" s="12"/>
      <c r="AN1849" s="12"/>
      <c r="AO1849" s="12"/>
      <c r="AP1849" s="12"/>
      <c r="AQ1849" s="12"/>
      <c r="AR1849" s="13"/>
      <c r="AS1849" s="14"/>
    </row>
    <row r="1850" spans="1:45" s="16" customFormat="1" ht="30.95" hidden="1" customHeight="1" x14ac:dyDescent="0.2">
      <c r="A1850" s="35"/>
      <c r="B1850" s="36"/>
      <c r="C1850" s="43"/>
      <c r="D1850" s="29"/>
      <c r="E1850" s="29"/>
      <c r="F1850" s="255"/>
      <c r="G1850" s="256"/>
      <c r="H1850" s="256"/>
      <c r="I1850" s="200"/>
      <c r="J1850" s="203"/>
      <c r="K1850" s="200"/>
      <c r="L1850" s="200"/>
      <c r="M1850" s="37"/>
      <c r="N1850" s="37"/>
      <c r="O1850" s="153"/>
      <c r="P1850" s="45"/>
      <c r="Q1850" s="54"/>
      <c r="R1850" s="260"/>
      <c r="S1850" s="258"/>
      <c r="T1850" s="258"/>
      <c r="U1850" s="38"/>
      <c r="V1850" s="261"/>
      <c r="W1850" s="256"/>
      <c r="X1850" s="256"/>
      <c r="Y1850" s="256"/>
      <c r="Z1850" s="256"/>
      <c r="AA1850" s="54"/>
      <c r="AB1850" s="200"/>
      <c r="AC1850" s="31"/>
      <c r="AD1850" s="184"/>
      <c r="AE1850" s="51"/>
      <c r="AF1850" s="52"/>
      <c r="AG1850" s="41"/>
      <c r="AH1850" s="45"/>
      <c r="AI1850" s="28"/>
      <c r="AJ1850" s="28"/>
      <c r="AK1850" s="28"/>
      <c r="AL1850" s="28"/>
      <c r="AM1850" s="12"/>
      <c r="AN1850" s="12"/>
      <c r="AO1850" s="12"/>
      <c r="AP1850" s="12"/>
      <c r="AQ1850" s="12"/>
      <c r="AR1850" s="13"/>
      <c r="AS1850" s="14"/>
    </row>
    <row r="1851" spans="1:45" s="16" customFormat="1" ht="30.95" hidden="1" customHeight="1" x14ac:dyDescent="0.2">
      <c r="A1851" s="35" t="s">
        <v>2740</v>
      </c>
      <c r="B1851" s="36" t="s">
        <v>2741</v>
      </c>
      <c r="C1851" s="43"/>
      <c r="D1851" s="29"/>
      <c r="E1851" s="29"/>
      <c r="F1851" s="255"/>
      <c r="G1851" s="256"/>
      <c r="H1851" s="256"/>
      <c r="I1851" s="200"/>
      <c r="J1851" s="203" t="s">
        <v>448</v>
      </c>
      <c r="K1851" s="200"/>
      <c r="L1851" s="200"/>
      <c r="M1851" s="37"/>
      <c r="N1851" s="37"/>
      <c r="O1851" s="153"/>
      <c r="P1851" s="45"/>
      <c r="Q1851" s="54"/>
      <c r="R1851" s="260"/>
      <c r="S1851" s="258"/>
      <c r="T1851" s="258"/>
      <c r="U1851" s="38"/>
      <c r="V1851" s="261"/>
      <c r="W1851" s="256"/>
      <c r="X1851" s="256"/>
      <c r="Y1851" s="256"/>
      <c r="Z1851" s="256"/>
      <c r="AA1851" s="54"/>
      <c r="AB1851" s="200"/>
      <c r="AC1851" s="31"/>
      <c r="AD1851" s="184"/>
      <c r="AE1851" s="51"/>
      <c r="AF1851" s="52"/>
      <c r="AG1851" s="41"/>
      <c r="AH1851" s="45"/>
      <c r="AI1851" s="28"/>
      <c r="AJ1851" s="28"/>
      <c r="AK1851" s="28"/>
      <c r="AL1851" s="28"/>
      <c r="AM1851" s="12"/>
      <c r="AN1851" s="12"/>
      <c r="AO1851" s="12"/>
      <c r="AP1851" s="12"/>
      <c r="AQ1851" s="12"/>
      <c r="AR1851" s="13"/>
      <c r="AS1851" s="14"/>
    </row>
    <row r="1852" spans="1:45" s="16" customFormat="1" ht="30.95" hidden="1" customHeight="1" x14ac:dyDescent="0.2">
      <c r="A1852" s="35"/>
      <c r="B1852" s="36"/>
      <c r="C1852" s="43"/>
      <c r="D1852" s="29"/>
      <c r="E1852" s="29"/>
      <c r="F1852" s="255"/>
      <c r="G1852" s="256"/>
      <c r="H1852" s="256"/>
      <c r="I1852" s="200"/>
      <c r="J1852" s="203"/>
      <c r="K1852" s="200"/>
      <c r="L1852" s="200"/>
      <c r="M1852" s="37"/>
      <c r="N1852" s="37"/>
      <c r="O1852" s="153"/>
      <c r="P1852" s="45"/>
      <c r="Q1852" s="54"/>
      <c r="R1852" s="260"/>
      <c r="S1852" s="258"/>
      <c r="T1852" s="258"/>
      <c r="U1852" s="38"/>
      <c r="V1852" s="261"/>
      <c r="W1852" s="256"/>
      <c r="X1852" s="256"/>
      <c r="Y1852" s="256"/>
      <c r="Z1852" s="256"/>
      <c r="AA1852" s="54"/>
      <c r="AB1852" s="200"/>
      <c r="AC1852" s="31"/>
      <c r="AD1852" s="184"/>
      <c r="AE1852" s="51"/>
      <c r="AF1852" s="52"/>
      <c r="AG1852" s="41"/>
      <c r="AH1852" s="45"/>
      <c r="AI1852" s="28"/>
      <c r="AJ1852" s="28"/>
      <c r="AK1852" s="28"/>
      <c r="AL1852" s="28"/>
      <c r="AM1852" s="12"/>
      <c r="AN1852" s="12"/>
      <c r="AO1852" s="12"/>
      <c r="AP1852" s="12"/>
      <c r="AQ1852" s="12"/>
      <c r="AR1852" s="13"/>
      <c r="AS1852" s="14"/>
    </row>
    <row r="1853" spans="1:45" s="16" customFormat="1" ht="30.95" hidden="1" customHeight="1" x14ac:dyDescent="0.2">
      <c r="A1853" s="35" t="s">
        <v>2742</v>
      </c>
      <c r="B1853" s="36" t="s">
        <v>2743</v>
      </c>
      <c r="C1853" s="43"/>
      <c r="D1853" s="29"/>
      <c r="E1853" s="29"/>
      <c r="F1853" s="255"/>
      <c r="G1853" s="256"/>
      <c r="H1853" s="256"/>
      <c r="I1853" s="200"/>
      <c r="J1853" s="203" t="s">
        <v>448</v>
      </c>
      <c r="K1853" s="200"/>
      <c r="L1853" s="200"/>
      <c r="M1853" s="37"/>
      <c r="N1853" s="37"/>
      <c r="O1853" s="153"/>
      <c r="P1853" s="45"/>
      <c r="Q1853" s="54"/>
      <c r="R1853" s="260"/>
      <c r="S1853" s="258"/>
      <c r="T1853" s="258"/>
      <c r="U1853" s="38"/>
      <c r="V1853" s="261"/>
      <c r="W1853" s="256"/>
      <c r="X1853" s="256"/>
      <c r="Y1853" s="256"/>
      <c r="Z1853" s="256"/>
      <c r="AA1853" s="54"/>
      <c r="AB1853" s="200"/>
      <c r="AC1853" s="31"/>
      <c r="AD1853" s="184"/>
      <c r="AE1853" s="51"/>
      <c r="AF1853" s="52"/>
      <c r="AG1853" s="41"/>
      <c r="AH1853" s="45"/>
      <c r="AI1853" s="28"/>
      <c r="AJ1853" s="28"/>
      <c r="AK1853" s="28"/>
      <c r="AL1853" s="28"/>
      <c r="AM1853" s="12"/>
      <c r="AN1853" s="12"/>
      <c r="AO1853" s="12"/>
      <c r="AP1853" s="12"/>
      <c r="AQ1853" s="12"/>
      <c r="AR1853" s="13"/>
      <c r="AS1853" s="14"/>
    </row>
    <row r="1854" spans="1:45" s="16" customFormat="1" ht="30.95" hidden="1" customHeight="1" x14ac:dyDescent="0.2">
      <c r="A1854" s="35"/>
      <c r="B1854" s="36"/>
      <c r="C1854" s="43"/>
      <c r="D1854" s="29"/>
      <c r="E1854" s="29"/>
      <c r="F1854" s="255"/>
      <c r="G1854" s="256"/>
      <c r="H1854" s="256"/>
      <c r="I1854" s="200"/>
      <c r="J1854" s="203"/>
      <c r="K1854" s="200"/>
      <c r="L1854" s="200"/>
      <c r="M1854" s="37"/>
      <c r="N1854" s="37"/>
      <c r="O1854" s="153"/>
      <c r="P1854" s="45"/>
      <c r="Q1854" s="54"/>
      <c r="R1854" s="260"/>
      <c r="S1854" s="258"/>
      <c r="T1854" s="258"/>
      <c r="U1854" s="38"/>
      <c r="V1854" s="261"/>
      <c r="W1854" s="256"/>
      <c r="X1854" s="256"/>
      <c r="Y1854" s="256"/>
      <c r="Z1854" s="256"/>
      <c r="AA1854" s="54"/>
      <c r="AB1854" s="200"/>
      <c r="AC1854" s="31"/>
      <c r="AD1854" s="184"/>
      <c r="AE1854" s="51"/>
      <c r="AF1854" s="52"/>
      <c r="AG1854" s="41"/>
      <c r="AH1854" s="45"/>
      <c r="AI1854" s="28"/>
      <c r="AJ1854" s="28"/>
      <c r="AK1854" s="28"/>
      <c r="AL1854" s="28"/>
      <c r="AM1854" s="12"/>
      <c r="AN1854" s="12"/>
      <c r="AO1854" s="12"/>
      <c r="AP1854" s="12"/>
      <c r="AQ1854" s="12"/>
      <c r="AR1854" s="13"/>
      <c r="AS1854" s="14"/>
    </row>
    <row r="1855" spans="1:45" s="16" customFormat="1" ht="30.95" hidden="1" customHeight="1" x14ac:dyDescent="0.2">
      <c r="A1855" s="35" t="s">
        <v>1063</v>
      </c>
      <c r="B1855" s="36" t="s">
        <v>462</v>
      </c>
      <c r="C1855" s="43"/>
      <c r="D1855" s="29">
        <v>3750064</v>
      </c>
      <c r="E1855" s="29">
        <v>4141115</v>
      </c>
      <c r="F1855" s="255" t="str">
        <f>IF(D1855="","",VLOOKUP(D1855,契約台帳!$A$3:$K$4986,6,FALSE)&amp;VLOOKUP(D1855,契約台帳!$A$3:$K$4986,7,FALSE)&amp;VLOOKUP(D1855,契約台帳!$A$3:$K$4986,8,FALSE)&amp;VLOOKUP(D1855,契約台帳!$A$3:$K$4986,9,FALSE)&amp;VLOOKUP(D1855,契約台帳!$A$3:$K$4986,11,FALSE))</f>
        <v>3HSNMCLBWCB</v>
      </c>
      <c r="G1855" s="256" t="str">
        <f>IF(D1855="","",VLOOKUP(F1855,製品マスタ!$G$5:$H$4999,2,FALSE))</f>
        <v>S</v>
      </c>
      <c r="H1855" s="256" t="str">
        <f>IF(D1855="","",VLOOKUP(F1855,製品マスタ!$G$5:$K$4999,5,FALSE))</f>
        <v>WCB</v>
      </c>
      <c r="I1855" s="200" t="str">
        <f>IF(D1855="","",VLOOKUP(F1855,製品マスタ!$G$5:$L$4999,6,FALSE))</f>
        <v>メタルミー　ホワイトコート　（Ｂ）</v>
      </c>
      <c r="J1855" s="203" t="s">
        <v>463</v>
      </c>
      <c r="K1855" s="200">
        <f>IF(D1855="","",VLOOKUP(D1855,契約台帳!$A$3:$L$4986,12,FALSE))</f>
        <v>50</v>
      </c>
      <c r="L1855" s="200" t="s">
        <v>1764</v>
      </c>
      <c r="M1855" s="37">
        <v>1195</v>
      </c>
      <c r="N1855" s="37">
        <v>5300</v>
      </c>
      <c r="O1855" s="153">
        <v>1</v>
      </c>
      <c r="P1855" s="45">
        <v>1</v>
      </c>
      <c r="Q1855" s="54"/>
      <c r="R1855" s="257">
        <f ca="1">IF(D1855="","",IF(OFFSET(D1855,-1,0)&lt;&gt;"","",IF(OR(J1855="リード付け",J1855="巻足し",J1855="巻返しリード付け"),M1855,VLOOKUP(D1855,契約台帳!$A$3:$N$4986,14,FALSE))))</f>
        <v>1120</v>
      </c>
      <c r="S1855" s="258">
        <f ca="1">IF(D1855="","",IF(OFFSET(D1855,-1,0)&lt;&gt;"","",IF(OR(J1855="リード付け",J1855="巻足し",J1855="巻返しリード付け"),M1855,VLOOKUP(D1855,契約台帳!$A$3:$O$4986,15,FALSE))))</f>
        <v>1120</v>
      </c>
      <c r="T1855" s="258">
        <f ca="1">IF(D1855="","",IF(J1855="リード付け",N1855,IF(J1855="巻返しリード付け",N1855,IF(J1855="巻足し",N1855*P1855+OFFSET(N1855,1,0)*OFFSET(P1855,1,0),VLOOKUP(D1855,契約台帳!$A$3:$P$4986,16,FALSE)))))</f>
        <v>5000</v>
      </c>
      <c r="U1855" s="38">
        <v>1</v>
      </c>
      <c r="V1855" s="259">
        <f ca="1">IF(D1855="","",IF(OFFSET(D1855,-2,0)=D1855,"",VLOOKUP(D1855,契約台帳!$A$3:$R$4986,18,FALSE)))</f>
        <v>1</v>
      </c>
      <c r="W1855" s="256" t="s">
        <v>806</v>
      </c>
      <c r="X1855" s="256">
        <v>1140</v>
      </c>
      <c r="Y1855" s="256">
        <f ca="1">IF(D1855="","",IF(T1855="","",VLOOKUP(D1855,契約台帳!$A$3:$Q$4986,17,FALSE)))</f>
        <v>2</v>
      </c>
      <c r="Z1855" s="256" t="str">
        <f ca="1">IF(D1855="","",IF(T1855="","",VLOOKUP(D1855,契約台帳!$A$3:$E$4986,5,FALSE)))</f>
        <v>新タック化成㈱</v>
      </c>
      <c r="AA1855" s="54"/>
      <c r="AB1855" s="200"/>
      <c r="AC1855" s="31"/>
      <c r="AD1855" s="184"/>
      <c r="AE1855" s="51"/>
      <c r="AF1855" s="52"/>
      <c r="AG1855" s="41"/>
      <c r="AH1855" s="45"/>
      <c r="AI1855" s="28"/>
      <c r="AJ1855" s="28"/>
      <c r="AK1855" s="28"/>
      <c r="AL1855" s="28"/>
      <c r="AM1855" s="12"/>
      <c r="AN1855" s="12"/>
      <c r="AO1855" s="12"/>
      <c r="AP1855" s="12"/>
      <c r="AQ1855" s="12"/>
      <c r="AR1855" s="13"/>
      <c r="AS1855" s="14"/>
    </row>
    <row r="1856" spans="1:45" s="16" customFormat="1" ht="30.95" hidden="1" customHeight="1" x14ac:dyDescent="0.2">
      <c r="A1856" s="35"/>
      <c r="B1856" s="36"/>
      <c r="C1856" s="43"/>
      <c r="D1856" s="29"/>
      <c r="E1856" s="29"/>
      <c r="F1856" s="255"/>
      <c r="G1856" s="256"/>
      <c r="H1856" s="256"/>
      <c r="I1856" s="200"/>
      <c r="J1856" s="203"/>
      <c r="K1856" s="200"/>
      <c r="L1856" s="200"/>
      <c r="M1856" s="37"/>
      <c r="N1856" s="37"/>
      <c r="O1856" s="153"/>
      <c r="P1856" s="45"/>
      <c r="Q1856" s="54"/>
      <c r="R1856" s="260"/>
      <c r="S1856" s="258"/>
      <c r="T1856" s="258"/>
      <c r="U1856" s="38"/>
      <c r="V1856" s="261"/>
      <c r="W1856" s="256"/>
      <c r="X1856" s="256"/>
      <c r="Y1856" s="256"/>
      <c r="Z1856" s="256"/>
      <c r="AA1856" s="54"/>
      <c r="AB1856" s="200"/>
      <c r="AC1856" s="31"/>
      <c r="AD1856" s="184"/>
      <c r="AE1856" s="51"/>
      <c r="AF1856" s="52"/>
      <c r="AG1856" s="41"/>
      <c r="AH1856" s="45"/>
      <c r="AI1856" s="28"/>
      <c r="AJ1856" s="28"/>
      <c r="AK1856" s="28"/>
      <c r="AL1856" s="28"/>
      <c r="AM1856" s="12"/>
      <c r="AN1856" s="12"/>
      <c r="AO1856" s="12"/>
      <c r="AP1856" s="12"/>
      <c r="AQ1856" s="12"/>
      <c r="AR1856" s="13"/>
      <c r="AS1856" s="14"/>
    </row>
    <row r="1857" spans="1:45" s="16" customFormat="1" ht="30.95" hidden="1" customHeight="1" x14ac:dyDescent="0.2">
      <c r="A1857" s="35"/>
      <c r="B1857" s="36"/>
      <c r="C1857" s="43"/>
      <c r="D1857" s="29">
        <v>3750063</v>
      </c>
      <c r="E1857" s="29">
        <v>4141126</v>
      </c>
      <c r="F1857" s="255" t="str">
        <f>IF(D1857="","",VLOOKUP(D1857,契約台帳!$A$3:$K$4986,6,FALSE)&amp;VLOOKUP(D1857,契約台帳!$A$3:$K$4986,7,FALSE)&amp;VLOOKUP(D1857,契約台帳!$A$3:$K$4986,8,FALSE)&amp;VLOOKUP(D1857,契約台帳!$A$3:$K$4986,9,FALSE)&amp;VLOOKUP(D1857,契約台帳!$A$3:$K$4986,11,FALSE))</f>
        <v>3SNMCLBSCB</v>
      </c>
      <c r="G1857" s="256" t="str">
        <f>IF(D1857="","",VLOOKUP(F1857,製品マスタ!$G$5:$H$4999,2,FALSE))</f>
        <v>S</v>
      </c>
      <c r="H1857" s="256" t="str">
        <f>IF(D1857="","",VLOOKUP(F1857,製品マスタ!$G$5:$K$4999,5,FALSE))</f>
        <v>SCB</v>
      </c>
      <c r="I1857" s="200" t="str">
        <f>IF(D1857="","",VLOOKUP(F1857,製品マスタ!$G$5:$L$4999,6,FALSE))</f>
        <v>メタルミー　シロコート（Ｂ）</v>
      </c>
      <c r="J1857" s="203" t="s">
        <v>463</v>
      </c>
      <c r="K1857" s="200">
        <f>IF(D1857="","",VLOOKUP(D1857,契約台帳!$A$3:$L$4986,12,FALSE))</f>
        <v>25</v>
      </c>
      <c r="L1857" s="200" t="s">
        <v>1764</v>
      </c>
      <c r="M1857" s="37">
        <v>1060</v>
      </c>
      <c r="N1857" s="37">
        <v>12200</v>
      </c>
      <c r="O1857" s="153">
        <v>1</v>
      </c>
      <c r="P1857" s="45">
        <v>1</v>
      </c>
      <c r="Q1857" s="54"/>
      <c r="R1857" s="257">
        <f ca="1">IF(D1857="","",IF(OFFSET(D1857,-1,0)&lt;&gt;"","",IF(OR(J1857="リード付け",J1857="巻足し",J1857="巻返しリード付け"),M1857,VLOOKUP(D1857,契約台帳!$A$3:$N$4986,14,FALSE))))</f>
        <v>1020</v>
      </c>
      <c r="S1857" s="258">
        <f ca="1">IF(D1857="","",IF(OFFSET(D1857,-1,0)&lt;&gt;"","",IF(OR(J1857="リード付け",J1857="巻足し",J1857="巻返しリード付け"),M1857,VLOOKUP(D1857,契約台帳!$A$3:$O$4986,15,FALSE))))</f>
        <v>1020</v>
      </c>
      <c r="T1857" s="258">
        <f ca="1">IF(D1857="","",IF(J1857="リード付け",N1857,IF(J1857="巻返しリード付け",N1857,IF(J1857="巻足し",N1857*P1857+OFFSET(N1857,1,0)*OFFSET(P1857,1,0),VLOOKUP(D1857,契約台帳!$A$3:$P$4986,16,FALSE)))))</f>
        <v>6000</v>
      </c>
      <c r="U1857" s="38">
        <v>2</v>
      </c>
      <c r="V1857" s="259">
        <f ca="1">IF(D1857="","",IF(OFFSET(D1857,-2,0)=D1857,"",VLOOKUP(D1857,契約台帳!$A$3:$R$4986,18,FALSE)))</f>
        <v>2</v>
      </c>
      <c r="W1857" s="256" t="str">
        <f ca="1">IF(D1857="","",IF(T1857="","",IF(OR(J1857="巻足し",J1857="巻返しリード付け"),"",IF(J1857="巻返し",VLOOKUP(F1857&amp;K1857&amp;M1857,製品マスタ!$M$5:$AD$4999,18,FALSE),IF(OR(J1857="リード付け",J1857="巻返しリード付け"),"原反コア",IF(J1857="スリット",VLOOKUP(F1857&amp;K1857&amp;R1857,製品マスタ!$N$5:$AD$4999,17,FALSE),""))))))</f>
        <v>6ｲﾝﾁSｺｱ</v>
      </c>
      <c r="X1857" s="256">
        <f ca="1">IF(D1857="","",IF(T1857="","",IF(J1857="巻足し","",IF(J1857="巻返し",VLOOKUP(F1857&amp;K1857&amp;M1857,製品マスタ!$M$5:$AE$4999,19,FALSE),IF(OR(J1857="リード付け",J1857="巻返しリード付け"),"",IF(J1857="スリット",VLOOKUP(F1857&amp;K1857&amp;R1857,製品マスタ!$N$5:$AE$4999,18,FALSE),""))))))</f>
        <v>1035</v>
      </c>
      <c r="Y1857" s="256">
        <f ca="1">IF(D1857="","",IF(T1857="","",VLOOKUP(D1857,契約台帳!$A$3:$Q$4986,17,FALSE)))</f>
        <v>2</v>
      </c>
      <c r="Z1857" s="256" t="str">
        <f ca="1">IF(D1857="","",IF(T1857="","",VLOOKUP(D1857,契約台帳!$A$3:$E$4986,5,FALSE)))</f>
        <v>新タック化成㈱</v>
      </c>
      <c r="AA1857" s="54"/>
      <c r="AB1857" s="200"/>
      <c r="AC1857" s="31"/>
      <c r="AD1857" s="184"/>
      <c r="AE1857" s="51"/>
      <c r="AF1857" s="52"/>
      <c r="AG1857" s="41"/>
      <c r="AH1857" s="45"/>
      <c r="AI1857" s="28"/>
      <c r="AJ1857" s="28"/>
      <c r="AK1857" s="28"/>
      <c r="AL1857" s="28"/>
      <c r="AM1857" s="12"/>
      <c r="AN1857" s="12"/>
      <c r="AO1857" s="12"/>
      <c r="AP1857" s="12"/>
      <c r="AQ1857" s="12"/>
      <c r="AR1857" s="13"/>
      <c r="AS1857" s="14"/>
    </row>
    <row r="1858" spans="1:45" s="16" customFormat="1" ht="30.95" hidden="1" customHeight="1" x14ac:dyDescent="0.2">
      <c r="A1858" s="35"/>
      <c r="B1858" s="36"/>
      <c r="C1858" s="43"/>
      <c r="D1858" s="29"/>
      <c r="E1858" s="29"/>
      <c r="F1858" s="255" t="str">
        <f>IF(D1858="","",VLOOKUP(D1858,契約台帳!$A$3:$K$4986,6,FALSE)&amp;VLOOKUP(D1858,契約台帳!$A$3:$K$4986,7,FALSE)&amp;VLOOKUP(D1858,契約台帳!$A$3:$K$4986,8,FALSE)&amp;VLOOKUP(D1858,契約台帳!$A$3:$K$4986,9,FALSE)&amp;VLOOKUP(D1858,契約台帳!$A$3:$K$4986,11,FALSE))</f>
        <v/>
      </c>
      <c r="G1858" s="256" t="str">
        <f>IF(D1858="","",VLOOKUP(F1858,製品マスタ!$G$5:$H$4999,2,FALSE))</f>
        <v/>
      </c>
      <c r="H1858" s="256" t="str">
        <f>IF(D1858="","",VLOOKUP(F1858,製品マスタ!$G$5:$K$4999,5,FALSE))</f>
        <v/>
      </c>
      <c r="I1858" s="200" t="str">
        <f>IF(D1858="","",VLOOKUP(F1858,製品マスタ!$G$5:$L$4999,6,FALSE))</f>
        <v/>
      </c>
      <c r="J1858" s="203"/>
      <c r="K1858" s="200" t="str">
        <f>IF(D1858="","",VLOOKUP(D1858,契約台帳!$A$3:$L$4986,12,FALSE))</f>
        <v/>
      </c>
      <c r="L1858" s="200" t="str">
        <f>IF(D1858="","",INDEX(製品マスタ!$Q$5:$Q$4999,MATCH('S4'!F1858&amp;'S4'!K1858,製品マスタ!$AO$5:$AO$4999,0)))</f>
        <v/>
      </c>
      <c r="M1858" s="37"/>
      <c r="N1858" s="37"/>
      <c r="O1858" s="153"/>
      <c r="P1858" s="45"/>
      <c r="Q1858" s="54"/>
      <c r="R1858" s="257" t="str">
        <f ca="1">IF(D1858="","",IF(OFFSET(D1858,-1,0)&lt;&gt;"","",IF(OR(J1858="リード付け",J1858="巻足し",J1858="巻返しリード付け"),M1858,VLOOKUP(D1858,契約台帳!$A$3:$N$4986,14,FALSE))))</f>
        <v/>
      </c>
      <c r="S1858" s="258" t="str">
        <f ca="1">IF(D1858="","",IF(OFFSET(D1858,-1,0)&lt;&gt;"","",IF(OR(J1858="リード付け",J1858="巻足し",J1858="巻返しリード付け"),M1858,VLOOKUP(D1858,契約台帳!$A$3:$O$4986,15,FALSE))))</f>
        <v/>
      </c>
      <c r="T1858" s="258" t="str">
        <f ca="1">IF(D1858="","",IF(J1858="リード付け",N1858,IF(J1858="巻返しリード付け",N1858,IF(J1858="巻足し",N1858*P1858+OFFSET(N1858,1,0)*OFFSET(P1858,1,0),VLOOKUP(D1858,契約台帳!$A$3:$P$4986,16,FALSE)))))</f>
        <v/>
      </c>
      <c r="U1858" s="38"/>
      <c r="V1858" s="259" t="str">
        <f ca="1">IF(D1858="","",IF(OFFSET(D1858,-2,0)=D1858,"",VLOOKUP(D1858,契約台帳!$A$3:$R$4986,18,FALSE)))</f>
        <v/>
      </c>
      <c r="W1858" s="256" t="str">
        <f>IF(D1858="","",IF(T1858="","",IF(OR(J1858="巻足し",J1858="巻返しリード付け"),"",IF(J1858="巻返し",VLOOKUP(F1858&amp;K1858&amp;M1858,製品マスタ!$M$5:$AD$4999,18,FALSE),IF(OR(J1858="リード付け",J1858="巻返しリード付け"),"原反コア",IF(J1858="スリット",VLOOKUP(F1858&amp;K1858&amp;R1858,製品マスタ!$N$5:$AD$4999,17,FALSE),""))))))</f>
        <v/>
      </c>
      <c r="X1858" s="256" t="str">
        <f>IF(D1858="","",IF(T1858="","",IF(J1858="巻足し","",IF(J1858="巻返し",VLOOKUP(F1858&amp;K1858&amp;M1858,製品マスタ!$M$5:$AE$4999,19,FALSE),IF(OR(J1858="リード付け",J1858="巻返しリード付け"),"",IF(J1858="スリット",VLOOKUP(F1858&amp;K1858&amp;R1858,製品マスタ!$N$5:$AE$4999,18,FALSE),""))))))</f>
        <v/>
      </c>
      <c r="Y1858" s="256" t="str">
        <f>IF(D1858="","",IF(T1858="","",VLOOKUP(D1858,契約台帳!$A$3:$Q$4986,17,FALSE)))</f>
        <v/>
      </c>
      <c r="Z1858" s="256" t="str">
        <f>IF(D1858="","",IF(T1858="","",VLOOKUP(D1858,契約台帳!$A$3:$E$4986,5,FALSE)))</f>
        <v/>
      </c>
      <c r="AA1858" s="54"/>
      <c r="AB1858" s="200" t="str">
        <f>IFERROR((VLOOKUP(F1858&amp;K1858&amp;M1858,製品マスタ!$M$5:$AM$4999,27,FALSE)),"")</f>
        <v/>
      </c>
      <c r="AC1858" s="31"/>
      <c r="AD1858" s="184"/>
      <c r="AE1858" s="51"/>
      <c r="AF1858" s="52"/>
      <c r="AG1858" s="41"/>
      <c r="AH1858" s="45"/>
      <c r="AI1858" s="28"/>
      <c r="AJ1858" s="28"/>
      <c r="AK1858" s="28"/>
      <c r="AL1858" s="28"/>
      <c r="AM1858" s="12"/>
      <c r="AN1858" s="12"/>
      <c r="AO1858" s="12"/>
      <c r="AP1858" s="12"/>
      <c r="AQ1858" s="12"/>
      <c r="AR1858" s="13"/>
      <c r="AS1858" s="14"/>
    </row>
    <row r="1859" spans="1:45" s="16" customFormat="1" ht="30.95" hidden="1" customHeight="1" x14ac:dyDescent="0.2">
      <c r="A1859" s="35" t="s">
        <v>1064</v>
      </c>
      <c r="B1859" s="36" t="s">
        <v>688</v>
      </c>
      <c r="C1859" s="43"/>
      <c r="D1859" s="29">
        <v>3750949</v>
      </c>
      <c r="E1859" s="29">
        <v>4141132</v>
      </c>
      <c r="F1859" s="255" t="str">
        <f>IF(D1859="","",VLOOKUP(D1859,契約台帳!$A$3:$K$4986,6,FALSE)&amp;VLOOKUP(D1859,契約台帳!$A$3:$K$4986,7,FALSE)&amp;VLOOKUP(D1859,契約台帳!$A$3:$K$4986,8,FALSE)&amp;VLOOKUP(D1859,契約台帳!$A$3:$K$4986,9,FALSE)&amp;VLOOKUP(D1859,契約台帳!$A$3:$K$4986,11,FALSE))</f>
        <v>3XSNCLBLEYK</v>
      </c>
      <c r="G1859" s="256" t="str">
        <f>IF(D1859="","",VLOOKUP(F1859,製品マスタ!$G$5:$H$4999,2,FALSE))</f>
        <v>S</v>
      </c>
      <c r="H1859" s="256" t="str">
        <f>IF(D1859="","",VLOOKUP(F1859,製品マスタ!$G$5:$K$4999,5,FALSE))</f>
        <v>LEYK</v>
      </c>
      <c r="I1859" s="200" t="str">
        <f>IF(D1859="","",VLOOKUP(F1859,製品マスタ!$G$5:$L$4999,6,FALSE))</f>
        <v>ルミラー　ＥＹＫ</v>
      </c>
      <c r="J1859" s="203" t="s">
        <v>463</v>
      </c>
      <c r="K1859" s="200">
        <f>IF(D1859="","",VLOOKUP(D1859,契約台帳!$A$3:$L$4986,12,FALSE))</f>
        <v>25</v>
      </c>
      <c r="L1859" s="200" t="s">
        <v>1764</v>
      </c>
      <c r="M1859" s="37">
        <v>1240</v>
      </c>
      <c r="N1859" s="37">
        <v>12200</v>
      </c>
      <c r="O1859" s="153">
        <v>4</v>
      </c>
      <c r="P1859" s="45">
        <v>4</v>
      </c>
      <c r="Q1859" s="54"/>
      <c r="R1859" s="257">
        <f ca="1">IF(D1859="","",IF(OFFSET(D1859,-1,0)&lt;&gt;"","",IF(OR(J1859="リード付け",J1859="巻足し",J1859="巻返しリード付け"),M1859,VLOOKUP(D1859,契約台帳!$A$3:$N$4986,14,FALSE))))</f>
        <v>1120</v>
      </c>
      <c r="S1859" s="258">
        <f ca="1">IF(D1859="","",IF(OFFSET(D1859,-1,0)&lt;&gt;"","",IF(OR(J1859="リード付け",J1859="巻足し",J1859="巻返しリード付け"),M1859,VLOOKUP(D1859,契約台帳!$A$3:$O$4986,15,FALSE))))</f>
        <v>1120</v>
      </c>
      <c r="T1859" s="258">
        <f ca="1">IF(D1859="","",IF(J1859="リード付け",N1859,IF(J1859="巻返しリード付け",N1859,IF(J1859="巻足し",N1859*P1859+OFFSET(N1859,1,0)*OFFSET(P1859,1,0),VLOOKUP(D1859,契約台帳!$A$3:$P$4986,16,FALSE)))))</f>
        <v>6000</v>
      </c>
      <c r="U1859" s="38">
        <v>8</v>
      </c>
      <c r="V1859" s="259">
        <f ca="1">IF(D1859="","",IF(OFFSET(D1859,-2,0)=D1859,"",VLOOKUP(D1859,契約台帳!$A$3:$R$4986,18,FALSE)))</f>
        <v>8</v>
      </c>
      <c r="W1859" s="256" t="str">
        <f ca="1">IF(D1859="","",IF(T1859="","",IF(OR(J1859="巻足し",J1859="巻返しリード付け"),"",IF(J1859="巻返し",VLOOKUP(F1859&amp;K1859&amp;M1859,製品マスタ!$M$5:$AD$4999,18,FALSE),IF(OR(J1859="リード付け",J1859="巻返しリード付け"),"原反コア",IF(J1859="スリット",VLOOKUP(F1859&amp;K1859&amp;R1859,製品マスタ!$N$5:$AD$4999,17,FALSE),""))))))</f>
        <v>6ｲﾝﾁMｺｱ</v>
      </c>
      <c r="X1859" s="256">
        <f ca="1">IF(D1859="","",IF(T1859="","",IF(J1859="巻足し","",IF(J1859="巻返し",VLOOKUP(F1859&amp;K1859&amp;M1859,製品マスタ!$M$5:$AE$4999,19,FALSE),IF(OR(J1859="リード付け",J1859="巻返しリード付け"),"",IF(J1859="スリット",VLOOKUP(F1859&amp;K1859&amp;R1859,製品マスタ!$N$5:$AE$4999,18,FALSE),""))))))</f>
        <v>1140</v>
      </c>
      <c r="Y1859" s="256">
        <f ca="1">IF(D1859="","",IF(T1859="","",VLOOKUP(D1859,契約台帳!$A$3:$Q$4986,17,FALSE)))</f>
        <v>2</v>
      </c>
      <c r="Z1859" s="256" t="str">
        <f ca="1">IF(D1859="","",IF(T1859="","",VLOOKUP(D1859,契約台帳!$A$3:$E$4986,5,FALSE)))</f>
        <v>新タック化成㈱</v>
      </c>
      <c r="AA1859" s="54"/>
      <c r="AB1859" s="200"/>
      <c r="AC1859" s="31"/>
      <c r="AD1859" s="184"/>
      <c r="AE1859" s="51"/>
      <c r="AF1859" s="52"/>
      <c r="AG1859" s="41"/>
      <c r="AH1859" s="45"/>
      <c r="AI1859" s="28"/>
      <c r="AJ1859" s="28"/>
      <c r="AK1859" s="28"/>
      <c r="AL1859" s="28"/>
      <c r="AM1859" s="12"/>
      <c r="AN1859" s="12"/>
      <c r="AO1859" s="12"/>
      <c r="AP1859" s="12"/>
      <c r="AQ1859" s="12"/>
      <c r="AR1859" s="13"/>
      <c r="AS1859" s="14"/>
    </row>
    <row r="1860" spans="1:45" s="16" customFormat="1" ht="30.95" hidden="1" customHeight="1" x14ac:dyDescent="0.2">
      <c r="A1860" s="35"/>
      <c r="B1860" s="36"/>
      <c r="C1860" s="43"/>
      <c r="D1860" s="29"/>
      <c r="E1860" s="29"/>
      <c r="F1860" s="255"/>
      <c r="G1860" s="256"/>
      <c r="H1860" s="256"/>
      <c r="I1860" s="200"/>
      <c r="J1860" s="203"/>
      <c r="K1860" s="200"/>
      <c r="L1860" s="200"/>
      <c r="M1860" s="37"/>
      <c r="N1860" s="37"/>
      <c r="O1860" s="153"/>
      <c r="P1860" s="45"/>
      <c r="Q1860" s="54"/>
      <c r="R1860" s="257"/>
      <c r="S1860" s="258"/>
      <c r="T1860" s="258"/>
      <c r="U1860" s="38"/>
      <c r="V1860" s="259"/>
      <c r="W1860" s="256"/>
      <c r="X1860" s="256"/>
      <c r="Y1860" s="256"/>
      <c r="Z1860" s="256"/>
      <c r="AA1860" s="54"/>
      <c r="AB1860" s="200"/>
      <c r="AC1860" s="31"/>
      <c r="AD1860" s="184"/>
      <c r="AE1860" s="51"/>
      <c r="AF1860" s="52"/>
      <c r="AG1860" s="41"/>
      <c r="AH1860" s="45"/>
      <c r="AI1860" s="28"/>
      <c r="AJ1860" s="28"/>
      <c r="AK1860" s="28"/>
      <c r="AL1860" s="28"/>
      <c r="AM1860" s="12"/>
      <c r="AN1860" s="12"/>
      <c r="AO1860" s="12"/>
      <c r="AP1860" s="12"/>
      <c r="AQ1860" s="12"/>
      <c r="AR1860" s="13"/>
      <c r="AS1860" s="14"/>
    </row>
    <row r="1861" spans="1:45" s="16" customFormat="1" ht="30.95" hidden="1" customHeight="1" x14ac:dyDescent="0.2">
      <c r="A1861" s="35"/>
      <c r="B1861" s="36"/>
      <c r="C1861" s="43"/>
      <c r="D1861" s="29">
        <v>3750061</v>
      </c>
      <c r="E1861" s="29">
        <v>4141117</v>
      </c>
      <c r="F1861" s="255" t="str">
        <f>IF(D1861="","",VLOOKUP(D1861,契約台帳!$A$3:$K$4986,6,FALSE)&amp;VLOOKUP(D1861,契約台帳!$A$3:$K$4986,7,FALSE)&amp;VLOOKUP(D1861,契約台帳!$A$3:$K$4986,8,FALSE)&amp;VLOOKUP(D1861,契約台帳!$A$3:$K$4986,9,FALSE)&amp;VLOOKUP(D1861,契約台帳!$A$3:$K$4986,11,FALSE))</f>
        <v>3XSNMCLBEYK</v>
      </c>
      <c r="G1861" s="256" t="str">
        <f>IF(D1861="","",VLOOKUP(F1861,製品マスタ!$G$5:$H$4999,2,FALSE))</f>
        <v>S</v>
      </c>
      <c r="H1861" s="256" t="str">
        <f>IF(D1861="","",VLOOKUP(F1861,製品マスタ!$G$5:$K$4999,5,FALSE))</f>
        <v>EYK</v>
      </c>
      <c r="I1861" s="200" t="str">
        <f>IF(D1861="","",VLOOKUP(F1861,製品マスタ!$G$5:$L$4999,6,FALSE))</f>
        <v>メタルミー　ＥＹＫ</v>
      </c>
      <c r="J1861" s="203" t="s">
        <v>463</v>
      </c>
      <c r="K1861" s="200">
        <f>IF(D1861="","",VLOOKUP(D1861,契約台帳!$A$3:$L$4986,12,FALSE))</f>
        <v>50</v>
      </c>
      <c r="L1861" s="200" t="s">
        <v>1764</v>
      </c>
      <c r="M1861" s="37">
        <v>1195</v>
      </c>
      <c r="N1861" s="37">
        <v>12200</v>
      </c>
      <c r="O1861" s="153">
        <v>1</v>
      </c>
      <c r="P1861" s="45">
        <v>1</v>
      </c>
      <c r="Q1861" s="54"/>
      <c r="R1861" s="257">
        <f ca="1">IF(D1861="","",IF(OFFSET(D1861,-1,0)&lt;&gt;"","",IF(OR(J1861="リード付け",J1861="巻足し",J1861="巻返しリード付け"),M1861,VLOOKUP(D1861,契約台帳!$A$3:$N$4986,14,FALSE))))</f>
        <v>1120</v>
      </c>
      <c r="S1861" s="258">
        <f ca="1">IF(D1861="","",IF(OFFSET(D1861,-1,0)&lt;&gt;"","",IF(OR(J1861="リード付け",J1861="巻足し",J1861="巻返しリード付け"),M1861,VLOOKUP(D1861,契約台帳!$A$3:$O$4986,15,FALSE))))</f>
        <v>1120</v>
      </c>
      <c r="T1861" s="258">
        <f ca="1">IF(D1861="","",IF(J1861="リード付け",N1861,IF(J1861="巻返しリード付け",N1861,IF(J1861="巻足し",N1861*P1861+OFFSET(N1861,1,0)*OFFSET(P1861,1,0),VLOOKUP(D1861,契約台帳!$A$3:$P$4986,16,FALSE)))))</f>
        <v>6000</v>
      </c>
      <c r="U1861" s="38">
        <v>2</v>
      </c>
      <c r="V1861" s="259">
        <f ca="1">IF(D1861="","",IF(OFFSET(D1861,-2,0)=D1861,"",VLOOKUP(D1861,契約台帳!$A$3:$R$4986,18,FALSE)))</f>
        <v>3</v>
      </c>
      <c r="W1861" s="256" t="str">
        <f ca="1">IF(D1861="","",IF(T1861="","",IF(OR(J1861="巻足し",J1861="巻返しリード付け"),"",IF(J1861="巻返し",VLOOKUP(F1861&amp;K1861&amp;M1861,製品マスタ!$M$5:$AD$4999,18,FALSE),IF(OR(J1861="リード付け",J1861="巻返しリード付け"),"原反コア",IF(J1861="スリット",VLOOKUP(F1861&amp;K1861&amp;R1861,製品マスタ!$N$5:$AD$4999,17,FALSE),""))))))</f>
        <v>6ｲﾝﾁMｺｱ</v>
      </c>
      <c r="X1861" s="256">
        <f ca="1">IF(D1861="","",IF(T1861="","",IF(J1861="巻足し","",IF(J1861="巻返し",VLOOKUP(F1861&amp;K1861&amp;M1861,製品マスタ!$M$5:$AE$4999,19,FALSE),IF(OR(J1861="リード付け",J1861="巻返しリード付け"),"",IF(J1861="スリット",VLOOKUP(F1861&amp;K1861&amp;R1861,製品マスタ!$N$5:$AE$4999,18,FALSE),""))))))</f>
        <v>1140</v>
      </c>
      <c r="Y1861" s="256">
        <f ca="1">IF(D1861="","",IF(T1861="","",VLOOKUP(D1861,契約台帳!$A$3:$Q$4986,17,FALSE)))</f>
        <v>2</v>
      </c>
      <c r="Z1861" s="256" t="str">
        <f ca="1">IF(D1861="","",IF(T1861="","",VLOOKUP(D1861,契約台帳!$A$3:$E$4986,5,FALSE)))</f>
        <v>新タック化成㈱</v>
      </c>
      <c r="AA1861" s="54"/>
      <c r="AB1861" s="200"/>
      <c r="AC1861" s="31"/>
      <c r="AD1861" s="184"/>
      <c r="AE1861" s="51"/>
      <c r="AF1861" s="52"/>
      <c r="AG1861" s="41"/>
      <c r="AH1861" s="45"/>
      <c r="AI1861" s="28"/>
      <c r="AJ1861" s="28"/>
      <c r="AK1861" s="28"/>
      <c r="AL1861" s="28"/>
      <c r="AM1861" s="12"/>
      <c r="AN1861" s="12"/>
      <c r="AO1861" s="12"/>
      <c r="AP1861" s="12"/>
      <c r="AQ1861" s="12"/>
      <c r="AR1861" s="13"/>
      <c r="AS1861" s="14"/>
    </row>
    <row r="1862" spans="1:45" s="16" customFormat="1" ht="30.95" hidden="1" customHeight="1" x14ac:dyDescent="0.2">
      <c r="A1862" s="35"/>
      <c r="B1862" s="36"/>
      <c r="C1862" s="43"/>
      <c r="D1862" s="29"/>
      <c r="E1862" s="29"/>
      <c r="F1862" s="255"/>
      <c r="G1862" s="256"/>
      <c r="H1862" s="256"/>
      <c r="I1862" s="200"/>
      <c r="J1862" s="203"/>
      <c r="K1862" s="200"/>
      <c r="L1862" s="200"/>
      <c r="M1862" s="37"/>
      <c r="N1862" s="37"/>
      <c r="O1862" s="153"/>
      <c r="P1862" s="45"/>
      <c r="Q1862" s="54"/>
      <c r="R1862" s="257"/>
      <c r="S1862" s="258"/>
      <c r="T1862" s="258"/>
      <c r="U1862" s="38"/>
      <c r="V1862" s="259"/>
      <c r="W1862" s="256"/>
      <c r="X1862" s="256"/>
      <c r="Y1862" s="256"/>
      <c r="Z1862" s="256"/>
      <c r="AA1862" s="54"/>
      <c r="AB1862" s="200"/>
      <c r="AC1862" s="31"/>
      <c r="AD1862" s="184"/>
      <c r="AE1862" s="51"/>
      <c r="AF1862" s="52"/>
      <c r="AG1862" s="41"/>
      <c r="AH1862" s="45"/>
      <c r="AI1862" s="28"/>
      <c r="AJ1862" s="28"/>
      <c r="AK1862" s="28"/>
      <c r="AL1862" s="28"/>
      <c r="AM1862" s="12"/>
      <c r="AN1862" s="12"/>
      <c r="AO1862" s="12"/>
      <c r="AP1862" s="12"/>
      <c r="AQ1862" s="12"/>
      <c r="AR1862" s="13"/>
      <c r="AS1862" s="14"/>
    </row>
    <row r="1863" spans="1:45" s="16" customFormat="1" ht="30.95" hidden="1" customHeight="1" x14ac:dyDescent="0.2">
      <c r="A1863" s="35" t="s">
        <v>1065</v>
      </c>
      <c r="B1863" s="36" t="s">
        <v>442</v>
      </c>
      <c r="C1863" s="43"/>
      <c r="D1863" s="29">
        <v>3750061</v>
      </c>
      <c r="E1863" s="29">
        <v>4141117</v>
      </c>
      <c r="F1863" s="255" t="str">
        <f>IF(D1863="","",VLOOKUP(D1863,契約台帳!$A$3:$K$4986,6,FALSE)&amp;VLOOKUP(D1863,契約台帳!$A$3:$K$4986,7,FALSE)&amp;VLOOKUP(D1863,契約台帳!$A$3:$K$4986,8,FALSE)&amp;VLOOKUP(D1863,契約台帳!$A$3:$K$4986,9,FALSE)&amp;VLOOKUP(D1863,契約台帳!$A$3:$K$4986,11,FALSE))</f>
        <v>3XSNMCLBEYK</v>
      </c>
      <c r="G1863" s="256" t="str">
        <f>IF(D1863="","",VLOOKUP(F1863,製品マスタ!$G$5:$H$4999,2,FALSE))</f>
        <v>S</v>
      </c>
      <c r="H1863" s="256" t="str">
        <f>IF(D1863="","",VLOOKUP(F1863,製品マスタ!$G$5:$K$4999,5,FALSE))</f>
        <v>EYK</v>
      </c>
      <c r="I1863" s="200" t="str">
        <f>IF(D1863="","",VLOOKUP(F1863,製品マスタ!$G$5:$L$4999,6,FALSE))</f>
        <v>メタルミー　ＥＹＫ</v>
      </c>
      <c r="J1863" s="203" t="s">
        <v>463</v>
      </c>
      <c r="K1863" s="200">
        <f>IF(D1863="","",VLOOKUP(D1863,契約台帳!$A$3:$L$4986,12,FALSE))</f>
        <v>50</v>
      </c>
      <c r="L1863" s="200" t="s">
        <v>1764</v>
      </c>
      <c r="M1863" s="37">
        <v>1195</v>
      </c>
      <c r="N1863" s="37">
        <v>12200</v>
      </c>
      <c r="O1863" s="153">
        <v>1</v>
      </c>
      <c r="P1863" s="45">
        <v>1</v>
      </c>
      <c r="Q1863" s="54"/>
      <c r="R1863" s="257">
        <f ca="1">IF(D1863="","",IF(OFFSET(D1863,-1,0)&lt;&gt;"","",IF(OR(J1863="リード付け",J1863="巻足し",J1863="巻返しリード付け"),M1863,VLOOKUP(D1863,契約台帳!$A$3:$N$4986,14,FALSE))))</f>
        <v>1120</v>
      </c>
      <c r="S1863" s="258">
        <f ca="1">IF(D1863="","",IF(OFFSET(D1863,-1,0)&lt;&gt;"","",IF(OR(J1863="リード付け",J1863="巻足し",J1863="巻返しリード付け"),M1863,VLOOKUP(D1863,契約台帳!$A$3:$O$4986,15,FALSE))))</f>
        <v>1120</v>
      </c>
      <c r="T1863" s="258">
        <f ca="1">IF(D1863="","",IF(J1863="リード付け",N1863,IF(J1863="巻返しリード付け",N1863,IF(J1863="巻足し",N1863*P1863+OFFSET(N1863,1,0)*OFFSET(P1863,1,0),VLOOKUP(D1863,契約台帳!$A$3:$P$4986,16,FALSE)))))</f>
        <v>6000</v>
      </c>
      <c r="U1863" s="38">
        <v>1</v>
      </c>
      <c r="V1863" s="259" t="str">
        <f ca="1">IF(D1863="","",IF(OFFSET(D1863,-2,0)=D1863,"",VLOOKUP(D1863,契約台帳!$A$3:$R$4986,18,FALSE)))</f>
        <v/>
      </c>
      <c r="W1863" s="256" t="str">
        <f ca="1">IF(D1863="","",IF(T1863="","",IF(OR(J1863="巻足し",J1863="巻返しリード付け"),"",IF(J1863="巻返し",VLOOKUP(F1863&amp;K1863&amp;M1863,製品マスタ!$M$5:$AD$4999,18,FALSE),IF(OR(J1863="リード付け",J1863="巻返しリード付け"),"原反コア",IF(J1863="スリット",VLOOKUP(F1863&amp;K1863&amp;R1863,製品マスタ!$N$5:$AD$4999,17,FALSE),""))))))</f>
        <v>6ｲﾝﾁMｺｱ</v>
      </c>
      <c r="X1863" s="256">
        <f ca="1">IF(D1863="","",IF(T1863="","",IF(J1863="巻足し","",IF(J1863="巻返し",VLOOKUP(F1863&amp;K1863&amp;M1863,製品マスタ!$M$5:$AE$4999,19,FALSE),IF(OR(J1863="リード付け",J1863="巻返しリード付け"),"",IF(J1863="スリット",VLOOKUP(F1863&amp;K1863&amp;R1863,製品マスタ!$N$5:$AE$4999,18,FALSE),""))))))</f>
        <v>1140</v>
      </c>
      <c r="Y1863" s="256">
        <f ca="1">IF(D1863="","",IF(T1863="","",VLOOKUP(D1863,契約台帳!$A$3:$Q$4986,17,FALSE)))</f>
        <v>2</v>
      </c>
      <c r="Z1863" s="256" t="str">
        <f ca="1">IF(D1863="","",IF(T1863="","",VLOOKUP(D1863,契約台帳!$A$3:$E$4986,5,FALSE)))</f>
        <v>新タック化成㈱</v>
      </c>
      <c r="AA1863" s="54"/>
      <c r="AB1863" s="200"/>
      <c r="AC1863" s="31"/>
      <c r="AD1863" s="184"/>
      <c r="AE1863" s="51"/>
      <c r="AF1863" s="52"/>
      <c r="AG1863" s="41"/>
      <c r="AH1863" s="45"/>
      <c r="AI1863" s="28"/>
      <c r="AJ1863" s="28"/>
      <c r="AK1863" s="28"/>
      <c r="AL1863" s="28"/>
      <c r="AM1863" s="12"/>
      <c r="AN1863" s="12"/>
      <c r="AO1863" s="12"/>
      <c r="AP1863" s="12"/>
      <c r="AQ1863" s="12"/>
      <c r="AR1863" s="13"/>
      <c r="AS1863" s="14"/>
    </row>
    <row r="1864" spans="1:45" s="16" customFormat="1" ht="30.95" hidden="1" customHeight="1" x14ac:dyDescent="0.2">
      <c r="A1864" s="35"/>
      <c r="B1864" s="36"/>
      <c r="C1864" s="43"/>
      <c r="D1864" s="29">
        <v>3750062</v>
      </c>
      <c r="E1864" s="29"/>
      <c r="F1864" s="255" t="str">
        <f>IF(D1864="","",VLOOKUP(D1864,契約台帳!$A$3:$K$4986,6,FALSE)&amp;VLOOKUP(D1864,契約台帳!$A$3:$K$4986,7,FALSE)&amp;VLOOKUP(D1864,契約台帳!$A$3:$K$4986,8,FALSE)&amp;VLOOKUP(D1864,契約台帳!$A$3:$K$4986,9,FALSE)&amp;VLOOKUP(D1864,契約台帳!$A$3:$K$4986,11,FALSE))</f>
        <v>3XSNMCLBEYK</v>
      </c>
      <c r="G1864" s="256" t="str">
        <f>IF(D1864="","",VLOOKUP(F1864,製品マスタ!$G$5:$H$4999,2,FALSE))</f>
        <v>S</v>
      </c>
      <c r="H1864" s="256" t="str">
        <f>IF(D1864="","",VLOOKUP(F1864,製品マスタ!$G$5:$K$4999,5,FALSE))</f>
        <v>EYK</v>
      </c>
      <c r="I1864" s="200" t="str">
        <f>IF(D1864="","",VLOOKUP(F1864,製品マスタ!$G$5:$L$4999,6,FALSE))</f>
        <v>メタルミー　ＥＹＫ</v>
      </c>
      <c r="J1864" s="203" t="s">
        <v>463</v>
      </c>
      <c r="K1864" s="200">
        <f>IF(D1864="","",VLOOKUP(D1864,契約台帳!$A$3:$L$4986,12,FALSE))</f>
        <v>50</v>
      </c>
      <c r="L1864" s="200" t="s">
        <v>1764</v>
      </c>
      <c r="M1864" s="37"/>
      <c r="N1864" s="37"/>
      <c r="O1864" s="153"/>
      <c r="P1864" s="45"/>
      <c r="Q1864" s="54"/>
      <c r="R1864" s="257">
        <v>1120</v>
      </c>
      <c r="S1864" s="258">
        <v>1120</v>
      </c>
      <c r="T1864" s="258">
        <f ca="1">IF(D1864="","",IF(J1864="リード付け",N1864,IF(J1864="巻返しリード付け",N1864,IF(J1864="巻足し",N1864*P1864+OFFSET(N1864,1,0)*OFFSET(P1864,1,0),VLOOKUP(D1864,契約台帳!$A$3:$P$4986,16,FALSE)))))</f>
        <v>6000</v>
      </c>
      <c r="U1864" s="38">
        <v>1</v>
      </c>
      <c r="V1864" s="259">
        <f ca="1">IF(D1864="","",IF(OFFSET(D1864,-2,0)=D1864,"",VLOOKUP(D1864,契約台帳!$A$3:$R$4986,18,FALSE)))</f>
        <v>1</v>
      </c>
      <c r="W1864" s="256" t="str">
        <f ca="1">IF(D1864="","",IF(T1864="","",IF(OR(J1864="巻足し",J1864="巻返しリード付け"),"",IF(J1864="巻返し",VLOOKUP(F1864&amp;K1864&amp;M1864,製品マスタ!$M$5:$AD$4999,18,FALSE),IF(OR(J1864="リード付け",J1864="巻返しリード付け"),"原反コア",IF(J1864="スリット",VLOOKUP(F1864&amp;K1864&amp;R1864,製品マスタ!$N$5:$AD$4999,17,FALSE),""))))))</f>
        <v>6ｲﾝﾁMｺｱ</v>
      </c>
      <c r="X1864" s="256">
        <f ca="1">IF(D1864="","",IF(T1864="","",IF(J1864="巻足し","",IF(J1864="巻返し",VLOOKUP(F1864&amp;K1864&amp;M1864,製品マスタ!$M$5:$AE$4999,19,FALSE),IF(OR(J1864="リード付け",J1864="巻返しリード付け"),"",IF(J1864="スリット",VLOOKUP(F1864&amp;K1864&amp;R1864,製品マスタ!$N$5:$AE$4999,18,FALSE),""))))))</f>
        <v>1140</v>
      </c>
      <c r="Y1864" s="256">
        <f ca="1">IF(D1864="","",IF(T1864="","",VLOOKUP(D1864,契約台帳!$A$3:$Q$4986,17,FALSE)))</f>
        <v>2</v>
      </c>
      <c r="Z1864" s="256" t="str">
        <f ca="1">IF(D1864="","",IF(T1864="","",VLOOKUP(D1864,契約台帳!$A$3:$E$4986,5,FALSE)))</f>
        <v>新タック化成㈱</v>
      </c>
      <c r="AA1864" s="54"/>
      <c r="AB1864" s="200"/>
      <c r="AC1864" s="31"/>
      <c r="AD1864" s="184"/>
      <c r="AE1864" s="51"/>
      <c r="AF1864" s="52"/>
      <c r="AG1864" s="41"/>
      <c r="AH1864" s="45"/>
      <c r="AI1864" s="28"/>
      <c r="AJ1864" s="28"/>
      <c r="AK1864" s="28"/>
      <c r="AL1864" s="28"/>
      <c r="AM1864" s="12"/>
      <c r="AN1864" s="12"/>
      <c r="AO1864" s="12"/>
      <c r="AP1864" s="12"/>
      <c r="AQ1864" s="12"/>
      <c r="AR1864" s="13"/>
      <c r="AS1864" s="14"/>
    </row>
    <row r="1865" spans="1:45" s="16" customFormat="1" ht="30.95" hidden="1" customHeight="1" x14ac:dyDescent="0.2">
      <c r="A1865" s="35"/>
      <c r="B1865" s="36"/>
      <c r="C1865" s="43"/>
      <c r="D1865" s="29"/>
      <c r="E1865" s="29"/>
      <c r="F1865" s="255"/>
      <c r="G1865" s="256"/>
      <c r="H1865" s="256"/>
      <c r="I1865" s="200"/>
      <c r="J1865" s="203"/>
      <c r="K1865" s="200"/>
      <c r="L1865" s="200"/>
      <c r="M1865" s="37"/>
      <c r="N1865" s="37"/>
      <c r="O1865" s="153"/>
      <c r="P1865" s="45"/>
      <c r="Q1865" s="54"/>
      <c r="R1865" s="257"/>
      <c r="S1865" s="258"/>
      <c r="T1865" s="258"/>
      <c r="U1865" s="38"/>
      <c r="V1865" s="259"/>
      <c r="W1865" s="256"/>
      <c r="X1865" s="256"/>
      <c r="Y1865" s="256"/>
      <c r="Z1865" s="256"/>
      <c r="AA1865" s="54"/>
      <c r="AB1865" s="200"/>
      <c r="AC1865" s="31"/>
      <c r="AD1865" s="184"/>
      <c r="AE1865" s="51"/>
      <c r="AF1865" s="52"/>
      <c r="AG1865" s="41"/>
      <c r="AH1865" s="45"/>
      <c r="AI1865" s="28"/>
      <c r="AJ1865" s="28"/>
      <c r="AK1865" s="28"/>
      <c r="AL1865" s="28"/>
      <c r="AM1865" s="12"/>
      <c r="AN1865" s="12"/>
      <c r="AO1865" s="12"/>
      <c r="AP1865" s="12"/>
      <c r="AQ1865" s="12"/>
      <c r="AR1865" s="13"/>
      <c r="AS1865" s="14"/>
    </row>
    <row r="1866" spans="1:45" s="16" customFormat="1" ht="30.95" hidden="1" customHeight="1" x14ac:dyDescent="0.2">
      <c r="A1866" s="35"/>
      <c r="B1866" s="36"/>
      <c r="C1866" s="43"/>
      <c r="D1866" s="29">
        <v>3750060</v>
      </c>
      <c r="E1866" s="29">
        <v>4141123</v>
      </c>
      <c r="F1866" s="255" t="str">
        <f>IF(D1866="","",VLOOKUP(D1866,契約台帳!$A$3:$K$4986,6,FALSE)&amp;VLOOKUP(D1866,契約台帳!$A$3:$K$4986,7,FALSE)&amp;VLOOKUP(D1866,契約台帳!$A$3:$K$4986,8,FALSE)&amp;VLOOKUP(D1866,契約台帳!$A$3:$K$4986,9,FALSE)&amp;VLOOKUP(D1866,契約台帳!$A$3:$K$4986,11,FALSE))</f>
        <v>3SNMCLBMSNEYK</v>
      </c>
      <c r="G1866" s="256" t="str">
        <f>IF(D1866="","",VLOOKUP(F1866,製品マスタ!$G$5:$H$4999,2,FALSE))</f>
        <v>S</v>
      </c>
      <c r="H1866" s="256" t="str">
        <f>IF(D1866="","",VLOOKUP(F1866,製品マスタ!$G$5:$K$4999,5,FALSE))</f>
        <v>MSNEYK</v>
      </c>
      <c r="I1866" s="200" t="str">
        <f>IF(D1866="","",VLOOKUP(F1866,製品マスタ!$G$5:$L$4999,6,FALSE))</f>
        <v>ＭＳＮ　ＥＹＫ</v>
      </c>
      <c r="J1866" s="203" t="s">
        <v>463</v>
      </c>
      <c r="K1866" s="200">
        <f>IF(D1866="","",VLOOKUP(D1866,契約台帳!$A$3:$L$4986,12,FALSE))</f>
        <v>50</v>
      </c>
      <c r="L1866" s="200" t="s">
        <v>1764</v>
      </c>
      <c r="M1866" s="37">
        <v>1200</v>
      </c>
      <c r="N1866" s="37">
        <v>12000</v>
      </c>
      <c r="O1866" s="153">
        <v>1</v>
      </c>
      <c r="P1866" s="45">
        <v>6</v>
      </c>
      <c r="Q1866" s="54"/>
      <c r="R1866" s="257">
        <f ca="1">IF(D1866="","",IF(OFFSET(D1866,-1,0)&lt;&gt;"","",IF(OR(J1866="リード付け",J1866="巻足し",J1866="巻返しリード付け"),M1866,VLOOKUP(D1866,契約台帳!$A$3:$N$4986,14,FALSE))))</f>
        <v>1200</v>
      </c>
      <c r="S1866" s="258">
        <f ca="1">IF(D1866="","",IF(OFFSET(D1866,-1,0)&lt;&gt;"","",IF(OR(J1866="リード付け",J1866="巻足し",J1866="巻返しリード付け"),M1866,VLOOKUP(D1866,契約台帳!$A$3:$O$4986,15,FALSE))))</f>
        <v>1190</v>
      </c>
      <c r="T1866" s="258">
        <f ca="1">IF(D1866="","",IF(J1866="リード付け",N1866,IF(J1866="巻返しリード付け",N1866,IF(J1866="巻足し",N1866*P1866+OFFSET(N1866,1,0)*OFFSET(P1866,1,0),VLOOKUP(D1866,契約台帳!$A$3:$P$4986,16,FALSE)))))</f>
        <v>6000</v>
      </c>
      <c r="U1866" s="38">
        <v>2</v>
      </c>
      <c r="V1866" s="259">
        <f ca="1">IF(D1866="","",IF(OFFSET(D1866,-2,0)=D1866,"",VLOOKUP(D1866,契約台帳!$A$3:$R$4986,18,FALSE)))</f>
        <v>12</v>
      </c>
      <c r="W1866" s="256" t="s">
        <v>829</v>
      </c>
      <c r="X1866" s="256">
        <v>1220</v>
      </c>
      <c r="Y1866" s="256">
        <f ca="1">IF(D1866="","",IF(T1866="","",VLOOKUP(D1866,契約台帳!$A$3:$Q$4986,17,FALSE)))</f>
        <v>2</v>
      </c>
      <c r="Z1866" s="256" t="str">
        <f ca="1">IF(D1866="","",IF(T1866="","",VLOOKUP(D1866,契約台帳!$A$3:$E$4986,5,FALSE)))</f>
        <v>大阪シーリング印刷㈱</v>
      </c>
      <c r="AA1866" s="54"/>
      <c r="AB1866" s="200"/>
      <c r="AC1866" s="31"/>
      <c r="AD1866" s="184"/>
      <c r="AE1866" s="51"/>
      <c r="AF1866" s="52"/>
      <c r="AG1866" s="41"/>
      <c r="AH1866" s="45"/>
      <c r="AI1866" s="28"/>
      <c r="AJ1866" s="28"/>
      <c r="AK1866" s="28"/>
      <c r="AL1866" s="28"/>
      <c r="AM1866" s="12"/>
      <c r="AN1866" s="12"/>
      <c r="AO1866" s="12"/>
      <c r="AP1866" s="12"/>
      <c r="AQ1866" s="12"/>
      <c r="AR1866" s="13"/>
      <c r="AS1866" s="14"/>
    </row>
    <row r="1867" spans="1:45" s="16" customFormat="1" ht="30.95" hidden="1" customHeight="1" x14ac:dyDescent="0.2">
      <c r="A1867" s="35"/>
      <c r="B1867" s="36"/>
      <c r="C1867" s="43"/>
      <c r="D1867" s="29"/>
      <c r="E1867" s="29"/>
      <c r="F1867" s="255"/>
      <c r="G1867" s="256"/>
      <c r="H1867" s="256"/>
      <c r="I1867" s="279" t="s">
        <v>2767</v>
      </c>
      <c r="J1867" s="203"/>
      <c r="K1867" s="200"/>
      <c r="L1867" s="200"/>
      <c r="M1867" s="37"/>
      <c r="N1867" s="37"/>
      <c r="O1867" s="153"/>
      <c r="P1867" s="45"/>
      <c r="Q1867" s="54"/>
      <c r="R1867" s="257"/>
      <c r="S1867" s="258"/>
      <c r="T1867" s="258"/>
      <c r="U1867" s="38"/>
      <c r="V1867" s="259"/>
      <c r="W1867" s="256"/>
      <c r="X1867" s="256"/>
      <c r="Y1867" s="256"/>
      <c r="Z1867" s="256"/>
      <c r="AA1867" s="54"/>
      <c r="AB1867" s="200"/>
      <c r="AC1867" s="31"/>
      <c r="AD1867" s="184"/>
      <c r="AE1867" s="51"/>
      <c r="AF1867" s="52"/>
      <c r="AG1867" s="41"/>
      <c r="AH1867" s="45"/>
      <c r="AI1867" s="28"/>
      <c r="AJ1867" s="28"/>
      <c r="AK1867" s="28"/>
      <c r="AL1867" s="28"/>
      <c r="AM1867" s="12"/>
      <c r="AN1867" s="12"/>
      <c r="AO1867" s="12"/>
      <c r="AP1867" s="12"/>
      <c r="AQ1867" s="12"/>
      <c r="AR1867" s="13"/>
      <c r="AS1867" s="14"/>
    </row>
    <row r="1868" spans="1:45" s="16" customFormat="1" ht="30.95" customHeight="1" x14ac:dyDescent="0.2">
      <c r="A1868" s="35" t="s">
        <v>1066</v>
      </c>
      <c r="B1868" s="36" t="s">
        <v>443</v>
      </c>
      <c r="C1868" s="43"/>
      <c r="D1868" s="29">
        <v>3750076</v>
      </c>
      <c r="E1868" s="29">
        <v>4141119</v>
      </c>
      <c r="F1868" s="255" t="str">
        <f>IF(D1868="","",VLOOKUP(D1868,契約台帳!$A$3:$K$4986,6,FALSE)&amp;VLOOKUP(D1868,契約台帳!$A$3:$K$4986,7,FALSE)&amp;VLOOKUP(D1868,契約台帳!$A$3:$K$4986,8,FALSE)&amp;VLOOKUP(D1868,契約台帳!$A$3:$K$4986,9,FALSE)&amp;VLOOKUP(D1868,契約台帳!$A$3:$K$4986,11,FALSE))</f>
        <v>3SNMCLBDMSV</v>
      </c>
      <c r="G1868" s="256" t="str">
        <f>IF(D1868="","",VLOOKUP(F1868,製品マスタ!$G$5:$H$4999,2,FALSE))</f>
        <v>S</v>
      </c>
      <c r="H1868" s="256" t="str">
        <f>IF(D1868="","",VLOOKUP(F1868,製品マスタ!$G$5:$K$4999,5,FALSE))</f>
        <v>DMSV</v>
      </c>
      <c r="I1868" s="200" t="str">
        <f>IF(D1868="","",VLOOKUP(F1868,製品マスタ!$G$5:$L$4999,6,FALSE))</f>
        <v>ＤＭＳ　Ｖ</v>
      </c>
      <c r="J1868" s="203" t="s">
        <v>463</v>
      </c>
      <c r="K1868" s="200">
        <f>IF(D1868="","",VLOOKUP(D1868,契約台帳!$A$3:$L$4986,12,FALSE))</f>
        <v>50</v>
      </c>
      <c r="L1868" s="200" t="s">
        <v>1764</v>
      </c>
      <c r="M1868" s="37">
        <v>1005</v>
      </c>
      <c r="N1868" s="37">
        <v>4000</v>
      </c>
      <c r="O1868" s="153">
        <v>1</v>
      </c>
      <c r="P1868" s="45">
        <v>1</v>
      </c>
      <c r="Q1868" s="54"/>
      <c r="R1868" s="257">
        <f ca="1">IF(D1868="","",IF(OFFSET(D1868,-1,0)&lt;&gt;"","",IF(OR(J1868="リード付け",J1868="巻足し",J1868="巻返しリード付け"),M1868,VLOOKUP(D1868,契約台帳!$A$3:$N$4986,14,FALSE))))</f>
        <v>1005</v>
      </c>
      <c r="S1868" s="258">
        <f ca="1">IF(D1868="","",IF(OFFSET(D1868,-1,0)&lt;&gt;"","",IF(OR(J1868="リード付け",J1868="巻足し",J1868="巻返しリード付け"),M1868,VLOOKUP(D1868,契約台帳!$A$3:$O$4986,15,FALSE))))</f>
        <v>1000</v>
      </c>
      <c r="T1868" s="258">
        <f ca="1">IF(D1868="","",IF(J1868="リード付け",N1868,IF(J1868="巻返しリード付け",N1868,IF(J1868="巻足し",N1868*P1868+OFFSET(N1868,1,0)*OFFSET(P1868,1,0),VLOOKUP(D1868,契約台帳!$A$3:$P$4986,16,FALSE)))))</f>
        <v>2000</v>
      </c>
      <c r="U1868" s="38">
        <v>2</v>
      </c>
      <c r="V1868" s="259">
        <f ca="1">IF(D1868="","",IF(OFFSET(D1868,-2,0)=D1868,"",VLOOKUP(D1868,契約台帳!$A$3:$R$4986,18,FALSE)))</f>
        <v>2</v>
      </c>
      <c r="W1868" s="256" t="s">
        <v>829</v>
      </c>
      <c r="X1868" s="256">
        <v>1020</v>
      </c>
      <c r="Y1868" s="256">
        <f ca="1">IF(D1868="","",IF(T1868="","",VLOOKUP(D1868,契約台帳!$A$3:$Q$4986,17,FALSE)))</f>
        <v>2</v>
      </c>
      <c r="Z1868" s="256" t="str">
        <f ca="1">IF(D1868="","",IF(T1868="","",VLOOKUP(D1868,契約台帳!$A$3:$E$4986,5,FALSE)))</f>
        <v>リンテック㈱</v>
      </c>
      <c r="AA1868" s="54"/>
      <c r="AB1868" s="200"/>
      <c r="AC1868" s="31"/>
      <c r="AD1868" s="184"/>
      <c r="AE1868" s="51"/>
      <c r="AF1868" s="52"/>
      <c r="AG1868" s="41"/>
      <c r="AH1868" s="45"/>
      <c r="AI1868" s="28"/>
      <c r="AJ1868" s="28"/>
      <c r="AK1868" s="28"/>
      <c r="AL1868" s="28"/>
      <c r="AM1868" s="12"/>
      <c r="AN1868" s="12"/>
      <c r="AO1868" s="12"/>
      <c r="AP1868" s="12"/>
      <c r="AQ1868" s="12"/>
      <c r="AR1868" s="13"/>
      <c r="AS1868" s="14"/>
    </row>
    <row r="1869" spans="1:45" s="16" customFormat="1" ht="30.95" customHeight="1" x14ac:dyDescent="0.2">
      <c r="A1869" s="35"/>
      <c r="B1869" s="36"/>
      <c r="C1869" s="43"/>
      <c r="D1869" s="29"/>
      <c r="E1869" s="29"/>
      <c r="F1869" s="255"/>
      <c r="G1869" s="256"/>
      <c r="H1869" s="256"/>
      <c r="I1869" s="200"/>
      <c r="J1869" s="203"/>
      <c r="K1869" s="200"/>
      <c r="L1869" s="200"/>
      <c r="M1869" s="37"/>
      <c r="N1869" s="37"/>
      <c r="O1869" s="153"/>
      <c r="P1869" s="45"/>
      <c r="Q1869" s="54"/>
      <c r="R1869" s="257"/>
      <c r="S1869" s="258"/>
      <c r="T1869" s="258"/>
      <c r="U1869" s="38"/>
      <c r="V1869" s="259"/>
      <c r="W1869" s="256"/>
      <c r="X1869" s="256"/>
      <c r="Y1869" s="256"/>
      <c r="Z1869" s="256"/>
      <c r="AA1869" s="54"/>
      <c r="AB1869" s="200"/>
      <c r="AC1869" s="31"/>
      <c r="AD1869" s="184"/>
      <c r="AE1869" s="51"/>
      <c r="AF1869" s="52"/>
      <c r="AG1869" s="41"/>
      <c r="AH1869" s="45"/>
      <c r="AI1869" s="28"/>
      <c r="AJ1869" s="28"/>
      <c r="AK1869" s="28"/>
      <c r="AL1869" s="28"/>
      <c r="AM1869" s="12"/>
      <c r="AN1869" s="12"/>
      <c r="AO1869" s="12"/>
      <c r="AP1869" s="12"/>
      <c r="AQ1869" s="12"/>
      <c r="AR1869" s="13"/>
      <c r="AS1869" s="14"/>
    </row>
    <row r="1870" spans="1:45" s="16" customFormat="1" ht="30.95" customHeight="1" x14ac:dyDescent="0.2">
      <c r="A1870" s="35"/>
      <c r="B1870" s="36"/>
      <c r="C1870" s="43"/>
      <c r="D1870" s="29">
        <v>3750073</v>
      </c>
      <c r="E1870" s="29">
        <v>4141112</v>
      </c>
      <c r="F1870" s="255" t="str">
        <f>IF(D1870="","",VLOOKUP(D1870,契約台帳!$A$3:$K$4986,6,FALSE)&amp;VLOOKUP(D1870,契約台帳!$A$3:$K$4986,7,FALSE)&amp;VLOOKUP(D1870,契約台帳!$A$3:$K$4986,8,FALSE)&amp;VLOOKUP(D1870,契約台帳!$A$3:$K$4986,9,FALSE)&amp;VLOOKUP(D1870,契約台帳!$A$3:$K$4986,11,FALSE))</f>
        <v>33SSNMCLBTEKKFV</v>
      </c>
      <c r="G1870" s="256" t="str">
        <f>IF(D1870="","",VLOOKUP(F1870,製品マスタ!$G$5:$H$4999,2,FALSE))</f>
        <v>S</v>
      </c>
      <c r="H1870" s="256" t="str">
        <f>IF(D1870="","",VLOOKUP(F1870,製品マスタ!$G$5:$K$4999,5,FALSE))</f>
        <v>TEKKFV</v>
      </c>
      <c r="I1870" s="200" t="str">
        <f>IF(D1870="","",VLOOKUP(F1870,製品マスタ!$G$5:$L$4999,6,FALSE))</f>
        <v>メタルミー　ＴＥＳ消開封　Ｖ</v>
      </c>
      <c r="J1870" s="203" t="s">
        <v>463</v>
      </c>
      <c r="K1870" s="200">
        <f>IF(D1870="","",VLOOKUP(D1870,契約台帳!$A$3:$L$4986,12,FALSE))</f>
        <v>50</v>
      </c>
      <c r="L1870" s="200" t="s">
        <v>1764</v>
      </c>
      <c r="M1870" s="37">
        <v>1005</v>
      </c>
      <c r="N1870" s="37">
        <v>12000</v>
      </c>
      <c r="O1870" s="153">
        <v>1</v>
      </c>
      <c r="P1870" s="45">
        <v>1</v>
      </c>
      <c r="Q1870" s="54"/>
      <c r="R1870" s="257">
        <f ca="1">IF(D1870="","",IF(OFFSET(D1870,-1,0)&lt;&gt;"","",IF(OR(J1870="リード付け",J1870="巻足し",J1870="巻返しリード付け"),M1870,VLOOKUP(D1870,契約台帳!$A$3:$N$4986,14,FALSE))))</f>
        <v>1005</v>
      </c>
      <c r="S1870" s="258">
        <f ca="1">IF(D1870="","",IF(OFFSET(D1870,-1,0)&lt;&gt;"","",IF(OR(J1870="リード付け",J1870="巻足し",J1870="巻返しリード付け"),M1870,VLOOKUP(D1870,契約台帳!$A$3:$O$4986,15,FALSE))))</f>
        <v>1000</v>
      </c>
      <c r="T1870" s="258">
        <f ca="1">IF(D1870="","",IF(J1870="リード付け",N1870,IF(J1870="巻返しリード付け",N1870,IF(J1870="巻足し",N1870*P1870+OFFSET(N1870,1,0)*OFFSET(P1870,1,0),VLOOKUP(D1870,契約台帳!$A$3:$P$4986,16,FALSE)))))</f>
        <v>4000</v>
      </c>
      <c r="U1870" s="38">
        <v>3</v>
      </c>
      <c r="V1870" s="259">
        <f ca="1">IF(D1870="","",IF(OFFSET(D1870,-2,0)=D1870,"",VLOOKUP(D1870,契約台帳!$A$3:$R$4986,18,FALSE)))</f>
        <v>3</v>
      </c>
      <c r="W1870" s="256" t="s">
        <v>806</v>
      </c>
      <c r="X1870" s="256">
        <v>1015</v>
      </c>
      <c r="Y1870" s="256">
        <f ca="1">IF(D1870="","",IF(T1870="","",VLOOKUP(D1870,契約台帳!$A$3:$Q$4986,17,FALSE)))</f>
        <v>2</v>
      </c>
      <c r="Z1870" s="256" t="str">
        <f ca="1">IF(D1870="","",IF(T1870="","",VLOOKUP(D1870,契約台帳!$A$3:$E$4986,5,FALSE)))</f>
        <v>リンテック㈱</v>
      </c>
      <c r="AA1870" s="54"/>
      <c r="AB1870" s="200"/>
      <c r="AC1870" s="31"/>
      <c r="AD1870" s="184"/>
      <c r="AE1870" s="51"/>
      <c r="AF1870" s="52"/>
      <c r="AG1870" s="41"/>
      <c r="AH1870" s="45"/>
      <c r="AI1870" s="28"/>
      <c r="AJ1870" s="28"/>
      <c r="AK1870" s="28"/>
      <c r="AL1870" s="28"/>
      <c r="AM1870" s="12"/>
      <c r="AN1870" s="12"/>
      <c r="AO1870" s="12"/>
      <c r="AP1870" s="12"/>
      <c r="AQ1870" s="12"/>
      <c r="AR1870" s="13"/>
      <c r="AS1870" s="14"/>
    </row>
    <row r="1871" spans="1:45" s="16" customFormat="1" ht="30.95" customHeight="1" x14ac:dyDescent="0.2">
      <c r="A1871" s="35"/>
      <c r="B1871" s="36"/>
      <c r="C1871" s="43"/>
      <c r="D1871" s="29"/>
      <c r="E1871" s="29"/>
      <c r="F1871" s="255"/>
      <c r="G1871" s="256"/>
      <c r="H1871" s="256"/>
      <c r="I1871" s="200"/>
      <c r="J1871" s="203"/>
      <c r="K1871" s="200"/>
      <c r="L1871" s="200"/>
      <c r="M1871" s="37"/>
      <c r="N1871" s="37"/>
      <c r="O1871" s="153"/>
      <c r="P1871" s="45"/>
      <c r="Q1871" s="54"/>
      <c r="R1871" s="257"/>
      <c r="S1871" s="258"/>
      <c r="T1871" s="258"/>
      <c r="U1871" s="38"/>
      <c r="V1871" s="259"/>
      <c r="W1871" s="256"/>
      <c r="X1871" s="256"/>
      <c r="Y1871" s="256"/>
      <c r="Z1871" s="256"/>
      <c r="AA1871" s="54"/>
      <c r="AB1871" s="200"/>
      <c r="AC1871" s="31"/>
      <c r="AD1871" s="184"/>
      <c r="AE1871" s="51"/>
      <c r="AF1871" s="52"/>
      <c r="AG1871" s="41"/>
      <c r="AH1871" s="45"/>
      <c r="AI1871" s="28"/>
      <c r="AJ1871" s="28"/>
      <c r="AK1871" s="28"/>
      <c r="AL1871" s="28"/>
      <c r="AM1871" s="12"/>
      <c r="AN1871" s="12"/>
      <c r="AO1871" s="12"/>
      <c r="AP1871" s="12"/>
      <c r="AQ1871" s="12"/>
      <c r="AR1871" s="13"/>
      <c r="AS1871" s="14"/>
    </row>
    <row r="1872" spans="1:45" s="16" customFormat="1" ht="30.95" customHeight="1" x14ac:dyDescent="0.2">
      <c r="A1872" s="35"/>
      <c r="B1872" s="36"/>
      <c r="C1872" s="43"/>
      <c r="D1872" s="29">
        <v>3750074</v>
      </c>
      <c r="E1872" s="29">
        <v>4141113</v>
      </c>
      <c r="F1872" s="255" t="str">
        <f>IF(D1872="","",VLOOKUP(D1872,契約台帳!$A$3:$K$4986,6,FALSE)&amp;VLOOKUP(D1872,契約台帳!$A$3:$K$4986,7,FALSE)&amp;VLOOKUP(D1872,契約台帳!$A$3:$K$4986,8,FALSE)&amp;VLOOKUP(D1872,契約台帳!$A$3:$K$4986,9,FALSE)&amp;VLOOKUP(D1872,契約台帳!$A$3:$K$4986,11,FALSE))</f>
        <v>33SSNMCLBTEKV0V</v>
      </c>
      <c r="G1872" s="256" t="str">
        <f>IF(D1872="","",VLOOKUP(F1872,製品マスタ!$G$5:$H$4999,2,FALSE))</f>
        <v>S</v>
      </c>
      <c r="H1872" s="256" t="str">
        <f>IF(D1872="","",VLOOKUP(F1872,製品マスタ!$G$5:$K$4999,5,FALSE))</f>
        <v>TEKV0V</v>
      </c>
      <c r="I1872" s="200" t="str">
        <f>IF(D1872="","",VLOOKUP(F1872,製品マスタ!$G$5:$L$4999,6,FALSE))</f>
        <v>メタルミー　ＴＥ－Ｓ消　ＶＯＩＤ　Ｖ</v>
      </c>
      <c r="J1872" s="203" t="s">
        <v>463</v>
      </c>
      <c r="K1872" s="200">
        <f>IF(D1872="","",VLOOKUP(D1872,契約台帳!$A$3:$L$4986,12,FALSE))</f>
        <v>50</v>
      </c>
      <c r="L1872" s="200" t="s">
        <v>1764</v>
      </c>
      <c r="M1872" s="37">
        <v>1005</v>
      </c>
      <c r="N1872" s="37">
        <v>12000</v>
      </c>
      <c r="O1872" s="153">
        <v>1</v>
      </c>
      <c r="P1872" s="45">
        <v>1</v>
      </c>
      <c r="Q1872" s="54"/>
      <c r="R1872" s="257">
        <f ca="1">IF(D1872="","",IF(OFFSET(D1872,-1,0)&lt;&gt;"","",IF(OR(J1872="リード付け",J1872="巻足し",J1872="巻返しリード付け"),M1872,VLOOKUP(D1872,契約台帳!$A$3:$N$4986,14,FALSE))))</f>
        <v>1005</v>
      </c>
      <c r="S1872" s="258">
        <f ca="1">IF(D1872="","",IF(OFFSET(D1872,-1,0)&lt;&gt;"","",IF(OR(J1872="リード付け",J1872="巻足し",J1872="巻返しリード付け"),M1872,VLOOKUP(D1872,契約台帳!$A$3:$O$4986,15,FALSE))))</f>
        <v>1000</v>
      </c>
      <c r="T1872" s="258">
        <f ca="1">IF(D1872="","",IF(J1872="リード付け",N1872,IF(J1872="巻返しリード付け",N1872,IF(J1872="巻足し",N1872*P1872+OFFSET(N1872,1,0)*OFFSET(P1872,1,0),VLOOKUP(D1872,契約台帳!$A$3:$P$4986,16,FALSE)))))</f>
        <v>4000</v>
      </c>
      <c r="U1872" s="38">
        <v>3</v>
      </c>
      <c r="V1872" s="259">
        <f ca="1">IF(D1872="","",IF(OFFSET(D1872,-2,0)=D1872,"",VLOOKUP(D1872,契約台帳!$A$3:$R$4986,18,FALSE)))</f>
        <v>5</v>
      </c>
      <c r="W1872" s="256" t="s">
        <v>806</v>
      </c>
      <c r="X1872" s="256">
        <v>1015</v>
      </c>
      <c r="Y1872" s="256">
        <f ca="1">IF(D1872="","",IF(T1872="","",VLOOKUP(D1872,契約台帳!$A$3:$Q$4986,17,FALSE)))</f>
        <v>2</v>
      </c>
      <c r="Z1872" s="256" t="str">
        <f ca="1">IF(D1872="","",IF(T1872="","",VLOOKUP(D1872,契約台帳!$A$3:$E$4986,5,FALSE)))</f>
        <v>リンテック㈱</v>
      </c>
      <c r="AA1872" s="54"/>
      <c r="AB1872" s="200"/>
      <c r="AC1872" s="31"/>
      <c r="AD1872" s="184"/>
      <c r="AE1872" s="51"/>
      <c r="AF1872" s="52"/>
      <c r="AG1872" s="41"/>
      <c r="AH1872" s="45"/>
      <c r="AI1872" s="28"/>
      <c r="AJ1872" s="28"/>
      <c r="AK1872" s="28"/>
      <c r="AL1872" s="28"/>
      <c r="AM1872" s="12"/>
      <c r="AN1872" s="12"/>
      <c r="AO1872" s="12"/>
      <c r="AP1872" s="12"/>
      <c r="AQ1872" s="12"/>
      <c r="AR1872" s="13"/>
      <c r="AS1872" s="14"/>
    </row>
    <row r="1873" spans="1:45" s="16" customFormat="1" ht="30.95" customHeight="1" x14ac:dyDescent="0.2">
      <c r="A1873" s="35"/>
      <c r="B1873" s="36"/>
      <c r="C1873" s="43"/>
      <c r="D1873" s="29"/>
      <c r="E1873" s="29"/>
      <c r="F1873" s="255"/>
      <c r="G1873" s="256"/>
      <c r="H1873" s="256"/>
      <c r="I1873" s="200"/>
      <c r="J1873" s="203"/>
      <c r="K1873" s="200"/>
      <c r="L1873" s="200"/>
      <c r="M1873" s="37"/>
      <c r="N1873" s="37"/>
      <c r="O1873" s="153"/>
      <c r="P1873" s="45"/>
      <c r="Q1873" s="54"/>
      <c r="R1873" s="257"/>
      <c r="S1873" s="258"/>
      <c r="T1873" s="258"/>
      <c r="U1873" s="38"/>
      <c r="V1873" s="259"/>
      <c r="W1873" s="256"/>
      <c r="X1873" s="256"/>
      <c r="Y1873" s="256"/>
      <c r="Z1873" s="256"/>
      <c r="AA1873" s="54"/>
      <c r="AB1873" s="200"/>
      <c r="AC1873" s="31"/>
      <c r="AD1873" s="184"/>
      <c r="AE1873" s="51"/>
      <c r="AF1873" s="52"/>
      <c r="AG1873" s="41"/>
      <c r="AH1873" s="45"/>
      <c r="AI1873" s="28"/>
      <c r="AJ1873" s="28"/>
      <c r="AK1873" s="28"/>
      <c r="AL1873" s="28"/>
      <c r="AM1873" s="12"/>
      <c r="AN1873" s="12"/>
      <c r="AO1873" s="12"/>
      <c r="AP1873" s="12"/>
      <c r="AQ1873" s="12"/>
      <c r="AR1873" s="13"/>
      <c r="AS1873" s="14"/>
    </row>
    <row r="1874" spans="1:45" s="16" customFormat="1" ht="30.95" customHeight="1" x14ac:dyDescent="0.2">
      <c r="A1874" s="35"/>
      <c r="B1874" s="36"/>
      <c r="C1874" s="43"/>
      <c r="D1874" s="29">
        <v>3750074</v>
      </c>
      <c r="E1874" s="29">
        <v>4141113</v>
      </c>
      <c r="F1874" s="255" t="str">
        <f>IF(D1874="","",VLOOKUP(D1874,契約台帳!$A$3:$K$4986,6,FALSE)&amp;VLOOKUP(D1874,契約台帳!$A$3:$K$4986,7,FALSE)&amp;VLOOKUP(D1874,契約台帳!$A$3:$K$4986,8,FALSE)&amp;VLOOKUP(D1874,契約台帳!$A$3:$K$4986,9,FALSE)&amp;VLOOKUP(D1874,契約台帳!$A$3:$K$4986,11,FALSE))</f>
        <v>33SSNMCLBTEKV0V</v>
      </c>
      <c r="G1874" s="256" t="str">
        <f>IF(D1874="","",VLOOKUP(F1874,製品マスタ!$G$5:$H$4999,2,FALSE))</f>
        <v>S</v>
      </c>
      <c r="H1874" s="256" t="str">
        <f>IF(D1874="","",VLOOKUP(F1874,製品マスタ!$G$5:$K$4999,5,FALSE))</f>
        <v>TEKV0V</v>
      </c>
      <c r="I1874" s="200" t="str">
        <f>IF(D1874="","",VLOOKUP(F1874,製品マスタ!$G$5:$L$4999,6,FALSE))</f>
        <v>メタルミー　ＴＥ－Ｓ消　ＶＯＩＤ　Ｖ</v>
      </c>
      <c r="J1874" s="203" t="s">
        <v>463</v>
      </c>
      <c r="K1874" s="200">
        <f>IF(D1874="","",VLOOKUP(D1874,契約台帳!$A$3:$L$4986,12,FALSE))</f>
        <v>50</v>
      </c>
      <c r="L1874" s="200" t="s">
        <v>1764</v>
      </c>
      <c r="M1874" s="37">
        <v>1005</v>
      </c>
      <c r="N1874" s="37">
        <v>12000</v>
      </c>
      <c r="O1874" s="153">
        <v>1</v>
      </c>
      <c r="P1874" s="45">
        <v>1</v>
      </c>
      <c r="Q1874" s="54"/>
      <c r="R1874" s="257">
        <f ca="1">IF(D1874="","",IF(OFFSET(D1874,-1,0)&lt;&gt;"","",IF(OR(J1874="リード付け",J1874="巻足し",J1874="巻返しリード付け"),M1874,VLOOKUP(D1874,契約台帳!$A$3:$N$4986,14,FALSE))))</f>
        <v>1005</v>
      </c>
      <c r="S1874" s="258">
        <f ca="1">IF(D1874="","",IF(OFFSET(D1874,-1,0)&lt;&gt;"","",IF(OR(J1874="リード付け",J1874="巻足し",J1874="巻返しリード付け"),M1874,VLOOKUP(D1874,契約台帳!$A$3:$O$4986,15,FALSE))))</f>
        <v>1000</v>
      </c>
      <c r="T1874" s="258">
        <f ca="1">IF(D1874="","",IF(J1874="リード付け",N1874,IF(J1874="巻返しリード付け",N1874,IF(J1874="巻足し",N1874*P1874+OFFSET(N1874,1,0)*OFFSET(P1874,1,0),VLOOKUP(D1874,契約台帳!$A$3:$P$4986,16,FALSE)))))</f>
        <v>4000</v>
      </c>
      <c r="U1874" s="38">
        <v>2</v>
      </c>
      <c r="V1874" s="259" t="str">
        <f ca="1">IF(D1874="","",IF(OFFSET(D1874,-2,0)=D1874,"",VLOOKUP(D1874,契約台帳!$A$3:$R$4986,18,FALSE)))</f>
        <v/>
      </c>
      <c r="W1874" s="256" t="s">
        <v>806</v>
      </c>
      <c r="X1874" s="256">
        <v>1015</v>
      </c>
      <c r="Y1874" s="256">
        <f ca="1">IF(D1874="","",IF(T1874="","",VLOOKUP(D1874,契約台帳!$A$3:$Q$4986,17,FALSE)))</f>
        <v>2</v>
      </c>
      <c r="Z1874" s="256" t="str">
        <f ca="1">IF(D1874="","",IF(T1874="","",VLOOKUP(D1874,契約台帳!$A$3:$E$4986,5,FALSE)))</f>
        <v>リンテック㈱</v>
      </c>
      <c r="AA1874" s="54"/>
      <c r="AB1874" s="200"/>
      <c r="AC1874" s="31"/>
      <c r="AD1874" s="184"/>
      <c r="AE1874" s="51"/>
      <c r="AF1874" s="52"/>
      <c r="AG1874" s="41"/>
      <c r="AH1874" s="45"/>
      <c r="AI1874" s="28"/>
      <c r="AJ1874" s="28"/>
      <c r="AK1874" s="28"/>
      <c r="AL1874" s="28"/>
      <c r="AM1874" s="12"/>
      <c r="AN1874" s="12"/>
      <c r="AO1874" s="12"/>
      <c r="AP1874" s="12"/>
      <c r="AQ1874" s="12"/>
      <c r="AR1874" s="13"/>
      <c r="AS1874" s="14"/>
    </row>
    <row r="1875" spans="1:45" s="16" customFormat="1" ht="30.95" customHeight="1" x14ac:dyDescent="0.2">
      <c r="A1875" s="35"/>
      <c r="B1875" s="36"/>
      <c r="C1875" s="43"/>
      <c r="D1875" s="29">
        <v>3750075</v>
      </c>
      <c r="E1875" s="29"/>
      <c r="F1875" s="255" t="str">
        <f>IF(D1875="","",VLOOKUP(D1875,契約台帳!$A$3:$K$4986,6,FALSE)&amp;VLOOKUP(D1875,契約台帳!$A$3:$K$4986,7,FALSE)&amp;VLOOKUP(D1875,契約台帳!$A$3:$K$4986,8,FALSE)&amp;VLOOKUP(D1875,契約台帳!$A$3:$K$4986,9,FALSE)&amp;VLOOKUP(D1875,契約台帳!$A$3:$K$4986,11,FALSE))</f>
        <v>33SSYMCLBTEKV0V</v>
      </c>
      <c r="G1875" s="256" t="str">
        <f>IF(D1875="","",VLOOKUP(F1875,製品マスタ!$G$5:$H$4999,2,FALSE))</f>
        <v>S</v>
      </c>
      <c r="H1875" s="256" t="str">
        <f>IF(D1875="","",VLOOKUP(F1875,製品マスタ!$G$5:$K$4999,5,FALSE))</f>
        <v>TEKV0V</v>
      </c>
      <c r="I1875" s="200" t="str">
        <f>IF(D1875="","",VLOOKUP(F1875,製品マスタ!$G$5:$L$4999,6,FALSE))</f>
        <v>メタルミー　ＴＥ－Ｓ消　ＶＯＩＤ　Ｖ</v>
      </c>
      <c r="J1875" s="203" t="s">
        <v>463</v>
      </c>
      <c r="K1875" s="200">
        <f>IF(D1875="","",VLOOKUP(D1875,契約台帳!$A$3:$L$4986,12,FALSE))</f>
        <v>50</v>
      </c>
      <c r="L1875" s="200" t="s">
        <v>1764</v>
      </c>
      <c r="M1875" s="37"/>
      <c r="N1875" s="37"/>
      <c r="O1875" s="153"/>
      <c r="P1875" s="45"/>
      <c r="Q1875" s="54"/>
      <c r="R1875" s="257">
        <v>1005</v>
      </c>
      <c r="S1875" s="258">
        <v>1000</v>
      </c>
      <c r="T1875" s="258">
        <f ca="1">IF(D1875="","",IF(J1875="リード付け",N1875,IF(J1875="巻返しリード付け",N1875,IF(J1875="巻足し",N1875*P1875+OFFSET(N1875,1,0)*OFFSET(P1875,1,0),VLOOKUP(D1875,契約台帳!$A$3:$P$4986,16,FALSE)))))</f>
        <v>4000</v>
      </c>
      <c r="U1875" s="38">
        <v>1</v>
      </c>
      <c r="V1875" s="259">
        <f ca="1">IF(D1875="","",IF(OFFSET(D1875,-2,0)=D1875,"",VLOOKUP(D1875,契約台帳!$A$3:$R$4986,18,FALSE)))</f>
        <v>1</v>
      </c>
      <c r="W1875" s="256" t="s">
        <v>806</v>
      </c>
      <c r="X1875" s="256">
        <v>1015</v>
      </c>
      <c r="Y1875" s="256">
        <f ca="1">IF(D1875="","",IF(T1875="","",VLOOKUP(D1875,契約台帳!$A$3:$Q$4986,17,FALSE)))</f>
        <v>2</v>
      </c>
      <c r="Z1875" s="256" t="str">
        <f ca="1">IF(D1875="","",IF(T1875="","",VLOOKUP(D1875,契約台帳!$A$3:$E$4986,5,FALSE)))</f>
        <v>リンテック㈱</v>
      </c>
      <c r="AA1875" s="54"/>
      <c r="AB1875" s="301" t="s">
        <v>2768</v>
      </c>
      <c r="AC1875" s="31"/>
      <c r="AD1875" s="184"/>
      <c r="AE1875" s="51"/>
      <c r="AF1875" s="52"/>
      <c r="AG1875" s="41"/>
      <c r="AH1875" s="45"/>
      <c r="AI1875" s="28"/>
      <c r="AJ1875" s="28"/>
      <c r="AK1875" s="28"/>
      <c r="AL1875" s="28"/>
      <c r="AM1875" s="12"/>
      <c r="AN1875" s="12"/>
      <c r="AO1875" s="12"/>
      <c r="AP1875" s="12"/>
      <c r="AQ1875" s="12"/>
      <c r="AR1875" s="13"/>
      <c r="AS1875" s="14"/>
    </row>
    <row r="1876" spans="1:45" s="16" customFormat="1" ht="30.95" customHeight="1" x14ac:dyDescent="0.2">
      <c r="A1876" s="35"/>
      <c r="B1876" s="36"/>
      <c r="C1876" s="43"/>
      <c r="D1876" s="29"/>
      <c r="E1876" s="29"/>
      <c r="F1876" s="255"/>
      <c r="G1876" s="256"/>
      <c r="H1876" s="256"/>
      <c r="I1876" s="200"/>
      <c r="J1876" s="203"/>
      <c r="K1876" s="200"/>
      <c r="L1876" s="200"/>
      <c r="M1876" s="37"/>
      <c r="N1876" s="37"/>
      <c r="O1876" s="153"/>
      <c r="P1876" s="45"/>
      <c r="Q1876" s="54"/>
      <c r="R1876" s="257"/>
      <c r="S1876" s="258"/>
      <c r="T1876" s="258"/>
      <c r="U1876" s="38"/>
      <c r="V1876" s="259"/>
      <c r="W1876" s="256"/>
      <c r="X1876" s="256"/>
      <c r="Y1876" s="256"/>
      <c r="Z1876" s="256"/>
      <c r="AA1876" s="54"/>
      <c r="AB1876" s="200"/>
      <c r="AC1876" s="31"/>
      <c r="AD1876" s="184"/>
      <c r="AE1876" s="51"/>
      <c r="AF1876" s="52"/>
      <c r="AG1876" s="41"/>
      <c r="AH1876" s="45"/>
      <c r="AI1876" s="28"/>
      <c r="AJ1876" s="28"/>
      <c r="AK1876" s="28"/>
      <c r="AL1876" s="28"/>
      <c r="AM1876" s="12"/>
      <c r="AN1876" s="12"/>
      <c r="AO1876" s="12"/>
      <c r="AP1876" s="12"/>
      <c r="AQ1876" s="12"/>
      <c r="AR1876" s="13"/>
      <c r="AS1876" s="14"/>
    </row>
    <row r="1877" spans="1:45" s="16" customFormat="1" ht="30.95" customHeight="1" x14ac:dyDescent="0.2">
      <c r="A1877" s="35"/>
      <c r="B1877" s="36"/>
      <c r="C1877" s="43"/>
      <c r="D1877" s="29">
        <v>3750096</v>
      </c>
      <c r="E1877" s="29">
        <v>4141128</v>
      </c>
      <c r="F1877" s="255" t="str">
        <f>IF(D1877="","",VLOOKUP(D1877,契約台帳!$A$3:$K$4986,6,FALSE)&amp;VLOOKUP(D1877,契約台帳!$A$3:$K$4986,7,FALSE)&amp;VLOOKUP(D1877,契約台帳!$A$3:$K$4986,8,FALSE)&amp;VLOOKUP(D1877,契約台帳!$A$3:$K$4986,9,FALSE)&amp;VLOOKUP(D1877,契約台帳!$A$3:$K$4986,11,FALSE))</f>
        <v>3TNMCLBHLGTV</v>
      </c>
      <c r="G1877" s="256" t="str">
        <f>IF(D1877="","",VLOOKUP(F1877,製品マスタ!$G$5:$H$4999,2,FALSE))</f>
        <v>T</v>
      </c>
      <c r="H1877" s="256" t="str">
        <f>IF(D1877="","",VLOOKUP(F1877,製品マスタ!$G$5:$K$4999,5,FALSE))</f>
        <v>HLGTV</v>
      </c>
      <c r="I1877" s="200" t="str">
        <f>IF(D1877="","",VLOOKUP(F1877,製品マスタ!$G$5:$L$4999,6,FALSE))</f>
        <v>メタルミー　ヘヤライン　銀艶Ｖ</v>
      </c>
      <c r="J1877" s="203" t="s">
        <v>463</v>
      </c>
      <c r="K1877" s="200">
        <f>IF(D1877="","",VLOOKUP(D1877,契約台帳!$A$3:$L$4986,12,FALSE))</f>
        <v>50</v>
      </c>
      <c r="L1877" s="200" t="s">
        <v>1764</v>
      </c>
      <c r="M1877" s="37">
        <v>1005</v>
      </c>
      <c r="N1877" s="37">
        <v>12300</v>
      </c>
      <c r="O1877" s="153">
        <v>1</v>
      </c>
      <c r="P1877" s="45">
        <v>1</v>
      </c>
      <c r="Q1877" s="54"/>
      <c r="R1877" s="257">
        <f ca="1">IF(D1877="","",IF(OFFSET(D1877,-1,0)&lt;&gt;"","",IF(OR(J1877="リード付け",J1877="巻足し",J1877="巻返しリード付け"),M1877,VLOOKUP(D1877,契約台帳!$A$3:$N$4986,14,FALSE))))</f>
        <v>1005</v>
      </c>
      <c r="S1877" s="258">
        <f ca="1">IF(D1877="","",IF(OFFSET(D1877,-1,0)&lt;&gt;"","",IF(OR(J1877="リード付け",J1877="巻足し",J1877="巻返しリード付け"),M1877,VLOOKUP(D1877,契約台帳!$A$3:$O$4986,15,FALSE))))</f>
        <v>1000</v>
      </c>
      <c r="T1877" s="258">
        <f ca="1">IF(D1877="","",IF(J1877="リード付け",N1877,IF(J1877="巻返しリード付け",N1877,IF(J1877="巻足し",N1877*P1877+OFFSET(N1877,1,0)*OFFSET(P1877,1,0),VLOOKUP(D1877,契約台帳!$A$3:$P$4986,16,FALSE)))))</f>
        <v>4100</v>
      </c>
      <c r="U1877" s="38">
        <v>2</v>
      </c>
      <c r="V1877" s="259">
        <f ca="1">IF(D1877="","",IF(OFFSET(D1877,-2,0)=D1877,"",VLOOKUP(D1877,契約台帳!$A$3:$R$4986,18,FALSE)))</f>
        <v>1</v>
      </c>
      <c r="W1877" s="256" t="s">
        <v>806</v>
      </c>
      <c r="X1877" s="256">
        <v>1015</v>
      </c>
      <c r="Y1877" s="256">
        <f ca="1">IF(D1877="","",IF(T1877="","",VLOOKUP(D1877,契約台帳!$A$3:$Q$4986,17,FALSE)))</f>
        <v>2</v>
      </c>
      <c r="Z1877" s="256" t="str">
        <f ca="1">IF(D1877="","",IF(T1877="","",VLOOKUP(D1877,契約台帳!$A$3:$E$4986,5,FALSE)))</f>
        <v>リンテック㈱</v>
      </c>
      <c r="AA1877" s="54"/>
      <c r="AB1877" s="200"/>
      <c r="AC1877" s="31"/>
      <c r="AD1877" s="184"/>
      <c r="AE1877" s="51"/>
      <c r="AF1877" s="52"/>
      <c r="AG1877" s="41"/>
      <c r="AH1877" s="45"/>
      <c r="AI1877" s="28"/>
      <c r="AJ1877" s="28"/>
      <c r="AK1877" s="28"/>
      <c r="AL1877" s="28"/>
      <c r="AM1877" s="12"/>
      <c r="AN1877" s="12"/>
      <c r="AO1877" s="12"/>
      <c r="AP1877" s="12"/>
      <c r="AQ1877" s="12"/>
      <c r="AR1877" s="13"/>
      <c r="AS1877" s="14"/>
    </row>
    <row r="1878" spans="1:45" s="16" customFormat="1" ht="30.95" customHeight="1" x14ac:dyDescent="0.2">
      <c r="A1878" s="35"/>
      <c r="B1878" s="36"/>
      <c r="C1878" s="43"/>
      <c r="D1878" s="29">
        <v>3750097</v>
      </c>
      <c r="E1878" s="29"/>
      <c r="F1878" s="255" t="str">
        <f>IF(D1878="","",VLOOKUP(D1878,契約台帳!$A$3:$K$4986,6,FALSE)&amp;VLOOKUP(D1878,契約台帳!$A$3:$K$4986,7,FALSE)&amp;VLOOKUP(D1878,契約台帳!$A$3:$K$4986,8,FALSE)&amp;VLOOKUP(D1878,契約台帳!$A$3:$K$4986,9,FALSE)&amp;VLOOKUP(D1878,契約台帳!$A$3:$K$4986,11,FALSE))</f>
        <v>3TNMCLBHLGTV</v>
      </c>
      <c r="G1878" s="256" t="str">
        <f>IF(D1878="","",VLOOKUP(F1878,製品マスタ!$G$5:$H$4999,2,FALSE))</f>
        <v>T</v>
      </c>
      <c r="H1878" s="256" t="str">
        <f>IF(D1878="","",VLOOKUP(F1878,製品マスタ!$G$5:$K$4999,5,FALSE))</f>
        <v>HLGTV</v>
      </c>
      <c r="I1878" s="200" t="str">
        <f>IF(D1878="","",VLOOKUP(F1878,製品マスタ!$G$5:$L$4999,6,FALSE))</f>
        <v>メタルミー　ヘヤライン　銀艶Ｖ</v>
      </c>
      <c r="J1878" s="203" t="s">
        <v>463</v>
      </c>
      <c r="K1878" s="200">
        <f>IF(D1878="","",VLOOKUP(D1878,契約台帳!$A$3:$L$4986,12,FALSE))</f>
        <v>50</v>
      </c>
      <c r="L1878" s="200" t="s">
        <v>1764</v>
      </c>
      <c r="M1878" s="37"/>
      <c r="N1878" s="37"/>
      <c r="O1878" s="153"/>
      <c r="P1878" s="45"/>
      <c r="Q1878" s="54"/>
      <c r="R1878" s="257">
        <v>1005</v>
      </c>
      <c r="S1878" s="258">
        <v>1000</v>
      </c>
      <c r="T1878" s="258">
        <f ca="1">IF(D1878="","",IF(J1878="リード付け",N1878,IF(J1878="巻返しリード付け",N1878,IF(J1878="巻足し",N1878*P1878+OFFSET(N1878,1,0)*OFFSET(P1878,1,0),VLOOKUP(D1878,契約台帳!$A$3:$P$4986,16,FALSE)))))</f>
        <v>2000</v>
      </c>
      <c r="U1878" s="38">
        <v>2</v>
      </c>
      <c r="V1878" s="259">
        <f ca="1">IF(D1878="","",IF(OFFSET(D1878,-2,0)=D1878,"",VLOOKUP(D1878,契約台帳!$A$3:$R$4986,18,FALSE)))</f>
        <v>2</v>
      </c>
      <c r="W1878" s="256" t="s">
        <v>806</v>
      </c>
      <c r="X1878" s="256">
        <v>1015</v>
      </c>
      <c r="Y1878" s="256">
        <f ca="1">IF(D1878="","",IF(T1878="","",VLOOKUP(D1878,契約台帳!$A$3:$Q$4986,17,FALSE)))</f>
        <v>2</v>
      </c>
      <c r="Z1878" s="256" t="str">
        <f ca="1">IF(D1878="","",IF(T1878="","",VLOOKUP(D1878,契約台帳!$A$3:$E$4986,5,FALSE)))</f>
        <v>リンテック㈱</v>
      </c>
      <c r="AA1878" s="54"/>
      <c r="AB1878" s="200"/>
      <c r="AC1878" s="31"/>
      <c r="AD1878" s="184"/>
      <c r="AE1878" s="51"/>
      <c r="AF1878" s="52"/>
      <c r="AG1878" s="41"/>
      <c r="AH1878" s="45"/>
      <c r="AI1878" s="28"/>
      <c r="AJ1878" s="28"/>
      <c r="AK1878" s="28"/>
      <c r="AL1878" s="28"/>
      <c r="AM1878" s="12"/>
      <c r="AN1878" s="12"/>
      <c r="AO1878" s="12"/>
      <c r="AP1878" s="12"/>
      <c r="AQ1878" s="12"/>
      <c r="AR1878" s="13"/>
      <c r="AS1878" s="14"/>
    </row>
    <row r="1879" spans="1:45" s="16" customFormat="1" ht="30.95" customHeight="1" x14ac:dyDescent="0.2">
      <c r="A1879" s="35"/>
      <c r="B1879" s="36"/>
      <c r="C1879" s="43"/>
      <c r="D1879" s="29"/>
      <c r="E1879" s="29"/>
      <c r="F1879" s="255"/>
      <c r="G1879" s="256"/>
      <c r="H1879" s="256"/>
      <c r="I1879" s="200"/>
      <c r="J1879" s="203"/>
      <c r="K1879" s="200"/>
      <c r="L1879" s="200"/>
      <c r="M1879" s="37"/>
      <c r="N1879" s="37"/>
      <c r="O1879" s="153"/>
      <c r="P1879" s="45"/>
      <c r="Q1879" s="54"/>
      <c r="R1879" s="257"/>
      <c r="S1879" s="258"/>
      <c r="T1879" s="258"/>
      <c r="U1879" s="38"/>
      <c r="V1879" s="259"/>
      <c r="W1879" s="256"/>
      <c r="X1879" s="256"/>
      <c r="Y1879" s="256"/>
      <c r="Z1879" s="256"/>
      <c r="AA1879" s="54"/>
      <c r="AB1879" s="200"/>
      <c r="AC1879" s="31"/>
      <c r="AD1879" s="184"/>
      <c r="AE1879" s="51"/>
      <c r="AF1879" s="52"/>
      <c r="AG1879" s="41"/>
      <c r="AH1879" s="45"/>
      <c r="AI1879" s="28"/>
      <c r="AJ1879" s="28"/>
      <c r="AK1879" s="28"/>
      <c r="AL1879" s="28"/>
      <c r="AM1879" s="12"/>
      <c r="AN1879" s="12"/>
      <c r="AO1879" s="12"/>
      <c r="AP1879" s="12"/>
      <c r="AQ1879" s="12"/>
      <c r="AR1879" s="13"/>
      <c r="AS1879" s="14"/>
    </row>
    <row r="1880" spans="1:45" s="16" customFormat="1" ht="30.6" customHeight="1" x14ac:dyDescent="0.2">
      <c r="A1880" s="35"/>
      <c r="B1880" s="36"/>
      <c r="C1880" s="43"/>
      <c r="D1880" s="29">
        <v>3751758</v>
      </c>
      <c r="E1880" s="29">
        <v>4141130</v>
      </c>
      <c r="F1880" s="255" t="str">
        <f>IF(D1880="","",VLOOKUP(D1880,契約台帳!$A$3:$K$4986,6,FALSE)&amp;VLOOKUP(D1880,契約台帳!$A$3:$K$4986,7,FALSE)&amp;VLOOKUP(D1880,契約台帳!$A$3:$K$4986,8,FALSE)&amp;VLOOKUP(D1880,契約台帳!$A$3:$K$4986,9,FALSE)&amp;VLOOKUP(D1880,契約台帳!$A$3:$K$4986,11,FALSE))</f>
        <v>3TNMCLBHLKTV</v>
      </c>
      <c r="G1880" s="256" t="str">
        <f>IF(D1880="","",VLOOKUP(F1880,製品マスタ!$G$5:$H$4999,2,FALSE))</f>
        <v>T</v>
      </c>
      <c r="H1880" s="256" t="str">
        <f>IF(D1880="","",VLOOKUP(F1880,製品マスタ!$G$5:$K$4999,5,FALSE))</f>
        <v>HLKTV</v>
      </c>
      <c r="I1880" s="200" t="str">
        <f>IF(D1880="","",VLOOKUP(F1880,製品マスタ!$G$5:$L$4999,6,FALSE))</f>
        <v>メタルミー　ヘヤライン金艶　Ｖ</v>
      </c>
      <c r="J1880" s="203" t="s">
        <v>447</v>
      </c>
      <c r="K1880" s="200">
        <f>IF(D1880="","",VLOOKUP(D1880,契約台帳!$A$3:$L$4986,12,FALSE))</f>
        <v>50</v>
      </c>
      <c r="L1880" s="200" t="str">
        <f>IF(D1880="","",INDEX(製品マスタ!$Q$5:$Q$4999,MATCH('S4'!F1880&amp;'S4'!K1880,製品マスタ!$AO$5:$AO$4999,0)))</f>
        <v>HL50/EC</v>
      </c>
      <c r="M1880" s="37">
        <v>1030</v>
      </c>
      <c r="N1880" s="37">
        <v>4100</v>
      </c>
      <c r="O1880" s="153">
        <v>1</v>
      </c>
      <c r="P1880" s="45">
        <v>1</v>
      </c>
      <c r="Q1880" s="54"/>
      <c r="R1880" s="257">
        <f ca="1">IF(D1880="","",IF(OFFSET(D1880,-1,0)&lt;&gt;"","",IF(OR(J1880="リード付け",J1880="巻足し",J1880="巻返しリード付け"),M1880,VLOOKUP(D1880,契約台帳!$A$3:$N$4986,14,FALSE))))</f>
        <v>1000</v>
      </c>
      <c r="S1880" s="258">
        <f ca="1">IF(D1880="","",IF(OFFSET(D1880,-1,0)&lt;&gt;"","",IF(OR(J1880="リード付け",J1880="巻足し",J1880="巻返しリード付け"),M1880,VLOOKUP(D1880,契約台帳!$A$3:$O$4986,15,FALSE))))</f>
        <v>1000</v>
      </c>
      <c r="T1880" s="258">
        <f ca="1">IF(D1880="","",IF(J1880="リード付け",N1880,IF(J1880="巻返しリード付け",N1880,IF(J1880="巻足し",N1880*P1880+OFFSET(N1880,1,0)*OFFSET(P1880,1,0),VLOOKUP(D1880,契約台帳!$A$3:$P$4986,16,FALSE)))))</f>
        <v>2000</v>
      </c>
      <c r="U1880" s="38">
        <v>2</v>
      </c>
      <c r="V1880" s="259">
        <f ca="1">IF(D1880="","",IF(OFFSET(D1880,-2,0)=D1880,"",VLOOKUP(D1880,契約台帳!$A$3:$R$4986,18,FALSE)))</f>
        <v>2</v>
      </c>
      <c r="W1880" s="256" t="str">
        <f ca="1">IF(D1880="","",IF(T1880="","",IF(OR(J1880="巻足し",J1880="巻返しリード付け"),"",IF(J1880="巻返し",VLOOKUP(F1880&amp;K1880&amp;M1880,製品マスタ!$M$5:$AD$4999,18,FALSE),IF(OR(J1880="リード付け",J1880="巻返しリード付け"),"原反コア",IF(J1880="スリット",VLOOKUP(F1880&amp;K1880&amp;R1880,製品マスタ!$N$5:$AD$4999,17,FALSE),""))))))</f>
        <v>6ｲﾝﾁSｺｱ</v>
      </c>
      <c r="X1880" s="256">
        <f ca="1">IF(D1880="","",IF(T1880="","",IF(J1880="巻足し","",IF(J1880="巻返し",VLOOKUP(F1880&amp;K1880&amp;M1880,製品マスタ!$M$5:$AE$4999,19,FALSE),IF(OR(J1880="リード付け",J1880="巻返しリード付け"),"",IF(J1880="スリット",VLOOKUP(F1880&amp;K1880&amp;R1880,製品マスタ!$N$5:$AE$4999,18,FALSE),""))))))</f>
        <v>1015</v>
      </c>
      <c r="Y1880" s="256">
        <f ca="1">IF(D1880="","",IF(T1880="","",VLOOKUP(D1880,契約台帳!$A$3:$Q$4986,17,FALSE)))</f>
        <v>2</v>
      </c>
      <c r="Z1880" s="256" t="str">
        <f ca="1">IF(D1880="","",IF(T1880="","",VLOOKUP(D1880,契約台帳!$A$3:$E$4986,5,FALSE)))</f>
        <v>リンテック㈱</v>
      </c>
      <c r="AA1880" s="54"/>
      <c r="AB1880" s="200" t="s">
        <v>774</v>
      </c>
      <c r="AC1880" s="31"/>
      <c r="AD1880" s="184"/>
      <c r="AE1880" s="51"/>
      <c r="AF1880" s="52"/>
      <c r="AG1880" s="41"/>
      <c r="AH1880" s="45"/>
      <c r="AI1880" s="28"/>
      <c r="AJ1880" s="28"/>
      <c r="AK1880" s="28"/>
      <c r="AL1880" s="28"/>
      <c r="AM1880" s="12"/>
      <c r="AN1880" s="12"/>
      <c r="AO1880" s="12"/>
      <c r="AP1880" s="12"/>
      <c r="AQ1880" s="12"/>
      <c r="AR1880" s="13"/>
      <c r="AS1880" s="14"/>
    </row>
    <row r="1881" spans="1:45" s="16" customFormat="1" ht="30.95" customHeight="1" x14ac:dyDescent="0.2">
      <c r="A1881" s="35"/>
      <c r="B1881" s="36"/>
      <c r="C1881" s="43"/>
      <c r="D1881" s="29"/>
      <c r="E1881" s="29"/>
      <c r="F1881" s="255"/>
      <c r="G1881" s="256"/>
      <c r="H1881" s="256"/>
      <c r="I1881" s="200"/>
      <c r="J1881" s="203"/>
      <c r="K1881" s="200"/>
      <c r="L1881" s="200"/>
      <c r="M1881" s="37"/>
      <c r="N1881" s="37"/>
      <c r="O1881" s="153"/>
      <c r="P1881" s="45"/>
      <c r="Q1881" s="54"/>
      <c r="R1881" s="257"/>
      <c r="S1881" s="258"/>
      <c r="T1881" s="258"/>
      <c r="U1881" s="38"/>
      <c r="V1881" s="259"/>
      <c r="W1881" s="256"/>
      <c r="X1881" s="256"/>
      <c r="Y1881" s="256"/>
      <c r="Z1881" s="256"/>
      <c r="AA1881" s="54"/>
      <c r="AB1881" s="200"/>
      <c r="AC1881" s="31"/>
      <c r="AD1881" s="184"/>
      <c r="AE1881" s="51"/>
      <c r="AF1881" s="52"/>
      <c r="AG1881" s="41"/>
      <c r="AH1881" s="45"/>
      <c r="AI1881" s="28"/>
      <c r="AJ1881" s="28"/>
      <c r="AK1881" s="28"/>
      <c r="AL1881" s="28"/>
      <c r="AM1881" s="12"/>
      <c r="AN1881" s="12"/>
      <c r="AO1881" s="12"/>
      <c r="AP1881" s="12"/>
      <c r="AQ1881" s="12"/>
      <c r="AR1881" s="13"/>
      <c r="AS1881" s="14"/>
    </row>
    <row r="1882" spans="1:45" s="16" customFormat="1" ht="30.95" customHeight="1" x14ac:dyDescent="0.2">
      <c r="A1882" s="35" t="s">
        <v>1067</v>
      </c>
      <c r="B1882" s="36" t="s">
        <v>444</v>
      </c>
      <c r="C1882" s="43"/>
      <c r="D1882" s="29"/>
      <c r="E1882" s="29"/>
      <c r="F1882" s="255"/>
      <c r="G1882" s="256"/>
      <c r="H1882" s="256"/>
      <c r="I1882" s="200"/>
      <c r="J1882" s="203" t="s">
        <v>490</v>
      </c>
      <c r="K1882" s="200"/>
      <c r="L1882" s="200"/>
      <c r="M1882" s="37"/>
      <c r="N1882" s="37"/>
      <c r="O1882" s="153"/>
      <c r="P1882" s="45"/>
      <c r="Q1882" s="54"/>
      <c r="R1882" s="260"/>
      <c r="S1882" s="258"/>
      <c r="T1882" s="258"/>
      <c r="U1882" s="38"/>
      <c r="V1882" s="261"/>
      <c r="W1882" s="256"/>
      <c r="X1882" s="256"/>
      <c r="Y1882" s="256"/>
      <c r="Z1882" s="256"/>
      <c r="AA1882" s="54"/>
      <c r="AB1882" s="200"/>
      <c r="AC1882" s="31"/>
      <c r="AD1882" s="184"/>
      <c r="AE1882" s="51"/>
      <c r="AF1882" s="52"/>
      <c r="AG1882" s="41"/>
      <c r="AH1882" s="45"/>
      <c r="AI1882" s="28"/>
      <c r="AJ1882" s="28"/>
      <c r="AK1882" s="28"/>
      <c r="AL1882" s="28"/>
      <c r="AM1882" s="12"/>
      <c r="AN1882" s="12"/>
      <c r="AO1882" s="12"/>
      <c r="AP1882" s="12"/>
      <c r="AQ1882" s="12"/>
      <c r="AR1882" s="13"/>
      <c r="AS1882" s="14"/>
    </row>
    <row r="1883" spans="1:45" s="16" customFormat="1" ht="30.95" customHeight="1" x14ac:dyDescent="0.2">
      <c r="A1883" s="35"/>
      <c r="B1883" s="36"/>
      <c r="C1883" s="43"/>
      <c r="D1883" s="29"/>
      <c r="E1883" s="29"/>
      <c r="F1883" s="255"/>
      <c r="G1883" s="256"/>
      <c r="H1883" s="256"/>
      <c r="I1883" s="200"/>
      <c r="J1883" s="203"/>
      <c r="K1883" s="200"/>
      <c r="L1883" s="200"/>
      <c r="M1883" s="37"/>
      <c r="N1883" s="37"/>
      <c r="O1883" s="153"/>
      <c r="P1883" s="45"/>
      <c r="Q1883" s="54"/>
      <c r="R1883" s="260"/>
      <c r="S1883" s="258"/>
      <c r="T1883" s="258"/>
      <c r="U1883" s="38"/>
      <c r="V1883" s="261"/>
      <c r="W1883" s="256"/>
      <c r="X1883" s="256"/>
      <c r="Y1883" s="256"/>
      <c r="Z1883" s="256"/>
      <c r="AA1883" s="54"/>
      <c r="AB1883" s="200"/>
      <c r="AC1883" s="31"/>
      <c r="AD1883" s="184"/>
      <c r="AE1883" s="51"/>
      <c r="AF1883" s="52"/>
      <c r="AG1883" s="41"/>
      <c r="AH1883" s="45"/>
      <c r="AI1883" s="28"/>
      <c r="AJ1883" s="28"/>
      <c r="AK1883" s="28"/>
      <c r="AL1883" s="28"/>
      <c r="AM1883" s="12"/>
      <c r="AN1883" s="12"/>
      <c r="AO1883" s="12"/>
      <c r="AP1883" s="12"/>
      <c r="AQ1883" s="12"/>
      <c r="AR1883" s="13"/>
      <c r="AS1883" s="14"/>
    </row>
    <row r="1884" spans="1:45" s="16" customFormat="1" ht="30.95" customHeight="1" x14ac:dyDescent="0.2">
      <c r="A1884" s="35" t="s">
        <v>2744</v>
      </c>
      <c r="B1884" s="36" t="s">
        <v>2741</v>
      </c>
      <c r="C1884" s="43"/>
      <c r="D1884" s="29"/>
      <c r="E1884" s="29"/>
      <c r="F1884" s="255"/>
      <c r="G1884" s="256"/>
      <c r="H1884" s="256"/>
      <c r="I1884" s="200"/>
      <c r="J1884" s="203" t="s">
        <v>448</v>
      </c>
      <c r="K1884" s="200"/>
      <c r="L1884" s="200"/>
      <c r="M1884" s="37"/>
      <c r="N1884" s="37"/>
      <c r="O1884" s="153"/>
      <c r="P1884" s="45"/>
      <c r="Q1884" s="54"/>
      <c r="R1884" s="260"/>
      <c r="S1884" s="258"/>
      <c r="T1884" s="258"/>
      <c r="U1884" s="38"/>
      <c r="V1884" s="261"/>
      <c r="W1884" s="256"/>
      <c r="X1884" s="256"/>
      <c r="Y1884" s="256"/>
      <c r="Z1884" s="256"/>
      <c r="AA1884" s="54"/>
      <c r="AB1884" s="200"/>
      <c r="AC1884" s="31"/>
      <c r="AD1884" s="184"/>
      <c r="AE1884" s="51"/>
      <c r="AF1884" s="52"/>
      <c r="AG1884" s="41"/>
      <c r="AH1884" s="45"/>
      <c r="AI1884" s="28"/>
      <c r="AJ1884" s="28"/>
      <c r="AK1884" s="28"/>
      <c r="AL1884" s="28"/>
      <c r="AM1884" s="12"/>
      <c r="AN1884" s="12"/>
      <c r="AO1884" s="12"/>
      <c r="AP1884" s="12"/>
      <c r="AQ1884" s="12"/>
      <c r="AR1884" s="13"/>
      <c r="AS1884" s="14"/>
    </row>
    <row r="1885" spans="1:45" s="16" customFormat="1" ht="30.95" customHeight="1" x14ac:dyDescent="0.2">
      <c r="A1885" s="35"/>
      <c r="B1885" s="36"/>
      <c r="C1885" s="43"/>
      <c r="D1885" s="29"/>
      <c r="E1885" s="29"/>
      <c r="F1885" s="255"/>
      <c r="G1885" s="256"/>
      <c r="H1885" s="256"/>
      <c r="I1885" s="200"/>
      <c r="J1885" s="203"/>
      <c r="K1885" s="200"/>
      <c r="L1885" s="200"/>
      <c r="M1885" s="37"/>
      <c r="N1885" s="37"/>
      <c r="O1885" s="153"/>
      <c r="P1885" s="45"/>
      <c r="Q1885" s="54"/>
      <c r="R1885" s="260"/>
      <c r="S1885" s="258"/>
      <c r="T1885" s="258"/>
      <c r="U1885" s="38"/>
      <c r="V1885" s="261"/>
      <c r="W1885" s="256"/>
      <c r="X1885" s="256"/>
      <c r="Y1885" s="256"/>
      <c r="Z1885" s="256"/>
      <c r="AA1885" s="54"/>
      <c r="AB1885" s="200"/>
      <c r="AC1885" s="31"/>
      <c r="AD1885" s="184"/>
      <c r="AE1885" s="51"/>
      <c r="AF1885" s="52"/>
      <c r="AG1885" s="41"/>
      <c r="AH1885" s="45"/>
      <c r="AI1885" s="28"/>
      <c r="AJ1885" s="28"/>
      <c r="AK1885" s="28"/>
      <c r="AL1885" s="28"/>
      <c r="AM1885" s="12"/>
      <c r="AN1885" s="12"/>
      <c r="AO1885" s="12"/>
      <c r="AP1885" s="12"/>
      <c r="AQ1885" s="12"/>
      <c r="AR1885" s="13"/>
      <c r="AS1885" s="14"/>
    </row>
    <row r="1886" spans="1:45" s="16" customFormat="1" ht="30.95" customHeight="1" x14ac:dyDescent="0.2">
      <c r="A1886" s="35" t="s">
        <v>2745</v>
      </c>
      <c r="B1886" s="36" t="s">
        <v>2743</v>
      </c>
      <c r="C1886" s="43"/>
      <c r="D1886" s="29"/>
      <c r="E1886" s="29"/>
      <c r="F1886" s="255"/>
      <c r="G1886" s="256"/>
      <c r="H1886" s="256"/>
      <c r="I1886" s="200"/>
      <c r="J1886" s="203" t="s">
        <v>448</v>
      </c>
      <c r="K1886" s="200"/>
      <c r="L1886" s="200"/>
      <c r="M1886" s="37"/>
      <c r="N1886" s="37"/>
      <c r="O1886" s="153"/>
      <c r="P1886" s="45"/>
      <c r="Q1886" s="54"/>
      <c r="R1886" s="260"/>
      <c r="S1886" s="258"/>
      <c r="T1886" s="258"/>
      <c r="U1886" s="38"/>
      <c r="V1886" s="261"/>
      <c r="W1886" s="256"/>
      <c r="X1886" s="256"/>
      <c r="Y1886" s="256"/>
      <c r="Z1886" s="256"/>
      <c r="AA1886" s="54"/>
      <c r="AB1886" s="200"/>
      <c r="AC1886" s="31"/>
      <c r="AD1886" s="184"/>
      <c r="AE1886" s="51"/>
      <c r="AF1886" s="52"/>
      <c r="AG1886" s="41"/>
      <c r="AH1886" s="45"/>
      <c r="AI1886" s="28"/>
      <c r="AJ1886" s="28"/>
      <c r="AK1886" s="28"/>
      <c r="AL1886" s="28"/>
      <c r="AM1886" s="12"/>
      <c r="AN1886" s="12"/>
      <c r="AO1886" s="12"/>
      <c r="AP1886" s="12"/>
      <c r="AQ1886" s="12"/>
      <c r="AR1886" s="13"/>
      <c r="AS1886" s="14"/>
    </row>
    <row r="1887" spans="1:45" s="16" customFormat="1" ht="30.95" customHeight="1" x14ac:dyDescent="0.2">
      <c r="A1887" s="35"/>
      <c r="B1887" s="36"/>
      <c r="C1887" s="43"/>
      <c r="D1887" s="29"/>
      <c r="E1887" s="29"/>
      <c r="F1887" s="255"/>
      <c r="G1887" s="256"/>
      <c r="H1887" s="256"/>
      <c r="I1887" s="200"/>
      <c r="J1887" s="203"/>
      <c r="K1887" s="200"/>
      <c r="L1887" s="200"/>
      <c r="M1887" s="37"/>
      <c r="N1887" s="37"/>
      <c r="O1887" s="153"/>
      <c r="P1887" s="45"/>
      <c r="Q1887" s="54"/>
      <c r="R1887" s="257"/>
      <c r="S1887" s="258"/>
      <c r="T1887" s="258"/>
      <c r="U1887" s="38"/>
      <c r="V1887" s="259"/>
      <c r="W1887" s="256"/>
      <c r="X1887" s="256"/>
      <c r="Y1887" s="256"/>
      <c r="Z1887" s="256"/>
      <c r="AA1887" s="54"/>
      <c r="AB1887" s="200"/>
      <c r="AC1887" s="31"/>
      <c r="AD1887" s="184"/>
      <c r="AE1887" s="51"/>
      <c r="AF1887" s="52"/>
      <c r="AG1887" s="41"/>
      <c r="AH1887" s="45"/>
      <c r="AI1887" s="28"/>
      <c r="AJ1887" s="28"/>
      <c r="AK1887" s="28"/>
      <c r="AL1887" s="28"/>
      <c r="AM1887" s="12"/>
      <c r="AN1887" s="12"/>
      <c r="AO1887" s="12"/>
      <c r="AP1887" s="12"/>
      <c r="AQ1887" s="12"/>
      <c r="AR1887" s="13"/>
      <c r="AS1887" s="14"/>
    </row>
    <row r="1888" spans="1:45" s="16" customFormat="1" ht="30" customHeight="1" x14ac:dyDescent="0.2">
      <c r="A1888" s="35" t="s">
        <v>1070</v>
      </c>
      <c r="B1888" s="36" t="s">
        <v>462</v>
      </c>
      <c r="C1888" s="43"/>
      <c r="D1888" s="29">
        <v>3754098</v>
      </c>
      <c r="E1888" s="29">
        <v>4162311</v>
      </c>
      <c r="F1888" s="255" t="str">
        <f>IF(D1888="","",VLOOKUP(D1888,契約台帳!$A$3:$K$4986,6,FALSE)&amp;VLOOKUP(D1888,契約台帳!$A$3:$K$4986,7,FALSE)&amp;VLOOKUP(D1888,契約台帳!$A$3:$K$4986,8,FALSE)&amp;VLOOKUP(D1888,契約台帳!$A$3:$K$4986,9,FALSE)&amp;VLOOKUP(D1888,契約台帳!$A$3:$K$4986,11,FALSE))</f>
        <v>3SNMCLBMSNEYK</v>
      </c>
      <c r="G1888" s="256" t="str">
        <f>IF(D1888="","",VLOOKUP(F1888,製品マスタ!$G$5:$H$4999,2,FALSE))</f>
        <v>S</v>
      </c>
      <c r="H1888" s="256" t="str">
        <f>IF(D1888="","",VLOOKUP(F1888,製品マスタ!$G$5:$K$4999,5,FALSE))</f>
        <v>MSNEYK</v>
      </c>
      <c r="I1888" s="200" t="str">
        <f>IF(D1888="","",VLOOKUP(F1888,製品マスタ!$G$5:$L$4999,6,FALSE))</f>
        <v>ＭＳＮ　ＥＹＫ</v>
      </c>
      <c r="J1888" s="203" t="s">
        <v>935</v>
      </c>
      <c r="K1888" s="200">
        <f>IF(D1888="","",VLOOKUP(D1888,契約台帳!$A$3:$L$4986,12,FALSE))</f>
        <v>100</v>
      </c>
      <c r="L1888" s="200" t="str">
        <f>IF(D1888="","",INDEX(製品マスタ!$Q$5:$Q$4999,MATCH('S4'!F1888&amp;'S4'!K1888,製品マスタ!$AO$5:$AO$4999,0)))</f>
        <v>N-MAT</v>
      </c>
      <c r="M1888" s="37">
        <v>1205</v>
      </c>
      <c r="N1888" s="37">
        <v>2500</v>
      </c>
      <c r="O1888" s="153">
        <v>2</v>
      </c>
      <c r="P1888" s="45">
        <v>2</v>
      </c>
      <c r="Q1888" s="206">
        <v>45407</v>
      </c>
      <c r="R1888" s="257">
        <f ca="1">IF(D1888="","",IF(OFFSET(D1888,-1,0)&lt;&gt;"","",IF(OR(J1888="リード付け",J1888="巻足し",J1888="巻返しリード付け"),M1888,VLOOKUP(D1888,契約台帳!$A$3:$N$4986,14,FALSE))))</f>
        <v>1205</v>
      </c>
      <c r="S1888" s="258">
        <f ca="1">IF(D1888="","",IF(OFFSET(D1888,-1,0)&lt;&gt;"","",IF(OR(J1888="リード付け",J1888="巻足し",J1888="巻返しリード付け"),M1888,VLOOKUP(D1888,契約台帳!$A$3:$O$4986,15,FALSE))))</f>
        <v>1205</v>
      </c>
      <c r="T1888" s="258">
        <f ca="1">IF(D1888="","",IF(J1888="リード付け",N1888,IF(J1888="巻返しリード付け",N1888,IF(J1888="巻足し",N1888*P1888+OFFSET(N1888,1,0)*OFFSET(P1888,1,0),VLOOKUP(D1888,契約台帳!$A$3:$P$4986,16,FALSE)))))</f>
        <v>5000</v>
      </c>
      <c r="U1888" s="38">
        <v>1</v>
      </c>
      <c r="V1888" s="259">
        <f ca="1">IF(D1888="","",IF(OFFSET(D1888,-2,0)=D1888,"",VLOOKUP(D1888,契約台帳!$A$3:$R$4986,18,FALSE)))</f>
        <v>2</v>
      </c>
      <c r="W1888" s="256" t="str">
        <f ca="1">IF(D1888="","",IF(T1888="","",IF(OR(J1888="巻足し",J1888="巻返しリード付け"),"",IF(J1888="巻返し",VLOOKUP(F1888&amp;K1888&amp;M1888,製品マスタ!$M$5:$AD$4999,18,FALSE),IF(OR(J1888="リード付け",J1888="巻返しリード付け"),"原反コア",IF(J1888="スリット",VLOOKUP(F1888&amp;K1888&amp;R1888,製品マスタ!$N$5:$AD$4999,17,FALSE),""))))))</f>
        <v/>
      </c>
      <c r="X1888" s="256" t="str">
        <f ca="1">IF(D1888="","",IF(T1888="","",IF(J1888="巻足し","",IF(J1888="巻返し",VLOOKUP(F1888&amp;K1888&amp;M1888,製品マスタ!$M$5:$AE$4999,19,FALSE),IF(OR(J1888="リード付け",J1888="巻返しリード付け"),"",IF(J1888="スリット",VLOOKUP(F1888&amp;K1888&amp;R1888,製品マスタ!$N$5:$AE$4999,18,FALSE),""))))))</f>
        <v/>
      </c>
      <c r="Y1888" s="256">
        <f ca="1">IF(D1888="","",IF(T1888="","",VLOOKUP(D1888,契約台帳!$A$3:$Q$4986,17,FALSE)))</f>
        <v>2</v>
      </c>
      <c r="Z1888" s="256" t="str">
        <f ca="1">IF(D1888="","",IF(T1888="","",VLOOKUP(D1888,契約台帳!$A$3:$E$4986,5,FALSE)))</f>
        <v>マルウ接着㈱</v>
      </c>
      <c r="AA1888" s="54"/>
      <c r="AB1888" s="200" t="str">
        <f>IFERROR((VLOOKUP(F1888&amp;K1888&amp;M1888,製品マスタ!$M$5:$AM$4999,27,FALSE)),"")</f>
        <v>原反ケース再利用</v>
      </c>
      <c r="AC1888" s="31"/>
      <c r="AD1888" s="184"/>
      <c r="AE1888" s="51"/>
      <c r="AF1888" s="52">
        <f>+M1888*N1888*O1888/1000</f>
        <v>6025</v>
      </c>
      <c r="AG1888" s="41"/>
      <c r="AH1888" s="45"/>
      <c r="AI1888" s="28"/>
      <c r="AJ1888" s="28"/>
      <c r="AK1888" s="28"/>
      <c r="AL1888" s="28"/>
      <c r="AM1888" s="12"/>
      <c r="AN1888" s="12"/>
      <c r="AO1888" s="12"/>
      <c r="AP1888" s="12"/>
      <c r="AQ1888" s="12"/>
      <c r="AR1888" s="13"/>
      <c r="AS1888" s="14"/>
    </row>
    <row r="1889" spans="1:45" s="16" customFormat="1" ht="30.95" customHeight="1" x14ac:dyDescent="0.2">
      <c r="A1889" s="35"/>
      <c r="B1889" s="36"/>
      <c r="C1889" s="43"/>
      <c r="D1889" s="29"/>
      <c r="E1889" s="29"/>
      <c r="F1889" s="255"/>
      <c r="G1889" s="256"/>
      <c r="H1889" s="256"/>
      <c r="I1889" s="200"/>
      <c r="J1889" s="203"/>
      <c r="K1889" s="200"/>
      <c r="L1889" s="200"/>
      <c r="M1889" s="37"/>
      <c r="N1889" s="37"/>
      <c r="O1889" s="153"/>
      <c r="P1889" s="45"/>
      <c r="Q1889" s="54"/>
      <c r="R1889" s="257"/>
      <c r="S1889" s="258"/>
      <c r="T1889" s="258"/>
      <c r="U1889" s="38"/>
      <c r="V1889" s="259"/>
      <c r="W1889" s="256"/>
      <c r="X1889" s="256"/>
      <c r="Y1889" s="256"/>
      <c r="Z1889" s="256"/>
      <c r="AA1889" s="54"/>
      <c r="AB1889" s="200"/>
      <c r="AC1889" s="31"/>
      <c r="AD1889" s="184"/>
      <c r="AE1889" s="51"/>
      <c r="AF1889" s="52"/>
      <c r="AG1889" s="41"/>
      <c r="AH1889" s="45"/>
      <c r="AI1889" s="28"/>
      <c r="AJ1889" s="28"/>
      <c r="AK1889" s="28"/>
      <c r="AL1889" s="28"/>
      <c r="AM1889" s="12"/>
      <c r="AN1889" s="12"/>
      <c r="AO1889" s="12"/>
      <c r="AP1889" s="12"/>
      <c r="AQ1889" s="12"/>
      <c r="AR1889" s="13"/>
      <c r="AS1889" s="14"/>
    </row>
    <row r="1890" spans="1:45" s="16" customFormat="1" ht="30" customHeight="1" x14ac:dyDescent="0.2">
      <c r="A1890" s="35"/>
      <c r="B1890" s="36"/>
      <c r="C1890" s="43"/>
      <c r="D1890" s="29">
        <v>3754080</v>
      </c>
      <c r="E1890" s="29">
        <v>4162299</v>
      </c>
      <c r="F1890" s="255" t="str">
        <f>IF(D1890="","",VLOOKUP(D1890,契約台帳!$A$3:$K$4986,6,FALSE)&amp;VLOOKUP(D1890,契約台帳!$A$3:$K$4986,7,FALSE)&amp;VLOOKUP(D1890,契約台帳!$A$3:$K$4986,8,FALSE)&amp;VLOOKUP(D1890,契約台帳!$A$3:$K$4986,9,FALSE)&amp;VLOOKUP(D1890,契約台帳!$A$3:$K$4986,11,FALSE))</f>
        <v>3SNMLBMNGKKBF</v>
      </c>
      <c r="G1890" s="256" t="str">
        <f>IF(D1890="","",VLOOKUP(F1890,製品マスタ!$G$5:$H$4999,2,FALSE))</f>
        <v>S</v>
      </c>
      <c r="H1890" s="256" t="str">
        <f>IF(D1890="","",VLOOKUP(F1890,製品マスタ!$G$5:$K$4999,5,FALSE))</f>
        <v>MNGKKBF</v>
      </c>
      <c r="I1890" s="200" t="str">
        <f>IF(D1890="","",VLOOKUP(F1890,製品マスタ!$G$5:$L$4999,6,FALSE))</f>
        <v>メタルミー　ネーマー銀消改　Ｂ</v>
      </c>
      <c r="J1890" s="203" t="s">
        <v>935</v>
      </c>
      <c r="K1890" s="200">
        <f>IF(D1890="","",VLOOKUP(D1890,契約台帳!$A$3:$L$4986,12,FALSE))</f>
        <v>25</v>
      </c>
      <c r="L1890" s="200" t="str">
        <f>IF(D1890="","",INDEX(製品マスタ!$Q$5:$Q$4999,MATCH('S4'!F1890&amp;'S4'!K1890,製品マスタ!$AO$5:$AO$4999,0)))</f>
        <v>FMATS99</v>
      </c>
      <c r="M1890" s="37">
        <v>1120</v>
      </c>
      <c r="N1890" s="37">
        <v>4000</v>
      </c>
      <c r="O1890" s="153">
        <v>3</v>
      </c>
      <c r="P1890" s="45">
        <v>3</v>
      </c>
      <c r="Q1890" s="206">
        <v>45408</v>
      </c>
      <c r="R1890" s="257">
        <f ca="1">IF(D1890="","",IF(OFFSET(D1890,-1,0)&lt;&gt;"","",IF(OR(J1890="リード付け",J1890="巻足し",J1890="巻返しリード付け"),M1890,VLOOKUP(D1890,契約台帳!$A$3:$N$4986,14,FALSE))))</f>
        <v>1120</v>
      </c>
      <c r="S1890" s="258">
        <f ca="1">IF(D1890="","",IF(OFFSET(D1890,-1,0)&lt;&gt;"","",IF(OR(J1890="リード付け",J1890="巻足し",J1890="巻返しリード付け"),M1890,VLOOKUP(D1890,契約台帳!$A$3:$O$4986,15,FALSE))))</f>
        <v>1120</v>
      </c>
      <c r="T1890" s="258">
        <f ca="1">IF(D1890="","",IF(J1890="リード付け",N1890,IF(J1890="巻返しリード付け",N1890,IF(J1890="巻足し",N1890*P1890+OFFSET(N1890,1,0)*OFFSET(P1890,1,0),VLOOKUP(D1890,契約台帳!$A$3:$P$4986,16,FALSE)))))</f>
        <v>12000</v>
      </c>
      <c r="U1890" s="38">
        <v>1</v>
      </c>
      <c r="V1890" s="259">
        <f ca="1">IF(D1890="","",IF(OFFSET(D1890,-2,0)=D1890,"",VLOOKUP(D1890,契約台帳!$A$3:$R$4986,18,FALSE)))</f>
        <v>3</v>
      </c>
      <c r="W1890" s="256" t="str">
        <f ca="1">IF(D1890="","",IF(T1890="","",IF(OR(J1890="巻足し",J1890="巻返しリード付け"),"",IF(J1890="巻返し",VLOOKUP(F1890&amp;K1890&amp;M1890,製品マスタ!$M$5:$AD$4999,18,FALSE),IF(OR(J1890="リード付け",J1890="巻返しリード付け"),"原反コア",IF(J1890="スリット",VLOOKUP(F1890&amp;K1890&amp;R1890,製品マスタ!$N$5:$AD$4999,17,FALSE),""))))))</f>
        <v/>
      </c>
      <c r="X1890" s="256" t="str">
        <f ca="1">IF(D1890="","",IF(T1890="","",IF(J1890="巻足し","",IF(J1890="巻返し",VLOOKUP(F1890&amp;K1890&amp;M1890,製品マスタ!$M$5:$AE$4999,19,FALSE),IF(OR(J1890="リード付け",J1890="巻返しリード付け"),"",IF(J1890="スリット",VLOOKUP(F1890&amp;K1890&amp;R1890,製品マスタ!$N$5:$AE$4999,18,FALSE),""))))))</f>
        <v/>
      </c>
      <c r="Y1890" s="256">
        <f ca="1">IF(D1890="","",IF(T1890="","",VLOOKUP(D1890,契約台帳!$A$3:$Q$4986,17,FALSE)))</f>
        <v>2</v>
      </c>
      <c r="Z1890" s="256" t="str">
        <f ca="1">IF(D1890="","",IF(T1890="","",VLOOKUP(D1890,契約台帳!$A$3:$E$4986,5,FALSE)))</f>
        <v>リンテック㈱</v>
      </c>
      <c r="AA1890" s="54"/>
      <c r="AB1890" s="200">
        <f>IFERROR((VLOOKUP(F1890&amp;K1890&amp;M1890,製品マスタ!$M$5:$AM$4999,27,FALSE)),"")</f>
        <v>0</v>
      </c>
      <c r="AC1890" s="31"/>
      <c r="AD1890" s="184"/>
      <c r="AE1890" s="51"/>
      <c r="AF1890" s="52">
        <f>+M1890*N1890*O1890/1000</f>
        <v>13440</v>
      </c>
      <c r="AG1890" s="41"/>
      <c r="AH1890" s="45"/>
      <c r="AI1890" s="28"/>
      <c r="AJ1890" s="28"/>
      <c r="AK1890" s="28"/>
      <c r="AL1890" s="28"/>
      <c r="AM1890" s="12"/>
      <c r="AN1890" s="12"/>
      <c r="AO1890" s="12"/>
      <c r="AP1890" s="12"/>
      <c r="AQ1890" s="12"/>
      <c r="AR1890" s="13"/>
      <c r="AS1890" s="14"/>
    </row>
    <row r="1891" spans="1:45" s="16" customFormat="1" ht="30.95" customHeight="1" x14ac:dyDescent="0.2">
      <c r="A1891" s="35"/>
      <c r="B1891" s="36"/>
      <c r="C1891" s="43"/>
      <c r="D1891" s="29"/>
      <c r="E1891" s="29"/>
      <c r="F1891" s="255"/>
      <c r="G1891" s="256"/>
      <c r="H1891" s="256"/>
      <c r="I1891" s="200"/>
      <c r="J1891" s="203"/>
      <c r="K1891" s="200"/>
      <c r="L1891" s="200"/>
      <c r="M1891" s="37"/>
      <c r="N1891" s="37"/>
      <c r="O1891" s="153"/>
      <c r="P1891" s="45"/>
      <c r="Q1891" s="54"/>
      <c r="R1891" s="257"/>
      <c r="S1891" s="258"/>
      <c r="T1891" s="258"/>
      <c r="U1891" s="38"/>
      <c r="V1891" s="259"/>
      <c r="W1891" s="256"/>
      <c r="X1891" s="256"/>
      <c r="Y1891" s="256"/>
      <c r="Z1891" s="256"/>
      <c r="AA1891" s="54"/>
      <c r="AB1891" s="200"/>
      <c r="AC1891" s="31"/>
      <c r="AD1891" s="184"/>
      <c r="AE1891" s="51"/>
      <c r="AF1891" s="52"/>
      <c r="AG1891" s="41"/>
      <c r="AH1891" s="45"/>
      <c r="AI1891" s="28"/>
      <c r="AJ1891" s="28"/>
      <c r="AK1891" s="28"/>
      <c r="AL1891" s="28"/>
      <c r="AM1891" s="12"/>
      <c r="AN1891" s="12"/>
      <c r="AO1891" s="12"/>
      <c r="AP1891" s="12"/>
      <c r="AQ1891" s="12"/>
      <c r="AR1891" s="13"/>
      <c r="AS1891" s="14"/>
    </row>
    <row r="1892" spans="1:45" s="16" customFormat="1" ht="30" customHeight="1" x14ac:dyDescent="0.2">
      <c r="A1892" s="35"/>
      <c r="B1892" s="36"/>
      <c r="C1892" s="43"/>
      <c r="D1892" s="29">
        <v>3754081</v>
      </c>
      <c r="E1892" s="29">
        <v>4162300</v>
      </c>
      <c r="F1892" s="255" t="str">
        <f>IF(D1892="","",VLOOKUP(D1892,契約台帳!$A$3:$K$4986,6,FALSE)&amp;VLOOKUP(D1892,契約台帳!$A$3:$K$4986,7,FALSE)&amp;VLOOKUP(D1892,契約台帳!$A$3:$K$4986,8,FALSE)&amp;VLOOKUP(D1892,契約台帳!$A$3:$K$4986,9,FALSE)&amp;VLOOKUP(D1892,契約台帳!$A$3:$K$4986,11,FALSE))</f>
        <v>3SYMLBMNGKKBF</v>
      </c>
      <c r="G1892" s="256" t="str">
        <f>IF(D1892="","",VLOOKUP(F1892,製品マスタ!$G$5:$H$4999,2,FALSE))</f>
        <v>S</v>
      </c>
      <c r="H1892" s="256" t="str">
        <f>IF(D1892="","",VLOOKUP(F1892,製品マスタ!$G$5:$K$4999,5,FALSE))</f>
        <v>MNGKKBF</v>
      </c>
      <c r="I1892" s="200" t="str">
        <f>IF(D1892="","",VLOOKUP(F1892,製品マスタ!$G$5:$L$4999,6,FALSE))</f>
        <v>メタルミー　ネーマー銀消改　Ｂ</v>
      </c>
      <c r="J1892" s="203" t="s">
        <v>935</v>
      </c>
      <c r="K1892" s="200">
        <f>IF(D1892="","",VLOOKUP(D1892,契約台帳!$A$3:$L$4986,12,FALSE))</f>
        <v>25</v>
      </c>
      <c r="L1892" s="200" t="str">
        <f>IF(D1892="","",INDEX(製品マスタ!$Q$5:$Q$4999,MATCH('S4'!F1892&amp;'S4'!K1892,製品マスタ!$AO$5:$AO$4999,0)))</f>
        <v>FMATS99</v>
      </c>
      <c r="M1892" s="37">
        <v>1120</v>
      </c>
      <c r="N1892" s="37">
        <v>4000</v>
      </c>
      <c r="O1892" s="153">
        <v>4</v>
      </c>
      <c r="P1892" s="45">
        <v>2</v>
      </c>
      <c r="Q1892" s="206">
        <v>45408</v>
      </c>
      <c r="R1892" s="257">
        <f ca="1">IF(D1892="","",IF(OFFSET(D1892,-1,0)&lt;&gt;"","",IF(OR(J1892="リード付け",J1892="巻足し",J1892="巻返しリード付け"),M1892,VLOOKUP(D1892,契約台帳!$A$3:$N$4986,14,FALSE))))</f>
        <v>1120</v>
      </c>
      <c r="S1892" s="258">
        <f ca="1">IF(D1892="","",IF(OFFSET(D1892,-1,0)&lt;&gt;"","",IF(OR(J1892="リード付け",J1892="巻足し",J1892="巻返しリード付け"),M1892,VLOOKUP(D1892,契約台帳!$A$3:$O$4986,15,FALSE))))</f>
        <v>1120</v>
      </c>
      <c r="T1892" s="258">
        <f ca="1">IF(D1892="","",IF(J1892="リード付け",N1892,IF(J1892="巻返しリード付け",N1892,IF(J1892="巻足し",N1892*P1892+OFFSET(N1892,1,0)*OFFSET(P1892,1,0),VLOOKUP(D1892,契約台帳!$A$3:$P$4986,16,FALSE)))))</f>
        <v>8000</v>
      </c>
      <c r="U1892" s="38">
        <v>2</v>
      </c>
      <c r="V1892" s="259">
        <f ca="1">IF(D1892="","",IF(OFFSET(D1892,-2,0)=D1892,"",VLOOKUP(D1892,契約台帳!$A$3:$R$4986,18,FALSE)))</f>
        <v>4</v>
      </c>
      <c r="W1892" s="256" t="str">
        <f ca="1">IF(D1892="","",IF(T1892="","",IF(OR(J1892="巻足し",J1892="巻返しリード付け"),"",IF(J1892="巻返し",VLOOKUP(F1892&amp;K1892&amp;M1892,製品マスタ!$M$5:$AD$4999,18,FALSE),IF(OR(J1892="リード付け",J1892="巻返しリード付け"),"原反コア",IF(J1892="スリット",VLOOKUP(F1892&amp;K1892&amp;R1892,製品マスタ!$N$5:$AD$4999,17,FALSE),""))))))</f>
        <v/>
      </c>
      <c r="X1892" s="256" t="str">
        <f ca="1">IF(D1892="","",IF(T1892="","",IF(J1892="巻足し","",IF(J1892="巻返し",VLOOKUP(F1892&amp;K1892&amp;M1892,製品マスタ!$M$5:$AE$4999,19,FALSE),IF(OR(J1892="リード付け",J1892="巻返しリード付け"),"",IF(J1892="スリット",VLOOKUP(F1892&amp;K1892&amp;R1892,製品マスタ!$N$5:$AE$4999,18,FALSE),""))))))</f>
        <v/>
      </c>
      <c r="Y1892" s="256">
        <f ca="1">IF(D1892="","",IF(T1892="","",VLOOKUP(D1892,契約台帳!$A$3:$Q$4986,17,FALSE)))</f>
        <v>2</v>
      </c>
      <c r="Z1892" s="256" t="str">
        <f ca="1">IF(D1892="","",IF(T1892="","",VLOOKUP(D1892,契約台帳!$A$3:$E$4986,5,FALSE)))</f>
        <v>リンテック㈱</v>
      </c>
      <c r="AA1892" s="54"/>
      <c r="AB1892" s="200">
        <f>IFERROR((VLOOKUP(F1892&amp;K1892&amp;M1892,製品マスタ!$M$5:$AM$4999,27,FALSE)),"")</f>
        <v>0</v>
      </c>
      <c r="AC1892" s="31"/>
      <c r="AD1892" s="184"/>
      <c r="AE1892" s="51"/>
      <c r="AF1892" s="52">
        <f>+M1892*N1892*O1892/1000</f>
        <v>17920</v>
      </c>
      <c r="AG1892" s="41"/>
      <c r="AH1892" s="45"/>
      <c r="AI1892" s="28"/>
      <c r="AJ1892" s="28"/>
      <c r="AK1892" s="28"/>
      <c r="AL1892" s="28"/>
      <c r="AM1892" s="12"/>
      <c r="AN1892" s="12"/>
      <c r="AO1892" s="12"/>
      <c r="AP1892" s="12"/>
      <c r="AQ1892" s="12"/>
      <c r="AR1892" s="13"/>
      <c r="AS1892" s="14"/>
    </row>
    <row r="1893" spans="1:45" s="16" customFormat="1" ht="30.95" customHeight="1" x14ac:dyDescent="0.2">
      <c r="A1893" s="35"/>
      <c r="B1893" s="36"/>
      <c r="C1893" s="43"/>
      <c r="D1893" s="29"/>
      <c r="E1893" s="29"/>
      <c r="F1893" s="255"/>
      <c r="G1893" s="256"/>
      <c r="H1893" s="256"/>
      <c r="I1893" s="200"/>
      <c r="J1893" s="203"/>
      <c r="K1893" s="200"/>
      <c r="L1893" s="200"/>
      <c r="M1893" s="37"/>
      <c r="N1893" s="37"/>
      <c r="O1893" s="153"/>
      <c r="P1893" s="45"/>
      <c r="Q1893" s="54"/>
      <c r="R1893" s="257"/>
      <c r="S1893" s="258"/>
      <c r="T1893" s="258"/>
      <c r="U1893" s="38"/>
      <c r="V1893" s="259"/>
      <c r="W1893" s="256"/>
      <c r="X1893" s="256"/>
      <c r="Y1893" s="256"/>
      <c r="Z1893" s="256"/>
      <c r="AA1893" s="54"/>
      <c r="AB1893" s="200"/>
      <c r="AC1893" s="31"/>
      <c r="AD1893" s="184"/>
      <c r="AE1893" s="51"/>
      <c r="AF1893" s="52"/>
      <c r="AG1893" s="41"/>
      <c r="AH1893" s="45"/>
      <c r="AI1893" s="28"/>
      <c r="AJ1893" s="28"/>
      <c r="AK1893" s="28"/>
      <c r="AL1893" s="28"/>
      <c r="AM1893" s="12"/>
      <c r="AN1893" s="12"/>
      <c r="AO1893" s="12"/>
      <c r="AP1893" s="12"/>
      <c r="AQ1893" s="12"/>
      <c r="AR1893" s="13"/>
      <c r="AS1893" s="14"/>
    </row>
    <row r="1894" spans="1:45" s="16" customFormat="1" ht="30.6" customHeight="1" x14ac:dyDescent="0.2">
      <c r="A1894" s="35"/>
      <c r="B1894" s="36"/>
      <c r="C1894" s="43"/>
      <c r="D1894" s="29">
        <v>3754094</v>
      </c>
      <c r="E1894" s="29">
        <v>4162306</v>
      </c>
      <c r="F1894" s="255" t="str">
        <f>IF(D1894="","",VLOOKUP(D1894,契約台帳!$A$3:$K$4986,6,FALSE)&amp;VLOOKUP(D1894,契約台帳!$A$3:$K$4986,7,FALSE)&amp;VLOOKUP(D1894,契約台帳!$A$3:$K$4986,8,FALSE)&amp;VLOOKUP(D1894,契約台帳!$A$3:$K$4986,9,FALSE)&amp;VLOOKUP(D1894,契約台帳!$A$3:$K$4986,11,FALSE))</f>
        <v>3SYMLBMSBBF</v>
      </c>
      <c r="G1894" s="256" t="str">
        <f>IF(D1894="","",VLOOKUP(F1894,製品マスタ!$G$5:$H$4999,2,FALSE))</f>
        <v>S</v>
      </c>
      <c r="H1894" s="256" t="str">
        <f>IF(D1894="","",VLOOKUP(F1894,製品マスタ!$G$5:$K$4999,5,FALSE))</f>
        <v>MSBBF</v>
      </c>
      <c r="I1894" s="200" t="str">
        <f>IF(D1894="","",VLOOKUP(F1894,製品マスタ!$G$5:$L$4999,6,FALSE))</f>
        <v>ＭＥＴＡＬＵＭＹ　ＳＩＬＶＥＲ　ＢＲＩＧＨＴ　Ｔ６２Ｍ　Ｂ</v>
      </c>
      <c r="J1894" s="203" t="s">
        <v>935</v>
      </c>
      <c r="K1894" s="200">
        <f>IF(D1894="","",VLOOKUP(D1894,契約台帳!$A$3:$L$4986,12,FALSE))</f>
        <v>50</v>
      </c>
      <c r="L1894" s="200" t="str">
        <f>IF(D1894="","",INDEX(製品マスタ!$Q$5:$Q$4999,MATCH('S4'!F1894&amp;'S4'!K1894,製品マスタ!$AO$5:$AO$4999,0)))</f>
        <v>T62</v>
      </c>
      <c r="M1894" s="37">
        <v>1120</v>
      </c>
      <c r="N1894" s="37">
        <v>5000</v>
      </c>
      <c r="O1894" s="153">
        <v>4</v>
      </c>
      <c r="P1894" s="45">
        <v>2</v>
      </c>
      <c r="Q1894" s="206">
        <v>45408</v>
      </c>
      <c r="R1894" s="257">
        <f ca="1">IF(D1894="","",IF(OFFSET(D1894,-1,0)&lt;&gt;"","",IF(OR(J1894="リード付け",J1894="巻足し",J1894="巻返しリード付け"),M1894,VLOOKUP(D1894,契約台帳!$A$3:$N$4986,14,FALSE))))</f>
        <v>1120</v>
      </c>
      <c r="S1894" s="258">
        <f ca="1">IF(D1894="","",IF(OFFSET(D1894,-1,0)&lt;&gt;"","",IF(OR(J1894="リード付け",J1894="巻足し",J1894="巻返しリード付け"),M1894,VLOOKUP(D1894,契約台帳!$A$3:$O$4986,15,FALSE))))</f>
        <v>1120</v>
      </c>
      <c r="T1894" s="258">
        <f ca="1">IF(D1894="","",IF(J1894="リード付け",N1894,IF(J1894="巻返しリード付け",N1894,IF(J1894="巻足し",N1894*P1894+OFFSET(N1894,1,0)*OFFSET(P1894,1,0),VLOOKUP(D1894,契約台帳!$A$3:$P$4986,16,FALSE)))))</f>
        <v>10000</v>
      </c>
      <c r="U1894" s="38">
        <v>2</v>
      </c>
      <c r="V1894" s="259">
        <f ca="1">IF(D1894="","",IF(OFFSET(D1894,-2,0)=D1894,"",VLOOKUP(D1894,契約台帳!$A$3:$R$4986,18,FALSE)))</f>
        <v>4</v>
      </c>
      <c r="W1894" s="256" t="str">
        <f ca="1">IF(D1894="","",IF(T1894="","",IF(OR(J1894="巻足し",J1894="巻返しリード付け"),"",IF(J1894="巻返し",VLOOKUP(F1894&amp;K1894&amp;M1894,製品マスタ!$M$5:$AD$4999,18,FALSE),IF(OR(J1894="リード付け",J1894="巻返しリード付け"),"原反コア",IF(J1894="スリット",VLOOKUP(F1894&amp;K1894&amp;R1894,製品マスタ!$N$5:$AD$4999,17,FALSE),""))))))</f>
        <v/>
      </c>
      <c r="X1894" s="256" t="str">
        <f ca="1">IF(D1894="","",IF(T1894="","",IF(J1894="巻足し","",IF(J1894="巻返し",VLOOKUP(F1894&amp;K1894&amp;M1894,製品マスタ!$M$5:$AE$4999,19,FALSE),IF(OR(J1894="リード付け",J1894="巻返しリード付け"),"",IF(J1894="スリット",VLOOKUP(F1894&amp;K1894&amp;R1894,製品マスタ!$N$5:$AE$4999,18,FALSE),""))))))</f>
        <v/>
      </c>
      <c r="Y1894" s="256">
        <f ca="1">IF(D1894="","",IF(T1894="","",VLOOKUP(D1894,契約台帳!$A$3:$Q$4986,17,FALSE)))</f>
        <v>2</v>
      </c>
      <c r="Z1894" s="256" t="str">
        <f ca="1">IF(D1894="","",IF(T1894="","",VLOOKUP(D1894,契約台帳!$A$3:$E$4986,5,FALSE)))</f>
        <v>リンテック㈱</v>
      </c>
      <c r="AA1894" s="54"/>
      <c r="AB1894" s="200" t="str">
        <f>IFERROR((VLOOKUP(F1894&amp;K1894&amp;M1894,製品マスタ!$M$5:$AM$4999,27,FALSE)),"")</f>
        <v>原反ケース再利用</v>
      </c>
      <c r="AC1894" s="31"/>
      <c r="AD1894" s="184"/>
      <c r="AE1894" s="51"/>
      <c r="AF1894" s="52">
        <f>+M1894*N1894*O1894/1000</f>
        <v>22400</v>
      </c>
      <c r="AG1894" s="41"/>
      <c r="AH1894" s="45"/>
      <c r="AI1894" s="28"/>
      <c r="AJ1894" s="28"/>
      <c r="AK1894" s="28"/>
      <c r="AL1894" s="28"/>
      <c r="AM1894" s="12"/>
      <c r="AN1894" s="12"/>
      <c r="AO1894" s="12"/>
      <c r="AP1894" s="12"/>
      <c r="AQ1894" s="12"/>
      <c r="AR1894" s="13"/>
      <c r="AS1894" s="14"/>
    </row>
    <row r="1895" spans="1:45" s="16" customFormat="1" ht="30.95" customHeight="1" x14ac:dyDescent="0.2">
      <c r="A1895" s="35"/>
      <c r="B1895" s="36"/>
      <c r="C1895" s="43"/>
      <c r="D1895" s="29"/>
      <c r="E1895" s="29"/>
      <c r="F1895" s="255"/>
      <c r="G1895" s="256"/>
      <c r="H1895" s="256"/>
      <c r="I1895" s="200"/>
      <c r="J1895" s="203"/>
      <c r="K1895" s="200"/>
      <c r="L1895" s="200"/>
      <c r="M1895" s="37"/>
      <c r="N1895" s="37"/>
      <c r="O1895" s="153"/>
      <c r="P1895" s="45"/>
      <c r="Q1895" s="54"/>
      <c r="R1895" s="257"/>
      <c r="S1895" s="258"/>
      <c r="T1895" s="258"/>
      <c r="U1895" s="38"/>
      <c r="V1895" s="259"/>
      <c r="W1895" s="256"/>
      <c r="X1895" s="256"/>
      <c r="Y1895" s="256"/>
      <c r="Z1895" s="256"/>
      <c r="AA1895" s="54"/>
      <c r="AB1895" s="200"/>
      <c r="AC1895" s="31"/>
      <c r="AD1895" s="184"/>
      <c r="AE1895" s="51"/>
      <c r="AF1895" s="52"/>
      <c r="AG1895" s="41"/>
      <c r="AH1895" s="45"/>
      <c r="AI1895" s="28"/>
      <c r="AJ1895" s="28"/>
      <c r="AK1895" s="28"/>
      <c r="AL1895" s="28"/>
      <c r="AM1895" s="12"/>
      <c r="AN1895" s="12"/>
      <c r="AO1895" s="12"/>
      <c r="AP1895" s="12"/>
      <c r="AQ1895" s="12"/>
      <c r="AR1895" s="13"/>
      <c r="AS1895" s="14"/>
    </row>
    <row r="1896" spans="1:45" s="16" customFormat="1" ht="30.6" customHeight="1" x14ac:dyDescent="0.2">
      <c r="A1896" s="35"/>
      <c r="B1896" s="36"/>
      <c r="C1896" s="43"/>
      <c r="D1896" s="29">
        <v>3754095</v>
      </c>
      <c r="E1896" s="29">
        <v>4162307</v>
      </c>
      <c r="F1896" s="255" t="str">
        <f>IF(D1896="","",VLOOKUP(D1896,契約台帳!$A$3:$K$4986,6,FALSE)&amp;VLOOKUP(D1896,契約台帳!$A$3:$K$4986,7,FALSE)&amp;VLOOKUP(D1896,契約台帳!$A$3:$K$4986,8,FALSE)&amp;VLOOKUP(D1896,契約台帳!$A$3:$K$4986,9,FALSE)&amp;VLOOKUP(D1896,契約台帳!$A$3:$K$4986,11,FALSE))</f>
        <v>3SYMLBMSBBF</v>
      </c>
      <c r="G1896" s="256" t="str">
        <f>IF(D1896="","",VLOOKUP(F1896,製品マスタ!$G$5:$H$4999,2,FALSE))</f>
        <v>S</v>
      </c>
      <c r="H1896" s="256" t="str">
        <f>IF(D1896="","",VLOOKUP(F1896,製品マスタ!$G$5:$K$4999,5,FALSE))</f>
        <v>MSBBF</v>
      </c>
      <c r="I1896" s="200" t="str">
        <f>IF(D1896="","",VLOOKUP(F1896,製品マスタ!$G$5:$L$4999,6,FALSE))</f>
        <v>ＭＥＴＡＬＵＭＹ　ＳＩＬＶＥＲ　ＢＲＩＧＨＴ　Ｔ６２Ｍ　Ｂ</v>
      </c>
      <c r="J1896" s="203" t="s">
        <v>935</v>
      </c>
      <c r="K1896" s="200">
        <f>IF(D1896="","",VLOOKUP(D1896,契約台帳!$A$3:$L$4986,12,FALSE))</f>
        <v>50</v>
      </c>
      <c r="L1896" s="200" t="str">
        <f>IF(D1896="","",INDEX(製品マスタ!$Q$5:$Q$4999,MATCH('S4'!F1896&amp;'S4'!K1896,製品マスタ!$AO$5:$AO$4999,0)))</f>
        <v>T62</v>
      </c>
      <c r="M1896" s="37">
        <v>1120</v>
      </c>
      <c r="N1896" s="37">
        <v>5000</v>
      </c>
      <c r="O1896" s="153">
        <v>6</v>
      </c>
      <c r="P1896" s="45">
        <v>2</v>
      </c>
      <c r="Q1896" s="206">
        <v>45408</v>
      </c>
      <c r="R1896" s="257">
        <f ca="1">IF(D1896="","",IF(OFFSET(D1896,-1,0)&lt;&gt;"","",IF(OR(J1896="リード付け",J1896="巻足し",J1896="巻返しリード付け"),M1896,VLOOKUP(D1896,契約台帳!$A$3:$N$4986,14,FALSE))))</f>
        <v>1120</v>
      </c>
      <c r="S1896" s="258">
        <f ca="1">IF(D1896="","",IF(OFFSET(D1896,-1,0)&lt;&gt;"","",IF(OR(J1896="リード付け",J1896="巻足し",J1896="巻返しリード付け"),M1896,VLOOKUP(D1896,契約台帳!$A$3:$O$4986,15,FALSE))))</f>
        <v>1120</v>
      </c>
      <c r="T1896" s="258">
        <f ca="1">IF(D1896="","",IF(J1896="リード付け",N1896,IF(J1896="巻返しリード付け",N1896,IF(J1896="巻足し",N1896*P1896+OFFSET(N1896,1,0)*OFFSET(P1896,1,0),VLOOKUP(D1896,契約台帳!$A$3:$P$4986,16,FALSE)))))</f>
        <v>10000</v>
      </c>
      <c r="U1896" s="38">
        <v>3</v>
      </c>
      <c r="V1896" s="259">
        <f ca="1">IF(D1896="","",IF(OFFSET(D1896,-2,0)=D1896,"",VLOOKUP(D1896,契約台帳!$A$3:$R$4986,18,FALSE)))</f>
        <v>6</v>
      </c>
      <c r="W1896" s="256" t="str">
        <f ca="1">IF(D1896="","",IF(T1896="","",IF(OR(J1896="巻足し",J1896="巻返しリード付け"),"",IF(J1896="巻返し",VLOOKUP(F1896&amp;K1896&amp;M1896,製品マスタ!$M$5:$AD$4999,18,FALSE),IF(OR(J1896="リード付け",J1896="巻返しリード付け"),"原反コア",IF(J1896="スリット",VLOOKUP(F1896&amp;K1896&amp;R1896,製品マスタ!$N$5:$AD$4999,17,FALSE),""))))))</f>
        <v/>
      </c>
      <c r="X1896" s="256" t="str">
        <f ca="1">IF(D1896="","",IF(T1896="","",IF(J1896="巻足し","",IF(J1896="巻返し",VLOOKUP(F1896&amp;K1896&amp;M1896,製品マスタ!$M$5:$AE$4999,19,FALSE),IF(OR(J1896="リード付け",J1896="巻返しリード付け"),"",IF(J1896="スリット",VLOOKUP(F1896&amp;K1896&amp;R1896,製品マスタ!$N$5:$AE$4999,18,FALSE),""))))))</f>
        <v/>
      </c>
      <c r="Y1896" s="256">
        <f ca="1">IF(D1896="","",IF(T1896="","",VLOOKUP(D1896,契約台帳!$A$3:$Q$4986,17,FALSE)))</f>
        <v>2</v>
      </c>
      <c r="Z1896" s="256" t="str">
        <f ca="1">IF(D1896="","",IF(T1896="","",VLOOKUP(D1896,契約台帳!$A$3:$E$4986,5,FALSE)))</f>
        <v>リンテック㈱</v>
      </c>
      <c r="AA1896" s="54"/>
      <c r="AB1896" s="200" t="str">
        <f>IFERROR((VLOOKUP(F1896&amp;K1896&amp;M1896,製品マスタ!$M$5:$AM$4999,27,FALSE)),"")</f>
        <v>原反ケース再利用</v>
      </c>
      <c r="AC1896" s="31"/>
      <c r="AD1896" s="184"/>
      <c r="AE1896" s="51"/>
      <c r="AF1896" s="52">
        <f>+M1896*N1896*O1896/1000</f>
        <v>33600</v>
      </c>
      <c r="AG1896" s="41"/>
      <c r="AH1896" s="45"/>
      <c r="AI1896" s="28"/>
      <c r="AJ1896" s="28"/>
      <c r="AK1896" s="28"/>
      <c r="AL1896" s="28"/>
      <c r="AM1896" s="12"/>
      <c r="AN1896" s="12"/>
      <c r="AO1896" s="12"/>
      <c r="AP1896" s="12"/>
      <c r="AQ1896" s="12"/>
      <c r="AR1896" s="13"/>
      <c r="AS1896" s="14"/>
    </row>
    <row r="1897" spans="1:45" s="16" customFormat="1" ht="30.95" customHeight="1" x14ac:dyDescent="0.2">
      <c r="A1897" s="35"/>
      <c r="B1897" s="36"/>
      <c r="C1897" s="43"/>
      <c r="D1897" s="29"/>
      <c r="E1897" s="29"/>
      <c r="F1897" s="255"/>
      <c r="G1897" s="256"/>
      <c r="H1897" s="256"/>
      <c r="I1897" s="200"/>
      <c r="J1897" s="203"/>
      <c r="K1897" s="200"/>
      <c r="L1897" s="200"/>
      <c r="M1897" s="37"/>
      <c r="N1897" s="37"/>
      <c r="O1897" s="153"/>
      <c r="P1897" s="45"/>
      <c r="Q1897" s="54"/>
      <c r="R1897" s="257"/>
      <c r="S1897" s="258"/>
      <c r="T1897" s="258"/>
      <c r="U1897" s="38"/>
      <c r="V1897" s="259"/>
      <c r="W1897" s="256"/>
      <c r="X1897" s="256"/>
      <c r="Y1897" s="256"/>
      <c r="Z1897" s="256"/>
      <c r="AA1897" s="54"/>
      <c r="AB1897" s="200"/>
      <c r="AC1897" s="31"/>
      <c r="AD1897" s="184"/>
      <c r="AE1897" s="51"/>
      <c r="AF1897" s="52"/>
      <c r="AG1897" s="41"/>
      <c r="AH1897" s="45"/>
      <c r="AI1897" s="28"/>
      <c r="AJ1897" s="28"/>
      <c r="AK1897" s="28"/>
      <c r="AL1897" s="28"/>
      <c r="AM1897" s="12"/>
      <c r="AN1897" s="12"/>
      <c r="AO1897" s="12"/>
      <c r="AP1897" s="12"/>
      <c r="AQ1897" s="12"/>
      <c r="AR1897" s="13"/>
      <c r="AS1897" s="14"/>
    </row>
    <row r="1898" spans="1:45" s="16" customFormat="1" ht="30.6" customHeight="1" x14ac:dyDescent="0.2">
      <c r="A1898" s="35" t="s">
        <v>1071</v>
      </c>
      <c r="B1898" s="36" t="s">
        <v>688</v>
      </c>
      <c r="C1898" s="43"/>
      <c r="D1898" s="29">
        <v>3754084</v>
      </c>
      <c r="E1898" s="29">
        <v>4162297</v>
      </c>
      <c r="F1898" s="255" t="str">
        <f>IF(D1898="","",VLOOKUP(D1898,契約台帳!$A$3:$K$4986,6,FALSE)&amp;VLOOKUP(D1898,契約台帳!$A$3:$K$4986,7,FALSE)&amp;VLOOKUP(D1898,契約台帳!$A$3:$K$4986,8,FALSE)&amp;VLOOKUP(D1898,契約台帳!$A$3:$K$4986,9,FALSE)&amp;VLOOKUP(D1898,契約台帳!$A$3:$K$4986,11,FALSE))</f>
        <v>3SNMLBMNGKBF</v>
      </c>
      <c r="G1898" s="256" t="str">
        <f>IF(D1898="","",VLOOKUP(F1898,製品マスタ!$G$5:$H$4999,2,FALSE))</f>
        <v>S</v>
      </c>
      <c r="H1898" s="256" t="str">
        <f>IF(D1898="","",VLOOKUP(F1898,製品マスタ!$G$5:$K$4999,5,FALSE))</f>
        <v>MNGKBF</v>
      </c>
      <c r="I1898" s="200" t="str">
        <f>IF(D1898="","",VLOOKUP(F1898,製品マスタ!$G$5:$L$4999,6,FALSE))</f>
        <v>メタルミー　ネーマー銀消　Ｂ</v>
      </c>
      <c r="J1898" s="203" t="s">
        <v>935</v>
      </c>
      <c r="K1898" s="200">
        <f>IF(D1898="","",VLOOKUP(D1898,契約台帳!$A$3:$L$4986,12,FALSE))</f>
        <v>50</v>
      </c>
      <c r="L1898" s="200" t="str">
        <f>IF(D1898="","",INDEX(製品マスタ!$Q$5:$Q$4999,MATCH('S4'!F1898&amp;'S4'!K1898,製品マスタ!$AO$5:$AO$4999,0)))</f>
        <v>MAT</v>
      </c>
      <c r="M1898" s="37">
        <v>1050</v>
      </c>
      <c r="N1898" s="37">
        <v>4100</v>
      </c>
      <c r="O1898" s="153">
        <v>3</v>
      </c>
      <c r="P1898" s="45">
        <v>3</v>
      </c>
      <c r="Q1898" s="206">
        <v>45408</v>
      </c>
      <c r="R1898" s="257">
        <f ca="1">IF(D1898="","",IF(OFFSET(D1898,-1,0)&lt;&gt;"","",IF(OR(J1898="リード付け",J1898="巻足し",J1898="巻返しリード付け"),M1898,VLOOKUP(D1898,契約台帳!$A$3:$N$4986,14,FALSE))))</f>
        <v>1050</v>
      </c>
      <c r="S1898" s="258">
        <f ca="1">IF(D1898="","",IF(OFFSET(D1898,-1,0)&lt;&gt;"","",IF(OR(J1898="リード付け",J1898="巻足し",J1898="巻返しリード付け"),M1898,VLOOKUP(D1898,契約台帳!$A$3:$O$4986,15,FALSE))))</f>
        <v>1050</v>
      </c>
      <c r="T1898" s="258">
        <f ca="1">IF(D1898="","",IF(J1898="リード付け",N1898,IF(J1898="巻返しリード付け",N1898,IF(J1898="巻足し",N1898*P1898+OFFSET(N1898,1,0)*OFFSET(P1898,1,0),VLOOKUP(D1898,契約台帳!$A$3:$P$4986,16,FALSE)))))</f>
        <v>12300</v>
      </c>
      <c r="U1898" s="38">
        <v>1</v>
      </c>
      <c r="V1898" s="259">
        <f ca="1">IF(D1898="","",IF(OFFSET(D1898,-2,0)=D1898,"",VLOOKUP(D1898,契約台帳!$A$3:$R$4986,18,FALSE)))</f>
        <v>3</v>
      </c>
      <c r="W1898" s="256" t="str">
        <f ca="1">IF(D1898="","",IF(T1898="","",IF(OR(J1898="巻足し",J1898="巻返しリード付け"),"",IF(J1898="巻返し",VLOOKUP(F1898&amp;K1898&amp;M1898,製品マスタ!$M$5:$AD$4999,18,FALSE),IF(OR(J1898="リード付け",J1898="巻返しリード付け"),"原反コア",IF(J1898="スリット",VLOOKUP(F1898&amp;K1898&amp;R1898,製品マスタ!$N$5:$AD$4999,17,FALSE),""))))))</f>
        <v/>
      </c>
      <c r="X1898" s="256" t="str">
        <f ca="1">IF(D1898="","",IF(T1898="","",IF(J1898="巻足し","",IF(J1898="巻返し",VLOOKUP(F1898&amp;K1898&amp;M1898,製品マスタ!$M$5:$AE$4999,19,FALSE),IF(OR(J1898="リード付け",J1898="巻返しリード付け"),"",IF(J1898="スリット",VLOOKUP(F1898&amp;K1898&amp;R1898,製品マスタ!$N$5:$AE$4999,18,FALSE),""))))))</f>
        <v/>
      </c>
      <c r="Y1898" s="256">
        <f ca="1">IF(D1898="","",IF(T1898="","",VLOOKUP(D1898,契約台帳!$A$3:$Q$4986,17,FALSE)))</f>
        <v>2</v>
      </c>
      <c r="Z1898" s="256" t="str">
        <f ca="1">IF(D1898="","",IF(T1898="","",VLOOKUP(D1898,契約台帳!$A$3:$E$4986,5,FALSE)))</f>
        <v>リンテック㈱</v>
      </c>
      <c r="AA1898" s="54"/>
      <c r="AB1898" s="200">
        <f>IFERROR((VLOOKUP(F1898&amp;K1898&amp;M1898,製品マスタ!$M$5:$AM$4999,27,FALSE)),"")</f>
        <v>0</v>
      </c>
      <c r="AC1898" s="31"/>
      <c r="AD1898" s="184"/>
      <c r="AE1898" s="51"/>
      <c r="AF1898" s="52">
        <f>+M1898*N1898*O1898/1000</f>
        <v>12915</v>
      </c>
      <c r="AG1898" s="41"/>
      <c r="AH1898" s="45"/>
      <c r="AI1898" s="28"/>
      <c r="AJ1898" s="28"/>
      <c r="AK1898" s="28"/>
      <c r="AL1898" s="28"/>
      <c r="AM1898" s="12"/>
      <c r="AN1898" s="12"/>
      <c r="AO1898" s="12"/>
      <c r="AP1898" s="12"/>
      <c r="AQ1898" s="12"/>
      <c r="AR1898" s="13"/>
      <c r="AS1898" s="14"/>
    </row>
    <row r="1899" spans="1:45" s="16" customFormat="1" ht="30.95" customHeight="1" x14ac:dyDescent="0.2">
      <c r="A1899" s="303"/>
      <c r="B1899" s="304"/>
      <c r="C1899" s="305"/>
      <c r="D1899" s="306"/>
      <c r="E1899" s="306"/>
      <c r="F1899" s="255"/>
      <c r="G1899" s="256"/>
      <c r="H1899" s="256"/>
      <c r="I1899" s="200"/>
      <c r="J1899" s="347"/>
      <c r="K1899" s="200"/>
      <c r="L1899" s="200"/>
      <c r="M1899" s="308"/>
      <c r="N1899" s="308"/>
      <c r="O1899" s="348"/>
      <c r="P1899" s="309"/>
      <c r="Q1899" s="310"/>
      <c r="R1899" s="257"/>
      <c r="S1899" s="258"/>
      <c r="T1899" s="258"/>
      <c r="U1899" s="311"/>
      <c r="V1899" s="259"/>
      <c r="W1899" s="256"/>
      <c r="X1899" s="256"/>
      <c r="Y1899" s="256"/>
      <c r="Z1899" s="256"/>
      <c r="AA1899" s="310"/>
      <c r="AB1899" s="200"/>
      <c r="AC1899" s="312"/>
      <c r="AD1899" s="313"/>
      <c r="AE1899" s="51"/>
      <c r="AF1899" s="314"/>
      <c r="AG1899" s="315"/>
      <c r="AH1899" s="309"/>
      <c r="AI1899" s="28"/>
      <c r="AJ1899" s="28"/>
      <c r="AK1899" s="28"/>
      <c r="AL1899" s="28"/>
      <c r="AM1899" s="12"/>
      <c r="AN1899" s="12"/>
      <c r="AO1899" s="12"/>
      <c r="AP1899" s="12"/>
      <c r="AQ1899" s="12"/>
      <c r="AR1899" s="13"/>
      <c r="AS1899" s="14"/>
    </row>
    <row r="1900" spans="1:45" s="16" customFormat="1" ht="30.6" customHeight="1" x14ac:dyDescent="0.2">
      <c r="A1900" s="35"/>
      <c r="B1900" s="36"/>
      <c r="C1900" s="43"/>
      <c r="D1900" s="29">
        <v>3754085</v>
      </c>
      <c r="E1900" s="29">
        <v>4162298</v>
      </c>
      <c r="F1900" s="255" t="str">
        <f>IF(D1900="","",VLOOKUP(D1900,契約台帳!$A$3:$K$4986,6,FALSE)&amp;VLOOKUP(D1900,契約台帳!$A$3:$K$4986,7,FALSE)&amp;VLOOKUP(D1900,契約台帳!$A$3:$K$4986,8,FALSE)&amp;VLOOKUP(D1900,契約台帳!$A$3:$K$4986,9,FALSE)&amp;VLOOKUP(D1900,契約台帳!$A$3:$K$4986,11,FALSE))</f>
        <v>3SNMLBMNGKBF</v>
      </c>
      <c r="G1900" s="256" t="str">
        <f>IF(D1900="","",VLOOKUP(F1900,製品マスタ!$G$5:$H$4999,2,FALSE))</f>
        <v>S</v>
      </c>
      <c r="H1900" s="256" t="str">
        <f>IF(D1900="","",VLOOKUP(F1900,製品マスタ!$G$5:$K$4999,5,FALSE))</f>
        <v>MNGKBF</v>
      </c>
      <c r="I1900" s="200" t="str">
        <f>IF(D1900="","",VLOOKUP(F1900,製品マスタ!$G$5:$L$4999,6,FALSE))</f>
        <v>メタルミー　ネーマー銀消　Ｂ</v>
      </c>
      <c r="J1900" s="203" t="s">
        <v>935</v>
      </c>
      <c r="K1900" s="200">
        <f>IF(D1900="","",VLOOKUP(D1900,契約台帳!$A$3:$L$4986,12,FALSE))</f>
        <v>75</v>
      </c>
      <c r="L1900" s="200" t="str">
        <f>IF(D1900="","",INDEX(製品マスタ!$Q$5:$Q$4999,MATCH('S4'!F1900&amp;'S4'!K1900,製品マスタ!$AO$5:$AO$4999,0)))</f>
        <v>MAT</v>
      </c>
      <c r="M1900" s="37">
        <v>1050</v>
      </c>
      <c r="N1900" s="37">
        <v>2000</v>
      </c>
      <c r="O1900" s="153">
        <v>2</v>
      </c>
      <c r="P1900" s="45">
        <v>2</v>
      </c>
      <c r="Q1900" s="206">
        <v>45408</v>
      </c>
      <c r="R1900" s="257">
        <f ca="1">IF(D1900="","",IF(OFFSET(D1900,-1,0)&lt;&gt;"","",IF(OR(J1900="リード付け",J1900="巻足し",J1900="巻返しリード付け"),M1900,VLOOKUP(D1900,契約台帳!$A$3:$N$4986,14,FALSE))))</f>
        <v>1050</v>
      </c>
      <c r="S1900" s="258">
        <f ca="1">IF(D1900="","",IF(OFFSET(D1900,-1,0)&lt;&gt;"","",IF(OR(J1900="リード付け",J1900="巻足し",J1900="巻返しリード付け"),M1900,VLOOKUP(D1900,契約台帳!$A$3:$O$4986,15,FALSE))))</f>
        <v>1050</v>
      </c>
      <c r="T1900" s="258">
        <f ca="1">IF(D1900="","",IF(J1900="リード付け",N1900,IF(J1900="巻返しリード付け",N1900,IF(J1900="巻足し",N1900*P1900+OFFSET(N1900,1,0)*OFFSET(P1900,1,0),VLOOKUP(D1900,契約台帳!$A$3:$P$4986,16,FALSE)))))</f>
        <v>4000</v>
      </c>
      <c r="U1900" s="38">
        <v>1</v>
      </c>
      <c r="V1900" s="259">
        <f ca="1">IF(D1900="","",IF(OFFSET(D1900,-2,0)=D1900,"",VLOOKUP(D1900,契約台帳!$A$3:$R$4986,18,FALSE)))</f>
        <v>2</v>
      </c>
      <c r="W1900" s="256" t="str">
        <f ca="1">IF(D1900="","",IF(T1900="","",IF(OR(J1900="巻足し",J1900="巻返しリード付け"),"",IF(J1900="巻返し",VLOOKUP(F1900&amp;K1900&amp;M1900,製品マスタ!$M$5:$AD$4999,18,FALSE),IF(OR(J1900="リード付け",J1900="巻返しリード付け"),"原反コア",IF(J1900="スリット",VLOOKUP(F1900&amp;K1900&amp;R1900,製品マスタ!$N$5:$AD$4999,17,FALSE),""))))))</f>
        <v/>
      </c>
      <c r="X1900" s="256" t="str">
        <f ca="1">IF(D1900="","",IF(T1900="","",IF(J1900="巻足し","",IF(J1900="巻返し",VLOOKUP(F1900&amp;K1900&amp;M1900,製品マスタ!$M$5:$AE$4999,19,FALSE),IF(OR(J1900="リード付け",J1900="巻返しリード付け"),"",IF(J1900="スリット",VLOOKUP(F1900&amp;K1900&amp;R1900,製品マスタ!$N$5:$AE$4999,18,FALSE),""))))))</f>
        <v/>
      </c>
      <c r="Y1900" s="256">
        <f ca="1">IF(D1900="","",IF(T1900="","",VLOOKUP(D1900,契約台帳!$A$3:$Q$4986,17,FALSE)))</f>
        <v>2</v>
      </c>
      <c r="Z1900" s="256" t="str">
        <f ca="1">IF(D1900="","",IF(T1900="","",VLOOKUP(D1900,契約台帳!$A$3:$E$4986,5,FALSE)))</f>
        <v>リンテック㈱</v>
      </c>
      <c r="AA1900" s="54"/>
      <c r="AB1900" s="200">
        <f>IFERROR((VLOOKUP(F1900&amp;K1900&amp;M1900,製品マスタ!$M$5:$AM$4999,27,FALSE)),"")</f>
        <v>0</v>
      </c>
      <c r="AC1900" s="31"/>
      <c r="AD1900" s="184"/>
      <c r="AE1900" s="51"/>
      <c r="AF1900" s="52">
        <f>+M1900*N1900*O1900/1000</f>
        <v>4200</v>
      </c>
      <c r="AG1900" s="41"/>
      <c r="AH1900" s="45"/>
      <c r="AI1900" s="28"/>
      <c r="AJ1900" s="28"/>
      <c r="AK1900" s="28"/>
      <c r="AL1900" s="28"/>
      <c r="AM1900" s="12"/>
      <c r="AN1900" s="12"/>
      <c r="AO1900" s="12"/>
      <c r="AP1900" s="12"/>
      <c r="AQ1900" s="12"/>
      <c r="AR1900" s="13"/>
      <c r="AS1900" s="14"/>
    </row>
    <row r="1901" spans="1:45" s="16" customFormat="1" ht="30.95" customHeight="1" x14ac:dyDescent="0.2">
      <c r="A1901" s="303"/>
      <c r="B1901" s="304"/>
      <c r="C1901" s="305"/>
      <c r="D1901" s="306"/>
      <c r="E1901" s="306"/>
      <c r="F1901" s="255"/>
      <c r="G1901" s="256"/>
      <c r="H1901" s="256"/>
      <c r="I1901" s="200"/>
      <c r="J1901" s="347"/>
      <c r="K1901" s="200"/>
      <c r="L1901" s="200"/>
      <c r="M1901" s="308"/>
      <c r="N1901" s="308"/>
      <c r="O1901" s="348"/>
      <c r="P1901" s="309"/>
      <c r="Q1901" s="310"/>
      <c r="R1901" s="257"/>
      <c r="S1901" s="258"/>
      <c r="T1901" s="258"/>
      <c r="U1901" s="311"/>
      <c r="V1901" s="259"/>
      <c r="W1901" s="256"/>
      <c r="X1901" s="256"/>
      <c r="Y1901" s="256"/>
      <c r="Z1901" s="256"/>
      <c r="AA1901" s="310"/>
      <c r="AB1901" s="200"/>
      <c r="AC1901" s="312"/>
      <c r="AD1901" s="313"/>
      <c r="AE1901" s="51"/>
      <c r="AF1901" s="314"/>
      <c r="AG1901" s="315"/>
      <c r="AH1901" s="309"/>
      <c r="AI1901" s="28"/>
      <c r="AJ1901" s="28"/>
      <c r="AK1901" s="28"/>
      <c r="AL1901" s="28"/>
      <c r="AM1901" s="12"/>
      <c r="AN1901" s="12"/>
      <c r="AO1901" s="12"/>
      <c r="AP1901" s="12"/>
      <c r="AQ1901" s="12"/>
      <c r="AR1901" s="13"/>
      <c r="AS1901" s="14"/>
    </row>
    <row r="1902" spans="1:45" s="16" customFormat="1" ht="30.6" customHeight="1" x14ac:dyDescent="0.2">
      <c r="A1902" s="35"/>
      <c r="B1902" s="36"/>
      <c r="C1902" s="43"/>
      <c r="D1902" s="29">
        <v>3754103</v>
      </c>
      <c r="E1902" s="29">
        <v>4162320</v>
      </c>
      <c r="F1902" s="255" t="str">
        <f>IF(D1902="","",VLOOKUP(D1902,契約台帳!$A$3:$K$4986,6,FALSE)&amp;VLOOKUP(D1902,契約台帳!$A$3:$K$4986,7,FALSE)&amp;VLOOKUP(D1902,契約台帳!$A$3:$K$4986,8,FALSE)&amp;VLOOKUP(D1902,契約台帳!$A$3:$K$4986,9,FALSE)&amp;VLOOKUP(D1902,契約台帳!$A$3:$K$4986,11,FALSE))</f>
        <v>3TNMCLBHLGKJV</v>
      </c>
      <c r="G1902" s="256" t="str">
        <f>IF(D1902="","",VLOOKUP(F1902,製品マスタ!$G$5:$H$4999,2,FALSE))</f>
        <v>T</v>
      </c>
      <c r="H1902" s="256" t="str">
        <f>IF(D1902="","",VLOOKUP(F1902,製品マスタ!$G$5:$K$4999,5,FALSE))</f>
        <v>HLGKJV</v>
      </c>
      <c r="I1902" s="200" t="str">
        <f>IF(D1902="","",VLOOKUP(F1902,製品マスタ!$G$5:$L$4999,6,FALSE))</f>
        <v>メタルミー　ヘヤライン　銀消Ｖ</v>
      </c>
      <c r="J1902" s="203" t="s">
        <v>935</v>
      </c>
      <c r="K1902" s="200">
        <f>IF(D1902="","",VLOOKUP(D1902,契約台帳!$A$3:$L$4986,12,FALSE))</f>
        <v>50</v>
      </c>
      <c r="L1902" s="200" t="str">
        <f>IF(D1902="","",INDEX(製品マスタ!$Q$5:$Q$4999,MATCH('S4'!F1902&amp;'S4'!K1902,製品マスタ!$AO$5:$AO$4999,0)))</f>
        <v>HL-MAT</v>
      </c>
      <c r="M1902" s="37">
        <v>1005</v>
      </c>
      <c r="N1902" s="37">
        <v>4000</v>
      </c>
      <c r="O1902" s="153">
        <v>3</v>
      </c>
      <c r="P1902" s="45">
        <v>3</v>
      </c>
      <c r="Q1902" s="206">
        <v>45408</v>
      </c>
      <c r="R1902" s="257">
        <f ca="1">IF(D1902="","",IF(OFFSET(D1902,-1,0)&lt;&gt;"","",IF(OR(J1902="リード付け",J1902="巻足し",J1902="巻返しリード付け"),M1902,VLOOKUP(D1902,契約台帳!$A$3:$N$4986,14,FALSE))))</f>
        <v>1005</v>
      </c>
      <c r="S1902" s="258">
        <f ca="1">IF(D1902="","",IF(OFFSET(D1902,-1,0)&lt;&gt;"","",IF(OR(J1902="リード付け",J1902="巻足し",J1902="巻返しリード付け"),M1902,VLOOKUP(D1902,契約台帳!$A$3:$O$4986,15,FALSE))))</f>
        <v>1005</v>
      </c>
      <c r="T1902" s="258">
        <f ca="1">IF(D1902="","",IF(J1902="リード付け",N1902,IF(J1902="巻返しリード付け",N1902,IF(J1902="巻足し",N1902*P1902+OFFSET(N1902,1,0)*OFFSET(P1902,1,0),VLOOKUP(D1902,契約台帳!$A$3:$P$4986,16,FALSE)))))</f>
        <v>12000</v>
      </c>
      <c r="U1902" s="38">
        <v>1</v>
      </c>
      <c r="V1902" s="259">
        <f ca="1">IF(D1902="","",IF(OFFSET(D1902,-2,0)=D1902,"",VLOOKUP(D1902,契約台帳!$A$3:$R$4986,18,FALSE)))</f>
        <v>3</v>
      </c>
      <c r="W1902" s="256" t="str">
        <f ca="1">IF(D1902="","",IF(T1902="","",IF(OR(J1902="巻足し",J1902="巻返しリード付け"),"",IF(J1902="巻返し",VLOOKUP(F1902&amp;K1902&amp;M1902,製品マスタ!$M$5:$AD$4999,18,FALSE),IF(OR(J1902="リード付け",J1902="巻返しリード付け"),"原反コア",IF(J1902="スリット",VLOOKUP(F1902&amp;K1902&amp;R1902,製品マスタ!$N$5:$AD$4999,17,FALSE),""))))))</f>
        <v/>
      </c>
      <c r="X1902" s="256" t="str">
        <f ca="1">IF(D1902="","",IF(T1902="","",IF(J1902="巻足し","",IF(J1902="巻返し",VLOOKUP(F1902&amp;K1902&amp;M1902,製品マスタ!$M$5:$AE$4999,19,FALSE),IF(OR(J1902="リード付け",J1902="巻返しリード付け"),"",IF(J1902="スリット",VLOOKUP(F1902&amp;K1902&amp;R1902,製品マスタ!$N$5:$AE$4999,18,FALSE),""))))))</f>
        <v/>
      </c>
      <c r="Y1902" s="256">
        <f ca="1">IF(D1902="","",IF(T1902="","",VLOOKUP(D1902,契約台帳!$A$3:$Q$4986,17,FALSE)))</f>
        <v>2</v>
      </c>
      <c r="Z1902" s="256" t="str">
        <f ca="1">IF(D1902="","",IF(T1902="","",VLOOKUP(D1902,契約台帳!$A$3:$E$4986,5,FALSE)))</f>
        <v>リンテック㈱</v>
      </c>
      <c r="AA1902" s="54"/>
      <c r="AB1902" s="200">
        <f>IFERROR((VLOOKUP(F1902&amp;K1902&amp;M1902,製品マスタ!$M$5:$AM$4999,27,FALSE)),"")</f>
        <v>0</v>
      </c>
      <c r="AC1902" s="31"/>
      <c r="AD1902" s="184"/>
      <c r="AE1902" s="51"/>
      <c r="AF1902" s="52">
        <f>+M1902*N1902*O1902/1000</f>
        <v>12060</v>
      </c>
      <c r="AG1902" s="41"/>
      <c r="AH1902" s="45"/>
      <c r="AI1902" s="28"/>
      <c r="AJ1902" s="28"/>
      <c r="AK1902" s="28"/>
      <c r="AL1902" s="28"/>
      <c r="AM1902" s="12"/>
      <c r="AN1902" s="12"/>
      <c r="AO1902" s="12"/>
      <c r="AP1902" s="12"/>
      <c r="AQ1902" s="12"/>
      <c r="AR1902" s="13"/>
      <c r="AS1902" s="14"/>
    </row>
    <row r="1903" spans="1:45" s="16" customFormat="1" ht="30.95" customHeight="1" x14ac:dyDescent="0.2">
      <c r="A1903" s="303"/>
      <c r="B1903" s="304"/>
      <c r="C1903" s="305"/>
      <c r="D1903" s="306"/>
      <c r="E1903" s="306"/>
      <c r="F1903" s="255"/>
      <c r="G1903" s="256"/>
      <c r="H1903" s="256"/>
      <c r="I1903" s="200"/>
      <c r="J1903" s="347"/>
      <c r="K1903" s="200"/>
      <c r="L1903" s="200"/>
      <c r="M1903" s="308"/>
      <c r="N1903" s="308"/>
      <c r="O1903" s="348"/>
      <c r="P1903" s="309"/>
      <c r="Q1903" s="310"/>
      <c r="R1903" s="257"/>
      <c r="S1903" s="258"/>
      <c r="T1903" s="258"/>
      <c r="U1903" s="311"/>
      <c r="V1903" s="259"/>
      <c r="W1903" s="256"/>
      <c r="X1903" s="256"/>
      <c r="Y1903" s="256"/>
      <c r="Z1903" s="256"/>
      <c r="AA1903" s="310"/>
      <c r="AB1903" s="200"/>
      <c r="AC1903" s="312"/>
      <c r="AD1903" s="313"/>
      <c r="AE1903" s="51"/>
      <c r="AF1903" s="314"/>
      <c r="AG1903" s="315"/>
      <c r="AH1903" s="309"/>
      <c r="AI1903" s="28"/>
      <c r="AJ1903" s="28"/>
      <c r="AK1903" s="28"/>
      <c r="AL1903" s="28"/>
      <c r="AM1903" s="12"/>
      <c r="AN1903" s="12"/>
      <c r="AO1903" s="12"/>
      <c r="AP1903" s="12"/>
      <c r="AQ1903" s="12"/>
      <c r="AR1903" s="13"/>
      <c r="AS1903" s="14"/>
    </row>
    <row r="1904" spans="1:45" s="16" customFormat="1" ht="30.6" customHeight="1" x14ac:dyDescent="0.2">
      <c r="A1904" s="35"/>
      <c r="B1904" s="36"/>
      <c r="C1904" s="43"/>
      <c r="D1904" s="29">
        <v>3754082</v>
      </c>
      <c r="E1904" s="29">
        <v>4162301</v>
      </c>
      <c r="F1904" s="255" t="str">
        <f>IF(D1904="","",VLOOKUP(D1904,契約台帳!$A$3:$K$4986,6,FALSE)&amp;VLOOKUP(D1904,契約台帳!$A$3:$K$4986,7,FALSE)&amp;VLOOKUP(D1904,契約台帳!$A$3:$K$4986,8,FALSE)&amp;VLOOKUP(D1904,契約台帳!$A$3:$K$4986,9,FALSE)&amp;VLOOKUP(D1904,契約台帳!$A$3:$K$4986,11,FALSE))</f>
        <v>3SNMLBMNGKKBF</v>
      </c>
      <c r="G1904" s="256" t="str">
        <f>IF(D1904="","",VLOOKUP(F1904,製品マスタ!$G$5:$H$4999,2,FALSE))</f>
        <v>S</v>
      </c>
      <c r="H1904" s="256" t="str">
        <f>IF(D1904="","",VLOOKUP(F1904,製品マスタ!$G$5:$K$4999,5,FALSE))</f>
        <v>MNGKKBF</v>
      </c>
      <c r="I1904" s="200" t="str">
        <f>IF(D1904="","",VLOOKUP(F1904,製品マスタ!$G$5:$L$4999,6,FALSE))</f>
        <v>メタルミー　ネーマー銀消改　Ｂ</v>
      </c>
      <c r="J1904" s="203" t="s">
        <v>935</v>
      </c>
      <c r="K1904" s="200">
        <f>IF(D1904="","",VLOOKUP(D1904,契約台帳!$A$3:$L$4986,12,FALSE))</f>
        <v>50</v>
      </c>
      <c r="L1904" s="200" t="str">
        <f>IF(D1904="","",INDEX(製品マスタ!$Q$5:$Q$4999,MATCH('S4'!F1904&amp;'S4'!K1904,製品マスタ!$AO$5:$AO$4999,0)))</f>
        <v>S99-MAT</v>
      </c>
      <c r="M1904" s="37">
        <v>1000</v>
      </c>
      <c r="N1904" s="37">
        <v>4000</v>
      </c>
      <c r="O1904" s="153">
        <v>3</v>
      </c>
      <c r="P1904" s="45">
        <v>3</v>
      </c>
      <c r="Q1904" s="206">
        <v>45408</v>
      </c>
      <c r="R1904" s="257">
        <f ca="1">IF(D1904="","",IF(OFFSET(D1904,-1,0)&lt;&gt;"","",IF(OR(J1904="リード付け",J1904="巻足し",J1904="巻返しリード付け"),M1904,VLOOKUP(D1904,契約台帳!$A$3:$N$4986,14,FALSE))))</f>
        <v>1000</v>
      </c>
      <c r="S1904" s="258">
        <f ca="1">IF(D1904="","",IF(OFFSET(D1904,-1,0)&lt;&gt;"","",IF(OR(J1904="リード付け",J1904="巻足し",J1904="巻返しリード付け"),M1904,VLOOKUP(D1904,契約台帳!$A$3:$O$4986,15,FALSE))))</f>
        <v>1000</v>
      </c>
      <c r="T1904" s="258">
        <f ca="1">IF(D1904="","",IF(J1904="リード付け",N1904,IF(J1904="巻返しリード付け",N1904,IF(J1904="巻足し",N1904*P1904+OFFSET(N1904,1,0)*OFFSET(P1904,1,0),VLOOKUP(D1904,契約台帳!$A$3:$P$4986,16,FALSE)))))</f>
        <v>12000</v>
      </c>
      <c r="U1904" s="38">
        <v>1</v>
      </c>
      <c r="V1904" s="259">
        <f ca="1">IF(D1904="","",IF(OFFSET(D1904,-2,0)=D1904,"",VLOOKUP(D1904,契約台帳!$A$3:$R$4986,18,FALSE)))</f>
        <v>3</v>
      </c>
      <c r="W1904" s="256" t="str">
        <f ca="1">IF(D1904="","",IF(T1904="","",IF(OR(J1904="巻足し",J1904="巻返しリード付け"),"",IF(J1904="巻返し",VLOOKUP(F1904&amp;K1904&amp;M1904,製品マスタ!$M$5:$AD$4999,18,FALSE),IF(OR(J1904="リード付け",J1904="巻返しリード付け"),"原反コア",IF(J1904="スリット",VLOOKUP(F1904&amp;K1904&amp;R1904,製品マスタ!$N$5:$AD$4999,17,FALSE),""))))))</f>
        <v/>
      </c>
      <c r="X1904" s="256" t="str">
        <f ca="1">IF(D1904="","",IF(T1904="","",IF(J1904="巻足し","",IF(J1904="巻返し",VLOOKUP(F1904&amp;K1904&amp;M1904,製品マスタ!$M$5:$AE$4999,19,FALSE),IF(OR(J1904="リード付け",J1904="巻返しリード付け"),"",IF(J1904="スリット",VLOOKUP(F1904&amp;K1904&amp;R1904,製品マスタ!$N$5:$AE$4999,18,FALSE),""))))))</f>
        <v/>
      </c>
      <c r="Y1904" s="256">
        <f ca="1">IF(D1904="","",IF(T1904="","",VLOOKUP(D1904,契約台帳!$A$3:$Q$4986,17,FALSE)))</f>
        <v>2</v>
      </c>
      <c r="Z1904" s="256" t="str">
        <f ca="1">IF(D1904="","",IF(T1904="","",VLOOKUP(D1904,契約台帳!$A$3:$E$4986,5,FALSE)))</f>
        <v>リンテック㈱</v>
      </c>
      <c r="AA1904" s="54"/>
      <c r="AB1904" s="200">
        <f>IFERROR((VLOOKUP(F1904&amp;K1904&amp;M1904,製品マスタ!$M$5:$AM$4999,27,FALSE)),"")</f>
        <v>0</v>
      </c>
      <c r="AC1904" s="31"/>
      <c r="AD1904" s="184"/>
      <c r="AE1904" s="51"/>
      <c r="AF1904" s="52">
        <f>+M1904*N1904*O1904/1000</f>
        <v>12000</v>
      </c>
      <c r="AG1904" s="41"/>
      <c r="AH1904" s="45"/>
      <c r="AI1904" s="28"/>
      <c r="AJ1904" s="28"/>
      <c r="AK1904" s="28"/>
      <c r="AL1904" s="28"/>
      <c r="AM1904" s="12"/>
      <c r="AN1904" s="12"/>
      <c r="AO1904" s="12"/>
      <c r="AP1904" s="12"/>
      <c r="AQ1904" s="12"/>
      <c r="AR1904" s="13"/>
      <c r="AS1904" s="14"/>
    </row>
    <row r="1905" spans="1:45" s="16" customFormat="1" ht="30.95" customHeight="1" x14ac:dyDescent="0.2">
      <c r="A1905" s="303"/>
      <c r="B1905" s="304"/>
      <c r="C1905" s="305"/>
      <c r="D1905" s="306"/>
      <c r="E1905" s="306"/>
      <c r="F1905" s="255"/>
      <c r="G1905" s="256"/>
      <c r="H1905" s="256"/>
      <c r="I1905" s="200"/>
      <c r="J1905" s="347"/>
      <c r="K1905" s="200"/>
      <c r="L1905" s="200"/>
      <c r="M1905" s="308"/>
      <c r="N1905" s="308"/>
      <c r="O1905" s="348"/>
      <c r="P1905" s="309"/>
      <c r="Q1905" s="310"/>
      <c r="R1905" s="257"/>
      <c r="S1905" s="258"/>
      <c r="T1905" s="258"/>
      <c r="U1905" s="311"/>
      <c r="V1905" s="259"/>
      <c r="W1905" s="256"/>
      <c r="X1905" s="256"/>
      <c r="Y1905" s="256"/>
      <c r="Z1905" s="256"/>
      <c r="AA1905" s="310"/>
      <c r="AB1905" s="200"/>
      <c r="AC1905" s="312"/>
      <c r="AD1905" s="313"/>
      <c r="AE1905" s="51"/>
      <c r="AF1905" s="314"/>
      <c r="AG1905" s="315"/>
      <c r="AH1905" s="309"/>
      <c r="AI1905" s="28"/>
      <c r="AJ1905" s="28"/>
      <c r="AK1905" s="28"/>
      <c r="AL1905" s="28"/>
      <c r="AM1905" s="12"/>
      <c r="AN1905" s="12"/>
      <c r="AO1905" s="12"/>
      <c r="AP1905" s="12"/>
      <c r="AQ1905" s="12"/>
      <c r="AR1905" s="13"/>
      <c r="AS1905" s="14"/>
    </row>
    <row r="1906" spans="1:45" s="16" customFormat="1" ht="30.6" customHeight="1" x14ac:dyDescent="0.2">
      <c r="A1906" s="35" t="s">
        <v>2799</v>
      </c>
      <c r="B1906" s="36" t="s">
        <v>2800</v>
      </c>
      <c r="C1906" s="43"/>
      <c r="D1906" s="29">
        <v>3754087</v>
      </c>
      <c r="E1906" s="29">
        <v>4162304</v>
      </c>
      <c r="F1906" s="255" t="str">
        <f>IF(D1906="","",VLOOKUP(D1906,契約台帳!$A$3:$K$4986,6,FALSE)&amp;VLOOKUP(D1906,契約台帳!$A$3:$K$4986,7,FALSE)&amp;VLOOKUP(D1906,契約台帳!$A$3:$K$4986,8,FALSE)&amp;VLOOKUP(D1906,契約台帳!$A$3:$K$4986,9,FALSE)&amp;VLOOKUP(D1906,契約台帳!$A$3:$K$4986,11,FALSE))</f>
        <v>3SNMLBMNGTBF</v>
      </c>
      <c r="G1906" s="256" t="str">
        <f>IF(D1906="","",VLOOKUP(F1906,製品マスタ!$G$5:$H$4999,2,FALSE))</f>
        <v>S</v>
      </c>
      <c r="H1906" s="256" t="str">
        <f>IF(D1906="","",VLOOKUP(F1906,製品マスタ!$G$5:$K$4999,5,FALSE))</f>
        <v>MNGTBF</v>
      </c>
      <c r="I1906" s="200" t="str">
        <f>IF(D1906="","",VLOOKUP(F1906,製品マスタ!$G$5:$L$4999,6,FALSE))</f>
        <v>メタルミー　ネーマー　銀艶　Ｂ</v>
      </c>
      <c r="J1906" s="203" t="s">
        <v>935</v>
      </c>
      <c r="K1906" s="200">
        <f>IF(D1906="","",VLOOKUP(D1906,契約台帳!$A$3:$L$4986,12,FALSE))</f>
        <v>50</v>
      </c>
      <c r="L1906" s="200" t="str">
        <f>IF(D1906="","",INDEX(製品マスタ!$Q$5:$Q$4999,MATCH('S4'!F1906&amp;'S4'!K1906,製品マスタ!$AO$5:$AO$4999,0)))</f>
        <v>T62</v>
      </c>
      <c r="M1906" s="37">
        <v>1120</v>
      </c>
      <c r="N1906" s="37">
        <v>5000</v>
      </c>
      <c r="O1906" s="153">
        <v>12</v>
      </c>
      <c r="P1906" s="45">
        <v>2</v>
      </c>
      <c r="Q1906" s="206">
        <v>45413</v>
      </c>
      <c r="R1906" s="257">
        <f ca="1">IF(D1906="","",IF(OFFSET(D1906,-1,0)&lt;&gt;"","",IF(OR(J1906="リード付け",J1906="巻足し",J1906="巻返しリード付け"),M1906,VLOOKUP(D1906,契約台帳!$A$3:$N$4986,14,FALSE))))</f>
        <v>1120</v>
      </c>
      <c r="S1906" s="258">
        <f ca="1">IF(D1906="","",IF(OFFSET(D1906,-1,0)&lt;&gt;"","",IF(OR(J1906="リード付け",J1906="巻足し",J1906="巻返しリード付け"),M1906,VLOOKUP(D1906,契約台帳!$A$3:$O$4986,15,FALSE))))</f>
        <v>1120</v>
      </c>
      <c r="T1906" s="258">
        <f ca="1">IF(D1906="","",IF(J1906="リード付け",N1906,IF(J1906="巻返しリード付け",N1906,IF(J1906="巻足し",N1906*P1906+OFFSET(N1906,1,0)*OFFSET(P1906,1,0),VLOOKUP(D1906,契約台帳!$A$3:$P$4986,16,FALSE)))))</f>
        <v>10000</v>
      </c>
      <c r="U1906" s="38">
        <v>6</v>
      </c>
      <c r="V1906" s="259">
        <f ca="1">IF(D1906="","",IF(OFFSET(D1906,-2,0)=D1906,"",VLOOKUP(D1906,契約台帳!$A$3:$R$4986,18,FALSE)))</f>
        <v>54</v>
      </c>
      <c r="W1906" s="256" t="str">
        <f ca="1">IF(D1906="","",IF(T1906="","",IF(OR(J1906="巻足し",J1906="巻返しリード付け"),"",IF(J1906="巻返し",VLOOKUP(F1906&amp;K1906&amp;M1906,製品マスタ!$M$5:$AD$4999,18,FALSE),IF(OR(J1906="リード付け",J1906="巻返しリード付け"),"原反コア",IF(J1906="スリット",VLOOKUP(F1906&amp;K1906&amp;R1906,製品マスタ!$N$5:$AD$4999,17,FALSE),""))))))</f>
        <v/>
      </c>
      <c r="X1906" s="256" t="str">
        <f ca="1">IF(D1906="","",IF(T1906="","",IF(J1906="巻足し","",IF(J1906="巻返し",VLOOKUP(F1906&amp;K1906&amp;M1906,製品マスタ!$M$5:$AE$4999,19,FALSE),IF(OR(J1906="リード付け",J1906="巻返しリード付け"),"",IF(J1906="スリット",VLOOKUP(F1906&amp;K1906&amp;R1906,製品マスタ!$N$5:$AE$4999,18,FALSE),""))))))</f>
        <v/>
      </c>
      <c r="Y1906" s="256">
        <f ca="1">IF(D1906="","",IF(T1906="","",VLOOKUP(D1906,契約台帳!$A$3:$Q$4986,17,FALSE)))</f>
        <v>2</v>
      </c>
      <c r="Z1906" s="256" t="str">
        <f ca="1">IF(D1906="","",IF(T1906="","",VLOOKUP(D1906,契約台帳!$A$3:$E$4986,5,FALSE)))</f>
        <v>リンテック㈱</v>
      </c>
      <c r="AA1906" s="54"/>
      <c r="AB1906" s="200" t="str">
        <f>IFERROR((VLOOKUP(F1906&amp;K1906&amp;M1906,製品マスタ!$M$5:$AM$4999,27,FALSE)),"")</f>
        <v>原反ケース再利用</v>
      </c>
      <c r="AC1906" s="31"/>
      <c r="AD1906" s="184"/>
      <c r="AE1906" s="51"/>
      <c r="AF1906" s="52">
        <f>+M1906*N1906*O1906/1000</f>
        <v>67200</v>
      </c>
      <c r="AG1906" s="41"/>
      <c r="AH1906" s="45"/>
      <c r="AI1906" s="28"/>
      <c r="AJ1906" s="28"/>
      <c r="AK1906" s="28"/>
      <c r="AL1906" s="28"/>
      <c r="AM1906" s="12"/>
      <c r="AN1906" s="12"/>
      <c r="AO1906" s="12"/>
      <c r="AP1906" s="12"/>
      <c r="AQ1906" s="12"/>
      <c r="AR1906" s="13"/>
      <c r="AS1906" s="14"/>
    </row>
    <row r="1907" spans="1:45" s="16" customFormat="1" ht="30.95" customHeight="1" x14ac:dyDescent="0.2">
      <c r="A1907" s="35"/>
      <c r="B1907" s="36"/>
      <c r="C1907" s="43"/>
      <c r="D1907" s="29"/>
      <c r="E1907" s="29"/>
      <c r="F1907" s="255"/>
      <c r="G1907" s="256"/>
      <c r="H1907" s="256"/>
      <c r="I1907" s="200"/>
      <c r="J1907" s="203"/>
      <c r="K1907" s="200"/>
      <c r="L1907" s="200"/>
      <c r="M1907" s="37"/>
      <c r="N1907" s="37"/>
      <c r="O1907" s="153"/>
      <c r="P1907" s="45"/>
      <c r="Q1907" s="54"/>
      <c r="R1907" s="257"/>
      <c r="S1907" s="258"/>
      <c r="T1907" s="258"/>
      <c r="U1907" s="38"/>
      <c r="V1907" s="259"/>
      <c r="W1907" s="256"/>
      <c r="X1907" s="256"/>
      <c r="Y1907" s="256"/>
      <c r="Z1907" s="256"/>
      <c r="AA1907" s="54"/>
      <c r="AB1907" s="200"/>
      <c r="AC1907" s="31"/>
      <c r="AD1907" s="184"/>
      <c r="AE1907" s="51"/>
      <c r="AF1907" s="52"/>
      <c r="AG1907" s="41"/>
      <c r="AH1907" s="45"/>
      <c r="AI1907" s="28"/>
      <c r="AJ1907" s="28"/>
      <c r="AK1907" s="28"/>
      <c r="AL1907" s="28"/>
      <c r="AM1907" s="12"/>
      <c r="AN1907" s="12"/>
      <c r="AO1907" s="12"/>
      <c r="AP1907" s="12"/>
      <c r="AQ1907" s="12"/>
      <c r="AR1907" s="13"/>
      <c r="AS1907" s="14"/>
    </row>
    <row r="1908" spans="1:45" s="16" customFormat="1" ht="30.6" customHeight="1" x14ac:dyDescent="0.2">
      <c r="A1908" s="35" t="s">
        <v>2782</v>
      </c>
      <c r="B1908" s="36" t="s">
        <v>2783</v>
      </c>
      <c r="C1908" s="43"/>
      <c r="D1908" s="29">
        <v>3754087</v>
      </c>
      <c r="E1908" s="29">
        <v>4162304</v>
      </c>
      <c r="F1908" s="255" t="str">
        <f>IF(D1908="","",VLOOKUP(D1908,契約台帳!$A$3:$K$4986,6,FALSE)&amp;VLOOKUP(D1908,契約台帳!$A$3:$K$4986,7,FALSE)&amp;VLOOKUP(D1908,契約台帳!$A$3:$K$4986,8,FALSE)&amp;VLOOKUP(D1908,契約台帳!$A$3:$K$4986,9,FALSE)&amp;VLOOKUP(D1908,契約台帳!$A$3:$K$4986,11,FALSE))</f>
        <v>3SNMLBMNGTBF</v>
      </c>
      <c r="G1908" s="256" t="str">
        <f>IF(D1908="","",VLOOKUP(F1908,製品マスタ!$G$5:$H$4999,2,FALSE))</f>
        <v>S</v>
      </c>
      <c r="H1908" s="256" t="str">
        <f>IF(D1908="","",VLOOKUP(F1908,製品マスタ!$G$5:$K$4999,5,FALSE))</f>
        <v>MNGTBF</v>
      </c>
      <c r="I1908" s="200" t="str">
        <f>IF(D1908="","",VLOOKUP(F1908,製品マスタ!$G$5:$L$4999,6,FALSE))</f>
        <v>メタルミー　ネーマー　銀艶　Ｂ</v>
      </c>
      <c r="J1908" s="203" t="s">
        <v>935</v>
      </c>
      <c r="K1908" s="200">
        <f>IF(D1908="","",VLOOKUP(D1908,契約台帳!$A$3:$L$4986,12,FALSE))</f>
        <v>50</v>
      </c>
      <c r="L1908" s="200" t="str">
        <f>IF(D1908="","",INDEX(製品マスタ!$Q$5:$Q$4999,MATCH('S4'!F1908&amp;'S4'!K1908,製品マスタ!$AO$5:$AO$4999,0)))</f>
        <v>T62</v>
      </c>
      <c r="M1908" s="37">
        <v>1120</v>
      </c>
      <c r="N1908" s="37">
        <v>5000</v>
      </c>
      <c r="O1908" s="153">
        <v>18</v>
      </c>
      <c r="P1908" s="45">
        <v>2</v>
      </c>
      <c r="Q1908" s="206">
        <v>45413</v>
      </c>
      <c r="R1908" s="257">
        <f ca="1">IF(D1908="","",IF(OFFSET(D1908,-1,0)&lt;&gt;"","",IF(OR(J1908="リード付け",J1908="巻足し",J1908="巻返しリード付け"),M1908,VLOOKUP(D1908,契約台帳!$A$3:$N$4986,14,FALSE))))</f>
        <v>1120</v>
      </c>
      <c r="S1908" s="258">
        <f ca="1">IF(D1908="","",IF(OFFSET(D1908,-1,0)&lt;&gt;"","",IF(OR(J1908="リード付け",J1908="巻足し",J1908="巻返しリード付け"),M1908,VLOOKUP(D1908,契約台帳!$A$3:$O$4986,15,FALSE))))</f>
        <v>1120</v>
      </c>
      <c r="T1908" s="258">
        <f ca="1">IF(D1908="","",IF(J1908="リード付け",N1908,IF(J1908="巻返しリード付け",N1908,IF(J1908="巻足し",N1908*P1908+OFFSET(N1908,1,0)*OFFSET(P1908,1,0),VLOOKUP(D1908,契約台帳!$A$3:$P$4986,16,FALSE)))))</f>
        <v>10000</v>
      </c>
      <c r="U1908" s="38">
        <v>9</v>
      </c>
      <c r="V1908" s="259" t="str">
        <f ca="1">IF(D1908="","",IF(OFFSET(D1908,-2,0)=D1908,"",VLOOKUP(D1908,契約台帳!$A$3:$R$4986,18,FALSE)))</f>
        <v/>
      </c>
      <c r="W1908" s="256" t="str">
        <f ca="1">IF(D1908="","",IF(T1908="","",IF(OR(J1908="巻足し",J1908="巻返しリード付け"),"",IF(J1908="巻返し",VLOOKUP(F1908&amp;K1908&amp;M1908,製品マスタ!$M$5:$AD$4999,18,FALSE),IF(OR(J1908="リード付け",J1908="巻返しリード付け"),"原反コア",IF(J1908="スリット",VLOOKUP(F1908&amp;K1908&amp;R1908,製品マスタ!$N$5:$AD$4999,17,FALSE),""))))))</f>
        <v/>
      </c>
      <c r="X1908" s="256" t="str">
        <f ca="1">IF(D1908="","",IF(T1908="","",IF(J1908="巻足し","",IF(J1908="巻返し",VLOOKUP(F1908&amp;K1908&amp;M1908,製品マスタ!$M$5:$AE$4999,19,FALSE),IF(OR(J1908="リード付け",J1908="巻返しリード付け"),"",IF(J1908="スリット",VLOOKUP(F1908&amp;K1908&amp;R1908,製品マスタ!$N$5:$AE$4999,18,FALSE),""))))))</f>
        <v/>
      </c>
      <c r="Y1908" s="256">
        <f ca="1">IF(D1908="","",IF(T1908="","",VLOOKUP(D1908,契約台帳!$A$3:$Q$4986,17,FALSE)))</f>
        <v>2</v>
      </c>
      <c r="Z1908" s="256" t="str">
        <f ca="1">IF(D1908="","",IF(T1908="","",VLOOKUP(D1908,契約台帳!$A$3:$E$4986,5,FALSE)))</f>
        <v>リンテック㈱</v>
      </c>
      <c r="AA1908" s="54"/>
      <c r="AB1908" s="200" t="str">
        <f>IFERROR((VLOOKUP(F1908&amp;K1908&amp;M1908,製品マスタ!$M$5:$AM$4999,27,FALSE)),"")</f>
        <v>原反ケース再利用</v>
      </c>
      <c r="AC1908" s="31"/>
      <c r="AD1908" s="184"/>
      <c r="AE1908" s="51"/>
      <c r="AF1908" s="52">
        <f>+M1908*N1908*O1908/1000</f>
        <v>100800</v>
      </c>
      <c r="AG1908" s="41"/>
      <c r="AH1908" s="45"/>
      <c r="AI1908" s="28"/>
      <c r="AJ1908" s="28"/>
      <c r="AK1908" s="28"/>
      <c r="AL1908" s="28"/>
      <c r="AM1908" s="12"/>
      <c r="AN1908" s="12"/>
      <c r="AO1908" s="12"/>
      <c r="AP1908" s="12"/>
      <c r="AQ1908" s="12"/>
      <c r="AR1908" s="13"/>
      <c r="AS1908" s="14"/>
    </row>
    <row r="1909" spans="1:45" s="16" customFormat="1" ht="30.95" customHeight="1" x14ac:dyDescent="0.2">
      <c r="A1909" s="35"/>
      <c r="B1909" s="36"/>
      <c r="C1909" s="43"/>
      <c r="D1909" s="29"/>
      <c r="E1909" s="29"/>
      <c r="F1909" s="255"/>
      <c r="G1909" s="256"/>
      <c r="H1909" s="256"/>
      <c r="I1909" s="200"/>
      <c r="J1909" s="203"/>
      <c r="K1909" s="200"/>
      <c r="L1909" s="200"/>
      <c r="M1909" s="37"/>
      <c r="N1909" s="37"/>
      <c r="O1909" s="153"/>
      <c r="P1909" s="45"/>
      <c r="Q1909" s="54"/>
      <c r="R1909" s="257"/>
      <c r="S1909" s="258"/>
      <c r="T1909" s="258"/>
      <c r="U1909" s="38"/>
      <c r="V1909" s="259"/>
      <c r="W1909" s="256"/>
      <c r="X1909" s="256"/>
      <c r="Y1909" s="256"/>
      <c r="Z1909" s="256"/>
      <c r="AA1909" s="54"/>
      <c r="AB1909" s="200"/>
      <c r="AC1909" s="31"/>
      <c r="AD1909" s="184"/>
      <c r="AE1909" s="51"/>
      <c r="AF1909" s="52"/>
      <c r="AG1909" s="41"/>
      <c r="AH1909" s="45"/>
      <c r="AI1909" s="28"/>
      <c r="AJ1909" s="28"/>
      <c r="AK1909" s="28"/>
      <c r="AL1909" s="28"/>
      <c r="AM1909" s="12"/>
      <c r="AN1909" s="12"/>
      <c r="AO1909" s="12"/>
      <c r="AP1909" s="12"/>
      <c r="AQ1909" s="12"/>
      <c r="AR1909" s="13"/>
      <c r="AS1909" s="14"/>
    </row>
    <row r="1910" spans="1:45" s="16" customFormat="1" ht="30.95" customHeight="1" x14ac:dyDescent="0.2">
      <c r="A1910" s="35" t="s">
        <v>2760</v>
      </c>
      <c r="B1910" s="36" t="s">
        <v>2759</v>
      </c>
      <c r="C1910" s="43"/>
      <c r="D1910" s="29"/>
      <c r="E1910" s="29"/>
      <c r="F1910" s="255"/>
      <c r="G1910" s="256"/>
      <c r="H1910" s="256"/>
      <c r="I1910" s="200"/>
      <c r="J1910" s="203" t="s">
        <v>2761</v>
      </c>
      <c r="K1910" s="200"/>
      <c r="L1910" s="200"/>
      <c r="M1910" s="37"/>
      <c r="N1910" s="37"/>
      <c r="O1910" s="153"/>
      <c r="P1910" s="45"/>
      <c r="Q1910" s="54"/>
      <c r="R1910" s="257"/>
      <c r="S1910" s="258"/>
      <c r="T1910" s="258"/>
      <c r="U1910" s="38"/>
      <c r="V1910" s="259"/>
      <c r="W1910" s="256"/>
      <c r="X1910" s="256"/>
      <c r="Y1910" s="256"/>
      <c r="Z1910" s="256"/>
      <c r="AA1910" s="54"/>
      <c r="AB1910" s="200"/>
      <c r="AC1910" s="31"/>
      <c r="AD1910" s="184"/>
      <c r="AE1910" s="51"/>
      <c r="AF1910" s="52"/>
      <c r="AG1910" s="41"/>
      <c r="AH1910" s="45"/>
      <c r="AI1910" s="28"/>
      <c r="AJ1910" s="28"/>
      <c r="AK1910" s="28"/>
      <c r="AL1910" s="28"/>
      <c r="AM1910" s="12"/>
      <c r="AN1910" s="12"/>
      <c r="AO1910" s="12"/>
      <c r="AP1910" s="12"/>
      <c r="AQ1910" s="12"/>
      <c r="AR1910" s="13"/>
      <c r="AS1910" s="14"/>
    </row>
    <row r="1911" spans="1:45" s="16" customFormat="1" ht="30.95" customHeight="1" x14ac:dyDescent="0.2">
      <c r="A1911" s="35"/>
      <c r="B1911" s="36"/>
      <c r="C1911" s="43"/>
      <c r="D1911" s="29"/>
      <c r="E1911" s="29"/>
      <c r="F1911" s="255"/>
      <c r="G1911" s="256"/>
      <c r="H1911" s="256"/>
      <c r="I1911" s="200"/>
      <c r="J1911" s="203"/>
      <c r="K1911" s="200"/>
      <c r="L1911" s="200"/>
      <c r="M1911" s="37"/>
      <c r="N1911" s="37"/>
      <c r="O1911" s="153"/>
      <c r="P1911" s="45"/>
      <c r="Q1911" s="54"/>
      <c r="R1911" s="257"/>
      <c r="S1911" s="258"/>
      <c r="T1911" s="258"/>
      <c r="U1911" s="38"/>
      <c r="V1911" s="259"/>
      <c r="W1911" s="256"/>
      <c r="X1911" s="256"/>
      <c r="Y1911" s="256"/>
      <c r="Z1911" s="256"/>
      <c r="AA1911" s="54"/>
      <c r="AB1911" s="200"/>
      <c r="AC1911" s="31"/>
      <c r="AD1911" s="184"/>
      <c r="AE1911" s="51"/>
      <c r="AF1911" s="52"/>
      <c r="AG1911" s="41"/>
      <c r="AH1911" s="45"/>
      <c r="AI1911" s="28"/>
      <c r="AJ1911" s="28"/>
      <c r="AK1911" s="28"/>
      <c r="AL1911" s="28"/>
      <c r="AM1911" s="12"/>
      <c r="AN1911" s="12"/>
      <c r="AO1911" s="12"/>
      <c r="AP1911" s="12"/>
      <c r="AQ1911" s="12"/>
      <c r="AR1911" s="13"/>
      <c r="AS1911" s="14"/>
    </row>
    <row r="1912" spans="1:45" s="16" customFormat="1" ht="30.95" customHeight="1" x14ac:dyDescent="0.2">
      <c r="A1912" s="35" t="s">
        <v>2762</v>
      </c>
      <c r="B1912" s="36" t="s">
        <v>2763</v>
      </c>
      <c r="C1912" s="43"/>
      <c r="D1912" s="29"/>
      <c r="E1912" s="29"/>
      <c r="F1912" s="255"/>
      <c r="G1912" s="256"/>
      <c r="H1912" s="256"/>
      <c r="I1912" s="200"/>
      <c r="J1912" s="203" t="s">
        <v>2761</v>
      </c>
      <c r="K1912" s="200"/>
      <c r="L1912" s="200"/>
      <c r="M1912" s="37"/>
      <c r="N1912" s="37"/>
      <c r="O1912" s="153"/>
      <c r="P1912" s="45"/>
      <c r="Q1912" s="54"/>
      <c r="R1912" s="257"/>
      <c r="S1912" s="258"/>
      <c r="T1912" s="258"/>
      <c r="U1912" s="38"/>
      <c r="V1912" s="259"/>
      <c r="W1912" s="256"/>
      <c r="X1912" s="256"/>
      <c r="Y1912" s="256"/>
      <c r="Z1912" s="256"/>
      <c r="AA1912" s="54"/>
      <c r="AB1912" s="200"/>
      <c r="AC1912" s="31"/>
      <c r="AD1912" s="184"/>
      <c r="AE1912" s="51"/>
      <c r="AF1912" s="52"/>
      <c r="AG1912" s="41"/>
      <c r="AH1912" s="45"/>
      <c r="AI1912" s="28"/>
      <c r="AJ1912" s="28"/>
      <c r="AK1912" s="28"/>
      <c r="AL1912" s="28"/>
      <c r="AM1912" s="12"/>
      <c r="AN1912" s="12"/>
      <c r="AO1912" s="12"/>
      <c r="AP1912" s="12"/>
      <c r="AQ1912" s="12"/>
      <c r="AR1912" s="13"/>
      <c r="AS1912" s="14"/>
    </row>
    <row r="1913" spans="1:45" s="16" customFormat="1" ht="30.95" customHeight="1" x14ac:dyDescent="0.2">
      <c r="A1913" s="35"/>
      <c r="B1913" s="36"/>
      <c r="C1913" s="43"/>
      <c r="D1913" s="29"/>
      <c r="E1913" s="29"/>
      <c r="F1913" s="255"/>
      <c r="G1913" s="256"/>
      <c r="H1913" s="256"/>
      <c r="I1913" s="200"/>
      <c r="J1913" s="203"/>
      <c r="K1913" s="200"/>
      <c r="L1913" s="200"/>
      <c r="M1913" s="37"/>
      <c r="N1913" s="37"/>
      <c r="O1913" s="153"/>
      <c r="P1913" s="45"/>
      <c r="Q1913" s="54"/>
      <c r="R1913" s="257"/>
      <c r="S1913" s="258"/>
      <c r="T1913" s="258"/>
      <c r="U1913" s="38"/>
      <c r="V1913" s="259"/>
      <c r="W1913" s="256"/>
      <c r="X1913" s="256"/>
      <c r="Y1913" s="256"/>
      <c r="Z1913" s="256"/>
      <c r="AA1913" s="54"/>
      <c r="AB1913" s="200"/>
      <c r="AC1913" s="31"/>
      <c r="AD1913" s="184"/>
      <c r="AE1913" s="51"/>
      <c r="AF1913" s="52"/>
      <c r="AG1913" s="41"/>
      <c r="AH1913" s="45"/>
      <c r="AI1913" s="28"/>
      <c r="AJ1913" s="28"/>
      <c r="AK1913" s="28"/>
      <c r="AL1913" s="28"/>
      <c r="AM1913" s="12"/>
      <c r="AN1913" s="12"/>
      <c r="AO1913" s="12"/>
      <c r="AP1913" s="12"/>
      <c r="AQ1913" s="12"/>
      <c r="AR1913" s="13"/>
      <c r="AS1913" s="14"/>
    </row>
    <row r="1914" spans="1:45" s="16" customFormat="1" ht="30.95" customHeight="1" x14ac:dyDescent="0.2">
      <c r="A1914" s="35" t="s">
        <v>2764</v>
      </c>
      <c r="B1914" s="36" t="s">
        <v>2765</v>
      </c>
      <c r="C1914" s="43"/>
      <c r="D1914" s="29"/>
      <c r="E1914" s="29"/>
      <c r="F1914" s="255"/>
      <c r="G1914" s="256"/>
      <c r="H1914" s="256"/>
      <c r="I1914" s="200"/>
      <c r="J1914" s="203" t="s">
        <v>2761</v>
      </c>
      <c r="K1914" s="200"/>
      <c r="L1914" s="200"/>
      <c r="M1914" s="37"/>
      <c r="N1914" s="37"/>
      <c r="O1914" s="153"/>
      <c r="P1914" s="45"/>
      <c r="Q1914" s="54"/>
      <c r="R1914" s="257"/>
      <c r="S1914" s="258"/>
      <c r="T1914" s="258"/>
      <c r="U1914" s="38"/>
      <c r="V1914" s="259"/>
      <c r="W1914" s="256"/>
      <c r="X1914" s="256"/>
      <c r="Y1914" s="256"/>
      <c r="Z1914" s="256"/>
      <c r="AA1914" s="54"/>
      <c r="AB1914" s="200"/>
      <c r="AC1914" s="31"/>
      <c r="AD1914" s="184"/>
      <c r="AE1914" s="51"/>
      <c r="AF1914" s="52"/>
      <c r="AG1914" s="41"/>
      <c r="AH1914" s="45"/>
      <c r="AI1914" s="28"/>
      <c r="AJ1914" s="28"/>
      <c r="AK1914" s="28"/>
      <c r="AL1914" s="28"/>
      <c r="AM1914" s="12"/>
      <c r="AN1914" s="12"/>
      <c r="AO1914" s="12"/>
      <c r="AP1914" s="12"/>
      <c r="AQ1914" s="12"/>
      <c r="AR1914" s="13"/>
      <c r="AS1914" s="14"/>
    </row>
    <row r="1915" spans="1:45" s="16" customFormat="1" ht="30.95" customHeight="1" x14ac:dyDescent="0.2">
      <c r="A1915" s="35"/>
      <c r="B1915" s="36"/>
      <c r="C1915" s="43"/>
      <c r="D1915" s="29"/>
      <c r="E1915" s="29"/>
      <c r="F1915" s="255"/>
      <c r="G1915" s="256"/>
      <c r="H1915" s="256"/>
      <c r="I1915" s="200"/>
      <c r="J1915" s="203"/>
      <c r="K1915" s="200"/>
      <c r="L1915" s="200"/>
      <c r="M1915" s="37"/>
      <c r="N1915" s="37"/>
      <c r="O1915" s="153"/>
      <c r="P1915" s="45"/>
      <c r="Q1915" s="54"/>
      <c r="R1915" s="257"/>
      <c r="S1915" s="258"/>
      <c r="T1915" s="258"/>
      <c r="U1915" s="38"/>
      <c r="V1915" s="259"/>
      <c r="W1915" s="256"/>
      <c r="X1915" s="256"/>
      <c r="Y1915" s="256"/>
      <c r="Z1915" s="256"/>
      <c r="AA1915" s="54"/>
      <c r="AB1915" s="200"/>
      <c r="AC1915" s="31"/>
      <c r="AD1915" s="184"/>
      <c r="AE1915" s="51"/>
      <c r="AF1915" s="52"/>
      <c r="AG1915" s="41"/>
      <c r="AH1915" s="45"/>
      <c r="AI1915" s="28"/>
      <c r="AJ1915" s="28"/>
      <c r="AK1915" s="28"/>
      <c r="AL1915" s="28"/>
      <c r="AM1915" s="12"/>
      <c r="AN1915" s="12"/>
      <c r="AO1915" s="12"/>
      <c r="AP1915" s="12"/>
      <c r="AQ1915" s="12"/>
      <c r="AR1915" s="13"/>
      <c r="AS1915" s="14"/>
    </row>
    <row r="1916" spans="1:45" s="16" customFormat="1" ht="30.95" customHeight="1" x14ac:dyDescent="0.2">
      <c r="A1916" s="35" t="s">
        <v>2766</v>
      </c>
      <c r="B1916" s="36" t="s">
        <v>2758</v>
      </c>
      <c r="C1916" s="43"/>
      <c r="D1916" s="29"/>
      <c r="E1916" s="29"/>
      <c r="F1916" s="255"/>
      <c r="G1916" s="256"/>
      <c r="H1916" s="256"/>
      <c r="I1916" s="200"/>
      <c r="J1916" s="203" t="s">
        <v>2761</v>
      </c>
      <c r="K1916" s="200"/>
      <c r="L1916" s="200"/>
      <c r="M1916" s="37"/>
      <c r="N1916" s="37"/>
      <c r="O1916" s="153"/>
      <c r="P1916" s="45"/>
      <c r="Q1916" s="54"/>
      <c r="R1916" s="257"/>
      <c r="S1916" s="258"/>
      <c r="T1916" s="258"/>
      <c r="U1916" s="38"/>
      <c r="V1916" s="259"/>
      <c r="W1916" s="256"/>
      <c r="X1916" s="256"/>
      <c r="Y1916" s="256"/>
      <c r="Z1916" s="256"/>
      <c r="AA1916" s="54"/>
      <c r="AB1916" s="200"/>
      <c r="AC1916" s="31"/>
      <c r="AD1916" s="184"/>
      <c r="AE1916" s="51"/>
      <c r="AF1916" s="52"/>
      <c r="AG1916" s="41"/>
      <c r="AH1916" s="45"/>
      <c r="AI1916" s="28"/>
      <c r="AJ1916" s="28"/>
      <c r="AK1916" s="28"/>
      <c r="AL1916" s="28"/>
      <c r="AM1916" s="12"/>
      <c r="AN1916" s="12"/>
      <c r="AO1916" s="12"/>
      <c r="AP1916" s="12"/>
      <c r="AQ1916" s="12"/>
      <c r="AR1916" s="13"/>
      <c r="AS1916" s="14"/>
    </row>
    <row r="1917" spans="1:45" s="16" customFormat="1" ht="30.95" customHeight="1" x14ac:dyDescent="0.2">
      <c r="A1917" s="35"/>
      <c r="B1917" s="36"/>
      <c r="C1917" s="43"/>
      <c r="D1917" s="29"/>
      <c r="E1917" s="29"/>
      <c r="F1917" s="255"/>
      <c r="G1917" s="256"/>
      <c r="H1917" s="256"/>
      <c r="I1917" s="200"/>
      <c r="J1917" s="203"/>
      <c r="K1917" s="200"/>
      <c r="L1917" s="200"/>
      <c r="M1917" s="37"/>
      <c r="N1917" s="37"/>
      <c r="O1917" s="153"/>
      <c r="P1917" s="45"/>
      <c r="Q1917" s="54"/>
      <c r="R1917" s="257"/>
      <c r="S1917" s="258"/>
      <c r="T1917" s="258"/>
      <c r="U1917" s="38"/>
      <c r="V1917" s="259"/>
      <c r="W1917" s="256"/>
      <c r="X1917" s="256"/>
      <c r="Y1917" s="256"/>
      <c r="Z1917" s="256"/>
      <c r="AA1917" s="54"/>
      <c r="AB1917" s="200"/>
      <c r="AC1917" s="31"/>
      <c r="AD1917" s="184"/>
      <c r="AE1917" s="51"/>
      <c r="AF1917" s="52"/>
      <c r="AG1917" s="41"/>
      <c r="AH1917" s="45"/>
      <c r="AI1917" s="28"/>
      <c r="AJ1917" s="28"/>
      <c r="AK1917" s="28"/>
      <c r="AL1917" s="28"/>
      <c r="AM1917" s="12"/>
      <c r="AN1917" s="12"/>
      <c r="AO1917" s="12"/>
      <c r="AP1917" s="12"/>
      <c r="AQ1917" s="12"/>
      <c r="AR1917" s="13"/>
      <c r="AS1917" s="14"/>
    </row>
    <row r="1918" spans="1:45" s="225" customFormat="1" ht="30.6" customHeight="1" x14ac:dyDescent="0.2">
      <c r="A1918" s="209" t="s">
        <v>2784</v>
      </c>
      <c r="B1918" s="210" t="s">
        <v>2785</v>
      </c>
      <c r="C1918" s="262"/>
      <c r="D1918" s="211">
        <v>3754087</v>
      </c>
      <c r="E1918" s="211">
        <v>4162304</v>
      </c>
      <c r="F1918" s="263" t="str">
        <f>IF(D1918="","",VLOOKUP(D1918,契約台帳!$A$3:$K$4986,6,FALSE)&amp;VLOOKUP(D1918,契約台帳!$A$3:$K$4986,7,FALSE)&amp;VLOOKUP(D1918,契約台帳!$A$3:$K$4986,8,FALSE)&amp;VLOOKUP(D1918,契約台帳!$A$3:$K$4986,9,FALSE)&amp;VLOOKUP(D1918,契約台帳!$A$3:$K$4986,11,FALSE))</f>
        <v>3SNMLBMNGTBF</v>
      </c>
      <c r="G1918" s="264" t="str">
        <f>IF(D1918="","",VLOOKUP(F1918,製品マスタ!$G$5:$H$4999,2,FALSE))</f>
        <v>S</v>
      </c>
      <c r="H1918" s="264" t="str">
        <f>IF(D1918="","",VLOOKUP(F1918,製品マスタ!$G$5:$K$4999,5,FALSE))</f>
        <v>MNGTBF</v>
      </c>
      <c r="I1918" s="265" t="str">
        <f>IF(D1918="","",VLOOKUP(F1918,製品マスタ!$G$5:$L$4999,6,FALSE))</f>
        <v>メタルミー　ネーマー　銀艶　Ｂ</v>
      </c>
      <c r="J1918" s="268" t="s">
        <v>935</v>
      </c>
      <c r="K1918" s="265">
        <f>IF(D1918="","",VLOOKUP(D1918,契約台帳!$A$3:$L$4986,12,FALSE))</f>
        <v>50</v>
      </c>
      <c r="L1918" s="265" t="str">
        <f>IF(D1918="","",INDEX(製品マスタ!$Q$5:$Q$4999,MATCH('S4'!F1918&amp;'S4'!K1918,製品マスタ!$AO$5:$AO$4999,0)))</f>
        <v>T62</v>
      </c>
      <c r="M1918" s="213">
        <v>1120</v>
      </c>
      <c r="N1918" s="213">
        <v>5000</v>
      </c>
      <c r="O1918" s="269">
        <v>18</v>
      </c>
      <c r="P1918" s="214">
        <v>2</v>
      </c>
      <c r="Q1918" s="206">
        <v>45413</v>
      </c>
      <c r="R1918" s="270">
        <f ca="1">IF(D1918="","",IF(OFFSET(D1918,-1,0)&lt;&gt;"","",IF(OR(J1918="リード付け",J1918="巻足し",J1918="巻返しリード付け"),M1918,VLOOKUP(D1918,契約台帳!$A$3:$N$4986,14,FALSE))))</f>
        <v>1120</v>
      </c>
      <c r="S1918" s="271">
        <f ca="1">IF(D1918="","",IF(OFFSET(D1918,-1,0)&lt;&gt;"","",IF(OR(J1918="リード付け",J1918="巻足し",J1918="巻返しリード付け"),M1918,VLOOKUP(D1918,契約台帳!$A$3:$O$4986,15,FALSE))))</f>
        <v>1120</v>
      </c>
      <c r="T1918" s="271">
        <f ca="1">IF(D1918="","",IF(J1918="リード付け",N1918,IF(J1918="巻返しリード付け",N1918,IF(J1918="巻足し",N1918*P1918+OFFSET(N1918,1,0)*OFFSET(P1918,1,0),VLOOKUP(D1918,契約台帳!$A$3:$P$4986,16,FALSE)))))</f>
        <v>10000</v>
      </c>
      <c r="U1918" s="216">
        <v>7</v>
      </c>
      <c r="V1918" s="272">
        <f ca="1">IF(D1918="","",IF(OFFSET(D1918,-2,0)=D1918,"",VLOOKUP(D1918,契約台帳!$A$3:$R$4986,18,FALSE)))</f>
        <v>54</v>
      </c>
      <c r="W1918" s="264" t="str">
        <f ca="1">IF(D1918="","",IF(T1918="","",IF(OR(J1918="巻足し",J1918="巻返しリード付け"),"",IF(J1918="巻返し",VLOOKUP(F1918&amp;K1918&amp;M1918,製品マスタ!$M$5:$AD$4999,18,FALSE),IF(OR(J1918="リード付け",J1918="巻返しリード付け"),"原反コア",IF(J1918="スリット",VLOOKUP(F1918&amp;K1918&amp;R1918,製品マスタ!$N$5:$AD$4999,17,FALSE),""))))))</f>
        <v/>
      </c>
      <c r="X1918" s="264" t="str">
        <f ca="1">IF(D1918="","",IF(T1918="","",IF(J1918="巻足し","",IF(J1918="巻返し",VLOOKUP(F1918&amp;K1918&amp;M1918,製品マスタ!$M$5:$AE$4999,19,FALSE),IF(OR(J1918="リード付け",J1918="巻返しリード付け"),"",IF(J1918="スリット",VLOOKUP(F1918&amp;K1918&amp;R1918,製品マスタ!$N$5:$AE$4999,18,FALSE),""))))))</f>
        <v/>
      </c>
      <c r="Y1918" s="264">
        <f ca="1">IF(D1918="","",IF(T1918="","",VLOOKUP(D1918,契約台帳!$A$3:$Q$4986,17,FALSE)))</f>
        <v>2</v>
      </c>
      <c r="Z1918" s="264" t="str">
        <f ca="1">IF(D1918="","",IF(T1918="","",VLOOKUP(D1918,契約台帳!$A$3:$E$4986,5,FALSE)))</f>
        <v>リンテック㈱</v>
      </c>
      <c r="AA1918" s="206"/>
      <c r="AB1918" s="265" t="str">
        <f>IFERROR((VLOOKUP(F1918&amp;K1918&amp;M1918,製品マスタ!$M$5:$AM$4999,27,FALSE)),"")</f>
        <v>原反ケース再利用</v>
      </c>
      <c r="AC1918" s="217"/>
      <c r="AD1918" s="218"/>
      <c r="AE1918" s="219"/>
      <c r="AF1918" s="220">
        <f>+M1918*N1918*O1918/1000</f>
        <v>100800</v>
      </c>
      <c r="AG1918" s="215"/>
      <c r="AH1918" s="214"/>
      <c r="AI1918" s="221"/>
      <c r="AJ1918" s="221"/>
      <c r="AK1918" s="221"/>
      <c r="AL1918" s="221"/>
      <c r="AM1918" s="222"/>
      <c r="AN1918" s="222"/>
      <c r="AO1918" s="222"/>
      <c r="AP1918" s="222"/>
      <c r="AQ1918" s="222"/>
      <c r="AR1918" s="223"/>
      <c r="AS1918" s="224"/>
    </row>
    <row r="1919" spans="1:45" s="225" customFormat="1" ht="30.95" customHeight="1" x14ac:dyDescent="0.2">
      <c r="A1919" s="209"/>
      <c r="B1919" s="210"/>
      <c r="C1919" s="262"/>
      <c r="D1919" s="211"/>
      <c r="E1919" s="211"/>
      <c r="F1919" s="263"/>
      <c r="G1919" s="264"/>
      <c r="H1919" s="264"/>
      <c r="I1919" s="265"/>
      <c r="J1919" s="268"/>
      <c r="K1919" s="265"/>
      <c r="L1919" s="265"/>
      <c r="M1919" s="213"/>
      <c r="N1919" s="213"/>
      <c r="O1919" s="269"/>
      <c r="P1919" s="214"/>
      <c r="Q1919" s="206"/>
      <c r="R1919" s="270"/>
      <c r="S1919" s="271"/>
      <c r="T1919" s="271"/>
      <c r="U1919" s="216"/>
      <c r="V1919" s="272"/>
      <c r="W1919" s="264"/>
      <c r="X1919" s="264"/>
      <c r="Y1919" s="264"/>
      <c r="Z1919" s="264"/>
      <c r="AA1919" s="206"/>
      <c r="AB1919" s="265"/>
      <c r="AC1919" s="217"/>
      <c r="AD1919" s="218"/>
      <c r="AE1919" s="219"/>
      <c r="AF1919" s="220"/>
      <c r="AG1919" s="215"/>
      <c r="AH1919" s="214"/>
      <c r="AI1919" s="221"/>
      <c r="AJ1919" s="221"/>
      <c r="AK1919" s="221"/>
      <c r="AL1919" s="221"/>
      <c r="AM1919" s="222"/>
      <c r="AN1919" s="222"/>
      <c r="AO1919" s="222"/>
      <c r="AP1919" s="222"/>
      <c r="AQ1919" s="222"/>
      <c r="AR1919" s="223"/>
      <c r="AS1919" s="224"/>
    </row>
    <row r="1920" spans="1:45" s="225" customFormat="1" ht="30.6" customHeight="1" x14ac:dyDescent="0.2">
      <c r="A1920" s="209" t="s">
        <v>2786</v>
      </c>
      <c r="B1920" s="210" t="s">
        <v>2781</v>
      </c>
      <c r="C1920" s="262"/>
      <c r="D1920" s="211">
        <v>3754087</v>
      </c>
      <c r="E1920" s="211">
        <v>4162304</v>
      </c>
      <c r="F1920" s="263" t="str">
        <f>IF(D1920="","",VLOOKUP(D1920,契約台帳!$A$3:$K$4986,6,FALSE)&amp;VLOOKUP(D1920,契約台帳!$A$3:$K$4986,7,FALSE)&amp;VLOOKUP(D1920,契約台帳!$A$3:$K$4986,8,FALSE)&amp;VLOOKUP(D1920,契約台帳!$A$3:$K$4986,9,FALSE)&amp;VLOOKUP(D1920,契約台帳!$A$3:$K$4986,11,FALSE))</f>
        <v>3SNMLBMNGTBF</v>
      </c>
      <c r="G1920" s="264" t="str">
        <f>IF(D1920="","",VLOOKUP(F1920,製品マスタ!$G$5:$H$4999,2,FALSE))</f>
        <v>S</v>
      </c>
      <c r="H1920" s="264" t="str">
        <f>IF(D1920="","",VLOOKUP(F1920,製品マスタ!$G$5:$K$4999,5,FALSE))</f>
        <v>MNGTBF</v>
      </c>
      <c r="I1920" s="265" t="str">
        <f>IF(D1920="","",VLOOKUP(F1920,製品マスタ!$G$5:$L$4999,6,FALSE))</f>
        <v>メタルミー　ネーマー　銀艶　Ｂ</v>
      </c>
      <c r="J1920" s="268" t="s">
        <v>935</v>
      </c>
      <c r="K1920" s="265">
        <f>IF(D1920="","",VLOOKUP(D1920,契約台帳!$A$3:$L$4986,12,FALSE))</f>
        <v>50</v>
      </c>
      <c r="L1920" s="265" t="str">
        <f>IF(D1920="","",INDEX(製品マスタ!$Q$5:$Q$4999,MATCH('S4'!F1920&amp;'S4'!K1920,製品マスタ!$AO$5:$AO$4999,0)))</f>
        <v>T62</v>
      </c>
      <c r="M1920" s="213">
        <v>1120</v>
      </c>
      <c r="N1920" s="213">
        <v>5000</v>
      </c>
      <c r="O1920" s="269">
        <v>6</v>
      </c>
      <c r="P1920" s="214">
        <v>2</v>
      </c>
      <c r="Q1920" s="206">
        <v>45413</v>
      </c>
      <c r="R1920" s="270">
        <f ca="1">IF(D1920="","",IF(OFFSET(D1920,-1,0)&lt;&gt;"","",IF(OR(J1920="リード付け",J1920="巻足し",J1920="巻返しリード付け"),M1920,VLOOKUP(D1920,契約台帳!$A$3:$N$4986,14,FALSE))))</f>
        <v>1120</v>
      </c>
      <c r="S1920" s="271">
        <f ca="1">IF(D1920="","",IF(OFFSET(D1920,-1,0)&lt;&gt;"","",IF(OR(J1920="リード付け",J1920="巻足し",J1920="巻返しリード付け"),M1920,VLOOKUP(D1920,契約台帳!$A$3:$O$4986,15,FALSE))))</f>
        <v>1120</v>
      </c>
      <c r="T1920" s="271">
        <f ca="1">IF(D1920="","",IF(J1920="リード付け",N1920,IF(J1920="巻返しリード付け",N1920,IF(J1920="巻足し",N1920*P1920+OFFSET(N1920,1,0)*OFFSET(P1920,1,0),VLOOKUP(D1920,契約台帳!$A$3:$P$4986,16,FALSE)))))</f>
        <v>10000</v>
      </c>
      <c r="U1920" s="216">
        <v>3</v>
      </c>
      <c r="V1920" s="272" t="str">
        <f ca="1">IF(D1920="","",IF(OFFSET(D1920,-2,0)=D1920,"",VLOOKUP(D1920,契約台帳!$A$3:$R$4986,18,FALSE)))</f>
        <v/>
      </c>
      <c r="W1920" s="264" t="str">
        <f ca="1">IF(D1920="","",IF(T1920="","",IF(OR(J1920="巻足し",J1920="巻返しリード付け"),"",IF(J1920="巻返し",VLOOKUP(F1920&amp;K1920&amp;M1920,製品マスタ!$M$5:$AD$4999,18,FALSE),IF(OR(J1920="リード付け",J1920="巻返しリード付け"),"原反コア",IF(J1920="スリット",VLOOKUP(F1920&amp;K1920&amp;R1920,製品マスタ!$N$5:$AD$4999,17,FALSE),""))))))</f>
        <v/>
      </c>
      <c r="X1920" s="264" t="str">
        <f ca="1">IF(D1920="","",IF(T1920="","",IF(J1920="巻足し","",IF(J1920="巻返し",VLOOKUP(F1920&amp;K1920&amp;M1920,製品マスタ!$M$5:$AE$4999,19,FALSE),IF(OR(J1920="リード付け",J1920="巻返しリード付け"),"",IF(J1920="スリット",VLOOKUP(F1920&amp;K1920&amp;R1920,製品マスタ!$N$5:$AE$4999,18,FALSE),""))))))</f>
        <v/>
      </c>
      <c r="Y1920" s="264">
        <f ca="1">IF(D1920="","",IF(T1920="","",VLOOKUP(D1920,契約台帳!$A$3:$Q$4986,17,FALSE)))</f>
        <v>2</v>
      </c>
      <c r="Z1920" s="264" t="str">
        <f ca="1">IF(D1920="","",IF(T1920="","",VLOOKUP(D1920,契約台帳!$A$3:$E$4986,5,FALSE)))</f>
        <v>リンテック㈱</v>
      </c>
      <c r="AA1920" s="206"/>
      <c r="AB1920" s="265" t="str">
        <f>IFERROR((VLOOKUP(F1920&amp;K1920&amp;M1920,製品マスタ!$M$5:$AM$4999,27,FALSE)),"")</f>
        <v>原反ケース再利用</v>
      </c>
      <c r="AC1920" s="217"/>
      <c r="AD1920" s="218"/>
      <c r="AE1920" s="219"/>
      <c r="AF1920" s="220">
        <f>+M1920*N1920*O1920/1000</f>
        <v>33600</v>
      </c>
      <c r="AG1920" s="215"/>
      <c r="AH1920" s="214"/>
      <c r="AI1920" s="221"/>
      <c r="AJ1920" s="221"/>
      <c r="AK1920" s="221"/>
      <c r="AL1920" s="221"/>
      <c r="AM1920" s="222"/>
      <c r="AN1920" s="222"/>
      <c r="AO1920" s="222"/>
      <c r="AP1920" s="222"/>
      <c r="AQ1920" s="222"/>
      <c r="AR1920" s="223"/>
      <c r="AS1920" s="224"/>
    </row>
    <row r="1921" spans="1:45" s="16" customFormat="1" ht="30.95" customHeight="1" x14ac:dyDescent="0.2">
      <c r="A1921" s="35"/>
      <c r="B1921" s="36"/>
      <c r="C1921" s="43"/>
      <c r="D1921" s="29"/>
      <c r="E1921" s="29"/>
      <c r="F1921" s="255" t="str">
        <f>IF(D1921="","",VLOOKUP(D1921,契約台帳!$A$3:$K$4986,6,FALSE)&amp;VLOOKUP(D1921,契約台帳!$A$3:$K$4986,7,FALSE)&amp;VLOOKUP(D1921,契約台帳!$A$3:$K$4986,8,FALSE)&amp;VLOOKUP(D1921,契約台帳!$A$3:$K$4986,9,FALSE)&amp;VLOOKUP(D1921,契約台帳!$A$3:$K$4986,11,FALSE))</f>
        <v/>
      </c>
      <c r="G1921" s="256" t="str">
        <f>IF(D1921="","",VLOOKUP(F1921,製品マスタ!$G$5:$H$4999,2,FALSE))</f>
        <v/>
      </c>
      <c r="H1921" s="256" t="str">
        <f>IF(D1921="","",VLOOKUP(F1921,製品マスタ!$G$5:$K$4999,5,FALSE))</f>
        <v/>
      </c>
      <c r="I1921" s="200" t="str">
        <f>IF(D1921="","",VLOOKUP(F1921,製品マスタ!$G$5:$L$4999,6,FALSE))</f>
        <v/>
      </c>
      <c r="J1921" s="203"/>
      <c r="K1921" s="200" t="str">
        <f>IF(D1921="","",VLOOKUP(D1921,契約台帳!$A$3:$L$4986,12,FALSE))</f>
        <v/>
      </c>
      <c r="L1921" s="200" t="str">
        <f>IF(D1921="","",INDEX(製品マスタ!$Q$5:$Q$4999,MATCH('S4'!F1921&amp;'S4'!K1921,製品マスタ!$AO$5:$AO$4999,0)))</f>
        <v/>
      </c>
      <c r="M1921" s="37"/>
      <c r="N1921" s="37"/>
      <c r="O1921" s="153"/>
      <c r="P1921" s="45"/>
      <c r="Q1921" s="54"/>
      <c r="R1921" s="257" t="str">
        <f ca="1">IF(D1921="","",IF(OFFSET(D1921,-1,0)&lt;&gt;"","",IF(OR(J1921="リード付け",J1921="巻足し",J1921="巻返しリード付け"),M1921,VLOOKUP(D1921,契約台帳!$A$3:$N$4986,14,FALSE))))</f>
        <v/>
      </c>
      <c r="S1921" s="258" t="str">
        <f ca="1">IF(D1921="","",IF(OFFSET(D1921,-1,0)&lt;&gt;"","",IF(OR(J1921="リード付け",J1921="巻足し",J1921="巻返しリード付け"),M1921,VLOOKUP(D1921,契約台帳!$A$3:$O$4986,15,FALSE))))</f>
        <v/>
      </c>
      <c r="T1921" s="258" t="str">
        <f ca="1">IF(D1921="","",IF(J1921="リード付け",N1921,IF(J1921="巻返しリード付け",N1921,IF(J1921="巻足し",N1921*P1921+OFFSET(N1921,1,0)*OFFSET(P1921,1,0),VLOOKUP(D1921,契約台帳!$A$3:$P$4986,16,FALSE)))))</f>
        <v/>
      </c>
      <c r="U1921" s="38"/>
      <c r="V1921" s="259" t="str">
        <f ca="1">IF(D1921="","",IF(OFFSET(D1921,-2,0)=D1921,"",VLOOKUP(D1921,契約台帳!$A$3:$R$4986,18,FALSE)))</f>
        <v/>
      </c>
      <c r="W1921" s="256" t="str">
        <f>IF(D1921="","",IF(T1921="","",IF(OR(J1921="巻足し",J1921="巻返しリード付け"),"",IF(J1921="巻返し",VLOOKUP(F1921&amp;K1921&amp;M1921,製品マスタ!$M$5:$AD$4999,18,FALSE),IF(OR(J1921="リード付け",J1921="巻返しリード付け"),"原反コア",IF(J1921="スリット",VLOOKUP(F1921&amp;K1921&amp;R1921,製品マスタ!$N$5:$AD$4999,17,FALSE),""))))))</f>
        <v/>
      </c>
      <c r="X1921" s="256" t="str">
        <f>IF(D1921="","",IF(T1921="","",IF(J1921="巻足し","",IF(J1921="巻返し",VLOOKUP(F1921&amp;K1921&amp;M1921,製品マスタ!$M$5:$AE$4999,19,FALSE),IF(OR(J1921="リード付け",J1921="巻返しリード付け"),"",IF(J1921="スリット",VLOOKUP(F1921&amp;K1921&amp;R1921,製品マスタ!$N$5:$AE$4999,18,FALSE),""))))))</f>
        <v/>
      </c>
      <c r="Y1921" s="256" t="str">
        <f>IF(D1921="","",IF(T1921="","",VLOOKUP(D1921,契約台帳!$A$3:$Q$4986,17,FALSE)))</f>
        <v/>
      </c>
      <c r="Z1921" s="256" t="str">
        <f>IF(D1921="","",IF(T1921="","",VLOOKUP(D1921,契約台帳!$A$3:$E$4986,5,FALSE)))</f>
        <v/>
      </c>
      <c r="AA1921" s="54"/>
      <c r="AB1921" s="200" t="str">
        <f>IFERROR((VLOOKUP(F1921&amp;K1921&amp;M1921,製品マスタ!$M$5:$AM$4999,27,FALSE)),"")</f>
        <v/>
      </c>
      <c r="AC1921" s="31"/>
      <c r="AD1921" s="184"/>
      <c r="AE1921" s="51"/>
      <c r="AF1921" s="52"/>
      <c r="AG1921" s="41"/>
      <c r="AH1921" s="45"/>
      <c r="AI1921" s="28"/>
      <c r="AJ1921" s="28"/>
      <c r="AK1921" s="28"/>
      <c r="AL1921" s="28"/>
      <c r="AM1921" s="12"/>
      <c r="AN1921" s="12"/>
      <c r="AO1921" s="12"/>
      <c r="AP1921" s="12"/>
      <c r="AQ1921" s="12"/>
      <c r="AR1921" s="13"/>
      <c r="AS1921" s="14"/>
    </row>
    <row r="1922" spans="1:45" s="16" customFormat="1" ht="30.6" customHeight="1" x14ac:dyDescent="0.2">
      <c r="A1922" s="35"/>
      <c r="B1922" s="36"/>
      <c r="C1922" s="43"/>
      <c r="D1922" s="29">
        <v>3754089</v>
      </c>
      <c r="E1922" s="29"/>
      <c r="F1922" s="255" t="str">
        <f>IF(D1922="","",VLOOKUP(D1922,契約台帳!$A$3:$K$4986,6,FALSE)&amp;VLOOKUP(D1922,契約台帳!$A$3:$K$4986,7,FALSE)&amp;VLOOKUP(D1922,契約台帳!$A$3:$K$4986,8,FALSE)&amp;VLOOKUP(D1922,契約台帳!$A$3:$K$4986,9,FALSE)&amp;VLOOKUP(D1922,契約台帳!$A$3:$K$4986,11,FALSE))</f>
        <v>3SYMLBMSNMBF</v>
      </c>
      <c r="G1922" s="256" t="str">
        <f>IF(D1922="","",VLOOKUP(F1922,製品マスタ!$G$5:$H$4999,2,FALSE))</f>
        <v>S</v>
      </c>
      <c r="H1922" s="256" t="str">
        <f>IF(D1922="","",VLOOKUP(F1922,製品マスタ!$G$5:$K$4999,5,FALSE))</f>
        <v>MSNMBF</v>
      </c>
      <c r="I1922" s="200" t="str">
        <f>IF(D1922="","",VLOOKUP(F1922,製品マスタ!$G$5:$L$4999,6,FALSE))</f>
        <v>ＭＥＴＡＬＵＭＹ　ＳＩＬＶＥＲ　Ｎ－ＭＡＴＴＥ　Ｘ４４Ｍ　Ｂ</v>
      </c>
      <c r="J1922" s="203" t="s">
        <v>935</v>
      </c>
      <c r="K1922" s="200">
        <f>IF(D1922="","",VLOOKUP(D1922,契約台帳!$A$3:$L$4986,12,FALSE))</f>
        <v>50</v>
      </c>
      <c r="L1922" s="200" t="str">
        <f>IF(D1922="","",INDEX(製品マスタ!$Q$5:$Q$4999,MATCH('S4'!F1922&amp;'S4'!K1922,製品マスタ!$AO$5:$AO$4999,0)))</f>
        <v>X44</v>
      </c>
      <c r="M1922" s="37">
        <v>1120</v>
      </c>
      <c r="N1922" s="37">
        <v>4000</v>
      </c>
      <c r="O1922" s="153">
        <v>6</v>
      </c>
      <c r="P1922" s="45">
        <v>3</v>
      </c>
      <c r="Q1922" s="54">
        <v>45414</v>
      </c>
      <c r="R1922" s="257">
        <f ca="1">IF(D1922="","",IF(OFFSET(D1922,-1,0)&lt;&gt;"","",IF(OR(J1922="リード付け",J1922="巻足し",J1922="巻返しリード付け"),M1922,VLOOKUP(D1922,契約台帳!$A$3:$N$4986,14,FALSE))))</f>
        <v>1120</v>
      </c>
      <c r="S1922" s="258">
        <f ca="1">IF(D1922="","",IF(OFFSET(D1922,-1,0)&lt;&gt;"","",IF(OR(J1922="リード付け",J1922="巻足し",J1922="巻返しリード付け"),M1922,VLOOKUP(D1922,契約台帳!$A$3:$O$4986,15,FALSE))))</f>
        <v>1120</v>
      </c>
      <c r="T1922" s="258">
        <f ca="1">IF(D1922="","",IF(J1922="リード付け",N1922,IF(J1922="巻返しリード付け",N1922,IF(J1922="巻足し",N1922*P1922+OFFSET(N1922,1,0)*OFFSET(P1922,1,0),VLOOKUP(D1922,契約台帳!$A$3:$P$4986,16,FALSE)))))</f>
        <v>12000</v>
      </c>
      <c r="U1922" s="38">
        <v>2</v>
      </c>
      <c r="V1922" s="259">
        <f ca="1">IF(D1922="","",IF(OFFSET(D1922,-2,0)=D1922,"",VLOOKUP(D1922,契約台帳!$A$3:$R$4986,18,FALSE)))</f>
        <v>8</v>
      </c>
      <c r="W1922" s="256" t="str">
        <f ca="1">IF(D1922="","",IF(T1922="","",IF(OR(J1922="巻足し",J1922="巻返しリード付け"),"",IF(J1922="巻返し",VLOOKUP(F1922&amp;K1922&amp;M1922,製品マスタ!$M$5:$AD$4999,18,FALSE),IF(OR(J1922="リード付け",J1922="巻返しリード付け"),"原反コア",IF(J1922="スリット",VLOOKUP(F1922&amp;K1922&amp;R1922,製品マスタ!$N$5:$AD$4999,17,FALSE),""))))))</f>
        <v/>
      </c>
      <c r="X1922" s="256" t="str">
        <f ca="1">IF(D1922="","",IF(T1922="","",IF(J1922="巻足し","",IF(J1922="巻返し",VLOOKUP(F1922&amp;K1922&amp;M1922,製品マスタ!$M$5:$AE$4999,19,FALSE),IF(OR(J1922="リード付け",J1922="巻返しリード付け"),"",IF(J1922="スリット",VLOOKUP(F1922&amp;K1922&amp;R1922,製品マスタ!$N$5:$AE$4999,18,FALSE),""))))))</f>
        <v/>
      </c>
      <c r="Y1922" s="256">
        <f ca="1">IF(D1922="","",IF(T1922="","",VLOOKUP(D1922,契約台帳!$A$3:$Q$4986,17,FALSE)))</f>
        <v>2</v>
      </c>
      <c r="Z1922" s="256" t="str">
        <f ca="1">IF(D1922="","",IF(T1922="","",VLOOKUP(D1922,契約台帳!$A$3:$E$4986,5,FALSE)))</f>
        <v>リンテック㈱</v>
      </c>
      <c r="AA1922" s="54"/>
      <c r="AB1922" s="200" t="s">
        <v>1083</v>
      </c>
      <c r="AC1922" s="31"/>
      <c r="AD1922" s="184"/>
      <c r="AE1922" s="51"/>
      <c r="AF1922" s="52">
        <f>+M1922*N1922*O1922/1000</f>
        <v>26880</v>
      </c>
      <c r="AG1922" s="41"/>
      <c r="AH1922" s="45"/>
      <c r="AI1922" s="28"/>
      <c r="AJ1922" s="28"/>
      <c r="AK1922" s="28"/>
      <c r="AL1922" s="28"/>
      <c r="AM1922" s="12"/>
      <c r="AN1922" s="12"/>
      <c r="AO1922" s="12"/>
      <c r="AP1922" s="12"/>
      <c r="AQ1922" s="12"/>
      <c r="AR1922" s="13"/>
      <c r="AS1922" s="14"/>
    </row>
    <row r="1923" spans="1:45" s="16" customFormat="1" ht="30.95" customHeight="1" x14ac:dyDescent="0.2">
      <c r="A1923" s="303"/>
      <c r="B1923" s="304"/>
      <c r="C1923" s="305"/>
      <c r="D1923" s="306"/>
      <c r="E1923" s="306"/>
      <c r="F1923" s="255"/>
      <c r="G1923" s="256"/>
      <c r="H1923" s="256"/>
      <c r="I1923" s="200"/>
      <c r="J1923" s="347"/>
      <c r="K1923" s="200"/>
      <c r="L1923" s="200"/>
      <c r="M1923" s="308"/>
      <c r="N1923" s="308"/>
      <c r="O1923" s="348"/>
      <c r="P1923" s="309"/>
      <c r="Q1923" s="310"/>
      <c r="R1923" s="257"/>
      <c r="S1923" s="258"/>
      <c r="T1923" s="258"/>
      <c r="U1923" s="311"/>
      <c r="V1923" s="259"/>
      <c r="W1923" s="256"/>
      <c r="X1923" s="256"/>
      <c r="Y1923" s="256"/>
      <c r="Z1923" s="256"/>
      <c r="AA1923" s="310"/>
      <c r="AB1923" s="200"/>
      <c r="AC1923" s="312"/>
      <c r="AD1923" s="313"/>
      <c r="AE1923" s="51"/>
      <c r="AF1923" s="314"/>
      <c r="AG1923" s="315"/>
      <c r="AH1923" s="309"/>
      <c r="AI1923" s="28"/>
      <c r="AJ1923" s="28"/>
      <c r="AK1923" s="28"/>
      <c r="AL1923" s="28"/>
      <c r="AM1923" s="12"/>
      <c r="AN1923" s="12"/>
      <c r="AO1923" s="12"/>
      <c r="AP1923" s="12"/>
      <c r="AQ1923" s="12"/>
      <c r="AR1923" s="13"/>
      <c r="AS1923" s="14"/>
    </row>
    <row r="1924" spans="1:45" s="16" customFormat="1" ht="30.6" customHeight="1" x14ac:dyDescent="0.2">
      <c r="A1924" s="35"/>
      <c r="B1924" s="36"/>
      <c r="C1924" s="43"/>
      <c r="D1924" s="29">
        <v>3754089</v>
      </c>
      <c r="E1924" s="29"/>
      <c r="F1924" s="255" t="str">
        <f>IF(D1924="","",VLOOKUP(D1924,契約台帳!$A$3:$K$4986,6,FALSE)&amp;VLOOKUP(D1924,契約台帳!$A$3:$K$4986,7,FALSE)&amp;VLOOKUP(D1924,契約台帳!$A$3:$K$4986,8,FALSE)&amp;VLOOKUP(D1924,契約台帳!$A$3:$K$4986,9,FALSE)&amp;VLOOKUP(D1924,契約台帳!$A$3:$K$4986,11,FALSE))</f>
        <v>3SYMLBMSNMBF</v>
      </c>
      <c r="G1924" s="256" t="str">
        <f>IF(D1924="","",VLOOKUP(F1924,製品マスタ!$G$5:$H$4999,2,FALSE))</f>
        <v>S</v>
      </c>
      <c r="H1924" s="256" t="str">
        <f>IF(D1924="","",VLOOKUP(F1924,製品マスタ!$G$5:$K$4999,5,FALSE))</f>
        <v>MSNMBF</v>
      </c>
      <c r="I1924" s="200" t="str">
        <f>IF(D1924="","",VLOOKUP(F1924,製品マスタ!$G$5:$L$4999,6,FALSE))</f>
        <v>ＭＥＴＡＬＵＭＹ　ＳＩＬＶＥＲ　Ｎ－ＭＡＴＴＥ　Ｘ４４Ｍ　Ｂ</v>
      </c>
      <c r="J1924" s="203" t="s">
        <v>935</v>
      </c>
      <c r="K1924" s="200">
        <f>IF(D1924="","",VLOOKUP(D1924,契約台帳!$A$3:$L$4986,12,FALSE))</f>
        <v>50</v>
      </c>
      <c r="L1924" s="200" t="str">
        <f>IF(D1924="","",INDEX(製品マスタ!$Q$5:$Q$4999,MATCH('S4'!F1924&amp;'S4'!K1924,製品マスタ!$AO$5:$AO$4999,0)))</f>
        <v>X44</v>
      </c>
      <c r="M1924" s="37">
        <v>1120</v>
      </c>
      <c r="N1924" s="37">
        <v>4000</v>
      </c>
      <c r="O1924" s="153">
        <v>2</v>
      </c>
      <c r="P1924" s="45">
        <v>3</v>
      </c>
      <c r="Q1924" s="54">
        <v>45414</v>
      </c>
      <c r="R1924" s="257">
        <f ca="1">IF(D1924="","",IF(OFFSET(D1924,-1,0)&lt;&gt;"","",IF(OR(J1924="リード付け",J1924="巻足し",J1924="巻返しリード付け"),M1924,VLOOKUP(D1924,契約台帳!$A$3:$N$4986,14,FALSE))))</f>
        <v>1120</v>
      </c>
      <c r="S1924" s="258">
        <f ca="1">IF(D1924="","",IF(OFFSET(D1924,-1,0)&lt;&gt;"","",IF(OR(J1924="リード付け",J1924="巻足し",J1924="巻返しリード付け"),M1924,VLOOKUP(D1924,契約台帳!$A$3:$O$4986,15,FALSE))))</f>
        <v>1120</v>
      </c>
      <c r="T1924" s="258">
        <f ca="1">IF(D1924="","",IF(J1924="リード付け",N1924,IF(J1924="巻返しリード付け",N1924,IF(J1924="巻足し",N1924*P1924+OFFSET(N1924,1,0)*OFFSET(P1924,1,0),VLOOKUP(D1924,契約台帳!$A$3:$P$4986,16,FALSE)))))</f>
        <v>12000</v>
      </c>
      <c r="U1924" s="38">
        <v>1</v>
      </c>
      <c r="V1924" s="259" t="str">
        <f ca="1">IF(D1924="","",IF(OFFSET(D1924,-2,0)=D1924,"",VLOOKUP(D1924,契約台帳!$A$3:$R$4986,18,FALSE)))</f>
        <v/>
      </c>
      <c r="W1924" s="256" t="str">
        <f ca="1">IF(D1924="","",IF(T1924="","",IF(OR(J1924="巻足し",J1924="巻返しリード付け"),"",IF(J1924="巻返し",VLOOKUP(F1924&amp;K1924&amp;M1924,製品マスタ!$M$5:$AD$4999,18,FALSE),IF(OR(J1924="リード付け",J1924="巻返しリード付け"),"原反コア",IF(J1924="スリット",VLOOKUP(F1924&amp;K1924&amp;R1924,製品マスタ!$N$5:$AD$4999,17,FALSE),""))))))</f>
        <v/>
      </c>
      <c r="X1924" s="256" t="str">
        <f ca="1">IF(D1924="","",IF(T1924="","",IF(J1924="巻足し","",IF(J1924="巻返し",VLOOKUP(F1924&amp;K1924&amp;M1924,製品マスタ!$M$5:$AE$4999,19,FALSE),IF(OR(J1924="リード付け",J1924="巻返しリード付け"),"",IF(J1924="スリット",VLOOKUP(F1924&amp;K1924&amp;R1924,製品マスタ!$N$5:$AE$4999,18,FALSE),""))))))</f>
        <v/>
      </c>
      <c r="Y1924" s="256">
        <f ca="1">IF(D1924="","",IF(T1924="","",VLOOKUP(D1924,契約台帳!$A$3:$Q$4986,17,FALSE)))</f>
        <v>2</v>
      </c>
      <c r="Z1924" s="256" t="str">
        <f ca="1">IF(D1924="","",IF(T1924="","",VLOOKUP(D1924,契約台帳!$A$3:$E$4986,5,FALSE)))</f>
        <v>リンテック㈱</v>
      </c>
      <c r="AA1924" s="54"/>
      <c r="AB1924" s="200" t="s">
        <v>1083</v>
      </c>
      <c r="AC1924" s="31"/>
      <c r="AD1924" s="184"/>
      <c r="AE1924" s="51"/>
      <c r="AF1924" s="52">
        <f>+M1924*N1924*O1924/1000</f>
        <v>8960</v>
      </c>
      <c r="AG1924" s="41"/>
      <c r="AH1924" s="45"/>
      <c r="AI1924" s="28"/>
      <c r="AJ1924" s="28"/>
      <c r="AK1924" s="28"/>
      <c r="AL1924" s="28"/>
      <c r="AM1924" s="12"/>
      <c r="AN1924" s="12"/>
      <c r="AO1924" s="12"/>
      <c r="AP1924" s="12"/>
      <c r="AQ1924" s="12"/>
      <c r="AR1924" s="13"/>
      <c r="AS1924" s="14"/>
    </row>
    <row r="1925" spans="1:45" s="16" customFormat="1" ht="30.6" customHeight="1" x14ac:dyDescent="0.2">
      <c r="A1925" s="35"/>
      <c r="B1925" s="36"/>
      <c r="C1925" s="43"/>
      <c r="D1925" s="29">
        <v>3754091</v>
      </c>
      <c r="E1925" s="29"/>
      <c r="F1925" s="255" t="str">
        <f>IF(D1925="","",VLOOKUP(D1925,契約台帳!$A$3:$K$4986,6,FALSE)&amp;VLOOKUP(D1925,契約台帳!$A$3:$K$4986,7,FALSE)&amp;VLOOKUP(D1925,契約台帳!$A$3:$K$4986,8,FALSE)&amp;VLOOKUP(D1925,契約台帳!$A$3:$K$4986,9,FALSE)&amp;VLOOKUP(D1925,契約台帳!$A$3:$K$4986,11,FALSE))</f>
        <v>3SYMLBMSNMBF</v>
      </c>
      <c r="G1925" s="256" t="str">
        <f>IF(D1925="","",VLOOKUP(F1925,製品マスタ!$G$5:$H$4999,2,FALSE))</f>
        <v>S</v>
      </c>
      <c r="H1925" s="256" t="str">
        <f>IF(D1925="","",VLOOKUP(F1925,製品マスタ!$G$5:$K$4999,5,FALSE))</f>
        <v>MSNMBF</v>
      </c>
      <c r="I1925" s="200" t="str">
        <f>IF(D1925="","",VLOOKUP(F1925,製品マスタ!$G$5:$L$4999,6,FALSE))</f>
        <v>ＭＥＴＡＬＵＭＹ　ＳＩＬＶＥＲ　Ｎ－ＭＡＴＴＥ　Ｘ４４Ｍ　Ｂ</v>
      </c>
      <c r="J1925" s="203" t="s">
        <v>935</v>
      </c>
      <c r="K1925" s="200">
        <f>IF(D1925="","",VLOOKUP(D1925,契約台帳!$A$3:$L$4986,12,FALSE))</f>
        <v>50</v>
      </c>
      <c r="L1925" s="200" t="str">
        <f>IF(D1925="","",INDEX(製品マスタ!$Q$5:$Q$4999,MATCH('S4'!F1925&amp;'S4'!K1925,製品マスタ!$AO$5:$AO$4999,0)))</f>
        <v>X44</v>
      </c>
      <c r="M1925" s="37">
        <v>1120</v>
      </c>
      <c r="N1925" s="37">
        <v>4000</v>
      </c>
      <c r="O1925" s="153">
        <v>1</v>
      </c>
      <c r="P1925" s="45"/>
      <c r="Q1925" s="54">
        <v>45414</v>
      </c>
      <c r="R1925" s="257" t="str">
        <f ca="1">IF(D1925="","",IF(OFFSET(D1925,-1,0)&lt;&gt;"","",IF(OR(J1925="リード付け",J1925="巻足し",J1925="巻返しリード付け"),M1925,VLOOKUP(D1925,契約台帳!$A$3:$N$4986,14,FALSE))))</f>
        <v/>
      </c>
      <c r="S1925" s="258" t="str">
        <f ca="1">IF(D1925="","",IF(OFFSET(D1925,-1,0)&lt;&gt;"","",IF(OR(J1925="リード付け",J1925="巻足し",J1925="巻返しリード付け"),M1925,VLOOKUP(D1925,契約台帳!$A$3:$O$4986,15,FALSE))))</f>
        <v/>
      </c>
      <c r="T1925" s="258">
        <f ca="1">IF(D1925="","",IF(J1925="リード付け",N1925,IF(J1925="巻返しリード付け",N1925,IF(J1925="巻足し",N1925*P1925+OFFSET(N1925,1,0)*OFFSET(P1925,1,0),VLOOKUP(D1925,契約台帳!$A$3:$P$4986,16,FALSE)))))</f>
        <v>0</v>
      </c>
      <c r="U1925" s="38"/>
      <c r="V1925" s="259">
        <f ca="1">IF(D1925="","",IF(OFFSET(D1925,-2,0)=D1925,"",VLOOKUP(D1925,契約台帳!$A$3:$R$4986,18,FALSE)))</f>
        <v>4</v>
      </c>
      <c r="W1925" s="256" t="str">
        <f ca="1">IF(D1925="","",IF(T1925="","",IF(OR(J1925="巻足し",J1925="巻返しリード付け"),"",IF(J1925="巻返し",VLOOKUP(F1925&amp;K1925&amp;M1925,製品マスタ!$M$5:$AD$4999,18,FALSE),IF(OR(J1925="リード付け",J1925="巻返しリード付け"),"原反コア",IF(J1925="スリット",VLOOKUP(F1925&amp;K1925&amp;R1925,製品マスタ!$N$5:$AD$4999,17,FALSE),""))))))</f>
        <v/>
      </c>
      <c r="X1925" s="256" t="str">
        <f ca="1">IF(D1925="","",IF(T1925="","",IF(J1925="巻足し","",IF(J1925="巻返し",VLOOKUP(F1925&amp;K1925&amp;M1925,製品マスタ!$M$5:$AE$4999,19,FALSE),IF(OR(J1925="リード付け",J1925="巻返しリード付け"),"",IF(J1925="スリット",VLOOKUP(F1925&amp;K1925&amp;R1925,製品マスタ!$N$5:$AE$4999,18,FALSE),""))))))</f>
        <v/>
      </c>
      <c r="Y1925" s="256">
        <f ca="1">IF(D1925="","",IF(T1925="","",VLOOKUP(D1925,契約台帳!$A$3:$Q$4986,17,FALSE)))</f>
        <v>2</v>
      </c>
      <c r="Z1925" s="256" t="str">
        <f ca="1">IF(D1925="","",IF(T1925="","",VLOOKUP(D1925,契約台帳!$A$3:$E$4986,5,FALSE)))</f>
        <v>リンテック㈱</v>
      </c>
      <c r="AA1925" s="54"/>
      <c r="AB1925" s="200">
        <f>IFERROR((VLOOKUP(F1925&amp;K1925&amp;M1925,製品マスタ!$M$5:$AM$4999,27,FALSE)),"")</f>
        <v>0</v>
      </c>
      <c r="AC1925" s="31"/>
      <c r="AD1925" s="184"/>
      <c r="AE1925" s="51"/>
      <c r="AF1925" s="52">
        <f>+M1925*N1925*O1925/1000</f>
        <v>4480</v>
      </c>
      <c r="AG1925" s="41"/>
      <c r="AH1925" s="45"/>
      <c r="AI1925" s="28"/>
      <c r="AJ1925" s="28"/>
      <c r="AK1925" s="28"/>
      <c r="AL1925" s="28"/>
      <c r="AM1925" s="12"/>
      <c r="AN1925" s="12"/>
      <c r="AO1925" s="12"/>
      <c r="AP1925" s="12"/>
      <c r="AQ1925" s="12"/>
      <c r="AR1925" s="13"/>
      <c r="AS1925" s="14"/>
    </row>
    <row r="1926" spans="1:45" s="16" customFormat="1" ht="30.95" customHeight="1" x14ac:dyDescent="0.2">
      <c r="A1926" s="303"/>
      <c r="B1926" s="304"/>
      <c r="C1926" s="305"/>
      <c r="D1926" s="306"/>
      <c r="E1926" s="306"/>
      <c r="F1926" s="255"/>
      <c r="G1926" s="256"/>
      <c r="H1926" s="256"/>
      <c r="I1926" s="200"/>
      <c r="J1926" s="347"/>
      <c r="K1926" s="200"/>
      <c r="L1926" s="200"/>
      <c r="M1926" s="308"/>
      <c r="N1926" s="308"/>
      <c r="O1926" s="348"/>
      <c r="P1926" s="309"/>
      <c r="Q1926" s="310"/>
      <c r="R1926" s="257"/>
      <c r="S1926" s="258"/>
      <c r="T1926" s="258"/>
      <c r="U1926" s="311"/>
      <c r="V1926" s="259"/>
      <c r="W1926" s="256"/>
      <c r="X1926" s="256"/>
      <c r="Y1926" s="256"/>
      <c r="Z1926" s="256"/>
      <c r="AA1926" s="310"/>
      <c r="AB1926" s="200"/>
      <c r="AC1926" s="312"/>
      <c r="AD1926" s="313"/>
      <c r="AE1926" s="51"/>
      <c r="AF1926" s="314"/>
      <c r="AG1926" s="315"/>
      <c r="AH1926" s="309"/>
      <c r="AI1926" s="28"/>
      <c r="AJ1926" s="28"/>
      <c r="AK1926" s="28"/>
      <c r="AL1926" s="28"/>
      <c r="AM1926" s="12"/>
      <c r="AN1926" s="12"/>
      <c r="AO1926" s="12"/>
      <c r="AP1926" s="12"/>
      <c r="AQ1926" s="12"/>
      <c r="AR1926" s="13"/>
      <c r="AS1926" s="14"/>
    </row>
    <row r="1927" spans="1:45" s="16" customFormat="1" ht="30.6" customHeight="1" x14ac:dyDescent="0.2">
      <c r="A1927" s="35"/>
      <c r="B1927" s="36"/>
      <c r="C1927" s="43"/>
      <c r="D1927" s="29">
        <v>3754091</v>
      </c>
      <c r="E1927" s="29"/>
      <c r="F1927" s="255" t="str">
        <f>IF(D1927="","",VLOOKUP(D1927,契約台帳!$A$3:$K$4986,6,FALSE)&amp;VLOOKUP(D1927,契約台帳!$A$3:$K$4986,7,FALSE)&amp;VLOOKUP(D1927,契約台帳!$A$3:$K$4986,8,FALSE)&amp;VLOOKUP(D1927,契約台帳!$A$3:$K$4986,9,FALSE)&amp;VLOOKUP(D1927,契約台帳!$A$3:$K$4986,11,FALSE))</f>
        <v>3SYMLBMSNMBF</v>
      </c>
      <c r="G1927" s="256" t="str">
        <f>IF(D1927="","",VLOOKUP(F1927,製品マスタ!$G$5:$H$4999,2,FALSE))</f>
        <v>S</v>
      </c>
      <c r="H1927" s="256" t="str">
        <f>IF(D1927="","",VLOOKUP(F1927,製品マスタ!$G$5:$K$4999,5,FALSE))</f>
        <v>MSNMBF</v>
      </c>
      <c r="I1927" s="200" t="str">
        <f>IF(D1927="","",VLOOKUP(F1927,製品マスタ!$G$5:$L$4999,6,FALSE))</f>
        <v>ＭＥＴＡＬＵＭＹ　ＳＩＬＶＥＲ　Ｎ－ＭＡＴＴＥ　Ｘ４４Ｍ　Ｂ</v>
      </c>
      <c r="J1927" s="203" t="s">
        <v>935</v>
      </c>
      <c r="K1927" s="200">
        <f>IF(D1927="","",VLOOKUP(D1927,契約台帳!$A$3:$L$4986,12,FALSE))</f>
        <v>50</v>
      </c>
      <c r="L1927" s="200" t="str">
        <f>IF(D1927="","",INDEX(製品マスタ!$Q$5:$Q$4999,MATCH('S4'!F1927&amp;'S4'!K1927,製品マスタ!$AO$5:$AO$4999,0)))</f>
        <v>X44</v>
      </c>
      <c r="M1927" s="37">
        <v>1120</v>
      </c>
      <c r="N1927" s="37">
        <v>4000</v>
      </c>
      <c r="O1927" s="153">
        <v>3</v>
      </c>
      <c r="P1927" s="45">
        <v>3</v>
      </c>
      <c r="Q1927" s="54">
        <v>45414</v>
      </c>
      <c r="R1927" s="257">
        <f ca="1">IF(D1927="","",IF(OFFSET(D1927,-1,0)&lt;&gt;"","",IF(OR(J1927="リード付け",J1927="巻足し",J1927="巻返しリード付け"),M1927,VLOOKUP(D1927,契約台帳!$A$3:$N$4986,14,FALSE))))</f>
        <v>1120</v>
      </c>
      <c r="S1927" s="258">
        <f ca="1">IF(D1927="","",IF(OFFSET(D1927,-1,0)&lt;&gt;"","",IF(OR(J1927="リード付け",J1927="巻足し",J1927="巻返しリード付け"),M1927,VLOOKUP(D1927,契約台帳!$A$3:$O$4986,15,FALSE))))</f>
        <v>1120</v>
      </c>
      <c r="T1927" s="258">
        <f ca="1">IF(D1927="","",IF(J1927="リード付け",N1927,IF(J1927="巻返しリード付け",N1927,IF(J1927="巻足し",N1927*P1927+OFFSET(N1927,1,0)*OFFSET(P1927,1,0),VLOOKUP(D1927,契約台帳!$A$3:$P$4986,16,FALSE)))))</f>
        <v>12000</v>
      </c>
      <c r="U1927" s="38">
        <v>1</v>
      </c>
      <c r="V1927" s="259" t="str">
        <f ca="1">IF(D1927="","",IF(OFFSET(D1927,-2,0)=D1927,"",VLOOKUP(D1927,契約台帳!$A$3:$R$4986,18,FALSE)))</f>
        <v/>
      </c>
      <c r="W1927" s="256" t="str">
        <f ca="1">IF(D1927="","",IF(T1927="","",IF(OR(J1927="巻足し",J1927="巻返しリード付け"),"",IF(J1927="巻返し",VLOOKUP(F1927&amp;K1927&amp;M1927,製品マスタ!$M$5:$AD$4999,18,FALSE),IF(OR(J1927="リード付け",J1927="巻返しリード付け"),"原反コア",IF(J1927="スリット",VLOOKUP(F1927&amp;K1927&amp;R1927,製品マスタ!$N$5:$AD$4999,17,FALSE),""))))))</f>
        <v/>
      </c>
      <c r="X1927" s="256" t="str">
        <f ca="1">IF(D1927="","",IF(T1927="","",IF(J1927="巻足し","",IF(J1927="巻返し",VLOOKUP(F1927&amp;K1927&amp;M1927,製品マスタ!$M$5:$AE$4999,19,FALSE),IF(OR(J1927="リード付け",J1927="巻返しリード付け"),"",IF(J1927="スリット",VLOOKUP(F1927&amp;K1927&amp;R1927,製品マスタ!$N$5:$AE$4999,18,FALSE),""))))))</f>
        <v/>
      </c>
      <c r="Y1927" s="256">
        <f ca="1">IF(D1927="","",IF(T1927="","",VLOOKUP(D1927,契約台帳!$A$3:$Q$4986,17,FALSE)))</f>
        <v>2</v>
      </c>
      <c r="Z1927" s="256" t="str">
        <f ca="1">IF(D1927="","",IF(T1927="","",VLOOKUP(D1927,契約台帳!$A$3:$E$4986,5,FALSE)))</f>
        <v>リンテック㈱</v>
      </c>
      <c r="AA1927" s="54"/>
      <c r="AB1927" s="200" t="s">
        <v>1083</v>
      </c>
      <c r="AC1927" s="31"/>
      <c r="AD1927" s="184"/>
      <c r="AE1927" s="51"/>
      <c r="AF1927" s="52">
        <f>+M1927*N1927*O1927/1000</f>
        <v>13440</v>
      </c>
      <c r="AG1927" s="41"/>
      <c r="AH1927" s="45"/>
      <c r="AI1927" s="28"/>
      <c r="AJ1927" s="28"/>
      <c r="AK1927" s="28"/>
      <c r="AL1927" s="28"/>
      <c r="AM1927" s="12"/>
      <c r="AN1927" s="12"/>
      <c r="AO1927" s="12"/>
      <c r="AP1927" s="12"/>
      <c r="AQ1927" s="12"/>
      <c r="AR1927" s="13"/>
      <c r="AS1927" s="14"/>
    </row>
    <row r="1928" spans="1:45" s="16" customFormat="1" ht="30.95" customHeight="1" x14ac:dyDescent="0.2">
      <c r="A1928" s="303"/>
      <c r="B1928" s="304"/>
      <c r="C1928" s="305"/>
      <c r="D1928" s="306"/>
      <c r="E1928" s="306"/>
      <c r="F1928" s="255"/>
      <c r="G1928" s="256"/>
      <c r="H1928" s="256"/>
      <c r="I1928" s="200"/>
      <c r="J1928" s="347"/>
      <c r="K1928" s="200"/>
      <c r="L1928" s="200"/>
      <c r="M1928" s="308"/>
      <c r="N1928" s="308"/>
      <c r="O1928" s="348"/>
      <c r="P1928" s="309"/>
      <c r="Q1928" s="310"/>
      <c r="R1928" s="257"/>
      <c r="S1928" s="258"/>
      <c r="T1928" s="258"/>
      <c r="U1928" s="311"/>
      <c r="V1928" s="259"/>
      <c r="W1928" s="256"/>
      <c r="X1928" s="256"/>
      <c r="Y1928" s="256"/>
      <c r="Z1928" s="256"/>
      <c r="AA1928" s="310"/>
      <c r="AB1928" s="200"/>
      <c r="AC1928" s="312"/>
      <c r="AD1928" s="313"/>
      <c r="AE1928" s="51"/>
      <c r="AF1928" s="314"/>
      <c r="AG1928" s="315"/>
      <c r="AH1928" s="309"/>
      <c r="AI1928" s="28"/>
      <c r="AJ1928" s="28"/>
      <c r="AK1928" s="28"/>
      <c r="AL1928" s="28"/>
      <c r="AM1928" s="12"/>
      <c r="AN1928" s="12"/>
      <c r="AO1928" s="12"/>
      <c r="AP1928" s="12"/>
      <c r="AQ1928" s="12"/>
      <c r="AR1928" s="13"/>
      <c r="AS1928" s="14"/>
    </row>
    <row r="1929" spans="1:45" s="16" customFormat="1" ht="30.6" customHeight="1" x14ac:dyDescent="0.2">
      <c r="A1929" s="35" t="s">
        <v>1118</v>
      </c>
      <c r="B1929" s="36" t="s">
        <v>443</v>
      </c>
      <c r="C1929" s="43"/>
      <c r="D1929" s="29">
        <v>3754090</v>
      </c>
      <c r="E1929" s="29"/>
      <c r="F1929" s="255" t="str">
        <f>IF(D1929="","",VLOOKUP(D1929,契約台帳!$A$3:$K$4986,6,FALSE)&amp;VLOOKUP(D1929,契約台帳!$A$3:$K$4986,7,FALSE)&amp;VLOOKUP(D1929,契約台帳!$A$3:$K$4986,8,FALSE)&amp;VLOOKUP(D1929,契約台帳!$A$3:$K$4986,9,FALSE)&amp;VLOOKUP(D1929,契約台帳!$A$3:$K$4986,11,FALSE))</f>
        <v>3SYMLBMSNMBZF</v>
      </c>
      <c r="G1929" s="256" t="str">
        <f>IF(D1929="","",VLOOKUP(F1929,製品マスタ!$G$5:$H$4999,2,FALSE))</f>
        <v>S</v>
      </c>
      <c r="H1929" s="256" t="str">
        <f>IF(D1929="","",VLOOKUP(F1929,製品マスタ!$G$5:$K$4999,5,FALSE))</f>
        <v>MSNMBZF</v>
      </c>
      <c r="I1929" s="200" t="str">
        <f>IF(D1929="","",VLOOKUP(F1929,製品マスタ!$G$5:$L$4999,6,FALSE))</f>
        <v>ＭＥＴＡＬＵＭＹ　ＳＩＬＶＥＲ　Ｎ－ＭＡＴＴＥ　Ｂ</v>
      </c>
      <c r="J1929" s="203" t="s">
        <v>935</v>
      </c>
      <c r="K1929" s="200">
        <f>IF(D1929="","",VLOOKUP(D1929,契約台帳!$A$3:$L$4986,12,FALSE))</f>
        <v>50</v>
      </c>
      <c r="L1929" s="200" t="str">
        <f>IF(D1929="","",INDEX(製品マスタ!$Q$5:$Q$4999,MATCH('S4'!F1929&amp;'S4'!K1929,製品マスタ!$AO$5:$AO$4999,0)))</f>
        <v>X44</v>
      </c>
      <c r="M1929" s="37">
        <v>1120</v>
      </c>
      <c r="N1929" s="37">
        <v>4000</v>
      </c>
      <c r="O1929" s="153">
        <v>6</v>
      </c>
      <c r="P1929" s="45">
        <v>3</v>
      </c>
      <c r="Q1929" s="54">
        <v>45414</v>
      </c>
      <c r="R1929" s="257">
        <f ca="1">IF(D1929="","",IF(OFFSET(D1929,-1,0)&lt;&gt;"","",IF(OR(J1929="リード付け",J1929="巻足し",J1929="巻返しリード付け"),M1929,VLOOKUP(D1929,契約台帳!$A$3:$N$4986,14,FALSE))))</f>
        <v>1120</v>
      </c>
      <c r="S1929" s="258">
        <f ca="1">IF(D1929="","",IF(OFFSET(D1929,-1,0)&lt;&gt;"","",IF(OR(J1929="リード付け",J1929="巻足し",J1929="巻返しリード付け"),M1929,VLOOKUP(D1929,契約台帳!$A$3:$O$4986,15,FALSE))))</f>
        <v>1120</v>
      </c>
      <c r="T1929" s="258">
        <f ca="1">IF(D1929="","",IF(J1929="リード付け",N1929,IF(J1929="巻返しリード付け",N1929,IF(J1929="巻足し",N1929*P1929+OFFSET(N1929,1,0)*OFFSET(P1929,1,0),VLOOKUP(D1929,契約台帳!$A$3:$P$4986,16,FALSE)))))</f>
        <v>12000</v>
      </c>
      <c r="U1929" s="38">
        <v>2</v>
      </c>
      <c r="V1929" s="259">
        <f ca="1">IF(D1929="","",IF(OFFSET(D1929,-2,0)=D1929,"",VLOOKUP(D1929,契約台帳!$A$3:$R$4986,18,FALSE)))</f>
        <v>8</v>
      </c>
      <c r="W1929" s="256" t="str">
        <f ca="1">IF(D1929="","",IF(T1929="","",IF(OR(J1929="巻足し",J1929="巻返しリード付け"),"",IF(J1929="巻返し",VLOOKUP(F1929&amp;K1929&amp;M1929,製品マスタ!$M$5:$AD$4999,18,FALSE),IF(OR(J1929="リード付け",J1929="巻返しリード付け"),"原反コア",IF(J1929="スリット",VLOOKUP(F1929&amp;K1929&amp;R1929,製品マスタ!$N$5:$AD$4999,17,FALSE),""))))))</f>
        <v/>
      </c>
      <c r="X1929" s="256" t="str">
        <f ca="1">IF(D1929="","",IF(T1929="","",IF(J1929="巻足し","",IF(J1929="巻返し",VLOOKUP(F1929&amp;K1929&amp;M1929,製品マスタ!$M$5:$AE$4999,19,FALSE),IF(OR(J1929="リード付け",J1929="巻返しリード付け"),"",IF(J1929="スリット",VLOOKUP(F1929&amp;K1929&amp;R1929,製品マスタ!$N$5:$AE$4999,18,FALSE),""))))))</f>
        <v/>
      </c>
      <c r="Y1929" s="256">
        <f ca="1">IF(D1929="","",IF(T1929="","",VLOOKUP(D1929,契約台帳!$A$3:$Q$4986,17,FALSE)))</f>
        <v>2</v>
      </c>
      <c r="Z1929" s="256" t="str">
        <f ca="1">IF(D1929="","",IF(T1929="","",VLOOKUP(D1929,契約台帳!$A$3:$E$4986,5,FALSE)))</f>
        <v>リンテック㈱</v>
      </c>
      <c r="AA1929" s="54"/>
      <c r="AB1929" s="200" t="s">
        <v>1083</v>
      </c>
      <c r="AC1929" s="31"/>
      <c r="AD1929" s="184"/>
      <c r="AE1929" s="51"/>
      <c r="AF1929" s="52">
        <f>+M1929*N1929*O1929/1000</f>
        <v>26880</v>
      </c>
      <c r="AG1929" s="41"/>
      <c r="AH1929" s="45"/>
      <c r="AI1929" s="28"/>
      <c r="AJ1929" s="28"/>
      <c r="AK1929" s="28"/>
      <c r="AL1929" s="28"/>
      <c r="AM1929" s="12"/>
      <c r="AN1929" s="12"/>
      <c r="AO1929" s="12"/>
      <c r="AP1929" s="12"/>
      <c r="AQ1929" s="12"/>
      <c r="AR1929" s="13"/>
      <c r="AS1929" s="14"/>
    </row>
    <row r="1930" spans="1:45" s="16" customFormat="1" ht="30.95" customHeight="1" x14ac:dyDescent="0.2">
      <c r="A1930" s="303"/>
      <c r="B1930" s="304"/>
      <c r="C1930" s="305"/>
      <c r="D1930" s="306"/>
      <c r="E1930" s="306"/>
      <c r="F1930" s="255"/>
      <c r="G1930" s="256"/>
      <c r="H1930" s="256"/>
      <c r="I1930" s="200"/>
      <c r="J1930" s="347"/>
      <c r="K1930" s="200"/>
      <c r="L1930" s="200"/>
      <c r="M1930" s="308"/>
      <c r="N1930" s="308"/>
      <c r="O1930" s="348"/>
      <c r="P1930" s="309"/>
      <c r="Q1930" s="310"/>
      <c r="R1930" s="257"/>
      <c r="S1930" s="258"/>
      <c r="T1930" s="258"/>
      <c r="U1930" s="311"/>
      <c r="V1930" s="259"/>
      <c r="W1930" s="256"/>
      <c r="X1930" s="256"/>
      <c r="Y1930" s="256"/>
      <c r="Z1930" s="256"/>
      <c r="AA1930" s="310"/>
      <c r="AB1930" s="200"/>
      <c r="AC1930" s="312"/>
      <c r="AD1930" s="313"/>
      <c r="AE1930" s="51"/>
      <c r="AF1930" s="314"/>
      <c r="AG1930" s="315"/>
      <c r="AH1930" s="309"/>
      <c r="AI1930" s="28"/>
      <c r="AJ1930" s="28"/>
      <c r="AK1930" s="28"/>
      <c r="AL1930" s="28"/>
      <c r="AM1930" s="12"/>
      <c r="AN1930" s="12"/>
      <c r="AO1930" s="12"/>
      <c r="AP1930" s="12"/>
      <c r="AQ1930" s="12"/>
      <c r="AR1930" s="13"/>
      <c r="AS1930" s="14"/>
    </row>
    <row r="1931" spans="1:45" s="16" customFormat="1" ht="30.6" customHeight="1" x14ac:dyDescent="0.2">
      <c r="A1931" s="35"/>
      <c r="B1931" s="36"/>
      <c r="C1931" s="43"/>
      <c r="D1931" s="29">
        <v>3754090</v>
      </c>
      <c r="E1931" s="29"/>
      <c r="F1931" s="255" t="str">
        <f>IF(D1931="","",VLOOKUP(D1931,契約台帳!$A$3:$K$4986,6,FALSE)&amp;VLOOKUP(D1931,契約台帳!$A$3:$K$4986,7,FALSE)&amp;VLOOKUP(D1931,契約台帳!$A$3:$K$4986,8,FALSE)&amp;VLOOKUP(D1931,契約台帳!$A$3:$K$4986,9,FALSE)&amp;VLOOKUP(D1931,契約台帳!$A$3:$K$4986,11,FALSE))</f>
        <v>3SYMLBMSNMBZF</v>
      </c>
      <c r="G1931" s="256" t="str">
        <f>IF(D1931="","",VLOOKUP(F1931,製品マスタ!$G$5:$H$4999,2,FALSE))</f>
        <v>S</v>
      </c>
      <c r="H1931" s="256" t="str">
        <f>IF(D1931="","",VLOOKUP(F1931,製品マスタ!$G$5:$K$4999,5,FALSE))</f>
        <v>MSNMBZF</v>
      </c>
      <c r="I1931" s="200" t="str">
        <f>IF(D1931="","",VLOOKUP(F1931,製品マスタ!$G$5:$L$4999,6,FALSE))</f>
        <v>ＭＥＴＡＬＵＭＹ　ＳＩＬＶＥＲ　Ｎ－ＭＡＴＴＥ　Ｂ</v>
      </c>
      <c r="J1931" s="203" t="s">
        <v>935</v>
      </c>
      <c r="K1931" s="200">
        <f>IF(D1931="","",VLOOKUP(D1931,契約台帳!$A$3:$L$4986,12,FALSE))</f>
        <v>50</v>
      </c>
      <c r="L1931" s="200" t="str">
        <f>IF(D1931="","",INDEX(製品マスタ!$Q$5:$Q$4999,MATCH('S4'!F1931&amp;'S4'!K1931,製品マスタ!$AO$5:$AO$4999,0)))</f>
        <v>X44</v>
      </c>
      <c r="M1931" s="37">
        <v>1120</v>
      </c>
      <c r="N1931" s="37">
        <v>4000</v>
      </c>
      <c r="O1931" s="153">
        <v>2</v>
      </c>
      <c r="P1931" s="45">
        <v>2</v>
      </c>
      <c r="Q1931" s="54">
        <v>45414</v>
      </c>
      <c r="R1931" s="257">
        <f ca="1">IF(D1931="","",IF(OFFSET(D1931,-1,0)&lt;&gt;"","",IF(OR(J1931="リード付け",J1931="巻足し",J1931="巻返しリード付け"),M1931,VLOOKUP(D1931,契約台帳!$A$3:$N$4986,14,FALSE))))</f>
        <v>1120</v>
      </c>
      <c r="S1931" s="258">
        <f ca="1">IF(D1931="","",IF(OFFSET(D1931,-1,0)&lt;&gt;"","",IF(OR(J1931="リード付け",J1931="巻足し",J1931="巻返しリード付け"),M1931,VLOOKUP(D1931,契約台帳!$A$3:$O$4986,15,FALSE))))</f>
        <v>1120</v>
      </c>
      <c r="T1931" s="258">
        <f ca="1">IF(D1931="","",IF(J1931="リード付け",N1931,IF(J1931="巻返しリード付け",N1931,IF(J1931="巻足し",N1931*P1931+OFFSET(N1931,1,0)*OFFSET(P1931,1,0),VLOOKUP(D1931,契約台帳!$A$3:$P$4986,16,FALSE)))))</f>
        <v>8000</v>
      </c>
      <c r="U1931" s="38">
        <v>1</v>
      </c>
      <c r="V1931" s="259" t="str">
        <f ca="1">IF(D1931="","",IF(OFFSET(D1931,-2,0)=D1931,"",VLOOKUP(D1931,契約台帳!$A$3:$R$4986,18,FALSE)))</f>
        <v/>
      </c>
      <c r="W1931" s="256" t="str">
        <f ca="1">IF(D1931="","",IF(T1931="","",IF(OR(J1931="巻足し",J1931="巻返しリード付け"),"",IF(J1931="巻返し",VLOOKUP(F1931&amp;K1931&amp;M1931,製品マスタ!$M$5:$AD$4999,18,FALSE),IF(OR(J1931="リード付け",J1931="巻返しリード付け"),"原反コア",IF(J1931="スリット",VLOOKUP(F1931&amp;K1931&amp;R1931,製品マスタ!$N$5:$AD$4999,17,FALSE),""))))))</f>
        <v/>
      </c>
      <c r="X1931" s="256" t="str">
        <f ca="1">IF(D1931="","",IF(T1931="","",IF(J1931="巻足し","",IF(J1931="巻返し",VLOOKUP(F1931&amp;K1931&amp;M1931,製品マスタ!$M$5:$AE$4999,19,FALSE),IF(OR(J1931="リード付け",J1931="巻返しリード付け"),"",IF(J1931="スリット",VLOOKUP(F1931&amp;K1931&amp;R1931,製品マスタ!$N$5:$AE$4999,18,FALSE),""))))))</f>
        <v/>
      </c>
      <c r="Y1931" s="256">
        <f ca="1">IF(D1931="","",IF(T1931="","",VLOOKUP(D1931,契約台帳!$A$3:$Q$4986,17,FALSE)))</f>
        <v>2</v>
      </c>
      <c r="Z1931" s="256" t="str">
        <f ca="1">IF(D1931="","",IF(T1931="","",VLOOKUP(D1931,契約台帳!$A$3:$E$4986,5,FALSE)))</f>
        <v>リンテック㈱</v>
      </c>
      <c r="AA1931" s="54"/>
      <c r="AB1931" s="200" t="s">
        <v>1083</v>
      </c>
      <c r="AC1931" s="31"/>
      <c r="AD1931" s="184"/>
      <c r="AE1931" s="51"/>
      <c r="AF1931" s="52">
        <f>+M1931*N1931*O1931/1000</f>
        <v>8960</v>
      </c>
      <c r="AG1931" s="41"/>
      <c r="AH1931" s="45"/>
      <c r="AI1931" s="28"/>
      <c r="AJ1931" s="28"/>
      <c r="AK1931" s="28"/>
      <c r="AL1931" s="28"/>
      <c r="AM1931" s="12"/>
      <c r="AN1931" s="12"/>
      <c r="AO1931" s="12"/>
      <c r="AP1931" s="12"/>
      <c r="AQ1931" s="12"/>
      <c r="AR1931" s="13"/>
      <c r="AS1931" s="14"/>
    </row>
    <row r="1932" spans="1:45" s="16" customFormat="1" ht="30.95" customHeight="1" x14ac:dyDescent="0.2">
      <c r="A1932" s="303"/>
      <c r="B1932" s="304"/>
      <c r="C1932" s="305"/>
      <c r="D1932" s="306"/>
      <c r="E1932" s="306"/>
      <c r="F1932" s="255"/>
      <c r="G1932" s="256"/>
      <c r="H1932" s="256"/>
      <c r="I1932" s="200"/>
      <c r="J1932" s="347"/>
      <c r="K1932" s="200"/>
      <c r="L1932" s="200"/>
      <c r="M1932" s="308"/>
      <c r="N1932" s="308"/>
      <c r="O1932" s="348"/>
      <c r="P1932" s="309"/>
      <c r="Q1932" s="310"/>
      <c r="R1932" s="257"/>
      <c r="S1932" s="258"/>
      <c r="T1932" s="258"/>
      <c r="U1932" s="311"/>
      <c r="V1932" s="259"/>
      <c r="W1932" s="256"/>
      <c r="X1932" s="256"/>
      <c r="Y1932" s="256"/>
      <c r="Z1932" s="256"/>
      <c r="AA1932" s="310"/>
      <c r="AB1932" s="200"/>
      <c r="AC1932" s="312"/>
      <c r="AD1932" s="313"/>
      <c r="AE1932" s="51"/>
      <c r="AF1932" s="314"/>
      <c r="AG1932" s="315"/>
      <c r="AH1932" s="309"/>
      <c r="AI1932" s="28"/>
      <c r="AJ1932" s="28"/>
      <c r="AK1932" s="28"/>
      <c r="AL1932" s="28"/>
      <c r="AM1932" s="12"/>
      <c r="AN1932" s="12"/>
      <c r="AO1932" s="12"/>
      <c r="AP1932" s="12"/>
      <c r="AQ1932" s="12"/>
      <c r="AR1932" s="13"/>
      <c r="AS1932" s="14"/>
    </row>
    <row r="1933" spans="1:45" s="16" customFormat="1" ht="30.6" customHeight="1" x14ac:dyDescent="0.2">
      <c r="A1933" s="35"/>
      <c r="B1933" s="36"/>
      <c r="C1933" s="43"/>
      <c r="D1933" s="29">
        <v>3754093</v>
      </c>
      <c r="E1933" s="29"/>
      <c r="F1933" s="255" t="str">
        <f>IF(D1933="","",VLOOKUP(D1933,契約台帳!$A$3:$K$4986,6,FALSE)&amp;VLOOKUP(D1933,契約台帳!$A$3:$K$4986,7,FALSE)&amp;VLOOKUP(D1933,契約台帳!$A$3:$K$4986,8,FALSE)&amp;VLOOKUP(D1933,契約台帳!$A$3:$K$4986,9,FALSE)&amp;VLOOKUP(D1933,契約台帳!$A$3:$K$4986,11,FALSE))</f>
        <v>3SYMLBMSNMBZF</v>
      </c>
      <c r="G1933" s="256" t="str">
        <f>IF(D1933="","",VLOOKUP(F1933,製品マスタ!$G$5:$H$4999,2,FALSE))</f>
        <v>S</v>
      </c>
      <c r="H1933" s="256" t="str">
        <f>IF(D1933="","",VLOOKUP(F1933,製品マスタ!$G$5:$K$4999,5,FALSE))</f>
        <v>MSNMBZF</v>
      </c>
      <c r="I1933" s="200" t="str">
        <f>IF(D1933="","",VLOOKUP(F1933,製品マスタ!$G$5:$L$4999,6,FALSE))</f>
        <v>ＭＥＴＡＬＵＭＹ　ＳＩＬＶＥＲ　Ｎ－ＭＡＴＴＥ　Ｂ</v>
      </c>
      <c r="J1933" s="203" t="s">
        <v>935</v>
      </c>
      <c r="K1933" s="200">
        <f>IF(D1933="","",VLOOKUP(D1933,契約台帳!$A$3:$L$4986,12,FALSE))</f>
        <v>25</v>
      </c>
      <c r="L1933" s="200" t="str">
        <f>IF(D1933="","",INDEX(製品マスタ!$Q$5:$Q$4999,MATCH('S4'!F1933&amp;'S4'!K1933,製品マスタ!$AO$5:$AO$4999,0)))</f>
        <v>X44</v>
      </c>
      <c r="M1933" s="37">
        <v>1120</v>
      </c>
      <c r="N1933" s="37">
        <v>8000</v>
      </c>
      <c r="O1933" s="153">
        <v>2</v>
      </c>
      <c r="P1933" s="45">
        <v>2</v>
      </c>
      <c r="Q1933" s="54">
        <v>45414</v>
      </c>
      <c r="R1933" s="257">
        <f ca="1">IF(D1933="","",IF(OFFSET(D1933,-1,0)&lt;&gt;"","",IF(OR(J1933="リード付け",J1933="巻足し",J1933="巻返しリード付け"),M1933,VLOOKUP(D1933,契約台帳!$A$3:$N$4986,14,FALSE))))</f>
        <v>1120</v>
      </c>
      <c r="S1933" s="258">
        <f ca="1">IF(D1933="","",IF(OFFSET(D1933,-1,0)&lt;&gt;"","",IF(OR(J1933="リード付け",J1933="巻足し",J1933="巻返しリード付け"),M1933,VLOOKUP(D1933,契約台帳!$A$3:$O$4986,15,FALSE))))</f>
        <v>1120</v>
      </c>
      <c r="T1933" s="258">
        <f ca="1">IF(D1933="","",IF(J1933="リード付け",N1933,IF(J1933="巻返しリード付け",N1933,IF(J1933="巻足し",N1933*P1933+OFFSET(N1933,1,0)*OFFSET(P1933,1,0),VLOOKUP(D1933,契約台帳!$A$3:$P$4986,16,FALSE)))))</f>
        <v>16000</v>
      </c>
      <c r="U1933" s="38">
        <v>1</v>
      </c>
      <c r="V1933" s="259">
        <f ca="1">IF(D1933="","",IF(OFFSET(D1933,-2,0)=D1933,"",VLOOKUP(D1933,契約台帳!$A$3:$R$4986,18,FALSE)))</f>
        <v>2</v>
      </c>
      <c r="W1933" s="256" t="str">
        <f ca="1">IF(D1933="","",IF(T1933="","",IF(OR(J1933="巻足し",J1933="巻返しリード付け"),"",IF(J1933="巻返し",VLOOKUP(F1933&amp;K1933&amp;M1933,製品マスタ!$M$5:$AD$4999,18,FALSE),IF(OR(J1933="リード付け",J1933="巻返しリード付け"),"原反コア",IF(J1933="スリット",VLOOKUP(F1933&amp;K1933&amp;R1933,製品マスタ!$N$5:$AD$4999,17,FALSE),""))))))</f>
        <v/>
      </c>
      <c r="X1933" s="256" t="str">
        <f ca="1">IF(D1933="","",IF(T1933="","",IF(J1933="巻足し","",IF(J1933="巻返し",VLOOKUP(F1933&amp;K1933&amp;M1933,製品マスタ!$M$5:$AE$4999,19,FALSE),IF(OR(J1933="リード付け",J1933="巻返しリード付け"),"",IF(J1933="スリット",VLOOKUP(F1933&amp;K1933&amp;R1933,製品マスタ!$N$5:$AE$4999,18,FALSE),""))))))</f>
        <v/>
      </c>
      <c r="Y1933" s="256">
        <f ca="1">IF(D1933="","",IF(T1933="","",VLOOKUP(D1933,契約台帳!$A$3:$Q$4986,17,FALSE)))</f>
        <v>2</v>
      </c>
      <c r="Z1933" s="256" t="str">
        <f ca="1">IF(D1933="","",IF(T1933="","",VLOOKUP(D1933,契約台帳!$A$3:$E$4986,5,FALSE)))</f>
        <v>リンテック㈱</v>
      </c>
      <c r="AA1933" s="54"/>
      <c r="AB1933" s="200">
        <f>IFERROR((VLOOKUP(F1933&amp;K1933&amp;M1933,製品マスタ!$M$5:$AM$4999,27,FALSE)),"")</f>
        <v>0</v>
      </c>
      <c r="AC1933" s="31"/>
      <c r="AD1933" s="184"/>
      <c r="AE1933" s="51"/>
      <c r="AF1933" s="52">
        <f>+M1933*N1933*O1933/1000</f>
        <v>17920</v>
      </c>
      <c r="AG1933" s="41"/>
      <c r="AH1933" s="45"/>
      <c r="AI1933" s="28"/>
      <c r="AJ1933" s="28"/>
      <c r="AK1933" s="28"/>
      <c r="AL1933" s="28"/>
      <c r="AM1933" s="12"/>
      <c r="AN1933" s="12"/>
      <c r="AO1933" s="12"/>
      <c r="AP1933" s="12"/>
      <c r="AQ1933" s="12"/>
      <c r="AR1933" s="13"/>
      <c r="AS1933" s="14"/>
    </row>
    <row r="1934" spans="1:45" s="16" customFormat="1" ht="30.95" customHeight="1" x14ac:dyDescent="0.2">
      <c r="A1934" s="303"/>
      <c r="B1934" s="304"/>
      <c r="C1934" s="305"/>
      <c r="D1934" s="306"/>
      <c r="E1934" s="306"/>
      <c r="F1934" s="255"/>
      <c r="G1934" s="256"/>
      <c r="H1934" s="256"/>
      <c r="I1934" s="200"/>
      <c r="J1934" s="347"/>
      <c r="K1934" s="200"/>
      <c r="L1934" s="200"/>
      <c r="M1934" s="308"/>
      <c r="N1934" s="308"/>
      <c r="O1934" s="348"/>
      <c r="P1934" s="309"/>
      <c r="Q1934" s="310"/>
      <c r="R1934" s="257"/>
      <c r="S1934" s="258"/>
      <c r="T1934" s="258"/>
      <c r="U1934" s="311"/>
      <c r="V1934" s="259"/>
      <c r="W1934" s="256"/>
      <c r="X1934" s="256"/>
      <c r="Y1934" s="256"/>
      <c r="Z1934" s="256"/>
      <c r="AA1934" s="310"/>
      <c r="AB1934" s="200"/>
      <c r="AC1934" s="312"/>
      <c r="AD1934" s="313"/>
      <c r="AE1934" s="51"/>
      <c r="AF1934" s="314"/>
      <c r="AG1934" s="315"/>
      <c r="AH1934" s="309"/>
      <c r="AI1934" s="28"/>
      <c r="AJ1934" s="28"/>
      <c r="AK1934" s="28"/>
      <c r="AL1934" s="28"/>
      <c r="AM1934" s="12"/>
      <c r="AN1934" s="12"/>
      <c r="AO1934" s="12"/>
      <c r="AP1934" s="12"/>
      <c r="AQ1934" s="12"/>
      <c r="AR1934" s="13"/>
      <c r="AS1934" s="14"/>
    </row>
    <row r="1935" spans="1:45" s="16" customFormat="1" ht="30.6" customHeight="1" x14ac:dyDescent="0.2">
      <c r="A1935" s="35"/>
      <c r="B1935" s="36"/>
      <c r="C1935" s="43"/>
      <c r="D1935" s="29">
        <v>3754083</v>
      </c>
      <c r="E1935" s="29"/>
      <c r="F1935" s="255" t="str">
        <f>IF(D1935="","",VLOOKUP(D1935,契約台帳!$A$3:$K$4986,6,FALSE)&amp;VLOOKUP(D1935,契約台帳!$A$3:$K$4986,7,FALSE)&amp;VLOOKUP(D1935,契約台帳!$A$3:$K$4986,8,FALSE)&amp;VLOOKUP(D1935,契約台帳!$A$3:$K$4986,9,FALSE)&amp;VLOOKUP(D1935,契約台帳!$A$3:$K$4986,11,FALSE))</f>
        <v>3SNMLBMNGKKBF</v>
      </c>
      <c r="G1935" s="256" t="str">
        <f>IF(D1935="","",VLOOKUP(F1935,製品マスタ!$G$5:$H$4999,2,FALSE))</f>
        <v>S</v>
      </c>
      <c r="H1935" s="256" t="str">
        <f>IF(D1935="","",VLOOKUP(F1935,製品マスタ!$G$5:$K$4999,5,FALSE))</f>
        <v>MNGKKBF</v>
      </c>
      <c r="I1935" s="200" t="str">
        <f>IF(D1935="","",VLOOKUP(F1935,製品マスタ!$G$5:$L$4999,6,FALSE))</f>
        <v>メタルミー　ネーマー銀消改　Ｂ</v>
      </c>
      <c r="J1935" s="203" t="s">
        <v>935</v>
      </c>
      <c r="K1935" s="200">
        <f>IF(D1935="","",VLOOKUP(D1935,契約台帳!$A$3:$L$4986,12,FALSE))</f>
        <v>50</v>
      </c>
      <c r="L1935" s="200" t="str">
        <f>IF(D1935="","",INDEX(製品マスタ!$Q$5:$Q$4999,MATCH('S4'!F1935&amp;'S4'!K1935,製品マスタ!$AO$5:$AO$4999,0)))</f>
        <v>S99-MAT</v>
      </c>
      <c r="M1935" s="37">
        <v>1120</v>
      </c>
      <c r="N1935" s="37">
        <v>4000</v>
      </c>
      <c r="O1935" s="153">
        <v>9</v>
      </c>
      <c r="P1935" s="45">
        <v>3</v>
      </c>
      <c r="Q1935" s="206">
        <v>45421</v>
      </c>
      <c r="R1935" s="257">
        <f ca="1">IF(D1935="","",IF(OFFSET(D1935,-1,0)&lt;&gt;"","",IF(OR(J1935="リード付け",J1935="巻足し",J1935="巻返しリード付け"),M1935,VLOOKUP(D1935,契約台帳!$A$3:$N$4986,14,FALSE))))</f>
        <v>1120</v>
      </c>
      <c r="S1935" s="258">
        <f ca="1">IF(D1935="","",IF(OFFSET(D1935,-1,0)&lt;&gt;"","",IF(OR(J1935="リード付け",J1935="巻足し",J1935="巻返しリード付け"),M1935,VLOOKUP(D1935,契約台帳!$A$3:$O$4986,15,FALSE))))</f>
        <v>1120</v>
      </c>
      <c r="T1935" s="258">
        <f ca="1">IF(D1935="","",IF(J1935="リード付け",N1935,IF(J1935="巻返しリード付け",N1935,IF(J1935="巻足し",N1935*P1935+OFFSET(N1935,1,0)*OFFSET(P1935,1,0),VLOOKUP(D1935,契約台帳!$A$3:$P$4986,16,FALSE)))))</f>
        <v>12000</v>
      </c>
      <c r="U1935" s="38">
        <v>3</v>
      </c>
      <c r="V1935" s="259">
        <f ca="1">IF(D1935="","",IF(OFFSET(D1935,-2,0)=D1935,"",VLOOKUP(D1935,契約台帳!$A$3:$R$4986,18,FALSE)))</f>
        <v>24</v>
      </c>
      <c r="W1935" s="256" t="str">
        <f ca="1">IF(D1935="","",IF(T1935="","",IF(OR(J1935="巻足し",J1935="巻返しリード付け"),"",IF(J1935="巻返し",VLOOKUP(F1935&amp;K1935&amp;M1935,製品マスタ!$M$5:$AD$4999,18,FALSE),IF(OR(J1935="リード付け",J1935="巻返しリード付け"),"原反コア",IF(J1935="スリット",VLOOKUP(F1935&amp;K1935&amp;R1935,製品マスタ!$N$5:$AD$4999,17,FALSE),""))))))</f>
        <v/>
      </c>
      <c r="X1935" s="256" t="str">
        <f ca="1">IF(D1935="","",IF(T1935="","",IF(J1935="巻足し","",IF(J1935="巻返し",VLOOKUP(F1935&amp;K1935&amp;M1935,製品マスタ!$M$5:$AE$4999,19,FALSE),IF(OR(J1935="リード付け",J1935="巻返しリード付け"),"",IF(J1935="スリット",VLOOKUP(F1935&amp;K1935&amp;R1935,製品マスタ!$N$5:$AE$4999,18,FALSE),""))))))</f>
        <v/>
      </c>
      <c r="Y1935" s="256">
        <f ca="1">IF(D1935="","",IF(T1935="","",VLOOKUP(D1935,契約台帳!$A$3:$Q$4986,17,FALSE)))</f>
        <v>2</v>
      </c>
      <c r="Z1935" s="256" t="str">
        <f ca="1">IF(D1935="","",IF(T1935="","",VLOOKUP(D1935,契約台帳!$A$3:$E$4986,5,FALSE)))</f>
        <v>リンテック㈱</v>
      </c>
      <c r="AA1935" s="54"/>
      <c r="AB1935" s="200">
        <f>IFERROR((VLOOKUP(F1935&amp;K1935&amp;M1935,製品マスタ!$M$5:$AM$4999,27,FALSE)),"")</f>
        <v>0</v>
      </c>
      <c r="AC1935" s="31"/>
      <c r="AD1935" s="184"/>
      <c r="AE1935" s="51"/>
      <c r="AF1935" s="52">
        <f>+M1935*N1935*O1935/1000</f>
        <v>40320</v>
      </c>
      <c r="AG1935" s="41"/>
      <c r="AH1935" s="45"/>
      <c r="AI1935" s="28"/>
      <c r="AJ1935" s="28"/>
      <c r="AK1935" s="28"/>
      <c r="AL1935" s="28"/>
      <c r="AM1935" s="12"/>
      <c r="AN1935" s="12"/>
      <c r="AO1935" s="12"/>
      <c r="AP1935" s="12"/>
      <c r="AQ1935" s="12"/>
      <c r="AR1935" s="13"/>
      <c r="AS1935" s="14"/>
    </row>
    <row r="1936" spans="1:45" s="16" customFormat="1" ht="30.95" customHeight="1" x14ac:dyDescent="0.2">
      <c r="A1936" s="303"/>
      <c r="B1936" s="304"/>
      <c r="C1936" s="305"/>
      <c r="D1936" s="306"/>
      <c r="E1936" s="306"/>
      <c r="F1936" s="255"/>
      <c r="G1936" s="256"/>
      <c r="H1936" s="256"/>
      <c r="I1936" s="200"/>
      <c r="J1936" s="347"/>
      <c r="K1936" s="200"/>
      <c r="L1936" s="200"/>
      <c r="M1936" s="308"/>
      <c r="N1936" s="308"/>
      <c r="O1936" s="348"/>
      <c r="P1936" s="309"/>
      <c r="Q1936" s="310"/>
      <c r="R1936" s="257"/>
      <c r="S1936" s="258"/>
      <c r="T1936" s="258"/>
      <c r="U1936" s="311"/>
      <c r="V1936" s="259"/>
      <c r="W1936" s="256"/>
      <c r="X1936" s="256"/>
      <c r="Y1936" s="256"/>
      <c r="Z1936" s="256"/>
      <c r="AA1936" s="310"/>
      <c r="AB1936" s="200"/>
      <c r="AC1936" s="312"/>
      <c r="AD1936" s="313"/>
      <c r="AE1936" s="51"/>
      <c r="AF1936" s="314"/>
      <c r="AG1936" s="315"/>
      <c r="AH1936" s="309"/>
      <c r="AI1936" s="28"/>
      <c r="AJ1936" s="28"/>
      <c r="AK1936" s="28"/>
      <c r="AL1936" s="28"/>
      <c r="AM1936" s="12"/>
      <c r="AN1936" s="12"/>
      <c r="AO1936" s="12"/>
      <c r="AP1936" s="12"/>
      <c r="AQ1936" s="12"/>
      <c r="AR1936" s="13"/>
      <c r="AS1936" s="14"/>
    </row>
    <row r="1937" spans="1:45" s="16" customFormat="1" ht="30.6" customHeight="1" x14ac:dyDescent="0.2">
      <c r="A1937" s="35" t="s">
        <v>1119</v>
      </c>
      <c r="B1937" s="36" t="s">
        <v>444</v>
      </c>
      <c r="C1937" s="43"/>
      <c r="D1937" s="29">
        <v>3754083</v>
      </c>
      <c r="E1937" s="29"/>
      <c r="F1937" s="255" t="str">
        <f>IF(D1937="","",VLOOKUP(D1937,契約台帳!$A$3:$K$4986,6,FALSE)&amp;VLOOKUP(D1937,契約台帳!$A$3:$K$4986,7,FALSE)&amp;VLOOKUP(D1937,契約台帳!$A$3:$K$4986,8,FALSE)&amp;VLOOKUP(D1937,契約台帳!$A$3:$K$4986,9,FALSE)&amp;VLOOKUP(D1937,契約台帳!$A$3:$K$4986,11,FALSE))</f>
        <v>3SNMLBMNGKKBF</v>
      </c>
      <c r="G1937" s="256" t="str">
        <f>IF(D1937="","",VLOOKUP(F1937,製品マスタ!$G$5:$H$4999,2,FALSE))</f>
        <v>S</v>
      </c>
      <c r="H1937" s="256" t="str">
        <f>IF(D1937="","",VLOOKUP(F1937,製品マスタ!$G$5:$K$4999,5,FALSE))</f>
        <v>MNGKKBF</v>
      </c>
      <c r="I1937" s="200" t="str">
        <f>IF(D1937="","",VLOOKUP(F1937,製品マスタ!$G$5:$L$4999,6,FALSE))</f>
        <v>メタルミー　ネーマー銀消改　Ｂ</v>
      </c>
      <c r="J1937" s="203" t="s">
        <v>935</v>
      </c>
      <c r="K1937" s="200">
        <f>IF(D1937="","",VLOOKUP(D1937,契約台帳!$A$3:$L$4986,12,FALSE))</f>
        <v>50</v>
      </c>
      <c r="L1937" s="200" t="str">
        <f>IF(D1937="","",INDEX(製品マスタ!$Q$5:$Q$4999,MATCH('S4'!F1937&amp;'S4'!K1937,製品マスタ!$AO$5:$AO$4999,0)))</f>
        <v>S99-MAT</v>
      </c>
      <c r="M1937" s="37">
        <v>1120</v>
      </c>
      <c r="N1937" s="37">
        <v>4000</v>
      </c>
      <c r="O1937" s="153">
        <v>15</v>
      </c>
      <c r="P1937" s="45">
        <v>3</v>
      </c>
      <c r="Q1937" s="206">
        <v>45421</v>
      </c>
      <c r="R1937" s="257">
        <f ca="1">IF(D1937="","",IF(OFFSET(D1937,-1,0)&lt;&gt;"","",IF(OR(J1937="リード付け",J1937="巻足し",J1937="巻返しリード付け"),M1937,VLOOKUP(D1937,契約台帳!$A$3:$N$4986,14,FALSE))))</f>
        <v>1120</v>
      </c>
      <c r="S1937" s="258">
        <f ca="1">IF(D1937="","",IF(OFFSET(D1937,-1,0)&lt;&gt;"","",IF(OR(J1937="リード付け",J1937="巻足し",J1937="巻返しリード付け"),M1937,VLOOKUP(D1937,契約台帳!$A$3:$O$4986,15,FALSE))))</f>
        <v>1120</v>
      </c>
      <c r="T1937" s="258">
        <f ca="1">IF(D1937="","",IF(J1937="リード付け",N1937,IF(J1937="巻返しリード付け",N1937,IF(J1937="巻足し",N1937*P1937+OFFSET(N1937,1,0)*OFFSET(P1937,1,0),VLOOKUP(D1937,契約台帳!$A$3:$P$4986,16,FALSE)))))</f>
        <v>12000</v>
      </c>
      <c r="U1937" s="38">
        <v>5</v>
      </c>
      <c r="V1937" s="259" t="str">
        <f ca="1">IF(D1937="","",IF(OFFSET(D1937,-2,0)=D1937,"",VLOOKUP(D1937,契約台帳!$A$3:$R$4986,18,FALSE)))</f>
        <v/>
      </c>
      <c r="W1937" s="256" t="str">
        <f ca="1">IF(D1937="","",IF(T1937="","",IF(OR(J1937="巻足し",J1937="巻返しリード付け"),"",IF(J1937="巻返し",VLOOKUP(F1937&amp;K1937&amp;M1937,製品マスタ!$M$5:$AD$4999,18,FALSE),IF(OR(J1937="リード付け",J1937="巻返しリード付け"),"原反コア",IF(J1937="スリット",VLOOKUP(F1937&amp;K1937&amp;R1937,製品マスタ!$N$5:$AD$4999,17,FALSE),""))))))</f>
        <v/>
      </c>
      <c r="X1937" s="256" t="str">
        <f ca="1">IF(D1937="","",IF(T1937="","",IF(J1937="巻足し","",IF(J1937="巻返し",VLOOKUP(F1937&amp;K1937&amp;M1937,製品マスタ!$M$5:$AE$4999,19,FALSE),IF(OR(J1937="リード付け",J1937="巻返しリード付け"),"",IF(J1937="スリット",VLOOKUP(F1937&amp;K1937&amp;R1937,製品マスタ!$N$5:$AE$4999,18,FALSE),""))))))</f>
        <v/>
      </c>
      <c r="Y1937" s="256">
        <f ca="1">IF(D1937="","",IF(T1937="","",VLOOKUP(D1937,契約台帳!$A$3:$Q$4986,17,FALSE)))</f>
        <v>2</v>
      </c>
      <c r="Z1937" s="256" t="str">
        <f ca="1">IF(D1937="","",IF(T1937="","",VLOOKUP(D1937,契約台帳!$A$3:$E$4986,5,FALSE)))</f>
        <v>リンテック㈱</v>
      </c>
      <c r="AA1937" s="54"/>
      <c r="AB1937" s="200">
        <f>IFERROR((VLOOKUP(F1937&amp;K1937&amp;M1937,製品マスタ!$M$5:$AM$4999,27,FALSE)),"")</f>
        <v>0</v>
      </c>
      <c r="AC1937" s="31"/>
      <c r="AD1937" s="184"/>
      <c r="AE1937" s="51"/>
      <c r="AF1937" s="52">
        <f>+M1937*N1937*O1937/1000</f>
        <v>67200</v>
      </c>
      <c r="AG1937" s="41"/>
      <c r="AH1937" s="45"/>
      <c r="AI1937" s="28"/>
      <c r="AJ1937" s="28"/>
      <c r="AK1937" s="28"/>
      <c r="AL1937" s="28"/>
      <c r="AM1937" s="12"/>
      <c r="AN1937" s="12"/>
      <c r="AO1937" s="12"/>
      <c r="AP1937" s="12"/>
      <c r="AQ1937" s="12"/>
      <c r="AR1937" s="13"/>
      <c r="AS1937" s="14"/>
    </row>
    <row r="1938" spans="1:45" s="16" customFormat="1" ht="30.95" customHeight="1" x14ac:dyDescent="0.2">
      <c r="A1938" s="303"/>
      <c r="B1938" s="304"/>
      <c r="C1938" s="305"/>
      <c r="D1938" s="306"/>
      <c r="E1938" s="306"/>
      <c r="F1938" s="255"/>
      <c r="G1938" s="256"/>
      <c r="H1938" s="256"/>
      <c r="I1938" s="200"/>
      <c r="J1938" s="347"/>
      <c r="K1938" s="200"/>
      <c r="L1938" s="200"/>
      <c r="M1938" s="308"/>
      <c r="N1938" s="308"/>
      <c r="O1938" s="348"/>
      <c r="P1938" s="309"/>
      <c r="Q1938" s="310"/>
      <c r="R1938" s="257"/>
      <c r="S1938" s="258"/>
      <c r="T1938" s="258"/>
      <c r="U1938" s="311"/>
      <c r="V1938" s="259"/>
      <c r="W1938" s="256"/>
      <c r="X1938" s="256"/>
      <c r="Y1938" s="256"/>
      <c r="Z1938" s="256"/>
      <c r="AA1938" s="310"/>
      <c r="AB1938" s="200"/>
      <c r="AC1938" s="312"/>
      <c r="AD1938" s="313"/>
      <c r="AE1938" s="51"/>
      <c r="AF1938" s="314"/>
      <c r="AG1938" s="315"/>
      <c r="AH1938" s="309"/>
      <c r="AI1938" s="28"/>
      <c r="AJ1938" s="28"/>
      <c r="AK1938" s="28"/>
      <c r="AL1938" s="28"/>
      <c r="AM1938" s="12"/>
      <c r="AN1938" s="12"/>
      <c r="AO1938" s="12"/>
      <c r="AP1938" s="12"/>
      <c r="AQ1938" s="12"/>
      <c r="AR1938" s="13"/>
      <c r="AS1938" s="14"/>
    </row>
    <row r="1939" spans="1:45" s="16" customFormat="1" ht="30.6" customHeight="1" x14ac:dyDescent="0.2">
      <c r="A1939" s="35"/>
      <c r="B1939" s="36"/>
      <c r="C1939" s="43"/>
      <c r="D1939" s="29">
        <v>3754104</v>
      </c>
      <c r="E1939" s="29"/>
      <c r="F1939" s="255" t="str">
        <f>IF(D1939="","",VLOOKUP(D1939,契約台帳!$A$3:$K$4986,6,FALSE)&amp;VLOOKUP(D1939,契約台帳!$A$3:$K$4986,7,FALSE)&amp;VLOOKUP(D1939,契約台帳!$A$3:$K$4986,8,FALSE)&amp;VLOOKUP(D1939,契約台帳!$A$3:$K$4986,9,FALSE)&amp;VLOOKUP(D1939,契約台帳!$A$3:$K$4986,11,FALSE))</f>
        <v>3SNMCLBNGTVB</v>
      </c>
      <c r="G1939" s="256" t="str">
        <f>IF(D1939="","",VLOOKUP(F1939,製品マスタ!$G$5:$H$4999,2,FALSE))</f>
        <v>S</v>
      </c>
      <c r="H1939" s="256" t="str">
        <f>IF(D1939="","",VLOOKUP(F1939,製品マスタ!$G$5:$K$4999,5,FALSE))</f>
        <v>NGTVB</v>
      </c>
      <c r="I1939" s="200" t="str">
        <f>IF(D1939="","",VLOOKUP(F1939,製品マスタ!$G$5:$L$4999,6,FALSE))</f>
        <v>メタルミー　ネーマー　銀艶ＶＢ</v>
      </c>
      <c r="J1939" s="203" t="s">
        <v>464</v>
      </c>
      <c r="K1939" s="200">
        <f>IF(D1939="","",VLOOKUP(D1939,契約台帳!$A$3:$L$4986,12,FALSE))</f>
        <v>50</v>
      </c>
      <c r="L1939" s="200" t="str">
        <f>IF(D1939="","",INDEX(製品マスタ!$Q$5:$Q$4999,MATCH('S4'!F1939&amp;'S4'!K1939,製品マスタ!$AO$5:$AO$4999,0)))</f>
        <v>T62</v>
      </c>
      <c r="M1939" s="37">
        <v>1040</v>
      </c>
      <c r="N1939" s="37">
        <v>6000</v>
      </c>
      <c r="O1939" s="153">
        <v>1</v>
      </c>
      <c r="P1939" s="45">
        <v>1</v>
      </c>
      <c r="Q1939" s="206">
        <v>45420</v>
      </c>
      <c r="R1939" s="257">
        <f ca="1">IF(D1939="","",IF(OFFSET(D1939,-1,0)&lt;&gt;"","",IF(OR(J1939="リード付け",J1939="巻足し",J1939="巻返しリード付け"),M1939,VLOOKUP(D1939,契約台帳!$A$3:$N$4986,14,FALSE))))</f>
        <v>1040</v>
      </c>
      <c r="S1939" s="258">
        <f ca="1">IF(D1939="","",IF(OFFSET(D1939,-1,0)&lt;&gt;"","",IF(OR(J1939="リード付け",J1939="巻足し",J1939="巻返しリード付け"),M1939,VLOOKUP(D1939,契約台帳!$A$3:$O$4986,15,FALSE))))</f>
        <v>1040</v>
      </c>
      <c r="T1939" s="258">
        <f ca="1">IF(D1939="","",IF(J1939="リード付け",N1939,IF(J1939="巻返しリード付け",N1939,IF(J1939="巻足し",N1939*P1939+OFFSET(N1939,1,0)*OFFSET(P1939,1,0),VLOOKUP(D1939,契約台帳!$A$3:$P$4986,16,FALSE)))))</f>
        <v>6000</v>
      </c>
      <c r="U1939" s="38">
        <v>1</v>
      </c>
      <c r="V1939" s="259">
        <f ca="1">IF(D1939="","",IF(OFFSET(D1939,-2,0)=D1939,"",VLOOKUP(D1939,契約台帳!$A$3:$R$4986,18,FALSE)))</f>
        <v>2</v>
      </c>
      <c r="W1939" s="256" t="str">
        <f ca="1">IF(D1939="","",IF(T1939="","",IF(OR(J1939="巻足し",J1939="巻返しリード付け"),"",IF(J1939="巻返し",VLOOKUP(F1939&amp;K1939&amp;M1939,製品マスタ!$M$5:$AD$4999,18,FALSE),IF(OR(J1939="リード付け",J1939="巻返しリード付け"),"原反コア",IF(J1939="スリット",VLOOKUP(F1939&amp;K1939&amp;R1939,製品マスタ!$N$5:$AD$4999,17,FALSE),""))))))</f>
        <v>原反コア</v>
      </c>
      <c r="X1939" s="256" t="str">
        <f ca="1">IF(D1939="","",IF(T1939="","",IF(J1939="巻足し","",IF(J1939="巻返し",VLOOKUP(F1939&amp;K1939&amp;M1939,製品マスタ!$M$5:$AE$4999,19,FALSE),IF(OR(J1939="リード付け",J1939="巻返しリード付け"),"",IF(J1939="スリット",VLOOKUP(F1939&amp;K1939&amp;R1939,製品マスタ!$N$5:$AE$4999,18,FALSE),""))))))</f>
        <v/>
      </c>
      <c r="Y1939" s="256">
        <f ca="1">IF(D1939="","",IF(T1939="","",VLOOKUP(D1939,契約台帳!$A$3:$Q$4986,17,FALSE)))</f>
        <v>2</v>
      </c>
      <c r="Z1939" s="256" t="str">
        <f ca="1">IF(D1939="","",IF(T1939="","",VLOOKUP(D1939,契約台帳!$A$3:$E$4986,5,FALSE)))</f>
        <v>リンテック㈱</v>
      </c>
      <c r="AA1939" s="54"/>
      <c r="AB1939" s="200">
        <f>IFERROR((VLOOKUP(F1939&amp;K1939&amp;M1939,製品マスタ!$M$5:$AM$4999,27,FALSE)),"")</f>
        <v>0</v>
      </c>
      <c r="AC1939" s="31"/>
      <c r="AD1939" s="184"/>
      <c r="AE1939" s="51"/>
      <c r="AF1939" s="52">
        <f>+M1939*N1939*O1939/1000</f>
        <v>6240</v>
      </c>
      <c r="AG1939" s="41"/>
      <c r="AH1939" s="45"/>
      <c r="AI1939" s="28"/>
      <c r="AJ1939" s="28"/>
      <c r="AK1939" s="28"/>
      <c r="AL1939" s="28"/>
      <c r="AM1939" s="12"/>
      <c r="AN1939" s="12"/>
      <c r="AO1939" s="12"/>
      <c r="AP1939" s="12"/>
      <c r="AQ1939" s="12"/>
      <c r="AR1939" s="13"/>
      <c r="AS1939" s="14"/>
    </row>
    <row r="1940" spans="1:45" s="16" customFormat="1" ht="30.95" customHeight="1" x14ac:dyDescent="0.2">
      <c r="A1940" s="303"/>
      <c r="B1940" s="304"/>
      <c r="C1940" s="305"/>
      <c r="D1940" s="306"/>
      <c r="E1940" s="306"/>
      <c r="F1940" s="255"/>
      <c r="G1940" s="256"/>
      <c r="H1940" s="256"/>
      <c r="I1940" s="200"/>
      <c r="J1940" s="347"/>
      <c r="K1940" s="200"/>
      <c r="L1940" s="200"/>
      <c r="M1940" s="308"/>
      <c r="N1940" s="308"/>
      <c r="O1940" s="348"/>
      <c r="P1940" s="309"/>
      <c r="Q1940" s="310"/>
      <c r="R1940" s="257"/>
      <c r="S1940" s="258"/>
      <c r="T1940" s="258"/>
      <c r="U1940" s="311"/>
      <c r="V1940" s="259"/>
      <c r="W1940" s="256"/>
      <c r="X1940" s="256"/>
      <c r="Y1940" s="256"/>
      <c r="Z1940" s="256"/>
      <c r="AA1940" s="310"/>
      <c r="AB1940" s="200"/>
      <c r="AC1940" s="312"/>
      <c r="AD1940" s="313"/>
      <c r="AE1940" s="51"/>
      <c r="AF1940" s="314"/>
      <c r="AG1940" s="315"/>
      <c r="AH1940" s="309"/>
      <c r="AI1940" s="28"/>
      <c r="AJ1940" s="28"/>
      <c r="AK1940" s="28"/>
      <c r="AL1940" s="28"/>
      <c r="AM1940" s="12"/>
      <c r="AN1940" s="12"/>
      <c r="AO1940" s="12"/>
      <c r="AP1940" s="12"/>
      <c r="AQ1940" s="12"/>
      <c r="AR1940" s="13"/>
      <c r="AS1940" s="14"/>
    </row>
    <row r="1941" spans="1:45" s="16" customFormat="1" ht="30.6" customHeight="1" x14ac:dyDescent="0.2">
      <c r="A1941" s="35"/>
      <c r="B1941" s="36"/>
      <c r="C1941" s="43"/>
      <c r="D1941" s="29">
        <v>3754102</v>
      </c>
      <c r="E1941" s="29"/>
      <c r="F1941" s="255" t="str">
        <f>IF(D1941="","",VLOOKUP(D1941,契約台帳!$A$3:$K$4986,6,FALSE)&amp;VLOOKUP(D1941,契約台帳!$A$3:$K$4986,7,FALSE)&amp;VLOOKUP(D1941,契約台帳!$A$3:$K$4986,8,FALSE)&amp;VLOOKUP(D1941,契約台帳!$A$3:$K$4986,9,FALSE)&amp;VLOOKUP(D1941,契約台帳!$A$3:$K$4986,11,FALSE))</f>
        <v>33SSNMCLBTETKFV</v>
      </c>
      <c r="G1941" s="256" t="str">
        <f>IF(D1941="","",VLOOKUP(F1941,製品マスタ!$G$5:$H$4999,2,FALSE))</f>
        <v>S</v>
      </c>
      <c r="H1941" s="256" t="str">
        <f>IF(D1941="","",VLOOKUP(F1941,製品マスタ!$G$5:$K$4999,5,FALSE))</f>
        <v>TETKFV</v>
      </c>
      <c r="I1941" s="200" t="str">
        <f>IF(D1941="","",VLOOKUP(F1941,製品マスタ!$G$5:$L$4999,6,FALSE))</f>
        <v>メタルミー　ＴＥＳ艶開封　Ｖ</v>
      </c>
      <c r="J1941" s="203" t="s">
        <v>935</v>
      </c>
      <c r="K1941" s="200">
        <f>IF(D1941="","",VLOOKUP(D1941,契約台帳!$A$3:$L$4986,12,FALSE))</f>
        <v>50</v>
      </c>
      <c r="L1941" s="200" t="str">
        <f>IF(D1941="","",INDEX(製品マスタ!$Q$5:$Q$4999,MATCH('S4'!F1941&amp;'S4'!K1941,製品マスタ!$AO$5:$AO$4999,0)))</f>
        <v>S28SEPA</v>
      </c>
      <c r="M1941" s="37">
        <v>1005</v>
      </c>
      <c r="N1941" s="37">
        <v>4100</v>
      </c>
      <c r="O1941" s="153">
        <v>6</v>
      </c>
      <c r="P1941" s="45">
        <v>3</v>
      </c>
      <c r="Q1941" s="54">
        <v>45422</v>
      </c>
      <c r="R1941" s="257">
        <f ca="1">IF(D1941="","",IF(OFFSET(D1941,-1,0)&lt;&gt;"","",IF(OR(J1941="リード付け",J1941="巻足し",J1941="巻返しリード付け"),M1941,VLOOKUP(D1941,契約台帳!$A$3:$N$4986,14,FALSE))))</f>
        <v>1005</v>
      </c>
      <c r="S1941" s="258">
        <f ca="1">IF(D1941="","",IF(OFFSET(D1941,-1,0)&lt;&gt;"","",IF(OR(J1941="リード付け",J1941="巻足し",J1941="巻返しリード付け"),M1941,VLOOKUP(D1941,契約台帳!$A$3:$O$4986,15,FALSE))))</f>
        <v>1005</v>
      </c>
      <c r="T1941" s="258">
        <f ca="1">IF(D1941="","",IF(J1941="リード付け",N1941,IF(J1941="巻返しリード付け",N1941,IF(J1941="巻足し",N1941*P1941+OFFSET(N1941,1,0)*OFFSET(P1941,1,0),VLOOKUP(D1941,契約台帳!$A$3:$P$4986,16,FALSE)))))</f>
        <v>12300</v>
      </c>
      <c r="U1941" s="38">
        <v>2</v>
      </c>
      <c r="V1941" s="259">
        <f ca="1">IF(D1941="","",IF(OFFSET(D1941,-2,0)=D1941,"",VLOOKUP(D1941,契約台帳!$A$3:$R$4986,18,FALSE)))</f>
        <v>6</v>
      </c>
      <c r="W1941" s="256" t="str">
        <f ca="1">IF(D1941="","",IF(T1941="","",IF(OR(J1941="巻足し",J1941="巻返しリード付け"),"",IF(J1941="巻返し",VLOOKUP(F1941&amp;K1941&amp;M1941,製品マスタ!$M$5:$AD$4999,18,FALSE),IF(OR(J1941="リード付け",J1941="巻返しリード付け"),"原反コア",IF(J1941="スリット",VLOOKUP(F1941&amp;K1941&amp;R1941,製品マスタ!$N$5:$AD$4999,17,FALSE),""))))))</f>
        <v/>
      </c>
      <c r="X1941" s="256" t="str">
        <f ca="1">IF(D1941="","",IF(T1941="","",IF(J1941="巻足し","",IF(J1941="巻返し",VLOOKUP(F1941&amp;K1941&amp;M1941,製品マスタ!$M$5:$AE$4999,19,FALSE),IF(OR(J1941="リード付け",J1941="巻返しリード付け"),"",IF(J1941="スリット",VLOOKUP(F1941&amp;K1941&amp;R1941,製品マスタ!$N$5:$AE$4999,18,FALSE),""))))))</f>
        <v/>
      </c>
      <c r="Y1941" s="256">
        <f ca="1">IF(D1941="","",IF(T1941="","",VLOOKUP(D1941,契約台帳!$A$3:$Q$4986,17,FALSE)))</f>
        <v>2</v>
      </c>
      <c r="Z1941" s="256" t="str">
        <f ca="1">IF(D1941="","",IF(T1941="","",VLOOKUP(D1941,契約台帳!$A$3:$E$4986,5,FALSE)))</f>
        <v>リンテック㈱</v>
      </c>
      <c r="AA1941" s="54"/>
      <c r="AB1941" s="200">
        <f>IFERROR((VLOOKUP(F1941&amp;K1941&amp;M1941,製品マスタ!$M$5:$AM$4999,27,FALSE)),"")</f>
        <v>0</v>
      </c>
      <c r="AC1941" s="31"/>
      <c r="AD1941" s="184"/>
      <c r="AE1941" s="51"/>
      <c r="AF1941" s="52">
        <f>+M1941*N1941*O1941/1000</f>
        <v>24723</v>
      </c>
      <c r="AG1941" s="41"/>
      <c r="AH1941" s="45"/>
      <c r="AI1941" s="28"/>
      <c r="AJ1941" s="28"/>
      <c r="AK1941" s="28"/>
      <c r="AL1941" s="28"/>
      <c r="AM1941" s="12"/>
      <c r="AN1941" s="12"/>
      <c r="AO1941" s="12"/>
      <c r="AP1941" s="12"/>
      <c r="AQ1941" s="12"/>
      <c r="AR1941" s="13"/>
      <c r="AS1941" s="14"/>
    </row>
    <row r="1942" spans="1:45" s="16" customFormat="1" ht="30.95" customHeight="1" x14ac:dyDescent="0.2">
      <c r="A1942" s="303"/>
      <c r="B1942" s="304"/>
      <c r="C1942" s="305"/>
      <c r="D1942" s="306"/>
      <c r="E1942" s="306"/>
      <c r="F1942" s="255"/>
      <c r="G1942" s="256"/>
      <c r="H1942" s="256"/>
      <c r="I1942" s="200"/>
      <c r="J1942" s="347"/>
      <c r="K1942" s="200"/>
      <c r="L1942" s="200"/>
      <c r="M1942" s="308"/>
      <c r="N1942" s="308"/>
      <c r="O1942" s="348"/>
      <c r="P1942" s="309"/>
      <c r="Q1942" s="310"/>
      <c r="R1942" s="257"/>
      <c r="S1942" s="258"/>
      <c r="T1942" s="258"/>
      <c r="U1942" s="311"/>
      <c r="V1942" s="259"/>
      <c r="W1942" s="256"/>
      <c r="X1942" s="256"/>
      <c r="Y1942" s="256"/>
      <c r="Z1942" s="256"/>
      <c r="AA1942" s="310"/>
      <c r="AB1942" s="200"/>
      <c r="AC1942" s="312"/>
      <c r="AD1942" s="313"/>
      <c r="AE1942" s="51"/>
      <c r="AF1942" s="314"/>
      <c r="AG1942" s="315"/>
      <c r="AH1942" s="309"/>
      <c r="AI1942" s="28"/>
      <c r="AJ1942" s="28"/>
      <c r="AK1942" s="28"/>
      <c r="AL1942" s="28"/>
      <c r="AM1942" s="12"/>
      <c r="AN1942" s="12"/>
      <c r="AO1942" s="12"/>
      <c r="AP1942" s="12"/>
      <c r="AQ1942" s="12"/>
      <c r="AR1942" s="13"/>
      <c r="AS1942" s="14"/>
    </row>
    <row r="1943" spans="1:45" s="16" customFormat="1" ht="30.6" customHeight="1" x14ac:dyDescent="0.2">
      <c r="A1943" s="35" t="s">
        <v>2801</v>
      </c>
      <c r="B1943" s="36" t="s">
        <v>2802</v>
      </c>
      <c r="C1943" s="43"/>
      <c r="D1943" s="29">
        <v>3754099</v>
      </c>
      <c r="E1943" s="29"/>
      <c r="F1943" s="255" t="str">
        <f>IF(D1943="","",VLOOKUP(D1943,契約台帳!$A$3:$K$4986,6,FALSE)&amp;VLOOKUP(D1943,契約台帳!$A$3:$K$4986,7,FALSE)&amp;VLOOKUP(D1943,契約台帳!$A$3:$K$4986,8,FALSE)&amp;VLOOKUP(D1943,契約台帳!$A$3:$K$4986,9,FALSE)&amp;VLOOKUP(D1943,契約台帳!$A$3:$K$4986,11,FALSE))</f>
        <v>3SNMCLBNGKVB</v>
      </c>
      <c r="G1943" s="256" t="str">
        <f>IF(D1943="","",VLOOKUP(F1943,製品マスタ!$G$5:$H$4999,2,FALSE))</f>
        <v>S</v>
      </c>
      <c r="H1943" s="256" t="str">
        <f>IF(D1943="","",VLOOKUP(F1943,製品マスタ!$G$5:$K$4999,5,FALSE))</f>
        <v>NGKVB</v>
      </c>
      <c r="I1943" s="200" t="str">
        <f>IF(D1943="","",VLOOKUP(F1943,製品マスタ!$G$5:$L$4999,6,FALSE))</f>
        <v>メタルミー　ネーマー銀消　ＶＢ</v>
      </c>
      <c r="J1943" s="203" t="s">
        <v>935</v>
      </c>
      <c r="K1943" s="200">
        <f>IF(D1943="","",VLOOKUP(D1943,契約台帳!$A$3:$L$4986,12,FALSE))</f>
        <v>50</v>
      </c>
      <c r="L1943" s="200" t="str">
        <f>IF(D1943="","",INDEX(製品マスタ!$Q$5:$Q$4999,MATCH('S4'!F1943&amp;'S4'!K1943,製品マスタ!$AO$5:$AO$4999,0)))</f>
        <v>MAT</v>
      </c>
      <c r="M1943" s="37">
        <v>1005</v>
      </c>
      <c r="N1943" s="37">
        <v>4100</v>
      </c>
      <c r="O1943" s="153">
        <v>2</v>
      </c>
      <c r="P1943" s="45">
        <v>2</v>
      </c>
      <c r="Q1943" s="206">
        <v>45421</v>
      </c>
      <c r="R1943" s="257">
        <f ca="1">IF(D1943="","",IF(OFFSET(D1943,-1,0)&lt;&gt;"","",IF(OR(J1943="リード付け",J1943="巻足し",J1943="巻返しリード付け"),M1943,VLOOKUP(D1943,契約台帳!$A$3:$N$4986,14,FALSE))))</f>
        <v>1005</v>
      </c>
      <c r="S1943" s="258">
        <f ca="1">IF(D1943="","",IF(OFFSET(D1943,-1,0)&lt;&gt;"","",IF(OR(J1943="リード付け",J1943="巻足し",J1943="巻返しリード付け"),M1943,VLOOKUP(D1943,契約台帳!$A$3:$O$4986,15,FALSE))))</f>
        <v>1005</v>
      </c>
      <c r="T1943" s="258">
        <f ca="1">IF(D1943="","",IF(J1943="リード付け",N1943,IF(J1943="巻返しリード付け",N1943,IF(J1943="巻足し",N1943*P1943+OFFSET(N1943,1,0)*OFFSET(P1943,1,0),VLOOKUP(D1943,契約台帳!$A$3:$P$4986,16,FALSE)))))</f>
        <v>8200</v>
      </c>
      <c r="U1943" s="38">
        <v>1</v>
      </c>
      <c r="V1943" s="259">
        <f ca="1">IF(D1943="","",IF(OFFSET(D1943,-2,0)=D1943,"",VLOOKUP(D1943,契約台帳!$A$3:$R$4986,18,FALSE)))</f>
        <v>2</v>
      </c>
      <c r="W1943" s="256" t="str">
        <f ca="1">IF(D1943="","",IF(T1943="","",IF(OR(J1943="巻足し",J1943="巻返しリード付け"),"",IF(J1943="巻返し",VLOOKUP(F1943&amp;K1943&amp;M1943,製品マスタ!$M$5:$AD$4999,18,FALSE),IF(OR(J1943="リード付け",J1943="巻返しリード付け"),"原反コア",IF(J1943="スリット",VLOOKUP(F1943&amp;K1943&amp;R1943,製品マスタ!$N$5:$AD$4999,17,FALSE),""))))))</f>
        <v/>
      </c>
      <c r="X1943" s="256" t="str">
        <f ca="1">IF(D1943="","",IF(T1943="","",IF(J1943="巻足し","",IF(J1943="巻返し",VLOOKUP(F1943&amp;K1943&amp;M1943,製品マスタ!$M$5:$AE$4999,19,FALSE),IF(OR(J1943="リード付け",J1943="巻返しリード付け"),"",IF(J1943="スリット",VLOOKUP(F1943&amp;K1943&amp;R1943,製品マスタ!$N$5:$AE$4999,18,FALSE),""))))))</f>
        <v/>
      </c>
      <c r="Y1943" s="256">
        <f ca="1">IF(D1943="","",IF(T1943="","",VLOOKUP(D1943,契約台帳!$A$3:$Q$4986,17,FALSE)))</f>
        <v>2</v>
      </c>
      <c r="Z1943" s="256" t="str">
        <f ca="1">IF(D1943="","",IF(T1943="","",VLOOKUP(D1943,契約台帳!$A$3:$E$4986,5,FALSE)))</f>
        <v>リンテック㈱</v>
      </c>
      <c r="AA1943" s="54"/>
      <c r="AB1943" s="200">
        <f>IFERROR((VLOOKUP(F1943&amp;K1943&amp;M1943,製品マスタ!$M$5:$AM$4999,27,FALSE)),"")</f>
        <v>0</v>
      </c>
      <c r="AC1943" s="31"/>
      <c r="AD1943" s="184"/>
      <c r="AE1943" s="51"/>
      <c r="AF1943" s="52">
        <f>+M1943*N1943*O1943/1000</f>
        <v>8241</v>
      </c>
      <c r="AG1943" s="41"/>
      <c r="AH1943" s="45"/>
      <c r="AI1943" s="28"/>
      <c r="AJ1943" s="28"/>
      <c r="AK1943" s="28"/>
      <c r="AL1943" s="28"/>
      <c r="AM1943" s="12"/>
      <c r="AN1943" s="12"/>
      <c r="AO1943" s="12"/>
      <c r="AP1943" s="12"/>
      <c r="AQ1943" s="12"/>
      <c r="AR1943" s="13"/>
      <c r="AS1943" s="14"/>
    </row>
    <row r="1944" spans="1:45" s="16" customFormat="1" ht="30.95" customHeight="1" x14ac:dyDescent="0.2">
      <c r="A1944" s="303"/>
      <c r="B1944" s="304"/>
      <c r="C1944" s="305"/>
      <c r="D1944" s="306"/>
      <c r="E1944" s="306"/>
      <c r="F1944" s="255"/>
      <c r="G1944" s="256"/>
      <c r="H1944" s="256"/>
      <c r="I1944" s="200"/>
      <c r="J1944" s="347"/>
      <c r="K1944" s="200"/>
      <c r="L1944" s="200"/>
      <c r="M1944" s="308"/>
      <c r="N1944" s="308"/>
      <c r="O1944" s="348"/>
      <c r="P1944" s="309"/>
      <c r="Q1944" s="310"/>
      <c r="R1944" s="257"/>
      <c r="S1944" s="258"/>
      <c r="T1944" s="258"/>
      <c r="U1944" s="311"/>
      <c r="V1944" s="259"/>
      <c r="W1944" s="256"/>
      <c r="X1944" s="256"/>
      <c r="Y1944" s="256"/>
      <c r="Z1944" s="256"/>
      <c r="AA1944" s="310"/>
      <c r="AB1944" s="200"/>
      <c r="AC1944" s="312"/>
      <c r="AD1944" s="313"/>
      <c r="AE1944" s="51"/>
      <c r="AF1944" s="314"/>
      <c r="AG1944" s="315"/>
      <c r="AH1944" s="309"/>
      <c r="AI1944" s="28"/>
      <c r="AJ1944" s="28"/>
      <c r="AK1944" s="28"/>
      <c r="AL1944" s="28"/>
      <c r="AM1944" s="12"/>
      <c r="AN1944" s="12"/>
      <c r="AO1944" s="12"/>
      <c r="AP1944" s="12"/>
      <c r="AQ1944" s="12"/>
      <c r="AR1944" s="13"/>
      <c r="AS1944" s="14"/>
    </row>
    <row r="1945" spans="1:45" s="16" customFormat="1" ht="30.6" customHeight="1" x14ac:dyDescent="0.2">
      <c r="A1945" s="35"/>
      <c r="B1945" s="36"/>
      <c r="C1945" s="43"/>
      <c r="D1945" s="29">
        <v>3754100</v>
      </c>
      <c r="E1945" s="29"/>
      <c r="F1945" s="255" t="str">
        <f>IF(D1945="","",VLOOKUP(D1945,契約台帳!$A$3:$K$4986,6,FALSE)&amp;VLOOKUP(D1945,契約台帳!$A$3:$K$4986,7,FALSE)&amp;VLOOKUP(D1945,契約台帳!$A$3:$K$4986,8,FALSE)&amp;VLOOKUP(D1945,契約台帳!$A$3:$K$4986,9,FALSE)&amp;VLOOKUP(D1945,契約台帳!$A$3:$K$4986,11,FALSE))</f>
        <v>33SSNMCLBTEKKFV</v>
      </c>
      <c r="G1945" s="256" t="str">
        <f>IF(D1945="","",VLOOKUP(F1945,製品マスタ!$G$5:$H$4999,2,FALSE))</f>
        <v>S</v>
      </c>
      <c r="H1945" s="256" t="str">
        <f>IF(D1945="","",VLOOKUP(F1945,製品マスタ!$G$5:$K$4999,5,FALSE))</f>
        <v>TEKKFV</v>
      </c>
      <c r="I1945" s="200" t="str">
        <f>IF(D1945="","",VLOOKUP(F1945,製品マスタ!$G$5:$L$4999,6,FALSE))</f>
        <v>メタルミー　ＴＥＳ消開封　Ｖ</v>
      </c>
      <c r="J1945" s="203" t="s">
        <v>935</v>
      </c>
      <c r="K1945" s="200">
        <f>IF(D1945="","",VLOOKUP(D1945,契約台帳!$A$3:$L$4986,12,FALSE))</f>
        <v>50</v>
      </c>
      <c r="L1945" s="200" t="str">
        <f>IF(D1945="","",INDEX(製品マスタ!$Q$5:$Q$4999,MATCH('S4'!F1945&amp;'S4'!K1945,製品マスタ!$AO$5:$AO$4999,0)))</f>
        <v>X44SEPA</v>
      </c>
      <c r="M1945" s="37">
        <v>1005</v>
      </c>
      <c r="N1945" s="37">
        <v>4000</v>
      </c>
      <c r="O1945" s="153">
        <v>3</v>
      </c>
      <c r="P1945" s="45">
        <v>3</v>
      </c>
      <c r="Q1945" s="54">
        <v>45422</v>
      </c>
      <c r="R1945" s="257">
        <f ca="1">IF(D1945="","",IF(OFFSET(D1945,-1,0)&lt;&gt;"","",IF(OR(J1945="リード付け",J1945="巻足し",J1945="巻返しリード付け"),M1945,VLOOKUP(D1945,契約台帳!$A$3:$N$4986,14,FALSE))))</f>
        <v>1005</v>
      </c>
      <c r="S1945" s="258">
        <f ca="1">IF(D1945="","",IF(OFFSET(D1945,-1,0)&lt;&gt;"","",IF(OR(J1945="リード付け",J1945="巻足し",J1945="巻返しリード付け"),M1945,VLOOKUP(D1945,契約台帳!$A$3:$O$4986,15,FALSE))))</f>
        <v>1005</v>
      </c>
      <c r="T1945" s="258">
        <f ca="1">IF(D1945="","",IF(J1945="リード付け",N1945,IF(J1945="巻返しリード付け",N1945,IF(J1945="巻足し",N1945*P1945+OFFSET(N1945,1,0)*OFFSET(P1945,1,0),VLOOKUP(D1945,契約台帳!$A$3:$P$4986,16,FALSE)))))</f>
        <v>12000</v>
      </c>
      <c r="U1945" s="38">
        <v>1</v>
      </c>
      <c r="V1945" s="259">
        <f ca="1">IF(D1945="","",IF(OFFSET(D1945,-2,0)=D1945,"",VLOOKUP(D1945,契約台帳!$A$3:$R$4986,18,FALSE)))</f>
        <v>3</v>
      </c>
      <c r="W1945" s="256" t="str">
        <f ca="1">IF(D1945="","",IF(T1945="","",IF(OR(J1945="巻足し",J1945="巻返しリード付け"),"",IF(J1945="巻返し",VLOOKUP(F1945&amp;K1945&amp;M1945,製品マスタ!$M$5:$AD$4999,18,FALSE),IF(OR(J1945="リード付け",J1945="巻返しリード付け"),"原反コア",IF(J1945="スリット",VLOOKUP(F1945&amp;K1945&amp;R1945,製品マスタ!$N$5:$AD$4999,17,FALSE),""))))))</f>
        <v/>
      </c>
      <c r="X1945" s="256" t="str">
        <f ca="1">IF(D1945="","",IF(T1945="","",IF(J1945="巻足し","",IF(J1945="巻返し",VLOOKUP(F1945&amp;K1945&amp;M1945,製品マスタ!$M$5:$AE$4999,19,FALSE),IF(OR(J1945="リード付け",J1945="巻返しリード付け"),"",IF(J1945="スリット",VLOOKUP(F1945&amp;K1945&amp;R1945,製品マスタ!$N$5:$AE$4999,18,FALSE),""))))))</f>
        <v/>
      </c>
      <c r="Y1945" s="256">
        <f ca="1">IF(D1945="","",IF(T1945="","",VLOOKUP(D1945,契約台帳!$A$3:$Q$4986,17,FALSE)))</f>
        <v>2</v>
      </c>
      <c r="Z1945" s="256" t="str">
        <f ca="1">IF(D1945="","",IF(T1945="","",VLOOKUP(D1945,契約台帳!$A$3:$E$4986,5,FALSE)))</f>
        <v>リンテック㈱</v>
      </c>
      <c r="AA1945" s="54"/>
      <c r="AB1945" s="200">
        <f>IFERROR((VLOOKUP(F1945&amp;K1945&amp;M1945,製品マスタ!$M$5:$AM$4999,27,FALSE)),"")</f>
        <v>0</v>
      </c>
      <c r="AC1945" s="31"/>
      <c r="AD1945" s="184"/>
      <c r="AE1945" s="51"/>
      <c r="AF1945" s="52">
        <f>+M1945*N1945*O1945/1000</f>
        <v>12060</v>
      </c>
      <c r="AG1945" s="41"/>
      <c r="AH1945" s="45"/>
      <c r="AI1945" s="28"/>
      <c r="AJ1945" s="28"/>
      <c r="AK1945" s="28"/>
      <c r="AL1945" s="28"/>
      <c r="AM1945" s="12"/>
      <c r="AN1945" s="12"/>
      <c r="AO1945" s="12"/>
      <c r="AP1945" s="12"/>
      <c r="AQ1945" s="12"/>
      <c r="AR1945" s="13"/>
      <c r="AS1945" s="14"/>
    </row>
    <row r="1946" spans="1:45" s="16" customFormat="1" ht="30.95" customHeight="1" x14ac:dyDescent="0.2">
      <c r="A1946" s="303"/>
      <c r="B1946" s="304"/>
      <c r="C1946" s="305"/>
      <c r="D1946" s="306"/>
      <c r="E1946" s="306"/>
      <c r="F1946" s="255"/>
      <c r="G1946" s="256"/>
      <c r="H1946" s="256"/>
      <c r="I1946" s="200"/>
      <c r="J1946" s="347"/>
      <c r="K1946" s="200"/>
      <c r="L1946" s="200"/>
      <c r="M1946" s="308"/>
      <c r="N1946" s="308"/>
      <c r="O1946" s="348"/>
      <c r="P1946" s="309"/>
      <c r="Q1946" s="310"/>
      <c r="R1946" s="257"/>
      <c r="S1946" s="258"/>
      <c r="T1946" s="258"/>
      <c r="U1946" s="311"/>
      <c r="V1946" s="259"/>
      <c r="W1946" s="256"/>
      <c r="X1946" s="256"/>
      <c r="Y1946" s="256"/>
      <c r="Z1946" s="256"/>
      <c r="AA1946" s="310"/>
      <c r="AB1946" s="200"/>
      <c r="AC1946" s="312"/>
      <c r="AD1946" s="313"/>
      <c r="AE1946" s="51"/>
      <c r="AF1946" s="314"/>
      <c r="AG1946" s="315"/>
      <c r="AH1946" s="309"/>
      <c r="AI1946" s="28"/>
      <c r="AJ1946" s="28"/>
      <c r="AK1946" s="28"/>
      <c r="AL1946" s="28"/>
      <c r="AM1946" s="12"/>
      <c r="AN1946" s="12"/>
      <c r="AO1946" s="12"/>
      <c r="AP1946" s="12"/>
      <c r="AQ1946" s="12"/>
      <c r="AR1946" s="13"/>
      <c r="AS1946" s="14"/>
    </row>
    <row r="1947" spans="1:45" s="16" customFormat="1" ht="30.6" customHeight="1" x14ac:dyDescent="0.2">
      <c r="A1947" s="35"/>
      <c r="B1947" s="36"/>
      <c r="C1947" s="43"/>
      <c r="D1947" s="29">
        <v>3754101</v>
      </c>
      <c r="E1947" s="29"/>
      <c r="F1947" s="255" t="str">
        <f>IF(D1947="","",VLOOKUP(D1947,契約台帳!$A$3:$K$4986,6,FALSE)&amp;VLOOKUP(D1947,契約台帳!$A$3:$K$4986,7,FALSE)&amp;VLOOKUP(D1947,契約台帳!$A$3:$K$4986,8,FALSE)&amp;VLOOKUP(D1947,契約台帳!$A$3:$K$4986,9,FALSE)&amp;VLOOKUP(D1947,契約台帳!$A$3:$K$4986,11,FALSE))</f>
        <v>33SSNMCLBTEKV0V</v>
      </c>
      <c r="G1947" s="256" t="str">
        <f>IF(D1947="","",VLOOKUP(F1947,製品マスタ!$G$5:$H$4999,2,FALSE))</f>
        <v>S</v>
      </c>
      <c r="H1947" s="256" t="str">
        <f>IF(D1947="","",VLOOKUP(F1947,製品マスタ!$G$5:$K$4999,5,FALSE))</f>
        <v>TEKV0V</v>
      </c>
      <c r="I1947" s="200" t="str">
        <f>IF(D1947="","",VLOOKUP(F1947,製品マスタ!$G$5:$L$4999,6,FALSE))</f>
        <v>メタルミー　ＴＥ－Ｓ消　ＶＯＩＤ　Ｖ</v>
      </c>
      <c r="J1947" s="203" t="s">
        <v>935</v>
      </c>
      <c r="K1947" s="200">
        <f>IF(D1947="","",VLOOKUP(D1947,契約台帳!$A$3:$L$4986,12,FALSE))</f>
        <v>50</v>
      </c>
      <c r="L1947" s="200" t="str">
        <f>IF(D1947="","",INDEX(製品マスタ!$Q$5:$Q$4999,MATCH('S4'!F1947&amp;'S4'!K1947,製品マスタ!$AO$5:$AO$4999,0)))</f>
        <v>X44SEPA</v>
      </c>
      <c r="M1947" s="37">
        <v>1005</v>
      </c>
      <c r="N1947" s="37">
        <v>4000</v>
      </c>
      <c r="O1947" s="153">
        <v>6</v>
      </c>
      <c r="P1947" s="45">
        <v>3</v>
      </c>
      <c r="Q1947" s="54">
        <v>45422</v>
      </c>
      <c r="R1947" s="257">
        <f ca="1">IF(D1947="","",IF(OFFSET(D1947,-1,0)&lt;&gt;"","",IF(OR(J1947="リード付け",J1947="巻足し",J1947="巻返しリード付け"),M1947,VLOOKUP(D1947,契約台帳!$A$3:$N$4986,14,FALSE))))</f>
        <v>1005</v>
      </c>
      <c r="S1947" s="258">
        <f ca="1">IF(D1947="","",IF(OFFSET(D1947,-1,0)&lt;&gt;"","",IF(OR(J1947="リード付け",J1947="巻足し",J1947="巻返しリード付け"),M1947,VLOOKUP(D1947,契約台帳!$A$3:$O$4986,15,FALSE))))</f>
        <v>1005</v>
      </c>
      <c r="T1947" s="258">
        <f ca="1">IF(D1947="","",IF(J1947="リード付け",N1947,IF(J1947="巻返しリード付け",N1947,IF(J1947="巻足し",N1947*P1947+OFFSET(N1947,1,0)*OFFSET(P1947,1,0),VLOOKUP(D1947,契約台帳!$A$3:$P$4986,16,FALSE)))))</f>
        <v>12000</v>
      </c>
      <c r="U1947" s="38">
        <v>2</v>
      </c>
      <c r="V1947" s="259">
        <f ca="1">IF(D1947="","",IF(OFFSET(D1947,-2,0)=D1947,"",VLOOKUP(D1947,契約台帳!$A$3:$R$4986,18,FALSE)))</f>
        <v>6</v>
      </c>
      <c r="W1947" s="256" t="str">
        <f ca="1">IF(D1947="","",IF(T1947="","",IF(OR(J1947="巻足し",J1947="巻返しリード付け"),"",IF(J1947="巻返し",VLOOKUP(F1947&amp;K1947&amp;M1947,製品マスタ!$M$5:$AD$4999,18,FALSE),IF(OR(J1947="リード付け",J1947="巻返しリード付け"),"原反コア",IF(J1947="スリット",VLOOKUP(F1947&amp;K1947&amp;R1947,製品マスタ!$N$5:$AD$4999,17,FALSE),""))))))</f>
        <v/>
      </c>
      <c r="X1947" s="256" t="str">
        <f ca="1">IF(D1947="","",IF(T1947="","",IF(J1947="巻足し","",IF(J1947="巻返し",VLOOKUP(F1947&amp;K1947&amp;M1947,製品マスタ!$M$5:$AE$4999,19,FALSE),IF(OR(J1947="リード付け",J1947="巻返しリード付け"),"",IF(J1947="スリット",VLOOKUP(F1947&amp;K1947&amp;R1947,製品マスタ!$N$5:$AE$4999,18,FALSE),""))))))</f>
        <v/>
      </c>
      <c r="Y1947" s="256">
        <f ca="1">IF(D1947="","",IF(T1947="","",VLOOKUP(D1947,契約台帳!$A$3:$Q$4986,17,FALSE)))</f>
        <v>2</v>
      </c>
      <c r="Z1947" s="256" t="str">
        <f ca="1">IF(D1947="","",IF(T1947="","",VLOOKUP(D1947,契約台帳!$A$3:$E$4986,5,FALSE)))</f>
        <v>リンテック㈱</v>
      </c>
      <c r="AA1947" s="54"/>
      <c r="AB1947" s="200">
        <f>IFERROR((VLOOKUP(F1947&amp;K1947&amp;M1947,製品マスタ!$M$5:$AM$4999,27,FALSE)),"")</f>
        <v>0</v>
      </c>
      <c r="AC1947" s="31"/>
      <c r="AD1947" s="184"/>
      <c r="AE1947" s="51"/>
      <c r="AF1947" s="52">
        <f>+M1947*N1947*O1947/1000</f>
        <v>24120</v>
      </c>
      <c r="AG1947" s="41"/>
      <c r="AH1947" s="45"/>
      <c r="AI1947" s="28"/>
      <c r="AJ1947" s="28"/>
      <c r="AK1947" s="28"/>
      <c r="AL1947" s="28"/>
      <c r="AM1947" s="12"/>
      <c r="AN1947" s="12"/>
      <c r="AO1947" s="12"/>
      <c r="AP1947" s="12"/>
      <c r="AQ1947" s="12"/>
      <c r="AR1947" s="13"/>
      <c r="AS1947" s="14"/>
    </row>
    <row r="1948" spans="1:45" s="16" customFormat="1" ht="30.95" customHeight="1" x14ac:dyDescent="0.2">
      <c r="A1948" s="303"/>
      <c r="B1948" s="304"/>
      <c r="C1948" s="305"/>
      <c r="D1948" s="306"/>
      <c r="E1948" s="306"/>
      <c r="F1948" s="255"/>
      <c r="G1948" s="256"/>
      <c r="H1948" s="256"/>
      <c r="I1948" s="200"/>
      <c r="J1948" s="347"/>
      <c r="K1948" s="200"/>
      <c r="L1948" s="200"/>
      <c r="M1948" s="308"/>
      <c r="N1948" s="308"/>
      <c r="O1948" s="348"/>
      <c r="P1948" s="309"/>
      <c r="Q1948" s="310"/>
      <c r="R1948" s="257"/>
      <c r="S1948" s="258"/>
      <c r="T1948" s="258"/>
      <c r="U1948" s="311"/>
      <c r="V1948" s="259"/>
      <c r="W1948" s="256"/>
      <c r="X1948" s="256"/>
      <c r="Y1948" s="256"/>
      <c r="Z1948" s="256"/>
      <c r="AA1948" s="310"/>
      <c r="AB1948" s="200"/>
      <c r="AC1948" s="312"/>
      <c r="AD1948" s="313"/>
      <c r="AE1948" s="51"/>
      <c r="AF1948" s="314"/>
      <c r="AG1948" s="315"/>
      <c r="AH1948" s="309"/>
      <c r="AI1948" s="28"/>
      <c r="AJ1948" s="28"/>
      <c r="AK1948" s="28"/>
      <c r="AL1948" s="28"/>
      <c r="AM1948" s="12"/>
      <c r="AN1948" s="12"/>
      <c r="AO1948" s="12"/>
      <c r="AP1948" s="12"/>
      <c r="AQ1948" s="12"/>
      <c r="AR1948" s="13"/>
      <c r="AS1948" s="14"/>
    </row>
    <row r="1949" spans="1:45" s="16" customFormat="1" ht="30.6" customHeight="1" x14ac:dyDescent="0.2">
      <c r="A1949" s="35"/>
      <c r="B1949" s="36"/>
      <c r="C1949" s="43"/>
      <c r="D1949" s="29">
        <v>3754092</v>
      </c>
      <c r="E1949" s="29"/>
      <c r="F1949" s="255" t="str">
        <f>IF(D1949="","",VLOOKUP(D1949,契約台帳!$A$3:$K$4986,6,FALSE)&amp;VLOOKUP(D1949,契約台帳!$A$3:$K$4986,7,FALSE)&amp;VLOOKUP(D1949,契約台帳!$A$3:$K$4986,8,FALSE)&amp;VLOOKUP(D1949,契約台帳!$A$3:$K$4986,9,FALSE)&amp;VLOOKUP(D1949,契約台帳!$A$3:$K$4986,11,FALSE))</f>
        <v>3SYMLBMSNMBF</v>
      </c>
      <c r="G1949" s="256" t="str">
        <f>IF(D1949="","",VLOOKUP(F1949,製品マスタ!$G$5:$H$4999,2,FALSE))</f>
        <v>S</v>
      </c>
      <c r="H1949" s="256" t="str">
        <f>IF(D1949="","",VLOOKUP(F1949,製品マスタ!$G$5:$K$4999,5,FALSE))</f>
        <v>MSNMBF</v>
      </c>
      <c r="I1949" s="200" t="str">
        <f>IF(D1949="","",VLOOKUP(F1949,製品マスタ!$G$5:$L$4999,6,FALSE))</f>
        <v>ＭＥＴＡＬＵＭＹ　ＳＩＬＶＥＲ　Ｎ－ＭＡＴＴＥ　Ｘ４４Ｍ　Ｂ</v>
      </c>
      <c r="J1949" s="203" t="s">
        <v>935</v>
      </c>
      <c r="K1949" s="200">
        <f>IF(D1949="","",VLOOKUP(D1949,契約台帳!$A$3:$L$4986,12,FALSE))</f>
        <v>50</v>
      </c>
      <c r="L1949" s="200" t="str">
        <f>IF(D1949="","",INDEX(製品マスタ!$Q$5:$Q$4999,MATCH('S4'!F1949&amp;'S4'!K1949,製品マスタ!$AO$5:$AO$4999,0)))</f>
        <v>X44</v>
      </c>
      <c r="M1949" s="37">
        <v>1005</v>
      </c>
      <c r="N1949" s="37">
        <v>4000</v>
      </c>
      <c r="O1949" s="153">
        <v>4</v>
      </c>
      <c r="P1949" s="45">
        <v>2</v>
      </c>
      <c r="Q1949" s="206">
        <v>45422</v>
      </c>
      <c r="R1949" s="257">
        <f ca="1">IF(D1949="","",IF(OFFSET(D1949,-1,0)&lt;&gt;"","",IF(OR(J1949="リード付け",J1949="巻足し",J1949="巻返しリード付け"),M1949,VLOOKUP(D1949,契約台帳!$A$3:$N$4986,14,FALSE))))</f>
        <v>1005</v>
      </c>
      <c r="S1949" s="258">
        <f ca="1">IF(D1949="","",IF(OFFSET(D1949,-1,0)&lt;&gt;"","",IF(OR(J1949="リード付け",J1949="巻足し",J1949="巻返しリード付け"),M1949,VLOOKUP(D1949,契約台帳!$A$3:$O$4986,15,FALSE))))</f>
        <v>1005</v>
      </c>
      <c r="T1949" s="258">
        <f ca="1">IF(D1949="","",IF(J1949="リード付け",N1949,IF(J1949="巻返しリード付け",N1949,IF(J1949="巻足し",N1949*P1949+OFFSET(N1949,1,0)*OFFSET(P1949,1,0),VLOOKUP(D1949,契約台帳!$A$3:$P$4986,16,FALSE)))))</f>
        <v>8000</v>
      </c>
      <c r="U1949" s="38">
        <v>2</v>
      </c>
      <c r="V1949" s="259">
        <f ca="1">IF(D1949="","",IF(OFFSET(D1949,-2,0)=D1949,"",VLOOKUP(D1949,契約台帳!$A$3:$R$4986,18,FALSE)))</f>
        <v>4</v>
      </c>
      <c r="W1949" s="256" t="str">
        <f ca="1">IF(D1949="","",IF(T1949="","",IF(OR(J1949="巻足し",J1949="巻返しリード付け"),"",IF(J1949="巻返し",VLOOKUP(F1949&amp;K1949&amp;M1949,製品マスタ!$M$5:$AD$4999,18,FALSE),IF(OR(J1949="リード付け",J1949="巻返しリード付け"),"原反コア",IF(J1949="スリット",VLOOKUP(F1949&amp;K1949&amp;R1949,製品マスタ!$N$5:$AD$4999,17,FALSE),""))))))</f>
        <v/>
      </c>
      <c r="X1949" s="256" t="str">
        <f ca="1">IF(D1949="","",IF(T1949="","",IF(J1949="巻足し","",IF(J1949="巻返し",VLOOKUP(F1949&amp;K1949&amp;M1949,製品マスタ!$M$5:$AE$4999,19,FALSE),IF(OR(J1949="リード付け",J1949="巻返しリード付け"),"",IF(J1949="スリット",VLOOKUP(F1949&amp;K1949&amp;R1949,製品マスタ!$N$5:$AE$4999,18,FALSE),""))))))</f>
        <v/>
      </c>
      <c r="Y1949" s="256">
        <f ca="1">IF(D1949="","",IF(T1949="","",VLOOKUP(D1949,契約台帳!$A$3:$Q$4986,17,FALSE)))</f>
        <v>2</v>
      </c>
      <c r="Z1949" s="256" t="str">
        <f ca="1">IF(D1949="","",IF(T1949="","",VLOOKUP(D1949,契約台帳!$A$3:$E$4986,5,FALSE)))</f>
        <v>リンテック㈱</v>
      </c>
      <c r="AA1949" s="54"/>
      <c r="AB1949" s="200" t="s">
        <v>1083</v>
      </c>
      <c r="AC1949" s="31"/>
      <c r="AD1949" s="184"/>
      <c r="AE1949" s="51"/>
      <c r="AF1949" s="52">
        <f>+M1949*N1949*O1949/1000</f>
        <v>16080</v>
      </c>
      <c r="AG1949" s="41"/>
      <c r="AH1949" s="45"/>
      <c r="AI1949" s="28"/>
      <c r="AJ1949" s="28"/>
      <c r="AK1949" s="28"/>
      <c r="AL1949" s="28"/>
      <c r="AM1949" s="12"/>
      <c r="AN1949" s="12"/>
      <c r="AO1949" s="12"/>
      <c r="AP1949" s="12"/>
      <c r="AQ1949" s="12"/>
      <c r="AR1949" s="13"/>
      <c r="AS1949" s="14"/>
    </row>
    <row r="1950" spans="1:45" s="16" customFormat="1" ht="30.95" customHeight="1" x14ac:dyDescent="0.2">
      <c r="A1950" s="303"/>
      <c r="B1950" s="304"/>
      <c r="C1950" s="305"/>
      <c r="D1950" s="306"/>
      <c r="E1950" s="306"/>
      <c r="F1950" s="255"/>
      <c r="G1950" s="256"/>
      <c r="H1950" s="256"/>
      <c r="I1950" s="200"/>
      <c r="J1950" s="347"/>
      <c r="K1950" s="200"/>
      <c r="L1950" s="200"/>
      <c r="M1950" s="308"/>
      <c r="N1950" s="308"/>
      <c r="O1950" s="348"/>
      <c r="P1950" s="309"/>
      <c r="Q1950" s="310"/>
      <c r="R1950" s="257"/>
      <c r="S1950" s="258"/>
      <c r="T1950" s="258"/>
      <c r="U1950" s="311"/>
      <c r="V1950" s="259"/>
      <c r="W1950" s="256"/>
      <c r="X1950" s="256"/>
      <c r="Y1950" s="256"/>
      <c r="Z1950" s="256"/>
      <c r="AA1950" s="310"/>
      <c r="AB1950" s="200"/>
      <c r="AC1950" s="312"/>
      <c r="AD1950" s="313"/>
      <c r="AE1950" s="51"/>
      <c r="AF1950" s="314"/>
      <c r="AG1950" s="315"/>
      <c r="AH1950" s="309"/>
      <c r="AI1950" s="28"/>
      <c r="AJ1950" s="28"/>
      <c r="AK1950" s="28"/>
      <c r="AL1950" s="28"/>
      <c r="AM1950" s="12"/>
      <c r="AN1950" s="12"/>
      <c r="AO1950" s="12"/>
      <c r="AP1950" s="12"/>
      <c r="AQ1950" s="12"/>
      <c r="AR1950" s="13"/>
      <c r="AS1950" s="14"/>
    </row>
    <row r="1951" spans="1:45" s="16" customFormat="1" ht="30.6" customHeight="1" x14ac:dyDescent="0.2">
      <c r="A1951" s="35"/>
      <c r="B1951" s="36"/>
      <c r="C1951" s="43"/>
      <c r="D1951" s="29">
        <v>3754088</v>
      </c>
      <c r="E1951" s="29"/>
      <c r="F1951" s="255" t="str">
        <f>IF(D1951="","",VLOOKUP(D1951,契約台帳!$A$3:$K$4986,6,FALSE)&amp;VLOOKUP(D1951,契約台帳!$A$3:$K$4986,7,FALSE)&amp;VLOOKUP(D1951,契約台帳!$A$3:$K$4986,8,FALSE)&amp;VLOOKUP(D1951,契約台帳!$A$3:$K$4986,9,FALSE)&amp;VLOOKUP(D1951,契約台帳!$A$3:$K$4986,11,FALSE))</f>
        <v>3SNMLBMNNGKBF</v>
      </c>
      <c r="G1951" s="256" t="str">
        <f>IF(D1951="","",VLOOKUP(F1951,製品マスタ!$G$5:$H$4999,2,FALSE))</f>
        <v>S</v>
      </c>
      <c r="H1951" s="256" t="str">
        <f>IF(D1951="","",VLOOKUP(F1951,製品マスタ!$G$5:$K$4999,5,FALSE))</f>
        <v>MNNGKBF</v>
      </c>
      <c r="I1951" s="200" t="str">
        <f>IF(D1951="","",VLOOKUP(F1951,製品マスタ!$G$5:$L$4999,6,FALSE))</f>
        <v>メタルミー　ニューネーマー銀消　Ｂ</v>
      </c>
      <c r="J1951" s="203" t="s">
        <v>935</v>
      </c>
      <c r="K1951" s="200">
        <f>IF(D1951="","",VLOOKUP(D1951,契約台帳!$A$3:$L$4986,12,FALSE))</f>
        <v>50</v>
      </c>
      <c r="L1951" s="200" t="str">
        <f>IF(D1951="","",INDEX(製品マスタ!$Q$5:$Q$4999,MATCH('S4'!F1951&amp;'S4'!K1951,製品マスタ!$AO$5:$AO$4999,0)))</f>
        <v>X44</v>
      </c>
      <c r="M1951" s="37">
        <v>1000</v>
      </c>
      <c r="N1951" s="37">
        <v>4000</v>
      </c>
      <c r="O1951" s="153">
        <v>6</v>
      </c>
      <c r="P1951" s="45">
        <v>3</v>
      </c>
      <c r="Q1951" s="206">
        <v>45422</v>
      </c>
      <c r="R1951" s="257">
        <f ca="1">IF(D1951="","",IF(OFFSET(D1951,-1,0)&lt;&gt;"","",IF(OR(J1951="リード付け",J1951="巻足し",J1951="巻返しリード付け"),M1951,VLOOKUP(D1951,契約台帳!$A$3:$N$4986,14,FALSE))))</f>
        <v>1000</v>
      </c>
      <c r="S1951" s="258">
        <f ca="1">IF(D1951="","",IF(OFFSET(D1951,-1,0)&lt;&gt;"","",IF(OR(J1951="リード付け",J1951="巻足し",J1951="巻返しリード付け"),M1951,VLOOKUP(D1951,契約台帳!$A$3:$O$4986,15,FALSE))))</f>
        <v>1000</v>
      </c>
      <c r="T1951" s="258">
        <f ca="1">IF(D1951="","",IF(J1951="リード付け",N1951,IF(J1951="巻返しリード付け",N1951,IF(J1951="巻足し",N1951*P1951+OFFSET(N1951,1,0)*OFFSET(P1951,1,0),VLOOKUP(D1951,契約台帳!$A$3:$P$4986,16,FALSE)))))</f>
        <v>12000</v>
      </c>
      <c r="U1951" s="38">
        <v>2</v>
      </c>
      <c r="V1951" s="259">
        <f ca="1">IF(D1951="","",IF(OFFSET(D1951,-2,0)=D1951,"",VLOOKUP(D1951,契約台帳!$A$3:$R$4986,18,FALSE)))</f>
        <v>24</v>
      </c>
      <c r="W1951" s="256" t="str">
        <f ca="1">IF(D1951="","",IF(T1951="","",IF(OR(J1951="巻足し",J1951="巻返しリード付け"),"",IF(J1951="巻返し",VLOOKUP(F1951&amp;K1951&amp;M1951,製品マスタ!$M$5:$AD$4999,18,FALSE),IF(OR(J1951="リード付け",J1951="巻返しリード付け"),"原反コア",IF(J1951="スリット",VLOOKUP(F1951&amp;K1951&amp;R1951,製品マスタ!$N$5:$AD$4999,17,FALSE),""))))))</f>
        <v/>
      </c>
      <c r="X1951" s="256" t="str">
        <f ca="1">IF(D1951="","",IF(T1951="","",IF(J1951="巻足し","",IF(J1951="巻返し",VLOOKUP(F1951&amp;K1951&amp;M1951,製品マスタ!$M$5:$AE$4999,19,FALSE),IF(OR(J1951="リード付け",J1951="巻返しリード付け"),"",IF(J1951="スリット",VLOOKUP(F1951&amp;K1951&amp;R1951,製品マスタ!$N$5:$AE$4999,18,FALSE),""))))))</f>
        <v/>
      </c>
      <c r="Y1951" s="256">
        <f ca="1">IF(D1951="","",IF(T1951="","",VLOOKUP(D1951,契約台帳!$A$3:$Q$4986,17,FALSE)))</f>
        <v>2</v>
      </c>
      <c r="Z1951" s="256" t="str">
        <f ca="1">IF(D1951="","",IF(T1951="","",VLOOKUP(D1951,契約台帳!$A$3:$E$4986,5,FALSE)))</f>
        <v>リンテック㈱</v>
      </c>
      <c r="AA1951" s="54"/>
      <c r="AB1951" s="200" t="str">
        <f>IFERROR((VLOOKUP(F1951&amp;K1951&amp;M1951,製品マスタ!$M$5:$AM$4999,27,FALSE)),"")</f>
        <v>原反ケース再利用</v>
      </c>
      <c r="AC1951" s="31"/>
      <c r="AD1951" s="184"/>
      <c r="AE1951" s="51"/>
      <c r="AF1951" s="52">
        <f>+M1951*N1951*O1951/1000</f>
        <v>24000</v>
      </c>
      <c r="AG1951" s="41"/>
      <c r="AH1951" s="45"/>
      <c r="AI1951" s="28"/>
      <c r="AJ1951" s="28"/>
      <c r="AK1951" s="28"/>
      <c r="AL1951" s="28"/>
      <c r="AM1951" s="12"/>
      <c r="AN1951" s="12"/>
      <c r="AO1951" s="12"/>
      <c r="AP1951" s="12"/>
      <c r="AQ1951" s="12"/>
      <c r="AR1951" s="13"/>
      <c r="AS1951" s="14"/>
    </row>
    <row r="1952" spans="1:45" s="16" customFormat="1" ht="30.95" customHeight="1" x14ac:dyDescent="0.2">
      <c r="A1952" s="303"/>
      <c r="B1952" s="304"/>
      <c r="C1952" s="305"/>
      <c r="D1952" s="306"/>
      <c r="E1952" s="306"/>
      <c r="F1952" s="255"/>
      <c r="G1952" s="256"/>
      <c r="H1952" s="256"/>
      <c r="I1952" s="200"/>
      <c r="J1952" s="347"/>
      <c r="K1952" s="200"/>
      <c r="L1952" s="200"/>
      <c r="M1952" s="308"/>
      <c r="N1952" s="308"/>
      <c r="O1952" s="348"/>
      <c r="P1952" s="309"/>
      <c r="Q1952" s="310"/>
      <c r="R1952" s="257"/>
      <c r="S1952" s="258"/>
      <c r="T1952" s="258"/>
      <c r="U1952" s="311"/>
      <c r="V1952" s="259"/>
      <c r="W1952" s="256"/>
      <c r="X1952" s="256"/>
      <c r="Y1952" s="256"/>
      <c r="Z1952" s="256"/>
      <c r="AA1952" s="310"/>
      <c r="AB1952" s="200"/>
      <c r="AC1952" s="312"/>
      <c r="AD1952" s="313"/>
      <c r="AE1952" s="51"/>
      <c r="AF1952" s="314"/>
      <c r="AG1952" s="315"/>
      <c r="AH1952" s="309"/>
      <c r="AI1952" s="28"/>
      <c r="AJ1952" s="28"/>
      <c r="AK1952" s="28"/>
      <c r="AL1952" s="28"/>
      <c r="AM1952" s="12"/>
      <c r="AN1952" s="12"/>
      <c r="AO1952" s="12"/>
      <c r="AP1952" s="12"/>
      <c r="AQ1952" s="12"/>
      <c r="AR1952" s="13"/>
      <c r="AS1952" s="14"/>
    </row>
    <row r="1953" spans="1:45" s="16" customFormat="1" ht="30.95" customHeight="1" x14ac:dyDescent="0.2">
      <c r="A1953" s="303" t="s">
        <v>2789</v>
      </c>
      <c r="B1953" s="304" t="s">
        <v>2790</v>
      </c>
      <c r="C1953" s="305"/>
      <c r="D1953" s="306"/>
      <c r="E1953" s="306"/>
      <c r="F1953" s="255"/>
      <c r="G1953" s="256"/>
      <c r="H1953" s="256"/>
      <c r="I1953" s="200"/>
      <c r="J1953" s="347" t="s">
        <v>2791</v>
      </c>
      <c r="K1953" s="200"/>
      <c r="L1953" s="200"/>
      <c r="M1953" s="308"/>
      <c r="N1953" s="308"/>
      <c r="O1953" s="348"/>
      <c r="P1953" s="309"/>
      <c r="Q1953" s="310"/>
      <c r="R1953" s="257"/>
      <c r="S1953" s="258"/>
      <c r="T1953" s="258"/>
      <c r="U1953" s="311"/>
      <c r="V1953" s="259"/>
      <c r="W1953" s="256"/>
      <c r="X1953" s="256"/>
      <c r="Y1953" s="256"/>
      <c r="Z1953" s="256"/>
      <c r="AA1953" s="310"/>
      <c r="AB1953" s="200"/>
      <c r="AC1953" s="312"/>
      <c r="AD1953" s="313"/>
      <c r="AE1953" s="51"/>
      <c r="AF1953" s="314"/>
      <c r="AG1953" s="315"/>
      <c r="AH1953" s="309"/>
      <c r="AI1953" s="28"/>
      <c r="AJ1953" s="28"/>
      <c r="AK1953" s="28"/>
      <c r="AL1953" s="28"/>
      <c r="AM1953" s="12"/>
      <c r="AN1953" s="12"/>
      <c r="AO1953" s="12"/>
      <c r="AP1953" s="12"/>
      <c r="AQ1953" s="12"/>
      <c r="AR1953" s="13"/>
      <c r="AS1953" s="14"/>
    </row>
    <row r="1954" spans="1:45" s="16" customFormat="1" ht="30.95" customHeight="1" x14ac:dyDescent="0.2">
      <c r="A1954" s="303"/>
      <c r="B1954" s="304"/>
      <c r="C1954" s="305"/>
      <c r="D1954" s="306"/>
      <c r="E1954" s="306"/>
      <c r="F1954" s="255"/>
      <c r="G1954" s="256"/>
      <c r="H1954" s="256"/>
      <c r="I1954" s="200"/>
      <c r="J1954" s="347"/>
      <c r="K1954" s="200"/>
      <c r="L1954" s="200"/>
      <c r="M1954" s="308"/>
      <c r="N1954" s="308"/>
      <c r="O1954" s="348"/>
      <c r="P1954" s="309"/>
      <c r="Q1954" s="310"/>
      <c r="R1954" s="257"/>
      <c r="S1954" s="258"/>
      <c r="T1954" s="258"/>
      <c r="U1954" s="311"/>
      <c r="V1954" s="259"/>
      <c r="W1954" s="256"/>
      <c r="X1954" s="256"/>
      <c r="Y1954" s="256"/>
      <c r="Z1954" s="256"/>
      <c r="AA1954" s="310"/>
      <c r="AB1954" s="200"/>
      <c r="AC1954" s="312"/>
      <c r="AD1954" s="313"/>
      <c r="AE1954" s="51"/>
      <c r="AF1954" s="314"/>
      <c r="AG1954" s="315"/>
      <c r="AH1954" s="309"/>
      <c r="AI1954" s="28"/>
      <c r="AJ1954" s="28"/>
      <c r="AK1954" s="28"/>
      <c r="AL1954" s="28"/>
      <c r="AM1954" s="12"/>
      <c r="AN1954" s="12"/>
      <c r="AO1954" s="12"/>
      <c r="AP1954" s="12"/>
      <c r="AQ1954" s="12"/>
      <c r="AR1954" s="13"/>
      <c r="AS1954" s="14"/>
    </row>
    <row r="1955" spans="1:45" s="16" customFormat="1" ht="30.6" customHeight="1" x14ac:dyDescent="0.2">
      <c r="A1955" s="35" t="s">
        <v>1124</v>
      </c>
      <c r="B1955" s="36" t="s">
        <v>462</v>
      </c>
      <c r="C1955" s="43"/>
      <c r="D1955" s="29">
        <v>3754088</v>
      </c>
      <c r="E1955" s="29"/>
      <c r="F1955" s="255" t="str">
        <f>IF(D1955="","",VLOOKUP(D1955,契約台帳!$A$3:$K$4986,6,FALSE)&amp;VLOOKUP(D1955,契約台帳!$A$3:$K$4986,7,FALSE)&amp;VLOOKUP(D1955,契約台帳!$A$3:$K$4986,8,FALSE)&amp;VLOOKUP(D1955,契約台帳!$A$3:$K$4986,9,FALSE)&amp;VLOOKUP(D1955,契約台帳!$A$3:$K$4986,11,FALSE))</f>
        <v>3SNMLBMNNGKBF</v>
      </c>
      <c r="G1955" s="256" t="str">
        <f>IF(D1955="","",VLOOKUP(F1955,製品マスタ!$G$5:$H$4999,2,FALSE))</f>
        <v>S</v>
      </c>
      <c r="H1955" s="256" t="str">
        <f>IF(D1955="","",VLOOKUP(F1955,製品マスタ!$G$5:$K$4999,5,FALSE))</f>
        <v>MNNGKBF</v>
      </c>
      <c r="I1955" s="200" t="str">
        <f>IF(D1955="","",VLOOKUP(F1955,製品マスタ!$G$5:$L$4999,6,FALSE))</f>
        <v>メタルミー　ニューネーマー銀消　Ｂ</v>
      </c>
      <c r="J1955" s="203" t="s">
        <v>935</v>
      </c>
      <c r="K1955" s="200">
        <f>IF(D1955="","",VLOOKUP(D1955,契約台帳!$A$3:$L$4986,12,FALSE))</f>
        <v>50</v>
      </c>
      <c r="L1955" s="200" t="str">
        <f>IF(D1955="","",INDEX(製品マスタ!$Q$5:$Q$4999,MATCH('S4'!F1955&amp;'S4'!K1955,製品マスタ!$AO$5:$AO$4999,0)))</f>
        <v>X44</v>
      </c>
      <c r="M1955" s="37">
        <v>1000</v>
      </c>
      <c r="N1955" s="37">
        <v>4000</v>
      </c>
      <c r="O1955" s="153">
        <v>18</v>
      </c>
      <c r="P1955" s="45">
        <v>3</v>
      </c>
      <c r="Q1955" s="206">
        <v>45422</v>
      </c>
      <c r="R1955" s="257">
        <f ca="1">IF(D1955="","",IF(OFFSET(D1955,-1,0)&lt;&gt;"","",IF(OR(J1955="リード付け",J1955="巻足し",J1955="巻返しリード付け"),M1955,VLOOKUP(D1955,契約台帳!$A$3:$N$4986,14,FALSE))))</f>
        <v>1000</v>
      </c>
      <c r="S1955" s="258">
        <f ca="1">IF(D1955="","",IF(OFFSET(D1955,-1,0)&lt;&gt;"","",IF(OR(J1955="リード付け",J1955="巻足し",J1955="巻返しリード付け"),M1955,VLOOKUP(D1955,契約台帳!$A$3:$O$4986,15,FALSE))))</f>
        <v>1000</v>
      </c>
      <c r="T1955" s="258">
        <f ca="1">IF(D1955="","",IF(J1955="リード付け",N1955,IF(J1955="巻返しリード付け",N1955,IF(J1955="巻足し",N1955*P1955+OFFSET(N1955,1,0)*OFFSET(P1955,1,0),VLOOKUP(D1955,契約台帳!$A$3:$P$4986,16,FALSE)))))</f>
        <v>12000</v>
      </c>
      <c r="U1955" s="38">
        <v>6</v>
      </c>
      <c r="V1955" s="259">
        <f ca="1">IF(D1955="","",IF(OFFSET(D1955,-2,0)=D1955,"",VLOOKUP(D1955,契約台帳!$A$3:$R$4986,18,FALSE)))</f>
        <v>24</v>
      </c>
      <c r="W1955" s="256" t="str">
        <f ca="1">IF(D1955="","",IF(T1955="","",IF(OR(J1955="巻足し",J1955="巻返しリード付け"),"",IF(J1955="巻返し",VLOOKUP(F1955&amp;K1955&amp;M1955,製品マスタ!$M$5:$AD$4999,18,FALSE),IF(OR(J1955="リード付け",J1955="巻返しリード付け"),"原反コア",IF(J1955="スリット",VLOOKUP(F1955&amp;K1955&amp;R1955,製品マスタ!$N$5:$AD$4999,17,FALSE),""))))))</f>
        <v/>
      </c>
      <c r="X1955" s="256" t="str">
        <f ca="1">IF(D1955="","",IF(T1955="","",IF(J1955="巻足し","",IF(J1955="巻返し",VLOOKUP(F1955&amp;K1955&amp;M1955,製品マスタ!$M$5:$AE$4999,19,FALSE),IF(OR(J1955="リード付け",J1955="巻返しリード付け"),"",IF(J1955="スリット",VLOOKUP(F1955&amp;K1955&amp;R1955,製品マスタ!$N$5:$AE$4999,18,FALSE),""))))))</f>
        <v/>
      </c>
      <c r="Y1955" s="256">
        <f ca="1">IF(D1955="","",IF(T1955="","",VLOOKUP(D1955,契約台帳!$A$3:$Q$4986,17,FALSE)))</f>
        <v>2</v>
      </c>
      <c r="Z1955" s="256" t="str">
        <f ca="1">IF(D1955="","",IF(T1955="","",VLOOKUP(D1955,契約台帳!$A$3:$E$4986,5,FALSE)))</f>
        <v>リンテック㈱</v>
      </c>
      <c r="AA1955" s="54"/>
      <c r="AB1955" s="200" t="str">
        <f>IFERROR((VLOOKUP(F1955&amp;K1955&amp;M1955,製品マスタ!$M$5:$AM$4999,27,FALSE)),"")</f>
        <v>原反ケース再利用</v>
      </c>
      <c r="AC1955" s="31"/>
      <c r="AD1955" s="184"/>
      <c r="AE1955" s="51"/>
      <c r="AF1955" s="52">
        <f>+M1955*N1955*O1955/1000</f>
        <v>72000</v>
      </c>
      <c r="AG1955" s="41"/>
      <c r="AH1955" s="45"/>
      <c r="AI1955" s="28"/>
      <c r="AJ1955" s="28"/>
      <c r="AK1955" s="28"/>
      <c r="AL1955" s="28"/>
      <c r="AM1955" s="12"/>
      <c r="AN1955" s="12"/>
      <c r="AO1955" s="12"/>
      <c r="AP1955" s="12"/>
      <c r="AQ1955" s="12"/>
      <c r="AR1955" s="13"/>
      <c r="AS1955" s="14"/>
    </row>
    <row r="1956" spans="1:45" s="16" customFormat="1" ht="30.95" customHeight="1" x14ac:dyDescent="0.2">
      <c r="A1956" s="303"/>
      <c r="B1956" s="304"/>
      <c r="C1956" s="305"/>
      <c r="D1956" s="306"/>
      <c r="E1956" s="306"/>
      <c r="F1956" s="255"/>
      <c r="G1956" s="256"/>
      <c r="H1956" s="256"/>
      <c r="I1956" s="200"/>
      <c r="J1956" s="347"/>
      <c r="K1956" s="200"/>
      <c r="L1956" s="200"/>
      <c r="M1956" s="308"/>
      <c r="N1956" s="308"/>
      <c r="O1956" s="348"/>
      <c r="P1956" s="309"/>
      <c r="Q1956" s="310"/>
      <c r="R1956" s="257"/>
      <c r="S1956" s="258"/>
      <c r="T1956" s="258"/>
      <c r="U1956" s="311"/>
      <c r="V1956" s="259"/>
      <c r="W1956" s="256"/>
      <c r="X1956" s="256"/>
      <c r="Y1956" s="256"/>
      <c r="Z1956" s="256"/>
      <c r="AA1956" s="310"/>
      <c r="AB1956" s="200"/>
      <c r="AC1956" s="312"/>
      <c r="AD1956" s="313"/>
      <c r="AE1956" s="51"/>
      <c r="AF1956" s="314"/>
      <c r="AG1956" s="315"/>
      <c r="AH1956" s="309"/>
      <c r="AI1956" s="28"/>
      <c r="AJ1956" s="28"/>
      <c r="AK1956" s="28"/>
      <c r="AL1956" s="28"/>
      <c r="AM1956" s="12"/>
      <c r="AN1956" s="12"/>
      <c r="AO1956" s="12"/>
      <c r="AP1956" s="12"/>
      <c r="AQ1956" s="12"/>
      <c r="AR1956" s="13"/>
      <c r="AS1956" s="14"/>
    </row>
    <row r="1957" spans="1:45" s="16" customFormat="1" ht="30.95" customHeight="1" x14ac:dyDescent="0.2">
      <c r="A1957" s="303"/>
      <c r="B1957" s="304"/>
      <c r="C1957" s="305"/>
      <c r="D1957" s="306"/>
      <c r="E1957" s="306"/>
      <c r="F1957" s="255"/>
      <c r="G1957" s="256"/>
      <c r="H1957" s="256"/>
      <c r="I1957" s="200"/>
      <c r="J1957" s="347"/>
      <c r="K1957" s="200"/>
      <c r="L1957" s="200"/>
      <c r="M1957" s="308"/>
      <c r="N1957" s="308"/>
      <c r="O1957" s="348"/>
      <c r="P1957" s="309"/>
      <c r="Q1957" s="310"/>
      <c r="R1957" s="257"/>
      <c r="S1957" s="258"/>
      <c r="T1957" s="258"/>
      <c r="U1957" s="311"/>
      <c r="V1957" s="259"/>
      <c r="W1957" s="256"/>
      <c r="X1957" s="256"/>
      <c r="Y1957" s="256"/>
      <c r="Z1957" s="256"/>
      <c r="AA1957" s="310"/>
      <c r="AB1957" s="200"/>
      <c r="AC1957" s="312"/>
      <c r="AD1957" s="313"/>
      <c r="AE1957" s="51"/>
      <c r="AF1957" s="314"/>
      <c r="AG1957" s="315"/>
      <c r="AH1957" s="309"/>
      <c r="AI1957" s="28"/>
      <c r="AJ1957" s="28"/>
      <c r="AK1957" s="28"/>
      <c r="AL1957" s="28"/>
      <c r="AM1957" s="12"/>
      <c r="AN1957" s="12"/>
      <c r="AO1957" s="12"/>
      <c r="AP1957" s="12"/>
      <c r="AQ1957" s="12"/>
      <c r="AR1957" s="13"/>
      <c r="AS1957" s="14"/>
    </row>
    <row r="1958" spans="1:45" s="16" customFormat="1" ht="30.95" customHeight="1" x14ac:dyDescent="0.2">
      <c r="A1958" s="303"/>
      <c r="B1958" s="304"/>
      <c r="C1958" s="305"/>
      <c r="D1958" s="306"/>
      <c r="E1958" s="306"/>
      <c r="F1958" s="255"/>
      <c r="G1958" s="256"/>
      <c r="H1958" s="256"/>
      <c r="I1958" s="200"/>
      <c r="J1958" s="347"/>
      <c r="K1958" s="200"/>
      <c r="L1958" s="200"/>
      <c r="M1958" s="308"/>
      <c r="N1958" s="308"/>
      <c r="O1958" s="348"/>
      <c r="P1958" s="309"/>
      <c r="Q1958" s="310"/>
      <c r="R1958" s="257"/>
      <c r="S1958" s="258"/>
      <c r="T1958" s="258"/>
      <c r="U1958" s="311"/>
      <c r="V1958" s="259"/>
      <c r="W1958" s="256"/>
      <c r="X1958" s="256"/>
      <c r="Y1958" s="256"/>
      <c r="Z1958" s="256"/>
      <c r="AA1958" s="310"/>
      <c r="AB1958" s="200"/>
      <c r="AC1958" s="312"/>
      <c r="AD1958" s="313"/>
      <c r="AE1958" s="51"/>
      <c r="AF1958" s="314"/>
      <c r="AG1958" s="315"/>
      <c r="AH1958" s="309"/>
      <c r="AI1958" s="28"/>
      <c r="AJ1958" s="28"/>
      <c r="AK1958" s="28"/>
      <c r="AL1958" s="28"/>
      <c r="AM1958" s="12"/>
      <c r="AN1958" s="12"/>
      <c r="AO1958" s="12"/>
      <c r="AP1958" s="12"/>
      <c r="AQ1958" s="12"/>
      <c r="AR1958" s="13"/>
      <c r="AS1958" s="14"/>
    </row>
    <row r="1959" spans="1:45" s="16" customFormat="1" ht="30.95" customHeight="1" x14ac:dyDescent="0.2">
      <c r="A1959" s="303"/>
      <c r="B1959" s="304"/>
      <c r="C1959" s="305"/>
      <c r="D1959" s="306"/>
      <c r="E1959" s="306"/>
      <c r="F1959" s="255"/>
      <c r="G1959" s="256"/>
      <c r="H1959" s="256"/>
      <c r="I1959" s="200"/>
      <c r="J1959" s="347"/>
      <c r="K1959" s="200"/>
      <c r="L1959" s="200"/>
      <c r="M1959" s="308"/>
      <c r="N1959" s="308"/>
      <c r="O1959" s="348"/>
      <c r="P1959" s="309"/>
      <c r="Q1959" s="310"/>
      <c r="R1959" s="257"/>
      <c r="S1959" s="258"/>
      <c r="T1959" s="258"/>
      <c r="U1959" s="311"/>
      <c r="V1959" s="259"/>
      <c r="W1959" s="256"/>
      <c r="X1959" s="256"/>
      <c r="Y1959" s="256"/>
      <c r="Z1959" s="256"/>
      <c r="AA1959" s="310"/>
      <c r="AB1959" s="200"/>
      <c r="AC1959" s="312"/>
      <c r="AD1959" s="313"/>
      <c r="AE1959" s="51"/>
      <c r="AF1959" s="314"/>
      <c r="AG1959" s="315"/>
      <c r="AH1959" s="309"/>
      <c r="AI1959" s="28"/>
      <c r="AJ1959" s="28"/>
      <c r="AK1959" s="28"/>
      <c r="AL1959" s="28"/>
      <c r="AM1959" s="12"/>
      <c r="AN1959" s="12"/>
      <c r="AO1959" s="12"/>
      <c r="AP1959" s="12"/>
      <c r="AQ1959" s="12"/>
      <c r="AR1959" s="13"/>
      <c r="AS1959" s="14"/>
    </row>
    <row r="1960" spans="1:45" s="16" customFormat="1" ht="30.95" customHeight="1" x14ac:dyDescent="0.2">
      <c r="A1960" s="303"/>
      <c r="B1960" s="304"/>
      <c r="C1960" s="305"/>
      <c r="D1960" s="306"/>
      <c r="E1960" s="306"/>
      <c r="F1960" s="255"/>
      <c r="G1960" s="256"/>
      <c r="H1960" s="256"/>
      <c r="I1960" s="200"/>
      <c r="J1960" s="347"/>
      <c r="K1960" s="200"/>
      <c r="L1960" s="200"/>
      <c r="M1960" s="308"/>
      <c r="N1960" s="308"/>
      <c r="O1960" s="348"/>
      <c r="P1960" s="309"/>
      <c r="Q1960" s="310"/>
      <c r="R1960" s="257"/>
      <c r="S1960" s="258"/>
      <c r="T1960" s="258"/>
      <c r="U1960" s="311"/>
      <c r="V1960" s="259"/>
      <c r="W1960" s="256"/>
      <c r="X1960" s="256"/>
      <c r="Y1960" s="256"/>
      <c r="Z1960" s="256"/>
      <c r="AA1960" s="310"/>
      <c r="AB1960" s="200"/>
      <c r="AC1960" s="312"/>
      <c r="AD1960" s="313"/>
      <c r="AE1960" s="51"/>
      <c r="AF1960" s="314"/>
      <c r="AG1960" s="315"/>
      <c r="AH1960" s="309"/>
      <c r="AI1960" s="28"/>
      <c r="AJ1960" s="28"/>
      <c r="AK1960" s="28"/>
      <c r="AL1960" s="28"/>
      <c r="AM1960" s="12"/>
      <c r="AN1960" s="12"/>
      <c r="AO1960" s="12"/>
      <c r="AP1960" s="12"/>
      <c r="AQ1960" s="12"/>
      <c r="AR1960" s="13"/>
      <c r="AS1960" s="14"/>
    </row>
    <row r="1961" spans="1:45" s="16" customFormat="1" ht="30.95" customHeight="1" x14ac:dyDescent="0.2">
      <c r="A1961" s="303"/>
      <c r="B1961" s="304"/>
      <c r="C1961" s="305"/>
      <c r="D1961" s="306"/>
      <c r="E1961" s="306"/>
      <c r="F1961" s="255"/>
      <c r="G1961" s="256"/>
      <c r="H1961" s="256"/>
      <c r="I1961" s="200"/>
      <c r="J1961" s="347"/>
      <c r="K1961" s="200"/>
      <c r="L1961" s="200"/>
      <c r="M1961" s="308"/>
      <c r="N1961" s="308"/>
      <c r="O1961" s="348"/>
      <c r="P1961" s="309"/>
      <c r="Q1961" s="310"/>
      <c r="R1961" s="257"/>
      <c r="S1961" s="258"/>
      <c r="T1961" s="258"/>
      <c r="U1961" s="311"/>
      <c r="V1961" s="259"/>
      <c r="W1961" s="256"/>
      <c r="X1961" s="256"/>
      <c r="Y1961" s="256"/>
      <c r="Z1961" s="256"/>
      <c r="AA1961" s="310"/>
      <c r="AB1961" s="200"/>
      <c r="AC1961" s="312"/>
      <c r="AD1961" s="313"/>
      <c r="AE1961" s="51"/>
      <c r="AF1961" s="314"/>
      <c r="AG1961" s="315"/>
      <c r="AH1961" s="309"/>
      <c r="AI1961" s="28"/>
      <c r="AJ1961" s="28"/>
      <c r="AK1961" s="28"/>
      <c r="AL1961" s="28"/>
      <c r="AM1961" s="12"/>
      <c r="AN1961" s="12"/>
      <c r="AO1961" s="12"/>
      <c r="AP1961" s="12"/>
      <c r="AQ1961" s="12"/>
      <c r="AR1961" s="13"/>
      <c r="AS1961" s="14"/>
    </row>
    <row r="1962" spans="1:45" s="16" customFormat="1" ht="30.95" customHeight="1" x14ac:dyDescent="0.2">
      <c r="A1962" s="303"/>
      <c r="B1962" s="304"/>
      <c r="C1962" s="305"/>
      <c r="D1962" s="306"/>
      <c r="E1962" s="306"/>
      <c r="F1962" s="255"/>
      <c r="G1962" s="256"/>
      <c r="H1962" s="256"/>
      <c r="I1962" s="200"/>
      <c r="J1962" s="347"/>
      <c r="K1962" s="200"/>
      <c r="L1962" s="200"/>
      <c r="M1962" s="308"/>
      <c r="N1962" s="308"/>
      <c r="O1962" s="348"/>
      <c r="P1962" s="309"/>
      <c r="Q1962" s="310"/>
      <c r="R1962" s="257"/>
      <c r="S1962" s="258"/>
      <c r="T1962" s="258"/>
      <c r="U1962" s="311"/>
      <c r="V1962" s="259"/>
      <c r="W1962" s="256"/>
      <c r="X1962" s="256"/>
      <c r="Y1962" s="256"/>
      <c r="Z1962" s="256"/>
      <c r="AA1962" s="310"/>
      <c r="AB1962" s="200"/>
      <c r="AC1962" s="312"/>
      <c r="AD1962" s="313"/>
      <c r="AE1962" s="51"/>
      <c r="AF1962" s="314"/>
      <c r="AG1962" s="315"/>
      <c r="AH1962" s="309"/>
      <c r="AI1962" s="28"/>
      <c r="AJ1962" s="28"/>
      <c r="AK1962" s="28"/>
      <c r="AL1962" s="28"/>
      <c r="AM1962" s="12"/>
      <c r="AN1962" s="12"/>
      <c r="AO1962" s="12"/>
      <c r="AP1962" s="12"/>
      <c r="AQ1962" s="12"/>
      <c r="AR1962" s="13"/>
      <c r="AS1962" s="14"/>
    </row>
    <row r="1963" spans="1:45" s="16" customFormat="1" ht="30.95" customHeight="1" x14ac:dyDescent="0.2">
      <c r="A1963" s="303"/>
      <c r="B1963" s="304"/>
      <c r="C1963" s="305"/>
      <c r="D1963" s="306"/>
      <c r="E1963" s="306"/>
      <c r="F1963" s="255"/>
      <c r="G1963" s="256"/>
      <c r="H1963" s="256"/>
      <c r="I1963" s="200"/>
      <c r="J1963" s="347"/>
      <c r="K1963" s="200"/>
      <c r="L1963" s="200"/>
      <c r="M1963" s="308"/>
      <c r="N1963" s="308"/>
      <c r="O1963" s="348"/>
      <c r="P1963" s="309"/>
      <c r="Q1963" s="310"/>
      <c r="R1963" s="257"/>
      <c r="S1963" s="258"/>
      <c r="T1963" s="258"/>
      <c r="U1963" s="311"/>
      <c r="V1963" s="259"/>
      <c r="W1963" s="256"/>
      <c r="X1963" s="256"/>
      <c r="Y1963" s="256"/>
      <c r="Z1963" s="256"/>
      <c r="AA1963" s="310"/>
      <c r="AB1963" s="200"/>
      <c r="AC1963" s="312"/>
      <c r="AD1963" s="313"/>
      <c r="AE1963" s="51"/>
      <c r="AF1963" s="314"/>
      <c r="AG1963" s="315"/>
      <c r="AH1963" s="309"/>
      <c r="AI1963" s="28"/>
      <c r="AJ1963" s="28"/>
      <c r="AK1963" s="28"/>
      <c r="AL1963" s="28"/>
      <c r="AM1963" s="12"/>
      <c r="AN1963" s="12"/>
      <c r="AO1963" s="12"/>
      <c r="AP1963" s="12"/>
      <c r="AQ1963" s="12"/>
      <c r="AR1963" s="13"/>
      <c r="AS1963" s="14"/>
    </row>
    <row r="1964" spans="1:45" s="16" customFormat="1" ht="30.95" customHeight="1" x14ac:dyDescent="0.2">
      <c r="A1964" s="303"/>
      <c r="B1964" s="304"/>
      <c r="C1964" s="305"/>
      <c r="D1964" s="306"/>
      <c r="E1964" s="306"/>
      <c r="F1964" s="255"/>
      <c r="G1964" s="256"/>
      <c r="H1964" s="256"/>
      <c r="I1964" s="200"/>
      <c r="J1964" s="347"/>
      <c r="K1964" s="200"/>
      <c r="L1964" s="200"/>
      <c r="M1964" s="308"/>
      <c r="N1964" s="308"/>
      <c r="O1964" s="348"/>
      <c r="P1964" s="309"/>
      <c r="Q1964" s="310"/>
      <c r="R1964" s="257"/>
      <c r="S1964" s="258"/>
      <c r="T1964" s="258"/>
      <c r="U1964" s="311"/>
      <c r="V1964" s="259"/>
      <c r="W1964" s="256"/>
      <c r="X1964" s="256"/>
      <c r="Y1964" s="256"/>
      <c r="Z1964" s="256"/>
      <c r="AA1964" s="310"/>
      <c r="AB1964" s="200"/>
      <c r="AC1964" s="312"/>
      <c r="AD1964" s="313"/>
      <c r="AE1964" s="51"/>
      <c r="AF1964" s="314"/>
      <c r="AG1964" s="315"/>
      <c r="AH1964" s="309"/>
      <c r="AI1964" s="28"/>
      <c r="AJ1964" s="28"/>
      <c r="AK1964" s="28"/>
      <c r="AL1964" s="28"/>
      <c r="AM1964" s="12"/>
      <c r="AN1964" s="12"/>
      <c r="AO1964" s="12"/>
      <c r="AP1964" s="12"/>
      <c r="AQ1964" s="12"/>
      <c r="AR1964" s="13"/>
      <c r="AS1964" s="14"/>
    </row>
    <row r="1965" spans="1:45" s="16" customFormat="1" ht="30.95" customHeight="1" x14ac:dyDescent="0.2">
      <c r="A1965" s="303"/>
      <c r="B1965" s="304"/>
      <c r="C1965" s="305"/>
      <c r="D1965" s="306"/>
      <c r="E1965" s="306"/>
      <c r="F1965" s="255"/>
      <c r="G1965" s="256"/>
      <c r="H1965" s="256"/>
      <c r="I1965" s="200"/>
      <c r="J1965" s="347"/>
      <c r="K1965" s="200"/>
      <c r="L1965" s="200"/>
      <c r="M1965" s="308"/>
      <c r="N1965" s="308"/>
      <c r="O1965" s="348"/>
      <c r="P1965" s="309"/>
      <c r="Q1965" s="310"/>
      <c r="R1965" s="257"/>
      <c r="S1965" s="258"/>
      <c r="T1965" s="258"/>
      <c r="U1965" s="311"/>
      <c r="V1965" s="259"/>
      <c r="W1965" s="256"/>
      <c r="X1965" s="256"/>
      <c r="Y1965" s="256"/>
      <c r="Z1965" s="256"/>
      <c r="AA1965" s="310"/>
      <c r="AB1965" s="200"/>
      <c r="AC1965" s="312"/>
      <c r="AD1965" s="313"/>
      <c r="AE1965" s="51"/>
      <c r="AF1965" s="314"/>
      <c r="AG1965" s="315"/>
      <c r="AH1965" s="309"/>
      <c r="AI1965" s="28"/>
      <c r="AJ1965" s="28"/>
      <c r="AK1965" s="28"/>
      <c r="AL1965" s="28"/>
      <c r="AM1965" s="12"/>
      <c r="AN1965" s="12"/>
      <c r="AO1965" s="12"/>
      <c r="AP1965" s="12"/>
      <c r="AQ1965" s="12"/>
      <c r="AR1965" s="13"/>
      <c r="AS1965" s="14"/>
    </row>
    <row r="1966" spans="1:45" s="16" customFormat="1" ht="30.95" customHeight="1" x14ac:dyDescent="0.2">
      <c r="A1966" s="303"/>
      <c r="B1966" s="304"/>
      <c r="C1966" s="305"/>
      <c r="D1966" s="306"/>
      <c r="E1966" s="306"/>
      <c r="F1966" s="255"/>
      <c r="G1966" s="256"/>
      <c r="H1966" s="256"/>
      <c r="I1966" s="200"/>
      <c r="J1966" s="347"/>
      <c r="K1966" s="200"/>
      <c r="L1966" s="200"/>
      <c r="M1966" s="308"/>
      <c r="N1966" s="308"/>
      <c r="O1966" s="348"/>
      <c r="P1966" s="309"/>
      <c r="Q1966" s="310"/>
      <c r="R1966" s="257"/>
      <c r="S1966" s="258"/>
      <c r="T1966" s="258"/>
      <c r="U1966" s="311"/>
      <c r="V1966" s="259"/>
      <c r="W1966" s="256"/>
      <c r="X1966" s="256"/>
      <c r="Y1966" s="256"/>
      <c r="Z1966" s="256"/>
      <c r="AA1966" s="310"/>
      <c r="AB1966" s="200"/>
      <c r="AC1966" s="312"/>
      <c r="AD1966" s="313"/>
      <c r="AE1966" s="51"/>
      <c r="AF1966" s="314"/>
      <c r="AG1966" s="315"/>
      <c r="AH1966" s="309"/>
      <c r="AI1966" s="28"/>
      <c r="AJ1966" s="28"/>
      <c r="AK1966" s="28"/>
      <c r="AL1966" s="28"/>
      <c r="AM1966" s="12"/>
      <c r="AN1966" s="12"/>
      <c r="AO1966" s="12"/>
      <c r="AP1966" s="12"/>
      <c r="AQ1966" s="12"/>
      <c r="AR1966" s="13"/>
      <c r="AS1966" s="14"/>
    </row>
    <row r="1967" spans="1:45" s="16" customFormat="1" ht="30.95" customHeight="1" x14ac:dyDescent="0.2">
      <c r="A1967" s="303"/>
      <c r="B1967" s="304"/>
      <c r="C1967" s="305"/>
      <c r="D1967" s="306"/>
      <c r="E1967" s="306"/>
      <c r="F1967" s="255"/>
      <c r="G1967" s="256"/>
      <c r="H1967" s="256"/>
      <c r="I1967" s="200"/>
      <c r="J1967" s="347"/>
      <c r="K1967" s="200"/>
      <c r="L1967" s="200"/>
      <c r="M1967" s="308"/>
      <c r="N1967" s="308"/>
      <c r="O1967" s="348"/>
      <c r="P1967" s="309"/>
      <c r="Q1967" s="310"/>
      <c r="R1967" s="257"/>
      <c r="S1967" s="258"/>
      <c r="T1967" s="258"/>
      <c r="U1967" s="311"/>
      <c r="V1967" s="259"/>
      <c r="W1967" s="256"/>
      <c r="X1967" s="256"/>
      <c r="Y1967" s="256"/>
      <c r="Z1967" s="256"/>
      <c r="AA1967" s="310"/>
      <c r="AB1967" s="200"/>
      <c r="AC1967" s="312"/>
      <c r="AD1967" s="313"/>
      <c r="AE1967" s="51"/>
      <c r="AF1967" s="314"/>
      <c r="AG1967" s="315"/>
      <c r="AH1967" s="309"/>
      <c r="AI1967" s="28"/>
      <c r="AJ1967" s="28"/>
      <c r="AK1967" s="28"/>
      <c r="AL1967" s="28"/>
      <c r="AM1967" s="12"/>
      <c r="AN1967" s="12"/>
      <c r="AO1967" s="12"/>
      <c r="AP1967" s="12"/>
      <c r="AQ1967" s="12"/>
      <c r="AR1967" s="13"/>
      <c r="AS1967" s="14"/>
    </row>
    <row r="1968" spans="1:45" s="16" customFormat="1" ht="30.95" customHeight="1" x14ac:dyDescent="0.2">
      <c r="A1968" s="303"/>
      <c r="B1968" s="304"/>
      <c r="C1968" s="305"/>
      <c r="D1968" s="306"/>
      <c r="E1968" s="306"/>
      <c r="F1968" s="255"/>
      <c r="G1968" s="256"/>
      <c r="H1968" s="256"/>
      <c r="I1968" s="200"/>
      <c r="J1968" s="347"/>
      <c r="K1968" s="200"/>
      <c r="L1968" s="200"/>
      <c r="M1968" s="308"/>
      <c r="N1968" s="308"/>
      <c r="O1968" s="348"/>
      <c r="P1968" s="309"/>
      <c r="Q1968" s="310"/>
      <c r="R1968" s="257"/>
      <c r="S1968" s="258"/>
      <c r="T1968" s="258"/>
      <c r="U1968" s="311"/>
      <c r="V1968" s="259"/>
      <c r="W1968" s="256"/>
      <c r="X1968" s="256"/>
      <c r="Y1968" s="256"/>
      <c r="Z1968" s="256"/>
      <c r="AA1968" s="310"/>
      <c r="AB1968" s="200"/>
      <c r="AC1968" s="312"/>
      <c r="AD1968" s="313"/>
      <c r="AE1968" s="51"/>
      <c r="AF1968" s="314"/>
      <c r="AG1968" s="315"/>
      <c r="AH1968" s="309"/>
      <c r="AI1968" s="28"/>
      <c r="AJ1968" s="28"/>
      <c r="AK1968" s="28"/>
      <c r="AL1968" s="28"/>
      <c r="AM1968" s="12"/>
      <c r="AN1968" s="12"/>
      <c r="AO1968" s="12"/>
      <c r="AP1968" s="12"/>
      <c r="AQ1968" s="12"/>
      <c r="AR1968" s="13"/>
      <c r="AS1968" s="14"/>
    </row>
    <row r="1969" spans="1:45" s="16" customFormat="1" ht="30.95" customHeight="1" x14ac:dyDescent="0.2">
      <c r="A1969" s="303"/>
      <c r="B1969" s="304"/>
      <c r="C1969" s="305"/>
      <c r="D1969" s="306"/>
      <c r="E1969" s="306"/>
      <c r="F1969" s="255"/>
      <c r="G1969" s="256"/>
      <c r="H1969" s="256"/>
      <c r="I1969" s="200"/>
      <c r="J1969" s="347"/>
      <c r="K1969" s="200"/>
      <c r="L1969" s="200"/>
      <c r="M1969" s="308"/>
      <c r="N1969" s="308"/>
      <c r="O1969" s="348"/>
      <c r="P1969" s="309"/>
      <c r="Q1969" s="310"/>
      <c r="R1969" s="257"/>
      <c r="S1969" s="258"/>
      <c r="T1969" s="258"/>
      <c r="U1969" s="311"/>
      <c r="V1969" s="259"/>
      <c r="W1969" s="256"/>
      <c r="X1969" s="256"/>
      <c r="Y1969" s="256"/>
      <c r="Z1969" s="256"/>
      <c r="AA1969" s="310"/>
      <c r="AB1969" s="200"/>
      <c r="AC1969" s="312"/>
      <c r="AD1969" s="313"/>
      <c r="AE1969" s="51"/>
      <c r="AF1969" s="314"/>
      <c r="AG1969" s="315"/>
      <c r="AH1969" s="309"/>
      <c r="AI1969" s="28"/>
      <c r="AJ1969" s="28"/>
      <c r="AK1969" s="28"/>
      <c r="AL1969" s="28"/>
      <c r="AM1969" s="12"/>
      <c r="AN1969" s="12"/>
      <c r="AO1969" s="12"/>
      <c r="AP1969" s="12"/>
      <c r="AQ1969" s="12"/>
      <c r="AR1969" s="13"/>
      <c r="AS1969" s="14"/>
    </row>
    <row r="1970" spans="1:45" s="16" customFormat="1" ht="30.95" customHeight="1" x14ac:dyDescent="0.2">
      <c r="A1970" s="303"/>
      <c r="B1970" s="304"/>
      <c r="C1970" s="305"/>
      <c r="D1970" s="306"/>
      <c r="E1970" s="306"/>
      <c r="F1970" s="255"/>
      <c r="G1970" s="256"/>
      <c r="H1970" s="256"/>
      <c r="I1970" s="200"/>
      <c r="J1970" s="347"/>
      <c r="K1970" s="200"/>
      <c r="L1970" s="200"/>
      <c r="M1970" s="308"/>
      <c r="N1970" s="308"/>
      <c r="O1970" s="348"/>
      <c r="P1970" s="309"/>
      <c r="Q1970" s="310"/>
      <c r="R1970" s="257"/>
      <c r="S1970" s="258"/>
      <c r="T1970" s="258"/>
      <c r="U1970" s="311"/>
      <c r="V1970" s="259"/>
      <c r="W1970" s="256"/>
      <c r="X1970" s="256"/>
      <c r="Y1970" s="256"/>
      <c r="Z1970" s="256"/>
      <c r="AA1970" s="310"/>
      <c r="AB1970" s="200"/>
      <c r="AC1970" s="312"/>
      <c r="AD1970" s="313"/>
      <c r="AE1970" s="51"/>
      <c r="AF1970" s="314"/>
      <c r="AG1970" s="315"/>
      <c r="AH1970" s="309"/>
      <c r="AI1970" s="28"/>
      <c r="AJ1970" s="28"/>
      <c r="AK1970" s="28"/>
      <c r="AL1970" s="28"/>
      <c r="AM1970" s="12"/>
      <c r="AN1970" s="12"/>
      <c r="AO1970" s="12"/>
      <c r="AP1970" s="12"/>
      <c r="AQ1970" s="12"/>
      <c r="AR1970" s="13"/>
      <c r="AS1970" s="14"/>
    </row>
    <row r="1971" spans="1:45" s="16" customFormat="1" ht="30.95" customHeight="1" x14ac:dyDescent="0.2">
      <c r="A1971" s="303"/>
      <c r="B1971" s="304"/>
      <c r="C1971" s="305"/>
      <c r="D1971" s="306"/>
      <c r="E1971" s="306"/>
      <c r="F1971" s="255"/>
      <c r="G1971" s="256"/>
      <c r="H1971" s="256"/>
      <c r="I1971" s="200"/>
      <c r="J1971" s="347"/>
      <c r="K1971" s="200"/>
      <c r="L1971" s="200"/>
      <c r="M1971" s="308"/>
      <c r="N1971" s="308"/>
      <c r="O1971" s="348"/>
      <c r="P1971" s="309"/>
      <c r="Q1971" s="310"/>
      <c r="R1971" s="257"/>
      <c r="S1971" s="258"/>
      <c r="T1971" s="258"/>
      <c r="U1971" s="311"/>
      <c r="V1971" s="259"/>
      <c r="W1971" s="256"/>
      <c r="X1971" s="256"/>
      <c r="Y1971" s="256"/>
      <c r="Z1971" s="256"/>
      <c r="AA1971" s="310"/>
      <c r="AB1971" s="200"/>
      <c r="AC1971" s="312"/>
      <c r="AD1971" s="313"/>
      <c r="AE1971" s="51"/>
      <c r="AF1971" s="314"/>
      <c r="AG1971" s="315"/>
      <c r="AH1971" s="309"/>
      <c r="AI1971" s="28"/>
      <c r="AJ1971" s="28"/>
      <c r="AK1971" s="28"/>
      <c r="AL1971" s="28"/>
      <c r="AM1971" s="12"/>
      <c r="AN1971" s="12"/>
      <c r="AO1971" s="12"/>
      <c r="AP1971" s="12"/>
      <c r="AQ1971" s="12"/>
      <c r="AR1971" s="13"/>
      <c r="AS1971" s="14"/>
    </row>
    <row r="1972" spans="1:45" s="16" customFormat="1" ht="30.95" customHeight="1" x14ac:dyDescent="0.2">
      <c r="A1972" s="303"/>
      <c r="B1972" s="304"/>
      <c r="C1972" s="305"/>
      <c r="D1972" s="306"/>
      <c r="E1972" s="306"/>
      <c r="F1972" s="255"/>
      <c r="G1972" s="256"/>
      <c r="H1972" s="256"/>
      <c r="I1972" s="200"/>
      <c r="J1972" s="347"/>
      <c r="K1972" s="200"/>
      <c r="L1972" s="200"/>
      <c r="M1972" s="308"/>
      <c r="N1972" s="308"/>
      <c r="O1972" s="348"/>
      <c r="P1972" s="309"/>
      <c r="Q1972" s="310"/>
      <c r="R1972" s="257"/>
      <c r="S1972" s="258"/>
      <c r="T1972" s="258"/>
      <c r="U1972" s="311"/>
      <c r="V1972" s="259"/>
      <c r="W1972" s="256"/>
      <c r="X1972" s="256"/>
      <c r="Y1972" s="256"/>
      <c r="Z1972" s="256"/>
      <c r="AA1972" s="310"/>
      <c r="AB1972" s="200"/>
      <c r="AC1972" s="312"/>
      <c r="AD1972" s="313"/>
      <c r="AE1972" s="51"/>
      <c r="AF1972" s="314"/>
      <c r="AG1972" s="315"/>
      <c r="AH1972" s="309"/>
      <c r="AI1972" s="28"/>
      <c r="AJ1972" s="28"/>
      <c r="AK1972" s="28"/>
      <c r="AL1972" s="28"/>
      <c r="AM1972" s="12"/>
      <c r="AN1972" s="12"/>
      <c r="AO1972" s="12"/>
      <c r="AP1972" s="12"/>
      <c r="AQ1972" s="12"/>
      <c r="AR1972" s="13"/>
      <c r="AS1972" s="14"/>
    </row>
    <row r="1973" spans="1:45" s="16" customFormat="1" ht="30.95" customHeight="1" x14ac:dyDescent="0.2">
      <c r="A1973" s="303"/>
      <c r="B1973" s="304"/>
      <c r="C1973" s="305"/>
      <c r="D1973" s="306"/>
      <c r="E1973" s="306"/>
      <c r="F1973" s="255"/>
      <c r="G1973" s="256"/>
      <c r="H1973" s="256"/>
      <c r="I1973" s="200"/>
      <c r="J1973" s="347"/>
      <c r="K1973" s="200"/>
      <c r="L1973" s="200"/>
      <c r="M1973" s="308"/>
      <c r="N1973" s="308"/>
      <c r="O1973" s="348"/>
      <c r="P1973" s="309"/>
      <c r="Q1973" s="310"/>
      <c r="R1973" s="257"/>
      <c r="S1973" s="258"/>
      <c r="T1973" s="258"/>
      <c r="U1973" s="311"/>
      <c r="V1973" s="259"/>
      <c r="W1973" s="256"/>
      <c r="X1973" s="256"/>
      <c r="Y1973" s="256"/>
      <c r="Z1973" s="256"/>
      <c r="AA1973" s="310"/>
      <c r="AB1973" s="200"/>
      <c r="AC1973" s="312"/>
      <c r="AD1973" s="313"/>
      <c r="AE1973" s="51"/>
      <c r="AF1973" s="314"/>
      <c r="AG1973" s="315"/>
      <c r="AH1973" s="309"/>
      <c r="AI1973" s="28"/>
      <c r="AJ1973" s="28"/>
      <c r="AK1973" s="28"/>
      <c r="AL1973" s="28"/>
      <c r="AM1973" s="12"/>
      <c r="AN1973" s="12"/>
      <c r="AO1973" s="12"/>
      <c r="AP1973" s="12"/>
      <c r="AQ1973" s="12"/>
      <c r="AR1973" s="13"/>
      <c r="AS1973" s="14"/>
    </row>
    <row r="1974" spans="1:45" s="16" customFormat="1" ht="30.95" customHeight="1" x14ac:dyDescent="0.2">
      <c r="A1974" s="303"/>
      <c r="B1974" s="304"/>
      <c r="C1974" s="305"/>
      <c r="D1974" s="306"/>
      <c r="E1974" s="306"/>
      <c r="F1974" s="255"/>
      <c r="G1974" s="256"/>
      <c r="H1974" s="256"/>
      <c r="I1974" s="200"/>
      <c r="J1974" s="347"/>
      <c r="K1974" s="200"/>
      <c r="L1974" s="200"/>
      <c r="M1974" s="308"/>
      <c r="N1974" s="308"/>
      <c r="O1974" s="348"/>
      <c r="P1974" s="309"/>
      <c r="Q1974" s="310"/>
      <c r="R1974" s="257"/>
      <c r="S1974" s="258"/>
      <c r="T1974" s="258"/>
      <c r="U1974" s="311"/>
      <c r="V1974" s="259"/>
      <c r="W1974" s="256"/>
      <c r="X1974" s="256"/>
      <c r="Y1974" s="256"/>
      <c r="Z1974" s="256"/>
      <c r="AA1974" s="310"/>
      <c r="AB1974" s="200"/>
      <c r="AC1974" s="312"/>
      <c r="AD1974" s="313"/>
      <c r="AE1974" s="51"/>
      <c r="AF1974" s="314"/>
      <c r="AG1974" s="315"/>
      <c r="AH1974" s="309"/>
      <c r="AI1974" s="28"/>
      <c r="AJ1974" s="28"/>
      <c r="AK1974" s="28"/>
      <c r="AL1974" s="28"/>
      <c r="AM1974" s="12"/>
      <c r="AN1974" s="12"/>
      <c r="AO1974" s="12"/>
      <c r="AP1974" s="12"/>
      <c r="AQ1974" s="12"/>
      <c r="AR1974" s="13"/>
      <c r="AS1974" s="14"/>
    </row>
    <row r="1975" spans="1:45" s="16" customFormat="1" ht="30.95" customHeight="1" x14ac:dyDescent="0.2">
      <c r="A1975" s="303"/>
      <c r="B1975" s="304"/>
      <c r="C1975" s="305"/>
      <c r="D1975" s="306"/>
      <c r="E1975" s="306"/>
      <c r="F1975" s="255"/>
      <c r="G1975" s="256"/>
      <c r="H1975" s="256"/>
      <c r="I1975" s="200"/>
      <c r="J1975" s="347"/>
      <c r="K1975" s="200"/>
      <c r="L1975" s="200"/>
      <c r="M1975" s="308"/>
      <c r="N1975" s="308"/>
      <c r="O1975" s="348"/>
      <c r="P1975" s="309"/>
      <c r="Q1975" s="310"/>
      <c r="R1975" s="257"/>
      <c r="S1975" s="258"/>
      <c r="T1975" s="258"/>
      <c r="U1975" s="311"/>
      <c r="V1975" s="259"/>
      <c r="W1975" s="256"/>
      <c r="X1975" s="256"/>
      <c r="Y1975" s="256"/>
      <c r="Z1975" s="256"/>
      <c r="AA1975" s="310"/>
      <c r="AB1975" s="200"/>
      <c r="AC1975" s="312"/>
      <c r="AD1975" s="313"/>
      <c r="AE1975" s="51"/>
      <c r="AF1975" s="314"/>
      <c r="AG1975" s="315"/>
      <c r="AH1975" s="309"/>
      <c r="AI1975" s="28"/>
      <c r="AJ1975" s="28"/>
      <c r="AK1975" s="28"/>
      <c r="AL1975" s="28"/>
      <c r="AM1975" s="12"/>
      <c r="AN1975" s="12"/>
      <c r="AO1975" s="12"/>
      <c r="AP1975" s="12"/>
      <c r="AQ1975" s="12"/>
      <c r="AR1975" s="13"/>
      <c r="AS1975" s="14"/>
    </row>
    <row r="1976" spans="1:45" s="16" customFormat="1" ht="30.95" customHeight="1" x14ac:dyDescent="0.2">
      <c r="A1976" s="303"/>
      <c r="B1976" s="304"/>
      <c r="C1976" s="305"/>
      <c r="D1976" s="306"/>
      <c r="E1976" s="306"/>
      <c r="F1976" s="255"/>
      <c r="G1976" s="256"/>
      <c r="H1976" s="256"/>
      <c r="I1976" s="200"/>
      <c r="J1976" s="347"/>
      <c r="K1976" s="200"/>
      <c r="L1976" s="200"/>
      <c r="M1976" s="308"/>
      <c r="N1976" s="308"/>
      <c r="O1976" s="348"/>
      <c r="P1976" s="309"/>
      <c r="Q1976" s="310"/>
      <c r="R1976" s="257"/>
      <c r="S1976" s="258"/>
      <c r="T1976" s="258"/>
      <c r="U1976" s="311"/>
      <c r="V1976" s="259"/>
      <c r="W1976" s="256"/>
      <c r="X1976" s="256"/>
      <c r="Y1976" s="256"/>
      <c r="Z1976" s="256"/>
      <c r="AA1976" s="310"/>
      <c r="AB1976" s="200"/>
      <c r="AC1976" s="312"/>
      <c r="AD1976" s="313"/>
      <c r="AE1976" s="51"/>
      <c r="AF1976" s="314"/>
      <c r="AG1976" s="315"/>
      <c r="AH1976" s="309"/>
      <c r="AI1976" s="28"/>
      <c r="AJ1976" s="28"/>
      <c r="AK1976" s="28"/>
      <c r="AL1976" s="28"/>
      <c r="AM1976" s="12"/>
      <c r="AN1976" s="12"/>
      <c r="AO1976" s="12"/>
      <c r="AP1976" s="12"/>
      <c r="AQ1976" s="12"/>
      <c r="AR1976" s="13"/>
      <c r="AS1976" s="14"/>
    </row>
    <row r="1977" spans="1:45" s="16" customFormat="1" ht="30.95" customHeight="1" x14ac:dyDescent="0.2">
      <c r="A1977" s="303"/>
      <c r="B1977" s="304"/>
      <c r="C1977" s="305"/>
      <c r="D1977" s="306"/>
      <c r="E1977" s="306"/>
      <c r="F1977" s="255"/>
      <c r="G1977" s="256"/>
      <c r="H1977" s="256"/>
      <c r="I1977" s="200"/>
      <c r="J1977" s="347"/>
      <c r="K1977" s="200"/>
      <c r="L1977" s="200"/>
      <c r="M1977" s="308"/>
      <c r="N1977" s="308"/>
      <c r="O1977" s="348"/>
      <c r="P1977" s="309"/>
      <c r="Q1977" s="310"/>
      <c r="R1977" s="257"/>
      <c r="S1977" s="258"/>
      <c r="T1977" s="258"/>
      <c r="U1977" s="311"/>
      <c r="V1977" s="259"/>
      <c r="W1977" s="256"/>
      <c r="X1977" s="256"/>
      <c r="Y1977" s="256"/>
      <c r="Z1977" s="256"/>
      <c r="AA1977" s="310"/>
      <c r="AB1977" s="200"/>
      <c r="AC1977" s="312"/>
      <c r="AD1977" s="313"/>
      <c r="AE1977" s="51"/>
      <c r="AF1977" s="314"/>
      <c r="AG1977" s="315"/>
      <c r="AH1977" s="309"/>
      <c r="AI1977" s="28"/>
      <c r="AJ1977" s="28"/>
      <c r="AK1977" s="28"/>
      <c r="AL1977" s="28"/>
      <c r="AM1977" s="12"/>
      <c r="AN1977" s="12"/>
      <c r="AO1977" s="12"/>
      <c r="AP1977" s="12"/>
      <c r="AQ1977" s="12"/>
      <c r="AR1977" s="13"/>
      <c r="AS1977" s="14"/>
    </row>
    <row r="1978" spans="1:45" s="16" customFormat="1" ht="30.95" customHeight="1" x14ac:dyDescent="0.2">
      <c r="A1978" s="303"/>
      <c r="B1978" s="304"/>
      <c r="C1978" s="305"/>
      <c r="D1978" s="306"/>
      <c r="E1978" s="306"/>
      <c r="F1978" s="255"/>
      <c r="G1978" s="256"/>
      <c r="H1978" s="256"/>
      <c r="I1978" s="200"/>
      <c r="J1978" s="347"/>
      <c r="K1978" s="200"/>
      <c r="L1978" s="200"/>
      <c r="M1978" s="308"/>
      <c r="N1978" s="308"/>
      <c r="O1978" s="348"/>
      <c r="P1978" s="309"/>
      <c r="Q1978" s="310"/>
      <c r="R1978" s="257"/>
      <c r="S1978" s="258"/>
      <c r="T1978" s="258"/>
      <c r="U1978" s="311"/>
      <c r="V1978" s="259"/>
      <c r="W1978" s="256"/>
      <c r="X1978" s="256"/>
      <c r="Y1978" s="256"/>
      <c r="Z1978" s="256"/>
      <c r="AA1978" s="310"/>
      <c r="AB1978" s="200"/>
      <c r="AC1978" s="312"/>
      <c r="AD1978" s="313"/>
      <c r="AE1978" s="51"/>
      <c r="AF1978" s="314"/>
      <c r="AG1978" s="315"/>
      <c r="AH1978" s="309"/>
      <c r="AI1978" s="28"/>
      <c r="AJ1978" s="28"/>
      <c r="AK1978" s="28"/>
      <c r="AL1978" s="28"/>
      <c r="AM1978" s="12"/>
      <c r="AN1978" s="12"/>
      <c r="AO1978" s="12"/>
      <c r="AP1978" s="12"/>
      <c r="AQ1978" s="12"/>
      <c r="AR1978" s="13"/>
      <c r="AS1978" s="14"/>
    </row>
    <row r="1979" spans="1:45" s="16" customFormat="1" ht="30.95" customHeight="1" x14ac:dyDescent="0.2">
      <c r="A1979" s="303"/>
      <c r="B1979" s="304"/>
      <c r="C1979" s="305"/>
      <c r="D1979" s="306"/>
      <c r="E1979" s="306"/>
      <c r="F1979" s="255"/>
      <c r="G1979" s="256"/>
      <c r="H1979" s="256"/>
      <c r="I1979" s="200"/>
      <c r="J1979" s="347"/>
      <c r="K1979" s="200"/>
      <c r="L1979" s="200"/>
      <c r="M1979" s="308"/>
      <c r="N1979" s="308"/>
      <c r="O1979" s="348"/>
      <c r="P1979" s="309"/>
      <c r="Q1979" s="310"/>
      <c r="R1979" s="257"/>
      <c r="S1979" s="258"/>
      <c r="T1979" s="258"/>
      <c r="U1979" s="311"/>
      <c r="V1979" s="259"/>
      <c r="W1979" s="256"/>
      <c r="X1979" s="256"/>
      <c r="Y1979" s="256"/>
      <c r="Z1979" s="256"/>
      <c r="AA1979" s="310"/>
      <c r="AB1979" s="200"/>
      <c r="AC1979" s="312"/>
      <c r="AD1979" s="313"/>
      <c r="AE1979" s="51"/>
      <c r="AF1979" s="314"/>
      <c r="AG1979" s="315"/>
      <c r="AH1979" s="309"/>
      <c r="AI1979" s="28"/>
      <c r="AJ1979" s="28"/>
      <c r="AK1979" s="28"/>
      <c r="AL1979" s="28"/>
      <c r="AM1979" s="12"/>
      <c r="AN1979" s="12"/>
      <c r="AO1979" s="12"/>
      <c r="AP1979" s="12"/>
      <c r="AQ1979" s="12"/>
      <c r="AR1979" s="13"/>
      <c r="AS1979" s="14"/>
    </row>
    <row r="1980" spans="1:45" s="16" customFormat="1" ht="30.95" customHeight="1" x14ac:dyDescent="0.2">
      <c r="A1980" s="303"/>
      <c r="B1980" s="304"/>
      <c r="C1980" s="305"/>
      <c r="D1980" s="306"/>
      <c r="E1980" s="306"/>
      <c r="F1980" s="255"/>
      <c r="G1980" s="256"/>
      <c r="H1980" s="256"/>
      <c r="I1980" s="200"/>
      <c r="J1980" s="347"/>
      <c r="K1980" s="200"/>
      <c r="L1980" s="200"/>
      <c r="M1980" s="308"/>
      <c r="N1980" s="308"/>
      <c r="O1980" s="348"/>
      <c r="P1980" s="309"/>
      <c r="Q1980" s="310"/>
      <c r="R1980" s="257"/>
      <c r="S1980" s="258"/>
      <c r="T1980" s="258"/>
      <c r="U1980" s="311"/>
      <c r="V1980" s="259"/>
      <c r="W1980" s="256"/>
      <c r="X1980" s="256"/>
      <c r="Y1980" s="256"/>
      <c r="Z1980" s="256"/>
      <c r="AA1980" s="310"/>
      <c r="AB1980" s="200"/>
      <c r="AC1980" s="312"/>
      <c r="AD1980" s="313"/>
      <c r="AE1980" s="51"/>
      <c r="AF1980" s="314"/>
      <c r="AG1980" s="315"/>
      <c r="AH1980" s="309"/>
      <c r="AI1980" s="28"/>
      <c r="AJ1980" s="28"/>
      <c r="AK1980" s="28"/>
      <c r="AL1980" s="28"/>
      <c r="AM1980" s="12"/>
      <c r="AN1980" s="12"/>
      <c r="AO1980" s="12"/>
      <c r="AP1980" s="12"/>
      <c r="AQ1980" s="12"/>
      <c r="AR1980" s="13"/>
      <c r="AS1980" s="14"/>
    </row>
    <row r="1981" spans="1:45" s="16" customFormat="1" ht="30.95" customHeight="1" x14ac:dyDescent="0.2">
      <c r="A1981" s="303"/>
      <c r="B1981" s="304"/>
      <c r="C1981" s="305"/>
      <c r="D1981" s="306"/>
      <c r="E1981" s="306"/>
      <c r="F1981" s="255"/>
      <c r="G1981" s="256"/>
      <c r="H1981" s="256"/>
      <c r="I1981" s="200"/>
      <c r="J1981" s="347"/>
      <c r="K1981" s="200"/>
      <c r="L1981" s="200"/>
      <c r="M1981" s="308"/>
      <c r="N1981" s="308"/>
      <c r="O1981" s="348"/>
      <c r="P1981" s="309"/>
      <c r="Q1981" s="310"/>
      <c r="R1981" s="257"/>
      <c r="S1981" s="258"/>
      <c r="T1981" s="258"/>
      <c r="U1981" s="311"/>
      <c r="V1981" s="259"/>
      <c r="W1981" s="256"/>
      <c r="X1981" s="256"/>
      <c r="Y1981" s="256"/>
      <c r="Z1981" s="256"/>
      <c r="AA1981" s="310"/>
      <c r="AB1981" s="200"/>
      <c r="AC1981" s="312"/>
      <c r="AD1981" s="313"/>
      <c r="AE1981" s="51"/>
      <c r="AF1981" s="314"/>
      <c r="AG1981" s="315"/>
      <c r="AH1981" s="309"/>
      <c r="AI1981" s="28"/>
      <c r="AJ1981" s="28"/>
      <c r="AK1981" s="28"/>
      <c r="AL1981" s="28"/>
      <c r="AM1981" s="12"/>
      <c r="AN1981" s="12"/>
      <c r="AO1981" s="12"/>
      <c r="AP1981" s="12"/>
      <c r="AQ1981" s="12"/>
      <c r="AR1981" s="13"/>
      <c r="AS1981" s="14"/>
    </row>
    <row r="1982" spans="1:45" s="16" customFormat="1" ht="30.95" customHeight="1" x14ac:dyDescent="0.2">
      <c r="A1982" s="303"/>
      <c r="B1982" s="304"/>
      <c r="C1982" s="305"/>
      <c r="D1982" s="306"/>
      <c r="E1982" s="306"/>
      <c r="F1982" s="255"/>
      <c r="G1982" s="256"/>
      <c r="H1982" s="256"/>
      <c r="I1982" s="200"/>
      <c r="J1982" s="347"/>
      <c r="K1982" s="200"/>
      <c r="L1982" s="200"/>
      <c r="M1982" s="308"/>
      <c r="N1982" s="308"/>
      <c r="O1982" s="348"/>
      <c r="P1982" s="309"/>
      <c r="Q1982" s="310"/>
      <c r="R1982" s="257"/>
      <c r="S1982" s="258"/>
      <c r="T1982" s="258"/>
      <c r="U1982" s="311"/>
      <c r="V1982" s="259"/>
      <c r="W1982" s="256"/>
      <c r="X1982" s="256"/>
      <c r="Y1982" s="256"/>
      <c r="Z1982" s="256"/>
      <c r="AA1982" s="310"/>
      <c r="AB1982" s="200"/>
      <c r="AC1982" s="312"/>
      <c r="AD1982" s="313"/>
      <c r="AE1982" s="51"/>
      <c r="AF1982" s="314"/>
      <c r="AG1982" s="315"/>
      <c r="AH1982" s="309"/>
      <c r="AI1982" s="28"/>
      <c r="AJ1982" s="28"/>
      <c r="AK1982" s="28"/>
      <c r="AL1982" s="28"/>
      <c r="AM1982" s="12"/>
      <c r="AN1982" s="12"/>
      <c r="AO1982" s="12"/>
      <c r="AP1982" s="12"/>
      <c r="AQ1982" s="12"/>
      <c r="AR1982" s="13"/>
      <c r="AS1982" s="14"/>
    </row>
    <row r="1983" spans="1:45" s="16" customFormat="1" ht="30.95" customHeight="1" x14ac:dyDescent="0.2">
      <c r="A1983" s="303"/>
      <c r="B1983" s="304"/>
      <c r="C1983" s="305"/>
      <c r="D1983" s="306"/>
      <c r="E1983" s="306"/>
      <c r="F1983" s="255"/>
      <c r="G1983" s="256"/>
      <c r="H1983" s="256"/>
      <c r="I1983" s="200"/>
      <c r="J1983" s="347"/>
      <c r="K1983" s="200"/>
      <c r="L1983" s="200"/>
      <c r="M1983" s="308"/>
      <c r="N1983" s="308"/>
      <c r="O1983" s="348"/>
      <c r="P1983" s="309"/>
      <c r="Q1983" s="310"/>
      <c r="R1983" s="257"/>
      <c r="S1983" s="258"/>
      <c r="T1983" s="258"/>
      <c r="U1983" s="311"/>
      <c r="V1983" s="259"/>
      <c r="W1983" s="256"/>
      <c r="X1983" s="256"/>
      <c r="Y1983" s="256"/>
      <c r="Z1983" s="256"/>
      <c r="AA1983" s="310"/>
      <c r="AB1983" s="200"/>
      <c r="AC1983" s="312"/>
      <c r="AD1983" s="313"/>
      <c r="AE1983" s="51"/>
      <c r="AF1983" s="314"/>
      <c r="AG1983" s="315"/>
      <c r="AH1983" s="309"/>
      <c r="AI1983" s="28"/>
      <c r="AJ1983" s="28"/>
      <c r="AK1983" s="28"/>
      <c r="AL1983" s="28"/>
      <c r="AM1983" s="12"/>
      <c r="AN1983" s="12"/>
      <c r="AO1983" s="12"/>
      <c r="AP1983" s="12"/>
      <c r="AQ1983" s="12"/>
      <c r="AR1983" s="13"/>
      <c r="AS1983" s="14"/>
    </row>
    <row r="1984" spans="1:45" s="16" customFormat="1" ht="30.95" customHeight="1" x14ac:dyDescent="0.2">
      <c r="A1984" s="303"/>
      <c r="B1984" s="304"/>
      <c r="C1984" s="305"/>
      <c r="D1984" s="306"/>
      <c r="E1984" s="306"/>
      <c r="F1984" s="255"/>
      <c r="G1984" s="256"/>
      <c r="H1984" s="256"/>
      <c r="I1984" s="200"/>
      <c r="J1984" s="347"/>
      <c r="K1984" s="200"/>
      <c r="L1984" s="200"/>
      <c r="M1984" s="308"/>
      <c r="N1984" s="308"/>
      <c r="O1984" s="348"/>
      <c r="P1984" s="309"/>
      <c r="Q1984" s="310"/>
      <c r="R1984" s="257"/>
      <c r="S1984" s="258"/>
      <c r="T1984" s="258"/>
      <c r="U1984" s="311"/>
      <c r="V1984" s="259"/>
      <c r="W1984" s="256"/>
      <c r="X1984" s="256"/>
      <c r="Y1984" s="256"/>
      <c r="Z1984" s="256"/>
      <c r="AA1984" s="310"/>
      <c r="AB1984" s="200"/>
      <c r="AC1984" s="312"/>
      <c r="AD1984" s="313"/>
      <c r="AE1984" s="51"/>
      <c r="AF1984" s="314"/>
      <c r="AG1984" s="315"/>
      <c r="AH1984" s="309"/>
      <c r="AI1984" s="28"/>
      <c r="AJ1984" s="28"/>
      <c r="AK1984" s="28"/>
      <c r="AL1984" s="28"/>
      <c r="AM1984" s="12"/>
      <c r="AN1984" s="12"/>
      <c r="AO1984" s="12"/>
      <c r="AP1984" s="12"/>
      <c r="AQ1984" s="12"/>
      <c r="AR1984" s="13"/>
      <c r="AS1984" s="14"/>
    </row>
    <row r="1985" spans="1:45" s="16" customFormat="1" ht="30.95" customHeight="1" x14ac:dyDescent="0.2">
      <c r="A1985" s="303"/>
      <c r="B1985" s="304"/>
      <c r="C1985" s="305"/>
      <c r="D1985" s="306"/>
      <c r="E1985" s="306"/>
      <c r="F1985" s="255"/>
      <c r="G1985" s="256"/>
      <c r="H1985" s="256"/>
      <c r="I1985" s="200"/>
      <c r="J1985" s="347"/>
      <c r="K1985" s="200"/>
      <c r="L1985" s="200"/>
      <c r="M1985" s="308"/>
      <c r="N1985" s="308"/>
      <c r="O1985" s="348"/>
      <c r="P1985" s="309"/>
      <c r="Q1985" s="310"/>
      <c r="R1985" s="257"/>
      <c r="S1985" s="258"/>
      <c r="T1985" s="258"/>
      <c r="U1985" s="311"/>
      <c r="V1985" s="259"/>
      <c r="W1985" s="256"/>
      <c r="X1985" s="256"/>
      <c r="Y1985" s="256"/>
      <c r="Z1985" s="256"/>
      <c r="AA1985" s="310"/>
      <c r="AB1985" s="200"/>
      <c r="AC1985" s="312"/>
      <c r="AD1985" s="313"/>
      <c r="AE1985" s="51"/>
      <c r="AF1985" s="314"/>
      <c r="AG1985" s="315"/>
      <c r="AH1985" s="309"/>
      <c r="AI1985" s="28"/>
      <c r="AJ1985" s="28"/>
      <c r="AK1985" s="28"/>
      <c r="AL1985" s="28"/>
      <c r="AM1985" s="12"/>
      <c r="AN1985" s="12"/>
      <c r="AO1985" s="12"/>
      <c r="AP1985" s="12"/>
      <c r="AQ1985" s="12"/>
      <c r="AR1985" s="13"/>
      <c r="AS1985" s="14"/>
    </row>
    <row r="1986" spans="1:45" s="16" customFormat="1" ht="30.95" customHeight="1" x14ac:dyDescent="0.2">
      <c r="A1986" s="303"/>
      <c r="B1986" s="304"/>
      <c r="C1986" s="305"/>
      <c r="D1986" s="306"/>
      <c r="E1986" s="306"/>
      <c r="F1986" s="255"/>
      <c r="G1986" s="256"/>
      <c r="H1986" s="256"/>
      <c r="I1986" s="200"/>
      <c r="J1986" s="347"/>
      <c r="K1986" s="200"/>
      <c r="L1986" s="200"/>
      <c r="M1986" s="308"/>
      <c r="N1986" s="308"/>
      <c r="O1986" s="348"/>
      <c r="P1986" s="309"/>
      <c r="Q1986" s="310"/>
      <c r="R1986" s="257"/>
      <c r="S1986" s="258"/>
      <c r="T1986" s="258"/>
      <c r="U1986" s="311"/>
      <c r="V1986" s="259"/>
      <c r="W1986" s="256"/>
      <c r="X1986" s="256"/>
      <c r="Y1986" s="256"/>
      <c r="Z1986" s="256"/>
      <c r="AA1986" s="310"/>
      <c r="AB1986" s="200"/>
      <c r="AC1986" s="312"/>
      <c r="AD1986" s="313"/>
      <c r="AE1986" s="51"/>
      <c r="AF1986" s="314"/>
      <c r="AG1986" s="315"/>
      <c r="AH1986" s="309"/>
      <c r="AI1986" s="28"/>
      <c r="AJ1986" s="28"/>
      <c r="AK1986" s="28"/>
      <c r="AL1986" s="28"/>
      <c r="AM1986" s="12"/>
      <c r="AN1986" s="12"/>
      <c r="AO1986" s="12"/>
      <c r="AP1986" s="12"/>
      <c r="AQ1986" s="12"/>
      <c r="AR1986" s="13"/>
      <c r="AS1986" s="14"/>
    </row>
    <row r="1987" spans="1:45" s="16" customFormat="1" ht="30.95" customHeight="1" x14ac:dyDescent="0.2">
      <c r="A1987" s="303"/>
      <c r="B1987" s="304"/>
      <c r="C1987" s="305"/>
      <c r="D1987" s="306"/>
      <c r="E1987" s="306"/>
      <c r="F1987" s="255"/>
      <c r="G1987" s="256"/>
      <c r="H1987" s="256"/>
      <c r="I1987" s="200"/>
      <c r="J1987" s="347"/>
      <c r="K1987" s="200"/>
      <c r="L1987" s="200"/>
      <c r="M1987" s="308"/>
      <c r="N1987" s="308"/>
      <c r="O1987" s="348"/>
      <c r="P1987" s="309"/>
      <c r="Q1987" s="310"/>
      <c r="R1987" s="257"/>
      <c r="S1987" s="258"/>
      <c r="T1987" s="258"/>
      <c r="U1987" s="311"/>
      <c r="V1987" s="259"/>
      <c r="W1987" s="256"/>
      <c r="X1987" s="256"/>
      <c r="Y1987" s="256"/>
      <c r="Z1987" s="256"/>
      <c r="AA1987" s="310"/>
      <c r="AB1987" s="200"/>
      <c r="AC1987" s="312"/>
      <c r="AD1987" s="313"/>
      <c r="AE1987" s="51"/>
      <c r="AF1987" s="314"/>
      <c r="AG1987" s="315"/>
      <c r="AH1987" s="309"/>
      <c r="AI1987" s="28"/>
      <c r="AJ1987" s="28"/>
      <c r="AK1987" s="28"/>
      <c r="AL1987" s="28"/>
      <c r="AM1987" s="12"/>
      <c r="AN1987" s="12"/>
      <c r="AO1987" s="12"/>
      <c r="AP1987" s="12"/>
      <c r="AQ1987" s="12"/>
      <c r="AR1987" s="13"/>
      <c r="AS1987" s="14"/>
    </row>
    <row r="1988" spans="1:45" s="16" customFormat="1" ht="30.95" customHeight="1" x14ac:dyDescent="0.2">
      <c r="A1988" s="303"/>
      <c r="B1988" s="304"/>
      <c r="C1988" s="305"/>
      <c r="D1988" s="306"/>
      <c r="E1988" s="306"/>
      <c r="F1988" s="255"/>
      <c r="G1988" s="256"/>
      <c r="H1988" s="256"/>
      <c r="I1988" s="200"/>
      <c r="J1988" s="347"/>
      <c r="K1988" s="200"/>
      <c r="L1988" s="200"/>
      <c r="M1988" s="308"/>
      <c r="N1988" s="308"/>
      <c r="O1988" s="348"/>
      <c r="P1988" s="309"/>
      <c r="Q1988" s="310"/>
      <c r="R1988" s="257"/>
      <c r="S1988" s="258"/>
      <c r="T1988" s="258"/>
      <c r="U1988" s="311"/>
      <c r="V1988" s="259"/>
      <c r="W1988" s="256"/>
      <c r="X1988" s="256"/>
      <c r="Y1988" s="256"/>
      <c r="Z1988" s="256"/>
      <c r="AA1988" s="310"/>
      <c r="AB1988" s="200"/>
      <c r="AC1988" s="312"/>
      <c r="AD1988" s="313"/>
      <c r="AE1988" s="51"/>
      <c r="AF1988" s="314"/>
      <c r="AG1988" s="315"/>
      <c r="AH1988" s="309"/>
      <c r="AI1988" s="28"/>
      <c r="AJ1988" s="28"/>
      <c r="AK1988" s="28"/>
      <c r="AL1988" s="28"/>
      <c r="AM1988" s="12"/>
      <c r="AN1988" s="12"/>
      <c r="AO1988" s="12"/>
      <c r="AP1988" s="12"/>
      <c r="AQ1988" s="12"/>
      <c r="AR1988" s="13"/>
      <c r="AS1988" s="14"/>
    </row>
    <row r="1989" spans="1:45" s="16" customFormat="1" ht="30.95" customHeight="1" x14ac:dyDescent="0.2">
      <c r="A1989" s="303"/>
      <c r="B1989" s="304"/>
      <c r="C1989" s="305"/>
      <c r="D1989" s="306"/>
      <c r="E1989" s="306"/>
      <c r="F1989" s="255"/>
      <c r="G1989" s="256"/>
      <c r="H1989" s="256"/>
      <c r="I1989" s="200"/>
      <c r="J1989" s="347"/>
      <c r="K1989" s="200"/>
      <c r="L1989" s="200"/>
      <c r="M1989" s="308"/>
      <c r="N1989" s="308"/>
      <c r="O1989" s="348"/>
      <c r="P1989" s="309"/>
      <c r="Q1989" s="310"/>
      <c r="R1989" s="257"/>
      <c r="S1989" s="258"/>
      <c r="T1989" s="258"/>
      <c r="U1989" s="311"/>
      <c r="V1989" s="259"/>
      <c r="W1989" s="256"/>
      <c r="X1989" s="256"/>
      <c r="Y1989" s="256"/>
      <c r="Z1989" s="256"/>
      <c r="AA1989" s="310"/>
      <c r="AB1989" s="200"/>
      <c r="AC1989" s="312"/>
      <c r="AD1989" s="313"/>
      <c r="AE1989" s="51"/>
      <c r="AF1989" s="314"/>
      <c r="AG1989" s="315"/>
      <c r="AH1989" s="309"/>
      <c r="AI1989" s="28"/>
      <c r="AJ1989" s="28"/>
      <c r="AK1989" s="28"/>
      <c r="AL1989" s="28"/>
      <c r="AM1989" s="12"/>
      <c r="AN1989" s="12"/>
      <c r="AO1989" s="12"/>
      <c r="AP1989" s="12"/>
      <c r="AQ1989" s="12"/>
      <c r="AR1989" s="13"/>
      <c r="AS1989" s="14"/>
    </row>
    <row r="1990" spans="1:45" s="16" customFormat="1" ht="30.95" customHeight="1" x14ac:dyDescent="0.2">
      <c r="A1990" s="303"/>
      <c r="B1990" s="304"/>
      <c r="C1990" s="305"/>
      <c r="D1990" s="306"/>
      <c r="E1990" s="306"/>
      <c r="F1990" s="255"/>
      <c r="G1990" s="256"/>
      <c r="H1990" s="256"/>
      <c r="I1990" s="200"/>
      <c r="J1990" s="347"/>
      <c r="K1990" s="200"/>
      <c r="L1990" s="200"/>
      <c r="M1990" s="308"/>
      <c r="N1990" s="308"/>
      <c r="O1990" s="348"/>
      <c r="P1990" s="309"/>
      <c r="Q1990" s="310"/>
      <c r="R1990" s="257"/>
      <c r="S1990" s="258"/>
      <c r="T1990" s="258"/>
      <c r="U1990" s="311"/>
      <c r="V1990" s="259"/>
      <c r="W1990" s="256"/>
      <c r="X1990" s="256"/>
      <c r="Y1990" s="256"/>
      <c r="Z1990" s="256"/>
      <c r="AA1990" s="310"/>
      <c r="AB1990" s="200"/>
      <c r="AC1990" s="312"/>
      <c r="AD1990" s="313"/>
      <c r="AE1990" s="51"/>
      <c r="AF1990" s="314"/>
      <c r="AG1990" s="315"/>
      <c r="AH1990" s="309"/>
      <c r="AI1990" s="28"/>
      <c r="AJ1990" s="28"/>
      <c r="AK1990" s="28"/>
      <c r="AL1990" s="28"/>
      <c r="AM1990" s="12"/>
      <c r="AN1990" s="12"/>
      <c r="AO1990" s="12"/>
      <c r="AP1990" s="12"/>
      <c r="AQ1990" s="12"/>
      <c r="AR1990" s="13"/>
      <c r="AS1990" s="14"/>
    </row>
    <row r="1991" spans="1:45" s="16" customFormat="1" ht="30.95" customHeight="1" x14ac:dyDescent="0.2">
      <c r="A1991" s="303"/>
      <c r="B1991" s="304"/>
      <c r="C1991" s="305"/>
      <c r="D1991" s="306"/>
      <c r="E1991" s="306"/>
      <c r="F1991" s="255"/>
      <c r="G1991" s="256"/>
      <c r="H1991" s="256"/>
      <c r="I1991" s="200"/>
      <c r="J1991" s="347"/>
      <c r="K1991" s="200"/>
      <c r="L1991" s="200"/>
      <c r="M1991" s="308"/>
      <c r="N1991" s="308"/>
      <c r="O1991" s="348"/>
      <c r="P1991" s="309"/>
      <c r="Q1991" s="310"/>
      <c r="R1991" s="257"/>
      <c r="S1991" s="258"/>
      <c r="T1991" s="258"/>
      <c r="U1991" s="311"/>
      <c r="V1991" s="259"/>
      <c r="W1991" s="256"/>
      <c r="X1991" s="256"/>
      <c r="Y1991" s="256"/>
      <c r="Z1991" s="256"/>
      <c r="AA1991" s="310"/>
      <c r="AB1991" s="200"/>
      <c r="AC1991" s="312"/>
      <c r="AD1991" s="313"/>
      <c r="AE1991" s="51"/>
      <c r="AF1991" s="314"/>
      <c r="AG1991" s="315"/>
      <c r="AH1991" s="309"/>
      <c r="AI1991" s="28"/>
      <c r="AJ1991" s="28"/>
      <c r="AK1991" s="28"/>
      <c r="AL1991" s="28"/>
      <c r="AM1991" s="12"/>
      <c r="AN1991" s="12"/>
      <c r="AO1991" s="12"/>
      <c r="AP1991" s="12"/>
      <c r="AQ1991" s="12"/>
      <c r="AR1991" s="13"/>
      <c r="AS1991" s="14"/>
    </row>
    <row r="1992" spans="1:45" s="16" customFormat="1" ht="30.95" customHeight="1" x14ac:dyDescent="0.2">
      <c r="A1992" s="303"/>
      <c r="B1992" s="304"/>
      <c r="C1992" s="305"/>
      <c r="D1992" s="306"/>
      <c r="E1992" s="306"/>
      <c r="F1992" s="255"/>
      <c r="G1992" s="256"/>
      <c r="H1992" s="256"/>
      <c r="I1992" s="200"/>
      <c r="J1992" s="347"/>
      <c r="K1992" s="200"/>
      <c r="L1992" s="200"/>
      <c r="M1992" s="308"/>
      <c r="N1992" s="308"/>
      <c r="O1992" s="348"/>
      <c r="P1992" s="309"/>
      <c r="Q1992" s="310"/>
      <c r="R1992" s="257"/>
      <c r="S1992" s="258"/>
      <c r="T1992" s="258"/>
      <c r="U1992" s="311"/>
      <c r="V1992" s="259"/>
      <c r="W1992" s="256"/>
      <c r="X1992" s="256"/>
      <c r="Y1992" s="256"/>
      <c r="Z1992" s="256"/>
      <c r="AA1992" s="310"/>
      <c r="AB1992" s="200"/>
      <c r="AC1992" s="312"/>
      <c r="AD1992" s="313"/>
      <c r="AE1992" s="51"/>
      <c r="AF1992" s="314"/>
      <c r="AG1992" s="315"/>
      <c r="AH1992" s="309"/>
      <c r="AI1992" s="28"/>
      <c r="AJ1992" s="28"/>
      <c r="AK1992" s="28"/>
      <c r="AL1992" s="28"/>
      <c r="AM1992" s="12"/>
      <c r="AN1992" s="12"/>
      <c r="AO1992" s="12"/>
      <c r="AP1992" s="12"/>
      <c r="AQ1992" s="12"/>
      <c r="AR1992" s="13"/>
      <c r="AS1992" s="14"/>
    </row>
    <row r="1993" spans="1:45" s="16" customFormat="1" ht="30.95" customHeight="1" x14ac:dyDescent="0.2">
      <c r="A1993" s="303"/>
      <c r="B1993" s="304"/>
      <c r="C1993" s="305"/>
      <c r="D1993" s="306"/>
      <c r="E1993" s="306"/>
      <c r="F1993" s="255"/>
      <c r="G1993" s="256"/>
      <c r="H1993" s="256"/>
      <c r="I1993" s="200"/>
      <c r="J1993" s="347"/>
      <c r="K1993" s="200"/>
      <c r="L1993" s="200"/>
      <c r="M1993" s="308"/>
      <c r="N1993" s="308"/>
      <c r="O1993" s="348"/>
      <c r="P1993" s="309"/>
      <c r="Q1993" s="310"/>
      <c r="R1993" s="257"/>
      <c r="S1993" s="258"/>
      <c r="T1993" s="258"/>
      <c r="U1993" s="311"/>
      <c r="V1993" s="259"/>
      <c r="W1993" s="256"/>
      <c r="X1993" s="256"/>
      <c r="Y1993" s="256"/>
      <c r="Z1993" s="256"/>
      <c r="AA1993" s="310"/>
      <c r="AB1993" s="200"/>
      <c r="AC1993" s="312"/>
      <c r="AD1993" s="313"/>
      <c r="AE1993" s="51"/>
      <c r="AF1993" s="314"/>
      <c r="AG1993" s="315"/>
      <c r="AH1993" s="309"/>
      <c r="AI1993" s="28"/>
      <c r="AJ1993" s="28"/>
      <c r="AK1993" s="28"/>
      <c r="AL1993" s="28"/>
      <c r="AM1993" s="12"/>
      <c r="AN1993" s="12"/>
      <c r="AO1993" s="12"/>
      <c r="AP1993" s="12"/>
      <c r="AQ1993" s="12"/>
      <c r="AR1993" s="13"/>
      <c r="AS1993" s="14"/>
    </row>
    <row r="1994" spans="1:45" s="16" customFormat="1" ht="30.95" customHeight="1" x14ac:dyDescent="0.2">
      <c r="A1994" s="303"/>
      <c r="B1994" s="304"/>
      <c r="C1994" s="305"/>
      <c r="D1994" s="306"/>
      <c r="E1994" s="306"/>
      <c r="F1994" s="255"/>
      <c r="G1994" s="256"/>
      <c r="H1994" s="256"/>
      <c r="I1994" s="200"/>
      <c r="J1994" s="347"/>
      <c r="K1994" s="200"/>
      <c r="L1994" s="200"/>
      <c r="M1994" s="308"/>
      <c r="N1994" s="308"/>
      <c r="O1994" s="348"/>
      <c r="P1994" s="309"/>
      <c r="Q1994" s="310"/>
      <c r="R1994" s="257"/>
      <c r="S1994" s="258"/>
      <c r="T1994" s="258"/>
      <c r="U1994" s="311"/>
      <c r="V1994" s="259"/>
      <c r="W1994" s="256"/>
      <c r="X1994" s="256"/>
      <c r="Y1994" s="256"/>
      <c r="Z1994" s="256"/>
      <c r="AA1994" s="310"/>
      <c r="AB1994" s="200"/>
      <c r="AC1994" s="312"/>
      <c r="AD1994" s="313"/>
      <c r="AE1994" s="51"/>
      <c r="AF1994" s="314"/>
      <c r="AG1994" s="315"/>
      <c r="AH1994" s="309"/>
      <c r="AI1994" s="28"/>
      <c r="AJ1994" s="28"/>
      <c r="AK1994" s="28"/>
      <c r="AL1994" s="28"/>
      <c r="AM1994" s="12"/>
      <c r="AN1994" s="12"/>
      <c r="AO1994" s="12"/>
      <c r="AP1994" s="12"/>
      <c r="AQ1994" s="12"/>
      <c r="AR1994" s="13"/>
      <c r="AS1994" s="14"/>
    </row>
    <row r="1995" spans="1:45" s="16" customFormat="1" ht="30.95" customHeight="1" x14ac:dyDescent="0.2">
      <c r="A1995" s="303"/>
      <c r="B1995" s="304"/>
      <c r="C1995" s="305"/>
      <c r="D1995" s="306"/>
      <c r="E1995" s="306"/>
      <c r="F1995" s="255"/>
      <c r="G1995" s="256"/>
      <c r="H1995" s="256"/>
      <c r="I1995" s="200"/>
      <c r="J1995" s="347"/>
      <c r="K1995" s="200"/>
      <c r="L1995" s="200"/>
      <c r="M1995" s="308"/>
      <c r="N1995" s="308"/>
      <c r="O1995" s="348"/>
      <c r="P1995" s="309"/>
      <c r="Q1995" s="310"/>
      <c r="R1995" s="257"/>
      <c r="S1995" s="258"/>
      <c r="T1995" s="258"/>
      <c r="U1995" s="311"/>
      <c r="V1995" s="259"/>
      <c r="W1995" s="256"/>
      <c r="X1995" s="256"/>
      <c r="Y1995" s="256"/>
      <c r="Z1995" s="256"/>
      <c r="AA1995" s="310"/>
      <c r="AB1995" s="200"/>
      <c r="AC1995" s="312"/>
      <c r="AD1995" s="313"/>
      <c r="AE1995" s="51"/>
      <c r="AF1995" s="314"/>
      <c r="AG1995" s="315"/>
      <c r="AH1995" s="309"/>
      <c r="AI1995" s="28"/>
      <c r="AJ1995" s="28"/>
      <c r="AK1995" s="28"/>
      <c r="AL1995" s="28"/>
      <c r="AM1995" s="12"/>
      <c r="AN1995" s="12"/>
      <c r="AO1995" s="12"/>
      <c r="AP1995" s="12"/>
      <c r="AQ1995" s="12"/>
      <c r="AR1995" s="13"/>
      <c r="AS1995" s="14"/>
    </row>
    <row r="1996" spans="1:45" s="16" customFormat="1" ht="30.95" customHeight="1" x14ac:dyDescent="0.2">
      <c r="A1996" s="303"/>
      <c r="B1996" s="304"/>
      <c r="C1996" s="305"/>
      <c r="D1996" s="306"/>
      <c r="E1996" s="306"/>
      <c r="F1996" s="255"/>
      <c r="G1996" s="256"/>
      <c r="H1996" s="256"/>
      <c r="I1996" s="200"/>
      <c r="J1996" s="347"/>
      <c r="K1996" s="200"/>
      <c r="L1996" s="200"/>
      <c r="M1996" s="308"/>
      <c r="N1996" s="308"/>
      <c r="O1996" s="348"/>
      <c r="P1996" s="309"/>
      <c r="Q1996" s="310"/>
      <c r="R1996" s="257"/>
      <c r="S1996" s="258"/>
      <c r="T1996" s="258"/>
      <c r="U1996" s="311"/>
      <c r="V1996" s="259"/>
      <c r="W1996" s="256"/>
      <c r="X1996" s="256"/>
      <c r="Y1996" s="256"/>
      <c r="Z1996" s="256"/>
      <c r="AA1996" s="310"/>
      <c r="AB1996" s="200"/>
      <c r="AC1996" s="312"/>
      <c r="AD1996" s="313"/>
      <c r="AE1996" s="51"/>
      <c r="AF1996" s="314"/>
      <c r="AG1996" s="315"/>
      <c r="AH1996" s="309"/>
      <c r="AI1996" s="28"/>
      <c r="AJ1996" s="28"/>
      <c r="AK1996" s="28"/>
      <c r="AL1996" s="28"/>
      <c r="AM1996" s="12"/>
      <c r="AN1996" s="12"/>
      <c r="AO1996" s="12"/>
      <c r="AP1996" s="12"/>
      <c r="AQ1996" s="12"/>
      <c r="AR1996" s="13"/>
      <c r="AS1996" s="14"/>
    </row>
    <row r="1997" spans="1:45" s="16" customFormat="1" ht="30.95" customHeight="1" x14ac:dyDescent="0.2">
      <c r="A1997" s="303"/>
      <c r="B1997" s="304"/>
      <c r="C1997" s="305"/>
      <c r="D1997" s="306"/>
      <c r="E1997" s="306"/>
      <c r="F1997" s="255"/>
      <c r="G1997" s="256"/>
      <c r="H1997" s="256"/>
      <c r="I1997" s="200"/>
      <c r="J1997" s="347"/>
      <c r="K1997" s="200"/>
      <c r="L1997" s="200"/>
      <c r="M1997" s="308"/>
      <c r="N1997" s="308"/>
      <c r="O1997" s="348"/>
      <c r="P1997" s="309"/>
      <c r="Q1997" s="310"/>
      <c r="R1997" s="257"/>
      <c r="S1997" s="258"/>
      <c r="T1997" s="258"/>
      <c r="U1997" s="311"/>
      <c r="V1997" s="259"/>
      <c r="W1997" s="256"/>
      <c r="X1997" s="256"/>
      <c r="Y1997" s="256"/>
      <c r="Z1997" s="256"/>
      <c r="AA1997" s="310"/>
      <c r="AB1997" s="200"/>
      <c r="AC1997" s="312"/>
      <c r="AD1997" s="313"/>
      <c r="AE1997" s="51"/>
      <c r="AF1997" s="314"/>
      <c r="AG1997" s="315"/>
      <c r="AH1997" s="309"/>
      <c r="AI1997" s="28"/>
      <c r="AJ1997" s="28"/>
      <c r="AK1997" s="28"/>
      <c r="AL1997" s="28"/>
      <c r="AM1997" s="12"/>
      <c r="AN1997" s="12"/>
      <c r="AO1997" s="12"/>
      <c r="AP1997" s="12"/>
      <c r="AQ1997" s="12"/>
      <c r="AR1997" s="13"/>
      <c r="AS1997" s="14"/>
    </row>
    <row r="1998" spans="1:45" s="16" customFormat="1" ht="30.95" customHeight="1" x14ac:dyDescent="0.2">
      <c r="A1998" s="303"/>
      <c r="B1998" s="304"/>
      <c r="C1998" s="305"/>
      <c r="D1998" s="306"/>
      <c r="E1998" s="306"/>
      <c r="F1998" s="255"/>
      <c r="G1998" s="256"/>
      <c r="H1998" s="256"/>
      <c r="I1998" s="200"/>
      <c r="J1998" s="347"/>
      <c r="K1998" s="200"/>
      <c r="L1998" s="200"/>
      <c r="M1998" s="308"/>
      <c r="N1998" s="308"/>
      <c r="O1998" s="348"/>
      <c r="P1998" s="309"/>
      <c r="Q1998" s="310"/>
      <c r="R1998" s="257"/>
      <c r="S1998" s="258"/>
      <c r="T1998" s="258"/>
      <c r="U1998" s="311"/>
      <c r="V1998" s="259"/>
      <c r="W1998" s="256"/>
      <c r="X1998" s="256"/>
      <c r="Y1998" s="256"/>
      <c r="Z1998" s="256"/>
      <c r="AA1998" s="310"/>
      <c r="AB1998" s="200"/>
      <c r="AC1998" s="312"/>
      <c r="AD1998" s="313"/>
      <c r="AE1998" s="51"/>
      <c r="AF1998" s="314"/>
      <c r="AG1998" s="315"/>
      <c r="AH1998" s="309"/>
      <c r="AI1998" s="28"/>
      <c r="AJ1998" s="28"/>
      <c r="AK1998" s="28"/>
      <c r="AL1998" s="28"/>
      <c r="AM1998" s="12"/>
      <c r="AN1998" s="12"/>
      <c r="AO1998" s="12"/>
      <c r="AP1998" s="12"/>
      <c r="AQ1998" s="12"/>
      <c r="AR1998" s="13"/>
      <c r="AS1998" s="14"/>
    </row>
    <row r="1999" spans="1:45" s="16" customFormat="1" ht="30.95" customHeight="1" x14ac:dyDescent="0.2">
      <c r="A1999" s="303"/>
      <c r="B1999" s="304"/>
      <c r="C1999" s="305"/>
      <c r="D1999" s="306"/>
      <c r="E1999" s="306"/>
      <c r="F1999" s="255"/>
      <c r="G1999" s="256"/>
      <c r="H1999" s="256"/>
      <c r="I1999" s="200"/>
      <c r="J1999" s="347"/>
      <c r="K1999" s="200"/>
      <c r="L1999" s="200"/>
      <c r="M1999" s="308"/>
      <c r="N1999" s="308"/>
      <c r="O1999" s="348"/>
      <c r="P1999" s="309"/>
      <c r="Q1999" s="310"/>
      <c r="R1999" s="257"/>
      <c r="S1999" s="258"/>
      <c r="T1999" s="258"/>
      <c r="U1999" s="311"/>
      <c r="V1999" s="259"/>
      <c r="W1999" s="256"/>
      <c r="X1999" s="256"/>
      <c r="Y1999" s="256"/>
      <c r="Z1999" s="256"/>
      <c r="AA1999" s="310"/>
      <c r="AB1999" s="200"/>
      <c r="AC1999" s="312"/>
      <c r="AD1999" s="313"/>
      <c r="AE1999" s="51"/>
      <c r="AF1999" s="314"/>
      <c r="AG1999" s="315"/>
      <c r="AH1999" s="309"/>
      <c r="AI1999" s="28"/>
      <c r="AJ1999" s="28"/>
      <c r="AK1999" s="28"/>
      <c r="AL1999" s="28"/>
      <c r="AM1999" s="12"/>
      <c r="AN1999" s="12"/>
      <c r="AO1999" s="12"/>
      <c r="AP1999" s="12"/>
      <c r="AQ1999" s="12"/>
      <c r="AR1999" s="13"/>
      <c r="AS1999" s="14"/>
    </row>
    <row r="2000" spans="1:45" s="16" customFormat="1" ht="30.95" customHeight="1" x14ac:dyDescent="0.2">
      <c r="A2000" s="303"/>
      <c r="B2000" s="304"/>
      <c r="C2000" s="305"/>
      <c r="D2000" s="306"/>
      <c r="E2000" s="306"/>
      <c r="F2000" s="255"/>
      <c r="G2000" s="256"/>
      <c r="H2000" s="256"/>
      <c r="I2000" s="200"/>
      <c r="J2000" s="347"/>
      <c r="K2000" s="200"/>
      <c r="L2000" s="200"/>
      <c r="M2000" s="308"/>
      <c r="N2000" s="308"/>
      <c r="O2000" s="348"/>
      <c r="P2000" s="309"/>
      <c r="Q2000" s="310"/>
      <c r="R2000" s="257"/>
      <c r="S2000" s="258"/>
      <c r="T2000" s="258"/>
      <c r="U2000" s="311"/>
      <c r="V2000" s="259"/>
      <c r="W2000" s="256"/>
      <c r="X2000" s="256"/>
      <c r="Y2000" s="256"/>
      <c r="Z2000" s="256"/>
      <c r="AA2000" s="310"/>
      <c r="AB2000" s="200"/>
      <c r="AC2000" s="312"/>
      <c r="AD2000" s="313"/>
      <c r="AE2000" s="51"/>
      <c r="AF2000" s="314"/>
      <c r="AG2000" s="315"/>
      <c r="AH2000" s="309"/>
      <c r="AI2000" s="28"/>
      <c r="AJ2000" s="28"/>
      <c r="AK2000" s="28"/>
      <c r="AL2000" s="28"/>
      <c r="AM2000" s="12"/>
      <c r="AN2000" s="12"/>
      <c r="AO2000" s="12"/>
      <c r="AP2000" s="12"/>
      <c r="AQ2000" s="12"/>
      <c r="AR2000" s="13"/>
      <c r="AS2000" s="14"/>
    </row>
    <row r="2001" spans="1:45" s="16" customFormat="1" ht="30.95" customHeight="1" x14ac:dyDescent="0.2">
      <c r="A2001" s="303"/>
      <c r="B2001" s="304"/>
      <c r="C2001" s="305"/>
      <c r="D2001" s="306"/>
      <c r="E2001" s="306"/>
      <c r="F2001" s="255"/>
      <c r="G2001" s="256"/>
      <c r="H2001" s="256"/>
      <c r="I2001" s="200"/>
      <c r="J2001" s="347"/>
      <c r="K2001" s="200"/>
      <c r="L2001" s="200"/>
      <c r="M2001" s="308"/>
      <c r="N2001" s="308"/>
      <c r="O2001" s="348"/>
      <c r="P2001" s="309"/>
      <c r="Q2001" s="310"/>
      <c r="R2001" s="257"/>
      <c r="S2001" s="258"/>
      <c r="T2001" s="258"/>
      <c r="U2001" s="311"/>
      <c r="V2001" s="259"/>
      <c r="W2001" s="256"/>
      <c r="X2001" s="256"/>
      <c r="Y2001" s="256"/>
      <c r="Z2001" s="256"/>
      <c r="AA2001" s="310"/>
      <c r="AB2001" s="200"/>
      <c r="AC2001" s="312"/>
      <c r="AD2001" s="313"/>
      <c r="AE2001" s="51"/>
      <c r="AF2001" s="314"/>
      <c r="AG2001" s="315"/>
      <c r="AH2001" s="309"/>
      <c r="AI2001" s="28"/>
      <c r="AJ2001" s="28"/>
      <c r="AK2001" s="28"/>
      <c r="AL2001" s="28"/>
      <c r="AM2001" s="12"/>
      <c r="AN2001" s="12"/>
      <c r="AO2001" s="12"/>
      <c r="AP2001" s="12"/>
      <c r="AQ2001" s="12"/>
      <c r="AR2001" s="13"/>
      <c r="AS2001" s="14"/>
    </row>
    <row r="2002" spans="1:45" s="16" customFormat="1" ht="30.95" customHeight="1" x14ac:dyDescent="0.2">
      <c r="A2002" s="303"/>
      <c r="B2002" s="304"/>
      <c r="C2002" s="305"/>
      <c r="D2002" s="306"/>
      <c r="E2002" s="306"/>
      <c r="F2002" s="255"/>
      <c r="G2002" s="256"/>
      <c r="H2002" s="256"/>
      <c r="I2002" s="200"/>
      <c r="J2002" s="347"/>
      <c r="K2002" s="200"/>
      <c r="L2002" s="200"/>
      <c r="M2002" s="308"/>
      <c r="N2002" s="308"/>
      <c r="O2002" s="348"/>
      <c r="P2002" s="309"/>
      <c r="Q2002" s="310"/>
      <c r="R2002" s="257"/>
      <c r="S2002" s="258"/>
      <c r="T2002" s="258"/>
      <c r="U2002" s="311"/>
      <c r="V2002" s="259"/>
      <c r="W2002" s="256"/>
      <c r="X2002" s="256"/>
      <c r="Y2002" s="256"/>
      <c r="Z2002" s="256"/>
      <c r="AA2002" s="310"/>
      <c r="AB2002" s="200"/>
      <c r="AC2002" s="312"/>
      <c r="AD2002" s="313"/>
      <c r="AE2002" s="51"/>
      <c r="AF2002" s="314"/>
      <c r="AG2002" s="315"/>
      <c r="AH2002" s="309"/>
      <c r="AI2002" s="28"/>
      <c r="AJ2002" s="28"/>
      <c r="AK2002" s="28"/>
      <c r="AL2002" s="28"/>
      <c r="AM2002" s="12"/>
      <c r="AN2002" s="12"/>
      <c r="AO2002" s="12"/>
      <c r="AP2002" s="12"/>
      <c r="AQ2002" s="12"/>
      <c r="AR2002" s="13"/>
      <c r="AS2002" s="14"/>
    </row>
    <row r="2003" spans="1:45" s="16" customFormat="1" ht="30.95" customHeight="1" x14ac:dyDescent="0.2">
      <c r="A2003" s="303"/>
      <c r="B2003" s="304"/>
      <c r="C2003" s="305"/>
      <c r="D2003" s="306"/>
      <c r="E2003" s="306"/>
      <c r="F2003" s="255"/>
      <c r="G2003" s="256"/>
      <c r="H2003" s="256"/>
      <c r="I2003" s="200"/>
      <c r="J2003" s="347"/>
      <c r="K2003" s="200"/>
      <c r="L2003" s="200"/>
      <c r="M2003" s="308"/>
      <c r="N2003" s="308"/>
      <c r="O2003" s="348"/>
      <c r="P2003" s="309"/>
      <c r="Q2003" s="310"/>
      <c r="R2003" s="257"/>
      <c r="S2003" s="258"/>
      <c r="T2003" s="258"/>
      <c r="U2003" s="311"/>
      <c r="V2003" s="259"/>
      <c r="W2003" s="256"/>
      <c r="X2003" s="256"/>
      <c r="Y2003" s="256"/>
      <c r="Z2003" s="256"/>
      <c r="AA2003" s="310"/>
      <c r="AB2003" s="200"/>
      <c r="AC2003" s="312"/>
      <c r="AD2003" s="313"/>
      <c r="AE2003" s="51"/>
      <c r="AF2003" s="314"/>
      <c r="AG2003" s="315"/>
      <c r="AH2003" s="309"/>
      <c r="AI2003" s="28"/>
      <c r="AJ2003" s="28"/>
      <c r="AK2003" s="28"/>
      <c r="AL2003" s="28"/>
      <c r="AM2003" s="12"/>
      <c r="AN2003" s="12"/>
      <c r="AO2003" s="12"/>
      <c r="AP2003" s="12"/>
      <c r="AQ2003" s="12"/>
      <c r="AR2003" s="13"/>
      <c r="AS2003" s="14"/>
    </row>
    <row r="2004" spans="1:45" s="16" customFormat="1" ht="30.95" customHeight="1" x14ac:dyDescent="0.2">
      <c r="A2004" s="303"/>
      <c r="B2004" s="304"/>
      <c r="C2004" s="305"/>
      <c r="D2004" s="306"/>
      <c r="E2004" s="306"/>
      <c r="F2004" s="255"/>
      <c r="G2004" s="256"/>
      <c r="H2004" s="256"/>
      <c r="I2004" s="200"/>
      <c r="J2004" s="347"/>
      <c r="K2004" s="200"/>
      <c r="L2004" s="200"/>
      <c r="M2004" s="308"/>
      <c r="N2004" s="308"/>
      <c r="O2004" s="348"/>
      <c r="P2004" s="309"/>
      <c r="Q2004" s="310"/>
      <c r="R2004" s="257"/>
      <c r="S2004" s="258"/>
      <c r="T2004" s="258"/>
      <c r="U2004" s="311"/>
      <c r="V2004" s="259"/>
      <c r="W2004" s="256"/>
      <c r="X2004" s="256"/>
      <c r="Y2004" s="256"/>
      <c r="Z2004" s="256"/>
      <c r="AA2004" s="310"/>
      <c r="AB2004" s="200"/>
      <c r="AC2004" s="312"/>
      <c r="AD2004" s="313"/>
      <c r="AE2004" s="51"/>
      <c r="AF2004" s="314"/>
      <c r="AG2004" s="315"/>
      <c r="AH2004" s="309"/>
      <c r="AI2004" s="28"/>
      <c r="AJ2004" s="28"/>
      <c r="AK2004" s="28"/>
      <c r="AL2004" s="28"/>
      <c r="AM2004" s="12"/>
      <c r="AN2004" s="12"/>
      <c r="AO2004" s="12"/>
      <c r="AP2004" s="12"/>
      <c r="AQ2004" s="12"/>
      <c r="AR2004" s="13"/>
      <c r="AS2004" s="14"/>
    </row>
    <row r="2005" spans="1:45" s="16" customFormat="1" ht="30.95" customHeight="1" x14ac:dyDescent="0.2">
      <c r="A2005" s="303"/>
      <c r="B2005" s="304"/>
      <c r="C2005" s="305"/>
      <c r="D2005" s="306"/>
      <c r="E2005" s="306"/>
      <c r="F2005" s="255"/>
      <c r="G2005" s="256"/>
      <c r="H2005" s="256"/>
      <c r="I2005" s="200"/>
      <c r="J2005" s="347"/>
      <c r="K2005" s="200"/>
      <c r="L2005" s="200"/>
      <c r="M2005" s="308"/>
      <c r="N2005" s="308"/>
      <c r="O2005" s="348"/>
      <c r="P2005" s="309"/>
      <c r="Q2005" s="310"/>
      <c r="R2005" s="257"/>
      <c r="S2005" s="258"/>
      <c r="T2005" s="258"/>
      <c r="U2005" s="311"/>
      <c r="V2005" s="259"/>
      <c r="W2005" s="256"/>
      <c r="X2005" s="256"/>
      <c r="Y2005" s="256"/>
      <c r="Z2005" s="256"/>
      <c r="AA2005" s="310"/>
      <c r="AB2005" s="200"/>
      <c r="AC2005" s="312"/>
      <c r="AD2005" s="313"/>
      <c r="AE2005" s="51"/>
      <c r="AF2005" s="314"/>
      <c r="AG2005" s="315"/>
      <c r="AH2005" s="309"/>
      <c r="AI2005" s="28"/>
      <c r="AJ2005" s="28"/>
      <c r="AK2005" s="28"/>
      <c r="AL2005" s="28"/>
      <c r="AM2005" s="12"/>
      <c r="AN2005" s="12"/>
      <c r="AO2005" s="12"/>
      <c r="AP2005" s="12"/>
      <c r="AQ2005" s="12"/>
      <c r="AR2005" s="13"/>
      <c r="AS2005" s="14"/>
    </row>
    <row r="2006" spans="1:45" s="16" customFormat="1" ht="30.95" customHeight="1" x14ac:dyDescent="0.2">
      <c r="A2006" s="303"/>
      <c r="B2006" s="304"/>
      <c r="C2006" s="305"/>
      <c r="D2006" s="306"/>
      <c r="E2006" s="306"/>
      <c r="F2006" s="255"/>
      <c r="G2006" s="256"/>
      <c r="H2006" s="256"/>
      <c r="I2006" s="200"/>
      <c r="J2006" s="347"/>
      <c r="K2006" s="200"/>
      <c r="L2006" s="200"/>
      <c r="M2006" s="308"/>
      <c r="N2006" s="308"/>
      <c r="O2006" s="348"/>
      <c r="P2006" s="309"/>
      <c r="Q2006" s="310"/>
      <c r="R2006" s="257"/>
      <c r="S2006" s="258"/>
      <c r="T2006" s="258"/>
      <c r="U2006" s="311"/>
      <c r="V2006" s="259"/>
      <c r="W2006" s="256"/>
      <c r="X2006" s="256"/>
      <c r="Y2006" s="256"/>
      <c r="Z2006" s="256"/>
      <c r="AA2006" s="310"/>
      <c r="AB2006" s="200"/>
      <c r="AC2006" s="312"/>
      <c r="AD2006" s="313"/>
      <c r="AE2006" s="51"/>
      <c r="AF2006" s="314"/>
      <c r="AG2006" s="315"/>
      <c r="AH2006" s="309"/>
      <c r="AI2006" s="28"/>
      <c r="AJ2006" s="28"/>
      <c r="AK2006" s="28"/>
      <c r="AL2006" s="28"/>
      <c r="AM2006" s="12"/>
      <c r="AN2006" s="12"/>
      <c r="AO2006" s="12"/>
      <c r="AP2006" s="12"/>
      <c r="AQ2006" s="12"/>
      <c r="AR2006" s="13"/>
      <c r="AS2006" s="14"/>
    </row>
    <row r="2007" spans="1:45" s="16" customFormat="1" ht="30.95" customHeight="1" x14ac:dyDescent="0.2">
      <c r="A2007" s="303"/>
      <c r="B2007" s="304"/>
      <c r="C2007" s="305"/>
      <c r="D2007" s="306"/>
      <c r="E2007" s="306"/>
      <c r="F2007" s="255"/>
      <c r="G2007" s="256"/>
      <c r="H2007" s="256"/>
      <c r="I2007" s="200"/>
      <c r="J2007" s="347"/>
      <c r="K2007" s="200"/>
      <c r="L2007" s="200"/>
      <c r="M2007" s="308"/>
      <c r="N2007" s="308"/>
      <c r="O2007" s="348"/>
      <c r="P2007" s="309"/>
      <c r="Q2007" s="310"/>
      <c r="R2007" s="257"/>
      <c r="S2007" s="258"/>
      <c r="T2007" s="258"/>
      <c r="U2007" s="311"/>
      <c r="V2007" s="259"/>
      <c r="W2007" s="256"/>
      <c r="X2007" s="256"/>
      <c r="Y2007" s="256"/>
      <c r="Z2007" s="256"/>
      <c r="AA2007" s="310"/>
      <c r="AB2007" s="200"/>
      <c r="AC2007" s="312"/>
      <c r="AD2007" s="313"/>
      <c r="AE2007" s="51"/>
      <c r="AF2007" s="314"/>
      <c r="AG2007" s="315"/>
      <c r="AH2007" s="309"/>
      <c r="AI2007" s="28"/>
      <c r="AJ2007" s="28"/>
      <c r="AK2007" s="28"/>
      <c r="AL2007" s="28"/>
      <c r="AM2007" s="12"/>
      <c r="AN2007" s="12"/>
      <c r="AO2007" s="12"/>
      <c r="AP2007" s="12"/>
      <c r="AQ2007" s="12"/>
      <c r="AR2007" s="13"/>
      <c r="AS2007" s="14"/>
    </row>
    <row r="2008" spans="1:45" s="16" customFormat="1" ht="30.95" customHeight="1" x14ac:dyDescent="0.2">
      <c r="A2008" s="303"/>
      <c r="B2008" s="304"/>
      <c r="C2008" s="305"/>
      <c r="D2008" s="306"/>
      <c r="E2008" s="306"/>
      <c r="F2008" s="255"/>
      <c r="G2008" s="256"/>
      <c r="H2008" s="256"/>
      <c r="I2008" s="200"/>
      <c r="J2008" s="347"/>
      <c r="K2008" s="200"/>
      <c r="L2008" s="200"/>
      <c r="M2008" s="308"/>
      <c r="N2008" s="308"/>
      <c r="O2008" s="348"/>
      <c r="P2008" s="309"/>
      <c r="Q2008" s="310"/>
      <c r="R2008" s="257"/>
      <c r="S2008" s="258"/>
      <c r="T2008" s="258"/>
      <c r="U2008" s="311"/>
      <c r="V2008" s="259"/>
      <c r="W2008" s="256"/>
      <c r="X2008" s="256"/>
      <c r="Y2008" s="256"/>
      <c r="Z2008" s="256"/>
      <c r="AA2008" s="310"/>
      <c r="AB2008" s="200"/>
      <c r="AC2008" s="312"/>
      <c r="AD2008" s="313"/>
      <c r="AE2008" s="51"/>
      <c r="AF2008" s="314"/>
      <c r="AG2008" s="315"/>
      <c r="AH2008" s="309"/>
      <c r="AI2008" s="28"/>
      <c r="AJ2008" s="28"/>
      <c r="AK2008" s="28"/>
      <c r="AL2008" s="28"/>
      <c r="AM2008" s="12"/>
      <c r="AN2008" s="12"/>
      <c r="AO2008" s="12"/>
      <c r="AP2008" s="12"/>
      <c r="AQ2008" s="12"/>
      <c r="AR2008" s="13"/>
      <c r="AS2008" s="14"/>
    </row>
    <row r="2009" spans="1:45" s="16" customFormat="1" ht="30.95" customHeight="1" x14ac:dyDescent="0.2">
      <c r="A2009" s="303"/>
      <c r="B2009" s="304"/>
      <c r="C2009" s="305"/>
      <c r="D2009" s="306"/>
      <c r="E2009" s="306"/>
      <c r="F2009" s="255"/>
      <c r="G2009" s="256"/>
      <c r="H2009" s="256"/>
      <c r="I2009" s="200"/>
      <c r="J2009" s="347"/>
      <c r="K2009" s="200"/>
      <c r="L2009" s="200"/>
      <c r="M2009" s="308"/>
      <c r="N2009" s="308"/>
      <c r="O2009" s="348"/>
      <c r="P2009" s="309"/>
      <c r="Q2009" s="310"/>
      <c r="R2009" s="257"/>
      <c r="S2009" s="258"/>
      <c r="T2009" s="258"/>
      <c r="U2009" s="311"/>
      <c r="V2009" s="259"/>
      <c r="W2009" s="256"/>
      <c r="X2009" s="256"/>
      <c r="Y2009" s="256"/>
      <c r="Z2009" s="256"/>
      <c r="AA2009" s="310"/>
      <c r="AB2009" s="200"/>
      <c r="AC2009" s="312"/>
      <c r="AD2009" s="313"/>
      <c r="AE2009" s="51"/>
      <c r="AF2009" s="314"/>
      <c r="AG2009" s="315"/>
      <c r="AH2009" s="309"/>
      <c r="AI2009" s="28"/>
      <c r="AJ2009" s="28"/>
      <c r="AK2009" s="28"/>
      <c r="AL2009" s="28"/>
      <c r="AM2009" s="12"/>
      <c r="AN2009" s="12"/>
      <c r="AO2009" s="12"/>
      <c r="AP2009" s="12"/>
      <c r="AQ2009" s="12"/>
      <c r="AR2009" s="13"/>
      <c r="AS2009" s="14"/>
    </row>
    <row r="2010" spans="1:45" s="16" customFormat="1" ht="30.95" customHeight="1" x14ac:dyDescent="0.2">
      <c r="A2010" s="303"/>
      <c r="B2010" s="304"/>
      <c r="C2010" s="305"/>
      <c r="D2010" s="306"/>
      <c r="E2010" s="306"/>
      <c r="F2010" s="255"/>
      <c r="G2010" s="256"/>
      <c r="H2010" s="256"/>
      <c r="I2010" s="200"/>
      <c r="J2010" s="347"/>
      <c r="K2010" s="200"/>
      <c r="L2010" s="200"/>
      <c r="M2010" s="308"/>
      <c r="N2010" s="308"/>
      <c r="O2010" s="348"/>
      <c r="P2010" s="309"/>
      <c r="Q2010" s="310"/>
      <c r="R2010" s="257"/>
      <c r="S2010" s="258"/>
      <c r="T2010" s="258"/>
      <c r="U2010" s="311"/>
      <c r="V2010" s="259"/>
      <c r="W2010" s="256"/>
      <c r="X2010" s="256"/>
      <c r="Y2010" s="256"/>
      <c r="Z2010" s="256"/>
      <c r="AA2010" s="310"/>
      <c r="AB2010" s="200"/>
      <c r="AC2010" s="312"/>
      <c r="AD2010" s="313"/>
      <c r="AE2010" s="51"/>
      <c r="AF2010" s="314"/>
      <c r="AG2010" s="315"/>
      <c r="AH2010" s="309"/>
      <c r="AI2010" s="28"/>
      <c r="AJ2010" s="28"/>
      <c r="AK2010" s="28"/>
      <c r="AL2010" s="28"/>
      <c r="AM2010" s="12"/>
      <c r="AN2010" s="12"/>
      <c r="AO2010" s="12"/>
      <c r="AP2010" s="12"/>
      <c r="AQ2010" s="12"/>
      <c r="AR2010" s="13"/>
      <c r="AS2010" s="14"/>
    </row>
    <row r="2011" spans="1:45" s="16" customFormat="1" ht="30.95" customHeight="1" x14ac:dyDescent="0.2">
      <c r="A2011" s="303"/>
      <c r="B2011" s="304"/>
      <c r="C2011" s="305"/>
      <c r="D2011" s="306"/>
      <c r="E2011" s="306"/>
      <c r="F2011" s="255"/>
      <c r="G2011" s="256"/>
      <c r="H2011" s="256"/>
      <c r="I2011" s="200"/>
      <c r="J2011" s="347"/>
      <c r="K2011" s="200"/>
      <c r="L2011" s="200"/>
      <c r="M2011" s="308"/>
      <c r="N2011" s="308"/>
      <c r="O2011" s="348"/>
      <c r="P2011" s="309"/>
      <c r="Q2011" s="310"/>
      <c r="R2011" s="257"/>
      <c r="S2011" s="258"/>
      <c r="T2011" s="258"/>
      <c r="U2011" s="311"/>
      <c r="V2011" s="259"/>
      <c r="W2011" s="256"/>
      <c r="X2011" s="256"/>
      <c r="Y2011" s="256"/>
      <c r="Z2011" s="256"/>
      <c r="AA2011" s="310"/>
      <c r="AB2011" s="200"/>
      <c r="AC2011" s="312"/>
      <c r="AD2011" s="313"/>
      <c r="AE2011" s="51"/>
      <c r="AF2011" s="314"/>
      <c r="AG2011" s="315"/>
      <c r="AH2011" s="309"/>
      <c r="AI2011" s="28"/>
      <c r="AJ2011" s="28"/>
      <c r="AK2011" s="28"/>
      <c r="AL2011" s="28"/>
      <c r="AM2011" s="12"/>
      <c r="AN2011" s="12"/>
      <c r="AO2011" s="12"/>
      <c r="AP2011" s="12"/>
      <c r="AQ2011" s="12"/>
      <c r="AR2011" s="13"/>
      <c r="AS2011" s="14"/>
    </row>
    <row r="2012" spans="1:45" s="16" customFormat="1" ht="30.95" customHeight="1" x14ac:dyDescent="0.2">
      <c r="A2012" s="303"/>
      <c r="B2012" s="304"/>
      <c r="C2012" s="305"/>
      <c r="D2012" s="306"/>
      <c r="E2012" s="306"/>
      <c r="F2012" s="255"/>
      <c r="G2012" s="256"/>
      <c r="H2012" s="256"/>
      <c r="I2012" s="200"/>
      <c r="J2012" s="347"/>
      <c r="K2012" s="200"/>
      <c r="L2012" s="200"/>
      <c r="M2012" s="308"/>
      <c r="N2012" s="308"/>
      <c r="O2012" s="348"/>
      <c r="P2012" s="309"/>
      <c r="Q2012" s="310"/>
      <c r="R2012" s="257"/>
      <c r="S2012" s="258"/>
      <c r="T2012" s="258"/>
      <c r="U2012" s="311"/>
      <c r="V2012" s="259"/>
      <c r="W2012" s="256"/>
      <c r="X2012" s="256"/>
      <c r="Y2012" s="256"/>
      <c r="Z2012" s="256"/>
      <c r="AA2012" s="310"/>
      <c r="AB2012" s="200"/>
      <c r="AC2012" s="312"/>
      <c r="AD2012" s="313"/>
      <c r="AE2012" s="51"/>
      <c r="AF2012" s="314"/>
      <c r="AG2012" s="315"/>
      <c r="AH2012" s="309"/>
      <c r="AI2012" s="28"/>
      <c r="AJ2012" s="28"/>
      <c r="AK2012" s="28"/>
      <c r="AL2012" s="28"/>
      <c r="AM2012" s="12"/>
      <c r="AN2012" s="12"/>
      <c r="AO2012" s="12"/>
      <c r="AP2012" s="12"/>
      <c r="AQ2012" s="12"/>
      <c r="AR2012" s="13"/>
      <c r="AS2012" s="14"/>
    </row>
    <row r="2013" spans="1:45" s="16" customFormat="1" ht="30.95" customHeight="1" x14ac:dyDescent="0.2">
      <c r="A2013" s="303"/>
      <c r="B2013" s="304"/>
      <c r="C2013" s="305"/>
      <c r="D2013" s="306"/>
      <c r="E2013" s="306"/>
      <c r="F2013" s="255"/>
      <c r="G2013" s="256"/>
      <c r="H2013" s="256"/>
      <c r="I2013" s="200"/>
      <c r="J2013" s="347"/>
      <c r="K2013" s="200"/>
      <c r="L2013" s="200"/>
      <c r="M2013" s="308"/>
      <c r="N2013" s="308"/>
      <c r="O2013" s="348"/>
      <c r="P2013" s="309"/>
      <c r="Q2013" s="310"/>
      <c r="R2013" s="257"/>
      <c r="S2013" s="258"/>
      <c r="T2013" s="258"/>
      <c r="U2013" s="311"/>
      <c r="V2013" s="259"/>
      <c r="W2013" s="256"/>
      <c r="X2013" s="256"/>
      <c r="Y2013" s="256"/>
      <c r="Z2013" s="256"/>
      <c r="AA2013" s="310"/>
      <c r="AB2013" s="200"/>
      <c r="AC2013" s="312"/>
      <c r="AD2013" s="313"/>
      <c r="AE2013" s="51"/>
      <c r="AF2013" s="314"/>
      <c r="AG2013" s="315"/>
      <c r="AH2013" s="309"/>
      <c r="AI2013" s="28"/>
      <c r="AJ2013" s="28"/>
      <c r="AK2013" s="28"/>
      <c r="AL2013" s="28"/>
      <c r="AM2013" s="12"/>
      <c r="AN2013" s="12"/>
      <c r="AO2013" s="12"/>
      <c r="AP2013" s="12"/>
      <c r="AQ2013" s="12"/>
      <c r="AR2013" s="13"/>
      <c r="AS2013" s="14"/>
    </row>
    <row r="2014" spans="1:45" s="16" customFormat="1" ht="30.95" customHeight="1" x14ac:dyDescent="0.2">
      <c r="A2014" s="303"/>
      <c r="B2014" s="304"/>
      <c r="C2014" s="305"/>
      <c r="D2014" s="306"/>
      <c r="E2014" s="306"/>
      <c r="F2014" s="255"/>
      <c r="G2014" s="256"/>
      <c r="H2014" s="256"/>
      <c r="I2014" s="200"/>
      <c r="J2014" s="347"/>
      <c r="K2014" s="200"/>
      <c r="L2014" s="200"/>
      <c r="M2014" s="308"/>
      <c r="N2014" s="308"/>
      <c r="O2014" s="348"/>
      <c r="P2014" s="309"/>
      <c r="Q2014" s="310"/>
      <c r="R2014" s="257"/>
      <c r="S2014" s="258"/>
      <c r="T2014" s="258"/>
      <c r="U2014" s="311"/>
      <c r="V2014" s="259"/>
      <c r="W2014" s="256"/>
      <c r="X2014" s="256"/>
      <c r="Y2014" s="256"/>
      <c r="Z2014" s="256"/>
      <c r="AA2014" s="310"/>
      <c r="AB2014" s="200"/>
      <c r="AC2014" s="312"/>
      <c r="AD2014" s="313"/>
      <c r="AE2014" s="51"/>
      <c r="AF2014" s="314"/>
      <c r="AG2014" s="315"/>
      <c r="AH2014" s="309"/>
      <c r="AI2014" s="28"/>
      <c r="AJ2014" s="28"/>
      <c r="AK2014" s="28"/>
      <c r="AL2014" s="28"/>
      <c r="AM2014" s="12"/>
      <c r="AN2014" s="12"/>
      <c r="AO2014" s="12"/>
      <c r="AP2014" s="12"/>
      <c r="AQ2014" s="12"/>
      <c r="AR2014" s="13"/>
      <c r="AS2014" s="14"/>
    </row>
    <row r="2015" spans="1:45" s="16" customFormat="1" ht="30.95" customHeight="1" x14ac:dyDescent="0.2">
      <c r="A2015" s="303"/>
      <c r="B2015" s="304"/>
      <c r="C2015" s="305"/>
      <c r="D2015" s="306"/>
      <c r="E2015" s="306"/>
      <c r="F2015" s="255"/>
      <c r="G2015" s="256"/>
      <c r="H2015" s="256"/>
      <c r="I2015" s="200"/>
      <c r="J2015" s="347"/>
      <c r="K2015" s="200"/>
      <c r="L2015" s="200"/>
      <c r="M2015" s="308"/>
      <c r="N2015" s="308"/>
      <c r="O2015" s="348"/>
      <c r="P2015" s="309"/>
      <c r="Q2015" s="310"/>
      <c r="R2015" s="257"/>
      <c r="S2015" s="258"/>
      <c r="T2015" s="258"/>
      <c r="U2015" s="311"/>
      <c r="V2015" s="259"/>
      <c r="W2015" s="256"/>
      <c r="X2015" s="256"/>
      <c r="Y2015" s="256"/>
      <c r="Z2015" s="256"/>
      <c r="AA2015" s="310"/>
      <c r="AB2015" s="200"/>
      <c r="AC2015" s="312"/>
      <c r="AD2015" s="313"/>
      <c r="AE2015" s="51"/>
      <c r="AF2015" s="314"/>
      <c r="AG2015" s="315"/>
      <c r="AH2015" s="309"/>
      <c r="AI2015" s="28"/>
      <c r="AJ2015" s="28"/>
      <c r="AK2015" s="28"/>
      <c r="AL2015" s="28"/>
      <c r="AM2015" s="12"/>
      <c r="AN2015" s="12"/>
      <c r="AO2015" s="12"/>
      <c r="AP2015" s="12"/>
      <c r="AQ2015" s="12"/>
      <c r="AR2015" s="13"/>
      <c r="AS2015" s="14"/>
    </row>
    <row r="2016" spans="1:45" s="16" customFormat="1" ht="30.95" customHeight="1" x14ac:dyDescent="0.2">
      <c r="A2016" s="303"/>
      <c r="B2016" s="304"/>
      <c r="C2016" s="305"/>
      <c r="D2016" s="306"/>
      <c r="E2016" s="306"/>
      <c r="F2016" s="255"/>
      <c r="G2016" s="256"/>
      <c r="H2016" s="256"/>
      <c r="I2016" s="200"/>
      <c r="J2016" s="347"/>
      <c r="K2016" s="200"/>
      <c r="L2016" s="200"/>
      <c r="M2016" s="308"/>
      <c r="N2016" s="308"/>
      <c r="O2016" s="348"/>
      <c r="P2016" s="309"/>
      <c r="Q2016" s="310"/>
      <c r="R2016" s="257"/>
      <c r="S2016" s="258"/>
      <c r="T2016" s="258"/>
      <c r="U2016" s="311"/>
      <c r="V2016" s="259"/>
      <c r="W2016" s="256"/>
      <c r="X2016" s="256"/>
      <c r="Y2016" s="256"/>
      <c r="Z2016" s="256"/>
      <c r="AA2016" s="310"/>
      <c r="AB2016" s="200"/>
      <c r="AC2016" s="312"/>
      <c r="AD2016" s="313"/>
      <c r="AE2016" s="51"/>
      <c r="AF2016" s="314"/>
      <c r="AG2016" s="315"/>
      <c r="AH2016" s="309"/>
      <c r="AI2016" s="28"/>
      <c r="AJ2016" s="28"/>
      <c r="AK2016" s="28"/>
      <c r="AL2016" s="28"/>
      <c r="AM2016" s="12"/>
      <c r="AN2016" s="12"/>
      <c r="AO2016" s="12"/>
      <c r="AP2016" s="12"/>
      <c r="AQ2016" s="12"/>
      <c r="AR2016" s="13"/>
      <c r="AS2016" s="14"/>
    </row>
    <row r="2017" spans="1:45" s="16" customFormat="1" ht="30.95" customHeight="1" x14ac:dyDescent="0.2">
      <c r="A2017" s="303"/>
      <c r="B2017" s="304"/>
      <c r="C2017" s="305"/>
      <c r="D2017" s="306"/>
      <c r="E2017" s="306"/>
      <c r="F2017" s="255"/>
      <c r="G2017" s="256"/>
      <c r="H2017" s="256"/>
      <c r="I2017" s="200"/>
      <c r="J2017" s="347"/>
      <c r="K2017" s="200"/>
      <c r="L2017" s="200"/>
      <c r="M2017" s="308"/>
      <c r="N2017" s="308"/>
      <c r="O2017" s="348"/>
      <c r="P2017" s="309"/>
      <c r="Q2017" s="310"/>
      <c r="R2017" s="257"/>
      <c r="S2017" s="258"/>
      <c r="T2017" s="258"/>
      <c r="U2017" s="311"/>
      <c r="V2017" s="259"/>
      <c r="W2017" s="256"/>
      <c r="X2017" s="256"/>
      <c r="Y2017" s="256"/>
      <c r="Z2017" s="256"/>
      <c r="AA2017" s="310"/>
      <c r="AB2017" s="200"/>
      <c r="AC2017" s="312"/>
      <c r="AD2017" s="313"/>
      <c r="AE2017" s="51"/>
      <c r="AF2017" s="314"/>
      <c r="AG2017" s="315"/>
      <c r="AH2017" s="309"/>
      <c r="AI2017" s="28"/>
      <c r="AJ2017" s="28"/>
      <c r="AK2017" s="28"/>
      <c r="AL2017" s="28"/>
      <c r="AM2017" s="12"/>
      <c r="AN2017" s="12"/>
      <c r="AO2017" s="12"/>
      <c r="AP2017" s="12"/>
      <c r="AQ2017" s="12"/>
      <c r="AR2017" s="13"/>
      <c r="AS2017" s="14"/>
    </row>
    <row r="2018" spans="1:45" s="16" customFormat="1" ht="30.95" customHeight="1" x14ac:dyDescent="0.2">
      <c r="A2018" s="303"/>
      <c r="B2018" s="304"/>
      <c r="C2018" s="305"/>
      <c r="D2018" s="306"/>
      <c r="E2018" s="306"/>
      <c r="F2018" s="255"/>
      <c r="G2018" s="256"/>
      <c r="H2018" s="256"/>
      <c r="I2018" s="200"/>
      <c r="J2018" s="347"/>
      <c r="K2018" s="200"/>
      <c r="L2018" s="200"/>
      <c r="M2018" s="308"/>
      <c r="N2018" s="308"/>
      <c r="O2018" s="348"/>
      <c r="P2018" s="309"/>
      <c r="Q2018" s="310"/>
      <c r="R2018" s="257"/>
      <c r="S2018" s="258"/>
      <c r="T2018" s="258"/>
      <c r="U2018" s="311"/>
      <c r="V2018" s="259"/>
      <c r="W2018" s="256"/>
      <c r="X2018" s="256"/>
      <c r="Y2018" s="256"/>
      <c r="Z2018" s="256"/>
      <c r="AA2018" s="310"/>
      <c r="AB2018" s="200"/>
      <c r="AC2018" s="312"/>
      <c r="AD2018" s="313"/>
      <c r="AE2018" s="51"/>
      <c r="AF2018" s="314"/>
      <c r="AG2018" s="315"/>
      <c r="AH2018" s="309"/>
      <c r="AI2018" s="28"/>
      <c r="AJ2018" s="28"/>
      <c r="AK2018" s="28"/>
      <c r="AL2018" s="28"/>
      <c r="AM2018" s="12"/>
      <c r="AN2018" s="12"/>
      <c r="AO2018" s="12"/>
      <c r="AP2018" s="12"/>
      <c r="AQ2018" s="12"/>
      <c r="AR2018" s="13"/>
      <c r="AS2018" s="14"/>
    </row>
    <row r="2019" spans="1:45" s="16" customFormat="1" ht="30.95" customHeight="1" x14ac:dyDescent="0.2">
      <c r="A2019" s="303"/>
      <c r="B2019" s="304"/>
      <c r="C2019" s="305"/>
      <c r="D2019" s="306"/>
      <c r="E2019" s="306"/>
      <c r="F2019" s="255"/>
      <c r="G2019" s="256"/>
      <c r="H2019" s="256"/>
      <c r="I2019" s="200"/>
      <c r="J2019" s="347"/>
      <c r="K2019" s="200"/>
      <c r="L2019" s="200"/>
      <c r="M2019" s="308"/>
      <c r="N2019" s="308"/>
      <c r="O2019" s="348"/>
      <c r="P2019" s="309"/>
      <c r="Q2019" s="310"/>
      <c r="R2019" s="257"/>
      <c r="S2019" s="258"/>
      <c r="T2019" s="258"/>
      <c r="U2019" s="311"/>
      <c r="V2019" s="259"/>
      <c r="W2019" s="256"/>
      <c r="X2019" s="256"/>
      <c r="Y2019" s="256"/>
      <c r="Z2019" s="256"/>
      <c r="AA2019" s="310"/>
      <c r="AB2019" s="200"/>
      <c r="AC2019" s="312"/>
      <c r="AD2019" s="313"/>
      <c r="AE2019" s="51"/>
      <c r="AF2019" s="314"/>
      <c r="AG2019" s="315"/>
      <c r="AH2019" s="309"/>
      <c r="AI2019" s="28"/>
      <c r="AJ2019" s="28"/>
      <c r="AK2019" s="28"/>
      <c r="AL2019" s="28"/>
      <c r="AM2019" s="12"/>
      <c r="AN2019" s="12"/>
      <c r="AO2019" s="12"/>
      <c r="AP2019" s="12"/>
      <c r="AQ2019" s="12"/>
      <c r="AR2019" s="13"/>
      <c r="AS2019" s="14"/>
    </row>
    <row r="2020" spans="1:45" s="16" customFormat="1" ht="30.95" customHeight="1" x14ac:dyDescent="0.2">
      <c r="A2020" s="303"/>
      <c r="B2020" s="304"/>
      <c r="C2020" s="305"/>
      <c r="D2020" s="306"/>
      <c r="E2020" s="306"/>
      <c r="F2020" s="255"/>
      <c r="G2020" s="256"/>
      <c r="H2020" s="256"/>
      <c r="I2020" s="200"/>
      <c r="J2020" s="347"/>
      <c r="K2020" s="200"/>
      <c r="L2020" s="200"/>
      <c r="M2020" s="308"/>
      <c r="N2020" s="308"/>
      <c r="O2020" s="348"/>
      <c r="P2020" s="309"/>
      <c r="Q2020" s="310"/>
      <c r="R2020" s="257"/>
      <c r="S2020" s="258"/>
      <c r="T2020" s="258"/>
      <c r="U2020" s="311"/>
      <c r="V2020" s="259"/>
      <c r="W2020" s="256"/>
      <c r="X2020" s="256"/>
      <c r="Y2020" s="256"/>
      <c r="Z2020" s="256"/>
      <c r="AA2020" s="310"/>
      <c r="AB2020" s="200"/>
      <c r="AC2020" s="312"/>
      <c r="AD2020" s="313"/>
      <c r="AE2020" s="51"/>
      <c r="AF2020" s="314"/>
      <c r="AG2020" s="315"/>
      <c r="AH2020" s="309"/>
      <c r="AI2020" s="28"/>
      <c r="AJ2020" s="28"/>
      <c r="AK2020" s="28"/>
      <c r="AL2020" s="28"/>
      <c r="AM2020" s="12"/>
      <c r="AN2020" s="12"/>
      <c r="AO2020" s="12"/>
      <c r="AP2020" s="12"/>
      <c r="AQ2020" s="12"/>
      <c r="AR2020" s="13"/>
      <c r="AS2020" s="14"/>
    </row>
    <row r="2021" spans="1:45" s="16" customFormat="1" ht="30.95" customHeight="1" x14ac:dyDescent="0.2">
      <c r="A2021" s="303"/>
      <c r="B2021" s="304"/>
      <c r="C2021" s="305"/>
      <c r="D2021" s="306"/>
      <c r="E2021" s="306"/>
      <c r="F2021" s="255"/>
      <c r="G2021" s="256"/>
      <c r="H2021" s="256"/>
      <c r="I2021" s="200"/>
      <c r="J2021" s="347"/>
      <c r="K2021" s="200"/>
      <c r="L2021" s="200"/>
      <c r="M2021" s="308"/>
      <c r="N2021" s="308"/>
      <c r="O2021" s="348"/>
      <c r="P2021" s="309"/>
      <c r="Q2021" s="310"/>
      <c r="R2021" s="257"/>
      <c r="S2021" s="258"/>
      <c r="T2021" s="258"/>
      <c r="U2021" s="311"/>
      <c r="V2021" s="259"/>
      <c r="W2021" s="256"/>
      <c r="X2021" s="256"/>
      <c r="Y2021" s="256"/>
      <c r="Z2021" s="256"/>
      <c r="AA2021" s="310"/>
      <c r="AB2021" s="200"/>
      <c r="AC2021" s="312"/>
      <c r="AD2021" s="313"/>
      <c r="AE2021" s="51"/>
      <c r="AF2021" s="314"/>
      <c r="AG2021" s="315"/>
      <c r="AH2021" s="309"/>
      <c r="AI2021" s="28"/>
      <c r="AJ2021" s="28"/>
      <c r="AK2021" s="28"/>
      <c r="AL2021" s="28"/>
      <c r="AM2021" s="12"/>
      <c r="AN2021" s="12"/>
      <c r="AO2021" s="12"/>
      <c r="AP2021" s="12"/>
      <c r="AQ2021" s="12"/>
      <c r="AR2021" s="13"/>
      <c r="AS2021" s="14"/>
    </row>
    <row r="2022" spans="1:45" s="16" customFormat="1" ht="30.95" customHeight="1" x14ac:dyDescent="0.2">
      <c r="A2022" s="303"/>
      <c r="B2022" s="304"/>
      <c r="C2022" s="305"/>
      <c r="D2022" s="306"/>
      <c r="E2022" s="306"/>
      <c r="F2022" s="255"/>
      <c r="G2022" s="256"/>
      <c r="H2022" s="256"/>
      <c r="I2022" s="200"/>
      <c r="J2022" s="347"/>
      <c r="K2022" s="200"/>
      <c r="L2022" s="200"/>
      <c r="M2022" s="308"/>
      <c r="N2022" s="308"/>
      <c r="O2022" s="348"/>
      <c r="P2022" s="309"/>
      <c r="Q2022" s="310"/>
      <c r="R2022" s="257"/>
      <c r="S2022" s="258"/>
      <c r="T2022" s="258"/>
      <c r="U2022" s="311"/>
      <c r="V2022" s="259"/>
      <c r="W2022" s="256"/>
      <c r="X2022" s="256"/>
      <c r="Y2022" s="256"/>
      <c r="Z2022" s="256"/>
      <c r="AA2022" s="310"/>
      <c r="AB2022" s="200"/>
      <c r="AC2022" s="312"/>
      <c r="AD2022" s="313"/>
      <c r="AE2022" s="51"/>
      <c r="AF2022" s="314"/>
      <c r="AG2022" s="315"/>
      <c r="AH2022" s="309"/>
      <c r="AI2022" s="28"/>
      <c r="AJ2022" s="28"/>
      <c r="AK2022" s="28"/>
      <c r="AL2022" s="28"/>
      <c r="AM2022" s="12"/>
      <c r="AN2022" s="12"/>
      <c r="AO2022" s="12"/>
      <c r="AP2022" s="12"/>
      <c r="AQ2022" s="12"/>
      <c r="AR2022" s="13"/>
      <c r="AS2022" s="14"/>
    </row>
    <row r="2023" spans="1:45" s="16" customFormat="1" ht="30.95" customHeight="1" x14ac:dyDescent="0.2">
      <c r="A2023" s="303"/>
      <c r="B2023" s="304"/>
      <c r="C2023" s="305"/>
      <c r="D2023" s="306"/>
      <c r="E2023" s="306"/>
      <c r="F2023" s="255"/>
      <c r="G2023" s="256"/>
      <c r="H2023" s="256"/>
      <c r="I2023" s="200"/>
      <c r="J2023" s="347"/>
      <c r="K2023" s="200"/>
      <c r="L2023" s="200"/>
      <c r="M2023" s="308"/>
      <c r="N2023" s="308"/>
      <c r="O2023" s="348"/>
      <c r="P2023" s="309"/>
      <c r="Q2023" s="310"/>
      <c r="R2023" s="257"/>
      <c r="S2023" s="258"/>
      <c r="T2023" s="258"/>
      <c r="U2023" s="311"/>
      <c r="V2023" s="259"/>
      <c r="W2023" s="256"/>
      <c r="X2023" s="256"/>
      <c r="Y2023" s="256"/>
      <c r="Z2023" s="256"/>
      <c r="AA2023" s="310"/>
      <c r="AB2023" s="200"/>
      <c r="AC2023" s="312"/>
      <c r="AD2023" s="313"/>
      <c r="AE2023" s="51"/>
      <c r="AF2023" s="314"/>
      <c r="AG2023" s="315"/>
      <c r="AH2023" s="309"/>
      <c r="AI2023" s="28"/>
      <c r="AJ2023" s="28"/>
      <c r="AK2023" s="28"/>
      <c r="AL2023" s="28"/>
      <c r="AM2023" s="12"/>
      <c r="AN2023" s="12"/>
      <c r="AO2023" s="12"/>
      <c r="AP2023" s="12"/>
      <c r="AQ2023" s="12"/>
      <c r="AR2023" s="13"/>
      <c r="AS2023" s="14"/>
    </row>
    <row r="2024" spans="1:45" s="16" customFormat="1" ht="30.95" customHeight="1" x14ac:dyDescent="0.2">
      <c r="A2024" s="303"/>
      <c r="B2024" s="304"/>
      <c r="C2024" s="305"/>
      <c r="D2024" s="306"/>
      <c r="E2024" s="306"/>
      <c r="F2024" s="255"/>
      <c r="G2024" s="256"/>
      <c r="H2024" s="256"/>
      <c r="I2024" s="200"/>
      <c r="J2024" s="347"/>
      <c r="K2024" s="200"/>
      <c r="L2024" s="200"/>
      <c r="M2024" s="308"/>
      <c r="N2024" s="308"/>
      <c r="O2024" s="348"/>
      <c r="P2024" s="309"/>
      <c r="Q2024" s="310"/>
      <c r="R2024" s="257"/>
      <c r="S2024" s="258"/>
      <c r="T2024" s="258"/>
      <c r="U2024" s="311"/>
      <c r="V2024" s="259"/>
      <c r="W2024" s="256"/>
      <c r="X2024" s="256"/>
      <c r="Y2024" s="256"/>
      <c r="Z2024" s="256"/>
      <c r="AA2024" s="310"/>
      <c r="AB2024" s="200"/>
      <c r="AC2024" s="312"/>
      <c r="AD2024" s="313"/>
      <c r="AE2024" s="51"/>
      <c r="AF2024" s="314"/>
      <c r="AG2024" s="315"/>
      <c r="AH2024" s="309"/>
      <c r="AI2024" s="28"/>
      <c r="AJ2024" s="28"/>
      <c r="AK2024" s="28"/>
      <c r="AL2024" s="28"/>
      <c r="AM2024" s="12"/>
      <c r="AN2024" s="12"/>
      <c r="AO2024" s="12"/>
      <c r="AP2024" s="12"/>
      <c r="AQ2024" s="12"/>
      <c r="AR2024" s="13"/>
      <c r="AS2024" s="14"/>
    </row>
    <row r="2025" spans="1:45" s="16" customFormat="1" ht="30.95" customHeight="1" x14ac:dyDescent="0.2">
      <c r="A2025" s="303"/>
      <c r="B2025" s="304"/>
      <c r="C2025" s="305"/>
      <c r="D2025" s="306"/>
      <c r="E2025" s="306"/>
      <c r="F2025" s="255"/>
      <c r="G2025" s="256"/>
      <c r="H2025" s="256"/>
      <c r="I2025" s="200"/>
      <c r="J2025" s="347"/>
      <c r="K2025" s="200"/>
      <c r="L2025" s="200"/>
      <c r="M2025" s="308"/>
      <c r="N2025" s="308"/>
      <c r="O2025" s="348"/>
      <c r="P2025" s="309"/>
      <c r="Q2025" s="310"/>
      <c r="R2025" s="257"/>
      <c r="S2025" s="258"/>
      <c r="T2025" s="258"/>
      <c r="U2025" s="311"/>
      <c r="V2025" s="259"/>
      <c r="W2025" s="256"/>
      <c r="X2025" s="256"/>
      <c r="Y2025" s="256"/>
      <c r="Z2025" s="256"/>
      <c r="AA2025" s="310"/>
      <c r="AB2025" s="200"/>
      <c r="AC2025" s="312"/>
      <c r="AD2025" s="313"/>
      <c r="AE2025" s="51"/>
      <c r="AF2025" s="314"/>
      <c r="AG2025" s="315"/>
      <c r="AH2025" s="309"/>
      <c r="AI2025" s="28"/>
      <c r="AJ2025" s="28"/>
      <c r="AK2025" s="28"/>
      <c r="AL2025" s="28"/>
      <c r="AM2025" s="12"/>
      <c r="AN2025" s="12"/>
      <c r="AO2025" s="12"/>
      <c r="AP2025" s="12"/>
      <c r="AQ2025" s="12"/>
      <c r="AR2025" s="13"/>
      <c r="AS2025" s="14"/>
    </row>
    <row r="2026" spans="1:45" s="16" customFormat="1" ht="30.95" customHeight="1" x14ac:dyDescent="0.2">
      <c r="A2026" s="303"/>
      <c r="B2026" s="304"/>
      <c r="C2026" s="305"/>
      <c r="D2026" s="306"/>
      <c r="E2026" s="306"/>
      <c r="F2026" s="255"/>
      <c r="G2026" s="256"/>
      <c r="H2026" s="256"/>
      <c r="I2026" s="200"/>
      <c r="J2026" s="347"/>
      <c r="K2026" s="200"/>
      <c r="L2026" s="200"/>
      <c r="M2026" s="308"/>
      <c r="N2026" s="308"/>
      <c r="O2026" s="348"/>
      <c r="P2026" s="309"/>
      <c r="Q2026" s="310"/>
      <c r="R2026" s="257"/>
      <c r="S2026" s="258"/>
      <c r="T2026" s="258"/>
      <c r="U2026" s="311"/>
      <c r="V2026" s="259"/>
      <c r="W2026" s="256"/>
      <c r="X2026" s="256"/>
      <c r="Y2026" s="256"/>
      <c r="Z2026" s="256"/>
      <c r="AA2026" s="310"/>
      <c r="AB2026" s="200"/>
      <c r="AC2026" s="312"/>
      <c r="AD2026" s="313"/>
      <c r="AE2026" s="51"/>
      <c r="AF2026" s="314"/>
      <c r="AG2026" s="315"/>
      <c r="AH2026" s="309"/>
      <c r="AI2026" s="28"/>
      <c r="AJ2026" s="28"/>
      <c r="AK2026" s="28"/>
      <c r="AL2026" s="28"/>
      <c r="AM2026" s="12"/>
      <c r="AN2026" s="12"/>
      <c r="AO2026" s="12"/>
      <c r="AP2026" s="12"/>
      <c r="AQ2026" s="12"/>
      <c r="AR2026" s="13"/>
      <c r="AS2026" s="14"/>
    </row>
    <row r="2027" spans="1:45" s="16" customFormat="1" ht="30.95" customHeight="1" x14ac:dyDescent="0.2">
      <c r="A2027" s="303"/>
      <c r="B2027" s="304"/>
      <c r="C2027" s="305"/>
      <c r="D2027" s="306"/>
      <c r="E2027" s="306"/>
      <c r="F2027" s="255"/>
      <c r="G2027" s="256"/>
      <c r="H2027" s="256"/>
      <c r="I2027" s="200"/>
      <c r="J2027" s="347"/>
      <c r="K2027" s="200"/>
      <c r="L2027" s="200"/>
      <c r="M2027" s="308"/>
      <c r="N2027" s="308"/>
      <c r="O2027" s="348"/>
      <c r="P2027" s="309"/>
      <c r="Q2027" s="310"/>
      <c r="R2027" s="257"/>
      <c r="S2027" s="258"/>
      <c r="T2027" s="258"/>
      <c r="U2027" s="311"/>
      <c r="V2027" s="259"/>
      <c r="W2027" s="256"/>
      <c r="X2027" s="256"/>
      <c r="Y2027" s="256"/>
      <c r="Z2027" s="256"/>
      <c r="AA2027" s="310"/>
      <c r="AB2027" s="200"/>
      <c r="AC2027" s="312"/>
      <c r="AD2027" s="313"/>
      <c r="AE2027" s="51"/>
      <c r="AF2027" s="314"/>
      <c r="AG2027" s="315"/>
      <c r="AH2027" s="309"/>
      <c r="AI2027" s="28"/>
      <c r="AJ2027" s="28"/>
      <c r="AK2027" s="28"/>
      <c r="AL2027" s="28"/>
      <c r="AM2027" s="12"/>
      <c r="AN2027" s="12"/>
      <c r="AO2027" s="12"/>
      <c r="AP2027" s="12"/>
      <c r="AQ2027" s="12"/>
      <c r="AR2027" s="13"/>
      <c r="AS2027" s="14"/>
    </row>
    <row r="2028" spans="1:45" s="16" customFormat="1" ht="30.95" customHeight="1" x14ac:dyDescent="0.2">
      <c r="A2028" s="303"/>
      <c r="B2028" s="304"/>
      <c r="C2028" s="305"/>
      <c r="D2028" s="306"/>
      <c r="E2028" s="306"/>
      <c r="F2028" s="255"/>
      <c r="G2028" s="256"/>
      <c r="H2028" s="256"/>
      <c r="I2028" s="200"/>
      <c r="J2028" s="347"/>
      <c r="K2028" s="200"/>
      <c r="L2028" s="200"/>
      <c r="M2028" s="308"/>
      <c r="N2028" s="308"/>
      <c r="O2028" s="348"/>
      <c r="P2028" s="309"/>
      <c r="Q2028" s="310"/>
      <c r="R2028" s="257"/>
      <c r="S2028" s="258"/>
      <c r="T2028" s="258"/>
      <c r="U2028" s="311"/>
      <c r="V2028" s="259"/>
      <c r="W2028" s="256"/>
      <c r="X2028" s="256"/>
      <c r="Y2028" s="256"/>
      <c r="Z2028" s="256"/>
      <c r="AA2028" s="310"/>
      <c r="AB2028" s="200"/>
      <c r="AC2028" s="312"/>
      <c r="AD2028" s="313"/>
      <c r="AE2028" s="51"/>
      <c r="AF2028" s="314"/>
      <c r="AG2028" s="315"/>
      <c r="AH2028" s="309"/>
      <c r="AI2028" s="28"/>
      <c r="AJ2028" s="28"/>
      <c r="AK2028" s="28"/>
      <c r="AL2028" s="28"/>
      <c r="AM2028" s="12"/>
      <c r="AN2028" s="12"/>
      <c r="AO2028" s="12"/>
      <c r="AP2028" s="12"/>
      <c r="AQ2028" s="12"/>
      <c r="AR2028" s="13"/>
      <c r="AS2028" s="14"/>
    </row>
    <row r="2029" spans="1:45" s="16" customFormat="1" ht="30.95" customHeight="1" x14ac:dyDescent="0.2">
      <c r="A2029" s="303"/>
      <c r="B2029" s="304"/>
      <c r="C2029" s="305"/>
      <c r="D2029" s="306"/>
      <c r="E2029" s="306"/>
      <c r="F2029" s="255"/>
      <c r="G2029" s="256"/>
      <c r="H2029" s="256"/>
      <c r="I2029" s="200"/>
      <c r="J2029" s="347"/>
      <c r="K2029" s="200"/>
      <c r="L2029" s="200"/>
      <c r="M2029" s="308"/>
      <c r="N2029" s="308"/>
      <c r="O2029" s="348"/>
      <c r="P2029" s="309"/>
      <c r="Q2029" s="310"/>
      <c r="R2029" s="257"/>
      <c r="S2029" s="258"/>
      <c r="T2029" s="258"/>
      <c r="U2029" s="311"/>
      <c r="V2029" s="259"/>
      <c r="W2029" s="256"/>
      <c r="X2029" s="256"/>
      <c r="Y2029" s="256"/>
      <c r="Z2029" s="256"/>
      <c r="AA2029" s="310"/>
      <c r="AB2029" s="200"/>
      <c r="AC2029" s="312"/>
      <c r="AD2029" s="313"/>
      <c r="AE2029" s="51"/>
      <c r="AF2029" s="314"/>
      <c r="AG2029" s="315"/>
      <c r="AH2029" s="309"/>
      <c r="AI2029" s="28"/>
      <c r="AJ2029" s="28"/>
      <c r="AK2029" s="28"/>
      <c r="AL2029" s="28"/>
      <c r="AM2029" s="12"/>
      <c r="AN2029" s="12"/>
      <c r="AO2029" s="12"/>
      <c r="AP2029" s="12"/>
      <c r="AQ2029" s="12"/>
      <c r="AR2029" s="13"/>
      <c r="AS2029" s="14"/>
    </row>
    <row r="2030" spans="1:45" s="16" customFormat="1" ht="30.95" customHeight="1" x14ac:dyDescent="0.2">
      <c r="A2030" s="303"/>
      <c r="B2030" s="304"/>
      <c r="C2030" s="305"/>
      <c r="D2030" s="306"/>
      <c r="E2030" s="306"/>
      <c r="F2030" s="255"/>
      <c r="G2030" s="256"/>
      <c r="H2030" s="256"/>
      <c r="I2030" s="200"/>
      <c r="J2030" s="347"/>
      <c r="K2030" s="200"/>
      <c r="L2030" s="200"/>
      <c r="M2030" s="308"/>
      <c r="N2030" s="308"/>
      <c r="O2030" s="348"/>
      <c r="P2030" s="309"/>
      <c r="Q2030" s="310"/>
      <c r="R2030" s="257"/>
      <c r="S2030" s="258"/>
      <c r="T2030" s="258"/>
      <c r="U2030" s="311"/>
      <c r="V2030" s="259"/>
      <c r="W2030" s="256"/>
      <c r="X2030" s="256"/>
      <c r="Y2030" s="256"/>
      <c r="Z2030" s="256"/>
      <c r="AA2030" s="310"/>
      <c r="AB2030" s="200"/>
      <c r="AC2030" s="312"/>
      <c r="AD2030" s="313"/>
      <c r="AE2030" s="51"/>
      <c r="AF2030" s="314"/>
      <c r="AG2030" s="315"/>
      <c r="AH2030" s="309"/>
      <c r="AI2030" s="28"/>
      <c r="AJ2030" s="28"/>
      <c r="AK2030" s="28"/>
      <c r="AL2030" s="28"/>
      <c r="AM2030" s="12"/>
      <c r="AN2030" s="12"/>
      <c r="AO2030" s="12"/>
      <c r="AP2030" s="12"/>
      <c r="AQ2030" s="12"/>
      <c r="AR2030" s="13"/>
      <c r="AS2030" s="14"/>
    </row>
    <row r="2031" spans="1:45" s="16" customFormat="1" ht="30.95" customHeight="1" x14ac:dyDescent="0.2">
      <c r="A2031" s="303"/>
      <c r="B2031" s="304"/>
      <c r="C2031" s="305"/>
      <c r="D2031" s="306"/>
      <c r="E2031" s="306"/>
      <c r="F2031" s="255"/>
      <c r="G2031" s="256"/>
      <c r="H2031" s="256"/>
      <c r="I2031" s="200"/>
      <c r="J2031" s="347"/>
      <c r="K2031" s="200"/>
      <c r="L2031" s="200"/>
      <c r="M2031" s="308"/>
      <c r="N2031" s="308"/>
      <c r="O2031" s="348"/>
      <c r="P2031" s="309"/>
      <c r="Q2031" s="310"/>
      <c r="R2031" s="257"/>
      <c r="S2031" s="258"/>
      <c r="T2031" s="258"/>
      <c r="U2031" s="311"/>
      <c r="V2031" s="259"/>
      <c r="W2031" s="256"/>
      <c r="X2031" s="256"/>
      <c r="Y2031" s="256"/>
      <c r="Z2031" s="256"/>
      <c r="AA2031" s="310"/>
      <c r="AB2031" s="200"/>
      <c r="AC2031" s="312"/>
      <c r="AD2031" s="313"/>
      <c r="AE2031" s="51"/>
      <c r="AF2031" s="314"/>
      <c r="AG2031" s="315"/>
      <c r="AH2031" s="309"/>
      <c r="AI2031" s="28"/>
      <c r="AJ2031" s="28"/>
      <c r="AK2031" s="28"/>
      <c r="AL2031" s="28"/>
      <c r="AM2031" s="12"/>
      <c r="AN2031" s="12"/>
      <c r="AO2031" s="12"/>
      <c r="AP2031" s="12"/>
      <c r="AQ2031" s="12"/>
      <c r="AR2031" s="13"/>
      <c r="AS2031" s="14"/>
    </row>
    <row r="2032" spans="1:45" s="16" customFormat="1" ht="30.95" customHeight="1" x14ac:dyDescent="0.2">
      <c r="A2032" s="303"/>
      <c r="B2032" s="304"/>
      <c r="C2032" s="305"/>
      <c r="D2032" s="306"/>
      <c r="E2032" s="306"/>
      <c r="F2032" s="255"/>
      <c r="G2032" s="256"/>
      <c r="H2032" s="256"/>
      <c r="I2032" s="200"/>
      <c r="J2032" s="347"/>
      <c r="K2032" s="200"/>
      <c r="L2032" s="200"/>
      <c r="M2032" s="308"/>
      <c r="N2032" s="308"/>
      <c r="O2032" s="348"/>
      <c r="P2032" s="309"/>
      <c r="Q2032" s="310"/>
      <c r="R2032" s="257"/>
      <c r="S2032" s="258"/>
      <c r="T2032" s="258"/>
      <c r="U2032" s="311"/>
      <c r="V2032" s="259"/>
      <c r="W2032" s="256"/>
      <c r="X2032" s="256"/>
      <c r="Y2032" s="256"/>
      <c r="Z2032" s="256"/>
      <c r="AA2032" s="310"/>
      <c r="AB2032" s="200"/>
      <c r="AC2032" s="312"/>
      <c r="AD2032" s="313"/>
      <c r="AE2032" s="51"/>
      <c r="AF2032" s="314"/>
      <c r="AG2032" s="315"/>
      <c r="AH2032" s="309"/>
      <c r="AI2032" s="28"/>
      <c r="AJ2032" s="28"/>
      <c r="AK2032" s="28"/>
      <c r="AL2032" s="28"/>
      <c r="AM2032" s="12"/>
      <c r="AN2032" s="12"/>
      <c r="AO2032" s="12"/>
      <c r="AP2032" s="12"/>
      <c r="AQ2032" s="12"/>
      <c r="AR2032" s="13"/>
      <c r="AS2032" s="14"/>
    </row>
    <row r="2033" spans="1:45" s="16" customFormat="1" ht="30.95" customHeight="1" x14ac:dyDescent="0.2">
      <c r="A2033" s="303"/>
      <c r="B2033" s="304"/>
      <c r="C2033" s="305"/>
      <c r="D2033" s="306"/>
      <c r="E2033" s="306"/>
      <c r="F2033" s="255"/>
      <c r="G2033" s="256"/>
      <c r="H2033" s="256"/>
      <c r="I2033" s="200"/>
      <c r="J2033" s="347"/>
      <c r="K2033" s="200"/>
      <c r="L2033" s="200"/>
      <c r="M2033" s="308"/>
      <c r="N2033" s="308"/>
      <c r="O2033" s="348"/>
      <c r="P2033" s="309"/>
      <c r="Q2033" s="310"/>
      <c r="R2033" s="257"/>
      <c r="S2033" s="258"/>
      <c r="T2033" s="258"/>
      <c r="U2033" s="311"/>
      <c r="V2033" s="259"/>
      <c r="W2033" s="256"/>
      <c r="X2033" s="256"/>
      <c r="Y2033" s="256"/>
      <c r="Z2033" s="256"/>
      <c r="AA2033" s="310"/>
      <c r="AB2033" s="200"/>
      <c r="AC2033" s="312"/>
      <c r="AD2033" s="313"/>
      <c r="AE2033" s="51"/>
      <c r="AF2033" s="314"/>
      <c r="AG2033" s="315"/>
      <c r="AH2033" s="309"/>
      <c r="AI2033" s="28"/>
      <c r="AJ2033" s="28"/>
      <c r="AK2033" s="28"/>
      <c r="AL2033" s="28"/>
      <c r="AM2033" s="12"/>
      <c r="AN2033" s="12"/>
      <c r="AO2033" s="12"/>
      <c r="AP2033" s="12"/>
      <c r="AQ2033" s="12"/>
      <c r="AR2033" s="13"/>
      <c r="AS2033" s="14"/>
    </row>
    <row r="2034" spans="1:45" s="16" customFormat="1" ht="30.95" customHeight="1" x14ac:dyDescent="0.2">
      <c r="A2034" s="303"/>
      <c r="B2034" s="304"/>
      <c r="C2034" s="305"/>
      <c r="D2034" s="306"/>
      <c r="E2034" s="306"/>
      <c r="F2034" s="255"/>
      <c r="G2034" s="256"/>
      <c r="H2034" s="256"/>
      <c r="I2034" s="200"/>
      <c r="J2034" s="347"/>
      <c r="K2034" s="200"/>
      <c r="L2034" s="200"/>
      <c r="M2034" s="308"/>
      <c r="N2034" s="308"/>
      <c r="O2034" s="348"/>
      <c r="P2034" s="309"/>
      <c r="Q2034" s="310"/>
      <c r="R2034" s="257"/>
      <c r="S2034" s="258"/>
      <c r="T2034" s="258"/>
      <c r="U2034" s="311"/>
      <c r="V2034" s="259"/>
      <c r="W2034" s="256"/>
      <c r="X2034" s="256"/>
      <c r="Y2034" s="256"/>
      <c r="Z2034" s="256"/>
      <c r="AA2034" s="310"/>
      <c r="AB2034" s="200"/>
      <c r="AC2034" s="312"/>
      <c r="AD2034" s="313"/>
      <c r="AE2034" s="51"/>
      <c r="AF2034" s="314"/>
      <c r="AG2034" s="315"/>
      <c r="AH2034" s="309"/>
      <c r="AI2034" s="28"/>
      <c r="AJ2034" s="28"/>
      <c r="AK2034" s="28"/>
      <c r="AL2034" s="28"/>
      <c r="AM2034" s="12"/>
      <c r="AN2034" s="12"/>
      <c r="AO2034" s="12"/>
      <c r="AP2034" s="12"/>
      <c r="AQ2034" s="12"/>
      <c r="AR2034" s="13"/>
      <c r="AS2034" s="14"/>
    </row>
    <row r="2035" spans="1:45" s="16" customFormat="1" ht="30.95" customHeight="1" x14ac:dyDescent="0.2">
      <c r="A2035" s="303"/>
      <c r="B2035" s="304"/>
      <c r="C2035" s="305"/>
      <c r="D2035" s="306"/>
      <c r="E2035" s="306"/>
      <c r="F2035" s="255"/>
      <c r="G2035" s="256"/>
      <c r="H2035" s="256"/>
      <c r="I2035" s="200"/>
      <c r="J2035" s="347"/>
      <c r="K2035" s="200"/>
      <c r="L2035" s="200"/>
      <c r="M2035" s="308"/>
      <c r="N2035" s="308"/>
      <c r="O2035" s="348"/>
      <c r="P2035" s="309"/>
      <c r="Q2035" s="310"/>
      <c r="R2035" s="257"/>
      <c r="S2035" s="258"/>
      <c r="T2035" s="258"/>
      <c r="U2035" s="311"/>
      <c r="V2035" s="259"/>
      <c r="W2035" s="256"/>
      <c r="X2035" s="256"/>
      <c r="Y2035" s="256"/>
      <c r="Z2035" s="256"/>
      <c r="AA2035" s="310"/>
      <c r="AB2035" s="200"/>
      <c r="AC2035" s="312"/>
      <c r="AD2035" s="313"/>
      <c r="AE2035" s="51"/>
      <c r="AF2035" s="314"/>
      <c r="AG2035" s="315"/>
      <c r="AH2035" s="309"/>
      <c r="AI2035" s="28"/>
      <c r="AJ2035" s="28"/>
      <c r="AK2035" s="28"/>
      <c r="AL2035" s="28"/>
      <c r="AM2035" s="12"/>
      <c r="AN2035" s="12"/>
      <c r="AO2035" s="12"/>
      <c r="AP2035" s="12"/>
      <c r="AQ2035" s="12"/>
      <c r="AR2035" s="13"/>
      <c r="AS2035" s="14"/>
    </row>
    <row r="2036" spans="1:45" s="16" customFormat="1" ht="30.95" customHeight="1" x14ac:dyDescent="0.2">
      <c r="A2036" s="303"/>
      <c r="B2036" s="304"/>
      <c r="C2036" s="305"/>
      <c r="D2036" s="306"/>
      <c r="E2036" s="306"/>
      <c r="F2036" s="255"/>
      <c r="G2036" s="256"/>
      <c r="H2036" s="256"/>
      <c r="I2036" s="200"/>
      <c r="J2036" s="347"/>
      <c r="K2036" s="200"/>
      <c r="L2036" s="200"/>
      <c r="M2036" s="308"/>
      <c r="N2036" s="308"/>
      <c r="O2036" s="348"/>
      <c r="P2036" s="309"/>
      <c r="Q2036" s="310"/>
      <c r="R2036" s="257"/>
      <c r="S2036" s="258"/>
      <c r="T2036" s="258"/>
      <c r="U2036" s="311"/>
      <c r="V2036" s="259"/>
      <c r="W2036" s="256"/>
      <c r="X2036" s="256"/>
      <c r="Y2036" s="256"/>
      <c r="Z2036" s="256"/>
      <c r="AA2036" s="310"/>
      <c r="AB2036" s="200"/>
      <c r="AC2036" s="312"/>
      <c r="AD2036" s="313"/>
      <c r="AE2036" s="51"/>
      <c r="AF2036" s="314"/>
      <c r="AG2036" s="315"/>
      <c r="AH2036" s="309"/>
      <c r="AI2036" s="28"/>
      <c r="AJ2036" s="28"/>
      <c r="AK2036" s="28"/>
      <c r="AL2036" s="28"/>
      <c r="AM2036" s="12"/>
      <c r="AN2036" s="12"/>
      <c r="AO2036" s="12"/>
      <c r="AP2036" s="12"/>
      <c r="AQ2036" s="12"/>
      <c r="AR2036" s="13"/>
      <c r="AS2036" s="14"/>
    </row>
    <row r="2037" spans="1:45" s="16" customFormat="1" ht="30.95" customHeight="1" x14ac:dyDescent="0.2">
      <c r="A2037" s="303"/>
      <c r="B2037" s="304"/>
      <c r="C2037" s="305"/>
      <c r="D2037" s="306"/>
      <c r="E2037" s="306"/>
      <c r="F2037" s="255"/>
      <c r="G2037" s="256"/>
      <c r="H2037" s="256"/>
      <c r="I2037" s="200"/>
      <c r="J2037" s="347"/>
      <c r="K2037" s="200"/>
      <c r="L2037" s="200"/>
      <c r="M2037" s="308"/>
      <c r="N2037" s="308"/>
      <c r="O2037" s="348"/>
      <c r="P2037" s="309"/>
      <c r="Q2037" s="310"/>
      <c r="R2037" s="257"/>
      <c r="S2037" s="258"/>
      <c r="T2037" s="258"/>
      <c r="U2037" s="311"/>
      <c r="V2037" s="259"/>
      <c r="W2037" s="256"/>
      <c r="X2037" s="256"/>
      <c r="Y2037" s="256"/>
      <c r="Z2037" s="256"/>
      <c r="AA2037" s="310"/>
      <c r="AB2037" s="200"/>
      <c r="AC2037" s="312"/>
      <c r="AD2037" s="313"/>
      <c r="AE2037" s="51"/>
      <c r="AF2037" s="314"/>
      <c r="AG2037" s="315"/>
      <c r="AH2037" s="309"/>
      <c r="AI2037" s="28"/>
      <c r="AJ2037" s="28"/>
      <c r="AK2037" s="28"/>
      <c r="AL2037" s="28"/>
      <c r="AM2037" s="12"/>
      <c r="AN2037" s="12"/>
      <c r="AO2037" s="12"/>
      <c r="AP2037" s="12"/>
      <c r="AQ2037" s="12"/>
      <c r="AR2037" s="13"/>
      <c r="AS2037" s="14"/>
    </row>
    <row r="2038" spans="1:45" s="16" customFormat="1" ht="30.95" customHeight="1" x14ac:dyDescent="0.2">
      <c r="A2038" s="303"/>
      <c r="B2038" s="304"/>
      <c r="C2038" s="305"/>
      <c r="D2038" s="306"/>
      <c r="E2038" s="306"/>
      <c r="F2038" s="255"/>
      <c r="G2038" s="256"/>
      <c r="H2038" s="256"/>
      <c r="I2038" s="200"/>
      <c r="J2038" s="347"/>
      <c r="K2038" s="200"/>
      <c r="L2038" s="200"/>
      <c r="M2038" s="308"/>
      <c r="N2038" s="308"/>
      <c r="O2038" s="348"/>
      <c r="P2038" s="309"/>
      <c r="Q2038" s="310"/>
      <c r="R2038" s="257"/>
      <c r="S2038" s="258"/>
      <c r="T2038" s="258"/>
      <c r="U2038" s="311"/>
      <c r="V2038" s="259"/>
      <c r="W2038" s="256"/>
      <c r="X2038" s="256"/>
      <c r="Y2038" s="256"/>
      <c r="Z2038" s="256"/>
      <c r="AA2038" s="310"/>
      <c r="AB2038" s="200"/>
      <c r="AC2038" s="312"/>
      <c r="AD2038" s="313"/>
      <c r="AE2038" s="51"/>
      <c r="AF2038" s="314"/>
      <c r="AG2038" s="315"/>
      <c r="AH2038" s="309"/>
      <c r="AI2038" s="28"/>
      <c r="AJ2038" s="28"/>
      <c r="AK2038" s="28"/>
      <c r="AL2038" s="28"/>
      <c r="AM2038" s="12"/>
      <c r="AN2038" s="12"/>
      <c r="AO2038" s="12"/>
      <c r="AP2038" s="12"/>
      <c r="AQ2038" s="12"/>
      <c r="AR2038" s="13"/>
      <c r="AS2038" s="14"/>
    </row>
    <row r="2039" spans="1:45" s="16" customFormat="1" ht="30.95" customHeight="1" x14ac:dyDescent="0.2">
      <c r="A2039" s="303"/>
      <c r="B2039" s="304"/>
      <c r="C2039" s="305"/>
      <c r="D2039" s="306"/>
      <c r="E2039" s="306"/>
      <c r="F2039" s="255"/>
      <c r="G2039" s="256"/>
      <c r="H2039" s="256"/>
      <c r="I2039" s="200"/>
      <c r="J2039" s="347"/>
      <c r="K2039" s="200"/>
      <c r="L2039" s="200"/>
      <c r="M2039" s="308"/>
      <c r="N2039" s="308"/>
      <c r="O2039" s="348"/>
      <c r="P2039" s="309"/>
      <c r="Q2039" s="310"/>
      <c r="R2039" s="257"/>
      <c r="S2039" s="258"/>
      <c r="T2039" s="258"/>
      <c r="U2039" s="311"/>
      <c r="V2039" s="259"/>
      <c r="W2039" s="256"/>
      <c r="X2039" s="256"/>
      <c r="Y2039" s="256"/>
      <c r="Z2039" s="256"/>
      <c r="AA2039" s="310"/>
      <c r="AB2039" s="200"/>
      <c r="AC2039" s="312"/>
      <c r="AD2039" s="313"/>
      <c r="AE2039" s="51"/>
      <c r="AF2039" s="314"/>
      <c r="AG2039" s="315"/>
      <c r="AH2039" s="309"/>
      <c r="AI2039" s="28"/>
      <c r="AJ2039" s="28"/>
      <c r="AK2039" s="28"/>
      <c r="AL2039" s="28"/>
      <c r="AM2039" s="12"/>
      <c r="AN2039" s="12"/>
      <c r="AO2039" s="12"/>
      <c r="AP2039" s="12"/>
      <c r="AQ2039" s="12"/>
      <c r="AR2039" s="13"/>
      <c r="AS2039" s="14"/>
    </row>
    <row r="2040" spans="1:45" s="16" customFormat="1" ht="30.95" customHeight="1" x14ac:dyDescent="0.2">
      <c r="A2040" s="303"/>
      <c r="B2040" s="304"/>
      <c r="C2040" s="305"/>
      <c r="D2040" s="306"/>
      <c r="E2040" s="306"/>
      <c r="F2040" s="255"/>
      <c r="G2040" s="256"/>
      <c r="H2040" s="256"/>
      <c r="I2040" s="200"/>
      <c r="J2040" s="347"/>
      <c r="K2040" s="200"/>
      <c r="L2040" s="200"/>
      <c r="M2040" s="308"/>
      <c r="N2040" s="308"/>
      <c r="O2040" s="348"/>
      <c r="P2040" s="309"/>
      <c r="Q2040" s="310"/>
      <c r="R2040" s="257"/>
      <c r="S2040" s="258"/>
      <c r="T2040" s="258"/>
      <c r="U2040" s="311"/>
      <c r="V2040" s="259"/>
      <c r="W2040" s="256"/>
      <c r="X2040" s="256"/>
      <c r="Y2040" s="256"/>
      <c r="Z2040" s="256"/>
      <c r="AA2040" s="310"/>
      <c r="AB2040" s="200"/>
      <c r="AC2040" s="312"/>
      <c r="AD2040" s="313"/>
      <c r="AE2040" s="51"/>
      <c r="AF2040" s="314"/>
      <c r="AG2040" s="315"/>
      <c r="AH2040" s="309"/>
      <c r="AI2040" s="28"/>
      <c r="AJ2040" s="28"/>
      <c r="AK2040" s="28"/>
      <c r="AL2040" s="28"/>
      <c r="AM2040" s="12"/>
      <c r="AN2040" s="12"/>
      <c r="AO2040" s="12"/>
      <c r="AP2040" s="12"/>
      <c r="AQ2040" s="12"/>
      <c r="AR2040" s="13"/>
      <c r="AS2040" s="14"/>
    </row>
    <row r="2041" spans="1:45" s="16" customFormat="1" ht="30.95" customHeight="1" thickBot="1" x14ac:dyDescent="0.25">
      <c r="A2041" s="39"/>
      <c r="B2041" s="40"/>
      <c r="C2041" s="44"/>
      <c r="D2041" s="32"/>
      <c r="E2041" s="32"/>
      <c r="F2041" s="255" t="str">
        <f>IF(D2041="","",VLOOKUP(D2041,契約台帳!$A$3:$K$4986,6,FALSE)&amp;VLOOKUP(D2041,契約台帳!$A$3:$K$4986,7,FALSE)&amp;VLOOKUP(D2041,契約台帳!$A$3:$K$4986,8,FALSE)&amp;VLOOKUP(D2041,契約台帳!$A$3:$K$4986,9,FALSE)&amp;VLOOKUP(D2041,契約台帳!$A$3:$K$4986,11,FALSE))</f>
        <v/>
      </c>
      <c r="G2041" s="256" t="str">
        <f>IF(D2041="","",VLOOKUP(F2041,製品マスタ!$G$5:$H$4999,2,FALSE))</f>
        <v/>
      </c>
      <c r="H2041" s="256" t="str">
        <f>IF(D2041="","",VLOOKUP(F2041,製品マスタ!$G$5:$K$4999,5,FALSE))</f>
        <v/>
      </c>
      <c r="I2041" s="200" t="str">
        <f>IF(D2041="","",VLOOKUP(F2041,製品マスタ!$G$5:$L$4999,6,FALSE))</f>
        <v/>
      </c>
      <c r="J2041" s="204"/>
      <c r="K2041" s="200" t="str">
        <f>IF(D2041="","",VLOOKUP(D2041,契約台帳!$A$3:$L$4986,12,FALSE))</f>
        <v/>
      </c>
      <c r="L2041" s="200" t="str">
        <f>IF(D2041="","",INDEX(製品マスタ!$Q$5:$Q$4999,MATCH('S4'!F2041&amp;'S4'!K2041,製品マスタ!$AO$5:$AO$4999,0)))</f>
        <v/>
      </c>
      <c r="M2041" s="46"/>
      <c r="N2041" s="46"/>
      <c r="O2041" s="154"/>
      <c r="P2041" s="47"/>
      <c r="Q2041" s="55"/>
      <c r="R2041" s="257" t="str">
        <f ca="1">IF(D2041="","",IF(OFFSET(D2041,-1,0)&lt;&gt;"","",IF(OR(J2041="リード付け",J2041="巻足し",J2041="巻返しリード付け"),M2041,VLOOKUP(D2041,契約台帳!$A$3:$N$4986,14,FALSE))))</f>
        <v/>
      </c>
      <c r="S2041" s="258" t="str">
        <f ca="1">IF(D2041="","",IF(OFFSET(D2041,-1,0)&lt;&gt;"","",IF(OR(J2041="リード付け",J2041="巻足し",J2041="巻返しリード付け"),M2041,VLOOKUP(D2041,契約台帳!$A$3:$O$4986,15,FALSE))))</f>
        <v/>
      </c>
      <c r="T2041" s="258" t="str">
        <f ca="1">IF(D2041="","",IF(J2041="リード付け",N2041,IF(J2041="巻返しリード付け",N2041,IF(J2041="巻足し",N2041*P2041+OFFSET(N2041,1,0)*OFFSET(P2041,1,0),VLOOKUP(D2041,契約台帳!$A$3:$P$4986,16,FALSE)))))</f>
        <v/>
      </c>
      <c r="U2041" s="48"/>
      <c r="V2041" s="259" t="str">
        <f ca="1">IF(D2041="","",IF(OFFSET(D2041,-2,0)=D2041,"",VLOOKUP(D2041,契約台帳!$A$3:$R$4986,18,FALSE)))</f>
        <v/>
      </c>
      <c r="W2041" s="256" t="str">
        <f>IF(D2041="","",IF(T2041="","",IF(OR(J2041="巻足し",J2041="巻返しリード付け"),"",IF(J2041="巻返し",VLOOKUP(F2041&amp;K2041&amp;M2041,製品マスタ!$M$5:$AD$4999,18,FALSE),IF(OR(J2041="リード付け",J2041="巻返しリード付け"),"原反コア",IF(J2041="スリット",VLOOKUP(F2041&amp;K2041&amp;R2041,製品マスタ!$N$5:$AD$4999,17,FALSE),""))))))</f>
        <v/>
      </c>
      <c r="X2041" s="256" t="str">
        <f>IF(D2041="","",IF(T2041="","",IF(J2041="巻足し","",IF(J2041="巻返し",VLOOKUP(F2041&amp;K2041&amp;M2041,製品マスタ!$M$5:$AE$4999,19,FALSE),IF(OR(J2041="リード付け",J2041="巻返しリード付け"),"",IF(J2041="スリット",VLOOKUP(F2041&amp;K2041&amp;R2041,製品マスタ!$N$5:$AE$4999,18,FALSE),""))))))</f>
        <v/>
      </c>
      <c r="Y2041" s="256" t="str">
        <f>IF(D2041="","",IF(T2041="","",VLOOKUP(D2041,契約台帳!$A$3:$Q$4986,17,FALSE)))</f>
        <v/>
      </c>
      <c r="Z2041" s="256" t="str">
        <f>IF(D2041="","",IF(T2041="","",VLOOKUP(D2041,契約台帳!$A$3:$E$4986,5,FALSE)))</f>
        <v/>
      </c>
      <c r="AA2041" s="55"/>
      <c r="AB2041" s="200" t="str">
        <f>IFERROR((VLOOKUP(F2041&amp;K2041&amp;M2041,製品マスタ!$M$5:$AM$4999,27,FALSE)),"")</f>
        <v/>
      </c>
      <c r="AC2041" s="34"/>
      <c r="AD2041" s="185"/>
      <c r="AE2041" s="51"/>
      <c r="AF2041" s="53"/>
      <c r="AG2041" s="205"/>
      <c r="AH2041" s="47"/>
      <c r="AI2041" s="28"/>
      <c r="AJ2041" s="28"/>
      <c r="AK2041" s="28"/>
      <c r="AL2041" s="28"/>
      <c r="AM2041" s="12"/>
      <c r="AN2041" s="12"/>
      <c r="AO2041" s="12"/>
      <c r="AP2041" s="12"/>
      <c r="AQ2041" s="12"/>
      <c r="AR2041" s="13"/>
      <c r="AS2041" s="14"/>
    </row>
  </sheetData>
  <mergeCells count="1">
    <mergeCell ref="L2:X2"/>
  </mergeCells>
  <phoneticPr fontId="17"/>
  <printOptions horizontalCentered="1"/>
  <pageMargins left="0" right="0" top="0.27559055118110237" bottom="0" header="0" footer="0"/>
  <pageSetup paperSize="8" scale="35" fitToHeight="0" orientation="portrait" r:id="rId1"/>
  <headerFooter alignWithMargins="0">
    <oddHeader>&amp;L品質記録-PM-10-03-(PM)&amp;R&amp;D  &amp;T</oddHeader>
    <oddFooter>&amp;C&amp;P/&amp;N</oddFooter>
  </headerFooter>
  <rowBreaks count="11" manualBreakCount="11">
    <brk id="274" max="29" man="1"/>
    <brk id="378" max="29" man="1"/>
    <brk id="496" max="29" man="1"/>
    <brk id="596" max="29" man="1"/>
    <brk id="702" max="29" man="1"/>
    <brk id="811" max="29" man="1"/>
    <brk id="834" max="29" man="1"/>
    <brk id="961" max="29" man="1"/>
    <brk id="1166" max="29" man="1"/>
    <brk id="1196" max="29" man="1"/>
    <brk id="1625" max="2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R1610"/>
  <sheetViews>
    <sheetView showZeros="0" zoomScale="60" zoomScaleNormal="60" zoomScaleSheetLayoutView="40" workbookViewId="0">
      <pane xSplit="15" ySplit="4" topLeftCell="P5" activePane="bottomRight" state="frozen"/>
      <selection activeCell="AH1917" sqref="AH1917"/>
      <selection pane="topRight" activeCell="AH1917" sqref="AH1917"/>
      <selection pane="bottomLeft" activeCell="AH1917" sqref="AH1917"/>
      <selection pane="bottomRight" activeCell="A1458" sqref="A5:XFD1458"/>
    </sheetView>
  </sheetViews>
  <sheetFormatPr defaultColWidth="0.125" defaultRowHeight="21" x14ac:dyDescent="0.2"/>
  <cols>
    <col min="1" max="1" width="9" style="1" customWidth="1"/>
    <col min="2" max="2" width="5.25" style="1" customWidth="1"/>
    <col min="3" max="3" width="6.875" style="3" hidden="1" customWidth="1"/>
    <col min="4" max="5" width="15.75" style="1" customWidth="1"/>
    <col min="6" max="6" width="31.75" style="4" hidden="1" customWidth="1"/>
    <col min="7" max="7" width="7.375" style="5" customWidth="1"/>
    <col min="8" max="8" width="13.875" style="5" customWidth="1"/>
    <col min="9" max="9" width="72.625" style="1" bestFit="1" customWidth="1"/>
    <col min="10" max="10" width="15.625" style="1" customWidth="1"/>
    <col min="11" max="11" width="7" style="1" bestFit="1" customWidth="1"/>
    <col min="12" max="12" width="14.125" style="1" bestFit="1" customWidth="1"/>
    <col min="13" max="13" width="9.75" style="6" customWidth="1"/>
    <col min="14" max="14" width="12.875" style="6" bestFit="1" customWidth="1"/>
    <col min="15" max="15" width="7" style="1" bestFit="1" customWidth="1"/>
    <col min="16" max="16" width="9.625" style="1" bestFit="1" customWidth="1"/>
    <col min="17" max="17" width="9.75" style="21" bestFit="1" customWidth="1"/>
    <col min="18" max="19" width="11.125" style="22" customWidth="1"/>
    <col min="20" max="21" width="6.25" style="7" customWidth="1"/>
    <col min="22" max="22" width="13.625" style="5" bestFit="1" customWidth="1"/>
    <col min="23" max="23" width="12.625" style="5" bestFit="1" customWidth="1"/>
    <col min="24" max="24" width="6.25" style="7" customWidth="1"/>
    <col min="25" max="25" width="31.125" style="5" bestFit="1" customWidth="1"/>
    <col min="26" max="26" width="9.625" style="1" bestFit="1" customWidth="1"/>
    <col min="27" max="29" width="18.625" style="1" customWidth="1"/>
    <col min="30" max="30" width="15.125" style="1" customWidth="1"/>
    <col min="31" max="32" width="16.75" style="1" customWidth="1"/>
    <col min="33" max="33" width="19.875" style="1" bestFit="1" customWidth="1"/>
    <col min="34" max="34" width="15.375" style="11" bestFit="1" customWidth="1"/>
    <col min="35" max="35" width="15.375" style="11" customWidth="1"/>
    <col min="36" max="36" width="9.75" style="11" customWidth="1"/>
    <col min="37" max="37" width="14.5" style="11" customWidth="1"/>
    <col min="38" max="42" width="12.875" style="12" hidden="1" customWidth="1"/>
    <col min="43" max="43" width="12.875" style="13" hidden="1" customWidth="1"/>
    <col min="44" max="44" width="12.875" style="14" hidden="1" customWidth="1"/>
    <col min="45" max="45" width="15.375" style="1" customWidth="1"/>
    <col min="46" max="16384" width="0.125" style="1"/>
  </cols>
  <sheetData>
    <row r="1" spans="1:44" ht="29.25" thickBot="1" x14ac:dyDescent="0.35">
      <c r="A1" s="2"/>
      <c r="F1" s="56" t="s">
        <v>379</v>
      </c>
      <c r="P1" s="49"/>
      <c r="Q1" s="1"/>
      <c r="R1" s="5"/>
      <c r="S1" s="5"/>
      <c r="Z1" s="8"/>
      <c r="AA1" s="9" t="s">
        <v>380</v>
      </c>
      <c r="AB1" s="9" t="s">
        <v>381</v>
      </c>
      <c r="AC1" s="10" t="s">
        <v>382</v>
      </c>
      <c r="AD1" s="49"/>
    </row>
    <row r="2" spans="1:44" ht="112.5" customHeight="1" thickBot="1" x14ac:dyDescent="0.35">
      <c r="A2" s="15" t="s">
        <v>417</v>
      </c>
      <c r="I2" s="16" t="s">
        <v>384</v>
      </c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17"/>
      <c r="AA2" s="18"/>
      <c r="AB2" s="18"/>
      <c r="AC2" s="19"/>
      <c r="AG2" s="20"/>
      <c r="AL2" s="12" t="s">
        <v>385</v>
      </c>
      <c r="AM2" s="12" t="s">
        <v>386</v>
      </c>
      <c r="AN2" s="12" t="s">
        <v>387</v>
      </c>
      <c r="AO2" s="12" t="s">
        <v>388</v>
      </c>
      <c r="AP2" s="12" t="s">
        <v>389</v>
      </c>
      <c r="AQ2" s="13" t="s">
        <v>390</v>
      </c>
      <c r="AR2" s="14" t="s">
        <v>391</v>
      </c>
    </row>
    <row r="3" spans="1:44" ht="18" customHeight="1" thickBot="1" x14ac:dyDescent="0.25"/>
    <row r="4" spans="1:44" ht="52.5" thickBot="1" x14ac:dyDescent="0.25">
      <c r="A4" s="179" t="s">
        <v>392</v>
      </c>
      <c r="B4" s="180" t="s">
        <v>393</v>
      </c>
      <c r="C4" s="181" t="s">
        <v>394</v>
      </c>
      <c r="D4" s="164" t="s">
        <v>395</v>
      </c>
      <c r="E4" s="165" t="s">
        <v>396</v>
      </c>
      <c r="F4" s="166" t="s">
        <v>397</v>
      </c>
      <c r="G4" s="167" t="s">
        <v>398</v>
      </c>
      <c r="H4" s="162" t="s">
        <v>399</v>
      </c>
      <c r="I4" s="168" t="s">
        <v>400</v>
      </c>
      <c r="J4" s="250">
        <v>1</v>
      </c>
      <c r="K4" s="162" t="s">
        <v>401</v>
      </c>
      <c r="L4" s="162" t="s">
        <v>402</v>
      </c>
      <c r="M4" s="169" t="s">
        <v>403</v>
      </c>
      <c r="N4" s="155" t="s">
        <v>404</v>
      </c>
      <c r="O4" s="170" t="s">
        <v>405</v>
      </c>
      <c r="P4" s="158" t="s">
        <v>481</v>
      </c>
      <c r="Q4" s="159" t="s">
        <v>406</v>
      </c>
      <c r="R4" s="160" t="s">
        <v>407</v>
      </c>
      <c r="S4" s="160" t="s">
        <v>408</v>
      </c>
      <c r="T4" s="161" t="s">
        <v>418</v>
      </c>
      <c r="U4" s="161" t="s">
        <v>488</v>
      </c>
      <c r="V4" s="162" t="s">
        <v>410</v>
      </c>
      <c r="W4" s="162" t="s">
        <v>411</v>
      </c>
      <c r="X4" s="171" t="s">
        <v>412</v>
      </c>
      <c r="Y4" s="170" t="s">
        <v>413</v>
      </c>
      <c r="Z4" s="158" t="s">
        <v>482</v>
      </c>
      <c r="AA4" s="168" t="s">
        <v>414</v>
      </c>
      <c r="AB4" s="251">
        <v>2</v>
      </c>
      <c r="AC4" s="252">
        <v>3</v>
      </c>
      <c r="AD4" s="253">
        <v>4</v>
      </c>
      <c r="AE4" s="23" t="s">
        <v>415</v>
      </c>
      <c r="AF4" s="208" t="s">
        <v>543</v>
      </c>
      <c r="AG4" s="42" t="s">
        <v>416</v>
      </c>
      <c r="AH4" s="24"/>
      <c r="AI4" s="24"/>
      <c r="AJ4" s="24"/>
      <c r="AK4" s="24"/>
      <c r="AL4" s="25"/>
      <c r="AM4" s="25"/>
      <c r="AN4" s="25"/>
      <c r="AO4" s="25"/>
      <c r="AP4" s="25"/>
      <c r="AQ4" s="26"/>
      <c r="AR4" s="27"/>
    </row>
    <row r="5" spans="1:44" s="16" customFormat="1" ht="30.95" hidden="1" customHeight="1" x14ac:dyDescent="0.2">
      <c r="A5" s="35" t="s">
        <v>740</v>
      </c>
      <c r="B5" s="36" t="s">
        <v>748</v>
      </c>
      <c r="C5" s="43"/>
      <c r="D5" s="29"/>
      <c r="E5" s="29"/>
      <c r="F5" s="255" t="str">
        <f>IF(D5="","",VLOOKUP(D5,契約台帳!$A$3:$K$4986,6,FALSE)&amp;VLOOKUP(D5,契約台帳!$A$3:$K$4986,7,FALSE)&amp;VLOOKUP(D5,契約台帳!$A$3:$K$4986,8,FALSE)&amp;VLOOKUP(D5,契約台帳!$A$3:$K$4986,9,FALSE)&amp;VLOOKUP(D5,契約台帳!$A$3:$K$4986,11,FALSE))</f>
        <v/>
      </c>
      <c r="G5" s="256" t="str">
        <f>IF(D5="","",VLOOKUP(F5,製品マスタ!$G$5:$H$4999,2,FALSE))</f>
        <v/>
      </c>
      <c r="H5" s="256" t="str">
        <f>IF(D5="","",VLOOKUP(F5,製品マスタ!$G$5:$K$4999,5,FALSE))</f>
        <v/>
      </c>
      <c r="I5" s="200" t="str">
        <f>IF(D5="","",VLOOKUP(F5,製品マスタ!$G$5:$L$4999,6,FALSE))</f>
        <v/>
      </c>
      <c r="J5" s="203" t="s">
        <v>448</v>
      </c>
      <c r="K5" s="200" t="str">
        <f>IF(D5="","",VLOOKUP(D5,契約台帳!$A$3:$L$4986,12,FALSE))</f>
        <v/>
      </c>
      <c r="L5" s="200" t="str">
        <f>IF(D5="","",INDEX(製品マスタ!$Q$5:$Q$4999,MATCH(F5&amp;K5,製品マスタ!$AO$5:$AO$4999,0)))</f>
        <v/>
      </c>
      <c r="M5" s="37"/>
      <c r="N5" s="37"/>
      <c r="O5" s="45"/>
      <c r="P5" s="54"/>
      <c r="Q5" s="260" t="str">
        <f>IF(D5="","",IF(J5="リード付け",M5,VLOOKUP(D5,契約台帳!$A$3:$N$4986,14,FALSE)))</f>
        <v/>
      </c>
      <c r="R5" s="261" t="str">
        <f>IF(D5="","",IF(J5="リード付け",M5,VLOOKUP(D5,契約台帳!$A$3:$O$4986,15,FALSE)))</f>
        <v/>
      </c>
      <c r="S5" s="261" t="str">
        <f>IF(D5="","",IF(J5="リード付け",N5,VLOOKUP(D5,契約台帳!$A$3:$P$4986,16,FALSE)))</f>
        <v/>
      </c>
      <c r="T5" s="38"/>
      <c r="U5" s="261" t="str">
        <f ca="1">IF(D5="","",IF(OFFSET(D5,-2,0)=D5,"",VLOOKUP(D5,契約台帳!$A$3:$R$4986,18,FALSE)))</f>
        <v/>
      </c>
      <c r="V5" s="256" t="str">
        <f>IF(J5="巻返し",VLOOKUP(F5&amp;K5&amp;M5,製品マスタ!$M$5:$AD$4999,18,FALSE),IF(J5="リード付け","原反コア",IF(J5="スリット",VLOOKUP(F5&amp;K5&amp;Q5,製品マスタ!$N$5:$AD$4999,17,FALSE),"")))</f>
        <v/>
      </c>
      <c r="W5" s="256" t="str">
        <f>IF(J5="巻返し",VLOOKUP(F5&amp;K5&amp;M5,製品マスタ!$M$5:$AE$4999,19,FALSE),IF(J5="リード付け","-",IF(J5="スリット",VLOOKUP(F5&amp;K5&amp;Q5,製品マスタ!$N$5:$AE$4999,18,FALSE),"")))</f>
        <v/>
      </c>
      <c r="X5" s="256" t="str">
        <f>IF(D5="","",VLOOKUP(D5,契約台帳!$A$3:$Q$4986,17,FALSE))</f>
        <v/>
      </c>
      <c r="Y5" s="256" t="str">
        <f>IF(D5="","",VLOOKUP(D5,契約台帳!$A$3:$E$4986,5,FALSE))</f>
        <v/>
      </c>
      <c r="Z5" s="54"/>
      <c r="AA5" s="200" t="str">
        <f>IFERROR(VLOOKUP(F5&amp;K5&amp;M5,製品マスタ!$M$5:$AM$4999,27,FALSE),"")</f>
        <v/>
      </c>
      <c r="AB5" s="31"/>
      <c r="AC5" s="184"/>
      <c r="AD5" s="51"/>
      <c r="AE5" s="52"/>
      <c r="AF5" s="41"/>
      <c r="AG5" s="45"/>
      <c r="AH5" s="28"/>
      <c r="AI5" s="28"/>
      <c r="AJ5" s="28"/>
      <c r="AK5" s="28"/>
      <c r="AL5" s="12"/>
      <c r="AM5" s="12"/>
      <c r="AN5" s="12"/>
      <c r="AO5" s="12"/>
      <c r="AP5" s="12"/>
      <c r="AQ5" s="13"/>
      <c r="AR5" s="14"/>
    </row>
    <row r="6" spans="1:44" s="16" customFormat="1" ht="30.95" hidden="1" customHeight="1" x14ac:dyDescent="0.2">
      <c r="A6" s="35"/>
      <c r="B6" s="36"/>
      <c r="C6" s="43"/>
      <c r="D6" s="29"/>
      <c r="E6" s="29"/>
      <c r="F6" s="255" t="str">
        <f>IF(D6="","",VLOOKUP(D6,契約台帳!$A$3:$K$4986,6,FALSE)&amp;VLOOKUP(D6,契約台帳!$A$3:$K$4986,7,FALSE)&amp;VLOOKUP(D6,契約台帳!$A$3:$K$4986,8,FALSE)&amp;VLOOKUP(D6,契約台帳!$A$3:$K$4986,9,FALSE)&amp;VLOOKUP(D6,契約台帳!$A$3:$K$4986,11,FALSE))</f>
        <v/>
      </c>
      <c r="G6" s="256" t="str">
        <f>IF(D6="","",VLOOKUP(F6,製品マスタ!$G$5:$H$4999,2,FALSE))</f>
        <v/>
      </c>
      <c r="H6" s="256" t="str">
        <f>IF(D6="","",VLOOKUP(F6,製品マスタ!$G$5:$K$4999,5,FALSE))</f>
        <v/>
      </c>
      <c r="I6" s="200" t="str">
        <f>IF(D6="","",VLOOKUP(F6,製品マスタ!$G$5:$L$4999,6,FALSE))</f>
        <v/>
      </c>
      <c r="J6" s="203"/>
      <c r="K6" s="200" t="str">
        <f>IF(D6="","",VLOOKUP(D6,契約台帳!$A$3:$L$4986,12,FALSE))</f>
        <v/>
      </c>
      <c r="L6" s="200" t="str">
        <f>IF(D6="","",INDEX(製品マスタ!$Q$5:$Q$4999,MATCH(F6&amp;K6,製品マスタ!$AO$5:$AO$4999,0)))</f>
        <v/>
      </c>
      <c r="M6" s="37"/>
      <c r="N6" s="37"/>
      <c r="O6" s="45"/>
      <c r="P6" s="54"/>
      <c r="Q6" s="260" t="str">
        <f>IF(D6="","",IF(J6="リード付け",M6,VLOOKUP(D6,契約台帳!$A$3:$N$4986,14,FALSE)))</f>
        <v/>
      </c>
      <c r="R6" s="261" t="str">
        <f>IF(D6="","",IF(J6="リード付け",M6,VLOOKUP(D6,契約台帳!$A$3:$O$4986,15,FALSE)))</f>
        <v/>
      </c>
      <c r="S6" s="261" t="str">
        <f>IF(D6="","",IF(J6="リード付け",N6,VLOOKUP(D6,契約台帳!$A$3:$P$4986,16,FALSE)))</f>
        <v/>
      </c>
      <c r="T6" s="38"/>
      <c r="U6" s="261" t="str">
        <f ca="1">IF(D6="","",IF(OFFSET(D6,-2,0)=D6,"",VLOOKUP(D6,契約台帳!$A$3:$R$4986,18,FALSE)))</f>
        <v/>
      </c>
      <c r="V6" s="256" t="str">
        <f>IF(J6="巻返し",VLOOKUP(F6&amp;K6&amp;M6,製品マスタ!$M$5:$AD$4999,18,FALSE),IF(J6="リード付け","原反コア",IF(J6="スリット",VLOOKUP(F6&amp;K6&amp;Q6,製品マスタ!$N$5:$AD$4999,17,FALSE),"")))</f>
        <v/>
      </c>
      <c r="W6" s="256" t="str">
        <f>IF(J6="巻返し",VLOOKUP(F6&amp;K6&amp;M6,製品マスタ!$M$5:$AE$4999,19,FALSE),IF(J6="リード付け","-",IF(J6="スリット",VLOOKUP(F6&amp;K6&amp;Q6,製品マスタ!$N$5:$AE$4999,18,FALSE),"")))</f>
        <v/>
      </c>
      <c r="X6" s="256" t="str">
        <f>IF(D6="","",VLOOKUP(D6,契約台帳!$A$3:$Q$4986,17,FALSE))</f>
        <v/>
      </c>
      <c r="Y6" s="256" t="str">
        <f>IF(D6="","",VLOOKUP(D6,契約台帳!$A$3:$E$4986,5,FALSE))</f>
        <v/>
      </c>
      <c r="Z6" s="54"/>
      <c r="AA6" s="200" t="str">
        <f>IFERROR(VLOOKUP(F6&amp;K6&amp;M6,製品マスタ!$M$5:$AM$4999,27,FALSE),"")</f>
        <v/>
      </c>
      <c r="AB6" s="31"/>
      <c r="AC6" s="184"/>
      <c r="AD6" s="51"/>
      <c r="AE6" s="52"/>
      <c r="AF6" s="41"/>
      <c r="AG6" s="45"/>
      <c r="AH6" s="28"/>
      <c r="AI6" s="28"/>
      <c r="AJ6" s="28"/>
      <c r="AK6" s="28"/>
      <c r="AL6" s="12"/>
      <c r="AM6" s="12"/>
      <c r="AN6" s="12"/>
      <c r="AO6" s="12"/>
      <c r="AP6" s="12"/>
      <c r="AQ6" s="13"/>
      <c r="AR6" s="14"/>
    </row>
    <row r="7" spans="1:44" s="16" customFormat="1" ht="30.95" hidden="1" customHeight="1" x14ac:dyDescent="0.2">
      <c r="A7" s="35" t="s">
        <v>741</v>
      </c>
      <c r="B7" s="36" t="s">
        <v>749</v>
      </c>
      <c r="C7" s="43"/>
      <c r="D7" s="29"/>
      <c r="E7" s="29"/>
      <c r="F7" s="255" t="str">
        <f>IF(D7="","",VLOOKUP(D7,契約台帳!$A$3:$K$4986,6,FALSE)&amp;VLOOKUP(D7,契約台帳!$A$3:$K$4986,7,FALSE)&amp;VLOOKUP(D7,契約台帳!$A$3:$K$4986,8,FALSE)&amp;VLOOKUP(D7,契約台帳!$A$3:$K$4986,9,FALSE)&amp;VLOOKUP(D7,契約台帳!$A$3:$K$4986,11,FALSE))</f>
        <v/>
      </c>
      <c r="G7" s="256" t="str">
        <f>IF(D7="","",VLOOKUP(F7,製品マスタ!$G$5:$H$4999,2,FALSE))</f>
        <v/>
      </c>
      <c r="H7" s="256" t="str">
        <f>IF(D7="","",VLOOKUP(F7,製品マスタ!$G$5:$K$4999,5,FALSE))</f>
        <v/>
      </c>
      <c r="I7" s="200" t="str">
        <f>IF(D7="","",VLOOKUP(F7,製品マスタ!$G$5:$L$4999,6,FALSE))</f>
        <v/>
      </c>
      <c r="J7" s="203" t="s">
        <v>448</v>
      </c>
      <c r="K7" s="200" t="str">
        <f>IF(D7="","",VLOOKUP(D7,契約台帳!$A$3:$L$4986,12,FALSE))</f>
        <v/>
      </c>
      <c r="L7" s="200" t="str">
        <f>IF(D7="","",INDEX(製品マスタ!$Q$5:$Q$4999,MATCH(F7&amp;K7,製品マスタ!$AO$5:$AO$4999,0)))</f>
        <v/>
      </c>
      <c r="M7" s="37"/>
      <c r="N7" s="37"/>
      <c r="O7" s="45"/>
      <c r="P7" s="54"/>
      <c r="Q7" s="260" t="str">
        <f>IF(D7="","",IF(J7="リード付け",M7,VLOOKUP(D7,契約台帳!$A$3:$N$4986,14,FALSE)))</f>
        <v/>
      </c>
      <c r="R7" s="261" t="str">
        <f>IF(D7="","",IF(J7="リード付け",M7,VLOOKUP(D7,契約台帳!$A$3:$O$4986,15,FALSE)))</f>
        <v/>
      </c>
      <c r="S7" s="261" t="str">
        <f>IF(D7="","",IF(J7="リード付け",N7,VLOOKUP(D7,契約台帳!$A$3:$P$4986,16,FALSE)))</f>
        <v/>
      </c>
      <c r="T7" s="38"/>
      <c r="U7" s="261" t="str">
        <f ca="1">IF(D7="","",IF(OFFSET(D7,-2,0)=D7,"",VLOOKUP(D7,契約台帳!$A$3:$R$4986,18,FALSE)))</f>
        <v/>
      </c>
      <c r="V7" s="256" t="str">
        <f>IF(J7="巻返し",VLOOKUP(F7&amp;K7&amp;M7,製品マスタ!$M$5:$AD$4999,18,FALSE),IF(J7="リード付け","原反コア",IF(J7="スリット",VLOOKUP(F7&amp;K7&amp;Q7,製品マスタ!$N$5:$AD$4999,17,FALSE),"")))</f>
        <v/>
      </c>
      <c r="W7" s="256" t="str">
        <f>IF(J7="巻返し",VLOOKUP(F7&amp;K7&amp;M7,製品マスタ!$M$5:$AE$4999,19,FALSE),IF(J7="リード付け","-",IF(J7="スリット",VLOOKUP(F7&amp;K7&amp;Q7,製品マスタ!$N$5:$AE$4999,18,FALSE),"")))</f>
        <v/>
      </c>
      <c r="X7" s="256" t="str">
        <f>IF(D7="","",VLOOKUP(D7,契約台帳!$A$3:$Q$4986,17,FALSE))</f>
        <v/>
      </c>
      <c r="Y7" s="256" t="str">
        <f>IF(D7="","",VLOOKUP(D7,契約台帳!$A$3:$E$4986,5,FALSE))</f>
        <v/>
      </c>
      <c r="Z7" s="54"/>
      <c r="AA7" s="200" t="str">
        <f>IFERROR(VLOOKUP(F7&amp;K7&amp;M7,製品マスタ!$M$5:$AM$4999,27,FALSE),"")</f>
        <v/>
      </c>
      <c r="AB7" s="31"/>
      <c r="AC7" s="184"/>
      <c r="AD7" s="51"/>
      <c r="AE7" s="52"/>
      <c r="AF7" s="41"/>
      <c r="AG7" s="45"/>
      <c r="AH7" s="28"/>
      <c r="AI7" s="28"/>
      <c r="AJ7" s="28"/>
      <c r="AK7" s="28"/>
      <c r="AL7" s="12"/>
      <c r="AM7" s="12"/>
      <c r="AN7" s="12"/>
      <c r="AO7" s="12"/>
      <c r="AP7" s="12"/>
      <c r="AQ7" s="13"/>
      <c r="AR7" s="14"/>
    </row>
    <row r="8" spans="1:44" s="16" customFormat="1" ht="30.95" hidden="1" customHeight="1" x14ac:dyDescent="0.2">
      <c r="A8" s="35"/>
      <c r="B8" s="36"/>
      <c r="C8" s="43"/>
      <c r="D8" s="29"/>
      <c r="E8" s="29"/>
      <c r="F8" s="255" t="str">
        <f>IF(D8="","",VLOOKUP(D8,契約台帳!$A$3:$K$4986,6,FALSE)&amp;VLOOKUP(D8,契約台帳!$A$3:$K$4986,7,FALSE)&amp;VLOOKUP(D8,契約台帳!$A$3:$K$4986,8,FALSE)&amp;VLOOKUP(D8,契約台帳!$A$3:$K$4986,9,FALSE)&amp;VLOOKUP(D8,契約台帳!$A$3:$K$4986,11,FALSE))</f>
        <v/>
      </c>
      <c r="G8" s="256" t="str">
        <f>IF(D8="","",VLOOKUP(F8,製品マスタ!$G$5:$H$4999,2,FALSE))</f>
        <v/>
      </c>
      <c r="H8" s="256" t="str">
        <f>IF(D8="","",VLOOKUP(F8,製品マスタ!$G$5:$K$4999,5,FALSE))</f>
        <v/>
      </c>
      <c r="I8" s="200" t="str">
        <f>IF(D8="","",VLOOKUP(F8,製品マスタ!$G$5:$L$4999,6,FALSE))</f>
        <v/>
      </c>
      <c r="J8" s="203"/>
      <c r="K8" s="200" t="str">
        <f>IF(D8="","",VLOOKUP(D8,契約台帳!$A$3:$L$4986,12,FALSE))</f>
        <v/>
      </c>
      <c r="L8" s="200" t="str">
        <f>IF(D8="","",INDEX(製品マスタ!$Q$5:$Q$4999,MATCH(F8&amp;K8,製品マスタ!$AO$5:$AO$4999,0)))</f>
        <v/>
      </c>
      <c r="M8" s="37"/>
      <c r="N8" s="37"/>
      <c r="O8" s="45"/>
      <c r="P8" s="54"/>
      <c r="Q8" s="260" t="str">
        <f>IF(D8="","",IF(J8="リード付け",M8,VLOOKUP(D8,契約台帳!$A$3:$N$4986,14,FALSE)))</f>
        <v/>
      </c>
      <c r="R8" s="261" t="str">
        <f>IF(D8="","",IF(J8="リード付け",M8,VLOOKUP(D8,契約台帳!$A$3:$O$4986,15,FALSE)))</f>
        <v/>
      </c>
      <c r="S8" s="261" t="str">
        <f>IF(D8="","",IF(J8="リード付け",N8,VLOOKUP(D8,契約台帳!$A$3:$P$4986,16,FALSE)))</f>
        <v/>
      </c>
      <c r="T8" s="38"/>
      <c r="U8" s="261" t="str">
        <f ca="1">IF(D8="","",IF(OFFSET(D8,-2,0)=D8,"",VLOOKUP(D8,契約台帳!$A$3:$R$4986,18,FALSE)))</f>
        <v/>
      </c>
      <c r="V8" s="256" t="str">
        <f>IF(J8="巻返し",VLOOKUP(F8&amp;K8&amp;M8,製品マスタ!$M$5:$AD$4999,18,FALSE),IF(J8="リード付け","原反コア",IF(J8="スリット",VLOOKUP(F8&amp;K8&amp;Q8,製品マスタ!$N$5:$AD$4999,17,FALSE),"")))</f>
        <v/>
      </c>
      <c r="W8" s="256" t="str">
        <f>IF(J8="巻返し",VLOOKUP(F8&amp;K8&amp;M8,製品マスタ!$M$5:$AE$4999,19,FALSE),IF(J8="リード付け","-",IF(J8="スリット",VLOOKUP(F8&amp;K8&amp;Q8,製品マスタ!$N$5:$AE$4999,18,FALSE),"")))</f>
        <v/>
      </c>
      <c r="X8" s="256" t="str">
        <f>IF(D8="","",VLOOKUP(D8,契約台帳!$A$3:$Q$4986,17,FALSE))</f>
        <v/>
      </c>
      <c r="Y8" s="256" t="str">
        <f>IF(D8="","",VLOOKUP(D8,契約台帳!$A$3:$E$4986,5,FALSE))</f>
        <v/>
      </c>
      <c r="Z8" s="54"/>
      <c r="AA8" s="200" t="str">
        <f>IFERROR(VLOOKUP(F8&amp;K8&amp;M8,製品マスタ!$M$5:$AM$4999,27,FALSE),"")</f>
        <v/>
      </c>
      <c r="AB8" s="31"/>
      <c r="AC8" s="184"/>
      <c r="AD8" s="51"/>
      <c r="AE8" s="52"/>
      <c r="AF8" s="41"/>
      <c r="AG8" s="45"/>
      <c r="AH8" s="28"/>
      <c r="AI8" s="28"/>
      <c r="AJ8" s="28"/>
      <c r="AK8" s="28"/>
      <c r="AL8" s="12"/>
      <c r="AM8" s="12"/>
      <c r="AN8" s="12"/>
      <c r="AO8" s="12"/>
      <c r="AP8" s="12"/>
      <c r="AQ8" s="13"/>
      <c r="AR8" s="14"/>
    </row>
    <row r="9" spans="1:44" s="16" customFormat="1" ht="30.95" hidden="1" customHeight="1" x14ac:dyDescent="0.2">
      <c r="A9" s="35" t="s">
        <v>742</v>
      </c>
      <c r="B9" s="36" t="s">
        <v>750</v>
      </c>
      <c r="C9" s="43"/>
      <c r="D9" s="29"/>
      <c r="E9" s="29"/>
      <c r="F9" s="255" t="str">
        <f>IF(D9="","",VLOOKUP(D9,契約台帳!$A$3:$K$4986,6,FALSE)&amp;VLOOKUP(D9,契約台帳!$A$3:$K$4986,7,FALSE)&amp;VLOOKUP(D9,契約台帳!$A$3:$K$4986,8,FALSE)&amp;VLOOKUP(D9,契約台帳!$A$3:$K$4986,9,FALSE)&amp;VLOOKUP(D9,契約台帳!$A$3:$K$4986,11,FALSE))</f>
        <v/>
      </c>
      <c r="G9" s="256" t="str">
        <f>IF(D9="","",VLOOKUP(F9,製品マスタ!$G$5:$H$4999,2,FALSE))</f>
        <v/>
      </c>
      <c r="H9" s="256" t="str">
        <f>IF(D9="","",VLOOKUP(F9,製品マスタ!$G$5:$K$4999,5,FALSE))</f>
        <v/>
      </c>
      <c r="I9" s="200" t="str">
        <f>IF(D9="","",VLOOKUP(F9,製品マスタ!$G$5:$L$4999,6,FALSE))</f>
        <v/>
      </c>
      <c r="J9" s="203" t="s">
        <v>448</v>
      </c>
      <c r="K9" s="200" t="str">
        <f>IF(D9="","",VLOOKUP(D9,契約台帳!$A$3:$L$4986,12,FALSE))</f>
        <v/>
      </c>
      <c r="L9" s="200" t="str">
        <f>IF(D9="","",INDEX(製品マスタ!$Q$5:$Q$4999,MATCH(F9&amp;K9,製品マスタ!$AO$5:$AO$4999,0)))</f>
        <v/>
      </c>
      <c r="M9" s="37"/>
      <c r="N9" s="37"/>
      <c r="O9" s="45"/>
      <c r="P9" s="54"/>
      <c r="Q9" s="260" t="str">
        <f>IF(D9="","",IF(J9="リード付け",M9,VLOOKUP(D9,契約台帳!$A$3:$N$4986,14,FALSE)))</f>
        <v/>
      </c>
      <c r="R9" s="261" t="str">
        <f>IF(D9="","",IF(J9="リード付け",M9,VLOOKUP(D9,契約台帳!$A$3:$O$4986,15,FALSE)))</f>
        <v/>
      </c>
      <c r="S9" s="261" t="str">
        <f>IF(D9="","",IF(J9="リード付け",N9,VLOOKUP(D9,契約台帳!$A$3:$P$4986,16,FALSE)))</f>
        <v/>
      </c>
      <c r="T9" s="38"/>
      <c r="U9" s="261" t="str">
        <f ca="1">IF(D9="","",IF(OFFSET(D9,-2,0)=D9,"",VLOOKUP(D9,契約台帳!$A$3:$R$4986,18,FALSE)))</f>
        <v/>
      </c>
      <c r="V9" s="256" t="str">
        <f>IF(J9="巻返し",VLOOKUP(F9&amp;K9&amp;M9,製品マスタ!$M$5:$AD$4999,18,FALSE),IF(J9="リード付け","原反コア",IF(J9="スリット",VLOOKUP(F9&amp;K9&amp;Q9,製品マスタ!$N$5:$AD$4999,17,FALSE),"")))</f>
        <v/>
      </c>
      <c r="W9" s="256" t="str">
        <f>IF(J9="巻返し",VLOOKUP(F9&amp;K9&amp;M9,製品マスタ!$M$5:$AE$4999,19,FALSE),IF(J9="リード付け","-",IF(J9="スリット",VLOOKUP(F9&amp;K9&amp;Q9,製品マスタ!$N$5:$AE$4999,18,FALSE),"")))</f>
        <v/>
      </c>
      <c r="X9" s="256" t="str">
        <f>IF(D9="","",VLOOKUP(D9,契約台帳!$A$3:$Q$4986,17,FALSE))</f>
        <v/>
      </c>
      <c r="Y9" s="256" t="str">
        <f>IF(D9="","",VLOOKUP(D9,契約台帳!$A$3:$E$4986,5,FALSE))</f>
        <v/>
      </c>
      <c r="Z9" s="54"/>
      <c r="AA9" s="200" t="str">
        <f>IFERROR(VLOOKUP(F9&amp;K9&amp;M9,製品マスタ!$M$5:$AM$4999,27,FALSE),"")</f>
        <v/>
      </c>
      <c r="AB9" s="31"/>
      <c r="AC9" s="184"/>
      <c r="AD9" s="51"/>
      <c r="AE9" s="52"/>
      <c r="AF9" s="41"/>
      <c r="AG9" s="45"/>
      <c r="AH9" s="28"/>
      <c r="AI9" s="28"/>
      <c r="AJ9" s="28"/>
      <c r="AK9" s="28"/>
      <c r="AL9" s="12"/>
      <c r="AM9" s="12"/>
      <c r="AN9" s="12"/>
      <c r="AO9" s="12"/>
      <c r="AP9" s="12"/>
      <c r="AQ9" s="13"/>
      <c r="AR9" s="14"/>
    </row>
    <row r="10" spans="1:44" s="16" customFormat="1" ht="30.95" hidden="1" customHeight="1" x14ac:dyDescent="0.2">
      <c r="A10" s="35"/>
      <c r="B10" s="36"/>
      <c r="C10" s="43"/>
      <c r="D10" s="29"/>
      <c r="E10" s="29"/>
      <c r="F10" s="255" t="str">
        <f>IF(D10="","",VLOOKUP(D10,契約台帳!$A$3:$K$4986,6,FALSE)&amp;VLOOKUP(D10,契約台帳!$A$3:$K$4986,7,FALSE)&amp;VLOOKUP(D10,契約台帳!$A$3:$K$4986,8,FALSE)&amp;VLOOKUP(D10,契約台帳!$A$3:$K$4986,9,FALSE)&amp;VLOOKUP(D10,契約台帳!$A$3:$K$4986,11,FALSE))</f>
        <v/>
      </c>
      <c r="G10" s="256" t="str">
        <f>IF(D10="","",VLOOKUP(F10,製品マスタ!$G$5:$H$4999,2,FALSE))</f>
        <v/>
      </c>
      <c r="H10" s="256" t="str">
        <f>IF(D10="","",VLOOKUP(F10,製品マスタ!$G$5:$K$4999,5,FALSE))</f>
        <v/>
      </c>
      <c r="I10" s="200" t="str">
        <f>IF(D10="","",VLOOKUP(F10,製品マスタ!$G$5:$L$4999,6,FALSE))</f>
        <v/>
      </c>
      <c r="J10" s="203"/>
      <c r="K10" s="200" t="str">
        <f>IF(D10="","",VLOOKUP(D10,契約台帳!$A$3:$L$4986,12,FALSE))</f>
        <v/>
      </c>
      <c r="L10" s="200" t="str">
        <f>IF(D10="","",INDEX(製品マスタ!$Q$5:$Q$4999,MATCH(F10&amp;K10,製品マスタ!$AO$5:$AO$4999,0)))</f>
        <v/>
      </c>
      <c r="M10" s="37"/>
      <c r="N10" s="37"/>
      <c r="O10" s="45"/>
      <c r="P10" s="54"/>
      <c r="Q10" s="260" t="str">
        <f>IF(D10="","",IF(J10="リード付け",M10,VLOOKUP(D10,契約台帳!$A$3:$N$4986,14,FALSE)))</f>
        <v/>
      </c>
      <c r="R10" s="261" t="str">
        <f>IF(D10="","",IF(J10="リード付け",M10,VLOOKUP(D10,契約台帳!$A$3:$O$4986,15,FALSE)))</f>
        <v/>
      </c>
      <c r="S10" s="261" t="str">
        <f>IF(D10="","",IF(J10="リード付け",N10,VLOOKUP(D10,契約台帳!$A$3:$P$4986,16,FALSE)))</f>
        <v/>
      </c>
      <c r="T10" s="38"/>
      <c r="U10" s="261" t="str">
        <f ca="1">IF(D10="","",IF(OFFSET(D10,-2,0)=D10,"",VLOOKUP(D10,契約台帳!$A$3:$R$4986,18,FALSE)))</f>
        <v/>
      </c>
      <c r="V10" s="256" t="str">
        <f>IF(J10="巻返し",VLOOKUP(F10&amp;K10&amp;M10,製品マスタ!$M$5:$AD$4999,18,FALSE),IF(J10="リード付け","原反コア",IF(J10="スリット",VLOOKUP(F10&amp;K10&amp;Q10,製品マスタ!$N$5:$AD$4999,17,FALSE),"")))</f>
        <v/>
      </c>
      <c r="W10" s="256" t="str">
        <f>IF(J10="巻返し",VLOOKUP(F10&amp;K10&amp;M10,製品マスタ!$M$5:$AE$4999,19,FALSE),IF(J10="リード付け","-",IF(J10="スリット",VLOOKUP(F10&amp;K10&amp;Q10,製品マスタ!$N$5:$AE$4999,18,FALSE),"")))</f>
        <v/>
      </c>
      <c r="X10" s="256" t="str">
        <f>IF(D10="","",VLOOKUP(D10,契約台帳!$A$3:$Q$4986,17,FALSE))</f>
        <v/>
      </c>
      <c r="Y10" s="256" t="str">
        <f>IF(D10="","",VLOOKUP(D10,契約台帳!$A$3:$E$4986,5,FALSE))</f>
        <v/>
      </c>
      <c r="Z10" s="54"/>
      <c r="AA10" s="200" t="str">
        <f>IFERROR(VLOOKUP(F10&amp;K10&amp;M10,製品マスタ!$M$5:$AM$4999,27,FALSE),"")</f>
        <v/>
      </c>
      <c r="AB10" s="31"/>
      <c r="AC10" s="184"/>
      <c r="AD10" s="51"/>
      <c r="AE10" s="52"/>
      <c r="AF10" s="41"/>
      <c r="AG10" s="45"/>
      <c r="AH10" s="28"/>
      <c r="AI10" s="28"/>
      <c r="AJ10" s="28"/>
      <c r="AK10" s="28"/>
      <c r="AL10" s="12"/>
      <c r="AM10" s="12"/>
      <c r="AN10" s="12"/>
      <c r="AO10" s="12"/>
      <c r="AP10" s="12"/>
      <c r="AQ10" s="13"/>
      <c r="AR10" s="14"/>
    </row>
    <row r="11" spans="1:44" s="16" customFormat="1" ht="30.95" hidden="1" customHeight="1" x14ac:dyDescent="0.2">
      <c r="A11" s="35" t="s">
        <v>743</v>
      </c>
      <c r="B11" s="36" t="s">
        <v>738</v>
      </c>
      <c r="C11" s="43"/>
      <c r="D11" s="29"/>
      <c r="E11" s="29"/>
      <c r="F11" s="255" t="str">
        <f>IF(D11="","",VLOOKUP(D11,契約台帳!$A$3:$K$4986,6,FALSE)&amp;VLOOKUP(D11,契約台帳!$A$3:$K$4986,7,FALSE)&amp;VLOOKUP(D11,契約台帳!$A$3:$K$4986,8,FALSE)&amp;VLOOKUP(D11,契約台帳!$A$3:$K$4986,9,FALSE)&amp;VLOOKUP(D11,契約台帳!$A$3:$K$4986,11,FALSE))</f>
        <v/>
      </c>
      <c r="G11" s="256" t="str">
        <f>IF(D11="","",VLOOKUP(F11,製品マスタ!$G$5:$H$4999,2,FALSE))</f>
        <v/>
      </c>
      <c r="H11" s="256" t="str">
        <f>IF(D11="","",VLOOKUP(F11,製品マスタ!$G$5:$K$4999,5,FALSE))</f>
        <v/>
      </c>
      <c r="I11" s="200" t="str">
        <f>IF(D11="","",VLOOKUP(F11,製品マスタ!$G$5:$L$4999,6,FALSE))</f>
        <v/>
      </c>
      <c r="J11" s="203" t="s">
        <v>448</v>
      </c>
      <c r="K11" s="200" t="str">
        <f>IF(D11="","",VLOOKUP(D11,契約台帳!$A$3:$L$4986,12,FALSE))</f>
        <v/>
      </c>
      <c r="L11" s="200" t="str">
        <f>IF(D11="","",INDEX(製品マスタ!$Q$5:$Q$4999,MATCH(F11&amp;K11,製品マスタ!$AO$5:$AO$4999,0)))</f>
        <v/>
      </c>
      <c r="M11" s="37"/>
      <c r="N11" s="37"/>
      <c r="O11" s="45"/>
      <c r="P11" s="54"/>
      <c r="Q11" s="260" t="str">
        <f>IF(D11="","",IF(J11="リード付け",M11,VLOOKUP(D11,契約台帳!$A$3:$N$4986,14,FALSE)))</f>
        <v/>
      </c>
      <c r="R11" s="261" t="str">
        <f>IF(D11="","",IF(J11="リード付け",M11,VLOOKUP(D11,契約台帳!$A$3:$O$4986,15,FALSE)))</f>
        <v/>
      </c>
      <c r="S11" s="261" t="str">
        <f>IF(D11="","",IF(J11="リード付け",N11,VLOOKUP(D11,契約台帳!$A$3:$P$4986,16,FALSE)))</f>
        <v/>
      </c>
      <c r="T11" s="38"/>
      <c r="U11" s="261" t="str">
        <f ca="1">IF(D11="","",IF(OFFSET(D11,-2,0)=D11,"",VLOOKUP(D11,契約台帳!$A$3:$R$4986,18,FALSE)))</f>
        <v/>
      </c>
      <c r="V11" s="256" t="str">
        <f>IF(J11="巻返し",VLOOKUP(F11&amp;K11&amp;M11,製品マスタ!$M$5:$AD$4999,18,FALSE),IF(J11="リード付け","原反コア",IF(J11="スリット",VLOOKUP(F11&amp;K11&amp;Q11,製品マスタ!$N$5:$AD$4999,17,FALSE),"")))</f>
        <v/>
      </c>
      <c r="W11" s="256" t="str">
        <f>IF(J11="巻返し",VLOOKUP(F11&amp;K11&amp;M11,製品マスタ!$M$5:$AE$4999,19,FALSE),IF(J11="リード付け","-",IF(J11="スリット",VLOOKUP(F11&amp;K11&amp;Q11,製品マスタ!$N$5:$AE$4999,18,FALSE),"")))</f>
        <v/>
      </c>
      <c r="X11" s="256" t="str">
        <f>IF(D11="","",VLOOKUP(D11,契約台帳!$A$3:$Q$4986,17,FALSE))</f>
        <v/>
      </c>
      <c r="Y11" s="256" t="str">
        <f>IF(D11="","",VLOOKUP(D11,契約台帳!$A$3:$E$4986,5,FALSE))</f>
        <v/>
      </c>
      <c r="Z11" s="54"/>
      <c r="AA11" s="200" t="str">
        <f>IFERROR(VLOOKUP(F11&amp;K11&amp;M11,製品マスタ!$M$5:$AM$4999,27,FALSE),"")</f>
        <v/>
      </c>
      <c r="AB11" s="31"/>
      <c r="AC11" s="184"/>
      <c r="AD11" s="51"/>
      <c r="AE11" s="52"/>
      <c r="AF11" s="41"/>
      <c r="AG11" s="45"/>
      <c r="AH11" s="28"/>
      <c r="AI11" s="28"/>
      <c r="AJ11" s="28"/>
      <c r="AK11" s="28"/>
      <c r="AL11" s="12"/>
      <c r="AM11" s="12"/>
      <c r="AN11" s="12"/>
      <c r="AO11" s="12"/>
      <c r="AP11" s="12"/>
      <c r="AQ11" s="13"/>
      <c r="AR11" s="14"/>
    </row>
    <row r="12" spans="1:44" s="16" customFormat="1" ht="30.95" hidden="1" customHeight="1" x14ac:dyDescent="0.2">
      <c r="A12" s="35"/>
      <c r="B12" s="36"/>
      <c r="C12" s="43"/>
      <c r="D12" s="29"/>
      <c r="E12" s="29"/>
      <c r="F12" s="255" t="str">
        <f>IF(D12="","",VLOOKUP(D12,契約台帳!$A$3:$K$4986,6,FALSE)&amp;VLOOKUP(D12,契約台帳!$A$3:$K$4986,7,FALSE)&amp;VLOOKUP(D12,契約台帳!$A$3:$K$4986,8,FALSE)&amp;VLOOKUP(D12,契約台帳!$A$3:$K$4986,9,FALSE)&amp;VLOOKUP(D12,契約台帳!$A$3:$K$4986,11,FALSE))</f>
        <v/>
      </c>
      <c r="G12" s="256" t="str">
        <f>IF(D12="","",VLOOKUP(F12,製品マスタ!$G$5:$H$4999,2,FALSE))</f>
        <v/>
      </c>
      <c r="H12" s="256" t="str">
        <f>IF(D12="","",VLOOKUP(F12,製品マスタ!$G$5:$K$4999,5,FALSE))</f>
        <v/>
      </c>
      <c r="I12" s="200" t="str">
        <f>IF(D12="","",VLOOKUP(F12,製品マスタ!$G$5:$L$4999,6,FALSE))</f>
        <v/>
      </c>
      <c r="J12" s="203"/>
      <c r="K12" s="200" t="str">
        <f>IF(D12="","",VLOOKUP(D12,契約台帳!$A$3:$L$4986,12,FALSE))</f>
        <v/>
      </c>
      <c r="L12" s="200" t="str">
        <f>IF(D12="","",INDEX(製品マスタ!$Q$5:$Q$4999,MATCH(F12&amp;K12,製品マスタ!$AO$5:$AO$4999,0)))</f>
        <v/>
      </c>
      <c r="M12" s="37"/>
      <c r="N12" s="37"/>
      <c r="O12" s="45"/>
      <c r="P12" s="54"/>
      <c r="Q12" s="260" t="str">
        <f>IF(D12="","",IF(J12="リード付け",M12,VLOOKUP(D12,契約台帳!$A$3:$N$4986,14,FALSE)))</f>
        <v/>
      </c>
      <c r="R12" s="261" t="str">
        <f>IF(D12="","",IF(J12="リード付け",M12,VLOOKUP(D12,契約台帳!$A$3:$O$4986,15,FALSE)))</f>
        <v/>
      </c>
      <c r="S12" s="261" t="str">
        <f>IF(D12="","",IF(J12="リード付け",N12,VLOOKUP(D12,契約台帳!$A$3:$P$4986,16,FALSE)))</f>
        <v/>
      </c>
      <c r="T12" s="38"/>
      <c r="U12" s="261" t="str">
        <f ca="1">IF(D12="","",IF(OFFSET(D12,-2,0)=D12,"",VLOOKUP(D12,契約台帳!$A$3:$R$4986,18,FALSE)))</f>
        <v/>
      </c>
      <c r="V12" s="256" t="str">
        <f>IF(J12="巻返し",VLOOKUP(F12&amp;K12&amp;M12,製品マスタ!$M$5:$AD$4999,18,FALSE),IF(J12="リード付け","原反コア",IF(J12="スリット",VLOOKUP(F12&amp;K12&amp;Q12,製品マスタ!$N$5:$AD$4999,17,FALSE),"")))</f>
        <v/>
      </c>
      <c r="W12" s="256" t="str">
        <f>IF(J12="巻返し",VLOOKUP(F12&amp;K12&amp;M12,製品マスタ!$M$5:$AE$4999,19,FALSE),IF(J12="リード付け","-",IF(J12="スリット",VLOOKUP(F12&amp;K12&amp;Q12,製品マスタ!$N$5:$AE$4999,18,FALSE),"")))</f>
        <v/>
      </c>
      <c r="X12" s="256" t="str">
        <f>IF(D12="","",VLOOKUP(D12,契約台帳!$A$3:$Q$4986,17,FALSE))</f>
        <v/>
      </c>
      <c r="Y12" s="256" t="str">
        <f>IF(D12="","",VLOOKUP(D12,契約台帳!$A$3:$E$4986,5,FALSE))</f>
        <v/>
      </c>
      <c r="Z12" s="54"/>
      <c r="AA12" s="200" t="str">
        <f>IFERROR(VLOOKUP(F12&amp;K12&amp;M12,製品マスタ!$M$5:$AM$4999,27,FALSE),"")</f>
        <v/>
      </c>
      <c r="AB12" s="31"/>
      <c r="AC12" s="184"/>
      <c r="AD12" s="51"/>
      <c r="AE12" s="52"/>
      <c r="AF12" s="41"/>
      <c r="AG12" s="45"/>
      <c r="AH12" s="28"/>
      <c r="AI12" s="28"/>
      <c r="AJ12" s="28"/>
      <c r="AK12" s="28"/>
      <c r="AL12" s="12"/>
      <c r="AM12" s="12"/>
      <c r="AN12" s="12"/>
      <c r="AO12" s="12"/>
      <c r="AP12" s="12"/>
      <c r="AQ12" s="13"/>
      <c r="AR12" s="14"/>
    </row>
    <row r="13" spans="1:44" s="16" customFormat="1" ht="30.95" hidden="1" customHeight="1" x14ac:dyDescent="0.2">
      <c r="A13" s="35" t="s">
        <v>744</v>
      </c>
      <c r="B13" s="36" t="s">
        <v>745</v>
      </c>
      <c r="C13" s="43"/>
      <c r="D13" s="29"/>
      <c r="E13" s="29"/>
      <c r="F13" s="255" t="str">
        <f>IF(D13="","",VLOOKUP(D13,契約台帳!$A$3:$K$4986,6,FALSE)&amp;VLOOKUP(D13,契約台帳!$A$3:$K$4986,7,FALSE)&amp;VLOOKUP(D13,契約台帳!$A$3:$K$4986,8,FALSE)&amp;VLOOKUP(D13,契約台帳!$A$3:$K$4986,9,FALSE)&amp;VLOOKUP(D13,契約台帳!$A$3:$K$4986,11,FALSE))</f>
        <v/>
      </c>
      <c r="G13" s="256" t="str">
        <f>IF(D13="","",VLOOKUP(F13,製品マスタ!$G$5:$H$4999,2,FALSE))</f>
        <v/>
      </c>
      <c r="H13" s="256" t="str">
        <f>IF(D13="","",VLOOKUP(F13,製品マスタ!$G$5:$K$4999,5,FALSE))</f>
        <v/>
      </c>
      <c r="I13" s="200" t="str">
        <f>IF(D13="","",VLOOKUP(F13,製品マスタ!$G$5:$L$4999,6,FALSE))</f>
        <v/>
      </c>
      <c r="J13" s="203" t="s">
        <v>751</v>
      </c>
      <c r="K13" s="200" t="str">
        <f>IF(D13="","",VLOOKUP(D13,契約台帳!$A$3:$L$4986,12,FALSE))</f>
        <v/>
      </c>
      <c r="L13" s="200" t="str">
        <f>IF(D13="","",INDEX(製品マスタ!$Q$5:$Q$4999,MATCH(F13&amp;K13,製品マスタ!$AO$5:$AO$4999,0)))</f>
        <v/>
      </c>
      <c r="M13" s="37"/>
      <c r="N13" s="37"/>
      <c r="O13" s="45"/>
      <c r="P13" s="54"/>
      <c r="Q13" s="260" t="str">
        <f>IF(D13="","",IF(J13="リード付け",M13,VLOOKUP(D13,契約台帳!$A$3:$N$4986,14,FALSE)))</f>
        <v/>
      </c>
      <c r="R13" s="261" t="str">
        <f>IF(D13="","",IF(J13="リード付け",M13,VLOOKUP(D13,契約台帳!$A$3:$O$4986,15,FALSE)))</f>
        <v/>
      </c>
      <c r="S13" s="261" t="str">
        <f>IF(D13="","",IF(J13="リード付け",N13,VLOOKUP(D13,契約台帳!$A$3:$P$4986,16,FALSE)))</f>
        <v/>
      </c>
      <c r="T13" s="38"/>
      <c r="U13" s="261" t="str">
        <f ca="1">IF(D13="","",IF(OFFSET(D13,-2,0)=D13,"",VLOOKUP(D13,契約台帳!$A$3:$R$4986,18,FALSE)))</f>
        <v/>
      </c>
      <c r="V13" s="256" t="str">
        <f>IF(J13="巻返し",VLOOKUP(F13&amp;K13&amp;M13,製品マスタ!$M$5:$AD$4999,18,FALSE),IF(J13="リード付け","原反コア",IF(J13="スリット",VLOOKUP(F13&amp;K13&amp;Q13,製品マスタ!$N$5:$AD$4999,17,FALSE),"")))</f>
        <v/>
      </c>
      <c r="W13" s="256" t="str">
        <f>IF(J13="巻返し",VLOOKUP(F13&amp;K13&amp;M13,製品マスタ!$M$5:$AE$4999,19,FALSE),IF(J13="リード付け","-",IF(J13="スリット",VLOOKUP(F13&amp;K13&amp;Q13,製品マスタ!$N$5:$AE$4999,18,FALSE),"")))</f>
        <v/>
      </c>
      <c r="X13" s="256" t="str">
        <f>IF(D13="","",VLOOKUP(D13,契約台帳!$A$3:$Q$4986,17,FALSE))</f>
        <v/>
      </c>
      <c r="Y13" s="256" t="str">
        <f>IF(D13="","",VLOOKUP(D13,契約台帳!$A$3:$E$4986,5,FALSE))</f>
        <v/>
      </c>
      <c r="Z13" s="54"/>
      <c r="AA13" s="200" t="str">
        <f>IFERROR(VLOOKUP(F13&amp;K13&amp;M13,製品マスタ!$M$5:$AM$4999,27,FALSE),"")</f>
        <v/>
      </c>
      <c r="AB13" s="31"/>
      <c r="AC13" s="184"/>
      <c r="AD13" s="51"/>
      <c r="AE13" s="52"/>
      <c r="AF13" s="41"/>
      <c r="AG13" s="45"/>
      <c r="AH13" s="28"/>
      <c r="AI13" s="28"/>
      <c r="AJ13" s="28"/>
      <c r="AK13" s="28"/>
      <c r="AL13" s="12"/>
      <c r="AM13" s="12"/>
      <c r="AN13" s="12"/>
      <c r="AO13" s="12"/>
      <c r="AP13" s="12"/>
      <c r="AQ13" s="13"/>
      <c r="AR13" s="14"/>
    </row>
    <row r="14" spans="1:44" s="16" customFormat="1" ht="30.95" hidden="1" customHeight="1" x14ac:dyDescent="0.2">
      <c r="A14" s="35"/>
      <c r="B14" s="36"/>
      <c r="C14" s="43"/>
      <c r="D14" s="29"/>
      <c r="E14" s="29"/>
      <c r="F14" s="255" t="str">
        <f>IF(D14="","",VLOOKUP(D14,契約台帳!$A$3:$K$4986,6,FALSE)&amp;VLOOKUP(D14,契約台帳!$A$3:$K$4986,7,FALSE)&amp;VLOOKUP(D14,契約台帳!$A$3:$K$4986,8,FALSE)&amp;VLOOKUP(D14,契約台帳!$A$3:$K$4986,9,FALSE)&amp;VLOOKUP(D14,契約台帳!$A$3:$K$4986,11,FALSE))</f>
        <v/>
      </c>
      <c r="G14" s="256" t="str">
        <f>IF(D14="","",VLOOKUP(F14,製品マスタ!$G$5:$H$4999,2,FALSE))</f>
        <v/>
      </c>
      <c r="H14" s="256" t="str">
        <f>IF(D14="","",VLOOKUP(F14,製品マスタ!$G$5:$K$4999,5,FALSE))</f>
        <v/>
      </c>
      <c r="I14" s="200" t="str">
        <f>IF(D14="","",VLOOKUP(F14,製品マスタ!$G$5:$L$4999,6,FALSE))</f>
        <v/>
      </c>
      <c r="J14" s="30"/>
      <c r="K14" s="200" t="str">
        <f>IF(D14="","",VLOOKUP(D14,契約台帳!$A$3:$L$4986,12,FALSE))</f>
        <v/>
      </c>
      <c r="L14" s="200" t="str">
        <f>IF(D14="","",INDEX(製品マスタ!$Q$5:$Q$4999,MATCH(F14&amp;K14,製品マスタ!$AO$5:$AO$4999,0)))</f>
        <v/>
      </c>
      <c r="M14" s="37"/>
      <c r="N14" s="37"/>
      <c r="O14" s="45"/>
      <c r="P14" s="54"/>
      <c r="Q14" s="260" t="str">
        <f>IF(D14="","",IF(J14="リード付け",M14,VLOOKUP(D14,契約台帳!$A$3:$N$4986,14,FALSE)))</f>
        <v/>
      </c>
      <c r="R14" s="261" t="str">
        <f>IF(D14="","",IF(J14="リード付け",M14,VLOOKUP(D14,契約台帳!$A$3:$O$4986,15,FALSE)))</f>
        <v/>
      </c>
      <c r="S14" s="261" t="str">
        <f>IF(D14="","",IF(J14="リード付け",N14,VLOOKUP(D14,契約台帳!$A$3:$P$4986,16,FALSE)))</f>
        <v/>
      </c>
      <c r="T14" s="38"/>
      <c r="U14" s="261" t="str">
        <f ca="1">IF(D14="","",IF(OFFSET(D14,-2,0)=D14,"",VLOOKUP(D14,契約台帳!$A$3:$R$4986,18,FALSE)))</f>
        <v/>
      </c>
      <c r="V14" s="256" t="str">
        <f>IF(J14="巻返し",VLOOKUP(F14&amp;K14&amp;M14,製品マスタ!$M$5:$AD$4999,18,FALSE),IF(J14="リード付け","原反コア",IF(J14="スリット",VLOOKUP(F14&amp;K14&amp;Q14,製品マスタ!$N$5:$AD$4999,17,FALSE),"")))</f>
        <v/>
      </c>
      <c r="W14" s="256" t="str">
        <f>IF(J14="巻返し",VLOOKUP(F14&amp;K14&amp;M14,製品マスタ!$M$5:$AE$4999,19,FALSE),IF(J14="リード付け","-",IF(J14="スリット",VLOOKUP(F14&amp;K14&amp;Q14,製品マスタ!$N$5:$AE$4999,18,FALSE),"")))</f>
        <v/>
      </c>
      <c r="X14" s="256" t="str">
        <f>IF(D14="","",VLOOKUP(D14,契約台帳!$A$3:$Q$4986,17,FALSE))</f>
        <v/>
      </c>
      <c r="Y14" s="256" t="str">
        <f>IF(D14="","",VLOOKUP(D14,契約台帳!$A$3:$E$4986,5,FALSE))</f>
        <v/>
      </c>
      <c r="Z14" s="54"/>
      <c r="AA14" s="200" t="str">
        <f>IFERROR(VLOOKUP(F14&amp;K14&amp;M14,製品マスタ!$M$5:$AM$4999,27,FALSE),"")</f>
        <v/>
      </c>
      <c r="AB14" s="31"/>
      <c r="AC14" s="184"/>
      <c r="AD14" s="51"/>
      <c r="AE14" s="52"/>
      <c r="AF14" s="41"/>
      <c r="AG14" s="45"/>
      <c r="AH14" s="28"/>
      <c r="AI14" s="28"/>
      <c r="AJ14" s="28"/>
      <c r="AK14" s="28"/>
      <c r="AL14" s="12"/>
      <c r="AM14" s="12"/>
      <c r="AN14" s="12"/>
      <c r="AO14" s="12"/>
      <c r="AP14" s="12"/>
      <c r="AQ14" s="13"/>
      <c r="AR14" s="14"/>
    </row>
    <row r="15" spans="1:44" s="16" customFormat="1" ht="30.95" hidden="1" customHeight="1" x14ac:dyDescent="0.2">
      <c r="A15" s="35" t="s">
        <v>752</v>
      </c>
      <c r="B15" s="254"/>
      <c r="C15" s="43"/>
      <c r="D15" s="29">
        <v>3694097</v>
      </c>
      <c r="E15" s="29">
        <v>4170094</v>
      </c>
      <c r="F15" s="255" t="str">
        <f>IF(D15="","",VLOOKUP(D15,契約台帳!$A$3:$K$4986,6,FALSE)&amp;VLOOKUP(D15,契約台帳!$A$3:$K$4986,7,FALSE)&amp;VLOOKUP(D15,契約台帳!$A$3:$K$4986,8,FALSE)&amp;VLOOKUP(D15,契約台帳!$A$3:$K$4986,9,FALSE)&amp;VLOOKUP(D15,契約台帳!$A$3:$K$4986,11,FALSE))</f>
        <v>3SNMLBMSF</v>
      </c>
      <c r="G15" s="256" t="str">
        <f>IF(D15="","",VLOOKUP(F15,製品マスタ!$G$5:$H$4999,2,FALSE))</f>
        <v>S</v>
      </c>
      <c r="H15" s="256" t="str">
        <f>IF(D15="","",VLOOKUP(F15,製品マスタ!$G$5:$K$4999,5,FALSE))</f>
        <v>MSF</v>
      </c>
      <c r="I15" s="200" t="str">
        <f>IF(D15="","",VLOOKUP(F15,製品マスタ!$G$5:$L$4999,6,FALSE))</f>
        <v>メタルミー　Ｓ</v>
      </c>
      <c r="J15" s="30" t="s">
        <v>464</v>
      </c>
      <c r="K15" s="200">
        <f>IF(D15="","",VLOOKUP(D15,契約台帳!$A$3:$L$4986,12,FALSE))</f>
        <v>25</v>
      </c>
      <c r="L15" s="200" t="str">
        <f>IF(D15="","",INDEX(製品マスタ!$Q$5:$Q$4999,MATCH(F15&amp;K15,製品マスタ!$AO$5:$AO$4999,0)))</f>
        <v>T62M</v>
      </c>
      <c r="M15" s="37">
        <v>1240</v>
      </c>
      <c r="N15" s="37">
        <v>12200</v>
      </c>
      <c r="O15" s="45">
        <v>1</v>
      </c>
      <c r="P15" s="206">
        <v>44921</v>
      </c>
      <c r="Q15" s="260">
        <f>IF(D15="","",IF(J15="リード付け",M15,VLOOKUP(D15,契約台帳!$A$3:$N$4986,14,FALSE)))</f>
        <v>1240</v>
      </c>
      <c r="R15" s="261">
        <f>IF(D15="","",IF(J15="リード付け",M15,VLOOKUP(D15,契約台帳!$A$3:$O$4986,15,FALSE)))</f>
        <v>1240</v>
      </c>
      <c r="S15" s="261">
        <f>IF(D15="","",IF(J15="リード付け",N15,VLOOKUP(D15,契約台帳!$A$3:$P$4986,16,FALSE)))</f>
        <v>12200</v>
      </c>
      <c r="T15" s="38">
        <v>1</v>
      </c>
      <c r="U15" s="261">
        <f ca="1">IF(D15="","",IF(OFFSET(D15,-2,0)=D15,"",VLOOKUP(D15,契約台帳!$A$3:$R$4986,18,FALSE)))</f>
        <v>6</v>
      </c>
      <c r="V15" s="256" t="str">
        <f>IF(J15="巻返し",VLOOKUP(F15&amp;K15&amp;M15,製品マスタ!$M$5:$AD$4999,18,FALSE),IF(J15="リード付け","原反コア",IF(J15="スリット",VLOOKUP(F15&amp;K15&amp;Q15,製品マスタ!$N$5:$AD$4999,17,FALSE),"")))</f>
        <v>原反コア</v>
      </c>
      <c r="W15" s="256" t="str">
        <f>IF(J15="巻返し",VLOOKUP(F15&amp;K15&amp;M15,製品マスタ!$M$5:$AE$4999,19,FALSE),IF(J15="リード付け","-",IF(J15="スリット",VLOOKUP(F15&amp;K15&amp;Q15,製品マスタ!$N$5:$AE$4999,18,FALSE),"")))</f>
        <v>-</v>
      </c>
      <c r="X15" s="256">
        <f>IF(D15="","",VLOOKUP(D15,契約台帳!$A$3:$Q$4986,17,FALSE))</f>
        <v>1</v>
      </c>
      <c r="Y15" s="256" t="str">
        <f>IF(D15="","",VLOOKUP(D15,契約台帳!$A$3:$E$4986,5,FALSE))</f>
        <v>日精㈱東京支店</v>
      </c>
      <c r="Z15" s="54"/>
      <c r="AA15" s="200">
        <f>IFERROR(VLOOKUP(F15&amp;K15&amp;M15,製品マスタ!$M$5:$AM$4999,27,FALSE),"")</f>
        <v>0</v>
      </c>
      <c r="AB15" s="31"/>
      <c r="AC15" s="184"/>
      <c r="AD15" s="51"/>
      <c r="AE15" s="52"/>
      <c r="AF15" s="41"/>
      <c r="AG15" s="45"/>
      <c r="AH15" s="28"/>
      <c r="AI15" s="28"/>
      <c r="AJ15" s="28"/>
      <c r="AK15" s="28"/>
      <c r="AL15" s="12"/>
      <c r="AM15" s="12"/>
      <c r="AN15" s="12"/>
      <c r="AO15" s="12"/>
      <c r="AP15" s="12"/>
      <c r="AQ15" s="13"/>
      <c r="AR15" s="14"/>
    </row>
    <row r="16" spans="1:44" s="16" customFormat="1" ht="30.95" hidden="1" customHeight="1" x14ac:dyDescent="0.2">
      <c r="A16" s="35"/>
      <c r="B16" s="36"/>
      <c r="C16" s="43"/>
      <c r="D16" s="29"/>
      <c r="E16" s="29"/>
      <c r="F16" s="255" t="str">
        <f>IF(D16="","",VLOOKUP(D16,契約台帳!$A$3:$K$4986,6,FALSE)&amp;VLOOKUP(D16,契約台帳!$A$3:$K$4986,7,FALSE)&amp;VLOOKUP(D16,契約台帳!$A$3:$K$4986,8,FALSE)&amp;VLOOKUP(D16,契約台帳!$A$3:$K$4986,9,FALSE)&amp;VLOOKUP(D16,契約台帳!$A$3:$K$4986,11,FALSE))</f>
        <v/>
      </c>
      <c r="G16" s="256" t="str">
        <f>IF(D16="","",VLOOKUP(F16,製品マスタ!$G$5:$H$4999,2,FALSE))</f>
        <v/>
      </c>
      <c r="H16" s="256" t="str">
        <f>IF(D16="","",VLOOKUP(F16,製品マスタ!$G$5:$K$4999,5,FALSE))</f>
        <v/>
      </c>
      <c r="I16" s="200" t="str">
        <f>IF(D16="","",VLOOKUP(F16,製品マスタ!$G$5:$L$4999,6,FALSE))</f>
        <v/>
      </c>
      <c r="J16" s="30"/>
      <c r="K16" s="200" t="str">
        <f>IF(D16="","",VLOOKUP(D16,契約台帳!$A$3:$L$4986,12,FALSE))</f>
        <v/>
      </c>
      <c r="L16" s="200" t="str">
        <f>IF(D16="","",INDEX(製品マスタ!$Q$5:$Q$4999,MATCH(F16&amp;K16,製品マスタ!$AO$5:$AO$4999,0)))</f>
        <v/>
      </c>
      <c r="M16" s="37"/>
      <c r="N16" s="37"/>
      <c r="O16" s="45"/>
      <c r="P16" s="54"/>
      <c r="Q16" s="260" t="str">
        <f>IF(D16="","",IF(J16="リード付け",M16,VLOOKUP(D16,契約台帳!$A$3:$N$4986,14,FALSE)))</f>
        <v/>
      </c>
      <c r="R16" s="261" t="str">
        <f>IF(D16="","",IF(J16="リード付け",M16,VLOOKUP(D16,契約台帳!$A$3:$O$4986,15,FALSE)))</f>
        <v/>
      </c>
      <c r="S16" s="261" t="str">
        <f>IF(D16="","",IF(J16="リード付け",N16,VLOOKUP(D16,契約台帳!$A$3:$P$4986,16,FALSE)))</f>
        <v/>
      </c>
      <c r="T16" s="38"/>
      <c r="U16" s="261" t="str">
        <f ca="1">IF(D16="","",IF(OFFSET(D16,-2,0)=D16,"",VLOOKUP(D16,契約台帳!$A$3:$R$4986,18,FALSE)))</f>
        <v/>
      </c>
      <c r="V16" s="256" t="str">
        <f>IF(J16="巻返し",VLOOKUP(F16&amp;K16&amp;M16,製品マスタ!$M$5:$AD$4999,18,FALSE),IF(J16="リード付け","原反コア",IF(J16="スリット",VLOOKUP(F16&amp;K16&amp;Q16,製品マスタ!$N$5:$AD$4999,17,FALSE),"")))</f>
        <v/>
      </c>
      <c r="W16" s="256" t="str">
        <f>IF(J16="巻返し",VLOOKUP(F16&amp;K16&amp;M16,製品マスタ!$M$5:$AE$4999,19,FALSE),IF(J16="リード付け","-",IF(J16="スリット",VLOOKUP(F16&amp;K16&amp;Q16,製品マスタ!$N$5:$AE$4999,18,FALSE),"")))</f>
        <v/>
      </c>
      <c r="X16" s="256" t="str">
        <f>IF(D16="","",VLOOKUP(D16,契約台帳!$A$3:$Q$4986,17,FALSE))</f>
        <v/>
      </c>
      <c r="Y16" s="256" t="str">
        <f>IF(D16="","",VLOOKUP(D16,契約台帳!$A$3:$E$4986,5,FALSE))</f>
        <v/>
      </c>
      <c r="Z16" s="54"/>
      <c r="AA16" s="200" t="str">
        <f>IFERROR(VLOOKUP(F16&amp;K16&amp;M16,製品マスタ!$M$5:$AM$4999,27,FALSE),"")</f>
        <v/>
      </c>
      <c r="AB16" s="31"/>
      <c r="AC16" s="184"/>
      <c r="AD16" s="51"/>
      <c r="AE16" s="52"/>
      <c r="AF16" s="41"/>
      <c r="AG16" s="45"/>
      <c r="AH16" s="28"/>
      <c r="AI16" s="28"/>
      <c r="AJ16" s="28"/>
      <c r="AK16" s="28"/>
      <c r="AL16" s="12"/>
      <c r="AM16" s="12"/>
      <c r="AN16" s="12"/>
      <c r="AO16" s="12"/>
      <c r="AP16" s="12"/>
      <c r="AQ16" s="13"/>
      <c r="AR16" s="14"/>
    </row>
    <row r="17" spans="1:44" s="16" customFormat="1" ht="30.95" hidden="1" customHeight="1" x14ac:dyDescent="0.2">
      <c r="A17" s="35"/>
      <c r="B17" s="36"/>
      <c r="C17" s="43"/>
      <c r="D17" s="29">
        <v>3694128</v>
      </c>
      <c r="E17" s="29">
        <v>4170095</v>
      </c>
      <c r="F17" s="255" t="str">
        <f>IF(D17="","",VLOOKUP(D17,契約台帳!$A$3:$K$4986,6,FALSE)&amp;VLOOKUP(D17,契約台帳!$A$3:$K$4986,7,FALSE)&amp;VLOOKUP(D17,契約台帳!$A$3:$K$4986,8,FALSE)&amp;VLOOKUP(D17,契約台帳!$A$3:$K$4986,9,FALSE)&amp;VLOOKUP(D17,契約台帳!$A$3:$K$4986,11,FALSE))</f>
        <v>3SNMLBMSF</v>
      </c>
      <c r="G17" s="256" t="str">
        <f>IF(D17="","",VLOOKUP(F17,製品マスタ!$G$5:$H$4999,2,FALSE))</f>
        <v>S</v>
      </c>
      <c r="H17" s="256" t="str">
        <f>IF(D17="","",VLOOKUP(F17,製品マスタ!$G$5:$K$4999,5,FALSE))</f>
        <v>MSF</v>
      </c>
      <c r="I17" s="200" t="str">
        <f>IF(D17="","",VLOOKUP(F17,製品マスタ!$G$5:$L$4999,6,FALSE))</f>
        <v>メタルミー　Ｓ</v>
      </c>
      <c r="J17" s="30" t="s">
        <v>464</v>
      </c>
      <c r="K17" s="200">
        <f>IF(D17="","",VLOOKUP(D17,契約台帳!$A$3:$L$4986,12,FALSE))</f>
        <v>25</v>
      </c>
      <c r="L17" s="200" t="str">
        <f>IF(D17="","",INDEX(製品マスタ!$Q$5:$Q$4999,MATCH(F17&amp;K17,製品マスタ!$AO$5:$AO$4999,0)))</f>
        <v>T62M</v>
      </c>
      <c r="M17" s="37">
        <v>1020</v>
      </c>
      <c r="N17" s="37">
        <v>12100</v>
      </c>
      <c r="O17" s="45">
        <v>1</v>
      </c>
      <c r="P17" s="206">
        <v>44921</v>
      </c>
      <c r="Q17" s="260">
        <f>IF(D17="","",IF(J17="リード付け",M17,VLOOKUP(D17,契約台帳!$A$3:$N$4986,14,FALSE)))</f>
        <v>1020</v>
      </c>
      <c r="R17" s="261">
        <f>IF(D17="","",IF(J17="リード付け",M17,VLOOKUP(D17,契約台帳!$A$3:$O$4986,15,FALSE)))</f>
        <v>1020</v>
      </c>
      <c r="S17" s="261">
        <f>IF(D17="","",IF(J17="リード付け",N17,VLOOKUP(D17,契約台帳!$A$3:$P$4986,16,FALSE)))</f>
        <v>12100</v>
      </c>
      <c r="T17" s="38">
        <v>1</v>
      </c>
      <c r="U17" s="261">
        <f ca="1">IF(D17="","",IF(OFFSET(D17,-2,0)=D17,"",VLOOKUP(D17,契約台帳!$A$3:$R$4986,18,FALSE)))</f>
        <v>12</v>
      </c>
      <c r="V17" s="256" t="str">
        <f>IF(J17="巻返し",VLOOKUP(F17&amp;K17&amp;M17,製品マスタ!$M$5:$AD$4999,18,FALSE),IF(J17="リード付け","原反コア",IF(J17="スリット",VLOOKUP(F17&amp;K17&amp;Q17,製品マスタ!$N$5:$AD$4999,17,FALSE),"")))</f>
        <v>原反コア</v>
      </c>
      <c r="W17" s="256" t="str">
        <f>IF(J17="巻返し",VLOOKUP(F17&amp;K17&amp;M17,製品マスタ!$M$5:$AE$4999,19,FALSE),IF(J17="リード付け","-",IF(J17="スリット",VLOOKUP(F17&amp;K17&amp;Q17,製品マスタ!$N$5:$AE$4999,18,FALSE),"")))</f>
        <v>-</v>
      </c>
      <c r="X17" s="256">
        <f>IF(D17="","",VLOOKUP(D17,契約台帳!$A$3:$Q$4986,17,FALSE))</f>
        <v>1</v>
      </c>
      <c r="Y17" s="256" t="str">
        <f>IF(D17="","",VLOOKUP(D17,契約台帳!$A$3:$E$4986,5,FALSE))</f>
        <v>日東シンコー㈱</v>
      </c>
      <c r="Z17" s="54"/>
      <c r="AA17" s="200">
        <f>IFERROR(VLOOKUP(F17&amp;K17&amp;M17,製品マスタ!$M$5:$AM$4999,27,FALSE),"")</f>
        <v>0</v>
      </c>
      <c r="AB17" s="31"/>
      <c r="AC17" s="184"/>
      <c r="AD17" s="51"/>
      <c r="AE17" s="52"/>
      <c r="AF17" s="41"/>
      <c r="AG17" s="45"/>
      <c r="AH17" s="28"/>
      <c r="AI17" s="28"/>
      <c r="AJ17" s="28"/>
      <c r="AK17" s="28"/>
      <c r="AL17" s="12"/>
      <c r="AM17" s="12"/>
      <c r="AN17" s="12"/>
      <c r="AO17" s="12"/>
      <c r="AP17" s="12"/>
      <c r="AQ17" s="13"/>
      <c r="AR17" s="14"/>
    </row>
    <row r="18" spans="1:44" s="16" customFormat="1" ht="30.95" hidden="1" customHeight="1" x14ac:dyDescent="0.2">
      <c r="A18" s="35"/>
      <c r="B18" s="36"/>
      <c r="C18" s="43"/>
      <c r="D18" s="29"/>
      <c r="E18" s="29"/>
      <c r="F18" s="255" t="str">
        <f>IF(D18="","",VLOOKUP(D18,契約台帳!$A$3:$K$4986,6,FALSE)&amp;VLOOKUP(D18,契約台帳!$A$3:$K$4986,7,FALSE)&amp;VLOOKUP(D18,契約台帳!$A$3:$K$4986,8,FALSE)&amp;VLOOKUP(D18,契約台帳!$A$3:$K$4986,9,FALSE)&amp;VLOOKUP(D18,契約台帳!$A$3:$K$4986,11,FALSE))</f>
        <v/>
      </c>
      <c r="G18" s="256" t="str">
        <f>IF(D18="","",VLOOKUP(F18,製品マスタ!$G$5:$H$4999,2,FALSE))</f>
        <v/>
      </c>
      <c r="H18" s="256" t="str">
        <f>IF(D18="","",VLOOKUP(F18,製品マスタ!$G$5:$K$4999,5,FALSE))</f>
        <v/>
      </c>
      <c r="I18" s="200" t="str">
        <f>IF(D18="","",VLOOKUP(F18,製品マスタ!$G$5:$L$4999,6,FALSE))</f>
        <v/>
      </c>
      <c r="J18" s="30"/>
      <c r="K18" s="200" t="str">
        <f>IF(D18="","",VLOOKUP(D18,契約台帳!$A$3:$L$4986,12,FALSE))</f>
        <v/>
      </c>
      <c r="L18" s="200" t="str">
        <f>IF(D18="","",INDEX(製品マスタ!$Q$5:$Q$4999,MATCH(F18&amp;K18,製品マスタ!$AO$5:$AO$4999,0)))</f>
        <v/>
      </c>
      <c r="M18" s="37"/>
      <c r="N18" s="37"/>
      <c r="O18" s="45"/>
      <c r="P18" s="54"/>
      <c r="Q18" s="260" t="str">
        <f>IF(D18="","",IF(J18="リード付け",M18,VLOOKUP(D18,契約台帳!$A$3:$N$4986,14,FALSE)))</f>
        <v/>
      </c>
      <c r="R18" s="261" t="str">
        <f>IF(D18="","",IF(J18="リード付け",M18,VLOOKUP(D18,契約台帳!$A$3:$O$4986,15,FALSE)))</f>
        <v/>
      </c>
      <c r="S18" s="261" t="str">
        <f>IF(D18="","",IF(J18="リード付け",N18,VLOOKUP(D18,契約台帳!$A$3:$P$4986,16,FALSE)))</f>
        <v/>
      </c>
      <c r="T18" s="38"/>
      <c r="U18" s="261" t="str">
        <f ca="1">IF(D18="","",IF(OFFSET(D18,-2,0)=D18,"",VLOOKUP(D18,契約台帳!$A$3:$R$4986,18,FALSE)))</f>
        <v/>
      </c>
      <c r="V18" s="256" t="str">
        <f>IF(J18="巻返し",VLOOKUP(F18&amp;K18&amp;M18,製品マスタ!$M$5:$AD$4999,18,FALSE),IF(J18="リード付け","原反コア",IF(J18="スリット",VLOOKUP(F18&amp;K18&amp;Q18,製品マスタ!$N$5:$AD$4999,17,FALSE),"")))</f>
        <v/>
      </c>
      <c r="W18" s="256" t="str">
        <f>IF(J18="巻返し",VLOOKUP(F18&amp;K18&amp;M18,製品マスタ!$M$5:$AE$4999,19,FALSE),IF(J18="リード付け","-",IF(J18="スリット",VLOOKUP(F18&amp;K18&amp;Q18,製品マスタ!$N$5:$AE$4999,18,FALSE),"")))</f>
        <v/>
      </c>
      <c r="X18" s="256" t="str">
        <f>IF(D18="","",VLOOKUP(D18,契約台帳!$A$3:$Q$4986,17,FALSE))</f>
        <v/>
      </c>
      <c r="Y18" s="256" t="str">
        <f>IF(D18="","",VLOOKUP(D18,契約台帳!$A$3:$E$4986,5,FALSE))</f>
        <v/>
      </c>
      <c r="Z18" s="54"/>
      <c r="AA18" s="200" t="str">
        <f>IFERROR(VLOOKUP(F18&amp;K18&amp;M18,製品マスタ!$M$5:$AM$4999,27,FALSE),"")</f>
        <v/>
      </c>
      <c r="AB18" s="31"/>
      <c r="AC18" s="184"/>
      <c r="AD18" s="51"/>
      <c r="AE18" s="52"/>
      <c r="AF18" s="41"/>
      <c r="AG18" s="45"/>
      <c r="AH18" s="28"/>
      <c r="AI18" s="28"/>
      <c r="AJ18" s="28"/>
      <c r="AK18" s="28"/>
      <c r="AL18" s="12"/>
      <c r="AM18" s="12"/>
      <c r="AN18" s="12"/>
      <c r="AO18" s="12"/>
      <c r="AP18" s="12"/>
      <c r="AQ18" s="13"/>
      <c r="AR18" s="14"/>
    </row>
    <row r="19" spans="1:44" s="16" customFormat="1" ht="30.95" hidden="1" customHeight="1" x14ac:dyDescent="0.2">
      <c r="A19" s="35"/>
      <c r="B19" s="36"/>
      <c r="C19" s="43"/>
      <c r="D19" s="29">
        <v>3694110</v>
      </c>
      <c r="E19" s="29">
        <v>4170093</v>
      </c>
      <c r="F19" s="255" t="str">
        <f>IF(D19="","",VLOOKUP(D19,契約台帳!$A$3:$K$4986,6,FALSE)&amp;VLOOKUP(D19,契約台帳!$A$3:$K$4986,7,FALSE)&amp;VLOOKUP(D19,契約台帳!$A$3:$K$4986,8,FALSE)&amp;VLOOKUP(D19,契約台帳!$A$3:$K$4986,9,FALSE)&amp;VLOOKUP(D19,契約台帳!$A$3:$K$4986,11,FALSE))</f>
        <v>3SNMLBMNGTBF</v>
      </c>
      <c r="G19" s="256" t="str">
        <f>IF(D19="","",VLOOKUP(F19,製品マスタ!$G$5:$H$4999,2,FALSE))</f>
        <v>S</v>
      </c>
      <c r="H19" s="256" t="str">
        <f>IF(D19="","",VLOOKUP(F19,製品マスタ!$G$5:$K$4999,5,FALSE))</f>
        <v>MNGTBF</v>
      </c>
      <c r="I19" s="200" t="str">
        <f>IF(D19="","",VLOOKUP(F19,製品マスタ!$G$5:$L$4999,6,FALSE))</f>
        <v>メタルミー　ネーマー　銀艶　Ｂ</v>
      </c>
      <c r="J19" s="30" t="s">
        <v>464</v>
      </c>
      <c r="K19" s="200">
        <f>IF(D19="","",VLOOKUP(D19,契約台帳!$A$3:$L$4986,12,FALSE))</f>
        <v>25</v>
      </c>
      <c r="L19" s="200" t="str">
        <f>IF(D19="","",INDEX(製品マスタ!$Q$5:$Q$4999,MATCH(F19&amp;K19,製品マスタ!$AO$5:$AO$4999,0)))</f>
        <v>T62M</v>
      </c>
      <c r="M19" s="37">
        <v>1005</v>
      </c>
      <c r="N19" s="37">
        <v>12100</v>
      </c>
      <c r="O19" s="45">
        <v>5</v>
      </c>
      <c r="P19" s="206">
        <v>44921</v>
      </c>
      <c r="Q19" s="260">
        <f>IF(D19="","",IF(J19="リード付け",M19,VLOOKUP(D19,契約台帳!$A$3:$N$4986,14,FALSE)))</f>
        <v>1005</v>
      </c>
      <c r="R19" s="261">
        <f>IF(D19="","",IF(J19="リード付け",M19,VLOOKUP(D19,契約台帳!$A$3:$O$4986,15,FALSE)))</f>
        <v>1005</v>
      </c>
      <c r="S19" s="261">
        <f>IF(D19="","",IF(J19="リード付け",N19,VLOOKUP(D19,契約台帳!$A$3:$P$4986,16,FALSE)))</f>
        <v>12100</v>
      </c>
      <c r="T19" s="38">
        <v>5</v>
      </c>
      <c r="U19" s="261">
        <f ca="1">IF(D19="","",IF(OFFSET(D19,-2,0)=D19,"",VLOOKUP(D19,契約台帳!$A$3:$R$4986,18,FALSE)))</f>
        <v>15</v>
      </c>
      <c r="V19" s="256" t="str">
        <f>IF(J19="巻返し",VLOOKUP(F19&amp;K19&amp;M19,製品マスタ!$M$5:$AD$4999,18,FALSE),IF(J19="リード付け","原反コア",IF(J19="スリット",VLOOKUP(F19&amp;K19&amp;Q19,製品マスタ!$N$5:$AD$4999,17,FALSE),"")))</f>
        <v>原反コア</v>
      </c>
      <c r="W19" s="256" t="str">
        <f>IF(J19="巻返し",VLOOKUP(F19&amp;K19&amp;M19,製品マスタ!$M$5:$AE$4999,19,FALSE),IF(J19="リード付け","-",IF(J19="スリット",VLOOKUP(F19&amp;K19&amp;Q19,製品マスタ!$N$5:$AE$4999,18,FALSE),"")))</f>
        <v>-</v>
      </c>
      <c r="X19" s="256">
        <f>IF(D19="","",VLOOKUP(D19,契約台帳!$A$3:$Q$4986,17,FALSE))</f>
        <v>2</v>
      </c>
      <c r="Y19" s="256" t="str">
        <f>IF(D19="","",VLOOKUP(D19,契約台帳!$A$3:$E$4986,5,FALSE))</f>
        <v>リンテック㈱</v>
      </c>
      <c r="Z19" s="54"/>
      <c r="AA19" s="200">
        <f>IFERROR(VLOOKUP(F19&amp;K19&amp;M19,製品マスタ!$M$5:$AM$4999,27,FALSE),"")</f>
        <v>0</v>
      </c>
      <c r="AB19" s="31"/>
      <c r="AC19" s="184"/>
      <c r="AD19" s="51"/>
      <c r="AE19" s="52"/>
      <c r="AF19" s="41"/>
      <c r="AG19" s="45"/>
      <c r="AH19" s="28"/>
      <c r="AI19" s="28"/>
      <c r="AJ19" s="28"/>
      <c r="AK19" s="28"/>
      <c r="AL19" s="12"/>
      <c r="AM19" s="12"/>
      <c r="AN19" s="12"/>
      <c r="AO19" s="12"/>
      <c r="AP19" s="12"/>
      <c r="AQ19" s="13"/>
      <c r="AR19" s="14"/>
    </row>
    <row r="20" spans="1:44" s="16" customFormat="1" ht="30.95" hidden="1" customHeight="1" x14ac:dyDescent="0.2">
      <c r="A20" s="35"/>
      <c r="B20" s="36"/>
      <c r="C20" s="43"/>
      <c r="D20" s="29"/>
      <c r="E20" s="29"/>
      <c r="F20" s="255" t="str">
        <f>IF(D20="","",VLOOKUP(D20,契約台帳!$A$3:$K$4986,6,FALSE)&amp;VLOOKUP(D20,契約台帳!$A$3:$K$4986,7,FALSE)&amp;VLOOKUP(D20,契約台帳!$A$3:$K$4986,8,FALSE)&amp;VLOOKUP(D20,契約台帳!$A$3:$K$4986,9,FALSE)&amp;VLOOKUP(D20,契約台帳!$A$3:$K$4986,11,FALSE))</f>
        <v/>
      </c>
      <c r="G20" s="256" t="str">
        <f>IF(D20="","",VLOOKUP(F20,製品マスタ!$G$5:$H$4999,2,FALSE))</f>
        <v/>
      </c>
      <c r="H20" s="256" t="str">
        <f>IF(D20="","",VLOOKUP(F20,製品マスタ!$G$5:$K$4999,5,FALSE))</f>
        <v/>
      </c>
      <c r="I20" s="200" t="str">
        <f>IF(D20="","",VLOOKUP(F20,製品マスタ!$G$5:$L$4999,6,FALSE))</f>
        <v/>
      </c>
      <c r="J20" s="30"/>
      <c r="K20" s="200" t="str">
        <f>IF(D20="","",VLOOKUP(D20,契約台帳!$A$3:$L$4986,12,FALSE))</f>
        <v/>
      </c>
      <c r="L20" s="200" t="str">
        <f>IF(D20="","",INDEX(製品マスタ!$Q$5:$Q$4999,MATCH(F20&amp;K20,製品マスタ!$AO$5:$AO$4999,0)))</f>
        <v/>
      </c>
      <c r="M20" s="37"/>
      <c r="N20" s="37"/>
      <c r="O20" s="45"/>
      <c r="P20" s="54"/>
      <c r="Q20" s="260" t="str">
        <f>IF(D20="","",IF(J20="リード付け",M20,VLOOKUP(D20,契約台帳!$A$3:$N$4986,14,FALSE)))</f>
        <v/>
      </c>
      <c r="R20" s="261" t="str">
        <f>IF(D20="","",IF(J20="リード付け",M20,VLOOKUP(D20,契約台帳!$A$3:$O$4986,15,FALSE)))</f>
        <v/>
      </c>
      <c r="S20" s="261" t="str">
        <f>IF(D20="","",IF(J20="リード付け",N20,VLOOKUP(D20,契約台帳!$A$3:$P$4986,16,FALSE)))</f>
        <v/>
      </c>
      <c r="T20" s="38"/>
      <c r="U20" s="261" t="str">
        <f ca="1">IF(D20="","",IF(OFFSET(D20,-2,0)=D20,"",VLOOKUP(D20,契約台帳!$A$3:$R$4986,18,FALSE)))</f>
        <v/>
      </c>
      <c r="V20" s="256" t="str">
        <f>IF(J20="巻返し",VLOOKUP(F20&amp;K20&amp;M20,製品マスタ!$M$5:$AD$4999,18,FALSE),IF(J20="リード付け","原反コア",IF(J20="スリット",VLOOKUP(F20&amp;K20&amp;Q20,製品マスタ!$N$5:$AD$4999,17,FALSE),"")))</f>
        <v/>
      </c>
      <c r="W20" s="256" t="str">
        <f>IF(J20="巻返し",VLOOKUP(F20&amp;K20&amp;M20,製品マスタ!$M$5:$AE$4999,19,FALSE),IF(J20="リード付け","-",IF(J20="スリット",VLOOKUP(F20&amp;K20&amp;Q20,製品マスタ!$N$5:$AE$4999,18,FALSE),"")))</f>
        <v/>
      </c>
      <c r="X20" s="256" t="str">
        <f>IF(D20="","",VLOOKUP(D20,契約台帳!$A$3:$Q$4986,17,FALSE))</f>
        <v/>
      </c>
      <c r="Y20" s="256" t="str">
        <f>IF(D20="","",VLOOKUP(D20,契約台帳!$A$3:$E$4986,5,FALSE))</f>
        <v/>
      </c>
      <c r="Z20" s="54"/>
      <c r="AA20" s="200" t="str">
        <f>IFERROR(VLOOKUP(F20&amp;K20&amp;M20,製品マスタ!$M$5:$AM$4999,27,FALSE),"")</f>
        <v/>
      </c>
      <c r="AB20" s="31"/>
      <c r="AC20" s="184"/>
      <c r="AD20" s="51"/>
      <c r="AE20" s="52"/>
      <c r="AF20" s="41"/>
      <c r="AG20" s="45"/>
      <c r="AH20" s="28"/>
      <c r="AI20" s="28"/>
      <c r="AJ20" s="28"/>
      <c r="AK20" s="28"/>
      <c r="AL20" s="12"/>
      <c r="AM20" s="12"/>
      <c r="AN20" s="12"/>
      <c r="AO20" s="12"/>
      <c r="AP20" s="12"/>
      <c r="AQ20" s="13"/>
      <c r="AR20" s="14"/>
    </row>
    <row r="21" spans="1:44" s="16" customFormat="1" ht="30.95" hidden="1" customHeight="1" x14ac:dyDescent="0.2">
      <c r="A21" s="35" t="s">
        <v>757</v>
      </c>
      <c r="B21" s="36" t="s">
        <v>746</v>
      </c>
      <c r="C21" s="43"/>
      <c r="D21" s="29"/>
      <c r="E21" s="29"/>
      <c r="F21" s="255" t="str">
        <f>IF(D21="","",VLOOKUP(D21,契約台帳!$A$3:$K$4986,6,FALSE)&amp;VLOOKUP(D21,契約台帳!$A$3:$K$4986,7,FALSE)&amp;VLOOKUP(D21,契約台帳!$A$3:$K$4986,8,FALSE)&amp;VLOOKUP(D21,契約台帳!$A$3:$K$4986,9,FALSE)&amp;VLOOKUP(D21,契約台帳!$A$3:$K$4986,11,FALSE))</f>
        <v/>
      </c>
      <c r="G21" s="256" t="str">
        <f>IF(D21="","",VLOOKUP(F21,製品マスタ!$G$5:$H$4999,2,FALSE))</f>
        <v/>
      </c>
      <c r="H21" s="256" t="str">
        <f>IF(D21="","",VLOOKUP(F21,製品マスタ!$G$5:$K$4999,5,FALSE))</f>
        <v/>
      </c>
      <c r="I21" s="200" t="str">
        <f>IF(D21="","",VLOOKUP(F21,製品マスタ!$G$5:$L$4999,6,FALSE))</f>
        <v/>
      </c>
      <c r="J21" s="30"/>
      <c r="K21" s="200" t="str">
        <f>IF(D21="","",VLOOKUP(D21,契約台帳!$A$3:$L$4986,12,FALSE))</f>
        <v/>
      </c>
      <c r="L21" s="200" t="str">
        <f>IF(D21="","",INDEX(製品マスタ!$Q$5:$Q$4999,MATCH(F21&amp;K21,製品マスタ!$AO$5:$AO$4999,0)))</f>
        <v/>
      </c>
      <c r="M21" s="37"/>
      <c r="N21" s="37"/>
      <c r="O21" s="45"/>
      <c r="P21" s="54"/>
      <c r="Q21" s="260" t="str">
        <f>IF(D21="","",IF(J21="リード付け",M21,VLOOKUP(D21,契約台帳!$A$3:$N$4986,14,FALSE)))</f>
        <v/>
      </c>
      <c r="R21" s="261" t="str">
        <f>IF(D21="","",IF(J21="リード付け",M21,VLOOKUP(D21,契約台帳!$A$3:$O$4986,15,FALSE)))</f>
        <v/>
      </c>
      <c r="S21" s="261" t="str">
        <f>IF(D21="","",IF(J21="リード付け",N21,VLOOKUP(D21,契約台帳!$A$3:$P$4986,16,FALSE)))</f>
        <v/>
      </c>
      <c r="T21" s="38"/>
      <c r="U21" s="261" t="str">
        <f ca="1">IF(D21="","",IF(OFFSET(D21,-2,0)=D21,"",VLOOKUP(D21,契約台帳!$A$3:$R$4986,18,FALSE)))</f>
        <v/>
      </c>
      <c r="V21" s="256" t="str">
        <f>IF(J21="巻返し",VLOOKUP(F21&amp;K21&amp;M21,製品マスタ!$M$5:$AD$4999,18,FALSE),IF(J21="リード付け","原反コア",IF(J21="スリット",VLOOKUP(F21&amp;K21&amp;Q21,製品マスタ!$N$5:$AD$4999,17,FALSE),"")))</f>
        <v/>
      </c>
      <c r="W21" s="256" t="str">
        <f>IF(J21="巻返し",VLOOKUP(F21&amp;K21&amp;M21,製品マスタ!$M$5:$AE$4999,19,FALSE),IF(J21="リード付け","-",IF(J21="スリット",VLOOKUP(F21&amp;K21&amp;Q21,製品マスタ!$N$5:$AE$4999,18,FALSE),"")))</f>
        <v/>
      </c>
      <c r="X21" s="256" t="str">
        <f>IF(D21="","",VLOOKUP(D21,契約台帳!$A$3:$Q$4986,17,FALSE))</f>
        <v/>
      </c>
      <c r="Y21" s="256" t="str">
        <f>IF(D21="","",VLOOKUP(D21,契約台帳!$A$3:$E$4986,5,FALSE))</f>
        <v/>
      </c>
      <c r="Z21" s="54"/>
      <c r="AA21" s="200" t="str">
        <f>IFERROR(VLOOKUP(F21&amp;K21&amp;M21,製品マスタ!$M$5:$AM$4999,27,FALSE),"")</f>
        <v/>
      </c>
      <c r="AB21" s="31"/>
      <c r="AC21" s="184"/>
      <c r="AD21" s="51"/>
      <c r="AE21" s="52"/>
      <c r="AF21" s="41"/>
      <c r="AG21" s="45"/>
      <c r="AH21" s="28"/>
      <c r="AI21" s="28"/>
      <c r="AJ21" s="28"/>
      <c r="AK21" s="28"/>
      <c r="AL21" s="12"/>
      <c r="AM21" s="12"/>
      <c r="AN21" s="12"/>
      <c r="AO21" s="12"/>
      <c r="AP21" s="12"/>
      <c r="AQ21" s="13"/>
      <c r="AR21" s="14"/>
    </row>
    <row r="22" spans="1:44" s="16" customFormat="1" ht="30.95" hidden="1" customHeight="1" x14ac:dyDescent="0.2">
      <c r="A22" s="35"/>
      <c r="B22" s="36"/>
      <c r="C22" s="43"/>
      <c r="D22" s="29"/>
      <c r="E22" s="29"/>
      <c r="F22" s="255" t="str">
        <f>IF(D22="","",VLOOKUP(D22,契約台帳!$A$3:$K$4986,6,FALSE)&amp;VLOOKUP(D22,契約台帳!$A$3:$K$4986,7,FALSE)&amp;VLOOKUP(D22,契約台帳!$A$3:$K$4986,8,FALSE)&amp;VLOOKUP(D22,契約台帳!$A$3:$K$4986,9,FALSE)&amp;VLOOKUP(D22,契約台帳!$A$3:$K$4986,11,FALSE))</f>
        <v/>
      </c>
      <c r="G22" s="256" t="str">
        <f>IF(D22="","",VLOOKUP(F22,製品マスタ!$G$5:$H$4999,2,FALSE))</f>
        <v/>
      </c>
      <c r="H22" s="256" t="str">
        <f>IF(D22="","",VLOOKUP(F22,製品マスタ!$G$5:$K$4999,5,FALSE))</f>
        <v/>
      </c>
      <c r="I22" s="200" t="str">
        <f>IF(D22="","",VLOOKUP(F22,製品マスタ!$G$5:$L$4999,6,FALSE))</f>
        <v/>
      </c>
      <c r="J22" s="30"/>
      <c r="K22" s="200" t="str">
        <f>IF(D22="","",VLOOKUP(D22,契約台帳!$A$3:$L$4986,12,FALSE))</f>
        <v/>
      </c>
      <c r="L22" s="200" t="str">
        <f>IF(D22="","",INDEX(製品マスタ!$Q$5:$Q$4999,MATCH(F22&amp;K22,製品マスタ!$AO$5:$AO$4999,0)))</f>
        <v/>
      </c>
      <c r="M22" s="37"/>
      <c r="N22" s="37"/>
      <c r="O22" s="45"/>
      <c r="P22" s="54"/>
      <c r="Q22" s="260" t="str">
        <f>IF(D22="","",IF(J22="リード付け",M22,VLOOKUP(D22,契約台帳!$A$3:$N$4986,14,FALSE)))</f>
        <v/>
      </c>
      <c r="R22" s="261" t="str">
        <f>IF(D22="","",IF(J22="リード付け",M22,VLOOKUP(D22,契約台帳!$A$3:$O$4986,15,FALSE)))</f>
        <v/>
      </c>
      <c r="S22" s="261" t="str">
        <f>IF(D22="","",IF(J22="リード付け",N22,VLOOKUP(D22,契約台帳!$A$3:$P$4986,16,FALSE)))</f>
        <v/>
      </c>
      <c r="T22" s="38"/>
      <c r="U22" s="261" t="str">
        <f ca="1">IF(D22="","",IF(OFFSET(D22,-2,0)=D22,"",VLOOKUP(D22,契約台帳!$A$3:$R$4986,18,FALSE)))</f>
        <v/>
      </c>
      <c r="V22" s="256" t="str">
        <f>IF(J22="巻返し",VLOOKUP(F22&amp;K22&amp;M22,製品マスタ!$M$5:$AD$4999,18,FALSE),IF(J22="リード付け","原反コア",IF(J22="スリット",VLOOKUP(F22&amp;K22&amp;Q22,製品マスタ!$N$5:$AD$4999,17,FALSE),"")))</f>
        <v/>
      </c>
      <c r="W22" s="256" t="str">
        <f>IF(J22="巻返し",VLOOKUP(F22&amp;K22&amp;M22,製品マスタ!$M$5:$AE$4999,19,FALSE),IF(J22="リード付け","-",IF(J22="スリット",VLOOKUP(F22&amp;K22&amp;Q22,製品マスタ!$N$5:$AE$4999,18,FALSE),"")))</f>
        <v/>
      </c>
      <c r="X22" s="256" t="str">
        <f>IF(D22="","",VLOOKUP(D22,契約台帳!$A$3:$Q$4986,17,FALSE))</f>
        <v/>
      </c>
      <c r="Y22" s="256" t="str">
        <f>IF(D22="","",VLOOKUP(D22,契約台帳!$A$3:$E$4986,5,FALSE))</f>
        <v/>
      </c>
      <c r="Z22" s="54"/>
      <c r="AA22" s="200" t="str">
        <f>IFERROR(VLOOKUP(F22&amp;K22&amp;M22,製品マスタ!$M$5:$AM$4999,27,FALSE),"")</f>
        <v/>
      </c>
      <c r="AB22" s="31"/>
      <c r="AC22" s="184"/>
      <c r="AD22" s="51"/>
      <c r="AE22" s="52"/>
      <c r="AF22" s="41"/>
      <c r="AG22" s="45"/>
      <c r="AH22" s="28"/>
      <c r="AI22" s="28"/>
      <c r="AJ22" s="28"/>
      <c r="AK22" s="28"/>
      <c r="AL22" s="12"/>
      <c r="AM22" s="12"/>
      <c r="AN22" s="12"/>
      <c r="AO22" s="12"/>
      <c r="AP22" s="12"/>
      <c r="AQ22" s="13"/>
      <c r="AR22" s="14"/>
    </row>
    <row r="23" spans="1:44" s="16" customFormat="1" ht="30.95" hidden="1" customHeight="1" x14ac:dyDescent="0.2">
      <c r="A23" s="35" t="s">
        <v>758</v>
      </c>
      <c r="B23" s="36" t="s">
        <v>747</v>
      </c>
      <c r="C23" s="43"/>
      <c r="D23" s="29"/>
      <c r="E23" s="29"/>
      <c r="F23" s="255" t="str">
        <f>IF(D23="","",VLOOKUP(D23,契約台帳!$A$3:$K$4986,6,FALSE)&amp;VLOOKUP(D23,契約台帳!$A$3:$K$4986,7,FALSE)&amp;VLOOKUP(D23,契約台帳!$A$3:$K$4986,8,FALSE)&amp;VLOOKUP(D23,契約台帳!$A$3:$K$4986,9,FALSE)&amp;VLOOKUP(D23,契約台帳!$A$3:$K$4986,11,FALSE))</f>
        <v/>
      </c>
      <c r="G23" s="256" t="str">
        <f>IF(D23="","",VLOOKUP(F23,製品マスタ!$G$5:$H$4999,2,FALSE))</f>
        <v/>
      </c>
      <c r="H23" s="256" t="str">
        <f>IF(D23="","",VLOOKUP(F23,製品マスタ!$G$5:$K$4999,5,FALSE))</f>
        <v/>
      </c>
      <c r="I23" s="200" t="str">
        <f>IF(D23="","",VLOOKUP(F23,製品マスタ!$G$5:$L$4999,6,FALSE))</f>
        <v/>
      </c>
      <c r="J23" s="30"/>
      <c r="K23" s="200" t="str">
        <f>IF(D23="","",VLOOKUP(D23,契約台帳!$A$3:$L$4986,12,FALSE))</f>
        <v/>
      </c>
      <c r="L23" s="200" t="str">
        <f>IF(D23="","",INDEX(製品マスタ!$Q$5:$Q$4999,MATCH(F23&amp;K23,製品マスタ!$AO$5:$AO$4999,0)))</f>
        <v/>
      </c>
      <c r="M23" s="37"/>
      <c r="N23" s="37"/>
      <c r="O23" s="45"/>
      <c r="P23" s="54"/>
      <c r="Q23" s="260" t="str">
        <f>IF(D23="","",IF(J23="リード付け",M23,VLOOKUP(D23,契約台帳!$A$3:$N$4986,14,FALSE)))</f>
        <v/>
      </c>
      <c r="R23" s="261" t="str">
        <f>IF(D23="","",IF(J23="リード付け",M23,VLOOKUP(D23,契約台帳!$A$3:$O$4986,15,FALSE)))</f>
        <v/>
      </c>
      <c r="S23" s="261" t="str">
        <f>IF(D23="","",IF(J23="リード付け",N23,VLOOKUP(D23,契約台帳!$A$3:$P$4986,16,FALSE)))</f>
        <v/>
      </c>
      <c r="T23" s="38"/>
      <c r="U23" s="261" t="str">
        <f ca="1">IF(D23="","",IF(OFFSET(D23,-2,0)=D23,"",VLOOKUP(D23,契約台帳!$A$3:$R$4986,18,FALSE)))</f>
        <v/>
      </c>
      <c r="V23" s="256" t="str">
        <f>IF(J23="巻返し",VLOOKUP(F23&amp;K23&amp;M23,製品マスタ!$M$5:$AD$4999,18,FALSE),IF(J23="リード付け","原反コア",IF(J23="スリット",VLOOKUP(F23&amp;K23&amp;Q23,製品マスタ!$N$5:$AD$4999,17,FALSE),"")))</f>
        <v/>
      </c>
      <c r="W23" s="256" t="str">
        <f>IF(J23="巻返し",VLOOKUP(F23&amp;K23&amp;M23,製品マスタ!$M$5:$AE$4999,19,FALSE),IF(J23="リード付け","-",IF(J23="スリット",VLOOKUP(F23&amp;K23&amp;Q23,製品マスタ!$N$5:$AE$4999,18,FALSE),"")))</f>
        <v/>
      </c>
      <c r="X23" s="256" t="str">
        <f>IF(D23="","",VLOOKUP(D23,契約台帳!$A$3:$Q$4986,17,FALSE))</f>
        <v/>
      </c>
      <c r="Y23" s="256" t="str">
        <f>IF(D23="","",VLOOKUP(D23,契約台帳!$A$3:$E$4986,5,FALSE))</f>
        <v/>
      </c>
      <c r="Z23" s="54"/>
      <c r="AA23" s="200" t="str">
        <f>IFERROR(VLOOKUP(F23&amp;K23&amp;M23,製品マスタ!$M$5:$AM$4999,27,FALSE),"")</f>
        <v/>
      </c>
      <c r="AB23" s="31"/>
      <c r="AC23" s="184"/>
      <c r="AD23" s="51"/>
      <c r="AE23" s="52"/>
      <c r="AF23" s="41"/>
      <c r="AG23" s="45"/>
      <c r="AH23" s="28"/>
      <c r="AI23" s="28"/>
      <c r="AJ23" s="28"/>
      <c r="AK23" s="28"/>
      <c r="AL23" s="12"/>
      <c r="AM23" s="12"/>
      <c r="AN23" s="12"/>
      <c r="AO23" s="12"/>
      <c r="AP23" s="12"/>
      <c r="AQ23" s="13"/>
      <c r="AR23" s="14"/>
    </row>
    <row r="24" spans="1:44" s="16" customFormat="1" ht="30.95" hidden="1" customHeight="1" x14ac:dyDescent="0.2">
      <c r="A24" s="35"/>
      <c r="B24" s="36"/>
      <c r="C24" s="43"/>
      <c r="D24" s="29"/>
      <c r="E24" s="29"/>
      <c r="F24" s="255" t="str">
        <f>IF(D24="","",VLOOKUP(D24,契約台帳!$A$3:$K$4986,6,FALSE)&amp;VLOOKUP(D24,契約台帳!$A$3:$K$4986,7,FALSE)&amp;VLOOKUP(D24,契約台帳!$A$3:$K$4986,8,FALSE)&amp;VLOOKUP(D24,契約台帳!$A$3:$K$4986,9,FALSE)&amp;VLOOKUP(D24,契約台帳!$A$3:$K$4986,11,FALSE))</f>
        <v/>
      </c>
      <c r="G24" s="256" t="str">
        <f>IF(D24="","",VLOOKUP(F24,製品マスタ!$G$5:$H$4999,2,FALSE))</f>
        <v/>
      </c>
      <c r="H24" s="256" t="str">
        <f>IF(D24="","",VLOOKUP(F24,製品マスタ!$G$5:$K$4999,5,FALSE))</f>
        <v/>
      </c>
      <c r="I24" s="200" t="str">
        <f>IF(D24="","",VLOOKUP(F24,製品マスタ!$G$5:$L$4999,6,FALSE))</f>
        <v/>
      </c>
      <c r="J24" s="30"/>
      <c r="K24" s="200" t="str">
        <f>IF(D24="","",VLOOKUP(D24,契約台帳!$A$3:$L$4986,12,FALSE))</f>
        <v/>
      </c>
      <c r="L24" s="200" t="str">
        <f>IF(D24="","",INDEX(製品マスタ!$Q$5:$Q$4999,MATCH(F24&amp;K24,製品マスタ!$AO$5:$AO$4999,0)))</f>
        <v/>
      </c>
      <c r="M24" s="37"/>
      <c r="N24" s="37"/>
      <c r="O24" s="45"/>
      <c r="P24" s="54"/>
      <c r="Q24" s="260" t="str">
        <f>IF(D24="","",IF(J24="リード付け",M24,VLOOKUP(D24,契約台帳!$A$3:$N$4986,14,FALSE)))</f>
        <v/>
      </c>
      <c r="R24" s="261" t="str">
        <f>IF(D24="","",IF(J24="リード付け",M24,VLOOKUP(D24,契約台帳!$A$3:$O$4986,15,FALSE)))</f>
        <v/>
      </c>
      <c r="S24" s="261" t="str">
        <f>IF(D24="","",IF(J24="リード付け",N24,VLOOKUP(D24,契約台帳!$A$3:$P$4986,16,FALSE)))</f>
        <v/>
      </c>
      <c r="T24" s="38"/>
      <c r="U24" s="261" t="str">
        <f ca="1">IF(D24="","",IF(OFFSET(D24,-2,0)=D24,"",VLOOKUP(D24,契約台帳!$A$3:$R$4986,18,FALSE)))</f>
        <v/>
      </c>
      <c r="V24" s="256" t="str">
        <f>IF(J24="巻返し",VLOOKUP(F24&amp;K24&amp;M24,製品マスタ!$M$5:$AD$4999,18,FALSE),IF(J24="リード付け","原反コア",IF(J24="スリット",VLOOKUP(F24&amp;K24&amp;Q24,製品マスタ!$N$5:$AD$4999,17,FALSE),"")))</f>
        <v/>
      </c>
      <c r="W24" s="256" t="str">
        <f>IF(J24="巻返し",VLOOKUP(F24&amp;K24&amp;M24,製品マスタ!$M$5:$AE$4999,19,FALSE),IF(J24="リード付け","-",IF(J24="スリット",VLOOKUP(F24&amp;K24&amp;Q24,製品マスタ!$N$5:$AE$4999,18,FALSE),"")))</f>
        <v/>
      </c>
      <c r="X24" s="256" t="str">
        <f>IF(D24="","",VLOOKUP(D24,契約台帳!$A$3:$Q$4986,17,FALSE))</f>
        <v/>
      </c>
      <c r="Y24" s="256" t="str">
        <f>IF(D24="","",VLOOKUP(D24,契約台帳!$A$3:$E$4986,5,FALSE))</f>
        <v/>
      </c>
      <c r="Z24" s="54"/>
      <c r="AA24" s="200" t="str">
        <f>IFERROR(VLOOKUP(F24&amp;K24&amp;M24,製品マスタ!$M$5:$AM$4999,27,FALSE),"")</f>
        <v/>
      </c>
      <c r="AB24" s="31"/>
      <c r="AC24" s="184"/>
      <c r="AD24" s="51"/>
      <c r="AE24" s="52"/>
      <c r="AF24" s="41"/>
      <c r="AG24" s="45"/>
      <c r="AH24" s="28"/>
      <c r="AI24" s="28"/>
      <c r="AJ24" s="28"/>
      <c r="AK24" s="28"/>
      <c r="AL24" s="12"/>
      <c r="AM24" s="12"/>
      <c r="AN24" s="12"/>
      <c r="AO24" s="12"/>
      <c r="AP24" s="12"/>
      <c r="AQ24" s="13"/>
      <c r="AR24" s="14"/>
    </row>
    <row r="25" spans="1:44" s="16" customFormat="1" ht="30.95" hidden="1" customHeight="1" x14ac:dyDescent="0.2">
      <c r="A25" s="35" t="s">
        <v>759</v>
      </c>
      <c r="B25" s="36" t="s">
        <v>748</v>
      </c>
      <c r="C25" s="43"/>
      <c r="D25" s="29"/>
      <c r="E25" s="29"/>
      <c r="F25" s="255" t="str">
        <f>IF(D25="","",VLOOKUP(D25,契約台帳!$A$3:$K$4986,6,FALSE)&amp;VLOOKUP(D25,契約台帳!$A$3:$K$4986,7,FALSE)&amp;VLOOKUP(D25,契約台帳!$A$3:$K$4986,8,FALSE)&amp;VLOOKUP(D25,契約台帳!$A$3:$K$4986,9,FALSE)&amp;VLOOKUP(D25,契約台帳!$A$3:$K$4986,11,FALSE))</f>
        <v/>
      </c>
      <c r="G25" s="256" t="str">
        <f>IF(D25="","",VLOOKUP(F25,製品マスタ!$G$5:$H$4999,2,FALSE))</f>
        <v/>
      </c>
      <c r="H25" s="256" t="str">
        <f>IF(D25="","",VLOOKUP(F25,製品マスタ!$G$5:$K$4999,5,FALSE))</f>
        <v/>
      </c>
      <c r="I25" s="200" t="str">
        <f>IF(D25="","",VLOOKUP(F25,製品マスタ!$G$5:$L$4999,6,FALSE))</f>
        <v/>
      </c>
      <c r="J25" s="30" t="s">
        <v>448</v>
      </c>
      <c r="K25" s="200" t="str">
        <f>IF(D25="","",VLOOKUP(D25,契約台帳!$A$3:$L$4986,12,FALSE))</f>
        <v/>
      </c>
      <c r="L25" s="200" t="str">
        <f>IF(D25="","",INDEX(製品マスタ!$Q$5:$Q$4999,MATCH(F25&amp;K25,製品マスタ!$AO$5:$AO$4999,0)))</f>
        <v/>
      </c>
      <c r="M25" s="37"/>
      <c r="N25" s="37"/>
      <c r="O25" s="45"/>
      <c r="P25" s="54"/>
      <c r="Q25" s="260" t="str">
        <f>IF(D25="","",IF(J25="リード付け",M25,VLOOKUP(D25,契約台帳!$A$3:$N$4986,14,FALSE)))</f>
        <v/>
      </c>
      <c r="R25" s="261" t="str">
        <f>IF(D25="","",IF(J25="リード付け",M25,VLOOKUP(D25,契約台帳!$A$3:$O$4986,15,FALSE)))</f>
        <v/>
      </c>
      <c r="S25" s="261" t="str">
        <f>IF(D25="","",IF(J25="リード付け",N25,VLOOKUP(D25,契約台帳!$A$3:$P$4986,16,FALSE)))</f>
        <v/>
      </c>
      <c r="T25" s="38"/>
      <c r="U25" s="261" t="str">
        <f ca="1">IF(D25="","",IF(OFFSET(D25,-2,0)=D25,"",VLOOKUP(D25,契約台帳!$A$3:$R$4986,18,FALSE)))</f>
        <v/>
      </c>
      <c r="V25" s="256" t="str">
        <f>IF(J25="巻返し",VLOOKUP(F25&amp;K25&amp;M25,製品マスタ!$M$5:$AD$4999,18,FALSE),IF(J25="リード付け","原反コア",IF(J25="スリット",VLOOKUP(F25&amp;K25&amp;Q25,製品マスタ!$N$5:$AD$4999,17,FALSE),"")))</f>
        <v/>
      </c>
      <c r="W25" s="256" t="str">
        <f>IF(J25="巻返し",VLOOKUP(F25&amp;K25&amp;M25,製品マスタ!$M$5:$AE$4999,19,FALSE),IF(J25="リード付け","-",IF(J25="スリット",VLOOKUP(F25&amp;K25&amp;Q25,製品マスタ!$N$5:$AE$4999,18,FALSE),"")))</f>
        <v/>
      </c>
      <c r="X25" s="256" t="str">
        <f>IF(D25="","",VLOOKUP(D25,契約台帳!$A$3:$Q$4986,17,FALSE))</f>
        <v/>
      </c>
      <c r="Y25" s="256" t="str">
        <f>IF(D25="","",VLOOKUP(D25,契約台帳!$A$3:$E$4986,5,FALSE))</f>
        <v/>
      </c>
      <c r="Z25" s="54"/>
      <c r="AA25" s="200" t="str">
        <f>IFERROR(VLOOKUP(F25&amp;K25&amp;M25,製品マスタ!$M$5:$AM$4999,27,FALSE),"")</f>
        <v/>
      </c>
      <c r="AB25" s="31"/>
      <c r="AC25" s="184"/>
      <c r="AD25" s="51"/>
      <c r="AE25" s="52"/>
      <c r="AF25" s="41"/>
      <c r="AG25" s="45"/>
      <c r="AH25" s="28"/>
      <c r="AI25" s="28"/>
      <c r="AJ25" s="28"/>
      <c r="AK25" s="28"/>
      <c r="AL25" s="12"/>
      <c r="AM25" s="12"/>
      <c r="AN25" s="12"/>
      <c r="AO25" s="12"/>
      <c r="AP25" s="12"/>
      <c r="AQ25" s="13"/>
      <c r="AR25" s="14"/>
    </row>
    <row r="26" spans="1:44" s="16" customFormat="1" ht="30.95" hidden="1" customHeight="1" x14ac:dyDescent="0.2">
      <c r="A26" s="35"/>
      <c r="B26" s="36"/>
      <c r="C26" s="43"/>
      <c r="D26" s="29"/>
      <c r="E26" s="29"/>
      <c r="F26" s="255" t="str">
        <f>IF(D26="","",VLOOKUP(D26,契約台帳!$A$3:$K$4986,6,FALSE)&amp;VLOOKUP(D26,契約台帳!$A$3:$K$4986,7,FALSE)&amp;VLOOKUP(D26,契約台帳!$A$3:$K$4986,8,FALSE)&amp;VLOOKUP(D26,契約台帳!$A$3:$K$4986,9,FALSE)&amp;VLOOKUP(D26,契約台帳!$A$3:$K$4986,11,FALSE))</f>
        <v/>
      </c>
      <c r="G26" s="256" t="str">
        <f>IF(D26="","",VLOOKUP(F26,製品マスタ!$G$5:$H$4999,2,FALSE))</f>
        <v/>
      </c>
      <c r="H26" s="256" t="str">
        <f>IF(D26="","",VLOOKUP(F26,製品マスタ!$G$5:$K$4999,5,FALSE))</f>
        <v/>
      </c>
      <c r="I26" s="200" t="str">
        <f>IF(D26="","",VLOOKUP(F26,製品マスタ!$G$5:$L$4999,6,FALSE))</f>
        <v/>
      </c>
      <c r="J26" s="30"/>
      <c r="K26" s="200" t="str">
        <f>IF(D26="","",VLOOKUP(D26,契約台帳!$A$3:$L$4986,12,FALSE))</f>
        <v/>
      </c>
      <c r="L26" s="200" t="str">
        <f>IF(D26="","",INDEX(製品マスタ!$Q$5:$Q$4999,MATCH(F26&amp;K26,製品マスタ!$AO$5:$AO$4999,0)))</f>
        <v/>
      </c>
      <c r="M26" s="37"/>
      <c r="N26" s="37"/>
      <c r="O26" s="45"/>
      <c r="P26" s="54"/>
      <c r="Q26" s="260" t="str">
        <f>IF(D26="","",IF(J26="リード付け",M26,VLOOKUP(D26,契約台帳!$A$3:$N$4986,14,FALSE)))</f>
        <v/>
      </c>
      <c r="R26" s="261" t="str">
        <f>IF(D26="","",IF(J26="リード付け",M26,VLOOKUP(D26,契約台帳!$A$3:$O$4986,15,FALSE)))</f>
        <v/>
      </c>
      <c r="S26" s="261" t="str">
        <f>IF(D26="","",IF(J26="リード付け",N26,VLOOKUP(D26,契約台帳!$A$3:$P$4986,16,FALSE)))</f>
        <v/>
      </c>
      <c r="T26" s="38"/>
      <c r="U26" s="261" t="str">
        <f ca="1">IF(D26="","",IF(OFFSET(D26,-2,0)=D26,"",VLOOKUP(D26,契約台帳!$A$3:$R$4986,18,FALSE)))</f>
        <v/>
      </c>
      <c r="V26" s="256" t="str">
        <f>IF(J26="巻返し",VLOOKUP(F26&amp;K26&amp;M26,製品マスタ!$M$5:$AD$4999,18,FALSE),IF(J26="リード付け","原反コア",IF(J26="スリット",VLOOKUP(F26&amp;K26&amp;Q26,製品マスタ!$N$5:$AD$4999,17,FALSE),"")))</f>
        <v/>
      </c>
      <c r="W26" s="256" t="str">
        <f>IF(J26="巻返し",VLOOKUP(F26&amp;K26&amp;M26,製品マスタ!$M$5:$AE$4999,19,FALSE),IF(J26="リード付け","-",IF(J26="スリット",VLOOKUP(F26&amp;K26&amp;Q26,製品マスタ!$N$5:$AE$4999,18,FALSE),"")))</f>
        <v/>
      </c>
      <c r="X26" s="256" t="str">
        <f>IF(D26="","",VLOOKUP(D26,契約台帳!$A$3:$Q$4986,17,FALSE))</f>
        <v/>
      </c>
      <c r="Y26" s="256" t="str">
        <f>IF(D26="","",VLOOKUP(D26,契約台帳!$A$3:$E$4986,5,FALSE))</f>
        <v/>
      </c>
      <c r="Z26" s="54"/>
      <c r="AA26" s="200" t="str">
        <f>IFERROR(VLOOKUP(F26&amp;K26&amp;M26,製品マスタ!$M$5:$AM$4999,27,FALSE),"")</f>
        <v/>
      </c>
      <c r="AB26" s="31"/>
      <c r="AC26" s="184"/>
      <c r="AD26" s="51"/>
      <c r="AE26" s="52"/>
      <c r="AF26" s="41"/>
      <c r="AG26" s="45"/>
      <c r="AH26" s="28"/>
      <c r="AI26" s="28"/>
      <c r="AJ26" s="28"/>
      <c r="AK26" s="28"/>
      <c r="AL26" s="12"/>
      <c r="AM26" s="12"/>
      <c r="AN26" s="12"/>
      <c r="AO26" s="12"/>
      <c r="AP26" s="12"/>
      <c r="AQ26" s="13"/>
      <c r="AR26" s="14"/>
    </row>
    <row r="27" spans="1:44" s="16" customFormat="1" ht="30.95" hidden="1" customHeight="1" x14ac:dyDescent="0.2">
      <c r="A27" s="35" t="s">
        <v>760</v>
      </c>
      <c r="B27" s="36" t="s">
        <v>749</v>
      </c>
      <c r="C27" s="43"/>
      <c r="D27" s="29"/>
      <c r="E27" s="29"/>
      <c r="F27" s="255" t="str">
        <f>IF(D27="","",VLOOKUP(D27,契約台帳!$A$3:$K$4986,6,FALSE)&amp;VLOOKUP(D27,契約台帳!$A$3:$K$4986,7,FALSE)&amp;VLOOKUP(D27,契約台帳!$A$3:$K$4986,8,FALSE)&amp;VLOOKUP(D27,契約台帳!$A$3:$K$4986,9,FALSE)&amp;VLOOKUP(D27,契約台帳!$A$3:$K$4986,11,FALSE))</f>
        <v/>
      </c>
      <c r="G27" s="256" t="str">
        <f>IF(D27="","",VLOOKUP(F27,製品マスタ!$G$5:$H$4999,2,FALSE))</f>
        <v/>
      </c>
      <c r="H27" s="256" t="str">
        <f>IF(D27="","",VLOOKUP(F27,製品マスタ!$G$5:$K$4999,5,FALSE))</f>
        <v/>
      </c>
      <c r="I27" s="200" t="str">
        <f>IF(D27="","",VLOOKUP(F27,製品マスタ!$G$5:$L$4999,6,FALSE))</f>
        <v/>
      </c>
      <c r="J27" s="30" t="s">
        <v>448</v>
      </c>
      <c r="K27" s="200" t="str">
        <f>IF(D27="","",VLOOKUP(D27,契約台帳!$A$3:$L$4986,12,FALSE))</f>
        <v/>
      </c>
      <c r="L27" s="200" t="str">
        <f>IF(D27="","",INDEX(製品マスタ!$Q$5:$Q$4999,MATCH(F27&amp;K27,製品マスタ!$AO$5:$AO$4999,0)))</f>
        <v/>
      </c>
      <c r="M27" s="37"/>
      <c r="N27" s="37"/>
      <c r="O27" s="45"/>
      <c r="P27" s="54"/>
      <c r="Q27" s="260" t="str">
        <f>IF(D27="","",IF(J27="リード付け",M27,VLOOKUP(D27,契約台帳!$A$3:$N$4986,14,FALSE)))</f>
        <v/>
      </c>
      <c r="R27" s="261" t="str">
        <f>IF(D27="","",IF(J27="リード付け",M27,VLOOKUP(D27,契約台帳!$A$3:$O$4986,15,FALSE)))</f>
        <v/>
      </c>
      <c r="S27" s="261" t="str">
        <f>IF(D27="","",IF(J27="リード付け",N27,VLOOKUP(D27,契約台帳!$A$3:$P$4986,16,FALSE)))</f>
        <v/>
      </c>
      <c r="T27" s="38"/>
      <c r="U27" s="261" t="str">
        <f ca="1">IF(D27="","",IF(OFFSET(D27,-2,0)=D27,"",VLOOKUP(D27,契約台帳!$A$3:$R$4986,18,FALSE)))</f>
        <v/>
      </c>
      <c r="V27" s="256" t="str">
        <f>IF(J27="巻返し",VLOOKUP(F27&amp;K27&amp;M27,製品マスタ!$M$5:$AD$4999,18,FALSE),IF(J27="リード付け","原反コア",IF(J27="スリット",VLOOKUP(F27&amp;K27&amp;Q27,製品マスタ!$N$5:$AD$4999,17,FALSE),"")))</f>
        <v/>
      </c>
      <c r="W27" s="256" t="str">
        <f>IF(J27="巻返し",VLOOKUP(F27&amp;K27&amp;M27,製品マスタ!$M$5:$AE$4999,19,FALSE),IF(J27="リード付け","-",IF(J27="スリット",VLOOKUP(F27&amp;K27&amp;Q27,製品マスタ!$N$5:$AE$4999,18,FALSE),"")))</f>
        <v/>
      </c>
      <c r="X27" s="256" t="str">
        <f>IF(D27="","",VLOOKUP(D27,契約台帳!$A$3:$Q$4986,17,FALSE))</f>
        <v/>
      </c>
      <c r="Y27" s="256" t="str">
        <f>IF(D27="","",VLOOKUP(D27,契約台帳!$A$3:$E$4986,5,FALSE))</f>
        <v/>
      </c>
      <c r="Z27" s="54"/>
      <c r="AA27" s="200" t="str">
        <f>IFERROR(VLOOKUP(F27&amp;K27&amp;M27,製品マスタ!$M$5:$AM$4999,27,FALSE),"")</f>
        <v/>
      </c>
      <c r="AB27" s="31"/>
      <c r="AC27" s="184"/>
      <c r="AD27" s="51"/>
      <c r="AE27" s="52"/>
      <c r="AF27" s="41"/>
      <c r="AG27" s="45"/>
      <c r="AH27" s="28"/>
      <c r="AI27" s="28"/>
      <c r="AJ27" s="28"/>
      <c r="AK27" s="28"/>
      <c r="AL27" s="12"/>
      <c r="AM27" s="12"/>
      <c r="AN27" s="12"/>
      <c r="AO27" s="12"/>
      <c r="AP27" s="12"/>
      <c r="AQ27" s="13"/>
      <c r="AR27" s="14"/>
    </row>
    <row r="28" spans="1:44" s="16" customFormat="1" ht="30.95" hidden="1" customHeight="1" x14ac:dyDescent="0.2">
      <c r="A28" s="35"/>
      <c r="B28" s="36"/>
      <c r="C28" s="43"/>
      <c r="D28" s="29"/>
      <c r="E28" s="29"/>
      <c r="F28" s="255" t="str">
        <f>IF(D28="","",VLOOKUP(D28,契約台帳!$A$3:$K$4986,6,FALSE)&amp;VLOOKUP(D28,契約台帳!$A$3:$K$4986,7,FALSE)&amp;VLOOKUP(D28,契約台帳!$A$3:$K$4986,8,FALSE)&amp;VLOOKUP(D28,契約台帳!$A$3:$K$4986,9,FALSE)&amp;VLOOKUP(D28,契約台帳!$A$3:$K$4986,11,FALSE))</f>
        <v/>
      </c>
      <c r="G28" s="256" t="str">
        <f>IF(D28="","",VLOOKUP(F28,製品マスタ!$G$5:$H$4999,2,FALSE))</f>
        <v/>
      </c>
      <c r="H28" s="256" t="str">
        <f>IF(D28="","",VLOOKUP(F28,製品マスタ!$G$5:$K$4999,5,FALSE))</f>
        <v/>
      </c>
      <c r="I28" s="200" t="str">
        <f>IF(D28="","",VLOOKUP(F28,製品マスタ!$G$5:$L$4999,6,FALSE))</f>
        <v/>
      </c>
      <c r="J28" s="30"/>
      <c r="K28" s="200" t="str">
        <f>IF(D28="","",VLOOKUP(D28,契約台帳!$A$3:$L$4986,12,FALSE))</f>
        <v/>
      </c>
      <c r="L28" s="200" t="str">
        <f>IF(D28="","",INDEX(製品マスタ!$Q$5:$Q$4999,MATCH(F28&amp;K28,製品マスタ!$AO$5:$AO$4999,0)))</f>
        <v/>
      </c>
      <c r="M28" s="37"/>
      <c r="N28" s="37"/>
      <c r="O28" s="45"/>
      <c r="P28" s="54"/>
      <c r="Q28" s="260" t="str">
        <f>IF(D28="","",IF(J28="リード付け",M28,VLOOKUP(D28,契約台帳!$A$3:$N$4986,14,FALSE)))</f>
        <v/>
      </c>
      <c r="R28" s="261" t="str">
        <f>IF(D28="","",IF(J28="リード付け",M28,VLOOKUP(D28,契約台帳!$A$3:$O$4986,15,FALSE)))</f>
        <v/>
      </c>
      <c r="S28" s="261" t="str">
        <f>IF(D28="","",IF(J28="リード付け",N28,VLOOKUP(D28,契約台帳!$A$3:$P$4986,16,FALSE)))</f>
        <v/>
      </c>
      <c r="T28" s="38"/>
      <c r="U28" s="261" t="str">
        <f ca="1">IF(D28="","",IF(OFFSET(D28,-2,0)=D28,"",VLOOKUP(D28,契約台帳!$A$3:$R$4986,18,FALSE)))</f>
        <v/>
      </c>
      <c r="V28" s="256" t="str">
        <f>IF(J28="巻返し",VLOOKUP(F28&amp;K28&amp;M28,製品マスタ!$M$5:$AD$4999,18,FALSE),IF(J28="リード付け","原反コア",IF(J28="スリット",VLOOKUP(F28&amp;K28&amp;Q28,製品マスタ!$N$5:$AD$4999,17,FALSE),"")))</f>
        <v/>
      </c>
      <c r="W28" s="256" t="str">
        <f>IF(J28="巻返し",VLOOKUP(F28&amp;K28&amp;M28,製品マスタ!$M$5:$AE$4999,19,FALSE),IF(J28="リード付け","-",IF(J28="スリット",VLOOKUP(F28&amp;K28&amp;Q28,製品マスタ!$N$5:$AE$4999,18,FALSE),"")))</f>
        <v/>
      </c>
      <c r="X28" s="256" t="str">
        <f>IF(D28="","",VLOOKUP(D28,契約台帳!$A$3:$Q$4986,17,FALSE))</f>
        <v/>
      </c>
      <c r="Y28" s="256" t="str">
        <f>IF(D28="","",VLOOKUP(D28,契約台帳!$A$3:$E$4986,5,FALSE))</f>
        <v/>
      </c>
      <c r="Z28" s="54"/>
      <c r="AA28" s="200" t="str">
        <f>IFERROR(VLOOKUP(F28&amp;K28&amp;M28,製品マスタ!$M$5:$AM$4999,27,FALSE),"")</f>
        <v/>
      </c>
      <c r="AB28" s="31"/>
      <c r="AC28" s="184"/>
      <c r="AD28" s="51"/>
      <c r="AE28" s="52"/>
      <c r="AF28" s="41"/>
      <c r="AG28" s="45"/>
      <c r="AH28" s="28"/>
      <c r="AI28" s="28"/>
      <c r="AJ28" s="28"/>
      <c r="AK28" s="28"/>
      <c r="AL28" s="12"/>
      <c r="AM28" s="12"/>
      <c r="AN28" s="12"/>
      <c r="AO28" s="12"/>
      <c r="AP28" s="12"/>
      <c r="AQ28" s="13"/>
      <c r="AR28" s="14"/>
    </row>
    <row r="29" spans="1:44" s="16" customFormat="1" ht="30.95" hidden="1" customHeight="1" x14ac:dyDescent="0.2">
      <c r="A29" s="35" t="s">
        <v>761</v>
      </c>
      <c r="B29" s="36" t="s">
        <v>750</v>
      </c>
      <c r="C29" s="43"/>
      <c r="D29" s="29"/>
      <c r="E29" s="29"/>
      <c r="F29" s="255" t="str">
        <f>IF(D29="","",VLOOKUP(D29,契約台帳!$A$3:$K$4986,6,FALSE)&amp;VLOOKUP(D29,契約台帳!$A$3:$K$4986,7,FALSE)&amp;VLOOKUP(D29,契約台帳!$A$3:$K$4986,8,FALSE)&amp;VLOOKUP(D29,契約台帳!$A$3:$K$4986,9,FALSE)&amp;VLOOKUP(D29,契約台帳!$A$3:$K$4986,11,FALSE))</f>
        <v/>
      </c>
      <c r="G29" s="256" t="str">
        <f>IF(D29="","",VLOOKUP(F29,製品マスタ!$G$5:$H$4999,2,FALSE))</f>
        <v/>
      </c>
      <c r="H29" s="256" t="str">
        <f>IF(D29="","",VLOOKUP(F29,製品マスタ!$G$5:$K$4999,5,FALSE))</f>
        <v/>
      </c>
      <c r="I29" s="200" t="str">
        <f>IF(D29="","",VLOOKUP(F29,製品マスタ!$G$5:$L$4999,6,FALSE))</f>
        <v/>
      </c>
      <c r="J29" s="30"/>
      <c r="K29" s="200" t="str">
        <f>IF(D29="","",VLOOKUP(D29,契約台帳!$A$3:$L$4986,12,FALSE))</f>
        <v/>
      </c>
      <c r="L29" s="200" t="str">
        <f>IF(D29="","",INDEX(製品マスタ!$Q$5:$Q$4999,MATCH(F29&amp;K29,製品マスタ!$AO$5:$AO$4999,0)))</f>
        <v/>
      </c>
      <c r="M29" s="37"/>
      <c r="N29" s="37"/>
      <c r="O29" s="45"/>
      <c r="P29" s="54"/>
      <c r="Q29" s="260" t="str">
        <f>IF(D29="","",IF(J29="リード付け",M29,VLOOKUP(D29,契約台帳!$A$3:$N$4986,14,FALSE)))</f>
        <v/>
      </c>
      <c r="R29" s="261" t="str">
        <f>IF(D29="","",IF(J29="リード付け",M29,VLOOKUP(D29,契約台帳!$A$3:$O$4986,15,FALSE)))</f>
        <v/>
      </c>
      <c r="S29" s="261" t="str">
        <f>IF(D29="","",IF(J29="リード付け",N29,VLOOKUP(D29,契約台帳!$A$3:$P$4986,16,FALSE)))</f>
        <v/>
      </c>
      <c r="T29" s="38"/>
      <c r="U29" s="261" t="str">
        <f ca="1">IF(D29="","",IF(OFFSET(D29,-2,0)=D29,"",VLOOKUP(D29,契約台帳!$A$3:$R$4986,18,FALSE)))</f>
        <v/>
      </c>
      <c r="V29" s="256" t="str">
        <f>IF(J29="巻返し",VLOOKUP(F29&amp;K29&amp;M29,製品マスタ!$M$5:$AD$4999,18,FALSE),IF(J29="リード付け","原反コア",IF(J29="スリット",VLOOKUP(F29&amp;K29&amp;Q29,製品マスタ!$N$5:$AD$4999,17,FALSE),"")))</f>
        <v/>
      </c>
      <c r="W29" s="256" t="str">
        <f>IF(J29="巻返し",VLOOKUP(F29&amp;K29&amp;M29,製品マスタ!$M$5:$AE$4999,19,FALSE),IF(J29="リード付け","-",IF(J29="スリット",VLOOKUP(F29&amp;K29&amp;Q29,製品マスタ!$N$5:$AE$4999,18,FALSE),"")))</f>
        <v/>
      </c>
      <c r="X29" s="256" t="str">
        <f>IF(D29="","",VLOOKUP(D29,契約台帳!$A$3:$Q$4986,17,FALSE))</f>
        <v/>
      </c>
      <c r="Y29" s="256" t="str">
        <f>IF(D29="","",VLOOKUP(D29,契約台帳!$A$3:$E$4986,5,FALSE))</f>
        <v/>
      </c>
      <c r="Z29" s="54"/>
      <c r="AA29" s="200" t="str">
        <f>IFERROR(VLOOKUP(F29&amp;K29&amp;M29,製品マスタ!$M$5:$AM$4999,27,FALSE),"")</f>
        <v/>
      </c>
      <c r="AB29" s="31"/>
      <c r="AC29" s="184"/>
      <c r="AD29" s="51"/>
      <c r="AE29" s="52"/>
      <c r="AF29" s="41"/>
      <c r="AG29" s="45"/>
      <c r="AH29" s="28"/>
      <c r="AI29" s="28"/>
      <c r="AJ29" s="28"/>
      <c r="AK29" s="28"/>
      <c r="AL29" s="12"/>
      <c r="AM29" s="12"/>
      <c r="AN29" s="12"/>
      <c r="AO29" s="12"/>
      <c r="AP29" s="12"/>
      <c r="AQ29" s="13"/>
      <c r="AR29" s="14"/>
    </row>
    <row r="30" spans="1:44" s="16" customFormat="1" ht="30.95" hidden="1" customHeight="1" x14ac:dyDescent="0.2">
      <c r="A30" s="35"/>
      <c r="B30" s="36"/>
      <c r="C30" s="43"/>
      <c r="D30" s="29"/>
      <c r="E30" s="29"/>
      <c r="F30" s="255" t="str">
        <f>IF(D30="","",VLOOKUP(D30,契約台帳!$A$3:$K$4986,6,FALSE)&amp;VLOOKUP(D30,契約台帳!$A$3:$K$4986,7,FALSE)&amp;VLOOKUP(D30,契約台帳!$A$3:$K$4986,8,FALSE)&amp;VLOOKUP(D30,契約台帳!$A$3:$K$4986,9,FALSE)&amp;VLOOKUP(D30,契約台帳!$A$3:$K$4986,11,FALSE))</f>
        <v/>
      </c>
      <c r="G30" s="256" t="str">
        <f>IF(D30="","",VLOOKUP(F30,製品マスタ!$G$5:$H$4999,2,FALSE))</f>
        <v/>
      </c>
      <c r="H30" s="256" t="str">
        <f>IF(D30="","",VLOOKUP(F30,製品マスタ!$G$5:$K$4999,5,FALSE))</f>
        <v/>
      </c>
      <c r="I30" s="200" t="str">
        <f>IF(D30="","",VLOOKUP(F30,製品マスタ!$G$5:$L$4999,6,FALSE))</f>
        <v/>
      </c>
      <c r="J30" s="30"/>
      <c r="K30" s="200" t="str">
        <f>IF(D30="","",VLOOKUP(D30,契約台帳!$A$3:$L$4986,12,FALSE))</f>
        <v/>
      </c>
      <c r="L30" s="200" t="str">
        <f>IF(D30="","",INDEX(製品マスタ!$Q$5:$Q$4999,MATCH(F30&amp;K30,製品マスタ!$AO$5:$AO$4999,0)))</f>
        <v/>
      </c>
      <c r="M30" s="37"/>
      <c r="N30" s="37"/>
      <c r="O30" s="45"/>
      <c r="P30" s="54"/>
      <c r="Q30" s="260" t="str">
        <f>IF(D30="","",IF(J30="リード付け",M30,VLOOKUP(D30,契約台帳!$A$3:$N$4986,14,FALSE)))</f>
        <v/>
      </c>
      <c r="R30" s="261" t="str">
        <f>IF(D30="","",IF(J30="リード付け",M30,VLOOKUP(D30,契約台帳!$A$3:$O$4986,15,FALSE)))</f>
        <v/>
      </c>
      <c r="S30" s="261" t="str">
        <f>IF(D30="","",IF(J30="リード付け",N30,VLOOKUP(D30,契約台帳!$A$3:$P$4986,16,FALSE)))</f>
        <v/>
      </c>
      <c r="T30" s="38"/>
      <c r="U30" s="261" t="str">
        <f ca="1">IF(D30="","",IF(OFFSET(D30,-2,0)=D30,"",VLOOKUP(D30,契約台帳!$A$3:$R$4986,18,FALSE)))</f>
        <v/>
      </c>
      <c r="V30" s="256" t="str">
        <f>IF(J30="巻返し",VLOOKUP(F30&amp;K30&amp;M30,製品マスタ!$M$5:$AD$4999,18,FALSE),IF(J30="リード付け","原反コア",IF(J30="スリット",VLOOKUP(F30&amp;K30&amp;Q30,製品マスタ!$N$5:$AD$4999,17,FALSE),"")))</f>
        <v/>
      </c>
      <c r="W30" s="256" t="str">
        <f>IF(J30="巻返し",VLOOKUP(F30&amp;K30&amp;M30,製品マスタ!$M$5:$AE$4999,19,FALSE),IF(J30="リード付け","-",IF(J30="スリット",VLOOKUP(F30&amp;K30&amp;Q30,製品マスタ!$N$5:$AE$4999,18,FALSE),"")))</f>
        <v/>
      </c>
      <c r="X30" s="256" t="str">
        <f>IF(D30="","",VLOOKUP(D30,契約台帳!$A$3:$Q$4986,17,FALSE))</f>
        <v/>
      </c>
      <c r="Y30" s="256" t="str">
        <f>IF(D30="","",VLOOKUP(D30,契約台帳!$A$3:$E$4986,5,FALSE))</f>
        <v/>
      </c>
      <c r="Z30" s="54"/>
      <c r="AA30" s="200" t="str">
        <f>IFERROR(VLOOKUP(F30&amp;K30&amp;M30,製品マスタ!$M$5:$AM$4999,27,FALSE),"")</f>
        <v/>
      </c>
      <c r="AB30" s="31"/>
      <c r="AC30" s="184"/>
      <c r="AD30" s="51"/>
      <c r="AE30" s="52"/>
      <c r="AF30" s="41"/>
      <c r="AG30" s="45"/>
      <c r="AH30" s="28"/>
      <c r="AI30" s="28"/>
      <c r="AJ30" s="28"/>
      <c r="AK30" s="28"/>
      <c r="AL30" s="12"/>
      <c r="AM30" s="12"/>
      <c r="AN30" s="12"/>
      <c r="AO30" s="12"/>
      <c r="AP30" s="12"/>
      <c r="AQ30" s="13"/>
      <c r="AR30" s="14"/>
    </row>
    <row r="31" spans="1:44" s="16" customFormat="1" ht="30.95" hidden="1" customHeight="1" x14ac:dyDescent="0.2">
      <c r="A31" s="35" t="s">
        <v>775</v>
      </c>
      <c r="B31" s="36" t="s">
        <v>778</v>
      </c>
      <c r="C31" s="43"/>
      <c r="D31" s="29"/>
      <c r="E31" s="29"/>
      <c r="F31" s="255" t="str">
        <f>IF(D31="","",VLOOKUP(D31,契約台帳!$A$3:$K$4986,6,FALSE)&amp;VLOOKUP(D31,契約台帳!$A$3:$K$4986,7,FALSE)&amp;VLOOKUP(D31,契約台帳!$A$3:$K$4986,8,FALSE)&amp;VLOOKUP(D31,契約台帳!$A$3:$K$4986,9,FALSE)&amp;VLOOKUP(D31,契約台帳!$A$3:$K$4986,11,FALSE))</f>
        <v/>
      </c>
      <c r="G31" s="256" t="str">
        <f>IF(D31="","",VLOOKUP(F31,製品マスタ!$G$5:$H$4999,2,FALSE))</f>
        <v/>
      </c>
      <c r="H31" s="256" t="str">
        <f>IF(D31="","",VLOOKUP(F31,製品マスタ!$G$5:$K$4999,5,FALSE))</f>
        <v/>
      </c>
      <c r="I31" s="200" t="str">
        <f>IF(D31="","",VLOOKUP(F31,製品マスタ!$G$5:$L$4999,6,FALSE))</f>
        <v/>
      </c>
      <c r="J31" s="30"/>
      <c r="K31" s="200" t="str">
        <f>IF(D31="","",VLOOKUP(D31,契約台帳!$A$3:$L$4986,12,FALSE))</f>
        <v/>
      </c>
      <c r="L31" s="200" t="str">
        <f>IF(D31="","",INDEX(製品マスタ!$Q$5:$Q$4999,MATCH(F31&amp;K31,製品マスタ!$AO$5:$AO$4999,0)))</f>
        <v/>
      </c>
      <c r="M31" s="37"/>
      <c r="N31" s="37"/>
      <c r="O31" s="45"/>
      <c r="P31" s="54"/>
      <c r="Q31" s="260" t="str">
        <f>IF(D31="","",IF(J31="リード付け",M31,VLOOKUP(D31,契約台帳!$A$3:$N$4986,14,FALSE)))</f>
        <v/>
      </c>
      <c r="R31" s="261" t="str">
        <f>IF(D31="","",IF(J31="リード付け",M31,VLOOKUP(D31,契約台帳!$A$3:$O$4986,15,FALSE)))</f>
        <v/>
      </c>
      <c r="S31" s="261" t="str">
        <f>IF(D31="","",IF(J31="リード付け",N31,VLOOKUP(D31,契約台帳!$A$3:$P$4986,16,FALSE)))</f>
        <v/>
      </c>
      <c r="T31" s="38"/>
      <c r="U31" s="261" t="str">
        <f ca="1">IF(D31="","",IF(OFFSET(D31,-2,0)=D31,"",VLOOKUP(D31,契約台帳!$A$3:$R$4986,18,FALSE)))</f>
        <v/>
      </c>
      <c r="V31" s="256" t="str">
        <f>IF(J31="巻返し",VLOOKUP(F31&amp;K31&amp;M31,製品マスタ!$M$5:$AD$4999,18,FALSE),IF(J31="リード付け","原反コア",IF(J31="スリット",VLOOKUP(F31&amp;K31&amp;Q31,製品マスタ!$N$5:$AD$4999,17,FALSE),"")))</f>
        <v/>
      </c>
      <c r="W31" s="256" t="str">
        <f>IF(J31="巻返し",VLOOKUP(F31&amp;K31&amp;M31,製品マスタ!$M$5:$AE$4999,19,FALSE),IF(J31="リード付け","-",IF(J31="スリット",VLOOKUP(F31&amp;K31&amp;Q31,製品マスタ!$N$5:$AE$4999,18,FALSE),"")))</f>
        <v/>
      </c>
      <c r="X31" s="256" t="str">
        <f>IF(D31="","",VLOOKUP(D31,契約台帳!$A$3:$Q$4986,17,FALSE))</f>
        <v/>
      </c>
      <c r="Y31" s="256" t="str">
        <f>IF(D31="","",VLOOKUP(D31,契約台帳!$A$3:$E$4986,5,FALSE))</f>
        <v/>
      </c>
      <c r="Z31" s="54"/>
      <c r="AA31" s="200" t="str">
        <f>IFERROR(VLOOKUP(F31&amp;K31&amp;M31,製品マスタ!$M$5:$AM$4999,27,FALSE),"")</f>
        <v/>
      </c>
      <c r="AB31" s="31"/>
      <c r="AC31" s="184"/>
      <c r="AD31" s="51"/>
      <c r="AE31" s="52"/>
      <c r="AF31" s="41"/>
      <c r="AG31" s="45"/>
      <c r="AH31" s="28"/>
      <c r="AI31" s="28"/>
      <c r="AJ31" s="28"/>
      <c r="AK31" s="28"/>
      <c r="AL31" s="12"/>
      <c r="AM31" s="12"/>
      <c r="AN31" s="12"/>
      <c r="AO31" s="12"/>
      <c r="AP31" s="12"/>
      <c r="AQ31" s="13"/>
      <c r="AR31" s="14"/>
    </row>
    <row r="32" spans="1:44" s="16" customFormat="1" ht="30.95" hidden="1" customHeight="1" x14ac:dyDescent="0.2">
      <c r="A32" s="35"/>
      <c r="B32" s="36"/>
      <c r="C32" s="43"/>
      <c r="D32" s="29"/>
      <c r="E32" s="29"/>
      <c r="F32" s="255" t="str">
        <f>IF(D32="","",VLOOKUP(D32,契約台帳!$A$3:$K$4986,6,FALSE)&amp;VLOOKUP(D32,契約台帳!$A$3:$K$4986,7,FALSE)&amp;VLOOKUP(D32,契約台帳!$A$3:$K$4986,8,FALSE)&amp;VLOOKUP(D32,契約台帳!$A$3:$K$4986,9,FALSE)&amp;VLOOKUP(D32,契約台帳!$A$3:$K$4986,11,FALSE))</f>
        <v/>
      </c>
      <c r="G32" s="256" t="str">
        <f>IF(D32="","",VLOOKUP(F32,製品マスタ!$G$5:$H$4999,2,FALSE))</f>
        <v/>
      </c>
      <c r="H32" s="256" t="str">
        <f>IF(D32="","",VLOOKUP(F32,製品マスタ!$G$5:$K$4999,5,FALSE))</f>
        <v/>
      </c>
      <c r="I32" s="200" t="str">
        <f>IF(D32="","",VLOOKUP(F32,製品マスタ!$G$5:$L$4999,6,FALSE))</f>
        <v/>
      </c>
      <c r="J32" s="30"/>
      <c r="K32" s="200" t="str">
        <f>IF(D32="","",VLOOKUP(D32,契約台帳!$A$3:$L$4986,12,FALSE))</f>
        <v/>
      </c>
      <c r="L32" s="200" t="str">
        <f>IF(D32="","",INDEX(製品マスタ!$Q$5:$Q$4999,MATCH(F32&amp;K32,製品マスタ!$AO$5:$AO$4999,0)))</f>
        <v/>
      </c>
      <c r="M32" s="37"/>
      <c r="N32" s="37"/>
      <c r="O32" s="45"/>
      <c r="P32" s="54"/>
      <c r="Q32" s="260" t="str">
        <f>IF(D32="","",IF(J32="リード付け",M32,VLOOKUP(D32,契約台帳!$A$3:$N$4986,14,FALSE)))</f>
        <v/>
      </c>
      <c r="R32" s="261" t="str">
        <f>IF(D32="","",IF(J32="リード付け",M32,VLOOKUP(D32,契約台帳!$A$3:$O$4986,15,FALSE)))</f>
        <v/>
      </c>
      <c r="S32" s="261" t="str">
        <f>IF(D32="","",IF(J32="リード付け",N32,VLOOKUP(D32,契約台帳!$A$3:$P$4986,16,FALSE)))</f>
        <v/>
      </c>
      <c r="T32" s="38"/>
      <c r="U32" s="261" t="str">
        <f ca="1">IF(D32="","",IF(OFFSET(D32,-2,0)=D32,"",VLOOKUP(D32,契約台帳!$A$3:$R$4986,18,FALSE)))</f>
        <v/>
      </c>
      <c r="V32" s="256" t="str">
        <f>IF(J32="巻返し",VLOOKUP(F32&amp;K32&amp;M32,製品マスタ!$M$5:$AD$4999,18,FALSE),IF(J32="リード付け","原反コア",IF(J32="スリット",VLOOKUP(F32&amp;K32&amp;Q32,製品マスタ!$N$5:$AD$4999,17,FALSE),"")))</f>
        <v/>
      </c>
      <c r="W32" s="256" t="str">
        <f>IF(J32="巻返し",VLOOKUP(F32&amp;K32&amp;M32,製品マスタ!$M$5:$AE$4999,19,FALSE),IF(J32="リード付け","-",IF(J32="スリット",VLOOKUP(F32&amp;K32&amp;Q32,製品マスタ!$N$5:$AE$4999,18,FALSE),"")))</f>
        <v/>
      </c>
      <c r="X32" s="256" t="str">
        <f>IF(D32="","",VLOOKUP(D32,契約台帳!$A$3:$Q$4986,17,FALSE))</f>
        <v/>
      </c>
      <c r="Y32" s="256" t="str">
        <f>IF(D32="","",VLOOKUP(D32,契約台帳!$A$3:$E$4986,5,FALSE))</f>
        <v/>
      </c>
      <c r="Z32" s="54"/>
      <c r="AA32" s="200" t="str">
        <f>IFERROR(VLOOKUP(F32&amp;K32&amp;M32,製品マスタ!$M$5:$AM$4999,27,FALSE),"")</f>
        <v/>
      </c>
      <c r="AB32" s="31"/>
      <c r="AC32" s="184"/>
      <c r="AD32" s="51"/>
      <c r="AE32" s="52"/>
      <c r="AF32" s="41"/>
      <c r="AG32" s="45"/>
      <c r="AH32" s="28"/>
      <c r="AI32" s="28"/>
      <c r="AJ32" s="28"/>
      <c r="AK32" s="28"/>
      <c r="AL32" s="12"/>
      <c r="AM32" s="12"/>
      <c r="AN32" s="12"/>
      <c r="AO32" s="12"/>
      <c r="AP32" s="12"/>
      <c r="AQ32" s="13"/>
      <c r="AR32" s="14"/>
    </row>
    <row r="33" spans="1:44" s="16" customFormat="1" ht="30.95" hidden="1" customHeight="1" x14ac:dyDescent="0.2">
      <c r="A33" s="35" t="s">
        <v>776</v>
      </c>
      <c r="B33" s="36" t="s">
        <v>779</v>
      </c>
      <c r="C33" s="43"/>
      <c r="D33" s="29"/>
      <c r="E33" s="29"/>
      <c r="F33" s="255" t="str">
        <f>IF(D33="","",VLOOKUP(D33,契約台帳!$A$3:$K$4986,6,FALSE)&amp;VLOOKUP(D33,契約台帳!$A$3:$K$4986,7,FALSE)&amp;VLOOKUP(D33,契約台帳!$A$3:$K$4986,8,FALSE)&amp;VLOOKUP(D33,契約台帳!$A$3:$K$4986,9,FALSE)&amp;VLOOKUP(D33,契約台帳!$A$3:$K$4986,11,FALSE))</f>
        <v/>
      </c>
      <c r="G33" s="256" t="str">
        <f>IF(D33="","",VLOOKUP(F33,製品マスタ!$G$5:$H$4999,2,FALSE))</f>
        <v/>
      </c>
      <c r="H33" s="256" t="str">
        <f>IF(D33="","",VLOOKUP(F33,製品マスタ!$G$5:$K$4999,5,FALSE))</f>
        <v/>
      </c>
      <c r="I33" s="200" t="str">
        <f>IF(D33="","",VLOOKUP(F33,製品マスタ!$G$5:$L$4999,6,FALSE))</f>
        <v/>
      </c>
      <c r="J33" s="30"/>
      <c r="K33" s="200" t="str">
        <f>IF(D33="","",VLOOKUP(D33,契約台帳!$A$3:$L$4986,12,FALSE))</f>
        <v/>
      </c>
      <c r="L33" s="200" t="str">
        <f>IF(D33="","",INDEX(製品マスタ!$Q$5:$Q$4999,MATCH(F33&amp;K33,製品マスタ!$AO$5:$AO$4999,0)))</f>
        <v/>
      </c>
      <c r="M33" s="37"/>
      <c r="N33" s="37"/>
      <c r="O33" s="45"/>
      <c r="P33" s="54"/>
      <c r="Q33" s="260" t="str">
        <f>IF(D33="","",IF(J33="リード付け",M33,VLOOKUP(D33,契約台帳!$A$3:$N$4986,14,FALSE)))</f>
        <v/>
      </c>
      <c r="R33" s="261" t="str">
        <f>IF(D33="","",IF(J33="リード付け",M33,VLOOKUP(D33,契約台帳!$A$3:$O$4986,15,FALSE)))</f>
        <v/>
      </c>
      <c r="S33" s="261" t="str">
        <f>IF(D33="","",IF(J33="リード付け",N33,VLOOKUP(D33,契約台帳!$A$3:$P$4986,16,FALSE)))</f>
        <v/>
      </c>
      <c r="T33" s="38"/>
      <c r="U33" s="261" t="str">
        <f ca="1">IF(D33="","",IF(OFFSET(D33,-2,0)=D33,"",VLOOKUP(D33,契約台帳!$A$3:$R$4986,18,FALSE)))</f>
        <v/>
      </c>
      <c r="V33" s="256" t="str">
        <f>IF(J33="巻返し",VLOOKUP(F33&amp;K33&amp;M33,製品マスタ!$M$5:$AD$4999,18,FALSE),IF(J33="リード付け","原反コア",IF(J33="スリット",VLOOKUP(F33&amp;K33&amp;Q33,製品マスタ!$N$5:$AD$4999,17,FALSE),"")))</f>
        <v/>
      </c>
      <c r="W33" s="256" t="str">
        <f>IF(J33="巻返し",VLOOKUP(F33&amp;K33&amp;M33,製品マスタ!$M$5:$AE$4999,19,FALSE),IF(J33="リード付け","-",IF(J33="スリット",VLOOKUP(F33&amp;K33&amp;Q33,製品マスタ!$N$5:$AE$4999,18,FALSE),"")))</f>
        <v/>
      </c>
      <c r="X33" s="256" t="str">
        <f>IF(D33="","",VLOOKUP(D33,契約台帳!$A$3:$Q$4986,17,FALSE))</f>
        <v/>
      </c>
      <c r="Y33" s="256" t="str">
        <f>IF(D33="","",VLOOKUP(D33,契約台帳!$A$3:$E$4986,5,FALSE))</f>
        <v/>
      </c>
      <c r="Z33" s="54"/>
      <c r="AA33" s="200" t="str">
        <f>IFERROR(VLOOKUP(F33&amp;K33&amp;M33,製品マスタ!$M$5:$AM$4999,27,FALSE),"")</f>
        <v/>
      </c>
      <c r="AB33" s="31"/>
      <c r="AC33" s="184"/>
      <c r="AD33" s="51"/>
      <c r="AE33" s="52"/>
      <c r="AF33" s="41"/>
      <c r="AG33" s="45"/>
      <c r="AH33" s="28"/>
      <c r="AI33" s="28"/>
      <c r="AJ33" s="28"/>
      <c r="AK33" s="28"/>
      <c r="AL33" s="12"/>
      <c r="AM33" s="12"/>
      <c r="AN33" s="12"/>
      <c r="AO33" s="12"/>
      <c r="AP33" s="12"/>
      <c r="AQ33" s="13"/>
      <c r="AR33" s="14"/>
    </row>
    <row r="34" spans="1:44" s="16" customFormat="1" ht="30.95" hidden="1" customHeight="1" x14ac:dyDescent="0.2">
      <c r="A34" s="35"/>
      <c r="B34" s="36"/>
      <c r="C34" s="43"/>
      <c r="D34" s="29"/>
      <c r="E34" s="29"/>
      <c r="F34" s="255" t="str">
        <f>IF(D34="","",VLOOKUP(D34,契約台帳!$A$3:$K$4986,6,FALSE)&amp;VLOOKUP(D34,契約台帳!$A$3:$K$4986,7,FALSE)&amp;VLOOKUP(D34,契約台帳!$A$3:$K$4986,8,FALSE)&amp;VLOOKUP(D34,契約台帳!$A$3:$K$4986,9,FALSE)&amp;VLOOKUP(D34,契約台帳!$A$3:$K$4986,11,FALSE))</f>
        <v/>
      </c>
      <c r="G34" s="256" t="str">
        <f>IF(D34="","",VLOOKUP(F34,製品マスタ!$G$5:$H$4999,2,FALSE))</f>
        <v/>
      </c>
      <c r="H34" s="256" t="str">
        <f>IF(D34="","",VLOOKUP(F34,製品マスタ!$G$5:$K$4999,5,FALSE))</f>
        <v/>
      </c>
      <c r="I34" s="200" t="str">
        <f>IF(D34="","",VLOOKUP(F34,製品マスタ!$G$5:$L$4999,6,FALSE))</f>
        <v/>
      </c>
      <c r="J34" s="30"/>
      <c r="K34" s="200" t="str">
        <f>IF(D34="","",VLOOKUP(D34,契約台帳!$A$3:$L$4986,12,FALSE))</f>
        <v/>
      </c>
      <c r="L34" s="200" t="str">
        <f>IF(D34="","",INDEX(製品マスタ!$Q$5:$Q$4999,MATCH(F34&amp;K34,製品マスタ!$AO$5:$AO$4999,0)))</f>
        <v/>
      </c>
      <c r="M34" s="37"/>
      <c r="N34" s="37"/>
      <c r="O34" s="45"/>
      <c r="P34" s="54"/>
      <c r="Q34" s="260" t="str">
        <f>IF(D34="","",IF(J34="リード付け",M34,VLOOKUP(D34,契約台帳!$A$3:$N$4986,14,FALSE)))</f>
        <v/>
      </c>
      <c r="R34" s="261" t="str">
        <f>IF(D34="","",IF(J34="リード付け",M34,VLOOKUP(D34,契約台帳!$A$3:$O$4986,15,FALSE)))</f>
        <v/>
      </c>
      <c r="S34" s="261" t="str">
        <f>IF(D34="","",IF(J34="リード付け",N34,VLOOKUP(D34,契約台帳!$A$3:$P$4986,16,FALSE)))</f>
        <v/>
      </c>
      <c r="T34" s="38"/>
      <c r="U34" s="261" t="str">
        <f ca="1">IF(D34="","",IF(OFFSET(D34,-2,0)=D34,"",VLOOKUP(D34,契約台帳!$A$3:$R$4986,18,FALSE)))</f>
        <v/>
      </c>
      <c r="V34" s="256" t="str">
        <f>IF(J34="巻返し",VLOOKUP(F34&amp;K34&amp;M34,製品マスタ!$M$5:$AD$4999,18,FALSE),IF(J34="リード付け","原反コア",IF(J34="スリット",VLOOKUP(F34&amp;K34&amp;Q34,製品マスタ!$N$5:$AD$4999,17,FALSE),"")))</f>
        <v/>
      </c>
      <c r="W34" s="256" t="str">
        <f>IF(J34="巻返し",VLOOKUP(F34&amp;K34&amp;M34,製品マスタ!$M$5:$AE$4999,19,FALSE),IF(J34="リード付け","-",IF(J34="スリット",VLOOKUP(F34&amp;K34&amp;Q34,製品マスタ!$N$5:$AE$4999,18,FALSE),"")))</f>
        <v/>
      </c>
      <c r="X34" s="256" t="str">
        <f>IF(D34="","",VLOOKUP(D34,契約台帳!$A$3:$Q$4986,17,FALSE))</f>
        <v/>
      </c>
      <c r="Y34" s="256" t="str">
        <f>IF(D34="","",VLOOKUP(D34,契約台帳!$A$3:$E$4986,5,FALSE))</f>
        <v/>
      </c>
      <c r="Z34" s="54"/>
      <c r="AA34" s="200" t="str">
        <f>IFERROR(VLOOKUP(F34&amp;K34&amp;M34,製品マスタ!$M$5:$AM$4999,27,FALSE),"")</f>
        <v/>
      </c>
      <c r="AB34" s="31"/>
      <c r="AC34" s="184"/>
      <c r="AD34" s="51"/>
      <c r="AE34" s="52"/>
      <c r="AF34" s="41"/>
      <c r="AG34" s="45"/>
      <c r="AH34" s="28"/>
      <c r="AI34" s="28"/>
      <c r="AJ34" s="28"/>
      <c r="AK34" s="28"/>
      <c r="AL34" s="12"/>
      <c r="AM34" s="12"/>
      <c r="AN34" s="12"/>
      <c r="AO34" s="12"/>
      <c r="AP34" s="12"/>
      <c r="AQ34" s="13"/>
      <c r="AR34" s="14"/>
    </row>
    <row r="35" spans="1:44" s="16" customFormat="1" ht="30.95" hidden="1" customHeight="1" x14ac:dyDescent="0.2">
      <c r="A35" s="35" t="s">
        <v>777</v>
      </c>
      <c r="B35" s="36" t="s">
        <v>780</v>
      </c>
      <c r="C35" s="43"/>
      <c r="D35" s="29"/>
      <c r="E35" s="29"/>
      <c r="F35" s="255" t="str">
        <f>IF(D35="","",VLOOKUP(D35,契約台帳!$A$3:$K$4986,6,FALSE)&amp;VLOOKUP(D35,契約台帳!$A$3:$K$4986,7,FALSE)&amp;VLOOKUP(D35,契約台帳!$A$3:$K$4986,8,FALSE)&amp;VLOOKUP(D35,契約台帳!$A$3:$K$4986,9,FALSE)&amp;VLOOKUP(D35,契約台帳!$A$3:$K$4986,11,FALSE))</f>
        <v/>
      </c>
      <c r="G35" s="256" t="str">
        <f>IF(D35="","",VLOOKUP(F35,製品マスタ!$G$5:$H$4999,2,FALSE))</f>
        <v/>
      </c>
      <c r="H35" s="256" t="str">
        <f>IF(D35="","",VLOOKUP(F35,製品マスタ!$G$5:$K$4999,5,FALSE))</f>
        <v/>
      </c>
      <c r="I35" s="200" t="str">
        <f>IF(D35="","",VLOOKUP(F35,製品マスタ!$G$5:$L$4999,6,FALSE))</f>
        <v/>
      </c>
      <c r="J35" s="30"/>
      <c r="K35" s="200" t="str">
        <f>IF(D35="","",VLOOKUP(D35,契約台帳!$A$3:$L$4986,12,FALSE))</f>
        <v/>
      </c>
      <c r="L35" s="200" t="str">
        <f>IF(D35="","",INDEX(製品マスタ!$Q$5:$Q$4999,MATCH(F35&amp;K35,製品マスタ!$AO$5:$AO$4999,0)))</f>
        <v/>
      </c>
      <c r="M35" s="37"/>
      <c r="N35" s="37"/>
      <c r="O35" s="45"/>
      <c r="P35" s="54"/>
      <c r="Q35" s="260" t="str">
        <f>IF(D35="","",IF(J35="リード付け",M35,VLOOKUP(D35,契約台帳!$A$3:$N$4986,14,FALSE)))</f>
        <v/>
      </c>
      <c r="R35" s="261" t="str">
        <f>IF(D35="","",IF(J35="リード付け",M35,VLOOKUP(D35,契約台帳!$A$3:$O$4986,15,FALSE)))</f>
        <v/>
      </c>
      <c r="S35" s="261" t="str">
        <f>IF(D35="","",IF(J35="リード付け",N35,VLOOKUP(D35,契約台帳!$A$3:$P$4986,16,FALSE)))</f>
        <v/>
      </c>
      <c r="T35" s="38"/>
      <c r="U35" s="261" t="str">
        <f ca="1">IF(D35="","",IF(OFFSET(D35,-2,0)=D35,"",VLOOKUP(D35,契約台帳!$A$3:$R$4986,18,FALSE)))</f>
        <v/>
      </c>
      <c r="V35" s="256" t="str">
        <f>IF(J35="巻返し",VLOOKUP(F35&amp;K35&amp;M35,製品マスタ!$M$5:$AD$4999,18,FALSE),IF(J35="リード付け","原反コア",IF(J35="スリット",VLOOKUP(F35&amp;K35&amp;Q35,製品マスタ!$N$5:$AD$4999,17,FALSE),"")))</f>
        <v/>
      </c>
      <c r="W35" s="256" t="str">
        <f>IF(J35="巻返し",VLOOKUP(F35&amp;K35&amp;M35,製品マスタ!$M$5:$AE$4999,19,FALSE),IF(J35="リード付け","-",IF(J35="スリット",VLOOKUP(F35&amp;K35&amp;Q35,製品マスタ!$N$5:$AE$4999,18,FALSE),"")))</f>
        <v/>
      </c>
      <c r="X35" s="256" t="str">
        <f>IF(D35="","",VLOOKUP(D35,契約台帳!$A$3:$Q$4986,17,FALSE))</f>
        <v/>
      </c>
      <c r="Y35" s="256" t="str">
        <f>IF(D35="","",VLOOKUP(D35,契約台帳!$A$3:$E$4986,5,FALSE))</f>
        <v/>
      </c>
      <c r="Z35" s="54"/>
      <c r="AA35" s="200" t="str">
        <f>IFERROR(VLOOKUP(F35&amp;K35&amp;M35,製品マスタ!$M$5:$AM$4999,27,FALSE),"")</f>
        <v/>
      </c>
      <c r="AB35" s="31"/>
      <c r="AC35" s="184"/>
      <c r="AD35" s="51"/>
      <c r="AE35" s="52"/>
      <c r="AF35" s="41"/>
      <c r="AG35" s="45"/>
      <c r="AH35" s="28"/>
      <c r="AI35" s="28"/>
      <c r="AJ35" s="28"/>
      <c r="AK35" s="28"/>
      <c r="AL35" s="12"/>
      <c r="AM35" s="12"/>
      <c r="AN35" s="12"/>
      <c r="AO35" s="12"/>
      <c r="AP35" s="12"/>
      <c r="AQ35" s="13"/>
      <c r="AR35" s="14"/>
    </row>
    <row r="36" spans="1:44" s="16" customFormat="1" ht="30.95" hidden="1" customHeight="1" x14ac:dyDescent="0.2">
      <c r="A36" s="35"/>
      <c r="B36" s="36"/>
      <c r="C36" s="43"/>
      <c r="D36" s="29"/>
      <c r="E36" s="29"/>
      <c r="F36" s="255" t="str">
        <f>IF(D36="","",VLOOKUP(D36,契約台帳!$A$3:$K$4986,6,FALSE)&amp;VLOOKUP(D36,契約台帳!$A$3:$K$4986,7,FALSE)&amp;VLOOKUP(D36,契約台帳!$A$3:$K$4986,8,FALSE)&amp;VLOOKUP(D36,契約台帳!$A$3:$K$4986,9,FALSE)&amp;VLOOKUP(D36,契約台帳!$A$3:$K$4986,11,FALSE))</f>
        <v/>
      </c>
      <c r="G36" s="256" t="str">
        <f>IF(D36="","",VLOOKUP(F36,製品マスタ!$G$5:$H$4999,2,FALSE))</f>
        <v/>
      </c>
      <c r="H36" s="256" t="str">
        <f>IF(D36="","",VLOOKUP(F36,製品マスタ!$G$5:$K$4999,5,FALSE))</f>
        <v/>
      </c>
      <c r="I36" s="200" t="str">
        <f>IF(D36="","",VLOOKUP(F36,製品マスタ!$G$5:$L$4999,6,FALSE))</f>
        <v/>
      </c>
      <c r="J36" s="30"/>
      <c r="K36" s="200" t="str">
        <f>IF(D36="","",VLOOKUP(D36,契約台帳!$A$3:$L$4986,12,FALSE))</f>
        <v/>
      </c>
      <c r="L36" s="200" t="str">
        <f>IF(D36="","",INDEX(製品マスタ!$Q$5:$Q$4999,MATCH(F36&amp;K36,製品マスタ!$AO$5:$AO$4999,0)))</f>
        <v/>
      </c>
      <c r="M36" s="37"/>
      <c r="N36" s="37"/>
      <c r="O36" s="45"/>
      <c r="P36" s="54"/>
      <c r="Q36" s="260" t="str">
        <f>IF(D36="","",IF(J36="リード付け",M36,VLOOKUP(D36,契約台帳!$A$3:$N$4986,14,FALSE)))</f>
        <v/>
      </c>
      <c r="R36" s="261" t="str">
        <f>IF(D36="","",IF(J36="リード付け",M36,VLOOKUP(D36,契約台帳!$A$3:$O$4986,15,FALSE)))</f>
        <v/>
      </c>
      <c r="S36" s="261" t="str">
        <f>IF(D36="","",IF(J36="リード付け",N36,VLOOKUP(D36,契約台帳!$A$3:$P$4986,16,FALSE)))</f>
        <v/>
      </c>
      <c r="T36" s="38"/>
      <c r="U36" s="261" t="str">
        <f ca="1">IF(D36="","",IF(OFFSET(D36,-2,0)=D36,"",VLOOKUP(D36,契約台帳!$A$3:$R$4986,18,FALSE)))</f>
        <v/>
      </c>
      <c r="V36" s="256" t="str">
        <f>IF(J36="巻返し",VLOOKUP(F36&amp;K36&amp;M36,製品マスタ!$M$5:$AD$4999,18,FALSE),IF(J36="リード付け","原反コア",IF(J36="スリット",VLOOKUP(F36&amp;K36&amp;Q36,製品マスタ!$N$5:$AD$4999,17,FALSE),"")))</f>
        <v/>
      </c>
      <c r="W36" s="256" t="str">
        <f>IF(J36="巻返し",VLOOKUP(F36&amp;K36&amp;M36,製品マスタ!$M$5:$AE$4999,19,FALSE),IF(J36="リード付け","-",IF(J36="スリット",VLOOKUP(F36&amp;K36&amp;Q36,製品マスタ!$N$5:$AE$4999,18,FALSE),"")))</f>
        <v/>
      </c>
      <c r="X36" s="256" t="str">
        <f>IF(D36="","",VLOOKUP(D36,契約台帳!$A$3:$Q$4986,17,FALSE))</f>
        <v/>
      </c>
      <c r="Y36" s="256" t="str">
        <f>IF(D36="","",VLOOKUP(D36,契約台帳!$A$3:$E$4986,5,FALSE))</f>
        <v/>
      </c>
      <c r="Z36" s="54"/>
      <c r="AA36" s="200" t="str">
        <f>IFERROR(VLOOKUP(F36&amp;K36&amp;M36,製品マスタ!$M$5:$AM$4999,27,FALSE),"")</f>
        <v/>
      </c>
      <c r="AB36" s="31"/>
      <c r="AC36" s="184"/>
      <c r="AD36" s="51"/>
      <c r="AE36" s="52"/>
      <c r="AF36" s="41"/>
      <c r="AG36" s="45"/>
      <c r="AH36" s="28"/>
      <c r="AI36" s="28"/>
      <c r="AJ36" s="28"/>
      <c r="AK36" s="28"/>
      <c r="AL36" s="12"/>
      <c r="AM36" s="12"/>
      <c r="AN36" s="12"/>
      <c r="AO36" s="12"/>
      <c r="AP36" s="12"/>
      <c r="AQ36" s="13"/>
      <c r="AR36" s="14"/>
    </row>
    <row r="37" spans="1:44" s="16" customFormat="1" ht="30.95" hidden="1" customHeight="1" x14ac:dyDescent="0.2">
      <c r="A37" s="35" t="s">
        <v>813</v>
      </c>
      <c r="B37" s="36"/>
      <c r="C37" s="43"/>
      <c r="D37" s="29">
        <v>3694097</v>
      </c>
      <c r="E37" s="29">
        <v>4151269</v>
      </c>
      <c r="F37" s="255" t="str">
        <f>IF(D37="","",VLOOKUP(D37,契約台帳!$A$3:$K$4986,6,FALSE)&amp;VLOOKUP(D37,契約台帳!$A$3:$K$4986,7,FALSE)&amp;VLOOKUP(D37,契約台帳!$A$3:$K$4986,8,FALSE)&amp;VLOOKUP(D37,契約台帳!$A$3:$K$4986,9,FALSE)&amp;VLOOKUP(D37,契約台帳!$A$3:$K$4986,11,FALSE))</f>
        <v>3SNMLBMSF</v>
      </c>
      <c r="G37" s="256" t="str">
        <f>IF(D37="","",VLOOKUP(F37,製品マスタ!$G$5:$H$4999,2,FALSE))</f>
        <v>S</v>
      </c>
      <c r="H37" s="256" t="str">
        <f>IF(D37="","",VLOOKUP(F37,製品マスタ!$G$5:$K$4999,5,FALSE))</f>
        <v>MSF</v>
      </c>
      <c r="I37" s="200" t="str">
        <f>IF(D37="","",VLOOKUP(F37,製品マスタ!$G$5:$L$4999,6,FALSE))</f>
        <v>メタルミー　Ｓ</v>
      </c>
      <c r="J37" s="30" t="s">
        <v>447</v>
      </c>
      <c r="K37" s="200">
        <f>IF(D37="","",VLOOKUP(D37,契約台帳!$A$3:$L$4986,12,FALSE))</f>
        <v>25</v>
      </c>
      <c r="L37" s="200" t="str">
        <f>IF(D37="","",INDEX(製品マスタ!$Q$5:$Q$4999,MATCH(F37&amp;K37,製品マスタ!$AO$5:$AO$4999,0)))</f>
        <v>T62M</v>
      </c>
      <c r="M37" s="37">
        <v>1240</v>
      </c>
      <c r="N37" s="37">
        <v>12200</v>
      </c>
      <c r="O37" s="45">
        <v>1</v>
      </c>
      <c r="P37" s="54">
        <v>44939</v>
      </c>
      <c r="Q37" s="260">
        <f>IF(D37="","",IF(J37="リード付け",M37,VLOOKUP(D37,契約台帳!$A$3:$N$4986,14,FALSE)))</f>
        <v>1240</v>
      </c>
      <c r="R37" s="261">
        <f>IF(D37="","",IF(J37="リード付け",M37,VLOOKUP(D37,契約台帳!$A$3:$O$4986,15,FALSE)))</f>
        <v>1240</v>
      </c>
      <c r="S37" s="261">
        <f>IF(D37="","",IF(J37="リード付け",N37,VLOOKUP(D37,契約台帳!$A$3:$P$4986,16,FALSE)))</f>
        <v>2000</v>
      </c>
      <c r="T37" s="38"/>
      <c r="U37" s="261">
        <f ca="1">IF(D37="","",IF(OFFSET(D37,-2,0)=D37,"",VLOOKUP(D37,契約台帳!$A$3:$R$4986,18,FALSE)))</f>
        <v>6</v>
      </c>
      <c r="V37" s="256" t="str">
        <f>IF(J37="巻返し",VLOOKUP(F37&amp;K37&amp;M37,製品マスタ!$M$5:$AD$4999,18,FALSE),IF(J37="リード付け","原反コア",IF(J37="スリット",VLOOKUP(F37&amp;K37&amp;Q37,製品マスタ!$N$5:$AD$4999,17,FALSE),"")))</f>
        <v>3ｲﾝﾁSｺｱ</v>
      </c>
      <c r="W37" s="256">
        <f>IF(J37="巻返し",VLOOKUP(F37&amp;K37&amp;M37,製品マスタ!$M$5:$AE$4999,19,FALSE),IF(J37="リード付け","-",IF(J37="スリット",VLOOKUP(F37&amp;K37&amp;Q37,製品マスタ!$N$5:$AE$4999,18,FALSE),"")))</f>
        <v>1245</v>
      </c>
      <c r="X37" s="256">
        <f>IF(D37="","",VLOOKUP(D37,契約台帳!$A$3:$Q$4986,17,FALSE))</f>
        <v>1</v>
      </c>
      <c r="Y37" s="256" t="str">
        <f>IF(D37="","",VLOOKUP(D37,契約台帳!$A$3:$E$4986,5,FALSE))</f>
        <v>日精㈱東京支店</v>
      </c>
      <c r="Z37" s="54">
        <v>44944</v>
      </c>
      <c r="AA37" s="200">
        <f>IFERROR(VLOOKUP(F37&amp;K37&amp;M37,製品マスタ!$M$5:$AM$4999,27,FALSE),"")</f>
        <v>0</v>
      </c>
      <c r="AB37" s="31"/>
      <c r="AC37" s="184"/>
      <c r="AD37" s="51" t="str">
        <f>IF(F37="","",+F37&amp;K37)</f>
        <v>3SNMLBMSF25</v>
      </c>
      <c r="AE37" s="52">
        <f>+M37*N37*O37/1000</f>
        <v>15128</v>
      </c>
      <c r="AF37" s="41">
        <f>IF(AD37="","",VLOOKUP(AD37,原価マスタ!$A$2:$AJ$1693,13,FALSE))</f>
        <v>97</v>
      </c>
      <c r="AG37" s="45">
        <f>IF(AF37="","",+AE37*AF37/100)</f>
        <v>14674.16</v>
      </c>
      <c r="AH37" s="28"/>
      <c r="AI37" s="28"/>
      <c r="AJ37" s="28"/>
      <c r="AK37" s="28"/>
      <c r="AL37" s="12"/>
      <c r="AM37" s="12"/>
      <c r="AN37" s="12"/>
      <c r="AO37" s="12"/>
      <c r="AP37" s="12"/>
      <c r="AQ37" s="13"/>
      <c r="AR37" s="14"/>
    </row>
    <row r="38" spans="1:44" s="16" customFormat="1" ht="30.95" hidden="1" customHeight="1" x14ac:dyDescent="0.2">
      <c r="A38" s="35"/>
      <c r="B38" s="36"/>
      <c r="C38" s="43"/>
      <c r="D38" s="29"/>
      <c r="E38" s="29"/>
      <c r="F38" s="255" t="str">
        <f>IF(D38="","",VLOOKUP(D38,契約台帳!$A$3:$K$4986,6,FALSE)&amp;VLOOKUP(D38,契約台帳!$A$3:$K$4986,7,FALSE)&amp;VLOOKUP(D38,契約台帳!$A$3:$K$4986,8,FALSE)&amp;VLOOKUP(D38,契約台帳!$A$3:$K$4986,9,FALSE)&amp;VLOOKUP(D38,契約台帳!$A$3:$K$4986,11,FALSE))</f>
        <v/>
      </c>
      <c r="G38" s="256" t="str">
        <f>IF(D38="","",VLOOKUP(F38,製品マスタ!$G$5:$H$4999,2,FALSE))</f>
        <v/>
      </c>
      <c r="H38" s="256" t="str">
        <f>IF(D38="","",VLOOKUP(F38,製品マスタ!$G$5:$K$4999,5,FALSE))</f>
        <v/>
      </c>
      <c r="I38" s="200" t="str">
        <f>IF(D38="","",VLOOKUP(F38,製品マスタ!$G$5:$L$4999,6,FALSE))</f>
        <v/>
      </c>
      <c r="J38" s="30"/>
      <c r="K38" s="200" t="str">
        <f>IF(D38="","",VLOOKUP(D38,契約台帳!$A$3:$L$4986,12,FALSE))</f>
        <v/>
      </c>
      <c r="L38" s="200" t="str">
        <f>IF(D38="","",INDEX(製品マスタ!$Q$5:$Q$4999,MATCH(F38&amp;K38,製品マスタ!$AO$5:$AO$4999,0)))</f>
        <v/>
      </c>
      <c r="M38" s="37"/>
      <c r="N38" s="37"/>
      <c r="O38" s="45"/>
      <c r="P38" s="54"/>
      <c r="Q38" s="260" t="str">
        <f>IF(D38="","",IF(J38="リード付け",M38,VLOOKUP(D38,契約台帳!$A$3:$N$4986,14,FALSE)))</f>
        <v/>
      </c>
      <c r="R38" s="261" t="str">
        <f>IF(D38="","",IF(J38="リード付け",M38,VLOOKUP(D38,契約台帳!$A$3:$O$4986,15,FALSE)))</f>
        <v/>
      </c>
      <c r="S38" s="261" t="str">
        <f>IF(D38="","",IF(J38="リード付け",N38,VLOOKUP(D38,契約台帳!$A$3:$P$4986,16,FALSE)))</f>
        <v/>
      </c>
      <c r="T38" s="38"/>
      <c r="U38" s="261" t="str">
        <f ca="1">IF(D38="","",IF(OFFSET(D38,-2,0)=D38,"",VLOOKUP(D38,契約台帳!$A$3:$R$4986,18,FALSE)))</f>
        <v/>
      </c>
      <c r="V38" s="256" t="str">
        <f>IF(J38="巻返し",VLOOKUP(F38&amp;K38&amp;M38,製品マスタ!$M$5:$AD$4999,18,FALSE),IF(J38="リード付け","原反コア",IF(J38="スリット",VLOOKUP(F38&amp;K38&amp;Q38,製品マスタ!$N$5:$AD$4999,17,FALSE),"")))</f>
        <v/>
      </c>
      <c r="W38" s="256" t="str">
        <f>IF(J38="巻返し",VLOOKUP(F38&amp;K38&amp;M38,製品マスタ!$M$5:$AE$4999,19,FALSE),IF(J38="リード付け","-",IF(J38="スリット",VLOOKUP(F38&amp;K38&amp;Q38,製品マスタ!$N$5:$AE$4999,18,FALSE),"")))</f>
        <v/>
      </c>
      <c r="X38" s="256" t="str">
        <f>IF(D38="","",VLOOKUP(D38,契約台帳!$A$3:$Q$4986,17,FALSE))</f>
        <v/>
      </c>
      <c r="Y38" s="256" t="str">
        <f>IF(D38="","",VLOOKUP(D38,契約台帳!$A$3:$E$4986,5,FALSE))</f>
        <v/>
      </c>
      <c r="Z38" s="54"/>
      <c r="AA38" s="200" t="str">
        <f>IFERROR(VLOOKUP(F38&amp;K38&amp;M38,製品マスタ!$M$5:$AM$4999,27,FALSE),"")</f>
        <v/>
      </c>
      <c r="AB38" s="31"/>
      <c r="AC38" s="184"/>
      <c r="AD38" s="51"/>
      <c r="AE38" s="52"/>
      <c r="AF38" s="41"/>
      <c r="AG38" s="45"/>
      <c r="AH38" s="28"/>
      <c r="AI38" s="28"/>
      <c r="AJ38" s="28"/>
      <c r="AK38" s="28"/>
      <c r="AL38" s="12"/>
      <c r="AM38" s="12"/>
      <c r="AN38" s="12"/>
      <c r="AO38" s="12"/>
      <c r="AP38" s="12"/>
      <c r="AQ38" s="13"/>
      <c r="AR38" s="14"/>
    </row>
    <row r="39" spans="1:44" s="16" customFormat="1" ht="30.95" hidden="1" customHeight="1" x14ac:dyDescent="0.2">
      <c r="A39" s="35" t="s">
        <v>782</v>
      </c>
      <c r="B39" s="36" t="s">
        <v>783</v>
      </c>
      <c r="C39" s="43"/>
      <c r="D39" s="29"/>
      <c r="E39" s="29"/>
      <c r="F39" s="255" t="str">
        <f>IF(D39="","",VLOOKUP(D39,契約台帳!$A$3:$K$4986,6,FALSE)&amp;VLOOKUP(D39,契約台帳!$A$3:$K$4986,7,FALSE)&amp;VLOOKUP(D39,契約台帳!$A$3:$K$4986,8,FALSE)&amp;VLOOKUP(D39,契約台帳!$A$3:$K$4986,9,FALSE)&amp;VLOOKUP(D39,契約台帳!$A$3:$K$4986,11,FALSE))</f>
        <v/>
      </c>
      <c r="G39" s="256" t="str">
        <f>IF(D39="","",VLOOKUP(F39,製品マスタ!$G$5:$H$4999,2,FALSE))</f>
        <v/>
      </c>
      <c r="H39" s="256" t="str">
        <f>IF(D39="","",VLOOKUP(F39,製品マスタ!$G$5:$K$4999,5,FALSE))</f>
        <v/>
      </c>
      <c r="I39" s="200" t="str">
        <f>IF(D39="","",VLOOKUP(F39,製品マスタ!$G$5:$L$4999,6,FALSE))</f>
        <v/>
      </c>
      <c r="J39" s="30"/>
      <c r="K39" s="200" t="str">
        <f>IF(D39="","",VLOOKUP(D39,契約台帳!$A$3:$L$4986,12,FALSE))</f>
        <v/>
      </c>
      <c r="L39" s="200" t="str">
        <f>IF(D39="","",INDEX(製品マスタ!$Q$5:$Q$4999,MATCH(F39&amp;K39,製品マスタ!$AO$5:$AO$4999,0)))</f>
        <v/>
      </c>
      <c r="M39" s="37"/>
      <c r="N39" s="37"/>
      <c r="O39" s="45"/>
      <c r="P39" s="54"/>
      <c r="Q39" s="260" t="str">
        <f>IF(D39="","",IF(J39="リード付け",M39,VLOOKUP(D39,契約台帳!$A$3:$N$4986,14,FALSE)))</f>
        <v/>
      </c>
      <c r="R39" s="261" t="str">
        <f>IF(D39="","",IF(J39="リード付け",M39,VLOOKUP(D39,契約台帳!$A$3:$O$4986,15,FALSE)))</f>
        <v/>
      </c>
      <c r="S39" s="261" t="str">
        <f>IF(D39="","",IF(J39="リード付け",N39,VLOOKUP(D39,契約台帳!$A$3:$P$4986,16,FALSE)))</f>
        <v/>
      </c>
      <c r="T39" s="38"/>
      <c r="U39" s="261" t="str">
        <f ca="1">IF(D39="","",IF(OFFSET(D39,-2,0)=D39,"",VLOOKUP(D39,契約台帳!$A$3:$R$4986,18,FALSE)))</f>
        <v/>
      </c>
      <c r="V39" s="256" t="str">
        <f>IF(J39="巻返し",VLOOKUP(F39&amp;K39&amp;M39,製品マスタ!$M$5:$AD$4999,18,FALSE),IF(J39="リード付け","原反コア",IF(J39="スリット",VLOOKUP(F39&amp;K39&amp;Q39,製品マスタ!$N$5:$AD$4999,17,FALSE),"")))</f>
        <v/>
      </c>
      <c r="W39" s="256" t="str">
        <f>IF(J39="巻返し",VLOOKUP(F39&amp;K39&amp;M39,製品マスタ!$M$5:$AE$4999,19,FALSE),IF(J39="リード付け","-",IF(J39="スリット",VLOOKUP(F39&amp;K39&amp;Q39,製品マスタ!$N$5:$AE$4999,18,FALSE),"")))</f>
        <v/>
      </c>
      <c r="X39" s="256" t="str">
        <f>IF(D39="","",VLOOKUP(D39,契約台帳!$A$3:$Q$4986,17,FALSE))</f>
        <v/>
      </c>
      <c r="Y39" s="256" t="str">
        <f>IF(D39="","",VLOOKUP(D39,契約台帳!$A$3:$E$4986,5,FALSE))</f>
        <v/>
      </c>
      <c r="Z39" s="54"/>
      <c r="AA39" s="200" t="str">
        <f>IFERROR(VLOOKUP(F39&amp;K39&amp;M39,製品マスタ!$M$5:$AM$4999,27,FALSE),"")</f>
        <v/>
      </c>
      <c r="AB39" s="31"/>
      <c r="AC39" s="184"/>
      <c r="AD39" s="51"/>
      <c r="AE39" s="52"/>
      <c r="AF39" s="41"/>
      <c r="AG39" s="45"/>
      <c r="AH39" s="28"/>
      <c r="AI39" s="28"/>
      <c r="AJ39" s="28"/>
      <c r="AK39" s="28"/>
      <c r="AL39" s="12"/>
      <c r="AM39" s="12"/>
      <c r="AN39" s="12"/>
      <c r="AO39" s="12"/>
      <c r="AP39" s="12"/>
      <c r="AQ39" s="13"/>
      <c r="AR39" s="14"/>
    </row>
    <row r="40" spans="1:44" s="16" customFormat="1" ht="30.95" hidden="1" customHeight="1" x14ac:dyDescent="0.2">
      <c r="A40" s="35"/>
      <c r="B40" s="36"/>
      <c r="C40" s="43"/>
      <c r="D40" s="29"/>
      <c r="E40" s="29"/>
      <c r="F40" s="255" t="str">
        <f>IF(D40="","",VLOOKUP(D40,契約台帳!$A$3:$K$4986,6,FALSE)&amp;VLOOKUP(D40,契約台帳!$A$3:$K$4986,7,FALSE)&amp;VLOOKUP(D40,契約台帳!$A$3:$K$4986,8,FALSE)&amp;VLOOKUP(D40,契約台帳!$A$3:$K$4986,9,FALSE)&amp;VLOOKUP(D40,契約台帳!$A$3:$K$4986,11,FALSE))</f>
        <v/>
      </c>
      <c r="G40" s="256" t="str">
        <f>IF(D40="","",VLOOKUP(F40,製品マスタ!$G$5:$H$4999,2,FALSE))</f>
        <v/>
      </c>
      <c r="H40" s="256" t="str">
        <f>IF(D40="","",VLOOKUP(F40,製品マスタ!$G$5:$K$4999,5,FALSE))</f>
        <v/>
      </c>
      <c r="I40" s="200" t="str">
        <f>IF(D40="","",VLOOKUP(F40,製品マスタ!$G$5:$L$4999,6,FALSE))</f>
        <v/>
      </c>
      <c r="J40" s="30"/>
      <c r="K40" s="200" t="str">
        <f>IF(D40="","",VLOOKUP(D40,契約台帳!$A$3:$L$4986,12,FALSE))</f>
        <v/>
      </c>
      <c r="L40" s="200" t="str">
        <f>IF(D40="","",INDEX(製品マスタ!$Q$5:$Q$4999,MATCH(F40&amp;K40,製品マスタ!$AO$5:$AO$4999,0)))</f>
        <v/>
      </c>
      <c r="M40" s="37"/>
      <c r="N40" s="37"/>
      <c r="O40" s="45"/>
      <c r="P40" s="54"/>
      <c r="Q40" s="260" t="str">
        <f>IF(D40="","",IF(J40="リード付け",M40,VLOOKUP(D40,契約台帳!$A$3:$N$4986,14,FALSE)))</f>
        <v/>
      </c>
      <c r="R40" s="261" t="str">
        <f>IF(D40="","",IF(J40="リード付け",M40,VLOOKUP(D40,契約台帳!$A$3:$O$4986,15,FALSE)))</f>
        <v/>
      </c>
      <c r="S40" s="261" t="str">
        <f>IF(D40="","",IF(J40="リード付け",N40,VLOOKUP(D40,契約台帳!$A$3:$P$4986,16,FALSE)))</f>
        <v/>
      </c>
      <c r="T40" s="38"/>
      <c r="U40" s="261" t="str">
        <f ca="1">IF(D40="","",IF(OFFSET(D40,-2,0)=D40,"",VLOOKUP(D40,契約台帳!$A$3:$R$4986,18,FALSE)))</f>
        <v/>
      </c>
      <c r="V40" s="256" t="str">
        <f>IF(J40="巻返し",VLOOKUP(F40&amp;K40&amp;M40,製品マスタ!$M$5:$AD$4999,18,FALSE),IF(J40="リード付け","原反コア",IF(J40="スリット",VLOOKUP(F40&amp;K40&amp;Q40,製品マスタ!$N$5:$AD$4999,17,FALSE),"")))</f>
        <v/>
      </c>
      <c r="W40" s="256" t="str">
        <f>IF(J40="巻返し",VLOOKUP(F40&amp;K40&amp;M40,製品マスタ!$M$5:$AE$4999,19,FALSE),IF(J40="リード付け","-",IF(J40="スリット",VLOOKUP(F40&amp;K40&amp;Q40,製品マスタ!$N$5:$AE$4999,18,FALSE),"")))</f>
        <v/>
      </c>
      <c r="X40" s="256" t="str">
        <f>IF(D40="","",VLOOKUP(D40,契約台帳!$A$3:$Q$4986,17,FALSE))</f>
        <v/>
      </c>
      <c r="Y40" s="256" t="str">
        <f>IF(D40="","",VLOOKUP(D40,契約台帳!$A$3:$E$4986,5,FALSE))</f>
        <v/>
      </c>
      <c r="Z40" s="54"/>
      <c r="AA40" s="200" t="str">
        <f>IFERROR(VLOOKUP(F40&amp;K40&amp;M40,製品マスタ!$M$5:$AM$4999,27,FALSE),"")</f>
        <v/>
      </c>
      <c r="AB40" s="31"/>
      <c r="AC40" s="184"/>
      <c r="AD40" s="51"/>
      <c r="AE40" s="52"/>
      <c r="AF40" s="41"/>
      <c r="AG40" s="45"/>
      <c r="AH40" s="28"/>
      <c r="AI40" s="28"/>
      <c r="AJ40" s="28"/>
      <c r="AK40" s="28"/>
      <c r="AL40" s="12"/>
      <c r="AM40" s="12"/>
      <c r="AN40" s="12"/>
      <c r="AO40" s="12"/>
      <c r="AP40" s="12"/>
      <c r="AQ40" s="13"/>
      <c r="AR40" s="14"/>
    </row>
    <row r="41" spans="1:44" s="16" customFormat="1" ht="30.95" hidden="1" customHeight="1" x14ac:dyDescent="0.2">
      <c r="A41" s="35" t="s">
        <v>781</v>
      </c>
      <c r="B41" s="36"/>
      <c r="C41" s="43"/>
      <c r="D41" s="29">
        <v>3694128</v>
      </c>
      <c r="E41" s="29">
        <v>4151270</v>
      </c>
      <c r="F41" s="255" t="str">
        <f>IF(D41="","",VLOOKUP(D41,契約台帳!$A$3:$K$4986,6,FALSE)&amp;VLOOKUP(D41,契約台帳!$A$3:$K$4986,7,FALSE)&amp;VLOOKUP(D41,契約台帳!$A$3:$K$4986,8,FALSE)&amp;VLOOKUP(D41,契約台帳!$A$3:$K$4986,9,FALSE)&amp;VLOOKUP(D41,契約台帳!$A$3:$K$4986,11,FALSE))</f>
        <v>3SNMLBMSF</v>
      </c>
      <c r="G41" s="256" t="str">
        <f>IF(D41="","",VLOOKUP(F41,製品マスタ!$G$5:$H$4999,2,FALSE))</f>
        <v>S</v>
      </c>
      <c r="H41" s="256" t="str">
        <f>IF(D41="","",VLOOKUP(F41,製品マスタ!$G$5:$K$4999,5,FALSE))</f>
        <v>MSF</v>
      </c>
      <c r="I41" s="200" t="str">
        <f>IF(D41="","",VLOOKUP(F41,製品マスタ!$G$5:$L$4999,6,FALSE))</f>
        <v>メタルミー　Ｓ</v>
      </c>
      <c r="J41" s="30" t="s">
        <v>463</v>
      </c>
      <c r="K41" s="200">
        <f>IF(D41="","",VLOOKUP(D41,契約台帳!$A$3:$L$4986,12,FALSE))</f>
        <v>25</v>
      </c>
      <c r="L41" s="200" t="str">
        <f>IF(D41="","",INDEX(製品マスタ!$Q$5:$Q$4999,MATCH(F41&amp;K41,製品マスタ!$AO$5:$AO$4999,0)))</f>
        <v>T62M</v>
      </c>
      <c r="M41" s="37">
        <v>1020</v>
      </c>
      <c r="N41" s="37">
        <v>12100</v>
      </c>
      <c r="O41" s="45">
        <v>1</v>
      </c>
      <c r="P41" s="54">
        <v>44939</v>
      </c>
      <c r="Q41" s="260">
        <f>IF(D41="","",IF(J41="リード付け",M41,VLOOKUP(D41,契約台帳!$A$3:$N$4986,14,FALSE)))</f>
        <v>510</v>
      </c>
      <c r="R41" s="261">
        <f>IF(D41="","",IF(J41="リード付け",M41,VLOOKUP(D41,契約台帳!$A$3:$O$4986,15,FALSE)))</f>
        <v>510</v>
      </c>
      <c r="S41" s="261">
        <f>IF(D41="","",IF(J41="リード付け",N41,VLOOKUP(D41,契約台帳!$A$3:$P$4986,16,FALSE)))</f>
        <v>2000</v>
      </c>
      <c r="T41" s="38">
        <v>12</v>
      </c>
      <c r="U41" s="261">
        <f ca="1">IF(D41="","",IF(OFFSET(D41,-2,0)=D41,"",VLOOKUP(D41,契約台帳!$A$3:$R$4986,18,FALSE)))</f>
        <v>12</v>
      </c>
      <c r="V41" s="256" t="str">
        <f>IF(J41="巻返し",VLOOKUP(F41&amp;K41&amp;M41,製品マスタ!$M$5:$AD$4999,18,FALSE),IF(J41="リード付け","原反コア",IF(J41="スリット",VLOOKUP(F41&amp;K41&amp;Q41,製品マスタ!$N$5:$AD$4999,17,FALSE),"")))</f>
        <v>3ｲﾝﾁSｺｱ</v>
      </c>
      <c r="W41" s="256">
        <f>IF(J41="巻返し",VLOOKUP(F41&amp;K41&amp;M41,製品マスタ!$M$5:$AE$4999,19,FALSE),IF(J41="リード付け","-",IF(J41="スリット",VLOOKUP(F41&amp;K41&amp;Q41,製品マスタ!$N$5:$AE$4999,18,FALSE),"")))</f>
        <v>515</v>
      </c>
      <c r="X41" s="256">
        <f>IF(D41="","",VLOOKUP(D41,契約台帳!$A$3:$Q$4986,17,FALSE))</f>
        <v>1</v>
      </c>
      <c r="Y41" s="256" t="str">
        <f>IF(D41="","",VLOOKUP(D41,契約台帳!$A$3:$E$4986,5,FALSE))</f>
        <v>日東シンコー㈱</v>
      </c>
      <c r="Z41" s="54">
        <v>44944</v>
      </c>
      <c r="AA41" s="200">
        <f>IFERROR(VLOOKUP(F41&amp;K41&amp;M41,製品マスタ!$M$5:$AM$4999,27,FALSE),"")</f>
        <v>0</v>
      </c>
      <c r="AB41" s="31"/>
      <c r="AC41" s="184"/>
      <c r="AD41" s="51" t="str">
        <f>IF(F41="","",+F41&amp;K41)</f>
        <v>3SNMLBMSF25</v>
      </c>
      <c r="AE41" s="52">
        <f>+M41*N41*O41/1000</f>
        <v>12342</v>
      </c>
      <c r="AF41" s="41">
        <f>IF(AD41="","",VLOOKUP(AD41,原価マスタ!$A$2:$AJ$1693,13,FALSE))</f>
        <v>97</v>
      </c>
      <c r="AG41" s="45">
        <f>IF(AF41="","",+AE41*AF41/100)</f>
        <v>11971.74</v>
      </c>
      <c r="AH41" s="28"/>
      <c r="AI41" s="28"/>
      <c r="AJ41" s="28"/>
      <c r="AK41" s="28"/>
      <c r="AL41" s="12"/>
      <c r="AM41" s="12"/>
      <c r="AN41" s="12"/>
      <c r="AO41" s="12"/>
      <c r="AP41" s="12"/>
      <c r="AQ41" s="13"/>
      <c r="AR41" s="14"/>
    </row>
    <row r="42" spans="1:44" s="16" customFormat="1" ht="30.95" hidden="1" customHeight="1" x14ac:dyDescent="0.2">
      <c r="A42" s="35"/>
      <c r="B42" s="36"/>
      <c r="C42" s="43"/>
      <c r="D42" s="29"/>
      <c r="E42" s="29"/>
      <c r="F42" s="255" t="str">
        <f>IF(D42="","",VLOOKUP(D42,契約台帳!$A$3:$K$4986,6,FALSE)&amp;VLOOKUP(D42,契約台帳!$A$3:$K$4986,7,FALSE)&amp;VLOOKUP(D42,契約台帳!$A$3:$K$4986,8,FALSE)&amp;VLOOKUP(D42,契約台帳!$A$3:$K$4986,9,FALSE)&amp;VLOOKUP(D42,契約台帳!$A$3:$K$4986,11,FALSE))</f>
        <v/>
      </c>
      <c r="G42" s="256" t="str">
        <f>IF(D42="","",VLOOKUP(F42,製品マスタ!$G$5:$H$4999,2,FALSE))</f>
        <v/>
      </c>
      <c r="H42" s="256" t="str">
        <f>IF(D42="","",VLOOKUP(F42,製品マスタ!$G$5:$K$4999,5,FALSE))</f>
        <v/>
      </c>
      <c r="I42" s="200" t="str">
        <f>IF(D42="","",VLOOKUP(F42,製品マスタ!$G$5:$L$4999,6,FALSE))</f>
        <v/>
      </c>
      <c r="J42" s="30"/>
      <c r="K42" s="200" t="str">
        <f>IF(D42="","",VLOOKUP(D42,契約台帳!$A$3:$L$4986,12,FALSE))</f>
        <v/>
      </c>
      <c r="L42" s="200" t="str">
        <f>IF(D42="","",INDEX(製品マスタ!$Q$5:$Q$4999,MATCH(F42&amp;K42,製品マスタ!$AO$5:$AO$4999,0)))</f>
        <v/>
      </c>
      <c r="M42" s="37"/>
      <c r="N42" s="37"/>
      <c r="O42" s="45"/>
      <c r="P42" s="54"/>
      <c r="Q42" s="260" t="str">
        <f>IF(D42="","",IF(J42="リード付け",M42,VLOOKUP(D42,契約台帳!$A$3:$N$4986,14,FALSE)))</f>
        <v/>
      </c>
      <c r="R42" s="261" t="str">
        <f>IF(D42="","",IF(J42="リード付け",M42,VLOOKUP(D42,契約台帳!$A$3:$O$4986,15,FALSE)))</f>
        <v/>
      </c>
      <c r="S42" s="261" t="str">
        <f>IF(D42="","",IF(J42="リード付け",N42,VLOOKUP(D42,契約台帳!$A$3:$P$4986,16,FALSE)))</f>
        <v/>
      </c>
      <c r="T42" s="38"/>
      <c r="U42" s="261" t="str">
        <f ca="1">IF(D42="","",IF(OFFSET(D42,-2,0)=D42,"",VLOOKUP(D42,契約台帳!$A$3:$R$4986,18,FALSE)))</f>
        <v/>
      </c>
      <c r="V42" s="256" t="str">
        <f>IF(J42="巻返し",VLOOKUP(F42&amp;K42&amp;M42,製品マスタ!$M$5:$AD$4999,18,FALSE),IF(J42="リード付け","原反コア",IF(J42="スリット",VLOOKUP(F42&amp;K42&amp;Q42,製品マスタ!$N$5:$AD$4999,17,FALSE),"")))</f>
        <v/>
      </c>
      <c r="W42" s="256" t="str">
        <f>IF(J42="巻返し",VLOOKUP(F42&amp;K42&amp;M42,製品マスタ!$M$5:$AE$4999,19,FALSE),IF(J42="リード付け","-",IF(J42="スリット",VLOOKUP(F42&amp;K42&amp;Q42,製品マスタ!$N$5:$AE$4999,18,FALSE),"")))</f>
        <v/>
      </c>
      <c r="X42" s="256" t="str">
        <f>IF(D42="","",VLOOKUP(D42,契約台帳!$A$3:$Q$4986,17,FALSE))</f>
        <v/>
      </c>
      <c r="Y42" s="256" t="str">
        <f>IF(D42="","",VLOOKUP(D42,契約台帳!$A$3:$E$4986,5,FALSE))</f>
        <v/>
      </c>
      <c r="Z42" s="54"/>
      <c r="AA42" s="200" t="str">
        <f>IFERROR(VLOOKUP(F42&amp;K42&amp;M42,製品マスタ!$M$5:$AM$4999,27,FALSE),"")</f>
        <v/>
      </c>
      <c r="AB42" s="31"/>
      <c r="AC42" s="184"/>
      <c r="AD42" s="51"/>
      <c r="AE42" s="52"/>
      <c r="AF42" s="41"/>
      <c r="AG42" s="45"/>
      <c r="AH42" s="28"/>
      <c r="AI42" s="28"/>
      <c r="AJ42" s="28"/>
      <c r="AK42" s="28"/>
      <c r="AL42" s="12"/>
      <c r="AM42" s="12"/>
      <c r="AN42" s="12"/>
      <c r="AO42" s="12"/>
      <c r="AP42" s="12"/>
      <c r="AQ42" s="13"/>
      <c r="AR42" s="14"/>
    </row>
    <row r="43" spans="1:44" s="16" customFormat="1" ht="30.95" hidden="1" customHeight="1" x14ac:dyDescent="0.2">
      <c r="A43" s="35"/>
      <c r="B43" s="36"/>
      <c r="C43" s="43"/>
      <c r="D43" s="29">
        <v>3694111</v>
      </c>
      <c r="E43" s="29">
        <v>4151259</v>
      </c>
      <c r="F43" s="255" t="str">
        <f>IF(D43="","",VLOOKUP(D43,契約台帳!$A$3:$K$4986,6,FALSE)&amp;VLOOKUP(D43,契約台帳!$A$3:$K$4986,7,FALSE)&amp;VLOOKUP(D43,契約台帳!$A$3:$K$4986,8,FALSE)&amp;VLOOKUP(D43,契約台帳!$A$3:$K$4986,9,FALSE)&amp;VLOOKUP(D43,契約台帳!$A$3:$K$4986,11,FALSE))</f>
        <v>3SNMLBMNGTBF</v>
      </c>
      <c r="G43" s="256" t="str">
        <f>IF(D43="","",VLOOKUP(F43,製品マスタ!$G$5:$H$4999,2,FALSE))</f>
        <v>S</v>
      </c>
      <c r="H43" s="256" t="str">
        <f>IF(D43="","",VLOOKUP(F43,製品マスタ!$G$5:$K$4999,5,FALSE))</f>
        <v>MNGTBF</v>
      </c>
      <c r="I43" s="200" t="str">
        <f>IF(D43="","",VLOOKUP(F43,製品マスタ!$G$5:$L$4999,6,FALSE))</f>
        <v>メタルミー　ネーマー　銀艶　Ｂ</v>
      </c>
      <c r="J43" s="30" t="s">
        <v>447</v>
      </c>
      <c r="K43" s="200">
        <f>IF(D43="","",VLOOKUP(D43,契約台帳!$A$3:$L$4986,12,FALSE))</f>
        <v>50</v>
      </c>
      <c r="L43" s="200" t="str">
        <f>IF(D43="","",INDEX(製品マスタ!$Q$5:$Q$4999,MATCH(F43&amp;K43,製品マスタ!$AO$5:$AO$4999,0)))</f>
        <v>T62</v>
      </c>
      <c r="M43" s="37">
        <v>1120</v>
      </c>
      <c r="N43" s="37">
        <v>10000</v>
      </c>
      <c r="O43" s="45">
        <v>2</v>
      </c>
      <c r="P43" s="54">
        <v>44939</v>
      </c>
      <c r="Q43" s="260">
        <f>IF(D43="","",IF(J43="リード付け",M43,VLOOKUP(D43,契約台帳!$A$3:$N$4986,14,FALSE)))</f>
        <v>1120</v>
      </c>
      <c r="R43" s="261">
        <f>IF(D43="","",IF(J43="リード付け",M43,VLOOKUP(D43,契約台帳!$A$3:$O$4986,15,FALSE)))</f>
        <v>1120</v>
      </c>
      <c r="S43" s="261">
        <f>IF(D43="","",IF(J43="リード付け",N43,VLOOKUP(D43,契約台帳!$A$3:$P$4986,16,FALSE)))</f>
        <v>5000</v>
      </c>
      <c r="T43" s="38">
        <v>4</v>
      </c>
      <c r="U43" s="261">
        <f ca="1">IF(D43="","",IF(OFFSET(D43,-2,0)=D43,"",VLOOKUP(D43,契約台帳!$A$3:$R$4986,18,FALSE)))</f>
        <v>12</v>
      </c>
      <c r="V43" s="256" t="str">
        <f>IF(J43="巻返し",VLOOKUP(F43&amp;K43&amp;M43,製品マスタ!$M$5:$AD$4999,18,FALSE),IF(J43="リード付け","原反コア",IF(J43="スリット",VLOOKUP(F43&amp;K43&amp;Q43,製品マスタ!$N$5:$AD$4999,17,FALSE),"")))</f>
        <v>6ｲﾝﾁSｺｱ</v>
      </c>
      <c r="W43" s="256">
        <f>IF(J43="巻返し",VLOOKUP(F43&amp;K43&amp;M43,製品マスタ!$M$5:$AE$4999,19,FALSE),IF(J43="リード付け","-",IF(J43="スリット",VLOOKUP(F43&amp;K43&amp;Q43,製品マスタ!$N$5:$AE$4999,18,FALSE),"")))</f>
        <v>1125</v>
      </c>
      <c r="X43" s="256">
        <f>IF(D43="","",VLOOKUP(D43,契約台帳!$A$3:$Q$4986,17,FALSE))</f>
        <v>2</v>
      </c>
      <c r="Y43" s="256" t="str">
        <f>IF(D43="","",VLOOKUP(D43,契約台帳!$A$3:$E$4986,5,FALSE))</f>
        <v>リンテック㈱</v>
      </c>
      <c r="Z43" s="54">
        <v>44944</v>
      </c>
      <c r="AA43" s="200" t="str">
        <f>IFERROR(VLOOKUP(F43&amp;K43&amp;M43,製品マスタ!$M$5:$AM$4999,27,FALSE),"")</f>
        <v>原反ケース再利用</v>
      </c>
      <c r="AB43" s="31"/>
      <c r="AC43" s="184"/>
      <c r="AD43" s="51" t="str">
        <f>IF(F43="","",+F43&amp;K43)</f>
        <v>3SNMLBMNGTBF50</v>
      </c>
      <c r="AE43" s="52">
        <f>+M43*N43*O43/1000</f>
        <v>22400</v>
      </c>
      <c r="AF43" s="41">
        <f>IF(AD43="","",VLOOKUP(AD43,原価マスタ!$A$2:$AJ$1693,13,FALSE))</f>
        <v>99</v>
      </c>
      <c r="AG43" s="45">
        <f>IF(AF43="","",+AE43*AF43/100)</f>
        <v>22176</v>
      </c>
      <c r="AH43" s="28"/>
      <c r="AI43" s="28"/>
      <c r="AJ43" s="28"/>
      <c r="AK43" s="28"/>
      <c r="AL43" s="12"/>
      <c r="AM43" s="12"/>
      <c r="AN43" s="12"/>
      <c r="AO43" s="12"/>
      <c r="AP43" s="12"/>
      <c r="AQ43" s="13"/>
      <c r="AR43" s="14"/>
    </row>
    <row r="44" spans="1:44" s="16" customFormat="1" ht="30.95" hidden="1" customHeight="1" x14ac:dyDescent="0.2">
      <c r="A44" s="35"/>
      <c r="B44" s="36"/>
      <c r="C44" s="43"/>
      <c r="D44" s="29"/>
      <c r="E44" s="29"/>
      <c r="F44" s="255" t="str">
        <f>IF(D44="","",VLOOKUP(D44,契約台帳!$A$3:$K$4986,6,FALSE)&amp;VLOOKUP(D44,契約台帳!$A$3:$K$4986,7,FALSE)&amp;VLOOKUP(D44,契約台帳!$A$3:$K$4986,8,FALSE)&amp;VLOOKUP(D44,契約台帳!$A$3:$K$4986,9,FALSE)&amp;VLOOKUP(D44,契約台帳!$A$3:$K$4986,11,FALSE))</f>
        <v/>
      </c>
      <c r="G44" s="256" t="str">
        <f>IF(D44="","",VLOOKUP(F44,製品マスタ!$G$5:$H$4999,2,FALSE))</f>
        <v/>
      </c>
      <c r="H44" s="256" t="str">
        <f>IF(D44="","",VLOOKUP(F44,製品マスタ!$G$5:$K$4999,5,FALSE))</f>
        <v/>
      </c>
      <c r="I44" s="200" t="str">
        <f>IF(D44="","",VLOOKUP(F44,製品マスタ!$G$5:$L$4999,6,FALSE))</f>
        <v/>
      </c>
      <c r="J44" s="30"/>
      <c r="K44" s="200" t="str">
        <f>IF(D44="","",VLOOKUP(D44,契約台帳!$A$3:$L$4986,12,FALSE))</f>
        <v/>
      </c>
      <c r="L44" s="200" t="str">
        <f>IF(D44="","",INDEX(製品マスタ!$Q$5:$Q$4999,MATCH(F44&amp;K44,製品マスタ!$AO$5:$AO$4999,0)))</f>
        <v/>
      </c>
      <c r="M44" s="37"/>
      <c r="N44" s="37"/>
      <c r="O44" s="45"/>
      <c r="P44" s="54"/>
      <c r="Q44" s="260" t="str">
        <f>IF(D44="","",IF(J44="リード付け",M44,VLOOKUP(D44,契約台帳!$A$3:$N$4986,14,FALSE)))</f>
        <v/>
      </c>
      <c r="R44" s="261" t="str">
        <f>IF(D44="","",IF(J44="リード付け",M44,VLOOKUP(D44,契約台帳!$A$3:$O$4986,15,FALSE)))</f>
        <v/>
      </c>
      <c r="S44" s="261" t="str">
        <f>IF(D44="","",IF(J44="リード付け",N44,VLOOKUP(D44,契約台帳!$A$3:$P$4986,16,FALSE)))</f>
        <v/>
      </c>
      <c r="T44" s="38"/>
      <c r="U44" s="261" t="str">
        <f ca="1">IF(D44="","",IF(OFFSET(D44,-2,0)=D44,"",VLOOKUP(D44,契約台帳!$A$3:$R$4986,18,FALSE)))</f>
        <v/>
      </c>
      <c r="V44" s="256" t="str">
        <f>IF(J44="巻返し",VLOOKUP(F44&amp;K44&amp;M44,製品マスタ!$M$5:$AD$4999,18,FALSE),IF(J44="リード付け","原反コア",IF(J44="スリット",VLOOKUP(F44&amp;K44&amp;Q44,製品マスタ!$N$5:$AD$4999,17,FALSE),"")))</f>
        <v/>
      </c>
      <c r="W44" s="256" t="str">
        <f>IF(J44="巻返し",VLOOKUP(F44&amp;K44&amp;M44,製品マスタ!$M$5:$AE$4999,19,FALSE),IF(J44="リード付け","-",IF(J44="スリット",VLOOKUP(F44&amp;K44&amp;Q44,製品マスタ!$N$5:$AE$4999,18,FALSE),"")))</f>
        <v/>
      </c>
      <c r="X44" s="256" t="str">
        <f>IF(D44="","",VLOOKUP(D44,契約台帳!$A$3:$Q$4986,17,FALSE))</f>
        <v/>
      </c>
      <c r="Y44" s="256" t="str">
        <f>IF(D44="","",VLOOKUP(D44,契約台帳!$A$3:$E$4986,5,FALSE))</f>
        <v/>
      </c>
      <c r="Z44" s="54"/>
      <c r="AA44" s="200" t="str">
        <f>IFERROR(VLOOKUP(F44&amp;K44&amp;M44,製品マスタ!$M$5:$AM$4999,27,FALSE),"")</f>
        <v/>
      </c>
      <c r="AB44" s="31"/>
      <c r="AC44" s="184"/>
      <c r="AD44" s="51"/>
      <c r="AE44" s="52"/>
      <c r="AF44" s="41"/>
      <c r="AG44" s="45"/>
      <c r="AH44" s="28"/>
      <c r="AI44" s="28"/>
      <c r="AJ44" s="28"/>
      <c r="AK44" s="28"/>
      <c r="AL44" s="12"/>
      <c r="AM44" s="12"/>
      <c r="AN44" s="12"/>
      <c r="AO44" s="12"/>
      <c r="AP44" s="12"/>
      <c r="AQ44" s="13"/>
      <c r="AR44" s="14"/>
    </row>
    <row r="45" spans="1:44" s="16" customFormat="1" ht="30.95" hidden="1" customHeight="1" x14ac:dyDescent="0.2">
      <c r="A45" s="35" t="s">
        <v>784</v>
      </c>
      <c r="B45" s="36" t="s">
        <v>785</v>
      </c>
      <c r="C45" s="43"/>
      <c r="D45" s="29"/>
      <c r="E45" s="29"/>
      <c r="F45" s="255" t="str">
        <f>IF(D45="","",VLOOKUP(D45,契約台帳!$A$3:$K$4986,6,FALSE)&amp;VLOOKUP(D45,契約台帳!$A$3:$K$4986,7,FALSE)&amp;VLOOKUP(D45,契約台帳!$A$3:$K$4986,8,FALSE)&amp;VLOOKUP(D45,契約台帳!$A$3:$K$4986,9,FALSE)&amp;VLOOKUP(D45,契約台帳!$A$3:$K$4986,11,FALSE))</f>
        <v/>
      </c>
      <c r="G45" s="256" t="str">
        <f>IF(D45="","",VLOOKUP(F45,製品マスタ!$G$5:$H$4999,2,FALSE))</f>
        <v/>
      </c>
      <c r="H45" s="256" t="str">
        <f>IF(D45="","",VLOOKUP(F45,製品マスタ!$G$5:$K$4999,5,FALSE))</f>
        <v/>
      </c>
      <c r="I45" s="200" t="str">
        <f>IF(D45="","",VLOOKUP(F45,製品マスタ!$G$5:$L$4999,6,FALSE))</f>
        <v/>
      </c>
      <c r="J45" s="30" t="s">
        <v>448</v>
      </c>
      <c r="K45" s="200" t="str">
        <f>IF(D45="","",VLOOKUP(D45,契約台帳!$A$3:$L$4986,12,FALSE))</f>
        <v/>
      </c>
      <c r="L45" s="200" t="str">
        <f>IF(D45="","",INDEX(製品マスタ!$Q$5:$Q$4999,MATCH(F45&amp;K45,製品マスタ!$AO$5:$AO$4999,0)))</f>
        <v/>
      </c>
      <c r="M45" s="37"/>
      <c r="N45" s="37"/>
      <c r="O45" s="45"/>
      <c r="P45" s="54"/>
      <c r="Q45" s="260" t="str">
        <f>IF(D45="","",IF(J45="リード付け",M45,VLOOKUP(D45,契約台帳!$A$3:$N$4986,14,FALSE)))</f>
        <v/>
      </c>
      <c r="R45" s="261" t="str">
        <f>IF(D45="","",IF(J45="リード付け",M45,VLOOKUP(D45,契約台帳!$A$3:$O$4986,15,FALSE)))</f>
        <v/>
      </c>
      <c r="S45" s="261" t="str">
        <f>IF(D45="","",IF(J45="リード付け",N45,VLOOKUP(D45,契約台帳!$A$3:$P$4986,16,FALSE)))</f>
        <v/>
      </c>
      <c r="T45" s="38"/>
      <c r="U45" s="261" t="str">
        <f ca="1">IF(D45="","",IF(OFFSET(D45,-2,0)=D45,"",VLOOKUP(D45,契約台帳!$A$3:$R$4986,18,FALSE)))</f>
        <v/>
      </c>
      <c r="V45" s="256" t="str">
        <f>IF(J45="巻返し",VLOOKUP(F45&amp;K45&amp;M45,製品マスタ!$M$5:$AD$4999,18,FALSE),IF(J45="リード付け","原反コア",IF(J45="スリット",VLOOKUP(F45&amp;K45&amp;Q45,製品マスタ!$N$5:$AD$4999,17,FALSE),"")))</f>
        <v/>
      </c>
      <c r="W45" s="256" t="str">
        <f>IF(J45="巻返し",VLOOKUP(F45&amp;K45&amp;M45,製品マスタ!$M$5:$AE$4999,19,FALSE),IF(J45="リード付け","-",IF(J45="スリット",VLOOKUP(F45&amp;K45&amp;Q45,製品マスタ!$N$5:$AE$4999,18,FALSE),"")))</f>
        <v/>
      </c>
      <c r="X45" s="256" t="str">
        <f>IF(D45="","",VLOOKUP(D45,契約台帳!$A$3:$Q$4986,17,FALSE))</f>
        <v/>
      </c>
      <c r="Y45" s="256" t="str">
        <f>IF(D45="","",VLOOKUP(D45,契約台帳!$A$3:$E$4986,5,FALSE))</f>
        <v/>
      </c>
      <c r="Z45" s="54"/>
      <c r="AA45" s="200" t="str">
        <f>IFERROR(VLOOKUP(F45&amp;K45&amp;M45,製品マスタ!$M$5:$AM$4999,27,FALSE),"")</f>
        <v/>
      </c>
      <c r="AB45" s="31"/>
      <c r="AC45" s="184"/>
      <c r="AD45" s="51"/>
      <c r="AE45" s="52"/>
      <c r="AF45" s="41"/>
      <c r="AG45" s="45"/>
      <c r="AH45" s="28"/>
      <c r="AI45" s="28"/>
      <c r="AJ45" s="28"/>
      <c r="AK45" s="28"/>
      <c r="AL45" s="12"/>
      <c r="AM45" s="12"/>
      <c r="AN45" s="12"/>
      <c r="AO45" s="12"/>
      <c r="AP45" s="12"/>
      <c r="AQ45" s="13"/>
      <c r="AR45" s="14"/>
    </row>
    <row r="46" spans="1:44" s="16" customFormat="1" ht="30.95" hidden="1" customHeight="1" x14ac:dyDescent="0.2">
      <c r="A46" s="35"/>
      <c r="B46" s="36"/>
      <c r="C46" s="43"/>
      <c r="D46" s="29"/>
      <c r="E46" s="29"/>
      <c r="F46" s="255" t="str">
        <f>IF(D46="","",VLOOKUP(D46,契約台帳!$A$3:$K$4986,6,FALSE)&amp;VLOOKUP(D46,契約台帳!$A$3:$K$4986,7,FALSE)&amp;VLOOKUP(D46,契約台帳!$A$3:$K$4986,8,FALSE)&amp;VLOOKUP(D46,契約台帳!$A$3:$K$4986,9,FALSE)&amp;VLOOKUP(D46,契約台帳!$A$3:$K$4986,11,FALSE))</f>
        <v/>
      </c>
      <c r="G46" s="256" t="str">
        <f>IF(D46="","",VLOOKUP(F46,製品マスタ!$G$5:$H$4999,2,FALSE))</f>
        <v/>
      </c>
      <c r="H46" s="256" t="str">
        <f>IF(D46="","",VLOOKUP(F46,製品マスタ!$G$5:$K$4999,5,FALSE))</f>
        <v/>
      </c>
      <c r="I46" s="200" t="str">
        <f>IF(D46="","",VLOOKUP(F46,製品マスタ!$G$5:$L$4999,6,FALSE))</f>
        <v/>
      </c>
      <c r="J46" s="30"/>
      <c r="K46" s="200" t="str">
        <f>IF(D46="","",VLOOKUP(D46,契約台帳!$A$3:$L$4986,12,FALSE))</f>
        <v/>
      </c>
      <c r="L46" s="200" t="str">
        <f>IF(D46="","",INDEX(製品マスタ!$Q$5:$Q$4999,MATCH(F46&amp;K46,製品マスタ!$AO$5:$AO$4999,0)))</f>
        <v/>
      </c>
      <c r="M46" s="37"/>
      <c r="N46" s="37"/>
      <c r="O46" s="45"/>
      <c r="P46" s="54"/>
      <c r="Q46" s="260" t="str">
        <f>IF(D46="","",IF(J46="リード付け",M46,VLOOKUP(D46,契約台帳!$A$3:$N$4986,14,FALSE)))</f>
        <v/>
      </c>
      <c r="R46" s="261" t="str">
        <f>IF(D46="","",IF(J46="リード付け",M46,VLOOKUP(D46,契約台帳!$A$3:$O$4986,15,FALSE)))</f>
        <v/>
      </c>
      <c r="S46" s="261" t="str">
        <f>IF(D46="","",IF(J46="リード付け",N46,VLOOKUP(D46,契約台帳!$A$3:$P$4986,16,FALSE)))</f>
        <v/>
      </c>
      <c r="T46" s="38"/>
      <c r="U46" s="261" t="str">
        <f ca="1">IF(D46="","",IF(OFFSET(D46,-2,0)=D46,"",VLOOKUP(D46,契約台帳!$A$3:$R$4986,18,FALSE)))</f>
        <v/>
      </c>
      <c r="V46" s="256" t="str">
        <f>IF(J46="巻返し",VLOOKUP(F46&amp;K46&amp;M46,製品マスタ!$M$5:$AD$4999,18,FALSE),IF(J46="リード付け","原反コア",IF(J46="スリット",VLOOKUP(F46&amp;K46&amp;Q46,製品マスタ!$N$5:$AD$4999,17,FALSE),"")))</f>
        <v/>
      </c>
      <c r="W46" s="256" t="str">
        <f>IF(J46="巻返し",VLOOKUP(F46&amp;K46&amp;M46,製品マスタ!$M$5:$AE$4999,19,FALSE),IF(J46="リード付け","-",IF(J46="スリット",VLOOKUP(F46&amp;K46&amp;Q46,製品マスタ!$N$5:$AE$4999,18,FALSE),"")))</f>
        <v/>
      </c>
      <c r="X46" s="256" t="str">
        <f>IF(D46="","",VLOOKUP(D46,契約台帳!$A$3:$Q$4986,17,FALSE))</f>
        <v/>
      </c>
      <c r="Y46" s="256" t="str">
        <f>IF(D46="","",VLOOKUP(D46,契約台帳!$A$3:$E$4986,5,FALSE))</f>
        <v/>
      </c>
      <c r="Z46" s="54"/>
      <c r="AA46" s="200" t="str">
        <f>IFERROR(VLOOKUP(F46&amp;K46&amp;M46,製品マスタ!$M$5:$AM$4999,27,FALSE),"")</f>
        <v/>
      </c>
      <c r="AB46" s="31"/>
      <c r="AC46" s="184"/>
      <c r="AD46" s="51"/>
      <c r="AE46" s="52"/>
      <c r="AF46" s="41"/>
      <c r="AG46" s="45"/>
      <c r="AH46" s="28"/>
      <c r="AI46" s="28"/>
      <c r="AJ46" s="28"/>
      <c r="AK46" s="28"/>
      <c r="AL46" s="12"/>
      <c r="AM46" s="12"/>
      <c r="AN46" s="12"/>
      <c r="AO46" s="12"/>
      <c r="AP46" s="12"/>
      <c r="AQ46" s="13"/>
      <c r="AR46" s="14"/>
    </row>
    <row r="47" spans="1:44" s="16" customFormat="1" ht="30.95" hidden="1" customHeight="1" x14ac:dyDescent="0.2">
      <c r="A47" s="35" t="s">
        <v>786</v>
      </c>
      <c r="B47" s="36" t="s">
        <v>787</v>
      </c>
      <c r="C47" s="43"/>
      <c r="D47" s="29">
        <v>3694111</v>
      </c>
      <c r="E47" s="29">
        <v>4151259</v>
      </c>
      <c r="F47" s="255" t="str">
        <f>IF(D47="","",VLOOKUP(D47,契約台帳!$A$3:$K$4986,6,FALSE)&amp;VLOOKUP(D47,契約台帳!$A$3:$K$4986,7,FALSE)&amp;VLOOKUP(D47,契約台帳!$A$3:$K$4986,8,FALSE)&amp;VLOOKUP(D47,契約台帳!$A$3:$K$4986,9,FALSE)&amp;VLOOKUP(D47,契約台帳!$A$3:$K$4986,11,FALSE))</f>
        <v>3SNMLBMNGTBF</v>
      </c>
      <c r="G47" s="256" t="str">
        <f>IF(D47="","",VLOOKUP(F47,製品マスタ!$G$5:$H$4999,2,FALSE))</f>
        <v>S</v>
      </c>
      <c r="H47" s="256" t="str">
        <f>IF(D47="","",VLOOKUP(F47,製品マスタ!$G$5:$K$4999,5,FALSE))</f>
        <v>MNGTBF</v>
      </c>
      <c r="I47" s="200" t="str">
        <f>IF(D47="","",VLOOKUP(F47,製品マスタ!$G$5:$L$4999,6,FALSE))</f>
        <v>メタルミー　ネーマー　銀艶　Ｂ</v>
      </c>
      <c r="J47" s="30" t="s">
        <v>447</v>
      </c>
      <c r="K47" s="200">
        <f>IF(D47="","",VLOOKUP(D47,契約台帳!$A$3:$L$4986,12,FALSE))</f>
        <v>50</v>
      </c>
      <c r="L47" s="200" t="str">
        <f>IF(D47="","",INDEX(製品マスタ!$Q$5:$Q$4999,MATCH(F47&amp;K47,製品マスタ!$AO$5:$AO$4999,0)))</f>
        <v>T62</v>
      </c>
      <c r="M47" s="37">
        <v>1120</v>
      </c>
      <c r="N47" s="37">
        <v>10000</v>
      </c>
      <c r="O47" s="45">
        <v>4</v>
      </c>
      <c r="P47" s="54">
        <v>44939</v>
      </c>
      <c r="Q47" s="260">
        <f>IF(D47="","",IF(J47="リード付け",M47,VLOOKUP(D47,契約台帳!$A$3:$N$4986,14,FALSE)))</f>
        <v>1120</v>
      </c>
      <c r="R47" s="261">
        <f>IF(D47="","",IF(J47="リード付け",M47,VLOOKUP(D47,契約台帳!$A$3:$O$4986,15,FALSE)))</f>
        <v>1120</v>
      </c>
      <c r="S47" s="261">
        <f>IF(D47="","",IF(J47="リード付け",N47,VLOOKUP(D47,契約台帳!$A$3:$P$4986,16,FALSE)))</f>
        <v>5000</v>
      </c>
      <c r="T47" s="38">
        <v>8</v>
      </c>
      <c r="U47" s="261">
        <f ca="1">IF(D47="","",IF(OFFSET(D47,-2,0)=D47,"",VLOOKUP(D47,契約台帳!$A$3:$R$4986,18,FALSE)))</f>
        <v>12</v>
      </c>
      <c r="V47" s="256" t="str">
        <f>IF(J47="巻返し",VLOOKUP(F47&amp;K47&amp;M47,製品マスタ!$M$5:$AD$4999,18,FALSE),IF(J47="リード付け","原反コア",IF(J47="スリット",VLOOKUP(F47&amp;K47&amp;Q47,製品マスタ!$N$5:$AD$4999,17,FALSE),"")))</f>
        <v>6ｲﾝﾁSｺｱ</v>
      </c>
      <c r="W47" s="256">
        <f>IF(J47="巻返し",VLOOKUP(F47&amp;K47&amp;M47,製品マスタ!$M$5:$AE$4999,19,FALSE),IF(J47="リード付け","-",IF(J47="スリット",VLOOKUP(F47&amp;K47&amp;Q47,製品マスタ!$N$5:$AE$4999,18,FALSE),"")))</f>
        <v>1125</v>
      </c>
      <c r="X47" s="256">
        <f>IF(D47="","",VLOOKUP(D47,契約台帳!$A$3:$Q$4986,17,FALSE))</f>
        <v>2</v>
      </c>
      <c r="Y47" s="256" t="str">
        <f>IF(D47="","",VLOOKUP(D47,契約台帳!$A$3:$E$4986,5,FALSE))</f>
        <v>リンテック㈱</v>
      </c>
      <c r="Z47" s="54">
        <v>44945</v>
      </c>
      <c r="AA47" s="200" t="str">
        <f>IFERROR(VLOOKUP(F47&amp;K47&amp;M47,製品マスタ!$M$5:$AM$4999,27,FALSE),"")</f>
        <v>原反ケース再利用</v>
      </c>
      <c r="AB47" s="31"/>
      <c r="AC47" s="184"/>
      <c r="AD47" s="51" t="str">
        <f>IF(F47="","",+F47&amp;K47)</f>
        <v>3SNMLBMNGTBF50</v>
      </c>
      <c r="AE47" s="52">
        <f>+M47*N47*O47/1000</f>
        <v>44800</v>
      </c>
      <c r="AF47" s="41">
        <f>IF(AD47="","",VLOOKUP(AD47,原価マスタ!$A$2:$AJ$1693,13,FALSE))</f>
        <v>99</v>
      </c>
      <c r="AG47" s="45">
        <f>IF(AF47="","",+AE47*AF47/100)</f>
        <v>44352</v>
      </c>
      <c r="AH47" s="28"/>
      <c r="AI47" s="28"/>
      <c r="AJ47" s="28"/>
      <c r="AK47" s="28"/>
      <c r="AL47" s="12"/>
      <c r="AM47" s="12"/>
      <c r="AN47" s="12"/>
      <c r="AO47" s="12"/>
      <c r="AP47" s="12"/>
      <c r="AQ47" s="13"/>
      <c r="AR47" s="14"/>
    </row>
    <row r="48" spans="1:44" s="16" customFormat="1" ht="30.95" hidden="1" customHeight="1" x14ac:dyDescent="0.2">
      <c r="A48" s="35"/>
      <c r="B48" s="36"/>
      <c r="C48" s="43"/>
      <c r="D48" s="29"/>
      <c r="E48" s="29"/>
      <c r="F48" s="255" t="str">
        <f>IF(D48="","",VLOOKUP(D48,契約台帳!$A$3:$K$4986,6,FALSE)&amp;VLOOKUP(D48,契約台帳!$A$3:$K$4986,7,FALSE)&amp;VLOOKUP(D48,契約台帳!$A$3:$K$4986,8,FALSE)&amp;VLOOKUP(D48,契約台帳!$A$3:$K$4986,9,FALSE)&amp;VLOOKUP(D48,契約台帳!$A$3:$K$4986,11,FALSE))</f>
        <v/>
      </c>
      <c r="G48" s="256" t="str">
        <f>IF(D48="","",VLOOKUP(F48,製品マスタ!$G$5:$H$4999,2,FALSE))</f>
        <v/>
      </c>
      <c r="H48" s="256" t="str">
        <f>IF(D48="","",VLOOKUP(F48,製品マスタ!$G$5:$K$4999,5,FALSE))</f>
        <v/>
      </c>
      <c r="I48" s="200" t="str">
        <f>IF(D48="","",VLOOKUP(F48,製品マスタ!$G$5:$L$4999,6,FALSE))</f>
        <v/>
      </c>
      <c r="J48" s="30"/>
      <c r="K48" s="200" t="str">
        <f>IF(D48="","",VLOOKUP(D48,契約台帳!$A$3:$L$4986,12,FALSE))</f>
        <v/>
      </c>
      <c r="L48" s="200" t="str">
        <f>IF(D48="","",INDEX(製品マスタ!$Q$5:$Q$4999,MATCH(F48&amp;K48,製品マスタ!$AO$5:$AO$4999,0)))</f>
        <v/>
      </c>
      <c r="M48" s="37"/>
      <c r="N48" s="37"/>
      <c r="O48" s="45"/>
      <c r="P48" s="54"/>
      <c r="Q48" s="260" t="str">
        <f>IF(D48="","",IF(J48="リード付け",M48,VLOOKUP(D48,契約台帳!$A$3:$N$4986,14,FALSE)))</f>
        <v/>
      </c>
      <c r="R48" s="261" t="str">
        <f>IF(D48="","",IF(J48="リード付け",M48,VLOOKUP(D48,契約台帳!$A$3:$O$4986,15,FALSE)))</f>
        <v/>
      </c>
      <c r="S48" s="261" t="str">
        <f>IF(D48="","",IF(J48="リード付け",N48,VLOOKUP(D48,契約台帳!$A$3:$P$4986,16,FALSE)))</f>
        <v/>
      </c>
      <c r="T48" s="38"/>
      <c r="U48" s="261" t="str">
        <f ca="1">IF(D48="","",IF(OFFSET(D48,-2,0)=D48,"",VLOOKUP(D48,契約台帳!$A$3:$R$4986,18,FALSE)))</f>
        <v/>
      </c>
      <c r="V48" s="256" t="str">
        <f>IF(J48="巻返し",VLOOKUP(F48&amp;K48&amp;M48,製品マスタ!$M$5:$AD$4999,18,FALSE),IF(J48="リード付け","原反コア",IF(J48="スリット",VLOOKUP(F48&amp;K48&amp;Q48,製品マスタ!$N$5:$AD$4999,17,FALSE),"")))</f>
        <v/>
      </c>
      <c r="W48" s="256" t="str">
        <f>IF(J48="巻返し",VLOOKUP(F48&amp;K48&amp;M48,製品マスタ!$M$5:$AE$4999,19,FALSE),IF(J48="リード付け","-",IF(J48="スリット",VLOOKUP(F48&amp;K48&amp;Q48,製品マスタ!$N$5:$AE$4999,18,FALSE),"")))</f>
        <v/>
      </c>
      <c r="X48" s="256" t="str">
        <f>IF(D48="","",VLOOKUP(D48,契約台帳!$A$3:$Q$4986,17,FALSE))</f>
        <v/>
      </c>
      <c r="Y48" s="256" t="str">
        <f>IF(D48="","",VLOOKUP(D48,契約台帳!$A$3:$E$4986,5,FALSE))</f>
        <v/>
      </c>
      <c r="Z48" s="54"/>
      <c r="AA48" s="200" t="str">
        <f>IFERROR(VLOOKUP(F48&amp;K48&amp;M48,製品マスタ!$M$5:$AM$4999,27,FALSE),"")</f>
        <v/>
      </c>
      <c r="AB48" s="31"/>
      <c r="AC48" s="184"/>
      <c r="AD48" s="51"/>
      <c r="AE48" s="52"/>
      <c r="AF48" s="41"/>
      <c r="AG48" s="45"/>
      <c r="AH48" s="28"/>
      <c r="AI48" s="28"/>
      <c r="AJ48" s="28"/>
      <c r="AK48" s="28"/>
      <c r="AL48" s="12"/>
      <c r="AM48" s="12"/>
      <c r="AN48" s="12"/>
      <c r="AO48" s="12"/>
      <c r="AP48" s="12"/>
      <c r="AQ48" s="13"/>
      <c r="AR48" s="14"/>
    </row>
    <row r="49" spans="1:44" s="16" customFormat="1" ht="30.95" hidden="1" customHeight="1" x14ac:dyDescent="0.2">
      <c r="A49" s="35"/>
      <c r="B49" s="36"/>
      <c r="C49" s="43"/>
      <c r="D49" s="29">
        <v>3694120</v>
      </c>
      <c r="E49" s="29">
        <v>4151273</v>
      </c>
      <c r="F49" s="255" t="str">
        <f>IF(D49="","",VLOOKUP(D49,契約台帳!$A$3:$K$4986,6,FALSE)&amp;VLOOKUP(D49,契約台帳!$A$3:$K$4986,7,FALSE)&amp;VLOOKUP(D49,契約台帳!$A$3:$K$4986,8,FALSE)&amp;VLOOKUP(D49,契約台帳!$A$3:$K$4986,9,FALSE)&amp;VLOOKUP(D49,契約台帳!$A$3:$K$4986,11,FALSE))</f>
        <v>3SNMLBMNQR66F</v>
      </c>
      <c r="G49" s="256" t="str">
        <f>IF(D49="","",VLOOKUP(F49,製品マスタ!$G$5:$H$4999,2,FALSE))</f>
        <v>S</v>
      </c>
      <c r="H49" s="256" t="str">
        <f>IF(D49="","",VLOOKUP(F49,製品マスタ!$G$5:$K$4999,5,FALSE))</f>
        <v>MNQR66F</v>
      </c>
      <c r="I49" s="200" t="str">
        <f>IF(D49="","",VLOOKUP(F49,製品マスタ!$G$5:$L$4999,6,FALSE))</f>
        <v>ＱＲ６６蒸着品</v>
      </c>
      <c r="J49" s="30" t="s">
        <v>447</v>
      </c>
      <c r="K49" s="200">
        <f>IF(D49="","",VLOOKUP(D49,契約台帳!$A$3:$L$4986,12,FALSE))</f>
        <v>25</v>
      </c>
      <c r="L49" s="200" t="str">
        <f>IF(D49="","",INDEX(製品マスタ!$Q$5:$Q$4999,MATCH(F49&amp;K49,製品マスタ!$AO$5:$AO$4999,0)))</f>
        <v>E315</v>
      </c>
      <c r="M49" s="37">
        <v>1100</v>
      </c>
      <c r="N49" s="37">
        <v>24000</v>
      </c>
      <c r="O49" s="45">
        <v>1</v>
      </c>
      <c r="P49" s="54">
        <v>44940</v>
      </c>
      <c r="Q49" s="260">
        <f>IF(D49="","",IF(J49="リード付け",M49,VLOOKUP(D49,契約台帳!$A$3:$N$4986,14,FALSE)))</f>
        <v>1100</v>
      </c>
      <c r="R49" s="261">
        <f>IF(D49="","",IF(J49="リード付け",M49,VLOOKUP(D49,契約台帳!$A$3:$O$4986,15,FALSE)))</f>
        <v>1100</v>
      </c>
      <c r="S49" s="261">
        <f>IF(D49="","",IF(J49="リード付け",N49,VLOOKUP(D49,契約台帳!$A$3:$P$4986,16,FALSE)))</f>
        <v>6000</v>
      </c>
      <c r="T49" s="38">
        <v>4</v>
      </c>
      <c r="U49" s="261">
        <f ca="1">IF(D49="","",IF(OFFSET(D49,-2,0)=D49,"",VLOOKUP(D49,契約台帳!$A$3:$R$4986,18,FALSE)))</f>
        <v>20</v>
      </c>
      <c r="V49" s="256" t="str">
        <f>IF(J49="巻返し",VLOOKUP(F49&amp;K49&amp;M49,製品マスタ!$M$5:$AD$4999,18,FALSE),IF(J49="リード付け","原反コア",IF(J49="スリット",VLOOKUP(F49&amp;K49&amp;Q49,製品マスタ!$N$5:$AD$4999,17,FALSE),"")))</f>
        <v>6ｲﾝﾁMｺｱ</v>
      </c>
      <c r="W49" s="256">
        <f>IF(J49="巻返し",VLOOKUP(F49&amp;K49&amp;M49,製品マスタ!$M$5:$AE$4999,19,FALSE),IF(J49="リード付け","-",IF(J49="スリット",VLOOKUP(F49&amp;K49&amp;Q49,製品マスタ!$N$5:$AE$4999,18,FALSE),"")))</f>
        <v>1110</v>
      </c>
      <c r="X49" s="256">
        <f>IF(D49="","",VLOOKUP(D49,契約台帳!$A$3:$Q$4986,17,FALSE))</f>
        <v>2</v>
      </c>
      <c r="Y49" s="256" t="str">
        <f>IF(D49="","",VLOOKUP(D49,契約台帳!$A$3:$E$4986,5,FALSE))</f>
        <v>リンテック㈱</v>
      </c>
      <c r="Z49" s="54">
        <v>44945</v>
      </c>
      <c r="AA49" s="200" t="str">
        <f>IFERROR(VLOOKUP(F49&amp;K49&amp;M49,製品マスタ!$M$5:$AM$4999,27,FALSE),"")</f>
        <v>原反ケース再利用</v>
      </c>
      <c r="AB49" s="31"/>
      <c r="AC49" s="184"/>
      <c r="AD49" s="51" t="str">
        <f>IF(F49="","",+F49&amp;K49)</f>
        <v>3SNMLBMNQR66F25</v>
      </c>
      <c r="AE49" s="52">
        <f>+M49*N49*O49/1000</f>
        <v>26400</v>
      </c>
      <c r="AF49" s="41">
        <f>IF(AD49="","",VLOOKUP(AD49,原価マスタ!$A$2:$AJ$1693,13,FALSE))</f>
        <v>98</v>
      </c>
      <c r="AG49" s="45">
        <f>IF(AF49="","",+AE49*AF49/100)</f>
        <v>25872</v>
      </c>
      <c r="AH49" s="28"/>
      <c r="AI49" s="28"/>
      <c r="AJ49" s="28"/>
      <c r="AK49" s="28"/>
      <c r="AL49" s="12"/>
      <c r="AM49" s="12"/>
      <c r="AN49" s="12"/>
      <c r="AO49" s="12"/>
      <c r="AP49" s="12"/>
      <c r="AQ49" s="13"/>
      <c r="AR49" s="14"/>
    </row>
    <row r="50" spans="1:44" s="16" customFormat="1" ht="30.95" hidden="1" customHeight="1" x14ac:dyDescent="0.2">
      <c r="A50" s="35"/>
      <c r="B50" s="36"/>
      <c r="C50" s="43"/>
      <c r="D50" s="29"/>
      <c r="E50" s="29"/>
      <c r="F50" s="255" t="str">
        <f>IF(D50="","",VLOOKUP(D50,契約台帳!$A$3:$K$4986,6,FALSE)&amp;VLOOKUP(D50,契約台帳!$A$3:$K$4986,7,FALSE)&amp;VLOOKUP(D50,契約台帳!$A$3:$K$4986,8,FALSE)&amp;VLOOKUP(D50,契約台帳!$A$3:$K$4986,9,FALSE)&amp;VLOOKUP(D50,契約台帳!$A$3:$K$4986,11,FALSE))</f>
        <v/>
      </c>
      <c r="G50" s="256" t="str">
        <f>IF(D50="","",VLOOKUP(F50,製品マスタ!$G$5:$H$4999,2,FALSE))</f>
        <v/>
      </c>
      <c r="H50" s="256" t="str">
        <f>IF(D50="","",VLOOKUP(F50,製品マスタ!$G$5:$K$4999,5,FALSE))</f>
        <v/>
      </c>
      <c r="I50" s="200" t="str">
        <f>IF(D50="","",VLOOKUP(F50,製品マスタ!$G$5:$L$4999,6,FALSE))</f>
        <v/>
      </c>
      <c r="J50" s="30"/>
      <c r="K50" s="200" t="str">
        <f>IF(D50="","",VLOOKUP(D50,契約台帳!$A$3:$L$4986,12,FALSE))</f>
        <v/>
      </c>
      <c r="L50" s="200" t="str">
        <f>IF(D50="","",INDEX(製品マスタ!$Q$5:$Q$4999,MATCH(F50&amp;K50,製品マスタ!$AO$5:$AO$4999,0)))</f>
        <v/>
      </c>
      <c r="M50" s="37"/>
      <c r="N50" s="37"/>
      <c r="O50" s="45"/>
      <c r="P50" s="54"/>
      <c r="Q50" s="260" t="str">
        <f>IF(D50="","",IF(J50="リード付け",M50,VLOOKUP(D50,契約台帳!$A$3:$N$4986,14,FALSE)))</f>
        <v/>
      </c>
      <c r="R50" s="261" t="str">
        <f>IF(D50="","",IF(J50="リード付け",M50,VLOOKUP(D50,契約台帳!$A$3:$O$4986,15,FALSE)))</f>
        <v/>
      </c>
      <c r="S50" s="261" t="str">
        <f>IF(D50="","",IF(J50="リード付け",N50,VLOOKUP(D50,契約台帳!$A$3:$P$4986,16,FALSE)))</f>
        <v/>
      </c>
      <c r="T50" s="38"/>
      <c r="U50" s="261" t="str">
        <f ca="1">IF(D50="","",IF(OFFSET(D50,-2,0)=D50,"",VLOOKUP(D50,契約台帳!$A$3:$R$4986,18,FALSE)))</f>
        <v/>
      </c>
      <c r="V50" s="256" t="str">
        <f>IF(J50="巻返し",VLOOKUP(F50&amp;K50&amp;M50,製品マスタ!$M$5:$AD$4999,18,FALSE),IF(J50="リード付け","原反コア",IF(J50="スリット",VLOOKUP(F50&amp;K50&amp;Q50,製品マスタ!$N$5:$AD$4999,17,FALSE),"")))</f>
        <v/>
      </c>
      <c r="W50" s="256" t="str">
        <f>IF(J50="巻返し",VLOOKUP(F50&amp;K50&amp;M50,製品マスタ!$M$5:$AE$4999,19,FALSE),IF(J50="リード付け","-",IF(J50="スリット",VLOOKUP(F50&amp;K50&amp;Q50,製品マスタ!$N$5:$AE$4999,18,FALSE),"")))</f>
        <v/>
      </c>
      <c r="X50" s="256" t="str">
        <f>IF(D50="","",VLOOKUP(D50,契約台帳!$A$3:$Q$4986,17,FALSE))</f>
        <v/>
      </c>
      <c r="Y50" s="256" t="str">
        <f>IF(D50="","",VLOOKUP(D50,契約台帳!$A$3:$E$4986,5,FALSE))</f>
        <v/>
      </c>
      <c r="Z50" s="54"/>
      <c r="AA50" s="200" t="str">
        <f>IFERROR(VLOOKUP(F50&amp;K50&amp;M50,製品マスタ!$M$5:$AM$4999,27,FALSE),"")</f>
        <v/>
      </c>
      <c r="AB50" s="31"/>
      <c r="AC50" s="184"/>
      <c r="AD50" s="51"/>
      <c r="AE50" s="52"/>
      <c r="AF50" s="41"/>
      <c r="AG50" s="45"/>
      <c r="AH50" s="28"/>
      <c r="AI50" s="28"/>
      <c r="AJ50" s="28"/>
      <c r="AK50" s="28"/>
      <c r="AL50" s="12"/>
      <c r="AM50" s="12"/>
      <c r="AN50" s="12"/>
      <c r="AO50" s="12"/>
      <c r="AP50" s="12"/>
      <c r="AQ50" s="13"/>
      <c r="AR50" s="14"/>
    </row>
    <row r="51" spans="1:44" s="16" customFormat="1" ht="30.95" hidden="1" customHeight="1" x14ac:dyDescent="0.2">
      <c r="A51" s="35" t="s">
        <v>788</v>
      </c>
      <c r="B51" s="36" t="s">
        <v>789</v>
      </c>
      <c r="C51" s="43"/>
      <c r="D51" s="29">
        <v>3694120</v>
      </c>
      <c r="E51" s="29">
        <v>4151273</v>
      </c>
      <c r="F51" s="255" t="str">
        <f>IF(D51="","",VLOOKUP(D51,契約台帳!$A$3:$K$4986,6,FALSE)&amp;VLOOKUP(D51,契約台帳!$A$3:$K$4986,7,FALSE)&amp;VLOOKUP(D51,契約台帳!$A$3:$K$4986,8,FALSE)&amp;VLOOKUP(D51,契約台帳!$A$3:$K$4986,9,FALSE)&amp;VLOOKUP(D51,契約台帳!$A$3:$K$4986,11,FALSE))</f>
        <v>3SNMLBMNQR66F</v>
      </c>
      <c r="G51" s="256" t="str">
        <f>IF(D51="","",VLOOKUP(F51,製品マスタ!$G$5:$H$4999,2,FALSE))</f>
        <v>S</v>
      </c>
      <c r="H51" s="256" t="str">
        <f>IF(D51="","",VLOOKUP(F51,製品マスタ!$G$5:$K$4999,5,FALSE))</f>
        <v>MNQR66F</v>
      </c>
      <c r="I51" s="200" t="str">
        <f>IF(D51="","",VLOOKUP(F51,製品マスタ!$G$5:$L$4999,6,FALSE))</f>
        <v>ＱＲ６６蒸着品</v>
      </c>
      <c r="J51" s="30" t="s">
        <v>447</v>
      </c>
      <c r="K51" s="200">
        <f>IF(D51="","",VLOOKUP(D51,契約台帳!$A$3:$L$4986,12,FALSE))</f>
        <v>25</v>
      </c>
      <c r="L51" s="200" t="str">
        <f>IF(D51="","",INDEX(製品マスタ!$Q$5:$Q$4999,MATCH(F51&amp;K51,製品マスタ!$AO$5:$AO$4999,0)))</f>
        <v>E315</v>
      </c>
      <c r="M51" s="37">
        <v>1100</v>
      </c>
      <c r="N51" s="37">
        <v>24000</v>
      </c>
      <c r="O51" s="45">
        <v>1</v>
      </c>
      <c r="P51" s="54">
        <v>44940</v>
      </c>
      <c r="Q51" s="260">
        <f>IF(D51="","",IF(J51="リード付け",M51,VLOOKUP(D51,契約台帳!$A$3:$N$4986,14,FALSE)))</f>
        <v>1100</v>
      </c>
      <c r="R51" s="261">
        <f>IF(D51="","",IF(J51="リード付け",M51,VLOOKUP(D51,契約台帳!$A$3:$O$4986,15,FALSE)))</f>
        <v>1100</v>
      </c>
      <c r="S51" s="261">
        <f>IF(D51="","",IF(J51="リード付け",N51,VLOOKUP(D51,契約台帳!$A$3:$P$4986,16,FALSE)))</f>
        <v>6000</v>
      </c>
      <c r="T51" s="38">
        <v>4</v>
      </c>
      <c r="U51" s="261" t="str">
        <f ca="1">IF(D51="","",IF(OFFSET(D51,-2,0)=D51,"",VLOOKUP(D51,契約台帳!$A$3:$R$4986,18,FALSE)))</f>
        <v/>
      </c>
      <c r="V51" s="256" t="str">
        <f>IF(J51="巻返し",VLOOKUP(F51&amp;K51&amp;M51,製品マスタ!$M$5:$AD$4999,18,FALSE),IF(J51="リード付け","原反コア",IF(J51="スリット",VLOOKUP(F51&amp;K51&amp;Q51,製品マスタ!$N$5:$AD$4999,17,FALSE),"")))</f>
        <v>6ｲﾝﾁMｺｱ</v>
      </c>
      <c r="W51" s="256">
        <f>IF(J51="巻返し",VLOOKUP(F51&amp;K51&amp;M51,製品マスタ!$M$5:$AE$4999,19,FALSE),IF(J51="リード付け","-",IF(J51="スリット",VLOOKUP(F51&amp;K51&amp;Q51,製品マスタ!$N$5:$AE$4999,18,FALSE),"")))</f>
        <v>1110</v>
      </c>
      <c r="X51" s="256">
        <f>IF(D51="","",VLOOKUP(D51,契約台帳!$A$3:$Q$4986,17,FALSE))</f>
        <v>2</v>
      </c>
      <c r="Y51" s="256" t="str">
        <f>IF(D51="","",VLOOKUP(D51,契約台帳!$A$3:$E$4986,5,FALSE))</f>
        <v>リンテック㈱</v>
      </c>
      <c r="Z51" s="54">
        <v>44946</v>
      </c>
      <c r="AA51" s="200" t="str">
        <f>IFERROR(VLOOKUP(F51&amp;K51&amp;M51,製品マスタ!$M$5:$AM$4999,27,FALSE),"")</f>
        <v>原反ケース再利用</v>
      </c>
      <c r="AB51" s="31"/>
      <c r="AC51" s="184"/>
      <c r="AD51" s="51" t="str">
        <f>IF(F51="","",+F51&amp;K51)</f>
        <v>3SNMLBMNQR66F25</v>
      </c>
      <c r="AE51" s="52">
        <f>+M51*N51*O51/1000</f>
        <v>26400</v>
      </c>
      <c r="AF51" s="41">
        <f>IF(AD51="","",VLOOKUP(AD51,原価マスタ!$A$2:$AJ$1693,13,FALSE))</f>
        <v>98</v>
      </c>
      <c r="AG51" s="45">
        <f>IF(AF51="","",+AE51*AF51/100)</f>
        <v>25872</v>
      </c>
      <c r="AH51" s="28"/>
      <c r="AI51" s="28"/>
      <c r="AJ51" s="28"/>
      <c r="AK51" s="28"/>
      <c r="AL51" s="12"/>
      <c r="AM51" s="12"/>
      <c r="AN51" s="12"/>
      <c r="AO51" s="12"/>
      <c r="AP51" s="12"/>
      <c r="AQ51" s="13"/>
      <c r="AR51" s="14"/>
    </row>
    <row r="52" spans="1:44" s="16" customFormat="1" ht="30.95" hidden="1" customHeight="1" x14ac:dyDescent="0.2">
      <c r="A52" s="35"/>
      <c r="B52" s="36"/>
      <c r="C52" s="43"/>
      <c r="D52" s="29"/>
      <c r="E52" s="29"/>
      <c r="F52" s="255" t="str">
        <f>IF(D52="","",VLOOKUP(D52,契約台帳!$A$3:$K$4986,6,FALSE)&amp;VLOOKUP(D52,契約台帳!$A$3:$K$4986,7,FALSE)&amp;VLOOKUP(D52,契約台帳!$A$3:$K$4986,8,FALSE)&amp;VLOOKUP(D52,契約台帳!$A$3:$K$4986,9,FALSE)&amp;VLOOKUP(D52,契約台帳!$A$3:$K$4986,11,FALSE))</f>
        <v/>
      </c>
      <c r="G52" s="256" t="str">
        <f>IF(D52="","",VLOOKUP(F52,製品マスタ!$G$5:$H$4999,2,FALSE))</f>
        <v/>
      </c>
      <c r="H52" s="256" t="str">
        <f>IF(D52="","",VLOOKUP(F52,製品マスタ!$G$5:$K$4999,5,FALSE))</f>
        <v/>
      </c>
      <c r="I52" s="200" t="str">
        <f>IF(D52="","",VLOOKUP(F52,製品マスタ!$G$5:$L$4999,6,FALSE))</f>
        <v/>
      </c>
      <c r="J52" s="30"/>
      <c r="K52" s="200" t="str">
        <f>IF(D52="","",VLOOKUP(D52,契約台帳!$A$3:$L$4986,12,FALSE))</f>
        <v/>
      </c>
      <c r="L52" s="200" t="str">
        <f>IF(D52="","",INDEX(製品マスタ!$Q$5:$Q$4999,MATCH(F52&amp;K52,製品マスタ!$AO$5:$AO$4999,0)))</f>
        <v/>
      </c>
      <c r="M52" s="37"/>
      <c r="N52" s="37"/>
      <c r="O52" s="45"/>
      <c r="P52" s="54"/>
      <c r="Q52" s="260" t="str">
        <f>IF(D52="","",IF(J52="リード付け",M52,VLOOKUP(D52,契約台帳!$A$3:$N$4986,14,FALSE)))</f>
        <v/>
      </c>
      <c r="R52" s="261" t="str">
        <f>IF(D52="","",IF(J52="リード付け",M52,VLOOKUP(D52,契約台帳!$A$3:$O$4986,15,FALSE)))</f>
        <v/>
      </c>
      <c r="S52" s="261" t="str">
        <f>IF(D52="","",IF(J52="リード付け",N52,VLOOKUP(D52,契約台帳!$A$3:$P$4986,16,FALSE)))</f>
        <v/>
      </c>
      <c r="T52" s="38"/>
      <c r="U52" s="261" t="str">
        <f ca="1">IF(D52="","",IF(OFFSET(D52,-2,0)=D52,"",VLOOKUP(D52,契約台帳!$A$3:$R$4986,18,FALSE)))</f>
        <v/>
      </c>
      <c r="V52" s="256" t="str">
        <f>IF(J52="巻返し",VLOOKUP(F52&amp;K52&amp;M52,製品マスタ!$M$5:$AD$4999,18,FALSE),IF(J52="リード付け","原反コア",IF(J52="スリット",VLOOKUP(F52&amp;K52&amp;Q52,製品マスタ!$N$5:$AD$4999,17,FALSE),"")))</f>
        <v/>
      </c>
      <c r="W52" s="256" t="str">
        <f>IF(J52="巻返し",VLOOKUP(F52&amp;K52&amp;M52,製品マスタ!$M$5:$AE$4999,19,FALSE),IF(J52="リード付け","-",IF(J52="スリット",VLOOKUP(F52&amp;K52&amp;Q52,製品マスタ!$N$5:$AE$4999,18,FALSE),"")))</f>
        <v/>
      </c>
      <c r="X52" s="256" t="str">
        <f>IF(D52="","",VLOOKUP(D52,契約台帳!$A$3:$Q$4986,17,FALSE))</f>
        <v/>
      </c>
      <c r="Y52" s="256" t="str">
        <f>IF(D52="","",VLOOKUP(D52,契約台帳!$A$3:$E$4986,5,FALSE))</f>
        <v/>
      </c>
      <c r="Z52" s="54"/>
      <c r="AA52" s="200" t="str">
        <f>IFERROR(VLOOKUP(F52&amp;K52&amp;M52,製品マスタ!$M$5:$AM$4999,27,FALSE),"")</f>
        <v/>
      </c>
      <c r="AB52" s="31"/>
      <c r="AC52" s="184"/>
      <c r="AD52" s="51"/>
      <c r="AE52" s="52"/>
      <c r="AF52" s="41"/>
      <c r="AG52" s="45"/>
      <c r="AH52" s="28"/>
      <c r="AI52" s="28"/>
      <c r="AJ52" s="28"/>
      <c r="AK52" s="28"/>
      <c r="AL52" s="12"/>
      <c r="AM52" s="12"/>
      <c r="AN52" s="12"/>
      <c r="AO52" s="12"/>
      <c r="AP52" s="12"/>
      <c r="AQ52" s="13"/>
      <c r="AR52" s="14"/>
    </row>
    <row r="53" spans="1:44" s="16" customFormat="1" ht="30.95" hidden="1" customHeight="1" x14ac:dyDescent="0.2">
      <c r="A53" s="35"/>
      <c r="B53" s="36"/>
      <c r="C53" s="43"/>
      <c r="D53" s="29">
        <v>3694120</v>
      </c>
      <c r="E53" s="29">
        <v>4151273</v>
      </c>
      <c r="F53" s="255" t="str">
        <f>IF(D53="","",VLOOKUP(D53,契約台帳!$A$3:$K$4986,6,FALSE)&amp;VLOOKUP(D53,契約台帳!$A$3:$K$4986,7,FALSE)&amp;VLOOKUP(D53,契約台帳!$A$3:$K$4986,8,FALSE)&amp;VLOOKUP(D53,契約台帳!$A$3:$K$4986,9,FALSE)&amp;VLOOKUP(D53,契約台帳!$A$3:$K$4986,11,FALSE))</f>
        <v>3SNMLBMNQR66F</v>
      </c>
      <c r="G53" s="256" t="str">
        <f>IF(D53="","",VLOOKUP(F53,製品マスタ!$G$5:$H$4999,2,FALSE))</f>
        <v>S</v>
      </c>
      <c r="H53" s="256" t="str">
        <f>IF(D53="","",VLOOKUP(F53,製品マスタ!$G$5:$K$4999,5,FALSE))</f>
        <v>MNQR66F</v>
      </c>
      <c r="I53" s="200" t="str">
        <f>IF(D53="","",VLOOKUP(F53,製品マスタ!$G$5:$L$4999,6,FALSE))</f>
        <v>ＱＲ６６蒸着品</v>
      </c>
      <c r="J53" s="30" t="s">
        <v>447</v>
      </c>
      <c r="K53" s="200">
        <f>IF(D53="","",VLOOKUP(D53,契約台帳!$A$3:$L$4986,12,FALSE))</f>
        <v>25</v>
      </c>
      <c r="L53" s="200" t="str">
        <f>IF(D53="","",INDEX(製品マスタ!$Q$5:$Q$4999,MATCH(F53&amp;K53,製品マスタ!$AO$5:$AO$4999,0)))</f>
        <v>E315</v>
      </c>
      <c r="M53" s="37">
        <v>1100</v>
      </c>
      <c r="N53" s="37">
        <v>18000</v>
      </c>
      <c r="O53" s="45">
        <v>4</v>
      </c>
      <c r="P53" s="54">
        <v>44941</v>
      </c>
      <c r="Q53" s="260">
        <f>IF(D53="","",IF(J53="リード付け",M53,VLOOKUP(D53,契約台帳!$A$3:$N$4986,14,FALSE)))</f>
        <v>1100</v>
      </c>
      <c r="R53" s="261">
        <f>IF(D53="","",IF(J53="リード付け",M53,VLOOKUP(D53,契約台帳!$A$3:$O$4986,15,FALSE)))</f>
        <v>1100</v>
      </c>
      <c r="S53" s="261">
        <f>IF(D53="","",IF(J53="リード付け",N53,VLOOKUP(D53,契約台帳!$A$3:$P$4986,16,FALSE)))</f>
        <v>6000</v>
      </c>
      <c r="T53" s="38">
        <v>12</v>
      </c>
      <c r="U53" s="261" t="str">
        <f ca="1">IF(D53="","",IF(OFFSET(D53,-2,0)=D53,"",VLOOKUP(D53,契約台帳!$A$3:$R$4986,18,FALSE)))</f>
        <v/>
      </c>
      <c r="V53" s="256" t="str">
        <f>IF(J53="巻返し",VLOOKUP(F53&amp;K53&amp;M53,製品マスタ!$M$5:$AD$4999,18,FALSE),IF(J53="リード付け","原反コア",IF(J53="スリット",VLOOKUP(F53&amp;K53&amp;Q53,製品マスタ!$N$5:$AD$4999,17,FALSE),"")))</f>
        <v>6ｲﾝﾁMｺｱ</v>
      </c>
      <c r="W53" s="256">
        <f>IF(J53="巻返し",VLOOKUP(F53&amp;K53&amp;M53,製品マスタ!$M$5:$AE$4999,19,FALSE),IF(J53="リード付け","-",IF(J53="スリット",VLOOKUP(F53&amp;K53&amp;Q53,製品マスタ!$N$5:$AE$4999,18,FALSE),"")))</f>
        <v>1110</v>
      </c>
      <c r="X53" s="256">
        <f>IF(D53="","",VLOOKUP(D53,契約台帳!$A$3:$Q$4986,17,FALSE))</f>
        <v>2</v>
      </c>
      <c r="Y53" s="256" t="str">
        <f>IF(D53="","",VLOOKUP(D53,契約台帳!$A$3:$E$4986,5,FALSE))</f>
        <v>リンテック㈱</v>
      </c>
      <c r="Z53" s="54">
        <v>44946</v>
      </c>
      <c r="AA53" s="200" t="str">
        <f>IFERROR(VLOOKUP(F53&amp;K53&amp;M53,製品マスタ!$M$5:$AM$4999,27,FALSE),"")</f>
        <v>原反ケース再利用</v>
      </c>
      <c r="AB53" s="31"/>
      <c r="AC53" s="184"/>
      <c r="AD53" s="51" t="str">
        <f>IF(F53="","",+F53&amp;K53)</f>
        <v>3SNMLBMNQR66F25</v>
      </c>
      <c r="AE53" s="52">
        <f>+M53*N53*O53/1000</f>
        <v>79200</v>
      </c>
      <c r="AF53" s="41">
        <f>IF(AD53="","",VLOOKUP(AD53,原価マスタ!$A$2:$AJ$1693,13,FALSE))</f>
        <v>98</v>
      </c>
      <c r="AG53" s="45">
        <f>IF(AF53="","",+AE53*AF53/100)</f>
        <v>77616</v>
      </c>
      <c r="AH53" s="28"/>
      <c r="AI53" s="28"/>
      <c r="AJ53" s="28"/>
      <c r="AK53" s="28"/>
      <c r="AL53" s="12"/>
      <c r="AM53" s="12"/>
      <c r="AN53" s="12"/>
      <c r="AO53" s="12"/>
      <c r="AP53" s="12"/>
      <c r="AQ53" s="13"/>
      <c r="AR53" s="14"/>
    </row>
    <row r="54" spans="1:44" s="16" customFormat="1" ht="30.95" hidden="1" customHeight="1" x14ac:dyDescent="0.2">
      <c r="A54" s="35"/>
      <c r="B54" s="36"/>
      <c r="C54" s="43"/>
      <c r="D54" s="29"/>
      <c r="E54" s="29"/>
      <c r="F54" s="255" t="str">
        <f>IF(D54="","",VLOOKUP(D54,契約台帳!$A$3:$K$4986,6,FALSE)&amp;VLOOKUP(D54,契約台帳!$A$3:$K$4986,7,FALSE)&amp;VLOOKUP(D54,契約台帳!$A$3:$K$4986,8,FALSE)&amp;VLOOKUP(D54,契約台帳!$A$3:$K$4986,9,FALSE)&amp;VLOOKUP(D54,契約台帳!$A$3:$K$4986,11,FALSE))</f>
        <v/>
      </c>
      <c r="G54" s="256" t="str">
        <f>IF(D54="","",VLOOKUP(F54,製品マスタ!$G$5:$H$4999,2,FALSE))</f>
        <v/>
      </c>
      <c r="H54" s="256" t="str">
        <f>IF(D54="","",VLOOKUP(F54,製品マスタ!$G$5:$K$4999,5,FALSE))</f>
        <v/>
      </c>
      <c r="I54" s="200" t="str">
        <f>IF(D54="","",VLOOKUP(F54,製品マスタ!$G$5:$L$4999,6,FALSE))</f>
        <v/>
      </c>
      <c r="J54" s="30"/>
      <c r="K54" s="200" t="str">
        <f>IF(D54="","",VLOOKUP(D54,契約台帳!$A$3:$L$4986,12,FALSE))</f>
        <v/>
      </c>
      <c r="L54" s="200" t="str">
        <f>IF(D54="","",INDEX(製品マスタ!$Q$5:$Q$4999,MATCH(F54&amp;K54,製品マスタ!$AO$5:$AO$4999,0)))</f>
        <v/>
      </c>
      <c r="M54" s="37"/>
      <c r="N54" s="37"/>
      <c r="O54" s="45"/>
      <c r="P54" s="54"/>
      <c r="Q54" s="260" t="str">
        <f>IF(D54="","",IF(J54="リード付け",M54,VLOOKUP(D54,契約台帳!$A$3:$N$4986,14,FALSE)))</f>
        <v/>
      </c>
      <c r="R54" s="261" t="str">
        <f>IF(D54="","",IF(J54="リード付け",M54,VLOOKUP(D54,契約台帳!$A$3:$O$4986,15,FALSE)))</f>
        <v/>
      </c>
      <c r="S54" s="261" t="str">
        <f>IF(D54="","",IF(J54="リード付け",N54,VLOOKUP(D54,契約台帳!$A$3:$P$4986,16,FALSE)))</f>
        <v/>
      </c>
      <c r="T54" s="38"/>
      <c r="U54" s="261" t="str">
        <f ca="1">IF(D54="","",IF(OFFSET(D54,-2,0)=D54,"",VLOOKUP(D54,契約台帳!$A$3:$R$4986,18,FALSE)))</f>
        <v/>
      </c>
      <c r="V54" s="256" t="str">
        <f>IF(J54="巻返し",VLOOKUP(F54&amp;K54&amp;M54,製品マスタ!$M$5:$AD$4999,18,FALSE),IF(J54="リード付け","原反コア",IF(J54="スリット",VLOOKUP(F54&amp;K54&amp;Q54,製品マスタ!$N$5:$AD$4999,17,FALSE),"")))</f>
        <v/>
      </c>
      <c r="W54" s="256" t="str">
        <f>IF(J54="巻返し",VLOOKUP(F54&amp;K54&amp;M54,製品マスタ!$M$5:$AE$4999,19,FALSE),IF(J54="リード付け","-",IF(J54="スリット",VLOOKUP(F54&amp;K54&amp;Q54,製品マスタ!$N$5:$AE$4999,18,FALSE),"")))</f>
        <v/>
      </c>
      <c r="X54" s="256" t="str">
        <f>IF(D54="","",VLOOKUP(D54,契約台帳!$A$3:$Q$4986,17,FALSE))</f>
        <v/>
      </c>
      <c r="Y54" s="256" t="str">
        <f>IF(D54="","",VLOOKUP(D54,契約台帳!$A$3:$E$4986,5,FALSE))</f>
        <v/>
      </c>
      <c r="Z54" s="54"/>
      <c r="AA54" s="200" t="str">
        <f>IFERROR(VLOOKUP(F54&amp;K54&amp;M54,製品マスタ!$M$5:$AM$4999,27,FALSE),"")</f>
        <v/>
      </c>
      <c r="AB54" s="31"/>
      <c r="AC54" s="184"/>
      <c r="AD54" s="51"/>
      <c r="AE54" s="52"/>
      <c r="AF54" s="41"/>
      <c r="AG54" s="45"/>
      <c r="AH54" s="28"/>
      <c r="AI54" s="28"/>
      <c r="AJ54" s="28"/>
      <c r="AK54" s="28"/>
      <c r="AL54" s="12"/>
      <c r="AM54" s="12"/>
      <c r="AN54" s="12"/>
      <c r="AO54" s="12"/>
      <c r="AP54" s="12"/>
      <c r="AQ54" s="13"/>
      <c r="AR54" s="14"/>
    </row>
    <row r="55" spans="1:44" s="16" customFormat="1" ht="30.95" hidden="1" customHeight="1" x14ac:dyDescent="0.2">
      <c r="A55" s="35" t="s">
        <v>790</v>
      </c>
      <c r="B55" s="36" t="s">
        <v>778</v>
      </c>
      <c r="C55" s="43"/>
      <c r="D55" s="29"/>
      <c r="E55" s="29"/>
      <c r="F55" s="255" t="str">
        <f>IF(D55="","",VLOOKUP(D55,契約台帳!$A$3:$K$4986,6,FALSE)&amp;VLOOKUP(D55,契約台帳!$A$3:$K$4986,7,FALSE)&amp;VLOOKUP(D55,契約台帳!$A$3:$K$4986,8,FALSE)&amp;VLOOKUP(D55,契約台帳!$A$3:$K$4986,9,FALSE)&amp;VLOOKUP(D55,契約台帳!$A$3:$K$4986,11,FALSE))</f>
        <v/>
      </c>
      <c r="G55" s="256" t="str">
        <f>IF(D55="","",VLOOKUP(F55,製品マスタ!$G$5:$H$4999,2,FALSE))</f>
        <v/>
      </c>
      <c r="H55" s="256" t="str">
        <f>IF(D55="","",VLOOKUP(F55,製品マスタ!$G$5:$K$4999,5,FALSE))</f>
        <v/>
      </c>
      <c r="I55" s="200" t="str">
        <f>IF(D55="","",VLOOKUP(F55,製品マスタ!$G$5:$L$4999,6,FALSE))</f>
        <v/>
      </c>
      <c r="J55" s="30"/>
      <c r="K55" s="200" t="str">
        <f>IF(D55="","",VLOOKUP(D55,契約台帳!$A$3:$L$4986,12,FALSE))</f>
        <v/>
      </c>
      <c r="L55" s="200" t="str">
        <f>IF(D55="","",INDEX(製品マスタ!$Q$5:$Q$4999,MATCH(F55&amp;K55,製品マスタ!$AO$5:$AO$4999,0)))</f>
        <v/>
      </c>
      <c r="M55" s="37"/>
      <c r="N55" s="37"/>
      <c r="O55" s="45"/>
      <c r="P55" s="54"/>
      <c r="Q55" s="260" t="str">
        <f>IF(D55="","",IF(J55="リード付け",M55,VLOOKUP(D55,契約台帳!$A$3:$N$4986,14,FALSE)))</f>
        <v/>
      </c>
      <c r="R55" s="261" t="str">
        <f>IF(D55="","",IF(J55="リード付け",M55,VLOOKUP(D55,契約台帳!$A$3:$O$4986,15,FALSE)))</f>
        <v/>
      </c>
      <c r="S55" s="261" t="str">
        <f>IF(D55="","",IF(J55="リード付け",N55,VLOOKUP(D55,契約台帳!$A$3:$P$4986,16,FALSE)))</f>
        <v/>
      </c>
      <c r="T55" s="38"/>
      <c r="U55" s="261" t="str">
        <f ca="1">IF(D55="","",IF(OFFSET(D55,-2,0)=D55,"",VLOOKUP(D55,契約台帳!$A$3:$R$4986,18,FALSE)))</f>
        <v/>
      </c>
      <c r="V55" s="256" t="str">
        <f>IF(J55="巻返し",VLOOKUP(F55&amp;K55&amp;M55,製品マスタ!$M$5:$AD$4999,18,FALSE),IF(J55="リード付け","原反コア",IF(J55="スリット",VLOOKUP(F55&amp;K55&amp;Q55,製品マスタ!$N$5:$AD$4999,17,FALSE),"")))</f>
        <v/>
      </c>
      <c r="W55" s="256" t="str">
        <f>IF(J55="巻返し",VLOOKUP(F55&amp;K55&amp;M55,製品マスタ!$M$5:$AE$4999,19,FALSE),IF(J55="リード付け","-",IF(J55="スリット",VLOOKUP(F55&amp;K55&amp;Q55,製品マスタ!$N$5:$AE$4999,18,FALSE),"")))</f>
        <v/>
      </c>
      <c r="X55" s="256" t="str">
        <f>IF(D55="","",VLOOKUP(D55,契約台帳!$A$3:$Q$4986,17,FALSE))</f>
        <v/>
      </c>
      <c r="Y55" s="256" t="str">
        <f>IF(D55="","",VLOOKUP(D55,契約台帳!$A$3:$E$4986,5,FALSE))</f>
        <v/>
      </c>
      <c r="Z55" s="54"/>
      <c r="AA55" s="200" t="str">
        <f>IFERROR(VLOOKUP(F55&amp;K55&amp;M55,製品マスタ!$M$5:$AM$4999,27,FALSE),"")</f>
        <v/>
      </c>
      <c r="AB55" s="31"/>
      <c r="AC55" s="184"/>
      <c r="AD55" s="51"/>
      <c r="AE55" s="52"/>
      <c r="AF55" s="41"/>
      <c r="AG55" s="45"/>
      <c r="AH55" s="28"/>
      <c r="AI55" s="28"/>
      <c r="AJ55" s="28"/>
      <c r="AK55" s="28"/>
      <c r="AL55" s="12"/>
      <c r="AM55" s="12"/>
      <c r="AN55" s="12"/>
      <c r="AO55" s="12"/>
      <c r="AP55" s="12"/>
      <c r="AQ55" s="13"/>
      <c r="AR55" s="14"/>
    </row>
    <row r="56" spans="1:44" s="16" customFormat="1" ht="30.95" hidden="1" customHeight="1" x14ac:dyDescent="0.2">
      <c r="A56" s="35"/>
      <c r="B56" s="36"/>
      <c r="C56" s="43"/>
      <c r="D56" s="29"/>
      <c r="E56" s="29"/>
      <c r="F56" s="255" t="str">
        <f>IF(D56="","",VLOOKUP(D56,契約台帳!$A$3:$K$4986,6,FALSE)&amp;VLOOKUP(D56,契約台帳!$A$3:$K$4986,7,FALSE)&amp;VLOOKUP(D56,契約台帳!$A$3:$K$4986,8,FALSE)&amp;VLOOKUP(D56,契約台帳!$A$3:$K$4986,9,FALSE)&amp;VLOOKUP(D56,契約台帳!$A$3:$K$4986,11,FALSE))</f>
        <v/>
      </c>
      <c r="G56" s="256" t="str">
        <f>IF(D56="","",VLOOKUP(F56,製品マスタ!$G$5:$H$4999,2,FALSE))</f>
        <v/>
      </c>
      <c r="H56" s="256" t="str">
        <f>IF(D56="","",VLOOKUP(F56,製品マスタ!$G$5:$K$4999,5,FALSE))</f>
        <v/>
      </c>
      <c r="I56" s="200" t="str">
        <f>IF(D56="","",VLOOKUP(F56,製品マスタ!$G$5:$L$4999,6,FALSE))</f>
        <v/>
      </c>
      <c r="J56" s="30"/>
      <c r="K56" s="200" t="str">
        <f>IF(D56="","",VLOOKUP(D56,契約台帳!$A$3:$L$4986,12,FALSE))</f>
        <v/>
      </c>
      <c r="L56" s="200" t="str">
        <f>IF(D56="","",INDEX(製品マスタ!$Q$5:$Q$4999,MATCH(F56&amp;K56,製品マスタ!$AO$5:$AO$4999,0)))</f>
        <v/>
      </c>
      <c r="M56" s="37"/>
      <c r="N56" s="37"/>
      <c r="O56" s="45"/>
      <c r="P56" s="54"/>
      <c r="Q56" s="260" t="str">
        <f>IF(D56="","",IF(J56="リード付け",M56,VLOOKUP(D56,契約台帳!$A$3:$N$4986,14,FALSE)))</f>
        <v/>
      </c>
      <c r="R56" s="261" t="str">
        <f>IF(D56="","",IF(J56="リード付け",M56,VLOOKUP(D56,契約台帳!$A$3:$O$4986,15,FALSE)))</f>
        <v/>
      </c>
      <c r="S56" s="261" t="str">
        <f>IF(D56="","",IF(J56="リード付け",N56,VLOOKUP(D56,契約台帳!$A$3:$P$4986,16,FALSE)))</f>
        <v/>
      </c>
      <c r="T56" s="38"/>
      <c r="U56" s="261" t="str">
        <f ca="1">IF(D56="","",IF(OFFSET(D56,-2,0)=D56,"",VLOOKUP(D56,契約台帳!$A$3:$R$4986,18,FALSE)))</f>
        <v/>
      </c>
      <c r="V56" s="256" t="str">
        <f>IF(J56="巻返し",VLOOKUP(F56&amp;K56&amp;M56,製品マスタ!$M$5:$AD$4999,18,FALSE),IF(J56="リード付け","原反コア",IF(J56="スリット",VLOOKUP(F56&amp;K56&amp;Q56,製品マスタ!$N$5:$AD$4999,17,FALSE),"")))</f>
        <v/>
      </c>
      <c r="W56" s="256" t="str">
        <f>IF(J56="巻返し",VLOOKUP(F56&amp;K56&amp;M56,製品マスタ!$M$5:$AE$4999,19,FALSE),IF(J56="リード付け","-",IF(J56="スリット",VLOOKUP(F56&amp;K56&amp;Q56,製品マスタ!$N$5:$AE$4999,18,FALSE),"")))</f>
        <v/>
      </c>
      <c r="X56" s="256" t="str">
        <f>IF(D56="","",VLOOKUP(D56,契約台帳!$A$3:$Q$4986,17,FALSE))</f>
        <v/>
      </c>
      <c r="Y56" s="256" t="str">
        <f>IF(D56="","",VLOOKUP(D56,契約台帳!$A$3:$E$4986,5,FALSE))</f>
        <v/>
      </c>
      <c r="Z56" s="54"/>
      <c r="AA56" s="200" t="str">
        <f>IFERROR(VLOOKUP(F56&amp;K56&amp;M56,製品マスタ!$M$5:$AM$4999,27,FALSE),"")</f>
        <v/>
      </c>
      <c r="AB56" s="31"/>
      <c r="AC56" s="184"/>
      <c r="AD56" s="51"/>
      <c r="AE56" s="52"/>
      <c r="AF56" s="41"/>
      <c r="AG56" s="45"/>
      <c r="AH56" s="28"/>
      <c r="AI56" s="28"/>
      <c r="AJ56" s="28"/>
      <c r="AK56" s="28"/>
      <c r="AL56" s="12"/>
      <c r="AM56" s="12"/>
      <c r="AN56" s="12"/>
      <c r="AO56" s="12"/>
      <c r="AP56" s="12"/>
      <c r="AQ56" s="13"/>
      <c r="AR56" s="14"/>
    </row>
    <row r="57" spans="1:44" s="16" customFormat="1" ht="30.95" hidden="1" customHeight="1" x14ac:dyDescent="0.2">
      <c r="A57" s="35" t="s">
        <v>791</v>
      </c>
      <c r="B57" s="36" t="s">
        <v>779</v>
      </c>
      <c r="C57" s="43"/>
      <c r="D57" s="29"/>
      <c r="E57" s="29"/>
      <c r="F57" s="255" t="str">
        <f>IF(D57="","",VLOOKUP(D57,契約台帳!$A$3:$K$4986,6,FALSE)&amp;VLOOKUP(D57,契約台帳!$A$3:$K$4986,7,FALSE)&amp;VLOOKUP(D57,契約台帳!$A$3:$K$4986,8,FALSE)&amp;VLOOKUP(D57,契約台帳!$A$3:$K$4986,9,FALSE)&amp;VLOOKUP(D57,契約台帳!$A$3:$K$4986,11,FALSE))</f>
        <v/>
      </c>
      <c r="G57" s="256" t="str">
        <f>IF(D57="","",VLOOKUP(F57,製品マスタ!$G$5:$H$4999,2,FALSE))</f>
        <v/>
      </c>
      <c r="H57" s="256" t="str">
        <f>IF(D57="","",VLOOKUP(F57,製品マスタ!$G$5:$K$4999,5,FALSE))</f>
        <v/>
      </c>
      <c r="I57" s="200" t="str">
        <f>IF(D57="","",VLOOKUP(F57,製品マスタ!$G$5:$L$4999,6,FALSE))</f>
        <v/>
      </c>
      <c r="J57" s="30"/>
      <c r="K57" s="200" t="str">
        <f>IF(D57="","",VLOOKUP(D57,契約台帳!$A$3:$L$4986,12,FALSE))</f>
        <v/>
      </c>
      <c r="L57" s="200" t="str">
        <f>IF(D57="","",INDEX(製品マスタ!$Q$5:$Q$4999,MATCH(F57&amp;K57,製品マスタ!$AO$5:$AO$4999,0)))</f>
        <v/>
      </c>
      <c r="M57" s="37"/>
      <c r="N57" s="37"/>
      <c r="O57" s="45"/>
      <c r="P57" s="54"/>
      <c r="Q57" s="260" t="str">
        <f>IF(D57="","",IF(J57="リード付け",M57,VLOOKUP(D57,契約台帳!$A$3:$N$4986,14,FALSE)))</f>
        <v/>
      </c>
      <c r="R57" s="261" t="str">
        <f>IF(D57="","",IF(J57="リード付け",M57,VLOOKUP(D57,契約台帳!$A$3:$O$4986,15,FALSE)))</f>
        <v/>
      </c>
      <c r="S57" s="261" t="str">
        <f>IF(D57="","",IF(J57="リード付け",N57,VLOOKUP(D57,契約台帳!$A$3:$P$4986,16,FALSE)))</f>
        <v/>
      </c>
      <c r="T57" s="38"/>
      <c r="U57" s="261" t="str">
        <f ca="1">IF(D57="","",IF(OFFSET(D57,-2,0)=D57,"",VLOOKUP(D57,契約台帳!$A$3:$R$4986,18,FALSE)))</f>
        <v/>
      </c>
      <c r="V57" s="256" t="str">
        <f>IF(J57="巻返し",VLOOKUP(F57&amp;K57&amp;M57,製品マスタ!$M$5:$AD$4999,18,FALSE),IF(J57="リード付け","原反コア",IF(J57="スリット",VLOOKUP(F57&amp;K57&amp;Q57,製品マスタ!$N$5:$AD$4999,17,FALSE),"")))</f>
        <v/>
      </c>
      <c r="W57" s="256" t="str">
        <f>IF(J57="巻返し",VLOOKUP(F57&amp;K57&amp;M57,製品マスタ!$M$5:$AE$4999,19,FALSE),IF(J57="リード付け","-",IF(J57="スリット",VLOOKUP(F57&amp;K57&amp;Q57,製品マスタ!$N$5:$AE$4999,18,FALSE),"")))</f>
        <v/>
      </c>
      <c r="X57" s="256" t="str">
        <f>IF(D57="","",VLOOKUP(D57,契約台帳!$A$3:$Q$4986,17,FALSE))</f>
        <v/>
      </c>
      <c r="Y57" s="256" t="str">
        <f>IF(D57="","",VLOOKUP(D57,契約台帳!$A$3:$E$4986,5,FALSE))</f>
        <v/>
      </c>
      <c r="Z57" s="54"/>
      <c r="AA57" s="200" t="str">
        <f>IFERROR(VLOOKUP(F57&amp;K57&amp;M57,製品マスタ!$M$5:$AM$4999,27,FALSE),"")</f>
        <v/>
      </c>
      <c r="AB57" s="31"/>
      <c r="AC57" s="184"/>
      <c r="AD57" s="51"/>
      <c r="AE57" s="52"/>
      <c r="AF57" s="41"/>
      <c r="AG57" s="45"/>
      <c r="AH57" s="28"/>
      <c r="AI57" s="28"/>
      <c r="AJ57" s="28"/>
      <c r="AK57" s="28"/>
      <c r="AL57" s="12"/>
      <c r="AM57" s="12"/>
      <c r="AN57" s="12"/>
      <c r="AO57" s="12"/>
      <c r="AP57" s="12"/>
      <c r="AQ57" s="13"/>
      <c r="AR57" s="14"/>
    </row>
    <row r="58" spans="1:44" s="16" customFormat="1" ht="30.95" hidden="1" customHeight="1" x14ac:dyDescent="0.2">
      <c r="A58" s="35"/>
      <c r="B58" s="36"/>
      <c r="C58" s="43"/>
      <c r="D58" s="29"/>
      <c r="E58" s="29"/>
      <c r="F58" s="255" t="str">
        <f>IF(D58="","",VLOOKUP(D58,契約台帳!$A$3:$K$4986,6,FALSE)&amp;VLOOKUP(D58,契約台帳!$A$3:$K$4986,7,FALSE)&amp;VLOOKUP(D58,契約台帳!$A$3:$K$4986,8,FALSE)&amp;VLOOKUP(D58,契約台帳!$A$3:$K$4986,9,FALSE)&amp;VLOOKUP(D58,契約台帳!$A$3:$K$4986,11,FALSE))</f>
        <v/>
      </c>
      <c r="G58" s="256" t="str">
        <f>IF(D58="","",VLOOKUP(F58,製品マスタ!$G$5:$H$4999,2,FALSE))</f>
        <v/>
      </c>
      <c r="H58" s="256" t="str">
        <f>IF(D58="","",VLOOKUP(F58,製品マスタ!$G$5:$K$4999,5,FALSE))</f>
        <v/>
      </c>
      <c r="I58" s="200" t="str">
        <f>IF(D58="","",VLOOKUP(F58,製品マスタ!$G$5:$L$4999,6,FALSE))</f>
        <v/>
      </c>
      <c r="J58" s="30"/>
      <c r="K58" s="200" t="str">
        <f>IF(D58="","",VLOOKUP(D58,契約台帳!$A$3:$L$4986,12,FALSE))</f>
        <v/>
      </c>
      <c r="L58" s="200" t="str">
        <f>IF(D58="","",INDEX(製品マスタ!$Q$5:$Q$4999,MATCH(F58&amp;K58,製品マスタ!$AO$5:$AO$4999,0)))</f>
        <v/>
      </c>
      <c r="M58" s="37"/>
      <c r="N58" s="37"/>
      <c r="O58" s="45"/>
      <c r="P58" s="54"/>
      <c r="Q58" s="260" t="str">
        <f>IF(D58="","",IF(J58="リード付け",M58,VLOOKUP(D58,契約台帳!$A$3:$N$4986,14,FALSE)))</f>
        <v/>
      </c>
      <c r="R58" s="261" t="str">
        <f>IF(D58="","",IF(J58="リード付け",M58,VLOOKUP(D58,契約台帳!$A$3:$O$4986,15,FALSE)))</f>
        <v/>
      </c>
      <c r="S58" s="261" t="str">
        <f>IF(D58="","",IF(J58="リード付け",N58,VLOOKUP(D58,契約台帳!$A$3:$P$4986,16,FALSE)))</f>
        <v/>
      </c>
      <c r="T58" s="38"/>
      <c r="U58" s="261" t="str">
        <f ca="1">IF(D58="","",IF(OFFSET(D58,-2,0)=D58,"",VLOOKUP(D58,契約台帳!$A$3:$R$4986,18,FALSE)))</f>
        <v/>
      </c>
      <c r="V58" s="256" t="str">
        <f>IF(J58="巻返し",VLOOKUP(F58&amp;K58&amp;M58,製品マスタ!$M$5:$AD$4999,18,FALSE),IF(J58="リード付け","原反コア",IF(J58="スリット",VLOOKUP(F58&amp;K58&amp;Q58,製品マスタ!$N$5:$AD$4999,17,FALSE),"")))</f>
        <v/>
      </c>
      <c r="W58" s="256" t="str">
        <f>IF(J58="巻返し",VLOOKUP(F58&amp;K58&amp;M58,製品マスタ!$M$5:$AE$4999,19,FALSE),IF(J58="リード付け","-",IF(J58="スリット",VLOOKUP(F58&amp;K58&amp;Q58,製品マスタ!$N$5:$AE$4999,18,FALSE),"")))</f>
        <v/>
      </c>
      <c r="X58" s="256" t="str">
        <f>IF(D58="","",VLOOKUP(D58,契約台帳!$A$3:$Q$4986,17,FALSE))</f>
        <v/>
      </c>
      <c r="Y58" s="256" t="str">
        <f>IF(D58="","",VLOOKUP(D58,契約台帳!$A$3:$E$4986,5,FALSE))</f>
        <v/>
      </c>
      <c r="Z58" s="54"/>
      <c r="AA58" s="200" t="str">
        <f>IFERROR(VLOOKUP(F58&amp;K58&amp;M58,製品マスタ!$M$5:$AM$4999,27,FALSE),"")</f>
        <v/>
      </c>
      <c r="AB58" s="31"/>
      <c r="AC58" s="184"/>
      <c r="AD58" s="51"/>
      <c r="AE58" s="52"/>
      <c r="AF58" s="41"/>
      <c r="AG58" s="45"/>
      <c r="AH58" s="28"/>
      <c r="AI58" s="28"/>
      <c r="AJ58" s="28"/>
      <c r="AK58" s="28"/>
      <c r="AL58" s="12"/>
      <c r="AM58" s="12"/>
      <c r="AN58" s="12"/>
      <c r="AO58" s="12"/>
      <c r="AP58" s="12"/>
      <c r="AQ58" s="13"/>
      <c r="AR58" s="14"/>
    </row>
    <row r="59" spans="1:44" s="16" customFormat="1" ht="30.95" hidden="1" customHeight="1" x14ac:dyDescent="0.2">
      <c r="A59" s="35" t="s">
        <v>792</v>
      </c>
      <c r="B59" s="36" t="s">
        <v>780</v>
      </c>
      <c r="C59" s="43"/>
      <c r="D59" s="29"/>
      <c r="E59" s="29"/>
      <c r="F59" s="255" t="str">
        <f>IF(D59="","",VLOOKUP(D59,契約台帳!$A$3:$K$4986,6,FALSE)&amp;VLOOKUP(D59,契約台帳!$A$3:$K$4986,7,FALSE)&amp;VLOOKUP(D59,契約台帳!$A$3:$K$4986,8,FALSE)&amp;VLOOKUP(D59,契約台帳!$A$3:$K$4986,9,FALSE)&amp;VLOOKUP(D59,契約台帳!$A$3:$K$4986,11,FALSE))</f>
        <v/>
      </c>
      <c r="G59" s="256" t="str">
        <f>IF(D59="","",VLOOKUP(F59,製品マスタ!$G$5:$H$4999,2,FALSE))</f>
        <v/>
      </c>
      <c r="H59" s="256" t="str">
        <f>IF(D59="","",VLOOKUP(F59,製品マスタ!$G$5:$K$4999,5,FALSE))</f>
        <v/>
      </c>
      <c r="I59" s="200" t="str">
        <f>IF(D59="","",VLOOKUP(F59,製品マスタ!$G$5:$L$4999,6,FALSE))</f>
        <v/>
      </c>
      <c r="J59" s="30"/>
      <c r="K59" s="200" t="str">
        <f>IF(D59="","",VLOOKUP(D59,契約台帳!$A$3:$L$4986,12,FALSE))</f>
        <v/>
      </c>
      <c r="L59" s="200" t="str">
        <f>IF(D59="","",INDEX(製品マスタ!$Q$5:$Q$4999,MATCH(F59&amp;K59,製品マスタ!$AO$5:$AO$4999,0)))</f>
        <v/>
      </c>
      <c r="M59" s="37"/>
      <c r="N59" s="37"/>
      <c r="O59" s="45"/>
      <c r="P59" s="54"/>
      <c r="Q59" s="260" t="str">
        <f>IF(D59="","",IF(J59="リード付け",M59,VLOOKUP(D59,契約台帳!$A$3:$N$4986,14,FALSE)))</f>
        <v/>
      </c>
      <c r="R59" s="261" t="str">
        <f>IF(D59="","",IF(J59="リード付け",M59,VLOOKUP(D59,契約台帳!$A$3:$O$4986,15,FALSE)))</f>
        <v/>
      </c>
      <c r="S59" s="261" t="str">
        <f>IF(D59="","",IF(J59="リード付け",N59,VLOOKUP(D59,契約台帳!$A$3:$P$4986,16,FALSE)))</f>
        <v/>
      </c>
      <c r="T59" s="38"/>
      <c r="U59" s="261" t="str">
        <f ca="1">IF(D59="","",IF(OFFSET(D59,-2,0)=D59,"",VLOOKUP(D59,契約台帳!$A$3:$R$4986,18,FALSE)))</f>
        <v/>
      </c>
      <c r="V59" s="256" t="str">
        <f>IF(J59="巻返し",VLOOKUP(F59&amp;K59&amp;M59,製品マスタ!$M$5:$AD$4999,18,FALSE),IF(J59="リード付け","原反コア",IF(J59="スリット",VLOOKUP(F59&amp;K59&amp;Q59,製品マスタ!$N$5:$AD$4999,17,FALSE),"")))</f>
        <v/>
      </c>
      <c r="W59" s="256" t="str">
        <f>IF(J59="巻返し",VLOOKUP(F59&amp;K59&amp;M59,製品マスタ!$M$5:$AE$4999,19,FALSE),IF(J59="リード付け","-",IF(J59="スリット",VLOOKUP(F59&amp;K59&amp;Q59,製品マスタ!$N$5:$AE$4999,18,FALSE),"")))</f>
        <v/>
      </c>
      <c r="X59" s="256" t="str">
        <f>IF(D59="","",VLOOKUP(D59,契約台帳!$A$3:$Q$4986,17,FALSE))</f>
        <v/>
      </c>
      <c r="Y59" s="256" t="str">
        <f>IF(D59="","",VLOOKUP(D59,契約台帳!$A$3:$E$4986,5,FALSE))</f>
        <v/>
      </c>
      <c r="Z59" s="54"/>
      <c r="AA59" s="200" t="str">
        <f>IFERROR(VLOOKUP(F59&amp;K59&amp;M59,製品マスタ!$M$5:$AM$4999,27,FALSE),"")</f>
        <v/>
      </c>
      <c r="AB59" s="31"/>
      <c r="AC59" s="184"/>
      <c r="AD59" s="51"/>
      <c r="AE59" s="52"/>
      <c r="AF59" s="41"/>
      <c r="AG59" s="45"/>
      <c r="AH59" s="28"/>
      <c r="AI59" s="28"/>
      <c r="AJ59" s="28"/>
      <c r="AK59" s="28"/>
      <c r="AL59" s="12"/>
      <c r="AM59" s="12"/>
      <c r="AN59" s="12"/>
      <c r="AO59" s="12"/>
      <c r="AP59" s="12"/>
      <c r="AQ59" s="13"/>
      <c r="AR59" s="14"/>
    </row>
    <row r="60" spans="1:44" s="16" customFormat="1" ht="30.95" hidden="1" customHeight="1" x14ac:dyDescent="0.2">
      <c r="A60" s="35"/>
      <c r="B60" s="36"/>
      <c r="C60" s="43"/>
      <c r="D60" s="29"/>
      <c r="E60" s="29"/>
      <c r="F60" s="255" t="str">
        <f>IF(D60="","",VLOOKUP(D60,契約台帳!$A$3:$K$4986,6,FALSE)&amp;VLOOKUP(D60,契約台帳!$A$3:$K$4986,7,FALSE)&amp;VLOOKUP(D60,契約台帳!$A$3:$K$4986,8,FALSE)&amp;VLOOKUP(D60,契約台帳!$A$3:$K$4986,9,FALSE)&amp;VLOOKUP(D60,契約台帳!$A$3:$K$4986,11,FALSE))</f>
        <v/>
      </c>
      <c r="G60" s="256" t="str">
        <f>IF(D60="","",VLOOKUP(F60,製品マスタ!$G$5:$H$4999,2,FALSE))</f>
        <v/>
      </c>
      <c r="H60" s="256" t="str">
        <f>IF(D60="","",VLOOKUP(F60,製品マスタ!$G$5:$K$4999,5,FALSE))</f>
        <v/>
      </c>
      <c r="I60" s="200" t="str">
        <f>IF(D60="","",VLOOKUP(F60,製品マスタ!$G$5:$L$4999,6,FALSE))</f>
        <v/>
      </c>
      <c r="J60" s="30"/>
      <c r="K60" s="200" t="str">
        <f>IF(D60="","",VLOOKUP(D60,契約台帳!$A$3:$L$4986,12,FALSE))</f>
        <v/>
      </c>
      <c r="L60" s="200" t="str">
        <f>IF(D60="","",INDEX(製品マスタ!$Q$5:$Q$4999,MATCH(F60&amp;K60,製品マスタ!$AO$5:$AO$4999,0)))</f>
        <v/>
      </c>
      <c r="M60" s="37"/>
      <c r="N60" s="37"/>
      <c r="O60" s="45"/>
      <c r="P60" s="54"/>
      <c r="Q60" s="260" t="str">
        <f>IF(D60="","",IF(J60="リード付け",M60,VLOOKUP(D60,契約台帳!$A$3:$N$4986,14,FALSE)))</f>
        <v/>
      </c>
      <c r="R60" s="261" t="str">
        <f>IF(D60="","",IF(J60="リード付け",M60,VLOOKUP(D60,契約台帳!$A$3:$O$4986,15,FALSE)))</f>
        <v/>
      </c>
      <c r="S60" s="261" t="str">
        <f>IF(D60="","",IF(J60="リード付け",N60,VLOOKUP(D60,契約台帳!$A$3:$P$4986,16,FALSE)))</f>
        <v/>
      </c>
      <c r="T60" s="38"/>
      <c r="U60" s="261" t="str">
        <f ca="1">IF(D60="","",IF(OFFSET(D60,-2,0)=D60,"",VLOOKUP(D60,契約台帳!$A$3:$R$4986,18,FALSE)))</f>
        <v/>
      </c>
      <c r="V60" s="256" t="str">
        <f>IF(J60="巻返し",VLOOKUP(F60&amp;K60&amp;M60,製品マスタ!$M$5:$AD$4999,18,FALSE),IF(J60="リード付け","原反コア",IF(J60="スリット",VLOOKUP(F60&amp;K60&amp;Q60,製品マスタ!$N$5:$AD$4999,17,FALSE),"")))</f>
        <v/>
      </c>
      <c r="W60" s="256" t="str">
        <f>IF(J60="巻返し",VLOOKUP(F60&amp;K60&amp;M60,製品マスタ!$M$5:$AE$4999,19,FALSE),IF(J60="リード付け","-",IF(J60="スリット",VLOOKUP(F60&amp;K60&amp;Q60,製品マスタ!$N$5:$AE$4999,18,FALSE),"")))</f>
        <v/>
      </c>
      <c r="X60" s="256" t="str">
        <f>IF(D60="","",VLOOKUP(D60,契約台帳!$A$3:$Q$4986,17,FALSE))</f>
        <v/>
      </c>
      <c r="Y60" s="256" t="str">
        <f>IF(D60="","",VLOOKUP(D60,契約台帳!$A$3:$E$4986,5,FALSE))</f>
        <v/>
      </c>
      <c r="Z60" s="54"/>
      <c r="AA60" s="200" t="str">
        <f>IFERROR(VLOOKUP(F60&amp;K60&amp;M60,製品マスタ!$M$5:$AM$4999,27,FALSE),"")</f>
        <v/>
      </c>
      <c r="AB60" s="31"/>
      <c r="AC60" s="184"/>
      <c r="AD60" s="51"/>
      <c r="AE60" s="52"/>
      <c r="AF60" s="41"/>
      <c r="AG60" s="45"/>
      <c r="AH60" s="28"/>
      <c r="AI60" s="28"/>
      <c r="AJ60" s="28"/>
      <c r="AK60" s="28"/>
      <c r="AL60" s="12"/>
      <c r="AM60" s="12"/>
      <c r="AN60" s="12"/>
      <c r="AO60" s="12"/>
      <c r="AP60" s="12"/>
      <c r="AQ60" s="13"/>
      <c r="AR60" s="14"/>
    </row>
    <row r="61" spans="1:44" s="16" customFormat="1" ht="30.95" hidden="1" customHeight="1" x14ac:dyDescent="0.2">
      <c r="A61" s="35" t="s">
        <v>781</v>
      </c>
      <c r="B61" s="36"/>
      <c r="C61" s="43"/>
      <c r="D61" s="29">
        <v>3694110</v>
      </c>
      <c r="E61" s="29">
        <v>4151268</v>
      </c>
      <c r="F61" s="255" t="str">
        <f>IF(D61="","",VLOOKUP(D61,契約台帳!$A$3:$K$4986,6,FALSE)&amp;VLOOKUP(D61,契約台帳!$A$3:$K$4986,7,FALSE)&amp;VLOOKUP(D61,契約台帳!$A$3:$K$4986,8,FALSE)&amp;VLOOKUP(D61,契約台帳!$A$3:$K$4986,9,FALSE)&amp;VLOOKUP(D61,契約台帳!$A$3:$K$4986,11,FALSE))</f>
        <v>3SNMLBMNGTBF</v>
      </c>
      <c r="G61" s="256" t="str">
        <f>IF(D61="","",VLOOKUP(F61,製品マスタ!$G$5:$H$4999,2,FALSE))</f>
        <v>S</v>
      </c>
      <c r="H61" s="256" t="str">
        <f>IF(D61="","",VLOOKUP(F61,製品マスタ!$G$5:$K$4999,5,FALSE))</f>
        <v>MNGTBF</v>
      </c>
      <c r="I61" s="200" t="str">
        <f>IF(D61="","",VLOOKUP(F61,製品マスタ!$G$5:$L$4999,6,FALSE))</f>
        <v>メタルミー　ネーマー　銀艶　Ｂ</v>
      </c>
      <c r="J61" s="30" t="s">
        <v>447</v>
      </c>
      <c r="K61" s="200">
        <f>IF(D61="","",VLOOKUP(D61,契約台帳!$A$3:$L$4986,12,FALSE))</f>
        <v>25</v>
      </c>
      <c r="L61" s="200" t="str">
        <f>IF(D61="","",INDEX(製品マスタ!$Q$5:$Q$4999,MATCH(F61&amp;K61,製品マスタ!$AO$5:$AO$4999,0)))</f>
        <v>T62M</v>
      </c>
      <c r="M61" s="37">
        <v>1005</v>
      </c>
      <c r="N61" s="37">
        <v>12100</v>
      </c>
      <c r="O61" s="45">
        <v>4</v>
      </c>
      <c r="P61" s="54">
        <v>44945</v>
      </c>
      <c r="Q61" s="260">
        <f>IF(D61="","",IF(J61="リード付け",M61,VLOOKUP(D61,契約台帳!$A$3:$N$4986,14,FALSE)))</f>
        <v>1005</v>
      </c>
      <c r="R61" s="261">
        <f>IF(D61="","",IF(J61="リード付け",M61,VLOOKUP(D61,契約台帳!$A$3:$O$4986,15,FALSE)))</f>
        <v>1000</v>
      </c>
      <c r="S61" s="261">
        <f>IF(D61="","",IF(J61="リード付け",N61,VLOOKUP(D61,契約台帳!$A$3:$P$4986,16,FALSE)))</f>
        <v>4000</v>
      </c>
      <c r="T61" s="38">
        <v>12</v>
      </c>
      <c r="U61" s="261">
        <f ca="1">IF(D61="","",IF(OFFSET(D61,-2,0)=D61,"",VLOOKUP(D61,契約台帳!$A$3:$R$4986,18,FALSE)))</f>
        <v>15</v>
      </c>
      <c r="V61" s="256" t="str">
        <f>IF(J61="巻返し",VLOOKUP(F61&amp;K61&amp;M61,製品マスタ!$M$5:$AD$4999,18,FALSE),IF(J61="リード付け","原反コア",IF(J61="スリット",VLOOKUP(F61&amp;K61&amp;Q61,製品マスタ!$N$5:$AD$4999,17,FALSE),"")))</f>
        <v>6ｲﾝﾁSｺｱ</v>
      </c>
      <c r="W61" s="256">
        <f>IF(J61="巻返し",VLOOKUP(F61&amp;K61&amp;M61,製品マスタ!$M$5:$AE$4999,19,FALSE),IF(J61="リード付け","-",IF(J61="スリット",VLOOKUP(F61&amp;K61&amp;Q61,製品マスタ!$N$5:$AE$4999,18,FALSE),"")))</f>
        <v>1015</v>
      </c>
      <c r="X61" s="256">
        <f>IF(D61="","",VLOOKUP(D61,契約台帳!$A$3:$Q$4986,17,FALSE))</f>
        <v>2</v>
      </c>
      <c r="Y61" s="256" t="str">
        <f>IF(D61="","",VLOOKUP(D61,契約台帳!$A$3:$E$4986,5,FALSE))</f>
        <v>リンテック㈱</v>
      </c>
      <c r="Z61" s="54">
        <v>44951</v>
      </c>
      <c r="AA61" s="200">
        <f>IFERROR(VLOOKUP(F61&amp;K61&amp;M61,製品マスタ!$M$5:$AM$4999,27,FALSE),"")</f>
        <v>0</v>
      </c>
      <c r="AB61" s="31"/>
      <c r="AC61" s="184"/>
      <c r="AD61" s="51" t="str">
        <f>IF(F61="","",+F61&amp;K61)</f>
        <v>3SNMLBMNGTBF25</v>
      </c>
      <c r="AE61" s="52">
        <f>+M61*N61*O61/1000</f>
        <v>48642</v>
      </c>
      <c r="AF61" s="41">
        <f>IF(AD61="","",VLOOKUP(AD61,原価マスタ!$A$2:$AJ$1693,13,FALSE))</f>
        <v>97.5</v>
      </c>
      <c r="AG61" s="45">
        <f>IF(AF61="","",+AE61*AF61/100)</f>
        <v>47425.95</v>
      </c>
      <c r="AH61" s="28"/>
      <c r="AI61" s="28"/>
      <c r="AJ61" s="28"/>
      <c r="AK61" s="28"/>
      <c r="AL61" s="12"/>
      <c r="AM61" s="12"/>
      <c r="AN61" s="12"/>
      <c r="AO61" s="12"/>
      <c r="AP61" s="12"/>
      <c r="AQ61" s="13"/>
      <c r="AR61" s="14"/>
    </row>
    <row r="62" spans="1:44" s="16" customFormat="1" ht="30.95" hidden="1" customHeight="1" x14ac:dyDescent="0.2">
      <c r="A62" s="35"/>
      <c r="B62" s="36"/>
      <c r="C62" s="43"/>
      <c r="D62" s="29"/>
      <c r="E62" s="29"/>
      <c r="F62" s="255" t="str">
        <f>IF(D62="","",VLOOKUP(D62,契約台帳!$A$3:$K$4986,6,FALSE)&amp;VLOOKUP(D62,契約台帳!$A$3:$K$4986,7,FALSE)&amp;VLOOKUP(D62,契約台帳!$A$3:$K$4986,8,FALSE)&amp;VLOOKUP(D62,契約台帳!$A$3:$K$4986,9,FALSE)&amp;VLOOKUP(D62,契約台帳!$A$3:$K$4986,11,FALSE))</f>
        <v/>
      </c>
      <c r="G62" s="256" t="str">
        <f>IF(D62="","",VLOOKUP(F62,製品マスタ!$G$5:$H$4999,2,FALSE))</f>
        <v/>
      </c>
      <c r="H62" s="256" t="str">
        <f>IF(D62="","",VLOOKUP(F62,製品マスタ!$G$5:$K$4999,5,FALSE))</f>
        <v/>
      </c>
      <c r="I62" s="200" t="str">
        <f>IF(D62="","",VLOOKUP(F62,製品マスタ!$G$5:$L$4999,6,FALSE))</f>
        <v/>
      </c>
      <c r="J62" s="30"/>
      <c r="K62" s="200" t="str">
        <f>IF(D62="","",VLOOKUP(D62,契約台帳!$A$3:$L$4986,12,FALSE))</f>
        <v/>
      </c>
      <c r="L62" s="200" t="str">
        <f>IF(D62="","",INDEX(製品マスタ!$Q$5:$Q$4999,MATCH(F62&amp;K62,製品マスタ!$AO$5:$AO$4999,0)))</f>
        <v/>
      </c>
      <c r="M62" s="37"/>
      <c r="N62" s="37"/>
      <c r="O62" s="45"/>
      <c r="P62" s="54"/>
      <c r="Q62" s="260" t="str">
        <f>IF(D62="","",IF(J62="リード付け",M62,VLOOKUP(D62,契約台帳!$A$3:$N$4986,14,FALSE)))</f>
        <v/>
      </c>
      <c r="R62" s="261" t="str">
        <f>IF(D62="","",IF(J62="リード付け",M62,VLOOKUP(D62,契約台帳!$A$3:$O$4986,15,FALSE)))</f>
        <v/>
      </c>
      <c r="S62" s="261" t="str">
        <f>IF(D62="","",IF(J62="リード付け",N62,VLOOKUP(D62,契約台帳!$A$3:$P$4986,16,FALSE)))</f>
        <v/>
      </c>
      <c r="T62" s="38"/>
      <c r="U62" s="261" t="str">
        <f ca="1">IF(D62="","",IF(OFFSET(D62,-2,0)=D62,"",VLOOKUP(D62,契約台帳!$A$3:$R$4986,18,FALSE)))</f>
        <v/>
      </c>
      <c r="V62" s="256" t="str">
        <f>IF(J62="巻返し",VLOOKUP(F62&amp;K62&amp;M62,製品マスタ!$M$5:$AD$4999,18,FALSE),IF(J62="リード付け","原反コア",IF(J62="スリット",VLOOKUP(F62&amp;K62&amp;Q62,製品マスタ!$N$5:$AD$4999,17,FALSE),"")))</f>
        <v/>
      </c>
      <c r="W62" s="256" t="str">
        <f>IF(J62="巻返し",VLOOKUP(F62&amp;K62&amp;M62,製品マスタ!$M$5:$AE$4999,19,FALSE),IF(J62="リード付け","-",IF(J62="スリット",VLOOKUP(F62&amp;K62&amp;Q62,製品マスタ!$N$5:$AE$4999,18,FALSE),"")))</f>
        <v/>
      </c>
      <c r="X62" s="256" t="str">
        <f>IF(D62="","",VLOOKUP(D62,契約台帳!$A$3:$Q$4986,17,FALSE))</f>
        <v/>
      </c>
      <c r="Y62" s="256" t="str">
        <f>IF(D62="","",VLOOKUP(D62,契約台帳!$A$3:$E$4986,5,FALSE))</f>
        <v/>
      </c>
      <c r="Z62" s="54"/>
      <c r="AA62" s="200" t="str">
        <f>IFERROR(VLOOKUP(F62&amp;K62&amp;M62,製品マスタ!$M$5:$AM$4999,27,FALSE),"")</f>
        <v/>
      </c>
      <c r="AB62" s="31"/>
      <c r="AC62" s="184"/>
      <c r="AD62" s="51"/>
      <c r="AE62" s="52"/>
      <c r="AF62" s="41"/>
      <c r="AG62" s="45"/>
      <c r="AH62" s="28"/>
      <c r="AI62" s="28"/>
      <c r="AJ62" s="28"/>
      <c r="AK62" s="28"/>
      <c r="AL62" s="12"/>
      <c r="AM62" s="12"/>
      <c r="AN62" s="12"/>
      <c r="AO62" s="12"/>
      <c r="AP62" s="12"/>
      <c r="AQ62" s="13"/>
      <c r="AR62" s="14"/>
    </row>
    <row r="63" spans="1:44" s="16" customFormat="1" ht="30.95" hidden="1" customHeight="1" x14ac:dyDescent="0.2">
      <c r="A63" s="35" t="s">
        <v>793</v>
      </c>
      <c r="B63" s="36" t="s">
        <v>783</v>
      </c>
      <c r="C63" s="43"/>
      <c r="D63" s="29"/>
      <c r="E63" s="29"/>
      <c r="F63" s="255" t="str">
        <f>IF(D63="","",VLOOKUP(D63,契約台帳!$A$3:$K$4986,6,FALSE)&amp;VLOOKUP(D63,契約台帳!$A$3:$K$4986,7,FALSE)&amp;VLOOKUP(D63,契約台帳!$A$3:$K$4986,8,FALSE)&amp;VLOOKUP(D63,契約台帳!$A$3:$K$4986,9,FALSE)&amp;VLOOKUP(D63,契約台帳!$A$3:$K$4986,11,FALSE))</f>
        <v/>
      </c>
      <c r="G63" s="256" t="str">
        <f>IF(D63="","",VLOOKUP(F63,製品マスタ!$G$5:$H$4999,2,FALSE))</f>
        <v/>
      </c>
      <c r="H63" s="256" t="str">
        <f>IF(D63="","",VLOOKUP(F63,製品マスタ!$G$5:$K$4999,5,FALSE))</f>
        <v/>
      </c>
      <c r="I63" s="200" t="str">
        <f>IF(D63="","",VLOOKUP(F63,製品マスタ!$G$5:$L$4999,6,FALSE))</f>
        <v/>
      </c>
      <c r="J63" s="30" t="s">
        <v>448</v>
      </c>
      <c r="K63" s="200" t="str">
        <f>IF(D63="","",VLOOKUP(D63,契約台帳!$A$3:$L$4986,12,FALSE))</f>
        <v/>
      </c>
      <c r="L63" s="200" t="str">
        <f>IF(D63="","",INDEX(製品マスタ!$Q$5:$Q$4999,MATCH(F63&amp;K63,製品マスタ!$AO$5:$AO$4999,0)))</f>
        <v/>
      </c>
      <c r="M63" s="37"/>
      <c r="N63" s="37"/>
      <c r="O63" s="45"/>
      <c r="P63" s="54"/>
      <c r="Q63" s="260" t="str">
        <f>IF(D63="","",IF(J63="リード付け",M63,VLOOKUP(D63,契約台帳!$A$3:$N$4986,14,FALSE)))</f>
        <v/>
      </c>
      <c r="R63" s="261" t="str">
        <f>IF(D63="","",IF(J63="リード付け",M63,VLOOKUP(D63,契約台帳!$A$3:$O$4986,15,FALSE)))</f>
        <v/>
      </c>
      <c r="S63" s="261" t="str">
        <f>IF(D63="","",IF(J63="リード付け",N63,VLOOKUP(D63,契約台帳!$A$3:$P$4986,16,FALSE)))</f>
        <v/>
      </c>
      <c r="T63" s="38"/>
      <c r="U63" s="261" t="str">
        <f ca="1">IF(D63="","",IF(OFFSET(D63,-2,0)=D63,"",VLOOKUP(D63,契約台帳!$A$3:$R$4986,18,FALSE)))</f>
        <v/>
      </c>
      <c r="V63" s="256" t="str">
        <f>IF(J63="巻返し",VLOOKUP(F63&amp;K63&amp;M63,製品マスタ!$M$5:$AD$4999,18,FALSE),IF(J63="リード付け","原反コア",IF(J63="スリット",VLOOKUP(F63&amp;K63&amp;Q63,製品マスタ!$N$5:$AD$4999,17,FALSE),"")))</f>
        <v/>
      </c>
      <c r="W63" s="256" t="str">
        <f>IF(J63="巻返し",VLOOKUP(F63&amp;K63&amp;M63,製品マスタ!$M$5:$AE$4999,19,FALSE),IF(J63="リード付け","-",IF(J63="スリット",VLOOKUP(F63&amp;K63&amp;Q63,製品マスタ!$N$5:$AE$4999,18,FALSE),"")))</f>
        <v/>
      </c>
      <c r="X63" s="256" t="str">
        <f>IF(D63="","",VLOOKUP(D63,契約台帳!$A$3:$Q$4986,17,FALSE))</f>
        <v/>
      </c>
      <c r="Y63" s="256" t="str">
        <f>IF(D63="","",VLOOKUP(D63,契約台帳!$A$3:$E$4986,5,FALSE))</f>
        <v/>
      </c>
      <c r="Z63" s="54"/>
      <c r="AA63" s="200" t="str">
        <f>IFERROR(VLOOKUP(F63&amp;K63&amp;M63,製品マスタ!$M$5:$AM$4999,27,FALSE),"")</f>
        <v/>
      </c>
      <c r="AB63" s="31"/>
      <c r="AC63" s="184"/>
      <c r="AD63" s="51"/>
      <c r="AE63" s="52"/>
      <c r="AF63" s="41"/>
      <c r="AG63" s="45"/>
      <c r="AH63" s="28"/>
      <c r="AI63" s="28"/>
      <c r="AJ63" s="28"/>
      <c r="AK63" s="28"/>
      <c r="AL63" s="12"/>
      <c r="AM63" s="12"/>
      <c r="AN63" s="12"/>
      <c r="AO63" s="12"/>
      <c r="AP63" s="12"/>
      <c r="AQ63" s="13"/>
      <c r="AR63" s="14"/>
    </row>
    <row r="64" spans="1:44" s="16" customFormat="1" ht="30.95" hidden="1" customHeight="1" x14ac:dyDescent="0.2">
      <c r="A64" s="35"/>
      <c r="B64" s="36"/>
      <c r="C64" s="43"/>
      <c r="D64" s="29"/>
      <c r="E64" s="29"/>
      <c r="F64" s="255" t="str">
        <f>IF(D64="","",VLOOKUP(D64,契約台帳!$A$3:$K$4986,6,FALSE)&amp;VLOOKUP(D64,契約台帳!$A$3:$K$4986,7,FALSE)&amp;VLOOKUP(D64,契約台帳!$A$3:$K$4986,8,FALSE)&amp;VLOOKUP(D64,契約台帳!$A$3:$K$4986,9,FALSE)&amp;VLOOKUP(D64,契約台帳!$A$3:$K$4986,11,FALSE))</f>
        <v/>
      </c>
      <c r="G64" s="256" t="str">
        <f>IF(D64="","",VLOOKUP(F64,製品マスタ!$G$5:$H$4999,2,FALSE))</f>
        <v/>
      </c>
      <c r="H64" s="256" t="str">
        <f>IF(D64="","",VLOOKUP(F64,製品マスタ!$G$5:$K$4999,5,FALSE))</f>
        <v/>
      </c>
      <c r="I64" s="200" t="str">
        <f>IF(D64="","",VLOOKUP(F64,製品マスタ!$G$5:$L$4999,6,FALSE))</f>
        <v/>
      </c>
      <c r="J64" s="30"/>
      <c r="K64" s="200" t="str">
        <f>IF(D64="","",VLOOKUP(D64,契約台帳!$A$3:$L$4986,12,FALSE))</f>
        <v/>
      </c>
      <c r="L64" s="200" t="str">
        <f>IF(D64="","",INDEX(製品マスタ!$Q$5:$Q$4999,MATCH(F64&amp;K64,製品マスタ!$AO$5:$AO$4999,0)))</f>
        <v/>
      </c>
      <c r="M64" s="37"/>
      <c r="N64" s="37"/>
      <c r="O64" s="45"/>
      <c r="P64" s="54"/>
      <c r="Q64" s="260" t="str">
        <f>IF(D64="","",IF(J64="リード付け",M64,VLOOKUP(D64,契約台帳!$A$3:$N$4986,14,FALSE)))</f>
        <v/>
      </c>
      <c r="R64" s="261" t="str">
        <f>IF(D64="","",IF(J64="リード付け",M64,VLOOKUP(D64,契約台帳!$A$3:$O$4986,15,FALSE)))</f>
        <v/>
      </c>
      <c r="S64" s="261" t="str">
        <f>IF(D64="","",IF(J64="リード付け",N64,VLOOKUP(D64,契約台帳!$A$3:$P$4986,16,FALSE)))</f>
        <v/>
      </c>
      <c r="T64" s="38"/>
      <c r="U64" s="261" t="str">
        <f ca="1">IF(D64="","",IF(OFFSET(D64,-2,0)=D64,"",VLOOKUP(D64,契約台帳!$A$3:$R$4986,18,FALSE)))</f>
        <v/>
      </c>
      <c r="V64" s="256" t="str">
        <f>IF(J64="巻返し",VLOOKUP(F64&amp;K64&amp;M64,製品マスタ!$M$5:$AD$4999,18,FALSE),IF(J64="リード付け","原反コア",IF(J64="スリット",VLOOKUP(F64&amp;K64&amp;Q64,製品マスタ!$N$5:$AD$4999,17,FALSE),"")))</f>
        <v/>
      </c>
      <c r="W64" s="256" t="str">
        <f>IF(J64="巻返し",VLOOKUP(F64&amp;K64&amp;M64,製品マスタ!$M$5:$AE$4999,19,FALSE),IF(J64="リード付け","-",IF(J64="スリット",VLOOKUP(F64&amp;K64&amp;Q64,製品マスタ!$N$5:$AE$4999,18,FALSE),"")))</f>
        <v/>
      </c>
      <c r="X64" s="256" t="str">
        <f>IF(D64="","",VLOOKUP(D64,契約台帳!$A$3:$Q$4986,17,FALSE))</f>
        <v/>
      </c>
      <c r="Y64" s="256" t="str">
        <f>IF(D64="","",VLOOKUP(D64,契約台帳!$A$3:$E$4986,5,FALSE))</f>
        <v/>
      </c>
      <c r="Z64" s="54"/>
      <c r="AA64" s="200" t="str">
        <f>IFERROR(VLOOKUP(F64&amp;K64&amp;M64,製品マスタ!$M$5:$AM$4999,27,FALSE),"")</f>
        <v/>
      </c>
      <c r="AB64" s="31"/>
      <c r="AC64" s="184"/>
      <c r="AD64" s="51"/>
      <c r="AE64" s="52"/>
      <c r="AF64" s="41"/>
      <c r="AG64" s="45"/>
      <c r="AH64" s="28"/>
      <c r="AI64" s="28"/>
      <c r="AJ64" s="28"/>
      <c r="AK64" s="28"/>
      <c r="AL64" s="12"/>
      <c r="AM64" s="12"/>
      <c r="AN64" s="12"/>
      <c r="AO64" s="12"/>
      <c r="AP64" s="12"/>
      <c r="AQ64" s="13"/>
      <c r="AR64" s="14"/>
    </row>
    <row r="65" spans="1:44" s="16" customFormat="1" ht="30.95" hidden="1" customHeight="1" x14ac:dyDescent="0.2">
      <c r="A65" s="35" t="s">
        <v>794</v>
      </c>
      <c r="B65" s="36" t="s">
        <v>785</v>
      </c>
      <c r="C65" s="43"/>
      <c r="D65" s="29"/>
      <c r="E65" s="29"/>
      <c r="F65" s="255" t="str">
        <f>IF(D65="","",VLOOKUP(D65,契約台帳!$A$3:$K$4986,6,FALSE)&amp;VLOOKUP(D65,契約台帳!$A$3:$K$4986,7,FALSE)&amp;VLOOKUP(D65,契約台帳!$A$3:$K$4986,8,FALSE)&amp;VLOOKUP(D65,契約台帳!$A$3:$K$4986,9,FALSE)&amp;VLOOKUP(D65,契約台帳!$A$3:$K$4986,11,FALSE))</f>
        <v/>
      </c>
      <c r="G65" s="256" t="str">
        <f>IF(D65="","",VLOOKUP(F65,製品マスタ!$G$5:$H$4999,2,FALSE))</f>
        <v/>
      </c>
      <c r="H65" s="256" t="str">
        <f>IF(D65="","",VLOOKUP(F65,製品マスタ!$G$5:$K$4999,5,FALSE))</f>
        <v/>
      </c>
      <c r="I65" s="200" t="str">
        <f>IF(D65="","",VLOOKUP(F65,製品マスタ!$G$5:$L$4999,6,FALSE))</f>
        <v/>
      </c>
      <c r="J65" s="30" t="s">
        <v>448</v>
      </c>
      <c r="K65" s="200" t="str">
        <f>IF(D65="","",VLOOKUP(D65,契約台帳!$A$3:$L$4986,12,FALSE))</f>
        <v/>
      </c>
      <c r="L65" s="200" t="str">
        <f>IF(D65="","",INDEX(製品マスタ!$Q$5:$Q$4999,MATCH(F65&amp;K65,製品マスタ!$AO$5:$AO$4999,0)))</f>
        <v/>
      </c>
      <c r="M65" s="37"/>
      <c r="N65" s="37"/>
      <c r="O65" s="45"/>
      <c r="P65" s="54"/>
      <c r="Q65" s="260" t="str">
        <f>IF(D65="","",IF(J65="リード付け",M65,VLOOKUP(D65,契約台帳!$A$3:$N$4986,14,FALSE)))</f>
        <v/>
      </c>
      <c r="R65" s="261" t="str">
        <f>IF(D65="","",IF(J65="リード付け",M65,VLOOKUP(D65,契約台帳!$A$3:$O$4986,15,FALSE)))</f>
        <v/>
      </c>
      <c r="S65" s="261" t="str">
        <f>IF(D65="","",IF(J65="リード付け",N65,VLOOKUP(D65,契約台帳!$A$3:$P$4986,16,FALSE)))</f>
        <v/>
      </c>
      <c r="T65" s="38"/>
      <c r="U65" s="261" t="str">
        <f ca="1">IF(D65="","",IF(OFFSET(D65,-2,0)=D65,"",VLOOKUP(D65,契約台帳!$A$3:$R$4986,18,FALSE)))</f>
        <v/>
      </c>
      <c r="V65" s="256" t="str">
        <f>IF(J65="巻返し",VLOOKUP(F65&amp;K65&amp;M65,製品マスタ!$M$5:$AD$4999,18,FALSE),IF(J65="リード付け","原反コア",IF(J65="スリット",VLOOKUP(F65&amp;K65&amp;Q65,製品マスタ!$N$5:$AD$4999,17,FALSE),"")))</f>
        <v/>
      </c>
      <c r="W65" s="256" t="str">
        <f>IF(J65="巻返し",VLOOKUP(F65&amp;K65&amp;M65,製品マスタ!$M$5:$AE$4999,19,FALSE),IF(J65="リード付け","-",IF(J65="スリット",VLOOKUP(F65&amp;K65&amp;Q65,製品マスタ!$N$5:$AE$4999,18,FALSE),"")))</f>
        <v/>
      </c>
      <c r="X65" s="256" t="str">
        <f>IF(D65="","",VLOOKUP(D65,契約台帳!$A$3:$Q$4986,17,FALSE))</f>
        <v/>
      </c>
      <c r="Y65" s="256" t="str">
        <f>IF(D65="","",VLOOKUP(D65,契約台帳!$A$3:$E$4986,5,FALSE))</f>
        <v/>
      </c>
      <c r="Z65" s="54"/>
      <c r="AA65" s="200" t="str">
        <f>IFERROR(VLOOKUP(F65&amp;K65&amp;M65,製品マスタ!$M$5:$AM$4999,27,FALSE),"")</f>
        <v/>
      </c>
      <c r="AB65" s="31"/>
      <c r="AC65" s="184"/>
      <c r="AD65" s="51"/>
      <c r="AE65" s="52"/>
      <c r="AF65" s="41"/>
      <c r="AG65" s="45"/>
      <c r="AH65" s="28"/>
      <c r="AI65" s="28"/>
      <c r="AJ65" s="28"/>
      <c r="AK65" s="28"/>
      <c r="AL65" s="12"/>
      <c r="AM65" s="12"/>
      <c r="AN65" s="12"/>
      <c r="AO65" s="12"/>
      <c r="AP65" s="12"/>
      <c r="AQ65" s="13"/>
      <c r="AR65" s="14"/>
    </row>
    <row r="66" spans="1:44" s="16" customFormat="1" ht="30.95" hidden="1" customHeight="1" x14ac:dyDescent="0.2">
      <c r="A66" s="35"/>
      <c r="B66" s="36"/>
      <c r="C66" s="43"/>
      <c r="D66" s="29"/>
      <c r="E66" s="29"/>
      <c r="F66" s="255" t="str">
        <f>IF(D66="","",VLOOKUP(D66,契約台帳!$A$3:$K$4986,6,FALSE)&amp;VLOOKUP(D66,契約台帳!$A$3:$K$4986,7,FALSE)&amp;VLOOKUP(D66,契約台帳!$A$3:$K$4986,8,FALSE)&amp;VLOOKUP(D66,契約台帳!$A$3:$K$4986,9,FALSE)&amp;VLOOKUP(D66,契約台帳!$A$3:$K$4986,11,FALSE))</f>
        <v/>
      </c>
      <c r="G66" s="256" t="str">
        <f>IF(D66="","",VLOOKUP(F66,製品マスタ!$G$5:$H$4999,2,FALSE))</f>
        <v/>
      </c>
      <c r="H66" s="256" t="str">
        <f>IF(D66="","",VLOOKUP(F66,製品マスタ!$G$5:$K$4999,5,FALSE))</f>
        <v/>
      </c>
      <c r="I66" s="200" t="str">
        <f>IF(D66="","",VLOOKUP(F66,製品マスタ!$G$5:$L$4999,6,FALSE))</f>
        <v/>
      </c>
      <c r="J66" s="30"/>
      <c r="K66" s="200" t="str">
        <f>IF(D66="","",VLOOKUP(D66,契約台帳!$A$3:$L$4986,12,FALSE))</f>
        <v/>
      </c>
      <c r="L66" s="200" t="str">
        <f>IF(D66="","",INDEX(製品マスタ!$Q$5:$Q$4999,MATCH(F66&amp;K66,製品マスタ!$AO$5:$AO$4999,0)))</f>
        <v/>
      </c>
      <c r="M66" s="37"/>
      <c r="N66" s="37"/>
      <c r="O66" s="45"/>
      <c r="P66" s="54"/>
      <c r="Q66" s="260" t="str">
        <f>IF(D66="","",IF(J66="リード付け",M66,VLOOKUP(D66,契約台帳!$A$3:$N$4986,14,FALSE)))</f>
        <v/>
      </c>
      <c r="R66" s="261" t="str">
        <f>IF(D66="","",IF(J66="リード付け",M66,VLOOKUP(D66,契約台帳!$A$3:$O$4986,15,FALSE)))</f>
        <v/>
      </c>
      <c r="S66" s="261" t="str">
        <f>IF(D66="","",IF(J66="リード付け",N66,VLOOKUP(D66,契約台帳!$A$3:$P$4986,16,FALSE)))</f>
        <v/>
      </c>
      <c r="T66" s="38"/>
      <c r="U66" s="261" t="str">
        <f ca="1">IF(D66="","",IF(OFFSET(D66,-2,0)=D66,"",VLOOKUP(D66,契約台帳!$A$3:$R$4986,18,FALSE)))</f>
        <v/>
      </c>
      <c r="V66" s="256" t="str">
        <f>IF(J66="巻返し",VLOOKUP(F66&amp;K66&amp;M66,製品マスタ!$M$5:$AD$4999,18,FALSE),IF(J66="リード付け","原反コア",IF(J66="スリット",VLOOKUP(F66&amp;K66&amp;Q66,製品マスタ!$N$5:$AD$4999,17,FALSE),"")))</f>
        <v/>
      </c>
      <c r="W66" s="256" t="str">
        <f>IF(J66="巻返し",VLOOKUP(F66&amp;K66&amp;M66,製品マスタ!$M$5:$AE$4999,19,FALSE),IF(J66="リード付け","-",IF(J66="スリット",VLOOKUP(F66&amp;K66&amp;Q66,製品マスタ!$N$5:$AE$4999,18,FALSE),"")))</f>
        <v/>
      </c>
      <c r="X66" s="256" t="str">
        <f>IF(D66="","",VLOOKUP(D66,契約台帳!$A$3:$Q$4986,17,FALSE))</f>
        <v/>
      </c>
      <c r="Y66" s="256" t="str">
        <f>IF(D66="","",VLOOKUP(D66,契約台帳!$A$3:$E$4986,5,FALSE))</f>
        <v/>
      </c>
      <c r="Z66" s="54"/>
      <c r="AA66" s="200" t="str">
        <f>IFERROR(VLOOKUP(F66&amp;K66&amp;M66,製品マスタ!$M$5:$AM$4999,27,FALSE),"")</f>
        <v/>
      </c>
      <c r="AB66" s="31"/>
      <c r="AC66" s="184"/>
      <c r="AD66" s="51"/>
      <c r="AE66" s="52"/>
      <c r="AF66" s="41"/>
      <c r="AG66" s="45"/>
      <c r="AH66" s="28"/>
      <c r="AI66" s="28"/>
      <c r="AJ66" s="28"/>
      <c r="AK66" s="28"/>
      <c r="AL66" s="12"/>
      <c r="AM66" s="12"/>
      <c r="AN66" s="12"/>
      <c r="AO66" s="12"/>
      <c r="AP66" s="12"/>
      <c r="AQ66" s="13"/>
      <c r="AR66" s="14"/>
    </row>
    <row r="67" spans="1:44" s="16" customFormat="1" ht="30.95" hidden="1" customHeight="1" x14ac:dyDescent="0.2">
      <c r="A67" s="35" t="s">
        <v>795</v>
      </c>
      <c r="B67" s="36" t="s">
        <v>787</v>
      </c>
      <c r="C67" s="43"/>
      <c r="D67" s="29">
        <v>3694110</v>
      </c>
      <c r="E67" s="29">
        <v>4151268</v>
      </c>
      <c r="F67" s="255" t="str">
        <f>IF(D67="","",VLOOKUP(D67,契約台帳!$A$3:$K$4986,6,FALSE)&amp;VLOOKUP(D67,契約台帳!$A$3:$K$4986,7,FALSE)&amp;VLOOKUP(D67,契約台帳!$A$3:$K$4986,8,FALSE)&amp;VLOOKUP(D67,契約台帳!$A$3:$K$4986,9,FALSE)&amp;VLOOKUP(D67,契約台帳!$A$3:$K$4986,11,FALSE))</f>
        <v>3SNMLBMNGTBF</v>
      </c>
      <c r="G67" s="256" t="str">
        <f>IF(D67="","",VLOOKUP(F67,製品マスタ!$G$5:$H$4999,2,FALSE))</f>
        <v>S</v>
      </c>
      <c r="H67" s="256" t="str">
        <f>IF(D67="","",VLOOKUP(F67,製品マスタ!$G$5:$K$4999,5,FALSE))</f>
        <v>MNGTBF</v>
      </c>
      <c r="I67" s="200" t="str">
        <f>IF(D67="","",VLOOKUP(F67,製品マスタ!$G$5:$L$4999,6,FALSE))</f>
        <v>メタルミー　ネーマー　銀艶　Ｂ</v>
      </c>
      <c r="J67" s="30" t="s">
        <v>447</v>
      </c>
      <c r="K67" s="200">
        <f>IF(D67="","",VLOOKUP(D67,契約台帳!$A$3:$L$4986,12,FALSE))</f>
        <v>25</v>
      </c>
      <c r="L67" s="200" t="str">
        <f>IF(D67="","",INDEX(製品マスタ!$Q$5:$Q$4999,MATCH(F67&amp;K67,製品マスタ!$AO$5:$AO$4999,0)))</f>
        <v>T62M</v>
      </c>
      <c r="M67" s="37">
        <v>1005</v>
      </c>
      <c r="N67" s="37">
        <v>12100</v>
      </c>
      <c r="O67" s="45">
        <v>1</v>
      </c>
      <c r="P67" s="54">
        <v>44945</v>
      </c>
      <c r="Q67" s="260">
        <f>IF(D67="","",IF(J67="リード付け",M67,VLOOKUP(D67,契約台帳!$A$3:$N$4986,14,FALSE)))</f>
        <v>1005</v>
      </c>
      <c r="R67" s="261">
        <f>IF(D67="","",IF(J67="リード付け",M67,VLOOKUP(D67,契約台帳!$A$3:$O$4986,15,FALSE)))</f>
        <v>1000</v>
      </c>
      <c r="S67" s="261">
        <f>IF(D67="","",IF(J67="リード付け",N67,VLOOKUP(D67,契約台帳!$A$3:$P$4986,16,FALSE)))</f>
        <v>4000</v>
      </c>
      <c r="T67" s="38">
        <v>3</v>
      </c>
      <c r="U67" s="261">
        <f ca="1">IF(D67="","",IF(OFFSET(D67,-2,0)=D67,"",VLOOKUP(D67,契約台帳!$A$3:$R$4986,18,FALSE)))</f>
        <v>15</v>
      </c>
      <c r="V67" s="256" t="str">
        <f>IF(J67="巻返し",VLOOKUP(F67&amp;K67&amp;M67,製品マスタ!$M$5:$AD$4999,18,FALSE),IF(J67="リード付け","原反コア",IF(J67="スリット",VLOOKUP(F67&amp;K67&amp;Q67,製品マスタ!$N$5:$AD$4999,17,FALSE),"")))</f>
        <v>6ｲﾝﾁSｺｱ</v>
      </c>
      <c r="W67" s="256">
        <f>IF(J67="巻返し",VLOOKUP(F67&amp;K67&amp;M67,製品マスタ!$M$5:$AE$4999,19,FALSE),IF(J67="リード付け","-",IF(J67="スリット",VLOOKUP(F67&amp;K67&amp;Q67,製品マスタ!$N$5:$AE$4999,18,FALSE),"")))</f>
        <v>1015</v>
      </c>
      <c r="X67" s="256">
        <f>IF(D67="","",VLOOKUP(D67,契約台帳!$A$3:$Q$4986,17,FALSE))</f>
        <v>2</v>
      </c>
      <c r="Y67" s="256" t="str">
        <f>IF(D67="","",VLOOKUP(D67,契約台帳!$A$3:$E$4986,5,FALSE))</f>
        <v>リンテック㈱</v>
      </c>
      <c r="Z67" s="54">
        <v>44952</v>
      </c>
      <c r="AA67" s="200">
        <f>IFERROR(VLOOKUP(F67&amp;K67&amp;M67,製品マスタ!$M$5:$AM$4999,27,FALSE),"")</f>
        <v>0</v>
      </c>
      <c r="AB67" s="31"/>
      <c r="AC67" s="184"/>
      <c r="AD67" s="51" t="str">
        <f>IF(F67="","",+F67&amp;K67)</f>
        <v>3SNMLBMNGTBF25</v>
      </c>
      <c r="AE67" s="52">
        <f>+M67*N67*O67/1000</f>
        <v>12160.5</v>
      </c>
      <c r="AF67" s="41">
        <f>IF(AD67="","",VLOOKUP(AD67,原価マスタ!$A$2:$AJ$1693,13,FALSE))</f>
        <v>97.5</v>
      </c>
      <c r="AG67" s="45">
        <f>IF(AF67="","",+AE67*AF67/100)</f>
        <v>11856.487499999999</v>
      </c>
      <c r="AH67" s="28"/>
      <c r="AI67" s="28"/>
      <c r="AJ67" s="28"/>
      <c r="AK67" s="28"/>
      <c r="AL67" s="12"/>
      <c r="AM67" s="12"/>
      <c r="AN67" s="12"/>
      <c r="AO67" s="12"/>
      <c r="AP67" s="12"/>
      <c r="AQ67" s="13"/>
      <c r="AR67" s="14"/>
    </row>
    <row r="68" spans="1:44" s="16" customFormat="1" ht="30.95" hidden="1" customHeight="1" x14ac:dyDescent="0.2">
      <c r="A68" s="35"/>
      <c r="B68" s="36"/>
      <c r="C68" s="43"/>
      <c r="D68" s="29"/>
      <c r="E68" s="29"/>
      <c r="F68" s="255" t="str">
        <f>IF(D68="","",VLOOKUP(D68,契約台帳!$A$3:$K$4986,6,FALSE)&amp;VLOOKUP(D68,契約台帳!$A$3:$K$4986,7,FALSE)&amp;VLOOKUP(D68,契約台帳!$A$3:$K$4986,8,FALSE)&amp;VLOOKUP(D68,契約台帳!$A$3:$K$4986,9,FALSE)&amp;VLOOKUP(D68,契約台帳!$A$3:$K$4986,11,FALSE))</f>
        <v/>
      </c>
      <c r="G68" s="256" t="str">
        <f>IF(D68="","",VLOOKUP(F68,製品マスタ!$G$5:$H$4999,2,FALSE))</f>
        <v/>
      </c>
      <c r="H68" s="256" t="str">
        <f>IF(D68="","",VLOOKUP(F68,製品マスタ!$G$5:$K$4999,5,FALSE))</f>
        <v/>
      </c>
      <c r="I68" s="200" t="str">
        <f>IF(D68="","",VLOOKUP(F68,製品マスタ!$G$5:$L$4999,6,FALSE))</f>
        <v/>
      </c>
      <c r="J68" s="30"/>
      <c r="K68" s="200" t="str">
        <f>IF(D68="","",VLOOKUP(D68,契約台帳!$A$3:$L$4986,12,FALSE))</f>
        <v/>
      </c>
      <c r="L68" s="200" t="str">
        <f>IF(D68="","",INDEX(製品マスタ!$Q$5:$Q$4999,MATCH(F68&amp;K68,製品マスタ!$AO$5:$AO$4999,0)))</f>
        <v/>
      </c>
      <c r="M68" s="37"/>
      <c r="N68" s="37"/>
      <c r="O68" s="45"/>
      <c r="P68" s="54"/>
      <c r="Q68" s="260" t="str">
        <f>IF(D68="","",IF(J68="リード付け",M68,VLOOKUP(D68,契約台帳!$A$3:$N$4986,14,FALSE)))</f>
        <v/>
      </c>
      <c r="R68" s="261" t="str">
        <f>IF(D68="","",IF(J68="リード付け",M68,VLOOKUP(D68,契約台帳!$A$3:$O$4986,15,FALSE)))</f>
        <v/>
      </c>
      <c r="S68" s="261" t="str">
        <f>IF(D68="","",IF(J68="リード付け",N68,VLOOKUP(D68,契約台帳!$A$3:$P$4986,16,FALSE)))</f>
        <v/>
      </c>
      <c r="T68" s="38"/>
      <c r="U68" s="261" t="str">
        <f ca="1">IF(D68="","",IF(OFFSET(D68,-2,0)=D68,"",VLOOKUP(D68,契約台帳!$A$3:$R$4986,18,FALSE)))</f>
        <v/>
      </c>
      <c r="V68" s="256" t="str">
        <f>IF(J68="巻返し",VLOOKUP(F68&amp;K68&amp;M68,製品マスタ!$M$5:$AD$4999,18,FALSE),IF(J68="リード付け","原反コア",IF(J68="スリット",VLOOKUP(F68&amp;K68&amp;Q68,製品マスタ!$N$5:$AD$4999,17,FALSE),"")))</f>
        <v/>
      </c>
      <c r="W68" s="256" t="str">
        <f>IF(J68="巻返し",VLOOKUP(F68&amp;K68&amp;M68,製品マスタ!$M$5:$AE$4999,19,FALSE),IF(J68="リード付け","-",IF(J68="スリット",VLOOKUP(F68&amp;K68&amp;Q68,製品マスタ!$N$5:$AE$4999,18,FALSE),"")))</f>
        <v/>
      </c>
      <c r="X68" s="256" t="str">
        <f>IF(D68="","",VLOOKUP(D68,契約台帳!$A$3:$Q$4986,17,FALSE))</f>
        <v/>
      </c>
      <c r="Y68" s="256" t="str">
        <f>IF(D68="","",VLOOKUP(D68,契約台帳!$A$3:$E$4986,5,FALSE))</f>
        <v/>
      </c>
      <c r="Z68" s="54"/>
      <c r="AA68" s="200" t="str">
        <f>IFERROR(VLOOKUP(F68&amp;K68&amp;M68,製品マスタ!$M$5:$AM$4999,27,FALSE),"")</f>
        <v/>
      </c>
      <c r="AB68" s="31"/>
      <c r="AC68" s="184"/>
      <c r="AD68" s="51"/>
      <c r="AE68" s="52"/>
      <c r="AF68" s="41"/>
      <c r="AG68" s="45"/>
      <c r="AH68" s="28"/>
      <c r="AI68" s="28"/>
      <c r="AJ68" s="28"/>
      <c r="AK68" s="28"/>
      <c r="AL68" s="12"/>
      <c r="AM68" s="12"/>
      <c r="AN68" s="12"/>
      <c r="AO68" s="12"/>
      <c r="AP68" s="12"/>
      <c r="AQ68" s="13"/>
      <c r="AR68" s="14"/>
    </row>
    <row r="69" spans="1:44" s="16" customFormat="1" ht="30.95" hidden="1" customHeight="1" x14ac:dyDescent="0.2">
      <c r="A69" s="35"/>
      <c r="B69" s="36"/>
      <c r="C69" s="43"/>
      <c r="D69" s="29">
        <v>3694119</v>
      </c>
      <c r="E69" s="29">
        <v>4151272</v>
      </c>
      <c r="F69" s="255" t="str">
        <f>IF(D69="","",VLOOKUP(D69,契約台帳!$A$3:$K$4986,6,FALSE)&amp;VLOOKUP(D69,契約台帳!$A$3:$K$4986,7,FALSE)&amp;VLOOKUP(D69,契約台帳!$A$3:$K$4986,8,FALSE)&amp;VLOOKUP(D69,契約台帳!$A$3:$K$4986,9,FALSE)&amp;VLOOKUP(D69,契約台帳!$A$3:$K$4986,11,FALSE))</f>
        <v>3SNMLBMNQR66F</v>
      </c>
      <c r="G69" s="256" t="str">
        <f>IF(D69="","",VLOOKUP(F69,製品マスタ!$G$5:$H$4999,2,FALSE))</f>
        <v>S</v>
      </c>
      <c r="H69" s="256" t="str">
        <f>IF(D69="","",VLOOKUP(F69,製品マスタ!$G$5:$K$4999,5,FALSE))</f>
        <v>MNQR66F</v>
      </c>
      <c r="I69" s="200" t="str">
        <f>IF(D69="","",VLOOKUP(F69,製品マスタ!$G$5:$L$4999,6,FALSE))</f>
        <v>ＱＲ６６蒸着品</v>
      </c>
      <c r="J69" s="30" t="s">
        <v>447</v>
      </c>
      <c r="K69" s="200">
        <f>IF(D69="","",VLOOKUP(D69,契約台帳!$A$3:$L$4986,12,FALSE))</f>
        <v>25</v>
      </c>
      <c r="L69" s="200" t="str">
        <f>IF(D69="","",INDEX(製品マスタ!$Q$5:$Q$4999,MATCH(F69&amp;K69,製品マスタ!$AO$5:$AO$4999,0)))</f>
        <v>E315</v>
      </c>
      <c r="M69" s="37">
        <v>1000</v>
      </c>
      <c r="N69" s="37">
        <v>18000</v>
      </c>
      <c r="O69" s="45">
        <v>1</v>
      </c>
      <c r="P69" s="54">
        <v>44946</v>
      </c>
      <c r="Q69" s="260">
        <f>IF(D69="","",IF(J69="リード付け",M69,VLOOKUP(D69,契約台帳!$A$3:$N$4986,14,FALSE)))</f>
        <v>1000</v>
      </c>
      <c r="R69" s="261">
        <f>IF(D69="","",IF(J69="リード付け",M69,VLOOKUP(D69,契約台帳!$A$3:$O$4986,15,FALSE)))</f>
        <v>1000</v>
      </c>
      <c r="S69" s="261">
        <f>IF(D69="","",IF(J69="リード付け",N69,VLOOKUP(D69,契約台帳!$A$3:$P$4986,16,FALSE)))</f>
        <v>6000</v>
      </c>
      <c r="T69" s="38">
        <v>3</v>
      </c>
      <c r="U69" s="261">
        <f ca="1">IF(D69="","",IF(OFFSET(D69,-2,0)=D69,"",VLOOKUP(D69,契約台帳!$A$3:$R$4986,18,FALSE)))</f>
        <v>8</v>
      </c>
      <c r="V69" s="256" t="str">
        <f>IF(J69="巻返し",VLOOKUP(F69&amp;K69&amp;M69,製品マスタ!$M$5:$AD$4999,18,FALSE),IF(J69="リード付け","原反コア",IF(J69="スリット",VLOOKUP(F69&amp;K69&amp;Q69,製品マスタ!$N$5:$AD$4999,17,FALSE),"")))</f>
        <v>6ｲﾝﾁMｺｱ</v>
      </c>
      <c r="W69" s="256">
        <f>IF(J69="巻返し",VLOOKUP(F69&amp;K69&amp;M69,製品マスタ!$M$5:$AE$4999,19,FALSE),IF(J69="リード付け","-",IF(J69="スリット",VLOOKUP(F69&amp;K69&amp;Q69,製品マスタ!$N$5:$AE$4999,18,FALSE),"")))</f>
        <v>1010</v>
      </c>
      <c r="X69" s="256">
        <f>IF(D69="","",VLOOKUP(D69,契約台帳!$A$3:$Q$4986,17,FALSE))</f>
        <v>2</v>
      </c>
      <c r="Y69" s="256" t="str">
        <f>IF(D69="","",VLOOKUP(D69,契約台帳!$A$3:$E$4986,5,FALSE))</f>
        <v>リンテック㈱</v>
      </c>
      <c r="Z69" s="54">
        <v>44952</v>
      </c>
      <c r="AA69" s="200" t="str">
        <f>IFERROR(VLOOKUP(F69&amp;K69&amp;M69,製品マスタ!$M$5:$AM$4999,27,FALSE),"")</f>
        <v>原反ケース再利用</v>
      </c>
      <c r="AB69" s="31"/>
      <c r="AC69" s="184"/>
      <c r="AD69" s="51" t="str">
        <f>IF(F69="","",+F69&amp;K69)</f>
        <v>3SNMLBMNQR66F25</v>
      </c>
      <c r="AE69" s="52">
        <f>+M69*N69*O69/1000</f>
        <v>18000</v>
      </c>
      <c r="AF69" s="41">
        <f>IF(AD69="","",VLOOKUP(AD69,原価マスタ!$A$2:$AJ$1693,13,FALSE))</f>
        <v>98</v>
      </c>
      <c r="AG69" s="45">
        <f>IF(AF69="","",+AE69*AF69/100)</f>
        <v>17640</v>
      </c>
      <c r="AH69" s="28"/>
      <c r="AI69" s="28"/>
      <c r="AJ69" s="28"/>
      <c r="AK69" s="28"/>
      <c r="AL69" s="12"/>
      <c r="AM69" s="12"/>
      <c r="AN69" s="12"/>
      <c r="AO69" s="12"/>
      <c r="AP69" s="12"/>
      <c r="AQ69" s="13"/>
      <c r="AR69" s="14"/>
    </row>
    <row r="70" spans="1:44" s="16" customFormat="1" ht="30.95" hidden="1" customHeight="1" x14ac:dyDescent="0.2">
      <c r="A70" s="35"/>
      <c r="B70" s="36"/>
      <c r="C70" s="43"/>
      <c r="D70" s="29"/>
      <c r="E70" s="29"/>
      <c r="F70" s="255" t="str">
        <f>IF(D70="","",VLOOKUP(D70,契約台帳!$A$3:$K$4986,6,FALSE)&amp;VLOOKUP(D70,契約台帳!$A$3:$K$4986,7,FALSE)&amp;VLOOKUP(D70,契約台帳!$A$3:$K$4986,8,FALSE)&amp;VLOOKUP(D70,契約台帳!$A$3:$K$4986,9,FALSE)&amp;VLOOKUP(D70,契約台帳!$A$3:$K$4986,11,FALSE))</f>
        <v/>
      </c>
      <c r="G70" s="256" t="str">
        <f>IF(D70="","",VLOOKUP(F70,製品マスタ!$G$5:$H$4999,2,FALSE))</f>
        <v/>
      </c>
      <c r="H70" s="256" t="str">
        <f>IF(D70="","",VLOOKUP(F70,製品マスタ!$G$5:$K$4999,5,FALSE))</f>
        <v/>
      </c>
      <c r="I70" s="200" t="str">
        <f>IF(D70="","",VLOOKUP(F70,製品マスタ!$G$5:$L$4999,6,FALSE))</f>
        <v/>
      </c>
      <c r="J70" s="30"/>
      <c r="K70" s="200" t="str">
        <f>IF(D70="","",VLOOKUP(D70,契約台帳!$A$3:$L$4986,12,FALSE))</f>
        <v/>
      </c>
      <c r="L70" s="200" t="str">
        <f>IF(D70="","",INDEX(製品マスタ!$Q$5:$Q$4999,MATCH(F70&amp;K70,製品マスタ!$AO$5:$AO$4999,0)))</f>
        <v/>
      </c>
      <c r="M70" s="37"/>
      <c r="N70" s="37"/>
      <c r="O70" s="45"/>
      <c r="P70" s="54"/>
      <c r="Q70" s="260" t="str">
        <f>IF(D70="","",IF(J70="リード付け",M70,VLOOKUP(D70,契約台帳!$A$3:$N$4986,14,FALSE)))</f>
        <v/>
      </c>
      <c r="R70" s="261" t="str">
        <f>IF(D70="","",IF(J70="リード付け",M70,VLOOKUP(D70,契約台帳!$A$3:$O$4986,15,FALSE)))</f>
        <v/>
      </c>
      <c r="S70" s="261" t="str">
        <f>IF(D70="","",IF(J70="リード付け",N70,VLOOKUP(D70,契約台帳!$A$3:$P$4986,16,FALSE)))</f>
        <v/>
      </c>
      <c r="T70" s="38"/>
      <c r="U70" s="261" t="str">
        <f ca="1">IF(D70="","",IF(OFFSET(D70,-2,0)=D70,"",VLOOKUP(D70,契約台帳!$A$3:$R$4986,18,FALSE)))</f>
        <v/>
      </c>
      <c r="V70" s="256" t="str">
        <f>IF(J70="巻返し",VLOOKUP(F70&amp;K70&amp;M70,製品マスタ!$M$5:$AD$4999,18,FALSE),IF(J70="リード付け","原反コア",IF(J70="スリット",VLOOKUP(F70&amp;K70&amp;Q70,製品マスタ!$N$5:$AD$4999,17,FALSE),"")))</f>
        <v/>
      </c>
      <c r="W70" s="256" t="str">
        <f>IF(J70="巻返し",VLOOKUP(F70&amp;K70&amp;M70,製品マスタ!$M$5:$AE$4999,19,FALSE),IF(J70="リード付け","-",IF(J70="スリット",VLOOKUP(F70&amp;K70&amp;Q70,製品マスタ!$N$5:$AE$4999,18,FALSE),"")))</f>
        <v/>
      </c>
      <c r="X70" s="256" t="str">
        <f>IF(D70="","",VLOOKUP(D70,契約台帳!$A$3:$Q$4986,17,FALSE))</f>
        <v/>
      </c>
      <c r="Y70" s="256" t="str">
        <f>IF(D70="","",VLOOKUP(D70,契約台帳!$A$3:$E$4986,5,FALSE))</f>
        <v/>
      </c>
      <c r="Z70" s="54"/>
      <c r="AA70" s="200" t="str">
        <f>IFERROR(VLOOKUP(F70&amp;K70&amp;M70,製品マスタ!$M$5:$AM$4999,27,FALSE),"")</f>
        <v/>
      </c>
      <c r="AB70" s="31"/>
      <c r="AC70" s="184"/>
      <c r="AD70" s="51"/>
      <c r="AE70" s="52"/>
      <c r="AF70" s="41"/>
      <c r="AG70" s="45"/>
      <c r="AH70" s="28"/>
      <c r="AI70" s="28"/>
      <c r="AJ70" s="28"/>
      <c r="AK70" s="28"/>
      <c r="AL70" s="12"/>
      <c r="AM70" s="12"/>
      <c r="AN70" s="12"/>
      <c r="AO70" s="12"/>
      <c r="AP70" s="12"/>
      <c r="AQ70" s="13"/>
      <c r="AR70" s="14"/>
    </row>
    <row r="71" spans="1:44" s="16" customFormat="1" ht="30.95" hidden="1" customHeight="1" x14ac:dyDescent="0.2">
      <c r="A71" s="35"/>
      <c r="B71" s="36"/>
      <c r="C71" s="43"/>
      <c r="D71" s="29">
        <v>3694119</v>
      </c>
      <c r="E71" s="29">
        <v>4151272</v>
      </c>
      <c r="F71" s="255" t="str">
        <f>IF(D71="","",VLOOKUP(D71,契約台帳!$A$3:$K$4986,6,FALSE)&amp;VLOOKUP(D71,契約台帳!$A$3:$K$4986,7,FALSE)&amp;VLOOKUP(D71,契約台帳!$A$3:$K$4986,8,FALSE)&amp;VLOOKUP(D71,契約台帳!$A$3:$K$4986,9,FALSE)&amp;VLOOKUP(D71,契約台帳!$A$3:$K$4986,11,FALSE))</f>
        <v>3SNMLBMNQR66F</v>
      </c>
      <c r="G71" s="256" t="str">
        <f>IF(D71="","",VLOOKUP(F71,製品マスタ!$G$5:$H$4999,2,FALSE))</f>
        <v>S</v>
      </c>
      <c r="H71" s="256" t="str">
        <f>IF(D71="","",VLOOKUP(F71,製品マスタ!$G$5:$K$4999,5,FALSE))</f>
        <v>MNQR66F</v>
      </c>
      <c r="I71" s="200" t="str">
        <f>IF(D71="","",VLOOKUP(F71,製品マスタ!$G$5:$L$4999,6,FALSE))</f>
        <v>ＱＲ６６蒸着品</v>
      </c>
      <c r="J71" s="30" t="s">
        <v>447</v>
      </c>
      <c r="K71" s="200">
        <f>IF(D71="","",VLOOKUP(D71,契約台帳!$A$3:$L$4986,12,FALSE))</f>
        <v>25</v>
      </c>
      <c r="L71" s="200" t="str">
        <f>IF(D71="","",INDEX(製品マスタ!$Q$5:$Q$4999,MATCH(F71&amp;K71,製品マスタ!$AO$5:$AO$4999,0)))</f>
        <v>E315</v>
      </c>
      <c r="M71" s="37">
        <v>1000</v>
      </c>
      <c r="N71" s="37">
        <v>12000</v>
      </c>
      <c r="O71" s="45">
        <v>2</v>
      </c>
      <c r="P71" s="54">
        <v>44946</v>
      </c>
      <c r="Q71" s="260">
        <f>IF(D71="","",IF(J71="リード付け",M71,VLOOKUP(D71,契約台帳!$A$3:$N$4986,14,FALSE)))</f>
        <v>1000</v>
      </c>
      <c r="R71" s="261">
        <f>IF(D71="","",IF(J71="リード付け",M71,VLOOKUP(D71,契約台帳!$A$3:$O$4986,15,FALSE)))</f>
        <v>1000</v>
      </c>
      <c r="S71" s="261">
        <f>IF(D71="","",IF(J71="リード付け",N71,VLOOKUP(D71,契約台帳!$A$3:$P$4986,16,FALSE)))</f>
        <v>6000</v>
      </c>
      <c r="T71" s="38">
        <v>4</v>
      </c>
      <c r="U71" s="261" t="str">
        <f ca="1">IF(D71="","",IF(OFFSET(D71,-2,0)=D71,"",VLOOKUP(D71,契約台帳!$A$3:$R$4986,18,FALSE)))</f>
        <v/>
      </c>
      <c r="V71" s="256" t="str">
        <f>IF(J71="巻返し",VLOOKUP(F71&amp;K71&amp;M71,製品マスタ!$M$5:$AD$4999,18,FALSE),IF(J71="リード付け","原反コア",IF(J71="スリット",VLOOKUP(F71&amp;K71&amp;Q71,製品マスタ!$N$5:$AD$4999,17,FALSE),"")))</f>
        <v>6ｲﾝﾁMｺｱ</v>
      </c>
      <c r="W71" s="256">
        <f>IF(J71="巻返し",VLOOKUP(F71&amp;K71&amp;M71,製品マスタ!$M$5:$AE$4999,19,FALSE),IF(J71="リード付け","-",IF(J71="スリット",VLOOKUP(F71&amp;K71&amp;Q71,製品マスタ!$N$5:$AE$4999,18,FALSE),"")))</f>
        <v>1010</v>
      </c>
      <c r="X71" s="256">
        <f>IF(D71="","",VLOOKUP(D71,契約台帳!$A$3:$Q$4986,17,FALSE))</f>
        <v>2</v>
      </c>
      <c r="Y71" s="256" t="str">
        <f>IF(D71="","",VLOOKUP(D71,契約台帳!$A$3:$E$4986,5,FALSE))</f>
        <v>リンテック㈱</v>
      </c>
      <c r="Z71" s="54">
        <v>44952</v>
      </c>
      <c r="AA71" s="200" t="str">
        <f>IFERROR(VLOOKUP(F71&amp;K71&amp;M71,製品マスタ!$M$5:$AM$4999,27,FALSE),"")</f>
        <v>原反ケース再利用</v>
      </c>
      <c r="AB71" s="31"/>
      <c r="AC71" s="184"/>
      <c r="AD71" s="51" t="str">
        <f>IF(F71="","",+F71&amp;K71)</f>
        <v>3SNMLBMNQR66F25</v>
      </c>
      <c r="AE71" s="52">
        <f>+M71*N71*O71/1000</f>
        <v>24000</v>
      </c>
      <c r="AF71" s="41">
        <f>IF(AD71="","",VLOOKUP(AD71,原価マスタ!$A$2:$AJ$1693,13,FALSE))</f>
        <v>98</v>
      </c>
      <c r="AG71" s="45">
        <f>IF(AF71="","",+AE71*AF71/100)</f>
        <v>23520</v>
      </c>
      <c r="AH71" s="28"/>
      <c r="AI71" s="28"/>
      <c r="AJ71" s="28"/>
      <c r="AK71" s="28"/>
      <c r="AL71" s="12"/>
      <c r="AM71" s="12"/>
      <c r="AN71" s="12"/>
      <c r="AO71" s="12"/>
      <c r="AP71" s="12"/>
      <c r="AQ71" s="13"/>
      <c r="AR71" s="14"/>
    </row>
    <row r="72" spans="1:44" s="16" customFormat="1" ht="30.95" hidden="1" customHeight="1" x14ac:dyDescent="0.2">
      <c r="A72" s="35"/>
      <c r="B72" s="36"/>
      <c r="C72" s="43"/>
      <c r="D72" s="29"/>
      <c r="E72" s="29"/>
      <c r="F72" s="255" t="str">
        <f>IF(D72="","",VLOOKUP(D72,契約台帳!$A$3:$K$4986,6,FALSE)&amp;VLOOKUP(D72,契約台帳!$A$3:$K$4986,7,FALSE)&amp;VLOOKUP(D72,契約台帳!$A$3:$K$4986,8,FALSE)&amp;VLOOKUP(D72,契約台帳!$A$3:$K$4986,9,FALSE)&amp;VLOOKUP(D72,契約台帳!$A$3:$K$4986,11,FALSE))</f>
        <v/>
      </c>
      <c r="G72" s="256" t="str">
        <f>IF(D72="","",VLOOKUP(F72,製品マスタ!$G$5:$H$4999,2,FALSE))</f>
        <v/>
      </c>
      <c r="H72" s="256" t="str">
        <f>IF(D72="","",VLOOKUP(F72,製品マスタ!$G$5:$K$4999,5,FALSE))</f>
        <v/>
      </c>
      <c r="I72" s="200" t="str">
        <f>IF(D72="","",VLOOKUP(F72,製品マスタ!$G$5:$L$4999,6,FALSE))</f>
        <v/>
      </c>
      <c r="J72" s="30"/>
      <c r="K72" s="200" t="str">
        <f>IF(D72="","",VLOOKUP(D72,契約台帳!$A$3:$L$4986,12,FALSE))</f>
        <v/>
      </c>
      <c r="L72" s="200" t="str">
        <f>IF(D72="","",INDEX(製品マスタ!$Q$5:$Q$4999,MATCH(F72&amp;K72,製品マスタ!$AO$5:$AO$4999,0)))</f>
        <v/>
      </c>
      <c r="M72" s="37"/>
      <c r="N72" s="37"/>
      <c r="O72" s="45"/>
      <c r="P72" s="54"/>
      <c r="Q72" s="260" t="str">
        <f>IF(D72="","",IF(J72="リード付け",M72,VLOOKUP(D72,契約台帳!$A$3:$N$4986,14,FALSE)))</f>
        <v/>
      </c>
      <c r="R72" s="261" t="str">
        <f>IF(D72="","",IF(J72="リード付け",M72,VLOOKUP(D72,契約台帳!$A$3:$O$4986,15,FALSE)))</f>
        <v/>
      </c>
      <c r="S72" s="261" t="str">
        <f>IF(D72="","",IF(J72="リード付け",N72,VLOOKUP(D72,契約台帳!$A$3:$P$4986,16,FALSE)))</f>
        <v/>
      </c>
      <c r="T72" s="38"/>
      <c r="U72" s="261" t="str">
        <f ca="1">IF(D72="","",IF(OFFSET(D72,-2,0)=D72,"",VLOOKUP(D72,契約台帳!$A$3:$R$4986,18,FALSE)))</f>
        <v/>
      </c>
      <c r="V72" s="256" t="str">
        <f>IF(J72="巻返し",VLOOKUP(F72&amp;K72&amp;M72,製品マスタ!$M$5:$AD$4999,18,FALSE),IF(J72="リード付け","原反コア",IF(J72="スリット",VLOOKUP(F72&amp;K72&amp;Q72,製品マスタ!$N$5:$AD$4999,17,FALSE),"")))</f>
        <v/>
      </c>
      <c r="W72" s="256" t="str">
        <f>IF(J72="巻返し",VLOOKUP(F72&amp;K72&amp;M72,製品マスタ!$M$5:$AE$4999,19,FALSE),IF(J72="リード付け","-",IF(J72="スリット",VLOOKUP(F72&amp;K72&amp;Q72,製品マスタ!$N$5:$AE$4999,18,FALSE),"")))</f>
        <v/>
      </c>
      <c r="X72" s="256" t="str">
        <f>IF(D72="","",VLOOKUP(D72,契約台帳!$A$3:$Q$4986,17,FALSE))</f>
        <v/>
      </c>
      <c r="Y72" s="256" t="str">
        <f>IF(D72="","",VLOOKUP(D72,契約台帳!$A$3:$E$4986,5,FALSE))</f>
        <v/>
      </c>
      <c r="Z72" s="54"/>
      <c r="AA72" s="200" t="str">
        <f>IFERROR(VLOOKUP(F72&amp;K72&amp;M72,製品マスタ!$M$5:$AM$4999,27,FALSE),"")</f>
        <v/>
      </c>
      <c r="AB72" s="31"/>
      <c r="AC72" s="184"/>
      <c r="AD72" s="51"/>
      <c r="AE72" s="52"/>
      <c r="AF72" s="41"/>
      <c r="AG72" s="45"/>
      <c r="AH72" s="28"/>
      <c r="AI72" s="28"/>
      <c r="AJ72" s="28"/>
      <c r="AK72" s="28"/>
      <c r="AL72" s="12"/>
      <c r="AM72" s="12"/>
      <c r="AN72" s="12"/>
      <c r="AO72" s="12"/>
      <c r="AP72" s="12"/>
      <c r="AQ72" s="13"/>
      <c r="AR72" s="14"/>
    </row>
    <row r="73" spans="1:44" s="16" customFormat="1" ht="30.95" hidden="1" customHeight="1" x14ac:dyDescent="0.2">
      <c r="A73" s="35"/>
      <c r="B73" s="36"/>
      <c r="C73" s="43"/>
      <c r="D73" s="29">
        <v>3694106</v>
      </c>
      <c r="E73" s="29">
        <v>4151254</v>
      </c>
      <c r="F73" s="255" t="str">
        <f>IF(D73="","",VLOOKUP(D73,契約台帳!$A$3:$K$4986,6,FALSE)&amp;VLOOKUP(D73,契約台帳!$A$3:$K$4986,7,FALSE)&amp;VLOOKUP(D73,契約台帳!$A$3:$K$4986,8,FALSE)&amp;VLOOKUP(D73,契約台帳!$A$3:$K$4986,9,FALSE)&amp;VLOOKUP(D73,契約台帳!$A$3:$K$4986,11,FALSE))</f>
        <v>3SNMLBMNGKBF</v>
      </c>
      <c r="G73" s="256" t="str">
        <f>IF(D73="","",VLOOKUP(F73,製品マスタ!$G$5:$H$4999,2,FALSE))</f>
        <v>S</v>
      </c>
      <c r="H73" s="256" t="str">
        <f>IF(D73="","",VLOOKUP(F73,製品マスタ!$G$5:$K$4999,5,FALSE))</f>
        <v>MNGKBF</v>
      </c>
      <c r="I73" s="200" t="str">
        <f>IF(D73="","",VLOOKUP(F73,製品マスタ!$G$5:$L$4999,6,FALSE))</f>
        <v>メタルミー　ネーマー銀消　Ｂ</v>
      </c>
      <c r="J73" s="30" t="s">
        <v>447</v>
      </c>
      <c r="K73" s="200">
        <f>IF(D73="","",VLOOKUP(D73,契約台帳!$A$3:$L$4986,12,FALSE))</f>
        <v>50</v>
      </c>
      <c r="L73" s="200" t="str">
        <f>IF(D73="","",INDEX(製品マスタ!$Q$5:$Q$4999,MATCH(F73&amp;K73,製品マスタ!$AO$5:$AO$4999,0)))</f>
        <v>MAT</v>
      </c>
      <c r="M73" s="37">
        <v>1050</v>
      </c>
      <c r="N73" s="37">
        <v>12300</v>
      </c>
      <c r="O73" s="45">
        <v>1</v>
      </c>
      <c r="P73" s="54">
        <v>44946</v>
      </c>
      <c r="Q73" s="260">
        <f>IF(D73="","",IF(J73="リード付け",M73,VLOOKUP(D73,契約台帳!$A$3:$N$4986,14,FALSE)))</f>
        <v>1050</v>
      </c>
      <c r="R73" s="261">
        <f>IF(D73="","",IF(J73="リード付け",M73,VLOOKUP(D73,契約台帳!$A$3:$O$4986,15,FALSE)))</f>
        <v>1050</v>
      </c>
      <c r="S73" s="261">
        <f>IF(D73="","",IF(J73="リード付け",N73,VLOOKUP(D73,契約台帳!$A$3:$P$4986,16,FALSE)))</f>
        <v>4100</v>
      </c>
      <c r="T73" s="38">
        <v>3</v>
      </c>
      <c r="U73" s="261">
        <f ca="1">IF(D73="","",IF(OFFSET(D73,-2,0)=D73,"",VLOOKUP(D73,契約台帳!$A$3:$R$4986,18,FALSE)))</f>
        <v>3</v>
      </c>
      <c r="V73" s="256" t="str">
        <f>IF(J73="巻返し",VLOOKUP(F73&amp;K73&amp;M73,製品マスタ!$M$5:$AD$4999,18,FALSE),IF(J73="リード付け","原反コア",IF(J73="スリット",VLOOKUP(F73&amp;K73&amp;Q73,製品マスタ!$N$5:$AD$4999,17,FALSE),"")))</f>
        <v>6ｲﾝﾁSｺｱ</v>
      </c>
      <c r="W73" s="256">
        <f>IF(J73="巻返し",VLOOKUP(F73&amp;K73&amp;M73,製品マスタ!$M$5:$AE$4999,19,FALSE),IF(J73="リード付け","-",IF(J73="スリット",VLOOKUP(F73&amp;K73&amp;Q73,製品マスタ!$N$5:$AE$4999,18,FALSE),"")))</f>
        <v>1055</v>
      </c>
      <c r="X73" s="256">
        <f>IF(D73="","",VLOOKUP(D73,契約台帳!$A$3:$Q$4986,17,FALSE))</f>
        <v>2</v>
      </c>
      <c r="Y73" s="256" t="str">
        <f>IF(D73="","",VLOOKUP(D73,契約台帳!$A$3:$E$4986,5,FALSE))</f>
        <v>リンテック㈱</v>
      </c>
      <c r="Z73" s="54">
        <v>44952</v>
      </c>
      <c r="AA73" s="200">
        <f>IFERROR(VLOOKUP(F73&amp;K73&amp;M73,製品マスタ!$M$5:$AM$4999,27,FALSE),"")</f>
        <v>0</v>
      </c>
      <c r="AB73" s="31"/>
      <c r="AC73" s="184"/>
      <c r="AD73" s="51" t="str">
        <f>IF(F73="","",+F73&amp;K73)</f>
        <v>3SNMLBMNGKBF50</v>
      </c>
      <c r="AE73" s="52">
        <f>+M73*N73*O73/1000</f>
        <v>12915</v>
      </c>
      <c r="AF73" s="41">
        <f>IF(AD73="","",VLOOKUP(AD73,原価マスタ!$A$2:$AJ$1693,13,FALSE))</f>
        <v>98</v>
      </c>
      <c r="AG73" s="45">
        <f>IF(AF73="","",+AE73*AF73/100)</f>
        <v>12656.7</v>
      </c>
      <c r="AH73" s="28"/>
      <c r="AI73" s="28"/>
      <c r="AJ73" s="28"/>
      <c r="AK73" s="28"/>
      <c r="AL73" s="12"/>
      <c r="AM73" s="12"/>
      <c r="AN73" s="12"/>
      <c r="AO73" s="12"/>
      <c r="AP73" s="12"/>
      <c r="AQ73" s="13"/>
      <c r="AR73" s="14"/>
    </row>
    <row r="74" spans="1:44" s="16" customFormat="1" ht="30.95" hidden="1" customHeight="1" x14ac:dyDescent="0.2">
      <c r="A74" s="35"/>
      <c r="B74" s="36"/>
      <c r="C74" s="43"/>
      <c r="D74" s="29"/>
      <c r="E74" s="29"/>
      <c r="F74" s="255" t="str">
        <f>IF(D74="","",VLOOKUP(D74,契約台帳!$A$3:$K$4986,6,FALSE)&amp;VLOOKUP(D74,契約台帳!$A$3:$K$4986,7,FALSE)&amp;VLOOKUP(D74,契約台帳!$A$3:$K$4986,8,FALSE)&amp;VLOOKUP(D74,契約台帳!$A$3:$K$4986,9,FALSE)&amp;VLOOKUP(D74,契約台帳!$A$3:$K$4986,11,FALSE))</f>
        <v/>
      </c>
      <c r="G74" s="256" t="str">
        <f>IF(D74="","",VLOOKUP(F74,製品マスタ!$G$5:$H$4999,2,FALSE))</f>
        <v/>
      </c>
      <c r="H74" s="256" t="str">
        <f>IF(D74="","",VLOOKUP(F74,製品マスタ!$G$5:$K$4999,5,FALSE))</f>
        <v/>
      </c>
      <c r="I74" s="200" t="str">
        <f>IF(D74="","",VLOOKUP(F74,製品マスタ!$G$5:$L$4999,6,FALSE))</f>
        <v/>
      </c>
      <c r="J74" s="30"/>
      <c r="K74" s="200" t="str">
        <f>IF(D74="","",VLOOKUP(D74,契約台帳!$A$3:$L$4986,12,FALSE))</f>
        <v/>
      </c>
      <c r="L74" s="200" t="str">
        <f>IF(D74="","",INDEX(製品マスタ!$Q$5:$Q$4999,MATCH(F74&amp;K74,製品マスタ!$AO$5:$AO$4999,0)))</f>
        <v/>
      </c>
      <c r="M74" s="37"/>
      <c r="N74" s="37"/>
      <c r="O74" s="45"/>
      <c r="P74" s="54"/>
      <c r="Q74" s="260" t="str">
        <f>IF(D74="","",IF(J74="リード付け",M74,VLOOKUP(D74,契約台帳!$A$3:$N$4986,14,FALSE)))</f>
        <v/>
      </c>
      <c r="R74" s="261" t="str">
        <f>IF(D74="","",IF(J74="リード付け",M74,VLOOKUP(D74,契約台帳!$A$3:$O$4986,15,FALSE)))</f>
        <v/>
      </c>
      <c r="S74" s="261" t="str">
        <f>IF(D74="","",IF(J74="リード付け",N74,VLOOKUP(D74,契約台帳!$A$3:$P$4986,16,FALSE)))</f>
        <v/>
      </c>
      <c r="T74" s="38"/>
      <c r="U74" s="261" t="str">
        <f ca="1">IF(D74="","",IF(OFFSET(D74,-2,0)=D74,"",VLOOKUP(D74,契約台帳!$A$3:$R$4986,18,FALSE)))</f>
        <v/>
      </c>
      <c r="V74" s="256" t="str">
        <f>IF(J74="巻返し",VLOOKUP(F74&amp;K74&amp;M74,製品マスタ!$M$5:$AD$4999,18,FALSE),IF(J74="リード付け","原反コア",IF(J74="スリット",VLOOKUP(F74&amp;K74&amp;Q74,製品マスタ!$N$5:$AD$4999,17,FALSE),"")))</f>
        <v/>
      </c>
      <c r="W74" s="256" t="str">
        <f>IF(J74="巻返し",VLOOKUP(F74&amp;K74&amp;M74,製品マスタ!$M$5:$AE$4999,19,FALSE),IF(J74="リード付け","-",IF(J74="スリット",VLOOKUP(F74&amp;K74&amp;Q74,製品マスタ!$N$5:$AE$4999,18,FALSE),"")))</f>
        <v/>
      </c>
      <c r="X74" s="256" t="str">
        <f>IF(D74="","",VLOOKUP(D74,契約台帳!$A$3:$Q$4986,17,FALSE))</f>
        <v/>
      </c>
      <c r="Y74" s="256" t="str">
        <f>IF(D74="","",VLOOKUP(D74,契約台帳!$A$3:$E$4986,5,FALSE))</f>
        <v/>
      </c>
      <c r="Z74" s="54"/>
      <c r="AA74" s="200" t="str">
        <f>IFERROR(VLOOKUP(F74&amp;K74&amp;M74,製品マスタ!$M$5:$AM$4999,27,FALSE),"")</f>
        <v/>
      </c>
      <c r="AB74" s="31"/>
      <c r="AC74" s="184"/>
      <c r="AD74" s="51"/>
      <c r="AE74" s="52"/>
      <c r="AF74" s="41"/>
      <c r="AG74" s="45"/>
      <c r="AH74" s="28"/>
      <c r="AI74" s="28"/>
      <c r="AJ74" s="28"/>
      <c r="AK74" s="28"/>
      <c r="AL74" s="12"/>
      <c r="AM74" s="12"/>
      <c r="AN74" s="12"/>
      <c r="AO74" s="12"/>
      <c r="AP74" s="12"/>
      <c r="AQ74" s="13"/>
      <c r="AR74" s="14"/>
    </row>
    <row r="75" spans="1:44" s="16" customFormat="1" ht="30.95" hidden="1" customHeight="1" x14ac:dyDescent="0.2">
      <c r="A75" s="35"/>
      <c r="B75" s="36"/>
      <c r="C75" s="43"/>
      <c r="D75" s="29">
        <v>3694105</v>
      </c>
      <c r="E75" s="29">
        <v>4151253</v>
      </c>
      <c r="F75" s="255" t="str">
        <f>IF(D75="","",VLOOKUP(D75,契約台帳!$A$3:$K$4986,6,FALSE)&amp;VLOOKUP(D75,契約台帳!$A$3:$K$4986,7,FALSE)&amp;VLOOKUP(D75,契約台帳!$A$3:$K$4986,8,FALSE)&amp;VLOOKUP(D75,契約台帳!$A$3:$K$4986,9,FALSE)&amp;VLOOKUP(D75,契約台帳!$A$3:$K$4986,11,FALSE))</f>
        <v>3SNMLBMNGKBF</v>
      </c>
      <c r="G75" s="256" t="str">
        <f>IF(D75="","",VLOOKUP(F75,製品マスタ!$G$5:$H$4999,2,FALSE))</f>
        <v>S</v>
      </c>
      <c r="H75" s="256" t="str">
        <f>IF(D75="","",VLOOKUP(F75,製品マスタ!$G$5:$K$4999,5,FALSE))</f>
        <v>MNGKBF</v>
      </c>
      <c r="I75" s="200" t="str">
        <f>IF(D75="","",VLOOKUP(F75,製品マスタ!$G$5:$L$4999,6,FALSE))</f>
        <v>メタルミー　ネーマー銀消　Ｂ</v>
      </c>
      <c r="J75" s="30" t="s">
        <v>447</v>
      </c>
      <c r="K75" s="200">
        <f>IF(D75="","",VLOOKUP(D75,契約台帳!$A$3:$L$4986,12,FALSE))</f>
        <v>38</v>
      </c>
      <c r="L75" s="200" t="str">
        <f>IF(D75="","",INDEX(製品マスタ!$Q$5:$Q$4999,MATCH(F75&amp;K75,製品マスタ!$AO$5:$AO$4999,0)))</f>
        <v>LUMIMAT</v>
      </c>
      <c r="M75" s="37">
        <v>1005</v>
      </c>
      <c r="N75" s="37">
        <v>12300</v>
      </c>
      <c r="O75" s="45">
        <v>1</v>
      </c>
      <c r="P75" s="54">
        <v>44946</v>
      </c>
      <c r="Q75" s="260">
        <f>IF(D75="","",IF(J75="リード付け",M75,VLOOKUP(D75,契約台帳!$A$3:$N$4986,14,FALSE)))</f>
        <v>1005</v>
      </c>
      <c r="R75" s="261">
        <f>IF(D75="","",IF(J75="リード付け",M75,VLOOKUP(D75,契約台帳!$A$3:$O$4986,15,FALSE)))</f>
        <v>1000</v>
      </c>
      <c r="S75" s="261">
        <f>IF(D75="","",IF(J75="リード付け",N75,VLOOKUP(D75,契約台帳!$A$3:$P$4986,16,FALSE)))</f>
        <v>4000</v>
      </c>
      <c r="T75" s="38">
        <v>3</v>
      </c>
      <c r="U75" s="261">
        <f ca="1">IF(D75="","",IF(OFFSET(D75,-2,0)=D75,"",VLOOKUP(D75,契約台帳!$A$3:$R$4986,18,FALSE)))</f>
        <v>3</v>
      </c>
      <c r="V75" s="256" t="str">
        <f>IF(J75="巻返し",VLOOKUP(F75&amp;K75&amp;M75,製品マスタ!$M$5:$AD$4999,18,FALSE),IF(J75="リード付け","原反コア",IF(J75="スリット",VLOOKUP(F75&amp;K75&amp;Q75,製品マスタ!$N$5:$AD$4999,17,FALSE),"")))</f>
        <v>6ｲﾝﾁSｺｱ</v>
      </c>
      <c r="W75" s="256">
        <f>IF(J75="巻返し",VLOOKUP(F75&amp;K75&amp;M75,製品マスタ!$M$5:$AE$4999,19,FALSE),IF(J75="リード付け","-",IF(J75="スリット",VLOOKUP(F75&amp;K75&amp;Q75,製品マスタ!$N$5:$AE$4999,18,FALSE),"")))</f>
        <v>1015</v>
      </c>
      <c r="X75" s="256">
        <f>IF(D75="","",VLOOKUP(D75,契約台帳!$A$3:$Q$4986,17,FALSE))</f>
        <v>2</v>
      </c>
      <c r="Y75" s="256" t="str">
        <f>IF(D75="","",VLOOKUP(D75,契約台帳!$A$3:$E$4986,5,FALSE))</f>
        <v>リンテック㈱</v>
      </c>
      <c r="Z75" s="54">
        <v>44952</v>
      </c>
      <c r="AA75" s="200">
        <f>IFERROR(VLOOKUP(F75&amp;K75&amp;M75,製品マスタ!$M$5:$AM$4999,27,FALSE),"")</f>
        <v>0</v>
      </c>
      <c r="AB75" s="31"/>
      <c r="AC75" s="184"/>
      <c r="AD75" s="51" t="str">
        <f>IF(F75="","",+F75&amp;K75)</f>
        <v>3SNMLBMNGKBF38</v>
      </c>
      <c r="AE75" s="52">
        <f>+M75*N75*O75/1000</f>
        <v>12361.5</v>
      </c>
      <c r="AF75" s="41">
        <f>IF(AD75="","",VLOOKUP(AD75,原価マスタ!$A$2:$AJ$1693,13,FALSE))</f>
        <v>97.2</v>
      </c>
      <c r="AG75" s="45">
        <f>IF(AF75="","",+AE75*AF75/100)</f>
        <v>12015.378000000001</v>
      </c>
      <c r="AH75" s="28"/>
      <c r="AI75" s="28"/>
      <c r="AJ75" s="28"/>
      <c r="AK75" s="28"/>
      <c r="AL75" s="12"/>
      <c r="AM75" s="12"/>
      <c r="AN75" s="12"/>
      <c r="AO75" s="12"/>
      <c r="AP75" s="12"/>
      <c r="AQ75" s="13"/>
      <c r="AR75" s="14"/>
    </row>
    <row r="76" spans="1:44" s="16" customFormat="1" ht="30.95" hidden="1" customHeight="1" x14ac:dyDescent="0.2">
      <c r="A76" s="35"/>
      <c r="B76" s="36"/>
      <c r="C76" s="43"/>
      <c r="D76" s="29"/>
      <c r="E76" s="29"/>
      <c r="F76" s="255" t="str">
        <f>IF(D76="","",VLOOKUP(D76,契約台帳!$A$3:$K$4986,6,FALSE)&amp;VLOOKUP(D76,契約台帳!$A$3:$K$4986,7,FALSE)&amp;VLOOKUP(D76,契約台帳!$A$3:$K$4986,8,FALSE)&amp;VLOOKUP(D76,契約台帳!$A$3:$K$4986,9,FALSE)&amp;VLOOKUP(D76,契約台帳!$A$3:$K$4986,11,FALSE))</f>
        <v/>
      </c>
      <c r="G76" s="256" t="str">
        <f>IF(D76="","",VLOOKUP(F76,製品マスタ!$G$5:$H$4999,2,FALSE))</f>
        <v/>
      </c>
      <c r="H76" s="256" t="str">
        <f>IF(D76="","",VLOOKUP(F76,製品マスタ!$G$5:$K$4999,5,FALSE))</f>
        <v/>
      </c>
      <c r="I76" s="200" t="str">
        <f>IF(D76="","",VLOOKUP(F76,製品マスタ!$G$5:$L$4999,6,FALSE))</f>
        <v/>
      </c>
      <c r="J76" s="30"/>
      <c r="K76" s="200" t="str">
        <f>IF(D76="","",VLOOKUP(D76,契約台帳!$A$3:$L$4986,12,FALSE))</f>
        <v/>
      </c>
      <c r="L76" s="200" t="str">
        <f>IF(D76="","",INDEX(製品マスタ!$Q$5:$Q$4999,MATCH(F76&amp;K76,製品マスタ!$AO$5:$AO$4999,0)))</f>
        <v/>
      </c>
      <c r="M76" s="37"/>
      <c r="N76" s="37"/>
      <c r="O76" s="45"/>
      <c r="P76" s="54"/>
      <c r="Q76" s="260" t="str">
        <f>IF(D76="","",IF(J76="リード付け",M76,VLOOKUP(D76,契約台帳!$A$3:$N$4986,14,FALSE)))</f>
        <v/>
      </c>
      <c r="R76" s="261" t="str">
        <f>IF(D76="","",IF(J76="リード付け",M76,VLOOKUP(D76,契約台帳!$A$3:$O$4986,15,FALSE)))</f>
        <v/>
      </c>
      <c r="S76" s="261" t="str">
        <f>IF(D76="","",IF(J76="リード付け",N76,VLOOKUP(D76,契約台帳!$A$3:$P$4986,16,FALSE)))</f>
        <v/>
      </c>
      <c r="T76" s="38"/>
      <c r="U76" s="261" t="str">
        <f ca="1">IF(D76="","",IF(OFFSET(D76,-2,0)=D76,"",VLOOKUP(D76,契約台帳!$A$3:$R$4986,18,FALSE)))</f>
        <v/>
      </c>
      <c r="V76" s="256" t="str">
        <f>IF(J76="巻返し",VLOOKUP(F76&amp;K76&amp;M76,製品マスタ!$M$5:$AD$4999,18,FALSE),IF(J76="リード付け","原反コア",IF(J76="スリット",VLOOKUP(F76&amp;K76&amp;Q76,製品マスタ!$N$5:$AD$4999,17,FALSE),"")))</f>
        <v/>
      </c>
      <c r="W76" s="256" t="str">
        <f>IF(J76="巻返し",VLOOKUP(F76&amp;K76&amp;M76,製品マスタ!$M$5:$AE$4999,19,FALSE),IF(J76="リード付け","-",IF(J76="スリット",VLOOKUP(F76&amp;K76&amp;Q76,製品マスタ!$N$5:$AE$4999,18,FALSE),"")))</f>
        <v/>
      </c>
      <c r="X76" s="256" t="str">
        <f>IF(D76="","",VLOOKUP(D76,契約台帳!$A$3:$Q$4986,17,FALSE))</f>
        <v/>
      </c>
      <c r="Y76" s="256" t="str">
        <f>IF(D76="","",VLOOKUP(D76,契約台帳!$A$3:$E$4986,5,FALSE))</f>
        <v/>
      </c>
      <c r="Z76" s="54"/>
      <c r="AA76" s="200" t="str">
        <f>IFERROR(VLOOKUP(F76&amp;K76&amp;M76,製品マスタ!$M$5:$AM$4999,27,FALSE),"")</f>
        <v/>
      </c>
      <c r="AB76" s="31"/>
      <c r="AC76" s="184"/>
      <c r="AD76" s="51"/>
      <c r="AE76" s="52"/>
      <c r="AF76" s="41"/>
      <c r="AG76" s="45"/>
      <c r="AH76" s="28"/>
      <c r="AI76" s="28"/>
      <c r="AJ76" s="28"/>
      <c r="AK76" s="28"/>
      <c r="AL76" s="12"/>
      <c r="AM76" s="12"/>
      <c r="AN76" s="12"/>
      <c r="AO76" s="12"/>
      <c r="AP76" s="12"/>
      <c r="AQ76" s="13"/>
      <c r="AR76" s="14"/>
    </row>
    <row r="77" spans="1:44" s="16" customFormat="1" ht="30.95" hidden="1" customHeight="1" x14ac:dyDescent="0.2">
      <c r="A77" s="35" t="s">
        <v>796</v>
      </c>
      <c r="B77" s="36" t="s">
        <v>789</v>
      </c>
      <c r="C77" s="43"/>
      <c r="D77" s="29">
        <v>3694114</v>
      </c>
      <c r="E77" s="29">
        <v>4140866</v>
      </c>
      <c r="F77" s="255" t="str">
        <f>IF(D77="","",VLOOKUP(D77,契約台帳!$A$3:$K$4986,6,FALSE)&amp;VLOOKUP(D77,契約台帳!$A$3:$K$4986,7,FALSE)&amp;VLOOKUP(D77,契約台帳!$A$3:$K$4986,8,FALSE)&amp;VLOOKUP(D77,契約台帳!$A$3:$K$4986,9,FALSE)&amp;VLOOKUP(D77,契約台帳!$A$3:$K$4986,11,FALSE))</f>
        <v>3SNMLBMNNGKBF</v>
      </c>
      <c r="G77" s="256" t="str">
        <f>IF(D77="","",VLOOKUP(F77,製品マスタ!$G$5:$H$4999,2,FALSE))</f>
        <v>S</v>
      </c>
      <c r="H77" s="256" t="str">
        <f>IF(D77="","",VLOOKUP(F77,製品マスタ!$G$5:$K$4999,5,FALSE))</f>
        <v>MNNGKBF</v>
      </c>
      <c r="I77" s="200" t="str">
        <f>IF(D77="","",VLOOKUP(F77,製品マスタ!$G$5:$L$4999,6,FALSE))</f>
        <v>メタルミー　ニューネーマー銀消　Ｂ</v>
      </c>
      <c r="J77" s="30" t="s">
        <v>447</v>
      </c>
      <c r="K77" s="200">
        <f>IF(D77="","",VLOOKUP(D77,契約台帳!$A$3:$L$4986,12,FALSE))</f>
        <v>25</v>
      </c>
      <c r="L77" s="200" t="str">
        <f>IF(D77="","",INDEX(製品マスタ!$Q$5:$Q$4999,MATCH(F77&amp;K77,製品マスタ!$AO$5:$AO$4999,0)))</f>
        <v>X44C</v>
      </c>
      <c r="M77" s="37">
        <v>1005</v>
      </c>
      <c r="N77" s="37">
        <v>16000</v>
      </c>
      <c r="O77" s="45">
        <v>1</v>
      </c>
      <c r="P77" s="54">
        <v>44947</v>
      </c>
      <c r="Q77" s="260">
        <f>IF(D77="","",IF(J77="リード付け",M77,VLOOKUP(D77,契約台帳!$A$3:$N$4986,14,FALSE)))</f>
        <v>1005</v>
      </c>
      <c r="R77" s="261">
        <f>IF(D77="","",IF(J77="リード付け",M77,VLOOKUP(D77,契約台帳!$A$3:$O$4986,15,FALSE)))</f>
        <v>1000</v>
      </c>
      <c r="S77" s="261">
        <f>IF(D77="","",IF(J77="リード付け",N77,VLOOKUP(D77,契約台帳!$A$3:$P$4986,16,FALSE)))</f>
        <v>4000</v>
      </c>
      <c r="T77" s="38">
        <v>4</v>
      </c>
      <c r="U77" s="261">
        <f ca="1">IF(D77="","",IF(OFFSET(D77,-2,0)=D77,"",VLOOKUP(D77,契約台帳!$A$3:$R$4986,18,FALSE)))</f>
        <v>4</v>
      </c>
      <c r="V77" s="256" t="str">
        <f>IF(J77="巻返し",VLOOKUP(F77&amp;K77&amp;M77,製品マスタ!$M$5:$AD$4999,18,FALSE),IF(J77="リード付け","原反コア",IF(J77="スリット",VLOOKUP(F77&amp;K77&amp;Q77,製品マスタ!$N$5:$AD$4999,17,FALSE),"")))</f>
        <v>6ｲﾝﾁSｺｱ</v>
      </c>
      <c r="W77" s="256">
        <f>IF(J77="巻返し",VLOOKUP(F77&amp;K77&amp;M77,製品マスタ!$M$5:$AE$4999,19,FALSE),IF(J77="リード付け","-",IF(J77="スリット",VLOOKUP(F77&amp;K77&amp;Q77,製品マスタ!$N$5:$AE$4999,18,FALSE),"")))</f>
        <v>1015</v>
      </c>
      <c r="X77" s="256">
        <f>IF(D77="","",VLOOKUP(D77,契約台帳!$A$3:$Q$4986,17,FALSE))</f>
        <v>2</v>
      </c>
      <c r="Y77" s="256" t="str">
        <f>IF(D77="","",VLOOKUP(D77,契約台帳!$A$3:$E$4986,5,FALSE))</f>
        <v>リンテック㈱</v>
      </c>
      <c r="Z77" s="54">
        <v>44953</v>
      </c>
      <c r="AA77" s="200" t="s">
        <v>827</v>
      </c>
      <c r="AB77" s="31"/>
      <c r="AC77" s="184"/>
      <c r="AD77" s="51" t="str">
        <f>IF(F77="","",+F77&amp;K77)</f>
        <v>3SNMLBMNNGKBF25</v>
      </c>
      <c r="AE77" s="52">
        <f>+M77*N77*O77/1000</f>
        <v>16080</v>
      </c>
      <c r="AF77" s="41">
        <f>IF(AD77="","",VLOOKUP(AD77,原価マスタ!$A$2:$AJ$1693,13,FALSE))</f>
        <v>98.3</v>
      </c>
      <c r="AG77" s="45">
        <f>IF(AF77="","",+AE77*AF77/100)</f>
        <v>15806.64</v>
      </c>
      <c r="AH77" s="28"/>
      <c r="AI77" s="28"/>
      <c r="AJ77" s="28"/>
      <c r="AK77" s="28"/>
      <c r="AL77" s="12"/>
      <c r="AM77" s="12"/>
      <c r="AN77" s="12"/>
      <c r="AO77" s="12"/>
      <c r="AP77" s="12"/>
      <c r="AQ77" s="13"/>
      <c r="AR77" s="14"/>
    </row>
    <row r="78" spans="1:44" s="16" customFormat="1" ht="30.95" hidden="1" customHeight="1" x14ac:dyDescent="0.2">
      <c r="A78" s="35"/>
      <c r="B78" s="36"/>
      <c r="C78" s="43"/>
      <c r="D78" s="29"/>
      <c r="E78" s="29"/>
      <c r="F78" s="255" t="str">
        <f>IF(D78="","",VLOOKUP(D78,契約台帳!$A$3:$K$4986,6,FALSE)&amp;VLOOKUP(D78,契約台帳!$A$3:$K$4986,7,FALSE)&amp;VLOOKUP(D78,契約台帳!$A$3:$K$4986,8,FALSE)&amp;VLOOKUP(D78,契約台帳!$A$3:$K$4986,9,FALSE)&amp;VLOOKUP(D78,契約台帳!$A$3:$K$4986,11,FALSE))</f>
        <v/>
      </c>
      <c r="G78" s="256" t="str">
        <f>IF(D78="","",VLOOKUP(F78,製品マスタ!$G$5:$H$4999,2,FALSE))</f>
        <v/>
      </c>
      <c r="H78" s="256" t="str">
        <f>IF(D78="","",VLOOKUP(F78,製品マスタ!$G$5:$K$4999,5,FALSE))</f>
        <v/>
      </c>
      <c r="I78" s="200" t="str">
        <f>IF(D78="","",VLOOKUP(F78,製品マスタ!$G$5:$L$4999,6,FALSE))</f>
        <v/>
      </c>
      <c r="J78" s="30"/>
      <c r="K78" s="200" t="str">
        <f>IF(D78="","",VLOOKUP(D78,契約台帳!$A$3:$L$4986,12,FALSE))</f>
        <v/>
      </c>
      <c r="L78" s="200" t="str">
        <f>IF(D78="","",INDEX(製品マスタ!$Q$5:$Q$4999,MATCH(F78&amp;K78,製品マスタ!$AO$5:$AO$4999,0)))</f>
        <v/>
      </c>
      <c r="M78" s="37"/>
      <c r="N78" s="37"/>
      <c r="O78" s="45"/>
      <c r="P78" s="54"/>
      <c r="Q78" s="260" t="str">
        <f>IF(D78="","",IF(J78="リード付け",M78,VLOOKUP(D78,契約台帳!$A$3:$N$4986,14,FALSE)))</f>
        <v/>
      </c>
      <c r="R78" s="261" t="str">
        <f>IF(D78="","",IF(J78="リード付け",M78,VLOOKUP(D78,契約台帳!$A$3:$O$4986,15,FALSE)))</f>
        <v/>
      </c>
      <c r="S78" s="261" t="str">
        <f>IF(D78="","",IF(J78="リード付け",N78,VLOOKUP(D78,契約台帳!$A$3:$P$4986,16,FALSE)))</f>
        <v/>
      </c>
      <c r="T78" s="38"/>
      <c r="U78" s="261" t="str">
        <f ca="1">IF(D78="","",IF(OFFSET(D78,-2,0)=D78,"",VLOOKUP(D78,契約台帳!$A$3:$R$4986,18,FALSE)))</f>
        <v/>
      </c>
      <c r="V78" s="256" t="str">
        <f>IF(J78="巻返し",VLOOKUP(F78&amp;K78&amp;M78,製品マスタ!$M$5:$AD$4999,18,FALSE),IF(J78="リード付け","原反コア",IF(J78="スリット",VLOOKUP(F78&amp;K78&amp;Q78,製品マスタ!$N$5:$AD$4999,17,FALSE),"")))</f>
        <v/>
      </c>
      <c r="W78" s="256" t="str">
        <f>IF(J78="巻返し",VLOOKUP(F78&amp;K78&amp;M78,製品マスタ!$M$5:$AE$4999,19,FALSE),IF(J78="リード付け","-",IF(J78="スリット",VLOOKUP(F78&amp;K78&amp;Q78,製品マスタ!$N$5:$AE$4999,18,FALSE),"")))</f>
        <v/>
      </c>
      <c r="X78" s="256" t="str">
        <f>IF(D78="","",VLOOKUP(D78,契約台帳!$A$3:$Q$4986,17,FALSE))</f>
        <v/>
      </c>
      <c r="Y78" s="256" t="str">
        <f>IF(D78="","",VLOOKUP(D78,契約台帳!$A$3:$E$4986,5,FALSE))</f>
        <v/>
      </c>
      <c r="Z78" s="54"/>
      <c r="AA78" s="200" t="str">
        <f>IFERROR(VLOOKUP(F78&amp;K78&amp;M78,製品マスタ!$M$5:$AM$4999,27,FALSE),"")</f>
        <v/>
      </c>
      <c r="AB78" s="31"/>
      <c r="AC78" s="184"/>
      <c r="AD78" s="51"/>
      <c r="AE78" s="52"/>
      <c r="AF78" s="41"/>
      <c r="AG78" s="45"/>
      <c r="AH78" s="28"/>
      <c r="AI78" s="28"/>
      <c r="AJ78" s="28"/>
      <c r="AK78" s="28"/>
      <c r="AL78" s="12"/>
      <c r="AM78" s="12"/>
      <c r="AN78" s="12"/>
      <c r="AO78" s="12"/>
      <c r="AP78" s="12"/>
      <c r="AQ78" s="13"/>
      <c r="AR78" s="14"/>
    </row>
    <row r="79" spans="1:44" s="16" customFormat="1" ht="30.95" hidden="1" customHeight="1" x14ac:dyDescent="0.2">
      <c r="A79" s="35"/>
      <c r="B79" s="36"/>
      <c r="C79" s="43"/>
      <c r="D79" s="29">
        <v>3694115</v>
      </c>
      <c r="E79" s="29">
        <v>4151260</v>
      </c>
      <c r="F79" s="255" t="str">
        <f>IF(D79="","",VLOOKUP(D79,契約台帳!$A$3:$K$4986,6,FALSE)&amp;VLOOKUP(D79,契約台帳!$A$3:$K$4986,7,FALSE)&amp;VLOOKUP(D79,契約台帳!$A$3:$K$4986,8,FALSE)&amp;VLOOKUP(D79,契約台帳!$A$3:$K$4986,9,FALSE)&amp;VLOOKUP(D79,契約台帳!$A$3:$K$4986,11,FALSE))</f>
        <v>3SNMLBMNNGKBF</v>
      </c>
      <c r="G79" s="256" t="str">
        <f>IF(D79="","",VLOOKUP(F79,製品マスタ!$G$5:$H$4999,2,FALSE))</f>
        <v>S</v>
      </c>
      <c r="H79" s="256" t="str">
        <f>IF(D79="","",VLOOKUP(F79,製品マスタ!$G$5:$K$4999,5,FALSE))</f>
        <v>MNNGKBF</v>
      </c>
      <c r="I79" s="200" t="str">
        <f>IF(D79="","",VLOOKUP(F79,製品マスタ!$G$5:$L$4999,6,FALSE))</f>
        <v>メタルミー　ニューネーマー銀消　Ｂ</v>
      </c>
      <c r="J79" s="30" t="s">
        <v>447</v>
      </c>
      <c r="K79" s="200">
        <f>IF(D79="","",VLOOKUP(D79,契約台帳!$A$3:$L$4986,12,FALSE))</f>
        <v>50</v>
      </c>
      <c r="L79" s="200" t="str">
        <f>IF(D79="","",INDEX(製品マスタ!$Q$5:$Q$4999,MATCH(F79&amp;K79,製品マスタ!$AO$5:$AO$4999,0)))</f>
        <v>X44</v>
      </c>
      <c r="M79" s="37">
        <v>1000</v>
      </c>
      <c r="N79" s="37">
        <v>12000</v>
      </c>
      <c r="O79" s="45">
        <v>4</v>
      </c>
      <c r="P79" s="54">
        <v>44947</v>
      </c>
      <c r="Q79" s="260">
        <f>IF(D79="","",IF(J79="リード付け",M79,VLOOKUP(D79,契約台帳!$A$3:$N$4986,14,FALSE)))</f>
        <v>1000</v>
      </c>
      <c r="R79" s="261">
        <f>IF(D79="","",IF(J79="リード付け",M79,VLOOKUP(D79,契約台帳!$A$3:$O$4986,15,FALSE)))</f>
        <v>1000</v>
      </c>
      <c r="S79" s="261">
        <f>IF(D79="","",IF(J79="リード付け",N79,VLOOKUP(D79,契約台帳!$A$3:$P$4986,16,FALSE)))</f>
        <v>4000</v>
      </c>
      <c r="T79" s="38">
        <v>12</v>
      </c>
      <c r="U79" s="261">
        <f ca="1">IF(D79="","",IF(OFFSET(D79,-2,0)=D79,"",VLOOKUP(D79,契約台帳!$A$3:$R$4986,18,FALSE)))</f>
        <v>21</v>
      </c>
      <c r="V79" s="256" t="str">
        <f>IF(J79="巻返し",VLOOKUP(F79&amp;K79&amp;M79,製品マスタ!$M$5:$AD$4999,18,FALSE),IF(J79="リード付け","原反コア",IF(J79="スリット",VLOOKUP(F79&amp;K79&amp;Q79,製品マスタ!$N$5:$AD$4999,17,FALSE),"")))</f>
        <v>6ｲﾝﾁSｺｱ</v>
      </c>
      <c r="W79" s="256">
        <f>IF(J79="巻返し",VLOOKUP(F79&amp;K79&amp;M79,製品マスタ!$M$5:$AE$4999,19,FALSE),IF(J79="リード付け","-",IF(J79="スリット",VLOOKUP(F79&amp;K79&amp;Q79,製品マスタ!$N$5:$AE$4999,18,FALSE),"")))</f>
        <v>1005</v>
      </c>
      <c r="X79" s="256">
        <f>IF(D79="","",VLOOKUP(D79,契約台帳!$A$3:$Q$4986,17,FALSE))</f>
        <v>2</v>
      </c>
      <c r="Y79" s="256" t="str">
        <f>IF(D79="","",VLOOKUP(D79,契約台帳!$A$3:$E$4986,5,FALSE))</f>
        <v>リンテック㈱</v>
      </c>
      <c r="Z79" s="54">
        <v>44953</v>
      </c>
      <c r="AA79" s="200" t="str">
        <f>IFERROR(VLOOKUP(F79&amp;K79&amp;M79,製品マスタ!$M$5:$AM$4999,27,FALSE),"")</f>
        <v>原反ケース再利用</v>
      </c>
      <c r="AB79" s="31"/>
      <c r="AC79" s="184"/>
      <c r="AD79" s="51" t="str">
        <f>IF(F79="","",+F79&amp;K79)</f>
        <v>3SNMLBMNNGKBF50</v>
      </c>
      <c r="AE79" s="52">
        <f>+M79*N79*O79/1000</f>
        <v>48000</v>
      </c>
      <c r="AF79" s="41">
        <f>IF(AD79="","",VLOOKUP(AD79,原価マスタ!$A$2:$AJ$1693,13,FALSE))</f>
        <v>99</v>
      </c>
      <c r="AG79" s="45">
        <f>IF(AF79="","",+AE79*AF79/100)</f>
        <v>47520</v>
      </c>
      <c r="AH79" s="28"/>
      <c r="AI79" s="28"/>
      <c r="AJ79" s="28"/>
      <c r="AK79" s="28"/>
      <c r="AL79" s="12"/>
      <c r="AM79" s="12"/>
      <c r="AN79" s="12"/>
      <c r="AO79" s="12"/>
      <c r="AP79" s="12"/>
      <c r="AQ79" s="13"/>
      <c r="AR79" s="14"/>
    </row>
    <row r="80" spans="1:44" s="16" customFormat="1" ht="30.95" hidden="1" customHeight="1" x14ac:dyDescent="0.2">
      <c r="A80" s="35"/>
      <c r="B80" s="36"/>
      <c r="C80" s="43"/>
      <c r="D80" s="29"/>
      <c r="E80" s="29"/>
      <c r="F80" s="255" t="str">
        <f>IF(D80="","",VLOOKUP(D80,契約台帳!$A$3:$K$4986,6,FALSE)&amp;VLOOKUP(D80,契約台帳!$A$3:$K$4986,7,FALSE)&amp;VLOOKUP(D80,契約台帳!$A$3:$K$4986,8,FALSE)&amp;VLOOKUP(D80,契約台帳!$A$3:$K$4986,9,FALSE)&amp;VLOOKUP(D80,契約台帳!$A$3:$K$4986,11,FALSE))</f>
        <v/>
      </c>
      <c r="G80" s="256" t="str">
        <f>IF(D80="","",VLOOKUP(F80,製品マスタ!$G$5:$H$4999,2,FALSE))</f>
        <v/>
      </c>
      <c r="H80" s="256" t="str">
        <f>IF(D80="","",VLOOKUP(F80,製品マスタ!$G$5:$K$4999,5,FALSE))</f>
        <v/>
      </c>
      <c r="I80" s="200" t="str">
        <f>IF(D80="","",VLOOKUP(F80,製品マスタ!$G$5:$L$4999,6,FALSE))</f>
        <v/>
      </c>
      <c r="J80" s="30"/>
      <c r="K80" s="200" t="str">
        <f>IF(D80="","",VLOOKUP(D80,契約台帳!$A$3:$L$4986,12,FALSE))</f>
        <v/>
      </c>
      <c r="L80" s="200" t="str">
        <f>IF(D80="","",INDEX(製品マスタ!$Q$5:$Q$4999,MATCH(F80&amp;K80,製品マスタ!$AO$5:$AO$4999,0)))</f>
        <v/>
      </c>
      <c r="M80" s="37"/>
      <c r="N80" s="37"/>
      <c r="O80" s="45"/>
      <c r="P80" s="54"/>
      <c r="Q80" s="260" t="str">
        <f>IF(D80="","",IF(J80="リード付け",M80,VLOOKUP(D80,契約台帳!$A$3:$N$4986,14,FALSE)))</f>
        <v/>
      </c>
      <c r="R80" s="261" t="str">
        <f>IF(D80="","",IF(J80="リード付け",M80,VLOOKUP(D80,契約台帳!$A$3:$O$4986,15,FALSE)))</f>
        <v/>
      </c>
      <c r="S80" s="261" t="str">
        <f>IF(D80="","",IF(J80="リード付け",N80,VLOOKUP(D80,契約台帳!$A$3:$P$4986,16,FALSE)))</f>
        <v/>
      </c>
      <c r="T80" s="38"/>
      <c r="U80" s="261" t="str">
        <f ca="1">IF(D80="","",IF(OFFSET(D80,-2,0)=D80,"",VLOOKUP(D80,契約台帳!$A$3:$R$4986,18,FALSE)))</f>
        <v/>
      </c>
      <c r="V80" s="256" t="str">
        <f>IF(J80="巻返し",VLOOKUP(F80&amp;K80&amp;M80,製品マスタ!$M$5:$AD$4999,18,FALSE),IF(J80="リード付け","原反コア",IF(J80="スリット",VLOOKUP(F80&amp;K80&amp;Q80,製品マスタ!$N$5:$AD$4999,17,FALSE),"")))</f>
        <v/>
      </c>
      <c r="W80" s="256" t="str">
        <f>IF(J80="巻返し",VLOOKUP(F80&amp;K80&amp;M80,製品マスタ!$M$5:$AE$4999,19,FALSE),IF(J80="リード付け","-",IF(J80="スリット",VLOOKUP(F80&amp;K80&amp;Q80,製品マスタ!$N$5:$AE$4999,18,FALSE),"")))</f>
        <v/>
      </c>
      <c r="X80" s="256" t="str">
        <f>IF(D80="","",VLOOKUP(D80,契約台帳!$A$3:$Q$4986,17,FALSE))</f>
        <v/>
      </c>
      <c r="Y80" s="256" t="str">
        <f>IF(D80="","",VLOOKUP(D80,契約台帳!$A$3:$E$4986,5,FALSE))</f>
        <v/>
      </c>
      <c r="Z80" s="54"/>
      <c r="AA80" s="200" t="str">
        <f>IFERROR(VLOOKUP(F80&amp;K80&amp;M80,製品マスタ!$M$5:$AM$4999,27,FALSE),"")</f>
        <v/>
      </c>
      <c r="AB80" s="31"/>
      <c r="AC80" s="184"/>
      <c r="AD80" s="51"/>
      <c r="AE80" s="52"/>
      <c r="AF80" s="41"/>
      <c r="AG80" s="45"/>
      <c r="AH80" s="28"/>
      <c r="AI80" s="28"/>
      <c r="AJ80" s="28"/>
      <c r="AK80" s="28"/>
      <c r="AL80" s="12"/>
      <c r="AM80" s="12"/>
      <c r="AN80" s="12"/>
      <c r="AO80" s="12"/>
      <c r="AP80" s="12"/>
      <c r="AQ80" s="13"/>
      <c r="AR80" s="14"/>
    </row>
    <row r="81" spans="1:44" s="16" customFormat="1" ht="30.95" hidden="1" customHeight="1" x14ac:dyDescent="0.2">
      <c r="A81" s="35" t="s">
        <v>797</v>
      </c>
      <c r="B81" s="36" t="s">
        <v>778</v>
      </c>
      <c r="C81" s="43"/>
      <c r="D81" s="29">
        <v>3694115</v>
      </c>
      <c r="E81" s="29">
        <v>4151260</v>
      </c>
      <c r="F81" s="255" t="str">
        <f>IF(D81="","",VLOOKUP(D81,契約台帳!$A$3:$K$4986,6,FALSE)&amp;VLOOKUP(D81,契約台帳!$A$3:$K$4986,7,FALSE)&amp;VLOOKUP(D81,契約台帳!$A$3:$K$4986,8,FALSE)&amp;VLOOKUP(D81,契約台帳!$A$3:$K$4986,9,FALSE)&amp;VLOOKUP(D81,契約台帳!$A$3:$K$4986,11,FALSE))</f>
        <v>3SNMLBMNNGKBF</v>
      </c>
      <c r="G81" s="256" t="str">
        <f>IF(D81="","",VLOOKUP(F81,製品マスタ!$G$5:$H$4999,2,FALSE))</f>
        <v>S</v>
      </c>
      <c r="H81" s="256" t="str">
        <f>IF(D81="","",VLOOKUP(F81,製品マスタ!$G$5:$K$4999,5,FALSE))</f>
        <v>MNNGKBF</v>
      </c>
      <c r="I81" s="200" t="str">
        <f>IF(D81="","",VLOOKUP(F81,製品マスタ!$G$5:$L$4999,6,FALSE))</f>
        <v>メタルミー　ニューネーマー銀消　Ｂ</v>
      </c>
      <c r="J81" s="30" t="s">
        <v>447</v>
      </c>
      <c r="K81" s="200">
        <f>IF(D81="","",VLOOKUP(D81,契約台帳!$A$3:$L$4986,12,FALSE))</f>
        <v>50</v>
      </c>
      <c r="L81" s="200" t="str">
        <f>IF(D81="","",INDEX(製品マスタ!$Q$5:$Q$4999,MATCH(F81&amp;K81,製品マスタ!$AO$5:$AO$4999,0)))</f>
        <v>X44</v>
      </c>
      <c r="M81" s="37">
        <v>1000</v>
      </c>
      <c r="N81" s="37">
        <v>12000</v>
      </c>
      <c r="O81" s="45">
        <v>3</v>
      </c>
      <c r="P81" s="54">
        <v>44947</v>
      </c>
      <c r="Q81" s="260">
        <f>IF(D81="","",IF(J81="リード付け",M81,VLOOKUP(D81,契約台帳!$A$3:$N$4986,14,FALSE)))</f>
        <v>1000</v>
      </c>
      <c r="R81" s="261">
        <f>IF(D81="","",IF(J81="リード付け",M81,VLOOKUP(D81,契約台帳!$A$3:$O$4986,15,FALSE)))</f>
        <v>1000</v>
      </c>
      <c r="S81" s="261">
        <f>IF(D81="","",IF(J81="リード付け",N81,VLOOKUP(D81,契約台帳!$A$3:$P$4986,16,FALSE)))</f>
        <v>4000</v>
      </c>
      <c r="T81" s="38">
        <v>9</v>
      </c>
      <c r="U81" s="261" t="str">
        <f ca="1">IF(D81="","",IF(OFFSET(D81,-2,0)=D81,"",VLOOKUP(D81,契約台帳!$A$3:$R$4986,18,FALSE)))</f>
        <v/>
      </c>
      <c r="V81" s="256" t="str">
        <f>IF(J81="巻返し",VLOOKUP(F81&amp;K81&amp;M81,製品マスタ!$M$5:$AD$4999,18,FALSE),IF(J81="リード付け","原反コア",IF(J81="スリット",VLOOKUP(F81&amp;K81&amp;Q81,製品マスタ!$N$5:$AD$4999,17,FALSE),"")))</f>
        <v>6ｲﾝﾁSｺｱ</v>
      </c>
      <c r="W81" s="256">
        <f>IF(J81="巻返し",VLOOKUP(F81&amp;K81&amp;M81,製品マスタ!$M$5:$AE$4999,19,FALSE),IF(J81="リード付け","-",IF(J81="スリット",VLOOKUP(F81&amp;K81&amp;Q81,製品マスタ!$N$5:$AE$4999,18,FALSE),"")))</f>
        <v>1005</v>
      </c>
      <c r="X81" s="256">
        <f>IF(D81="","",VLOOKUP(D81,契約台帳!$A$3:$Q$4986,17,FALSE))</f>
        <v>2</v>
      </c>
      <c r="Y81" s="256" t="str">
        <f>IF(D81="","",VLOOKUP(D81,契約台帳!$A$3:$E$4986,5,FALSE))</f>
        <v>リンテック㈱</v>
      </c>
      <c r="Z81" s="54">
        <v>44956</v>
      </c>
      <c r="AA81" s="200" t="str">
        <f>IFERROR(VLOOKUP(F81&amp;K81&amp;M81,製品マスタ!$M$5:$AM$4999,27,FALSE),"")</f>
        <v>原反ケース再利用</v>
      </c>
      <c r="AB81" s="31"/>
      <c r="AC81" s="184"/>
      <c r="AD81" s="51" t="str">
        <f>IF(F81="","",+F81&amp;K81)</f>
        <v>3SNMLBMNNGKBF50</v>
      </c>
      <c r="AE81" s="52">
        <f>+M81*N81*O81/1000</f>
        <v>36000</v>
      </c>
      <c r="AF81" s="41">
        <f>IF(AD81="","",VLOOKUP(AD81,原価マスタ!$A$2:$AJ$1693,13,FALSE))</f>
        <v>99</v>
      </c>
      <c r="AG81" s="45">
        <f>IF(AF81="","",+AE81*AF81/100)</f>
        <v>35640</v>
      </c>
      <c r="AH81" s="28"/>
      <c r="AI81" s="28"/>
      <c r="AJ81" s="28"/>
      <c r="AK81" s="28"/>
      <c r="AL81" s="12"/>
      <c r="AM81" s="12"/>
      <c r="AN81" s="12"/>
      <c r="AO81" s="12"/>
      <c r="AP81" s="12"/>
      <c r="AQ81" s="13"/>
      <c r="AR81" s="14"/>
    </row>
    <row r="82" spans="1:44" s="16" customFormat="1" ht="30.95" hidden="1" customHeight="1" x14ac:dyDescent="0.2">
      <c r="A82" s="35"/>
      <c r="B82" s="36"/>
      <c r="C82" s="43"/>
      <c r="D82" s="29"/>
      <c r="E82" s="29"/>
      <c r="F82" s="255" t="str">
        <f>IF(D82="","",VLOOKUP(D82,契約台帳!$A$3:$K$4986,6,FALSE)&amp;VLOOKUP(D82,契約台帳!$A$3:$K$4986,7,FALSE)&amp;VLOOKUP(D82,契約台帳!$A$3:$K$4986,8,FALSE)&amp;VLOOKUP(D82,契約台帳!$A$3:$K$4986,9,FALSE)&amp;VLOOKUP(D82,契約台帳!$A$3:$K$4986,11,FALSE))</f>
        <v/>
      </c>
      <c r="G82" s="256" t="str">
        <f>IF(D82="","",VLOOKUP(F82,製品マスタ!$G$5:$H$4999,2,FALSE))</f>
        <v/>
      </c>
      <c r="H82" s="256" t="str">
        <f>IF(D82="","",VLOOKUP(F82,製品マスタ!$G$5:$K$4999,5,FALSE))</f>
        <v/>
      </c>
      <c r="I82" s="200" t="str">
        <f>IF(D82="","",VLOOKUP(F82,製品マスタ!$G$5:$L$4999,6,FALSE))</f>
        <v/>
      </c>
      <c r="J82" s="30"/>
      <c r="K82" s="200" t="str">
        <f>IF(D82="","",VLOOKUP(D82,契約台帳!$A$3:$L$4986,12,FALSE))</f>
        <v/>
      </c>
      <c r="L82" s="200" t="str">
        <f>IF(D82="","",INDEX(製品マスタ!$Q$5:$Q$4999,MATCH(F82&amp;K82,製品マスタ!$AO$5:$AO$4999,0)))</f>
        <v/>
      </c>
      <c r="M82" s="37"/>
      <c r="N82" s="37"/>
      <c r="O82" s="45"/>
      <c r="P82" s="54"/>
      <c r="Q82" s="260" t="str">
        <f>IF(D82="","",IF(J82="リード付け",M82,VLOOKUP(D82,契約台帳!$A$3:$N$4986,14,FALSE)))</f>
        <v/>
      </c>
      <c r="R82" s="261" t="str">
        <f>IF(D82="","",IF(J82="リード付け",M82,VLOOKUP(D82,契約台帳!$A$3:$O$4986,15,FALSE)))</f>
        <v/>
      </c>
      <c r="S82" s="261" t="str">
        <f>IF(D82="","",IF(J82="リード付け",N82,VLOOKUP(D82,契約台帳!$A$3:$P$4986,16,FALSE)))</f>
        <v/>
      </c>
      <c r="T82" s="38"/>
      <c r="U82" s="261" t="str">
        <f ca="1">IF(D82="","",IF(OFFSET(D82,-2,0)=D82,"",VLOOKUP(D82,契約台帳!$A$3:$R$4986,18,FALSE)))</f>
        <v/>
      </c>
      <c r="V82" s="256" t="str">
        <f>IF(J82="巻返し",VLOOKUP(F82&amp;K82&amp;M82,製品マスタ!$M$5:$AD$4999,18,FALSE),IF(J82="リード付け","原反コア",IF(J82="スリット",VLOOKUP(F82&amp;K82&amp;Q82,製品マスタ!$N$5:$AD$4999,17,FALSE),"")))</f>
        <v/>
      </c>
      <c r="W82" s="256" t="str">
        <f>IF(J82="巻返し",VLOOKUP(F82&amp;K82&amp;M82,製品マスタ!$M$5:$AE$4999,19,FALSE),IF(J82="リード付け","-",IF(J82="スリット",VLOOKUP(F82&amp;K82&amp;Q82,製品マスタ!$N$5:$AE$4999,18,FALSE),"")))</f>
        <v/>
      </c>
      <c r="X82" s="256" t="str">
        <f>IF(D82="","",VLOOKUP(D82,契約台帳!$A$3:$Q$4986,17,FALSE))</f>
        <v/>
      </c>
      <c r="Y82" s="256" t="str">
        <f>IF(D82="","",VLOOKUP(D82,契約台帳!$A$3:$E$4986,5,FALSE))</f>
        <v/>
      </c>
      <c r="Z82" s="54"/>
      <c r="AA82" s="200" t="str">
        <f>IFERROR(VLOOKUP(F82&amp;K82&amp;M82,製品マスタ!$M$5:$AM$4999,27,FALSE),"")</f>
        <v/>
      </c>
      <c r="AB82" s="31"/>
      <c r="AC82" s="184"/>
      <c r="AD82" s="51"/>
      <c r="AE82" s="52"/>
      <c r="AF82" s="41"/>
      <c r="AG82" s="45"/>
      <c r="AH82" s="28"/>
      <c r="AI82" s="28"/>
      <c r="AJ82" s="28"/>
      <c r="AK82" s="28"/>
      <c r="AL82" s="12"/>
      <c r="AM82" s="12"/>
      <c r="AN82" s="12"/>
      <c r="AO82" s="12"/>
      <c r="AP82" s="12"/>
      <c r="AQ82" s="13"/>
      <c r="AR82" s="14"/>
    </row>
    <row r="83" spans="1:44" s="16" customFormat="1" ht="30.95" hidden="1" customHeight="1" x14ac:dyDescent="0.2">
      <c r="A83" s="35"/>
      <c r="B83" s="36"/>
      <c r="C83" s="43"/>
      <c r="D83" s="29">
        <v>3694102</v>
      </c>
      <c r="E83" s="29">
        <v>4151255</v>
      </c>
      <c r="F83" s="255" t="str">
        <f>IF(D83="","",VLOOKUP(D83,契約台帳!$A$3:$K$4986,6,FALSE)&amp;VLOOKUP(D83,契約台帳!$A$3:$K$4986,7,FALSE)&amp;VLOOKUP(D83,契約台帳!$A$3:$K$4986,8,FALSE)&amp;VLOOKUP(D83,契約台帳!$A$3:$K$4986,9,FALSE)&amp;VLOOKUP(D83,契約台帳!$A$3:$K$4986,11,FALSE))</f>
        <v>3SNMLBMNGKKBF</v>
      </c>
      <c r="G83" s="256" t="str">
        <f>IF(D83="","",VLOOKUP(F83,製品マスタ!$G$5:$H$4999,2,FALSE))</f>
        <v>S</v>
      </c>
      <c r="H83" s="256" t="str">
        <f>IF(D83="","",VLOOKUP(F83,製品マスタ!$G$5:$K$4999,5,FALSE))</f>
        <v>MNGKKBF</v>
      </c>
      <c r="I83" s="200" t="str">
        <f>IF(D83="","",VLOOKUP(F83,製品マスタ!$G$5:$L$4999,6,FALSE))</f>
        <v>メタルミー　ネーマー銀消改　Ｂ</v>
      </c>
      <c r="J83" s="30" t="s">
        <v>447</v>
      </c>
      <c r="K83" s="200">
        <f>IF(D83="","",VLOOKUP(D83,契約台帳!$A$3:$L$4986,12,FALSE))</f>
        <v>25</v>
      </c>
      <c r="L83" s="200" t="str">
        <f>IF(D83="","",INDEX(製品マスタ!$Q$5:$Q$4999,MATCH(F83&amp;K83,製品マスタ!$AO$5:$AO$4999,0)))</f>
        <v>FMATS99</v>
      </c>
      <c r="M83" s="37">
        <v>1000</v>
      </c>
      <c r="N83" s="37">
        <v>12000</v>
      </c>
      <c r="O83" s="45">
        <v>1</v>
      </c>
      <c r="P83" s="54">
        <v>44948</v>
      </c>
      <c r="Q83" s="260">
        <f>IF(D83="","",IF(J83="リード付け",M83,VLOOKUP(D83,契約台帳!$A$3:$N$4986,14,FALSE)))</f>
        <v>1000</v>
      </c>
      <c r="R83" s="261">
        <f>IF(D83="","",IF(J83="リード付け",M83,VLOOKUP(D83,契約台帳!$A$3:$O$4986,15,FALSE)))</f>
        <v>1000</v>
      </c>
      <c r="S83" s="261">
        <f>IF(D83="","",IF(J83="リード付け",N83,VLOOKUP(D83,契約台帳!$A$3:$P$4986,16,FALSE)))</f>
        <v>4000</v>
      </c>
      <c r="T83" s="38">
        <v>3</v>
      </c>
      <c r="U83" s="261">
        <f ca="1">IF(D83="","",IF(OFFSET(D83,-2,0)=D83,"",VLOOKUP(D83,契約台帳!$A$3:$R$4986,18,FALSE)))</f>
        <v>3</v>
      </c>
      <c r="V83" s="256" t="str">
        <f>IF(J83="巻返し",VLOOKUP(F83&amp;K83&amp;M83,製品マスタ!$M$5:$AD$4999,18,FALSE),IF(J83="リード付け","原反コア",IF(J83="スリット",VLOOKUP(F83&amp;K83&amp;Q83,製品マスタ!$N$5:$AD$4999,17,FALSE),"")))</f>
        <v>6ｲﾝﾁSｺｱ</v>
      </c>
      <c r="W83" s="256">
        <f>IF(J83="巻返し",VLOOKUP(F83&amp;K83&amp;M83,製品マスタ!$M$5:$AE$4999,19,FALSE),IF(J83="リード付け","-",IF(J83="スリット",VLOOKUP(F83&amp;K83&amp;Q83,製品マスタ!$N$5:$AE$4999,18,FALSE),"")))</f>
        <v>1005</v>
      </c>
      <c r="X83" s="256">
        <f>IF(D83="","",VLOOKUP(D83,契約台帳!$A$3:$Q$4986,17,FALSE))</f>
        <v>2</v>
      </c>
      <c r="Y83" s="256" t="str">
        <f>IF(D83="","",VLOOKUP(D83,契約台帳!$A$3:$E$4986,5,FALSE))</f>
        <v>リンテック㈱</v>
      </c>
      <c r="Z83" s="54">
        <v>44956</v>
      </c>
      <c r="AA83" s="200">
        <f>IFERROR(VLOOKUP(F83&amp;K83&amp;M83,製品マスタ!$M$5:$AM$4999,27,FALSE),"")</f>
        <v>0</v>
      </c>
      <c r="AB83" s="31"/>
      <c r="AC83" s="184"/>
      <c r="AD83" s="51" t="str">
        <f>IF(F83="","",+F83&amp;K83)</f>
        <v>3SNMLBMNGKKBF25</v>
      </c>
      <c r="AE83" s="52">
        <f>+M83*N83*O83/1000</f>
        <v>12000</v>
      </c>
      <c r="AF83" s="41">
        <f>IF(AD83="","",VLOOKUP(AD83,原価マスタ!$A$2:$AJ$1693,13,FALSE))</f>
        <v>96</v>
      </c>
      <c r="AG83" s="45">
        <f>IF(AF83="","",+AE83*AF83/100)</f>
        <v>11520</v>
      </c>
      <c r="AH83" s="28"/>
      <c r="AI83" s="28"/>
      <c r="AJ83" s="28"/>
      <c r="AK83" s="28"/>
      <c r="AL83" s="12"/>
      <c r="AM83" s="12"/>
      <c r="AN83" s="12"/>
      <c r="AO83" s="12"/>
      <c r="AP83" s="12"/>
      <c r="AQ83" s="13"/>
      <c r="AR83" s="14"/>
    </row>
    <row r="84" spans="1:44" s="16" customFormat="1" ht="30.95" hidden="1" customHeight="1" x14ac:dyDescent="0.2">
      <c r="A84" s="35"/>
      <c r="B84" s="36"/>
      <c r="C84" s="43"/>
      <c r="D84" s="29"/>
      <c r="E84" s="29"/>
      <c r="F84" s="255" t="str">
        <f>IF(D84="","",VLOOKUP(D84,契約台帳!$A$3:$K$4986,6,FALSE)&amp;VLOOKUP(D84,契約台帳!$A$3:$K$4986,7,FALSE)&amp;VLOOKUP(D84,契約台帳!$A$3:$K$4986,8,FALSE)&amp;VLOOKUP(D84,契約台帳!$A$3:$K$4986,9,FALSE)&amp;VLOOKUP(D84,契約台帳!$A$3:$K$4986,11,FALSE))</f>
        <v/>
      </c>
      <c r="G84" s="256" t="str">
        <f>IF(D84="","",VLOOKUP(F84,製品マスタ!$G$5:$H$4999,2,FALSE))</f>
        <v/>
      </c>
      <c r="H84" s="256" t="str">
        <f>IF(D84="","",VLOOKUP(F84,製品マスタ!$G$5:$K$4999,5,FALSE))</f>
        <v/>
      </c>
      <c r="I84" s="200" t="str">
        <f>IF(D84="","",VLOOKUP(F84,製品マスタ!$G$5:$L$4999,6,FALSE))</f>
        <v/>
      </c>
      <c r="J84" s="30"/>
      <c r="K84" s="200" t="str">
        <f>IF(D84="","",VLOOKUP(D84,契約台帳!$A$3:$L$4986,12,FALSE))</f>
        <v/>
      </c>
      <c r="L84" s="200" t="str">
        <f>IF(D84="","",INDEX(製品マスタ!$Q$5:$Q$4999,MATCH(F84&amp;K84,製品マスタ!$AO$5:$AO$4999,0)))</f>
        <v/>
      </c>
      <c r="M84" s="37"/>
      <c r="N84" s="37"/>
      <c r="O84" s="45"/>
      <c r="P84" s="54"/>
      <c r="Q84" s="260" t="str">
        <f>IF(D84="","",IF(J84="リード付け",M84,VLOOKUP(D84,契約台帳!$A$3:$N$4986,14,FALSE)))</f>
        <v/>
      </c>
      <c r="R84" s="261" t="str">
        <f>IF(D84="","",IF(J84="リード付け",M84,VLOOKUP(D84,契約台帳!$A$3:$O$4986,15,FALSE)))</f>
        <v/>
      </c>
      <c r="S84" s="261" t="str">
        <f>IF(D84="","",IF(J84="リード付け",N84,VLOOKUP(D84,契約台帳!$A$3:$P$4986,16,FALSE)))</f>
        <v/>
      </c>
      <c r="T84" s="38"/>
      <c r="U84" s="261" t="str">
        <f ca="1">IF(D84="","",IF(OFFSET(D84,-2,0)=D84,"",VLOOKUP(D84,契約台帳!$A$3:$R$4986,18,FALSE)))</f>
        <v/>
      </c>
      <c r="V84" s="256" t="str">
        <f>IF(J84="巻返し",VLOOKUP(F84&amp;K84&amp;M84,製品マスタ!$M$5:$AD$4999,18,FALSE),IF(J84="リード付け","原反コア",IF(J84="スリット",VLOOKUP(F84&amp;K84&amp;Q84,製品マスタ!$N$5:$AD$4999,17,FALSE),"")))</f>
        <v/>
      </c>
      <c r="W84" s="256" t="str">
        <f>IF(J84="巻返し",VLOOKUP(F84&amp;K84&amp;M84,製品マスタ!$M$5:$AE$4999,19,FALSE),IF(J84="リード付け","-",IF(J84="スリット",VLOOKUP(F84&amp;K84&amp;Q84,製品マスタ!$N$5:$AE$4999,18,FALSE),"")))</f>
        <v/>
      </c>
      <c r="X84" s="256" t="str">
        <f>IF(D84="","",VLOOKUP(D84,契約台帳!$A$3:$Q$4986,17,FALSE))</f>
        <v/>
      </c>
      <c r="Y84" s="256" t="str">
        <f>IF(D84="","",VLOOKUP(D84,契約台帳!$A$3:$E$4986,5,FALSE))</f>
        <v/>
      </c>
      <c r="Z84" s="54"/>
      <c r="AA84" s="200" t="str">
        <f>IFERROR(VLOOKUP(F84&amp;K84&amp;M84,製品マスタ!$M$5:$AM$4999,27,FALSE),"")</f>
        <v/>
      </c>
      <c r="AB84" s="31"/>
      <c r="AC84" s="184"/>
      <c r="AD84" s="51"/>
      <c r="AE84" s="52"/>
      <c r="AF84" s="41"/>
      <c r="AG84" s="45"/>
      <c r="AH84" s="28"/>
      <c r="AI84" s="28"/>
      <c r="AJ84" s="28"/>
      <c r="AK84" s="28"/>
      <c r="AL84" s="12"/>
      <c r="AM84" s="12"/>
      <c r="AN84" s="12"/>
      <c r="AO84" s="12"/>
      <c r="AP84" s="12"/>
      <c r="AQ84" s="13"/>
      <c r="AR84" s="14"/>
    </row>
    <row r="85" spans="1:44" s="16" customFormat="1" ht="30.95" hidden="1" customHeight="1" x14ac:dyDescent="0.2">
      <c r="A85" s="35"/>
      <c r="B85" s="36"/>
      <c r="C85" s="43"/>
      <c r="D85" s="29">
        <v>3694103</v>
      </c>
      <c r="E85" s="29">
        <v>4151256</v>
      </c>
      <c r="F85" s="255" t="str">
        <f>IF(D85="","",VLOOKUP(D85,契約台帳!$A$3:$K$4986,6,FALSE)&amp;VLOOKUP(D85,契約台帳!$A$3:$K$4986,7,FALSE)&amp;VLOOKUP(D85,契約台帳!$A$3:$K$4986,8,FALSE)&amp;VLOOKUP(D85,契約台帳!$A$3:$K$4986,9,FALSE)&amp;VLOOKUP(D85,契約台帳!$A$3:$K$4986,11,FALSE))</f>
        <v>3SNMLBMNGKKBF</v>
      </c>
      <c r="G85" s="256" t="str">
        <f>IF(D85="","",VLOOKUP(F85,製品マスタ!$G$5:$H$4999,2,FALSE))</f>
        <v>S</v>
      </c>
      <c r="H85" s="256" t="str">
        <f>IF(D85="","",VLOOKUP(F85,製品マスタ!$G$5:$K$4999,5,FALSE))</f>
        <v>MNGKKBF</v>
      </c>
      <c r="I85" s="200" t="str">
        <f>IF(D85="","",VLOOKUP(F85,製品マスタ!$G$5:$L$4999,6,FALSE))</f>
        <v>メタルミー　ネーマー銀消改　Ｂ</v>
      </c>
      <c r="J85" s="30" t="s">
        <v>447</v>
      </c>
      <c r="K85" s="200">
        <f>IF(D85="","",VLOOKUP(D85,契約台帳!$A$3:$L$4986,12,FALSE))</f>
        <v>25</v>
      </c>
      <c r="L85" s="200" t="str">
        <f>IF(D85="","",INDEX(製品マスタ!$Q$5:$Q$4999,MATCH(F85&amp;K85,製品マスタ!$AO$5:$AO$4999,0)))</f>
        <v>FMATS99</v>
      </c>
      <c r="M85" s="37">
        <v>1120</v>
      </c>
      <c r="N85" s="37">
        <v>12000</v>
      </c>
      <c r="O85" s="45">
        <v>2</v>
      </c>
      <c r="P85" s="54">
        <v>44948</v>
      </c>
      <c r="Q85" s="260">
        <f>IF(D85="","",IF(J85="リード付け",M85,VLOOKUP(D85,契約台帳!$A$3:$N$4986,14,FALSE)))</f>
        <v>1120</v>
      </c>
      <c r="R85" s="261">
        <f>IF(D85="","",IF(J85="リード付け",M85,VLOOKUP(D85,契約台帳!$A$3:$O$4986,15,FALSE)))</f>
        <v>1120</v>
      </c>
      <c r="S85" s="261">
        <f>IF(D85="","",IF(J85="リード付け",N85,VLOOKUP(D85,契約台帳!$A$3:$P$4986,16,FALSE)))</f>
        <v>4000</v>
      </c>
      <c r="T85" s="38">
        <v>6</v>
      </c>
      <c r="U85" s="261">
        <f ca="1">IF(D85="","",IF(OFFSET(D85,-2,0)=D85,"",VLOOKUP(D85,契約台帳!$A$3:$R$4986,18,FALSE)))</f>
        <v>9</v>
      </c>
      <c r="V85" s="256" t="str">
        <f>IF(J85="巻返し",VLOOKUP(F85&amp;K85&amp;M85,製品マスタ!$M$5:$AD$4999,18,FALSE),IF(J85="リード付け","原反コア",IF(J85="スリット",VLOOKUP(F85&amp;K85&amp;Q85,製品マスタ!$N$5:$AD$4999,17,FALSE),"")))</f>
        <v>6ｲﾝﾁSｺｱ</v>
      </c>
      <c r="W85" s="256">
        <f>IF(J85="巻返し",VLOOKUP(F85&amp;K85&amp;M85,製品マスタ!$M$5:$AE$4999,19,FALSE),IF(J85="リード付け","-",IF(J85="スリット",VLOOKUP(F85&amp;K85&amp;Q85,製品マスタ!$N$5:$AE$4999,18,FALSE),"")))</f>
        <v>1125</v>
      </c>
      <c r="X85" s="256">
        <f>IF(D85="","",VLOOKUP(D85,契約台帳!$A$3:$Q$4986,17,FALSE))</f>
        <v>2</v>
      </c>
      <c r="Y85" s="256" t="str">
        <f>IF(D85="","",VLOOKUP(D85,契約台帳!$A$3:$E$4986,5,FALSE))</f>
        <v>リンテック㈱</v>
      </c>
      <c r="Z85" s="54">
        <v>44956</v>
      </c>
      <c r="AA85" s="200">
        <f>IFERROR(VLOOKUP(F85&amp;K85&amp;M85,製品マスタ!$M$5:$AM$4999,27,FALSE),"")</f>
        <v>0</v>
      </c>
      <c r="AB85" s="31"/>
      <c r="AC85" s="184"/>
      <c r="AD85" s="51" t="str">
        <f>IF(F85="","",+F85&amp;K85)</f>
        <v>3SNMLBMNGKKBF25</v>
      </c>
      <c r="AE85" s="52">
        <f>+M85*N85*O85/1000</f>
        <v>26880</v>
      </c>
      <c r="AF85" s="41">
        <f>IF(AD85="","",VLOOKUP(AD85,原価マスタ!$A$2:$AJ$1693,13,FALSE))</f>
        <v>96</v>
      </c>
      <c r="AG85" s="45">
        <f>IF(AF85="","",+AE85*AF85/100)</f>
        <v>25804.799999999999</v>
      </c>
      <c r="AH85" s="28"/>
      <c r="AI85" s="28"/>
      <c r="AJ85" s="28"/>
      <c r="AK85" s="28"/>
      <c r="AL85" s="12"/>
      <c r="AM85" s="12"/>
      <c r="AN85" s="12"/>
      <c r="AO85" s="12"/>
      <c r="AP85" s="12"/>
      <c r="AQ85" s="13"/>
      <c r="AR85" s="14"/>
    </row>
    <row r="86" spans="1:44" s="16" customFormat="1" ht="30.95" hidden="1" customHeight="1" x14ac:dyDescent="0.2">
      <c r="A86" s="35"/>
      <c r="B86" s="36"/>
      <c r="C86" s="43"/>
      <c r="D86" s="29"/>
      <c r="E86" s="29"/>
      <c r="F86" s="255" t="str">
        <f>IF(D86="","",VLOOKUP(D86,契約台帳!$A$3:$K$4986,6,FALSE)&amp;VLOOKUP(D86,契約台帳!$A$3:$K$4986,7,FALSE)&amp;VLOOKUP(D86,契約台帳!$A$3:$K$4986,8,FALSE)&amp;VLOOKUP(D86,契約台帳!$A$3:$K$4986,9,FALSE)&amp;VLOOKUP(D86,契約台帳!$A$3:$K$4986,11,FALSE))</f>
        <v/>
      </c>
      <c r="G86" s="256" t="str">
        <f>IF(D86="","",VLOOKUP(F86,製品マスタ!$G$5:$H$4999,2,FALSE))</f>
        <v/>
      </c>
      <c r="H86" s="256" t="str">
        <f>IF(D86="","",VLOOKUP(F86,製品マスタ!$G$5:$K$4999,5,FALSE))</f>
        <v/>
      </c>
      <c r="I86" s="200" t="str">
        <f>IF(D86="","",VLOOKUP(F86,製品マスタ!$G$5:$L$4999,6,FALSE))</f>
        <v/>
      </c>
      <c r="J86" s="30"/>
      <c r="K86" s="200" t="str">
        <f>IF(D86="","",VLOOKUP(D86,契約台帳!$A$3:$L$4986,12,FALSE))</f>
        <v/>
      </c>
      <c r="L86" s="200" t="str">
        <f>IF(D86="","",INDEX(製品マスタ!$Q$5:$Q$4999,MATCH(F86&amp;K86,製品マスタ!$AO$5:$AO$4999,0)))</f>
        <v/>
      </c>
      <c r="M86" s="37"/>
      <c r="N86" s="37"/>
      <c r="O86" s="45"/>
      <c r="P86" s="54"/>
      <c r="Q86" s="260" t="str">
        <f>IF(D86="","",IF(J86="リード付け",M86,VLOOKUP(D86,契約台帳!$A$3:$N$4986,14,FALSE)))</f>
        <v/>
      </c>
      <c r="R86" s="261" t="str">
        <f>IF(D86="","",IF(J86="リード付け",M86,VLOOKUP(D86,契約台帳!$A$3:$O$4986,15,FALSE)))</f>
        <v/>
      </c>
      <c r="S86" s="261" t="str">
        <f>IF(D86="","",IF(J86="リード付け",N86,VLOOKUP(D86,契約台帳!$A$3:$P$4986,16,FALSE)))</f>
        <v/>
      </c>
      <c r="T86" s="38"/>
      <c r="U86" s="261" t="str">
        <f ca="1">IF(D86="","",IF(OFFSET(D86,-2,0)=D86,"",VLOOKUP(D86,契約台帳!$A$3:$R$4986,18,FALSE)))</f>
        <v/>
      </c>
      <c r="V86" s="256" t="str">
        <f>IF(J86="巻返し",VLOOKUP(F86&amp;K86&amp;M86,製品マスタ!$M$5:$AD$4999,18,FALSE),IF(J86="リード付け","原反コア",IF(J86="スリット",VLOOKUP(F86&amp;K86&amp;Q86,製品マスタ!$N$5:$AD$4999,17,FALSE),"")))</f>
        <v/>
      </c>
      <c r="W86" s="256" t="str">
        <f>IF(J86="巻返し",VLOOKUP(F86&amp;K86&amp;M86,製品マスタ!$M$5:$AE$4999,19,FALSE),IF(J86="リード付け","-",IF(J86="スリット",VLOOKUP(F86&amp;K86&amp;Q86,製品マスタ!$N$5:$AE$4999,18,FALSE),"")))</f>
        <v/>
      </c>
      <c r="X86" s="256" t="str">
        <f>IF(D86="","",VLOOKUP(D86,契約台帳!$A$3:$Q$4986,17,FALSE))</f>
        <v/>
      </c>
      <c r="Y86" s="256" t="str">
        <f>IF(D86="","",VLOOKUP(D86,契約台帳!$A$3:$E$4986,5,FALSE))</f>
        <v/>
      </c>
      <c r="Z86" s="54"/>
      <c r="AA86" s="200" t="str">
        <f>IFERROR(VLOOKUP(F86&amp;K86&amp;M86,製品マスタ!$M$5:$AM$4999,27,FALSE),"")</f>
        <v/>
      </c>
      <c r="AB86" s="31"/>
      <c r="AC86" s="184"/>
      <c r="AD86" s="51"/>
      <c r="AE86" s="52"/>
      <c r="AF86" s="41"/>
      <c r="AG86" s="45"/>
      <c r="AH86" s="28"/>
      <c r="AI86" s="28"/>
      <c r="AJ86" s="28"/>
      <c r="AK86" s="28"/>
      <c r="AL86" s="12"/>
      <c r="AM86" s="12"/>
      <c r="AN86" s="12"/>
      <c r="AO86" s="12"/>
      <c r="AP86" s="12"/>
      <c r="AQ86" s="13"/>
      <c r="AR86" s="14"/>
    </row>
    <row r="87" spans="1:44" s="16" customFormat="1" ht="30.95" hidden="1" customHeight="1" x14ac:dyDescent="0.2">
      <c r="A87" s="35" t="s">
        <v>798</v>
      </c>
      <c r="B87" s="36" t="s">
        <v>779</v>
      </c>
      <c r="C87" s="43"/>
      <c r="D87" s="29">
        <v>3694103</v>
      </c>
      <c r="E87" s="29">
        <v>4151256</v>
      </c>
      <c r="F87" s="255" t="str">
        <f>IF(D87="","",VLOOKUP(D87,契約台帳!$A$3:$K$4986,6,FALSE)&amp;VLOOKUP(D87,契約台帳!$A$3:$K$4986,7,FALSE)&amp;VLOOKUP(D87,契約台帳!$A$3:$K$4986,8,FALSE)&amp;VLOOKUP(D87,契約台帳!$A$3:$K$4986,9,FALSE)&amp;VLOOKUP(D87,契約台帳!$A$3:$K$4986,11,FALSE))</f>
        <v>3SNMLBMNGKKBF</v>
      </c>
      <c r="G87" s="256" t="str">
        <f>IF(D87="","",VLOOKUP(F87,製品マスタ!$G$5:$H$4999,2,FALSE))</f>
        <v>S</v>
      </c>
      <c r="H87" s="256" t="str">
        <f>IF(D87="","",VLOOKUP(F87,製品マスタ!$G$5:$K$4999,5,FALSE))</f>
        <v>MNGKKBF</v>
      </c>
      <c r="I87" s="200" t="str">
        <f>IF(D87="","",VLOOKUP(F87,製品マスタ!$G$5:$L$4999,6,FALSE))</f>
        <v>メタルミー　ネーマー銀消改　Ｂ</v>
      </c>
      <c r="J87" s="30" t="s">
        <v>447</v>
      </c>
      <c r="K87" s="200">
        <f>IF(D87="","",VLOOKUP(D87,契約台帳!$A$3:$L$4986,12,FALSE))</f>
        <v>25</v>
      </c>
      <c r="L87" s="200" t="str">
        <f>IF(D87="","",INDEX(製品マスタ!$Q$5:$Q$4999,MATCH(F87&amp;K87,製品マスタ!$AO$5:$AO$4999,0)))</f>
        <v>FMATS99</v>
      </c>
      <c r="M87" s="37">
        <v>1120</v>
      </c>
      <c r="N87" s="37">
        <v>12000</v>
      </c>
      <c r="O87" s="45">
        <v>1</v>
      </c>
      <c r="P87" s="54">
        <v>44948</v>
      </c>
      <c r="Q87" s="260">
        <f>IF(D87="","",IF(J87="リード付け",M87,VLOOKUP(D87,契約台帳!$A$3:$N$4986,14,FALSE)))</f>
        <v>1120</v>
      </c>
      <c r="R87" s="261">
        <f>IF(D87="","",IF(J87="リード付け",M87,VLOOKUP(D87,契約台帳!$A$3:$O$4986,15,FALSE)))</f>
        <v>1120</v>
      </c>
      <c r="S87" s="261">
        <f>IF(D87="","",IF(J87="リード付け",N87,VLOOKUP(D87,契約台帳!$A$3:$P$4986,16,FALSE)))</f>
        <v>4000</v>
      </c>
      <c r="T87" s="38">
        <v>3</v>
      </c>
      <c r="U87" s="261" t="str">
        <f ca="1">IF(D87="","",IF(OFFSET(D87,-2,0)=D87,"",VLOOKUP(D87,契約台帳!$A$3:$R$4986,18,FALSE)))</f>
        <v/>
      </c>
      <c r="V87" s="256" t="str">
        <f>IF(J87="巻返し",VLOOKUP(F87&amp;K87&amp;M87,製品マスタ!$M$5:$AD$4999,18,FALSE),IF(J87="リード付け","原反コア",IF(J87="スリット",VLOOKUP(F87&amp;K87&amp;Q87,製品マスタ!$N$5:$AD$4999,17,FALSE),"")))</f>
        <v>6ｲﾝﾁSｺｱ</v>
      </c>
      <c r="W87" s="256">
        <f>IF(J87="巻返し",VLOOKUP(F87&amp;K87&amp;M87,製品マスタ!$M$5:$AE$4999,19,FALSE),IF(J87="リード付け","-",IF(J87="スリット",VLOOKUP(F87&amp;K87&amp;Q87,製品マスタ!$N$5:$AE$4999,18,FALSE),"")))</f>
        <v>1125</v>
      </c>
      <c r="X87" s="256">
        <f>IF(D87="","",VLOOKUP(D87,契約台帳!$A$3:$Q$4986,17,FALSE))</f>
        <v>2</v>
      </c>
      <c r="Y87" s="256" t="str">
        <f>IF(D87="","",VLOOKUP(D87,契約台帳!$A$3:$E$4986,5,FALSE))</f>
        <v>リンテック㈱</v>
      </c>
      <c r="Z87" s="54">
        <v>44957</v>
      </c>
      <c r="AA87" s="200">
        <f>IFERROR(VLOOKUP(F87&amp;K87&amp;M87,製品マスタ!$M$5:$AM$4999,27,FALSE),"")</f>
        <v>0</v>
      </c>
      <c r="AB87" s="31"/>
      <c r="AC87" s="184"/>
      <c r="AD87" s="51" t="str">
        <f>IF(F87="","",+F87&amp;K87)</f>
        <v>3SNMLBMNGKKBF25</v>
      </c>
      <c r="AE87" s="52">
        <f>+M87*N87*O87/1000</f>
        <v>13440</v>
      </c>
      <c r="AF87" s="41">
        <f>IF(AD87="","",VLOOKUP(AD87,原価マスタ!$A$2:$AJ$1693,13,FALSE))</f>
        <v>96</v>
      </c>
      <c r="AG87" s="45">
        <f>IF(AF87="","",+AE87*AF87/100)</f>
        <v>12902.4</v>
      </c>
      <c r="AH87" s="28"/>
      <c r="AI87" s="28"/>
      <c r="AJ87" s="28"/>
      <c r="AK87" s="28"/>
      <c r="AL87" s="12"/>
      <c r="AM87" s="12"/>
      <c r="AN87" s="12"/>
      <c r="AO87" s="12"/>
      <c r="AP87" s="12"/>
      <c r="AQ87" s="13"/>
      <c r="AR87" s="14"/>
    </row>
    <row r="88" spans="1:44" s="16" customFormat="1" ht="30.95" hidden="1" customHeight="1" x14ac:dyDescent="0.2">
      <c r="A88" s="35"/>
      <c r="B88" s="36"/>
      <c r="C88" s="43"/>
      <c r="D88" s="29"/>
      <c r="E88" s="29"/>
      <c r="F88" s="255" t="str">
        <f>IF(D88="","",VLOOKUP(D88,契約台帳!$A$3:$K$4986,6,FALSE)&amp;VLOOKUP(D88,契約台帳!$A$3:$K$4986,7,FALSE)&amp;VLOOKUP(D88,契約台帳!$A$3:$K$4986,8,FALSE)&amp;VLOOKUP(D88,契約台帳!$A$3:$K$4986,9,FALSE)&amp;VLOOKUP(D88,契約台帳!$A$3:$K$4986,11,FALSE))</f>
        <v/>
      </c>
      <c r="G88" s="256" t="str">
        <f>IF(D88="","",VLOOKUP(F88,製品マスタ!$G$5:$H$4999,2,FALSE))</f>
        <v/>
      </c>
      <c r="H88" s="256" t="str">
        <f>IF(D88="","",VLOOKUP(F88,製品マスタ!$G$5:$K$4999,5,FALSE))</f>
        <v/>
      </c>
      <c r="I88" s="200" t="str">
        <f>IF(D88="","",VLOOKUP(F88,製品マスタ!$G$5:$L$4999,6,FALSE))</f>
        <v/>
      </c>
      <c r="J88" s="30"/>
      <c r="K88" s="200" t="str">
        <f>IF(D88="","",VLOOKUP(D88,契約台帳!$A$3:$L$4986,12,FALSE))</f>
        <v/>
      </c>
      <c r="L88" s="200" t="str">
        <f>IF(D88="","",INDEX(製品マスタ!$Q$5:$Q$4999,MATCH(F88&amp;K88,製品マスタ!$AO$5:$AO$4999,0)))</f>
        <v/>
      </c>
      <c r="M88" s="37"/>
      <c r="N88" s="37"/>
      <c r="O88" s="45"/>
      <c r="P88" s="54"/>
      <c r="Q88" s="260" t="str">
        <f>IF(D88="","",IF(J88="リード付け",M88,VLOOKUP(D88,契約台帳!$A$3:$N$4986,14,FALSE)))</f>
        <v/>
      </c>
      <c r="R88" s="261" t="str">
        <f>IF(D88="","",IF(J88="リード付け",M88,VLOOKUP(D88,契約台帳!$A$3:$O$4986,15,FALSE)))</f>
        <v/>
      </c>
      <c r="S88" s="261" t="str">
        <f>IF(D88="","",IF(J88="リード付け",N88,VLOOKUP(D88,契約台帳!$A$3:$P$4986,16,FALSE)))</f>
        <v/>
      </c>
      <c r="T88" s="38"/>
      <c r="U88" s="261" t="str">
        <f ca="1">IF(D88="","",IF(OFFSET(D88,-2,0)=D88,"",VLOOKUP(D88,契約台帳!$A$3:$R$4986,18,FALSE)))</f>
        <v/>
      </c>
      <c r="V88" s="256" t="str">
        <f>IF(J88="巻返し",VLOOKUP(F88&amp;K88&amp;M88,製品マスタ!$M$5:$AD$4999,18,FALSE),IF(J88="リード付け","原反コア",IF(J88="スリット",VLOOKUP(F88&amp;K88&amp;Q88,製品マスタ!$N$5:$AD$4999,17,FALSE),"")))</f>
        <v/>
      </c>
      <c r="W88" s="256" t="str">
        <f>IF(J88="巻返し",VLOOKUP(F88&amp;K88&amp;M88,製品マスタ!$M$5:$AE$4999,19,FALSE),IF(J88="リード付け","-",IF(J88="スリット",VLOOKUP(F88&amp;K88&amp;Q88,製品マスタ!$N$5:$AE$4999,18,FALSE),"")))</f>
        <v/>
      </c>
      <c r="X88" s="256" t="str">
        <f>IF(D88="","",VLOOKUP(D88,契約台帳!$A$3:$Q$4986,17,FALSE))</f>
        <v/>
      </c>
      <c r="Y88" s="256" t="str">
        <f>IF(D88="","",VLOOKUP(D88,契約台帳!$A$3:$E$4986,5,FALSE))</f>
        <v/>
      </c>
      <c r="Z88" s="54"/>
      <c r="AA88" s="200" t="str">
        <f>IFERROR(VLOOKUP(F88&amp;K88&amp;M88,製品マスタ!$M$5:$AM$4999,27,FALSE),"")</f>
        <v/>
      </c>
      <c r="AB88" s="31"/>
      <c r="AC88" s="184"/>
      <c r="AD88" s="51"/>
      <c r="AE88" s="52"/>
      <c r="AF88" s="41"/>
      <c r="AG88" s="45"/>
      <c r="AH88" s="28"/>
      <c r="AI88" s="28"/>
      <c r="AJ88" s="28"/>
      <c r="AK88" s="28"/>
      <c r="AL88" s="12"/>
      <c r="AM88" s="12"/>
      <c r="AN88" s="12"/>
      <c r="AO88" s="12"/>
      <c r="AP88" s="12"/>
      <c r="AQ88" s="13"/>
      <c r="AR88" s="14"/>
    </row>
    <row r="89" spans="1:44" s="16" customFormat="1" ht="30.95" hidden="1" customHeight="1" x14ac:dyDescent="0.2">
      <c r="A89" s="35"/>
      <c r="B89" s="36"/>
      <c r="C89" s="43"/>
      <c r="D89" s="29"/>
      <c r="E89" s="29"/>
      <c r="F89" s="255" t="str">
        <f>IF(D89="","",VLOOKUP(D89,契約台帳!$A$3:$K$4986,6,FALSE)&amp;VLOOKUP(D89,契約台帳!$A$3:$K$4986,7,FALSE)&amp;VLOOKUP(D89,契約台帳!$A$3:$K$4986,8,FALSE)&amp;VLOOKUP(D89,契約台帳!$A$3:$K$4986,9,FALSE)&amp;VLOOKUP(D89,契約台帳!$A$3:$K$4986,11,FALSE))</f>
        <v/>
      </c>
      <c r="G89" s="256" t="s">
        <v>269</v>
      </c>
      <c r="H89" s="256" t="s">
        <v>820</v>
      </c>
      <c r="I89" s="200" t="s">
        <v>821</v>
      </c>
      <c r="J89" s="30" t="s">
        <v>463</v>
      </c>
      <c r="K89" s="200">
        <v>25</v>
      </c>
      <c r="L89" s="200" t="s">
        <v>78</v>
      </c>
      <c r="M89" s="37">
        <v>1110</v>
      </c>
      <c r="N89" s="37">
        <v>12100</v>
      </c>
      <c r="O89" s="45">
        <v>1</v>
      </c>
      <c r="P89" s="54"/>
      <c r="Q89" s="260">
        <v>1050</v>
      </c>
      <c r="R89" s="261">
        <v>1050</v>
      </c>
      <c r="S89" s="261">
        <v>5800</v>
      </c>
      <c r="T89" s="38">
        <v>2</v>
      </c>
      <c r="U89" s="261">
        <v>2</v>
      </c>
      <c r="V89" s="256" t="e">
        <f>IF(J89="巻返し",VLOOKUP(F89&amp;K89&amp;M89,製品マスタ!$M$5:$AD$4999,18,FALSE),IF(J89="リード付け","原反コア",IF(J89="スリット",VLOOKUP(F89&amp;K89&amp;Q89,製品マスタ!$N$5:$AD$4999,17,FALSE),"")))</f>
        <v>#N/A</v>
      </c>
      <c r="W89" s="256" t="e">
        <f>IF(J89="巻返し",VLOOKUP(F89&amp;K89&amp;M89,製品マスタ!$M$5:$AE$4999,19,FALSE),IF(J89="リード付け","-",IF(J89="スリット",VLOOKUP(F89&amp;K89&amp;Q89,製品マスタ!$N$5:$AE$4999,18,FALSE),"")))</f>
        <v>#N/A</v>
      </c>
      <c r="X89" s="256" t="str">
        <f>IF(D89="","",VLOOKUP(D89,契約台帳!$A$3:$Q$4986,17,FALSE))</f>
        <v/>
      </c>
      <c r="Y89" s="256" t="s">
        <v>822</v>
      </c>
      <c r="Z89" s="54"/>
      <c r="AA89" s="200" t="str">
        <f>IFERROR(VLOOKUP(F89&amp;K89&amp;M89,製品マスタ!$M$5:$AM$4999,27,FALSE),"")</f>
        <v/>
      </c>
      <c r="AB89" s="31"/>
      <c r="AC89" s="184"/>
      <c r="AD89" s="51"/>
      <c r="AE89" s="52"/>
      <c r="AF89" s="41"/>
      <c r="AG89" s="45"/>
      <c r="AH89" s="28"/>
      <c r="AI89" s="28"/>
      <c r="AJ89" s="28"/>
      <c r="AK89" s="28"/>
      <c r="AL89" s="12"/>
      <c r="AM89" s="12"/>
      <c r="AN89" s="12"/>
      <c r="AO89" s="12"/>
      <c r="AP89" s="12"/>
      <c r="AQ89" s="13"/>
      <c r="AR89" s="14"/>
    </row>
    <row r="90" spans="1:44" s="16" customFormat="1" ht="30.95" hidden="1" customHeight="1" x14ac:dyDescent="0.2">
      <c r="A90" s="35"/>
      <c r="B90" s="36"/>
      <c r="C90" s="43"/>
      <c r="D90" s="29"/>
      <c r="E90" s="29"/>
      <c r="F90" s="255" t="str">
        <f>IF(D90="","",VLOOKUP(D90,契約台帳!$A$3:$K$4986,6,FALSE)&amp;VLOOKUP(D90,契約台帳!$A$3:$K$4986,7,FALSE)&amp;VLOOKUP(D90,契約台帳!$A$3:$K$4986,8,FALSE)&amp;VLOOKUP(D90,契約台帳!$A$3:$K$4986,9,FALSE)&amp;VLOOKUP(D90,契約台帳!$A$3:$K$4986,11,FALSE))</f>
        <v/>
      </c>
      <c r="G90" s="256" t="str">
        <f>IF(D90="","",VLOOKUP(F90,製品マスタ!$G$5:$H$4999,2,FALSE))</f>
        <v/>
      </c>
      <c r="H90" s="256" t="str">
        <f>IF(D90="","",VLOOKUP(F90,製品マスタ!$G$5:$K$4999,5,FALSE))</f>
        <v/>
      </c>
      <c r="I90" s="200" t="str">
        <f>IF(D90="","",VLOOKUP(F90,製品マスタ!$G$5:$L$4999,6,FALSE))</f>
        <v/>
      </c>
      <c r="J90" s="30"/>
      <c r="K90" s="200" t="str">
        <f>IF(D90="","",VLOOKUP(D90,契約台帳!$A$3:$L$4986,12,FALSE))</f>
        <v/>
      </c>
      <c r="L90" s="200" t="str">
        <f>IF(D90="","",INDEX(製品マスタ!$Q$5:$Q$4999,MATCH(F90&amp;K90,製品マスタ!$AO$5:$AO$4999,0)))</f>
        <v/>
      </c>
      <c r="M90" s="37"/>
      <c r="N90" s="37"/>
      <c r="O90" s="45"/>
      <c r="P90" s="54"/>
      <c r="Q90" s="260" t="str">
        <f>IF(D90="","",IF(J90="リード付け",M90,VLOOKUP(D90,契約台帳!$A$3:$N$4986,14,FALSE)))</f>
        <v/>
      </c>
      <c r="R90" s="261" t="str">
        <f>IF(D90="","",IF(J90="リード付け",M90,VLOOKUP(D90,契約台帳!$A$3:$O$4986,15,FALSE)))</f>
        <v/>
      </c>
      <c r="S90" s="261" t="str">
        <f>IF(D90="","",IF(J90="リード付け",N90,VLOOKUP(D90,契約台帳!$A$3:$P$4986,16,FALSE)))</f>
        <v/>
      </c>
      <c r="T90" s="38"/>
      <c r="U90" s="261" t="str">
        <f ca="1">IF(D90="","",IF(OFFSET(D90,-2,0)=D90,"",VLOOKUP(D90,契約台帳!$A$3:$R$4986,18,FALSE)))</f>
        <v/>
      </c>
      <c r="V90" s="256" t="str">
        <f>IF(J90="巻返し",VLOOKUP(F90&amp;K90&amp;M90,製品マスタ!$M$5:$AD$4999,18,FALSE),IF(J90="リード付け","原反コア",IF(J90="スリット",VLOOKUP(F90&amp;K90&amp;Q90,製品マスタ!$N$5:$AD$4999,17,FALSE),"")))</f>
        <v/>
      </c>
      <c r="W90" s="256" t="str">
        <f>IF(J90="巻返し",VLOOKUP(F90&amp;K90&amp;M90,製品マスタ!$M$5:$AE$4999,19,FALSE),IF(J90="リード付け","-",IF(J90="スリット",VLOOKUP(F90&amp;K90&amp;Q90,製品マスタ!$N$5:$AE$4999,18,FALSE),"")))</f>
        <v/>
      </c>
      <c r="X90" s="256" t="str">
        <f>IF(D90="","",VLOOKUP(D90,契約台帳!$A$3:$Q$4986,17,FALSE))</f>
        <v/>
      </c>
      <c r="Y90" s="256" t="str">
        <f>IF(D90="","",VLOOKUP(D90,契約台帳!$A$3:$E$4986,5,FALSE))</f>
        <v/>
      </c>
      <c r="Z90" s="54"/>
      <c r="AA90" s="200" t="str">
        <f>IFERROR(VLOOKUP(F90&amp;K90&amp;M90,製品マスタ!$M$5:$AM$4999,27,FALSE),"")</f>
        <v/>
      </c>
      <c r="AB90" s="31"/>
      <c r="AC90" s="184"/>
      <c r="AD90" s="51"/>
      <c r="AE90" s="52"/>
      <c r="AF90" s="41"/>
      <c r="AG90" s="45"/>
      <c r="AH90" s="28"/>
      <c r="AI90" s="28"/>
      <c r="AJ90" s="28"/>
      <c r="AK90" s="28"/>
      <c r="AL90" s="12"/>
      <c r="AM90" s="12"/>
      <c r="AN90" s="12"/>
      <c r="AO90" s="12"/>
      <c r="AP90" s="12"/>
      <c r="AQ90" s="13"/>
      <c r="AR90" s="14"/>
    </row>
    <row r="91" spans="1:44" s="16" customFormat="1" ht="30.95" hidden="1" customHeight="1" x14ac:dyDescent="0.2">
      <c r="A91" s="35" t="s">
        <v>799</v>
      </c>
      <c r="B91" s="36" t="s">
        <v>780</v>
      </c>
      <c r="C91" s="43"/>
      <c r="D91" s="29"/>
      <c r="E91" s="29"/>
      <c r="F91" s="255" t="str">
        <f>IF(D91="","",VLOOKUP(D91,契約台帳!$A$3:$K$4986,6,FALSE)&amp;VLOOKUP(D91,契約台帳!$A$3:$K$4986,7,FALSE)&amp;VLOOKUP(D91,契約台帳!$A$3:$K$4986,8,FALSE)&amp;VLOOKUP(D91,契約台帳!$A$3:$K$4986,9,FALSE)&amp;VLOOKUP(D91,契約台帳!$A$3:$K$4986,11,FALSE))</f>
        <v/>
      </c>
      <c r="G91" s="256" t="str">
        <f>IF(D91="","",VLOOKUP(F91,製品マスタ!$G$5:$H$4999,2,FALSE))</f>
        <v/>
      </c>
      <c r="H91" s="256" t="str">
        <f>IF(D91="","",VLOOKUP(F91,製品マスタ!$G$5:$K$4999,5,FALSE))</f>
        <v/>
      </c>
      <c r="I91" s="200" t="str">
        <f>IF(D91="","",VLOOKUP(F91,製品マスタ!$G$5:$L$4999,6,FALSE))</f>
        <v/>
      </c>
      <c r="J91" s="30" t="s">
        <v>800</v>
      </c>
      <c r="K91" s="200" t="str">
        <f>IF(D91="","",VLOOKUP(D91,契約台帳!$A$3:$L$4986,12,FALSE))</f>
        <v/>
      </c>
      <c r="L91" s="200" t="str">
        <f>IF(D91="","",INDEX(製品マスタ!$Q$5:$Q$4999,MATCH(F91&amp;K91,製品マスタ!$AO$5:$AO$4999,0)))</f>
        <v/>
      </c>
      <c r="M91" s="37"/>
      <c r="N91" s="37"/>
      <c r="O91" s="45"/>
      <c r="P91" s="54"/>
      <c r="Q91" s="260" t="str">
        <f>IF(D91="","",IF(J91="リード付け",M91,VLOOKUP(D91,契約台帳!$A$3:$N$4986,14,FALSE)))</f>
        <v/>
      </c>
      <c r="R91" s="261" t="str">
        <f>IF(D91="","",IF(J91="リード付け",M91,VLOOKUP(D91,契約台帳!$A$3:$O$4986,15,FALSE)))</f>
        <v/>
      </c>
      <c r="S91" s="261" t="str">
        <f>IF(D91="","",IF(J91="リード付け",N91,VLOOKUP(D91,契約台帳!$A$3:$P$4986,16,FALSE)))</f>
        <v/>
      </c>
      <c r="T91" s="38"/>
      <c r="U91" s="261" t="str">
        <f ca="1">IF(D91="","",IF(OFFSET(D91,-2,0)=D91,"",VLOOKUP(D91,契約台帳!$A$3:$R$4986,18,FALSE)))</f>
        <v/>
      </c>
      <c r="V91" s="256" t="str">
        <f>IF(J91="巻返し",VLOOKUP(F91&amp;K91&amp;M91,製品マスタ!$M$5:$AD$4999,18,FALSE),IF(J91="リード付け","原反コア",IF(J91="スリット",VLOOKUP(F91&amp;K91&amp;Q91,製品マスタ!$N$5:$AD$4999,17,FALSE),"")))</f>
        <v/>
      </c>
      <c r="W91" s="256" t="str">
        <f>IF(J91="巻返し",VLOOKUP(F91&amp;K91&amp;M91,製品マスタ!$M$5:$AE$4999,19,FALSE),IF(J91="リード付け","-",IF(J91="スリット",VLOOKUP(F91&amp;K91&amp;Q91,製品マスタ!$N$5:$AE$4999,18,FALSE),"")))</f>
        <v/>
      </c>
      <c r="X91" s="256" t="str">
        <f>IF(D91="","",VLOOKUP(D91,契約台帳!$A$3:$Q$4986,17,FALSE))</f>
        <v/>
      </c>
      <c r="Y91" s="256" t="str">
        <f>IF(D91="","",VLOOKUP(D91,契約台帳!$A$3:$E$4986,5,FALSE))</f>
        <v/>
      </c>
      <c r="Z91" s="54"/>
      <c r="AA91" s="200" t="str">
        <f>IFERROR(VLOOKUP(F91&amp;K91&amp;M91,製品マスタ!$M$5:$AM$4999,27,FALSE),"")</f>
        <v/>
      </c>
      <c r="AB91" s="31"/>
      <c r="AC91" s="184"/>
      <c r="AD91" s="51"/>
      <c r="AE91" s="52"/>
      <c r="AF91" s="41"/>
      <c r="AG91" s="45"/>
      <c r="AH91" s="28"/>
      <c r="AI91" s="28"/>
      <c r="AJ91" s="28"/>
      <c r="AK91" s="28"/>
      <c r="AL91" s="12"/>
      <c r="AM91" s="12"/>
      <c r="AN91" s="12"/>
      <c r="AO91" s="12"/>
      <c r="AP91" s="12"/>
      <c r="AQ91" s="13"/>
      <c r="AR91" s="14"/>
    </row>
    <row r="92" spans="1:44" s="16" customFormat="1" ht="30.95" hidden="1" customHeight="1" x14ac:dyDescent="0.2">
      <c r="A92" s="35"/>
      <c r="B92" s="36"/>
      <c r="C92" s="43"/>
      <c r="D92" s="29"/>
      <c r="E92" s="29"/>
      <c r="F92" s="255" t="str">
        <f>IF(D92="","",VLOOKUP(D92,契約台帳!$A$3:$K$4986,6,FALSE)&amp;VLOOKUP(D92,契約台帳!$A$3:$K$4986,7,FALSE)&amp;VLOOKUP(D92,契約台帳!$A$3:$K$4986,8,FALSE)&amp;VLOOKUP(D92,契約台帳!$A$3:$K$4986,9,FALSE)&amp;VLOOKUP(D92,契約台帳!$A$3:$K$4986,11,FALSE))</f>
        <v/>
      </c>
      <c r="G92" s="256" t="str">
        <f>IF(D92="","",VLOOKUP(F92,製品マスタ!$G$5:$H$4999,2,FALSE))</f>
        <v/>
      </c>
      <c r="H92" s="256" t="str">
        <f>IF(D92="","",VLOOKUP(F92,製品マスタ!$G$5:$K$4999,5,FALSE))</f>
        <v/>
      </c>
      <c r="I92" s="200" t="str">
        <f>IF(D92="","",VLOOKUP(F92,製品マスタ!$G$5:$L$4999,6,FALSE))</f>
        <v/>
      </c>
      <c r="J92" s="30"/>
      <c r="K92" s="200" t="str">
        <f>IF(D92="","",VLOOKUP(D92,契約台帳!$A$3:$L$4986,12,FALSE))</f>
        <v/>
      </c>
      <c r="L92" s="200" t="str">
        <f>IF(D92="","",INDEX(製品マスタ!$Q$5:$Q$4999,MATCH(F92&amp;K92,製品マスタ!$AO$5:$AO$4999,0)))</f>
        <v/>
      </c>
      <c r="M92" s="37"/>
      <c r="N92" s="37"/>
      <c r="O92" s="45"/>
      <c r="P92" s="54"/>
      <c r="Q92" s="260" t="str">
        <f>IF(D92="","",IF(J92="リード付け",M92,VLOOKUP(D92,契約台帳!$A$3:$N$4986,14,FALSE)))</f>
        <v/>
      </c>
      <c r="R92" s="261" t="str">
        <f>IF(D92="","",IF(J92="リード付け",M92,VLOOKUP(D92,契約台帳!$A$3:$O$4986,15,FALSE)))</f>
        <v/>
      </c>
      <c r="S92" s="261" t="str">
        <f>IF(D92="","",IF(J92="リード付け",N92,VLOOKUP(D92,契約台帳!$A$3:$P$4986,16,FALSE)))</f>
        <v/>
      </c>
      <c r="T92" s="38"/>
      <c r="U92" s="261" t="str">
        <f ca="1">IF(D92="","",IF(OFFSET(D92,-2,0)=D92,"",VLOOKUP(D92,契約台帳!$A$3:$R$4986,18,FALSE)))</f>
        <v/>
      </c>
      <c r="V92" s="256" t="str">
        <f>IF(J92="巻返し",VLOOKUP(F92&amp;K92&amp;M92,製品マスタ!$M$5:$AD$4999,18,FALSE),IF(J92="リード付け","原反コア",IF(J92="スリット",VLOOKUP(F92&amp;K92&amp;Q92,製品マスタ!$N$5:$AD$4999,17,FALSE),"")))</f>
        <v/>
      </c>
      <c r="W92" s="256" t="str">
        <f>IF(J92="巻返し",VLOOKUP(F92&amp;K92&amp;M92,製品マスタ!$M$5:$AE$4999,19,FALSE),IF(J92="リード付け","-",IF(J92="スリット",VLOOKUP(F92&amp;K92&amp;Q92,製品マスタ!$N$5:$AE$4999,18,FALSE),"")))</f>
        <v/>
      </c>
      <c r="X92" s="256" t="str">
        <f>IF(D92="","",VLOOKUP(D92,契約台帳!$A$3:$Q$4986,17,FALSE))</f>
        <v/>
      </c>
      <c r="Y92" s="256" t="str">
        <f>IF(D92="","",VLOOKUP(D92,契約台帳!$A$3:$E$4986,5,FALSE))</f>
        <v/>
      </c>
      <c r="Z92" s="54"/>
      <c r="AA92" s="200" t="str">
        <f>IFERROR(VLOOKUP(F92&amp;K92&amp;M92,製品マスタ!$M$5:$AM$4999,27,FALSE),"")</f>
        <v/>
      </c>
      <c r="AB92" s="31"/>
      <c r="AC92" s="184"/>
      <c r="AD92" s="51"/>
      <c r="AE92" s="52"/>
      <c r="AF92" s="41"/>
      <c r="AG92" s="45"/>
      <c r="AH92" s="28"/>
      <c r="AI92" s="28"/>
      <c r="AJ92" s="28"/>
      <c r="AK92" s="28"/>
      <c r="AL92" s="12"/>
      <c r="AM92" s="12"/>
      <c r="AN92" s="12"/>
      <c r="AO92" s="12"/>
      <c r="AP92" s="12"/>
      <c r="AQ92" s="13"/>
      <c r="AR92" s="14"/>
    </row>
    <row r="93" spans="1:44" s="16" customFormat="1" ht="30.95" hidden="1" customHeight="1" x14ac:dyDescent="0.2">
      <c r="A93" s="35" t="s">
        <v>819</v>
      </c>
      <c r="B93" s="36" t="s">
        <v>783</v>
      </c>
      <c r="C93" s="43"/>
      <c r="D93" s="29"/>
      <c r="E93" s="29"/>
      <c r="F93" s="255" t="str">
        <f>IF(D93="","",VLOOKUP(D93,契約台帳!$A$3:$K$4986,6,FALSE)&amp;VLOOKUP(D93,契約台帳!$A$3:$K$4986,7,FALSE)&amp;VLOOKUP(D93,契約台帳!$A$3:$K$4986,8,FALSE)&amp;VLOOKUP(D93,契約台帳!$A$3:$K$4986,9,FALSE)&amp;VLOOKUP(D93,契約台帳!$A$3:$K$4986,11,FALSE))</f>
        <v/>
      </c>
      <c r="G93" s="256" t="str">
        <f>IF(D93="","",VLOOKUP(F93,製品マスタ!$G$5:$H$4999,2,FALSE))</f>
        <v/>
      </c>
      <c r="H93" s="256" t="str">
        <f>IF(D93="","",VLOOKUP(F93,製品マスタ!$G$5:$K$4999,5,FALSE))</f>
        <v/>
      </c>
      <c r="I93" s="200" t="str">
        <f>IF(D93="","",VLOOKUP(F93,製品マスタ!$G$5:$L$4999,6,FALSE))</f>
        <v/>
      </c>
      <c r="J93" s="30" t="s">
        <v>818</v>
      </c>
      <c r="K93" s="200" t="str">
        <f>IF(D93="","",VLOOKUP(D93,契約台帳!$A$3:$L$4986,12,FALSE))</f>
        <v/>
      </c>
      <c r="L93" s="200" t="str">
        <f>IF(D93="","",INDEX(製品マスタ!$Q$5:$Q$4999,MATCH(F93&amp;K93,製品マスタ!$AO$5:$AO$4999,0)))</f>
        <v/>
      </c>
      <c r="M93" s="37"/>
      <c r="N93" s="37"/>
      <c r="O93" s="45"/>
      <c r="P93" s="54"/>
      <c r="Q93" s="260" t="str">
        <f>IF(D93="","",IF(J93="リード付け",M93,VLOOKUP(D93,契約台帳!$A$3:$N$4986,14,FALSE)))</f>
        <v/>
      </c>
      <c r="R93" s="261" t="str">
        <f>IF(D93="","",IF(J93="リード付け",M93,VLOOKUP(D93,契約台帳!$A$3:$O$4986,15,FALSE)))</f>
        <v/>
      </c>
      <c r="S93" s="261" t="str">
        <f>IF(D93="","",IF(J93="リード付け",N93,VLOOKUP(D93,契約台帳!$A$3:$P$4986,16,FALSE)))</f>
        <v/>
      </c>
      <c r="T93" s="38"/>
      <c r="U93" s="261" t="str">
        <f ca="1">IF(D93="","",IF(OFFSET(D93,-2,0)=D93,"",VLOOKUP(D93,契約台帳!$A$3:$R$4986,18,FALSE)))</f>
        <v/>
      </c>
      <c r="V93" s="256" t="str">
        <f>IF(J93="巻返し",VLOOKUP(F93&amp;K93&amp;M93,製品マスタ!$M$5:$AD$4999,18,FALSE),IF(J93="リード付け","原反コア",IF(J93="スリット",VLOOKUP(F93&amp;K93&amp;Q93,製品マスタ!$N$5:$AD$4999,17,FALSE),"")))</f>
        <v/>
      </c>
      <c r="W93" s="256" t="str">
        <f>IF(J93="巻返し",VLOOKUP(F93&amp;K93&amp;M93,製品マスタ!$M$5:$AE$4999,19,FALSE),IF(J93="リード付け","-",IF(J93="スリット",VLOOKUP(F93&amp;K93&amp;Q93,製品マスタ!$N$5:$AE$4999,18,FALSE),"")))</f>
        <v/>
      </c>
      <c r="X93" s="256" t="str">
        <f>IF(D93="","",VLOOKUP(D93,契約台帳!$A$3:$Q$4986,17,FALSE))</f>
        <v/>
      </c>
      <c r="Y93" s="256" t="str">
        <f>IF(D93="","",VLOOKUP(D93,契約台帳!$A$3:$E$4986,5,FALSE))</f>
        <v/>
      </c>
      <c r="Z93" s="54"/>
      <c r="AA93" s="200" t="str">
        <f>IFERROR(VLOOKUP(F93&amp;K93&amp;M93,製品マスタ!$M$5:$AM$4999,27,FALSE),"")</f>
        <v/>
      </c>
      <c r="AB93" s="31"/>
      <c r="AC93" s="184"/>
      <c r="AD93" s="51"/>
      <c r="AE93" s="52"/>
      <c r="AF93" s="41"/>
      <c r="AG93" s="45"/>
      <c r="AH93" s="28"/>
      <c r="AI93" s="28"/>
      <c r="AJ93" s="28"/>
      <c r="AK93" s="28"/>
      <c r="AL93" s="12"/>
      <c r="AM93" s="12"/>
      <c r="AN93" s="12"/>
      <c r="AO93" s="12"/>
      <c r="AP93" s="12"/>
      <c r="AQ93" s="13"/>
      <c r="AR93" s="14"/>
    </row>
    <row r="94" spans="1:44" s="16" customFormat="1" ht="30.95" hidden="1" customHeight="1" x14ac:dyDescent="0.2">
      <c r="A94" s="35"/>
      <c r="B94" s="36"/>
      <c r="C94" s="43"/>
      <c r="D94" s="29"/>
      <c r="E94" s="29"/>
      <c r="F94" s="255" t="str">
        <f>IF(D94="","",VLOOKUP(D94,契約台帳!$A$3:$K$4986,6,FALSE)&amp;VLOOKUP(D94,契約台帳!$A$3:$K$4986,7,FALSE)&amp;VLOOKUP(D94,契約台帳!$A$3:$K$4986,8,FALSE)&amp;VLOOKUP(D94,契約台帳!$A$3:$K$4986,9,FALSE)&amp;VLOOKUP(D94,契約台帳!$A$3:$K$4986,11,FALSE))</f>
        <v/>
      </c>
      <c r="G94" s="256" t="str">
        <f>IF(D94="","",VLOOKUP(F94,製品マスタ!$G$5:$H$4999,2,FALSE))</f>
        <v/>
      </c>
      <c r="H94" s="256" t="str">
        <f>IF(D94="","",VLOOKUP(F94,製品マスタ!$G$5:$K$4999,5,FALSE))</f>
        <v/>
      </c>
      <c r="I94" s="200" t="str">
        <f>IF(D94="","",VLOOKUP(F94,製品マスタ!$G$5:$L$4999,6,FALSE))</f>
        <v/>
      </c>
      <c r="J94" s="30"/>
      <c r="K94" s="200" t="str">
        <f>IF(D94="","",VLOOKUP(D94,契約台帳!$A$3:$L$4986,12,FALSE))</f>
        <v/>
      </c>
      <c r="L94" s="200" t="str">
        <f>IF(D94="","",INDEX(製品マスタ!$Q$5:$Q$4999,MATCH(F94&amp;K94,製品マスタ!$AO$5:$AO$4999,0)))</f>
        <v/>
      </c>
      <c r="M94" s="37"/>
      <c r="N94" s="37"/>
      <c r="O94" s="45"/>
      <c r="P94" s="54"/>
      <c r="Q94" s="260" t="str">
        <f>IF(D94="","",IF(J94="リード付け",M94,VLOOKUP(D94,契約台帳!$A$3:$N$4986,14,FALSE)))</f>
        <v/>
      </c>
      <c r="R94" s="261" t="str">
        <f>IF(D94="","",IF(J94="リード付け",M94,VLOOKUP(D94,契約台帳!$A$3:$O$4986,15,FALSE)))</f>
        <v/>
      </c>
      <c r="S94" s="261" t="str">
        <f>IF(D94="","",IF(J94="リード付け",N94,VLOOKUP(D94,契約台帳!$A$3:$P$4986,16,FALSE)))</f>
        <v/>
      </c>
      <c r="T94" s="38"/>
      <c r="U94" s="261" t="str">
        <f ca="1">IF(D94="","",IF(OFFSET(D94,-2,0)=D94,"",VLOOKUP(D94,契約台帳!$A$3:$R$4986,18,FALSE)))</f>
        <v/>
      </c>
      <c r="V94" s="256" t="str">
        <f>IF(J94="巻返し",VLOOKUP(F94&amp;K94&amp;M94,製品マスタ!$M$5:$AD$4999,18,FALSE),IF(J94="リード付け","原反コア",IF(J94="スリット",VLOOKUP(F94&amp;K94&amp;Q94,製品マスタ!$N$5:$AD$4999,17,FALSE),"")))</f>
        <v/>
      </c>
      <c r="W94" s="256" t="str">
        <f>IF(J94="巻返し",VLOOKUP(F94&amp;K94&amp;M94,製品マスタ!$M$5:$AE$4999,19,FALSE),IF(J94="リード付け","-",IF(J94="スリット",VLOOKUP(F94&amp;K94&amp;Q94,製品マスタ!$N$5:$AE$4999,18,FALSE),"")))</f>
        <v/>
      </c>
      <c r="X94" s="256" t="str">
        <f>IF(D94="","",VLOOKUP(D94,契約台帳!$A$3:$Q$4986,17,FALSE))</f>
        <v/>
      </c>
      <c r="Y94" s="256" t="str">
        <f>IF(D94="","",VLOOKUP(D94,契約台帳!$A$3:$E$4986,5,FALSE))</f>
        <v/>
      </c>
      <c r="Z94" s="54"/>
      <c r="AA94" s="200" t="str">
        <f>IFERROR(VLOOKUP(F94&amp;K94&amp;M94,製品マスタ!$M$5:$AM$4999,27,FALSE),"")</f>
        <v/>
      </c>
      <c r="AB94" s="31"/>
      <c r="AC94" s="184"/>
      <c r="AD94" s="51"/>
      <c r="AE94" s="52"/>
      <c r="AF94" s="41"/>
      <c r="AG94" s="45"/>
      <c r="AH94" s="28"/>
      <c r="AI94" s="28"/>
      <c r="AJ94" s="28"/>
      <c r="AK94" s="28"/>
      <c r="AL94" s="12"/>
      <c r="AM94" s="12"/>
      <c r="AN94" s="12"/>
      <c r="AO94" s="12"/>
      <c r="AP94" s="12"/>
      <c r="AQ94" s="13"/>
      <c r="AR94" s="14"/>
    </row>
    <row r="95" spans="1:44" s="16" customFormat="1" ht="30.95" hidden="1" customHeight="1" x14ac:dyDescent="0.2">
      <c r="A95" s="35" t="s">
        <v>823</v>
      </c>
      <c r="B95" s="36" t="s">
        <v>785</v>
      </c>
      <c r="C95" s="43"/>
      <c r="D95" s="29"/>
      <c r="E95" s="29"/>
      <c r="F95" s="255" t="str">
        <f>IF(D95="","",VLOOKUP(D95,契約台帳!$A$3:$K$4986,6,FALSE)&amp;VLOOKUP(D95,契約台帳!$A$3:$K$4986,7,FALSE)&amp;VLOOKUP(D95,契約台帳!$A$3:$K$4986,8,FALSE)&amp;VLOOKUP(D95,契約台帳!$A$3:$K$4986,9,FALSE)&amp;VLOOKUP(D95,契約台帳!$A$3:$K$4986,11,FALSE))</f>
        <v/>
      </c>
      <c r="G95" s="256" t="str">
        <f>IF(D95="","",VLOOKUP(F95,製品マスタ!$G$5:$H$4999,2,FALSE))</f>
        <v/>
      </c>
      <c r="H95" s="256" t="str">
        <f>IF(D95="","",VLOOKUP(F95,製品マスタ!$G$5:$K$4999,5,FALSE))</f>
        <v/>
      </c>
      <c r="I95" s="200" t="str">
        <f>IF(D95="","",VLOOKUP(F95,製品マスタ!$G$5:$L$4999,6,FALSE))</f>
        <v/>
      </c>
      <c r="J95" s="30" t="s">
        <v>448</v>
      </c>
      <c r="K95" s="200" t="str">
        <f>IF(D95="","",VLOOKUP(D95,契約台帳!$A$3:$L$4986,12,FALSE))</f>
        <v/>
      </c>
      <c r="L95" s="200" t="str">
        <f>IF(D95="","",INDEX(製品マスタ!$Q$5:$Q$4999,MATCH(F95&amp;K95,製品マスタ!$AO$5:$AO$4999,0)))</f>
        <v/>
      </c>
      <c r="M95" s="37"/>
      <c r="N95" s="37"/>
      <c r="O95" s="45"/>
      <c r="P95" s="54"/>
      <c r="Q95" s="260" t="str">
        <f>IF(D95="","",IF(J95="リード付け",M95,VLOOKUP(D95,契約台帳!$A$3:$N$4986,14,FALSE)))</f>
        <v/>
      </c>
      <c r="R95" s="261" t="str">
        <f>IF(D95="","",IF(J95="リード付け",M95,VLOOKUP(D95,契約台帳!$A$3:$O$4986,15,FALSE)))</f>
        <v/>
      </c>
      <c r="S95" s="261" t="str">
        <f>IF(D95="","",IF(J95="リード付け",N95,VLOOKUP(D95,契約台帳!$A$3:$P$4986,16,FALSE)))</f>
        <v/>
      </c>
      <c r="T95" s="38"/>
      <c r="U95" s="261" t="str">
        <f ca="1">IF(D95="","",IF(OFFSET(D95,-2,0)=D95,"",VLOOKUP(D95,契約台帳!$A$3:$R$4986,18,FALSE)))</f>
        <v/>
      </c>
      <c r="V95" s="256" t="str">
        <f>IF(J95="巻返し",VLOOKUP(F95&amp;K95&amp;M95,製品マスタ!$M$5:$AD$4999,18,FALSE),IF(J95="リード付け","原反コア",IF(J95="スリット",VLOOKUP(F95&amp;K95&amp;Q95,製品マスタ!$N$5:$AD$4999,17,FALSE),"")))</f>
        <v/>
      </c>
      <c r="W95" s="256" t="str">
        <f>IF(J95="巻返し",VLOOKUP(F95&amp;K95&amp;M95,製品マスタ!$M$5:$AE$4999,19,FALSE),IF(J95="リード付け","-",IF(J95="スリット",VLOOKUP(F95&amp;K95&amp;Q95,製品マスタ!$N$5:$AE$4999,18,FALSE),"")))</f>
        <v/>
      </c>
      <c r="X95" s="256" t="str">
        <f>IF(D95="","",VLOOKUP(D95,契約台帳!$A$3:$Q$4986,17,FALSE))</f>
        <v/>
      </c>
      <c r="Y95" s="256" t="str">
        <f>IF(D95="","",VLOOKUP(D95,契約台帳!$A$3:$E$4986,5,FALSE))</f>
        <v/>
      </c>
      <c r="Z95" s="54"/>
      <c r="AA95" s="200" t="str">
        <f>IFERROR(VLOOKUP(F95&amp;K95&amp;M95,製品マスタ!$M$5:$AM$4999,27,FALSE),"")</f>
        <v/>
      </c>
      <c r="AB95" s="31"/>
      <c r="AC95" s="184"/>
      <c r="AD95" s="51"/>
      <c r="AE95" s="52"/>
      <c r="AF95" s="41"/>
      <c r="AG95" s="45"/>
      <c r="AH95" s="28"/>
      <c r="AI95" s="28"/>
      <c r="AJ95" s="28"/>
      <c r="AK95" s="28"/>
      <c r="AL95" s="12"/>
      <c r="AM95" s="12"/>
      <c r="AN95" s="12"/>
      <c r="AO95" s="12"/>
      <c r="AP95" s="12"/>
      <c r="AQ95" s="13"/>
      <c r="AR95" s="14"/>
    </row>
    <row r="96" spans="1:44" s="16" customFormat="1" ht="30.95" hidden="1" customHeight="1" x14ac:dyDescent="0.2">
      <c r="A96" s="35"/>
      <c r="B96" s="36"/>
      <c r="C96" s="43"/>
      <c r="D96" s="29"/>
      <c r="E96" s="29"/>
      <c r="F96" s="255" t="str">
        <f>IF(D96="","",VLOOKUP(D96,契約台帳!$A$3:$K$4986,6,FALSE)&amp;VLOOKUP(D96,契約台帳!$A$3:$K$4986,7,FALSE)&amp;VLOOKUP(D96,契約台帳!$A$3:$K$4986,8,FALSE)&amp;VLOOKUP(D96,契約台帳!$A$3:$K$4986,9,FALSE)&amp;VLOOKUP(D96,契約台帳!$A$3:$K$4986,11,FALSE))</f>
        <v/>
      </c>
      <c r="G96" s="256" t="str">
        <f>IF(D96="","",VLOOKUP(F96,製品マスタ!$G$5:$H$4999,2,FALSE))</f>
        <v/>
      </c>
      <c r="H96" s="256" t="str">
        <f>IF(D96="","",VLOOKUP(F96,製品マスタ!$G$5:$K$4999,5,FALSE))</f>
        <v/>
      </c>
      <c r="I96" s="200" t="str">
        <f>IF(D96="","",VLOOKUP(F96,製品マスタ!$G$5:$L$4999,6,FALSE))</f>
        <v/>
      </c>
      <c r="J96" s="30"/>
      <c r="K96" s="200" t="str">
        <f>IF(D96="","",VLOOKUP(D96,契約台帳!$A$3:$L$4986,12,FALSE))</f>
        <v/>
      </c>
      <c r="L96" s="200" t="str">
        <f>IF(D96="","",INDEX(製品マスタ!$Q$5:$Q$4999,MATCH(F96&amp;K96,製品マスタ!$AO$5:$AO$4999,0)))</f>
        <v/>
      </c>
      <c r="M96" s="37"/>
      <c r="N96" s="37"/>
      <c r="O96" s="45"/>
      <c r="P96" s="54"/>
      <c r="Q96" s="260" t="str">
        <f>IF(D96="","",IF(J96="リード付け",M96,VLOOKUP(D96,契約台帳!$A$3:$N$4986,14,FALSE)))</f>
        <v/>
      </c>
      <c r="R96" s="261" t="str">
        <f>IF(D96="","",IF(J96="リード付け",M96,VLOOKUP(D96,契約台帳!$A$3:$O$4986,15,FALSE)))</f>
        <v/>
      </c>
      <c r="S96" s="261" t="str">
        <f>IF(D96="","",IF(J96="リード付け",N96,VLOOKUP(D96,契約台帳!$A$3:$P$4986,16,FALSE)))</f>
        <v/>
      </c>
      <c r="T96" s="38"/>
      <c r="U96" s="261" t="str">
        <f ca="1">IF(D96="","",IF(OFFSET(D96,-2,0)=D96,"",VLOOKUP(D96,契約台帳!$A$3:$R$4986,18,FALSE)))</f>
        <v/>
      </c>
      <c r="V96" s="256" t="str">
        <f>IF(J96="巻返し",VLOOKUP(F96&amp;K96&amp;M96,製品マスタ!$M$5:$AD$4999,18,FALSE),IF(J96="リード付け","原反コア",IF(J96="スリット",VLOOKUP(F96&amp;K96&amp;Q96,製品マスタ!$N$5:$AD$4999,17,FALSE),"")))</f>
        <v/>
      </c>
      <c r="W96" s="256" t="str">
        <f>IF(J96="巻返し",VLOOKUP(F96&amp;K96&amp;M96,製品マスタ!$M$5:$AE$4999,19,FALSE),IF(J96="リード付け","-",IF(J96="スリット",VLOOKUP(F96&amp;K96&amp;Q96,製品マスタ!$N$5:$AE$4999,18,FALSE),"")))</f>
        <v/>
      </c>
      <c r="X96" s="256" t="str">
        <f>IF(D96="","",VLOOKUP(D96,契約台帳!$A$3:$Q$4986,17,FALSE))</f>
        <v/>
      </c>
      <c r="Y96" s="256" t="str">
        <f>IF(D96="","",VLOOKUP(D96,契約台帳!$A$3:$E$4986,5,FALSE))</f>
        <v/>
      </c>
      <c r="Z96" s="54"/>
      <c r="AA96" s="200" t="str">
        <f>IFERROR(VLOOKUP(F96&amp;K96&amp;M96,製品マスタ!$M$5:$AM$4999,27,FALSE),"")</f>
        <v/>
      </c>
      <c r="AB96" s="31"/>
      <c r="AC96" s="184"/>
      <c r="AD96" s="51"/>
      <c r="AE96" s="52"/>
      <c r="AF96" s="41"/>
      <c r="AG96" s="45"/>
      <c r="AH96" s="28"/>
      <c r="AI96" s="28" t="s">
        <v>826</v>
      </c>
      <c r="AJ96" s="28"/>
      <c r="AK96" s="28"/>
      <c r="AL96" s="12"/>
      <c r="AM96" s="12"/>
      <c r="AN96" s="12"/>
      <c r="AO96" s="12"/>
      <c r="AP96" s="12"/>
      <c r="AQ96" s="13"/>
      <c r="AR96" s="14"/>
    </row>
    <row r="97" spans="1:44" s="225" customFormat="1" ht="30.95" hidden="1" customHeight="1" x14ac:dyDescent="0.2">
      <c r="A97" s="209"/>
      <c r="B97" s="210"/>
      <c r="C97" s="262"/>
      <c r="D97" s="211"/>
      <c r="E97" s="211"/>
      <c r="F97" s="263" t="str">
        <f>IF(D97="","",VLOOKUP(D97,契約台帳!$A$3:$K$4986,6,FALSE)&amp;VLOOKUP(D97,契約台帳!$A$3:$K$4986,7,FALSE)&amp;VLOOKUP(D97,契約台帳!$A$3:$K$4986,8,FALSE)&amp;VLOOKUP(D97,契約台帳!$A$3:$K$4986,9,FALSE)&amp;VLOOKUP(D97,契約台帳!$A$3:$K$4986,11,FALSE))</f>
        <v/>
      </c>
      <c r="G97" s="264" t="str">
        <f>IF(D97="","",VLOOKUP(F97,製品マスタ!$G$5:$H$4999,2,FALSE))</f>
        <v/>
      </c>
      <c r="H97" s="264" t="str">
        <f>IF(D97="","",VLOOKUP(F97,製品マスタ!$G$5:$K$4999,5,FALSE))</f>
        <v/>
      </c>
      <c r="I97" s="265" t="str">
        <f>IF(D97="","",VLOOKUP(F97,製品マスタ!$G$5:$L$4999,6,FALSE))</f>
        <v/>
      </c>
      <c r="J97" s="212"/>
      <c r="K97" s="265" t="str">
        <f>IF(D97="","",VLOOKUP(D97,契約台帳!$A$3:$L$4986,12,FALSE))</f>
        <v/>
      </c>
      <c r="L97" s="265" t="str">
        <f>IF(D97="","",INDEX(製品マスタ!$Q$5:$Q$4999,MATCH(F97&amp;K97,製品マスタ!$AO$5:$AO$4999,0)))</f>
        <v/>
      </c>
      <c r="M97" s="213"/>
      <c r="N97" s="213"/>
      <c r="O97" s="214"/>
      <c r="P97" s="206"/>
      <c r="Q97" s="266" t="str">
        <f>IF(D97="","",IF(J97="リード付け",M97,VLOOKUP(D97,契約台帳!$A$3:$N$4986,14,FALSE)))</f>
        <v/>
      </c>
      <c r="R97" s="267" t="str">
        <f>IF(D97="","",IF(J97="リード付け",M97,VLOOKUP(D97,契約台帳!$A$3:$O$4986,15,FALSE)))</f>
        <v/>
      </c>
      <c r="S97" s="267" t="str">
        <f>IF(D97="","",IF(J97="リード付け",N97,VLOOKUP(D97,契約台帳!$A$3:$P$4986,16,FALSE)))</f>
        <v/>
      </c>
      <c r="T97" s="216"/>
      <c r="U97" s="267" t="str">
        <f ca="1">IF(D97="","",IF(OFFSET(D97,-2,0)=D97,"",VLOOKUP(D97,契約台帳!$A$3:$R$4986,18,FALSE)))</f>
        <v/>
      </c>
      <c r="V97" s="264" t="str">
        <f>IF(J97="巻返し",VLOOKUP(F97&amp;K97&amp;M97,製品マスタ!$M$5:$AD$4999,18,FALSE),IF(J97="リード付け","原反コア",IF(J97="スリット",VLOOKUP(F97&amp;K97&amp;Q97,製品マスタ!$N$5:$AD$4999,17,FALSE),"")))</f>
        <v/>
      </c>
      <c r="W97" s="264" t="str">
        <f>IF(J97="巻返し",VLOOKUP(F97&amp;K97&amp;M97,製品マスタ!$M$5:$AE$4999,19,FALSE),IF(J97="リード付け","-",IF(J97="スリット",VLOOKUP(F97&amp;K97&amp;Q97,製品マスタ!$N$5:$AE$4999,18,FALSE),"")))</f>
        <v/>
      </c>
      <c r="X97" s="264" t="str">
        <f>IF(D97="","",VLOOKUP(D97,契約台帳!$A$3:$Q$4986,17,FALSE))</f>
        <v/>
      </c>
      <c r="Y97" s="264" t="str">
        <f>IF(D97="","",VLOOKUP(D97,契約台帳!$A$3:$E$4986,5,FALSE))</f>
        <v/>
      </c>
      <c r="Z97" s="206"/>
      <c r="AA97" s="265" t="str">
        <f>IFERROR(VLOOKUP(F97&amp;K97&amp;M97,製品マスタ!$M$5:$AM$4999,27,FALSE),"")</f>
        <v/>
      </c>
      <c r="AB97" s="217"/>
      <c r="AC97" s="218"/>
      <c r="AD97" s="219"/>
      <c r="AE97" s="220"/>
      <c r="AF97" s="215"/>
      <c r="AG97" s="226">
        <f>SUM(AG37:AG95)</f>
        <v>496842.25550000003</v>
      </c>
      <c r="AH97" s="221"/>
      <c r="AI97" s="273">
        <f>+AG97+'S4'!AI138</f>
        <v>540961.29550000001</v>
      </c>
      <c r="AJ97" s="221"/>
      <c r="AK97" s="221"/>
      <c r="AL97" s="222"/>
      <c r="AM97" s="222"/>
      <c r="AN97" s="222"/>
      <c r="AO97" s="222"/>
      <c r="AP97" s="222"/>
      <c r="AQ97" s="223"/>
      <c r="AR97" s="224"/>
    </row>
    <row r="98" spans="1:44" s="16" customFormat="1" ht="30.95" hidden="1" customHeight="1" x14ac:dyDescent="0.2">
      <c r="A98" s="35"/>
      <c r="B98" s="36"/>
      <c r="C98" s="43"/>
      <c r="D98" s="29"/>
      <c r="E98" s="29"/>
      <c r="F98" s="255" t="str">
        <f>IF(D98="","",VLOOKUP(D98,契約台帳!$A$3:$K$4986,6,FALSE)&amp;VLOOKUP(D98,契約台帳!$A$3:$K$4986,7,FALSE)&amp;VLOOKUP(D98,契約台帳!$A$3:$K$4986,8,FALSE)&amp;VLOOKUP(D98,契約台帳!$A$3:$K$4986,9,FALSE)&amp;VLOOKUP(D98,契約台帳!$A$3:$K$4986,11,FALSE))</f>
        <v/>
      </c>
      <c r="G98" s="256" t="str">
        <f>IF(D98="","",VLOOKUP(F98,製品マスタ!$G$5:$H$4999,2,FALSE))</f>
        <v/>
      </c>
      <c r="H98" s="256" t="str">
        <f>IF(D98="","",VLOOKUP(F98,製品マスタ!$G$5:$K$4999,5,FALSE))</f>
        <v/>
      </c>
      <c r="I98" s="200" t="str">
        <f>IF(D98="","",VLOOKUP(F98,製品マスタ!$G$5:$L$4999,6,FALSE))</f>
        <v/>
      </c>
      <c r="J98" s="30"/>
      <c r="K98" s="200" t="str">
        <f>IF(D98="","",VLOOKUP(D98,契約台帳!$A$3:$L$4986,12,FALSE))</f>
        <v/>
      </c>
      <c r="L98" s="200" t="str">
        <f>IF(D98="","",INDEX(製品マスタ!$Q$5:$Q$4999,MATCH(F98&amp;K98,製品マスタ!$AO$5:$AO$4999,0)))</f>
        <v/>
      </c>
      <c r="M98" s="37"/>
      <c r="N98" s="37"/>
      <c r="O98" s="45"/>
      <c r="P98" s="54"/>
      <c r="Q98" s="260" t="str">
        <f>IF(D98="","",IF(J98="リード付け",M98,VLOOKUP(D98,契約台帳!$A$3:$N$4986,14,FALSE)))</f>
        <v/>
      </c>
      <c r="R98" s="261" t="str">
        <f>IF(D98="","",IF(J98="リード付け",M98,VLOOKUP(D98,契約台帳!$A$3:$O$4986,15,FALSE)))</f>
        <v/>
      </c>
      <c r="S98" s="261" t="str">
        <f>IF(D98="","",IF(J98="リード付け",N98,VLOOKUP(D98,契約台帳!$A$3:$P$4986,16,FALSE)))</f>
        <v/>
      </c>
      <c r="T98" s="38"/>
      <c r="U98" s="261" t="str">
        <f ca="1">IF(D98="","",IF(OFFSET(D98,-2,0)=D98,"",VLOOKUP(D98,契約台帳!$A$3:$R$4986,18,FALSE)))</f>
        <v/>
      </c>
      <c r="V98" s="256" t="str">
        <f>IF(J98="巻返し",VLOOKUP(F98&amp;K98&amp;M98,製品マスタ!$M$5:$AD$4999,18,FALSE),IF(J98="リード付け","原反コア",IF(J98="スリット",VLOOKUP(F98&amp;K98&amp;Q98,製品マスタ!$N$5:$AD$4999,17,FALSE),"")))</f>
        <v/>
      </c>
      <c r="W98" s="256" t="str">
        <f>IF(J98="巻返し",VLOOKUP(F98&amp;K98&amp;M98,製品マスタ!$M$5:$AE$4999,19,FALSE),IF(J98="リード付け","-",IF(J98="スリット",VLOOKUP(F98&amp;K98&amp;Q98,製品マスタ!$N$5:$AE$4999,18,FALSE),"")))</f>
        <v/>
      </c>
      <c r="X98" s="256" t="str">
        <f>IF(D98="","",VLOOKUP(D98,契約台帳!$A$3:$Q$4986,17,FALSE))</f>
        <v/>
      </c>
      <c r="Y98" s="256" t="str">
        <f>IF(D98="","",VLOOKUP(D98,契約台帳!$A$3:$E$4986,5,FALSE))</f>
        <v/>
      </c>
      <c r="Z98" s="54"/>
      <c r="AA98" s="200" t="str">
        <f>IFERROR(VLOOKUP(F98&amp;K98&amp;M98,製品マスタ!$M$5:$AM$4999,27,FALSE),"")</f>
        <v/>
      </c>
      <c r="AB98" s="31"/>
      <c r="AC98" s="184"/>
      <c r="AD98" s="51"/>
      <c r="AE98" s="52"/>
      <c r="AF98" s="41"/>
      <c r="AG98" s="45"/>
      <c r="AH98" s="28"/>
      <c r="AI98" s="28"/>
      <c r="AJ98" s="28"/>
      <c r="AK98" s="28"/>
      <c r="AL98" s="12"/>
      <c r="AM98" s="12"/>
      <c r="AN98" s="12"/>
      <c r="AO98" s="12"/>
      <c r="AP98" s="12"/>
      <c r="AQ98" s="13"/>
      <c r="AR98" s="14"/>
    </row>
    <row r="99" spans="1:44" s="16" customFormat="1" ht="30.95" hidden="1" customHeight="1" x14ac:dyDescent="0.2">
      <c r="A99" s="35"/>
      <c r="B99" s="36"/>
      <c r="C99" s="43"/>
      <c r="D99" s="29"/>
      <c r="E99" s="29"/>
      <c r="F99" s="255"/>
      <c r="G99" s="256"/>
      <c r="H99" s="256"/>
      <c r="I99" s="200"/>
      <c r="J99" s="30"/>
      <c r="K99" s="200"/>
      <c r="L99" s="200"/>
      <c r="M99" s="37"/>
      <c r="N99" s="37"/>
      <c r="O99" s="45"/>
      <c r="P99" s="54"/>
      <c r="Q99" s="260"/>
      <c r="R99" s="261"/>
      <c r="S99" s="261"/>
      <c r="T99" s="38"/>
      <c r="U99" s="261"/>
      <c r="V99" s="256"/>
      <c r="W99" s="256"/>
      <c r="X99" s="256"/>
      <c r="Y99" s="256"/>
      <c r="Z99" s="54"/>
      <c r="AA99" s="200"/>
      <c r="AB99" s="31"/>
      <c r="AC99" s="184"/>
      <c r="AD99" s="51"/>
      <c r="AE99" s="52"/>
      <c r="AF99" s="41"/>
      <c r="AG99" s="45"/>
      <c r="AH99" s="28"/>
      <c r="AI99" s="28"/>
      <c r="AJ99" s="28"/>
      <c r="AK99" s="28"/>
      <c r="AL99" s="12"/>
      <c r="AM99" s="12"/>
      <c r="AN99" s="12"/>
      <c r="AO99" s="12"/>
      <c r="AP99" s="12"/>
      <c r="AQ99" s="13"/>
      <c r="AR99" s="14"/>
    </row>
    <row r="100" spans="1:44" s="16" customFormat="1" ht="30.95" hidden="1" customHeight="1" x14ac:dyDescent="0.2">
      <c r="A100" s="35"/>
      <c r="B100" s="36"/>
      <c r="C100" s="43"/>
      <c r="D100" s="29"/>
      <c r="E100" s="29"/>
      <c r="F100" s="255"/>
      <c r="G100" s="256"/>
      <c r="H100" s="256"/>
      <c r="I100" s="200"/>
      <c r="J100" s="30"/>
      <c r="K100" s="200"/>
      <c r="L100" s="200"/>
      <c r="M100" s="37"/>
      <c r="N100" s="37"/>
      <c r="O100" s="45"/>
      <c r="P100" s="54"/>
      <c r="Q100" s="260"/>
      <c r="R100" s="261"/>
      <c r="S100" s="261"/>
      <c r="T100" s="38"/>
      <c r="U100" s="261"/>
      <c r="V100" s="256"/>
      <c r="W100" s="256"/>
      <c r="X100" s="256"/>
      <c r="Y100" s="256"/>
      <c r="Z100" s="54"/>
      <c r="AA100" s="200"/>
      <c r="AB100" s="31"/>
      <c r="AC100" s="184"/>
      <c r="AD100" s="51"/>
      <c r="AE100" s="52"/>
      <c r="AF100" s="41"/>
      <c r="AG100" s="45"/>
      <c r="AH100" s="28"/>
      <c r="AI100" s="28"/>
      <c r="AJ100" s="28"/>
      <c r="AK100" s="28"/>
      <c r="AL100" s="12"/>
      <c r="AM100" s="12"/>
      <c r="AN100" s="12"/>
      <c r="AO100" s="12"/>
      <c r="AP100" s="12"/>
      <c r="AQ100" s="13"/>
      <c r="AR100" s="14"/>
    </row>
    <row r="101" spans="1:44" s="16" customFormat="1" ht="30.95" hidden="1" customHeight="1" x14ac:dyDescent="0.2">
      <c r="A101" s="35" t="s">
        <v>837</v>
      </c>
      <c r="B101" s="36" t="s">
        <v>462</v>
      </c>
      <c r="C101" s="43"/>
      <c r="D101" s="29">
        <v>3697663</v>
      </c>
      <c r="E101" s="29">
        <v>4170097</v>
      </c>
      <c r="F101" s="255" t="str">
        <f>IF(D101="","",VLOOKUP(D101,契約台帳!$A$3:$K$4986,6,FALSE)&amp;VLOOKUP(D101,契約台帳!$A$3:$K$4986,7,FALSE)&amp;VLOOKUP(D101,契約台帳!$A$3:$K$4986,8,FALSE)&amp;VLOOKUP(D101,契約台帳!$A$3:$K$4986,9,FALSE)&amp;VLOOKUP(D101,契約台帳!$A$3:$K$4986,11,FALSE))</f>
        <v>3SNMLBMNGTBF</v>
      </c>
      <c r="G101" s="256" t="str">
        <f>IF(D101="","",VLOOKUP(F101,製品マスタ!$G$5:$H$4999,2,FALSE))</f>
        <v>S</v>
      </c>
      <c r="H101" s="256" t="str">
        <f>IF(D101="","",VLOOKUP(F101,製品マスタ!$G$5:$K$4999,5,FALSE))</f>
        <v>MNGTBF</v>
      </c>
      <c r="I101" s="200" t="str">
        <f>IF(D101="","",VLOOKUP(F101,製品マスタ!$G$5:$L$4999,6,FALSE))</f>
        <v>メタルミー　ネーマー　銀艶　Ｂ</v>
      </c>
      <c r="J101" s="30" t="s">
        <v>850</v>
      </c>
      <c r="K101" s="200">
        <f>IF(D101="","",VLOOKUP(D101,契約台帳!$A$3:$L$4986,12,FALSE))</f>
        <v>25</v>
      </c>
      <c r="L101" s="200" t="str">
        <f>IF(D101="","",INDEX(製品マスタ!$Q$5:$Q$4999,MATCH(F101&amp;K101,製品マスタ!$AO$5:$AO$4999,0)))</f>
        <v>T62M</v>
      </c>
      <c r="M101" s="37">
        <v>1125</v>
      </c>
      <c r="N101" s="37">
        <v>12100</v>
      </c>
      <c r="O101" s="45">
        <v>1</v>
      </c>
      <c r="P101" s="54">
        <v>44952</v>
      </c>
      <c r="Q101" s="260">
        <f>IF(D101="","",IF(J101="リード付け",M101,VLOOKUP(D101,契約台帳!$A$3:$N$4986,14,FALSE)))</f>
        <v>1125</v>
      </c>
      <c r="R101" s="261">
        <f>IF(D101="","",IF(J101="リード付け",M101,VLOOKUP(D101,契約台帳!$A$3:$O$4986,15,FALSE)))</f>
        <v>1125</v>
      </c>
      <c r="S101" s="261">
        <f>IF(D101="","",IF(J101="リード付け",N101,VLOOKUP(D101,契約台帳!$A$3:$P$4986,16,FALSE)))</f>
        <v>12100</v>
      </c>
      <c r="T101" s="38">
        <v>1</v>
      </c>
      <c r="U101" s="261">
        <f ca="1">IF(D101="","",IF(OFFSET(D101,-2,0)=D101,"",VLOOKUP(D101,契約台帳!$A$3:$R$4986,18,FALSE)))</f>
        <v>3</v>
      </c>
      <c r="V101" s="256" t="str">
        <f>IF(J101="巻返し",VLOOKUP(F101&amp;K101&amp;M101,製品マスタ!$M$5:$AD$4999,18,FALSE),IF(J101="リード付け","原反コア",IF(J101="スリット",VLOOKUP(F101&amp;K101&amp;Q101,製品マスタ!$N$5:$AD$4999,17,FALSE),"")))</f>
        <v>原反コア</v>
      </c>
      <c r="W101" s="256" t="str">
        <f>IF(J101="巻返し",VLOOKUP(F101&amp;K101&amp;M101,製品マスタ!$M$5:$AE$4999,19,FALSE),IF(J101="リード付け","-",IF(J101="スリット",VLOOKUP(F101&amp;K101&amp;Q101,製品マスタ!$N$5:$AE$4999,18,FALSE),"")))</f>
        <v>-</v>
      </c>
      <c r="X101" s="256">
        <f>IF(D101="","",VLOOKUP(D101,契約台帳!$A$3:$Q$4986,17,FALSE))</f>
        <v>2</v>
      </c>
      <c r="Y101" s="256" t="str">
        <f>IF(D101="","",VLOOKUP(D101,契約台帳!$A$3:$E$4986,5,FALSE))</f>
        <v>リンテック㈱</v>
      </c>
      <c r="Z101" s="54"/>
      <c r="AA101" s="200">
        <f>IFERROR(VLOOKUP(F101&amp;K101&amp;M101,製品マスタ!$M$5:$AM$4999,27,FALSE),"")</f>
        <v>0</v>
      </c>
      <c r="AB101" s="31"/>
      <c r="AC101" s="184"/>
      <c r="AD101" s="51"/>
      <c r="AE101" s="52"/>
      <c r="AF101" s="41"/>
      <c r="AG101" s="45"/>
      <c r="AH101" s="28"/>
      <c r="AI101" s="28"/>
      <c r="AJ101" s="28"/>
      <c r="AK101" s="28"/>
      <c r="AL101" s="12"/>
      <c r="AM101" s="12"/>
      <c r="AN101" s="12"/>
      <c r="AO101" s="12"/>
      <c r="AP101" s="12"/>
      <c r="AQ101" s="13"/>
      <c r="AR101" s="14"/>
    </row>
    <row r="102" spans="1:44" s="16" customFormat="1" ht="30.95" hidden="1" customHeight="1" x14ac:dyDescent="0.2">
      <c r="A102" s="35"/>
      <c r="B102" s="36"/>
      <c r="C102" s="43"/>
      <c r="D102" s="29"/>
      <c r="E102" s="29"/>
      <c r="F102" s="255" t="str">
        <f>IF(D102="","",VLOOKUP(D102,契約台帳!$A$3:$K$4986,6,FALSE)&amp;VLOOKUP(D102,契約台帳!$A$3:$K$4986,7,FALSE)&amp;VLOOKUP(D102,契約台帳!$A$3:$K$4986,8,FALSE)&amp;VLOOKUP(D102,契約台帳!$A$3:$K$4986,9,FALSE)&amp;VLOOKUP(D102,契約台帳!$A$3:$K$4986,11,FALSE))</f>
        <v/>
      </c>
      <c r="G102" s="256" t="str">
        <f>IF(D102="","",VLOOKUP(F102,製品マスタ!$G$5:$H$4999,2,FALSE))</f>
        <v/>
      </c>
      <c r="H102" s="256" t="str">
        <f>IF(D102="","",VLOOKUP(F102,製品マスタ!$G$5:$K$4999,5,FALSE))</f>
        <v/>
      </c>
      <c r="I102" s="200" t="str">
        <f>IF(D102="","",VLOOKUP(F102,製品マスタ!$G$5:$L$4999,6,FALSE))</f>
        <v/>
      </c>
      <c r="J102" s="30"/>
      <c r="K102" s="200" t="str">
        <f>IF(D102="","",VLOOKUP(D102,契約台帳!$A$3:$L$4986,12,FALSE))</f>
        <v/>
      </c>
      <c r="L102" s="200" t="str">
        <f>IF(D102="","",INDEX(製品マスタ!$Q$5:$Q$4999,MATCH(F102&amp;K102,製品マスタ!$AO$5:$AO$4999,0)))</f>
        <v/>
      </c>
      <c r="M102" s="37"/>
      <c r="N102" s="37"/>
      <c r="O102" s="45"/>
      <c r="P102" s="54"/>
      <c r="Q102" s="260" t="str">
        <f>IF(D102="","",IF(J102="リード付け",M102,VLOOKUP(D102,契約台帳!$A$3:$N$4986,14,FALSE)))</f>
        <v/>
      </c>
      <c r="R102" s="261" t="str">
        <f>IF(D102="","",IF(J102="リード付け",M102,VLOOKUP(D102,契約台帳!$A$3:$O$4986,15,FALSE)))</f>
        <v/>
      </c>
      <c r="S102" s="261" t="str">
        <f>IF(D102="","",IF(J102="リード付け",N102,VLOOKUP(D102,契約台帳!$A$3:$P$4986,16,FALSE)))</f>
        <v/>
      </c>
      <c r="T102" s="38"/>
      <c r="U102" s="261" t="str">
        <f ca="1">IF(D102="","",IF(OFFSET(D102,-2,0)=D102,"",VLOOKUP(D102,契約台帳!$A$3:$R$4986,18,FALSE)))</f>
        <v/>
      </c>
      <c r="V102" s="256" t="str">
        <f>IF(J102="巻返し",VLOOKUP(F102&amp;K102&amp;M102,製品マスタ!$M$5:$AD$4999,18,FALSE),IF(J102="リード付け","原反コア",IF(J102="スリット",VLOOKUP(F102&amp;K102&amp;Q102,製品マスタ!$N$5:$AD$4999,17,FALSE),"")))</f>
        <v/>
      </c>
      <c r="W102" s="256" t="str">
        <f>IF(J102="巻返し",VLOOKUP(F102&amp;K102&amp;M102,製品マスタ!$M$5:$AE$4999,19,FALSE),IF(J102="リード付け","-",IF(J102="スリット",VLOOKUP(F102&amp;K102&amp;Q102,製品マスタ!$N$5:$AE$4999,18,FALSE),"")))</f>
        <v/>
      </c>
      <c r="X102" s="256" t="str">
        <f>IF(D102="","",VLOOKUP(D102,契約台帳!$A$3:$Q$4986,17,FALSE))</f>
        <v/>
      </c>
      <c r="Y102" s="256" t="str">
        <f>IF(D102="","",VLOOKUP(D102,契約台帳!$A$3:$E$4986,5,FALSE))</f>
        <v/>
      </c>
      <c r="Z102" s="54"/>
      <c r="AA102" s="200" t="str">
        <f>IFERROR(VLOOKUP(F102&amp;K102&amp;M102,製品マスタ!$M$5:$AM$4999,27,FALSE),"")</f>
        <v/>
      </c>
      <c r="AB102" s="31"/>
      <c r="AC102" s="184"/>
      <c r="AD102" s="51"/>
      <c r="AE102" s="52"/>
      <c r="AF102" s="41"/>
      <c r="AG102" s="45"/>
      <c r="AH102" s="28"/>
      <c r="AI102" s="28"/>
      <c r="AJ102" s="28"/>
      <c r="AK102" s="28"/>
      <c r="AL102" s="12"/>
      <c r="AM102" s="12"/>
      <c r="AN102" s="12"/>
      <c r="AO102" s="12"/>
      <c r="AP102" s="12"/>
      <c r="AQ102" s="13"/>
      <c r="AR102" s="14"/>
    </row>
    <row r="103" spans="1:44" s="16" customFormat="1" ht="30.95" hidden="1" customHeight="1" x14ac:dyDescent="0.2">
      <c r="A103" s="35"/>
      <c r="B103" s="36"/>
      <c r="C103" s="43"/>
      <c r="D103" s="29">
        <v>3697647</v>
      </c>
      <c r="E103" s="29">
        <v>4170098</v>
      </c>
      <c r="F103" s="255" t="str">
        <f>IF(D103="","",VLOOKUP(D103,契約台帳!$A$3:$K$4986,6,FALSE)&amp;VLOOKUP(D103,契約台帳!$A$3:$K$4986,7,FALSE)&amp;VLOOKUP(D103,契約台帳!$A$3:$K$4986,8,FALSE)&amp;VLOOKUP(D103,契約台帳!$A$3:$K$4986,9,FALSE)&amp;VLOOKUP(D103,契約台帳!$A$3:$K$4986,11,FALSE))</f>
        <v>3SNMLBMTSF</v>
      </c>
      <c r="G103" s="256" t="str">
        <f>IF(D103="","",VLOOKUP(F103,製品マスタ!$G$5:$H$4999,2,FALSE))</f>
        <v>S</v>
      </c>
      <c r="H103" s="256" t="str">
        <f>IF(D103="","",VLOOKUP(F103,製品マスタ!$G$5:$K$4999,5,FALSE))</f>
        <v>MTSF</v>
      </c>
      <c r="I103" s="200" t="str">
        <f>IF(D103="","",VLOOKUP(F103,製品マスタ!$G$5:$L$4999,6,FALSE))</f>
        <v>メタルミー　ＴＳ</v>
      </c>
      <c r="J103" s="30" t="s">
        <v>850</v>
      </c>
      <c r="K103" s="200">
        <f>IF(D103="","",VLOOKUP(D103,契約台帳!$A$3:$L$4986,12,FALSE))</f>
        <v>75</v>
      </c>
      <c r="L103" s="200" t="str">
        <f>IF(D103="","",INDEX(製品マスタ!$Q$5:$Q$4999,MATCH(F103&amp;K103,製品マスタ!$AO$5:$AO$4999,0)))</f>
        <v>T60</v>
      </c>
      <c r="M103" s="37">
        <v>1100</v>
      </c>
      <c r="N103" s="37">
        <v>2000</v>
      </c>
      <c r="O103" s="45">
        <v>1</v>
      </c>
      <c r="P103" s="54">
        <v>44952</v>
      </c>
      <c r="Q103" s="260">
        <f>IF(D103="","",IF(J103="リード付け",M103,VLOOKUP(D103,契約台帳!$A$3:$N$4986,14,FALSE)))</f>
        <v>1100</v>
      </c>
      <c r="R103" s="261">
        <f>IF(D103="","",IF(J103="リード付け",M103,VLOOKUP(D103,契約台帳!$A$3:$O$4986,15,FALSE)))</f>
        <v>1100</v>
      </c>
      <c r="S103" s="261">
        <f>IF(D103="","",IF(J103="リード付け",N103,VLOOKUP(D103,契約台帳!$A$3:$P$4986,16,FALSE)))</f>
        <v>2000</v>
      </c>
      <c r="T103" s="38">
        <v>1</v>
      </c>
      <c r="U103" s="261">
        <f ca="1">IF(D103="","",IF(OFFSET(D103,-2,0)=D103,"",VLOOKUP(D103,契約台帳!$A$3:$R$4986,18,FALSE)))</f>
        <v>2</v>
      </c>
      <c r="V103" s="256" t="str">
        <f>IF(J103="巻返し",VLOOKUP(F103&amp;K103&amp;M103,製品マスタ!$M$5:$AD$4999,18,FALSE),IF(J103="リード付け","原反コア",IF(J103="スリット",VLOOKUP(F103&amp;K103&amp;Q103,製品マスタ!$N$5:$AD$4999,17,FALSE),"")))</f>
        <v>原反コア</v>
      </c>
      <c r="W103" s="256" t="str">
        <f>IF(J103="巻返し",VLOOKUP(F103&amp;K103&amp;M103,製品マスタ!$M$5:$AE$4999,19,FALSE),IF(J103="リード付け","-",IF(J103="スリット",VLOOKUP(F103&amp;K103&amp;Q103,製品マスタ!$N$5:$AE$4999,18,FALSE),"")))</f>
        <v>-</v>
      </c>
      <c r="X103" s="256">
        <f>IF(D103="","",VLOOKUP(D103,契約台帳!$A$3:$Q$4986,17,FALSE))</f>
        <v>2</v>
      </c>
      <c r="Y103" s="256" t="str">
        <f>IF(D103="","",VLOOKUP(D103,契約台帳!$A$3:$E$4986,5,FALSE))</f>
        <v>パナック㈱亀山工場</v>
      </c>
      <c r="Z103" s="54"/>
      <c r="AA103" s="200">
        <f>IFERROR(VLOOKUP(F103&amp;K103&amp;M103,製品マスタ!$M$5:$AM$4999,27,FALSE),"")</f>
        <v>0</v>
      </c>
      <c r="AB103" s="31"/>
      <c r="AC103" s="184"/>
      <c r="AD103" s="51"/>
      <c r="AE103" s="52"/>
      <c r="AF103" s="41"/>
      <c r="AG103" s="45"/>
      <c r="AH103" s="28"/>
      <c r="AI103" s="28"/>
      <c r="AJ103" s="28"/>
      <c r="AK103" s="28"/>
      <c r="AL103" s="12"/>
      <c r="AM103" s="12"/>
      <c r="AN103" s="12"/>
      <c r="AO103" s="12"/>
      <c r="AP103" s="12"/>
      <c r="AQ103" s="13"/>
      <c r="AR103" s="14"/>
    </row>
    <row r="104" spans="1:44" s="16" customFormat="1" ht="30.95" hidden="1" customHeight="1" x14ac:dyDescent="0.2">
      <c r="A104" s="35"/>
      <c r="B104" s="36"/>
      <c r="C104" s="43"/>
      <c r="D104" s="29"/>
      <c r="E104" s="29"/>
      <c r="F104" s="255" t="str">
        <f>IF(D104="","",VLOOKUP(D104,契約台帳!$A$3:$K$4986,6,FALSE)&amp;VLOOKUP(D104,契約台帳!$A$3:$K$4986,7,FALSE)&amp;VLOOKUP(D104,契約台帳!$A$3:$K$4986,8,FALSE)&amp;VLOOKUP(D104,契約台帳!$A$3:$K$4986,9,FALSE)&amp;VLOOKUP(D104,契約台帳!$A$3:$K$4986,11,FALSE))</f>
        <v/>
      </c>
      <c r="G104" s="256" t="str">
        <f>IF(D104="","",VLOOKUP(F104,製品マスタ!$G$5:$H$4999,2,FALSE))</f>
        <v/>
      </c>
      <c r="H104" s="256" t="str">
        <f>IF(D104="","",VLOOKUP(F104,製品マスタ!$G$5:$K$4999,5,FALSE))</f>
        <v/>
      </c>
      <c r="I104" s="200" t="str">
        <f>IF(D104="","",VLOOKUP(F104,製品マスタ!$G$5:$L$4999,6,FALSE))</f>
        <v/>
      </c>
      <c r="J104" s="30"/>
      <c r="K104" s="200" t="str">
        <f>IF(D104="","",VLOOKUP(D104,契約台帳!$A$3:$L$4986,12,FALSE))</f>
        <v/>
      </c>
      <c r="L104" s="200" t="str">
        <f>IF(D104="","",INDEX(製品マスタ!$Q$5:$Q$4999,MATCH(F104&amp;K104,製品マスタ!$AO$5:$AO$4999,0)))</f>
        <v/>
      </c>
      <c r="M104" s="37"/>
      <c r="N104" s="37"/>
      <c r="O104" s="45"/>
      <c r="P104" s="54"/>
      <c r="Q104" s="260" t="str">
        <f>IF(D104="","",IF(J104="リード付け",M104,VLOOKUP(D104,契約台帳!$A$3:$N$4986,14,FALSE)))</f>
        <v/>
      </c>
      <c r="R104" s="261" t="str">
        <f>IF(D104="","",IF(J104="リード付け",M104,VLOOKUP(D104,契約台帳!$A$3:$O$4986,15,FALSE)))</f>
        <v/>
      </c>
      <c r="S104" s="261" t="str">
        <f>IF(D104="","",IF(J104="リード付け",N104,VLOOKUP(D104,契約台帳!$A$3:$P$4986,16,FALSE)))</f>
        <v/>
      </c>
      <c r="T104" s="38"/>
      <c r="U104" s="261" t="str">
        <f ca="1">IF(D104="","",IF(OFFSET(D104,-2,0)=D104,"",VLOOKUP(D104,契約台帳!$A$3:$R$4986,18,FALSE)))</f>
        <v/>
      </c>
      <c r="V104" s="256" t="str">
        <f>IF(J104="巻返し",VLOOKUP(F104&amp;K104&amp;M104,製品マスタ!$M$5:$AD$4999,18,FALSE),IF(J104="リード付け","原反コア",IF(J104="スリット",VLOOKUP(F104&amp;K104&amp;Q104,製品マスタ!$N$5:$AD$4999,17,FALSE),"")))</f>
        <v/>
      </c>
      <c r="W104" s="256" t="str">
        <f>IF(J104="巻返し",VLOOKUP(F104&amp;K104&amp;M104,製品マスタ!$M$5:$AE$4999,19,FALSE),IF(J104="リード付け","-",IF(J104="スリット",VLOOKUP(F104&amp;K104&amp;Q104,製品マスタ!$N$5:$AE$4999,18,FALSE),"")))</f>
        <v/>
      </c>
      <c r="X104" s="256" t="str">
        <f>IF(D104="","",VLOOKUP(D104,契約台帳!$A$3:$Q$4986,17,FALSE))</f>
        <v/>
      </c>
      <c r="Y104" s="256" t="str">
        <f>IF(D104="","",VLOOKUP(D104,契約台帳!$A$3:$E$4986,5,FALSE))</f>
        <v/>
      </c>
      <c r="Z104" s="54"/>
      <c r="AA104" s="200" t="str">
        <f>IFERROR(VLOOKUP(F104&amp;K104&amp;M104,製品マスタ!$M$5:$AM$4999,27,FALSE),"")</f>
        <v/>
      </c>
      <c r="AB104" s="31"/>
      <c r="AC104" s="184"/>
      <c r="AD104" s="51"/>
      <c r="AE104" s="52"/>
      <c r="AF104" s="41"/>
      <c r="AG104" s="45"/>
      <c r="AH104" s="28"/>
      <c r="AI104" s="28"/>
      <c r="AJ104" s="28"/>
      <c r="AK104" s="28"/>
      <c r="AL104" s="12"/>
      <c r="AM104" s="12"/>
      <c r="AN104" s="12"/>
      <c r="AO104" s="12"/>
      <c r="AP104" s="12"/>
      <c r="AQ104" s="13"/>
      <c r="AR104" s="14"/>
    </row>
    <row r="105" spans="1:44" s="16" customFormat="1" ht="30.95" hidden="1" customHeight="1" x14ac:dyDescent="0.2">
      <c r="A105" s="35"/>
      <c r="B105" s="36"/>
      <c r="C105" s="43"/>
      <c r="D105" s="29">
        <v>3697857</v>
      </c>
      <c r="E105" s="29">
        <v>4170099</v>
      </c>
      <c r="F105" s="255" t="str">
        <f>IF(D105="","",VLOOKUP(D105,契約台帳!$A$3:$K$4986,6,FALSE)&amp;VLOOKUP(D105,契約台帳!$A$3:$K$4986,7,FALSE)&amp;VLOOKUP(D105,契約台帳!$A$3:$K$4986,8,FALSE)&amp;VLOOKUP(D105,契約台帳!$A$3:$K$4986,9,FALSE)&amp;VLOOKUP(D105,契約台帳!$A$3:$K$4986,11,FALSE))</f>
        <v>3SNMLBMSF</v>
      </c>
      <c r="G105" s="256" t="str">
        <f>IF(D105="","",VLOOKUP(F105,製品マスタ!$G$5:$H$4999,2,FALSE))</f>
        <v>S</v>
      </c>
      <c r="H105" s="256" t="str">
        <f>IF(D105="","",VLOOKUP(F105,製品マスタ!$G$5:$K$4999,5,FALSE))</f>
        <v>MSF</v>
      </c>
      <c r="I105" s="200" t="str">
        <f>IF(D105="","",VLOOKUP(F105,製品マスタ!$G$5:$L$4999,6,FALSE))</f>
        <v>メタルミー　Ｓ</v>
      </c>
      <c r="J105" s="30" t="s">
        <v>464</v>
      </c>
      <c r="K105" s="200">
        <f>IF(D105="","",VLOOKUP(D105,契約台帳!$A$3:$L$4986,12,FALSE))</f>
        <v>25</v>
      </c>
      <c r="L105" s="200" t="str">
        <f>IF(D105="","",INDEX(製品マスタ!$Q$5:$Q$4999,MATCH(F105&amp;K105,製品マスタ!$AO$5:$AO$4999,0)))</f>
        <v>T62M</v>
      </c>
      <c r="M105" s="37">
        <v>1020</v>
      </c>
      <c r="N105" s="37">
        <v>12100</v>
      </c>
      <c r="O105" s="45">
        <v>1</v>
      </c>
      <c r="P105" s="54">
        <v>44953</v>
      </c>
      <c r="Q105" s="260">
        <f>IF(D105="","",IF(J105="リード付け",M105,VLOOKUP(D105,契約台帳!$A$3:$N$4986,14,FALSE)))</f>
        <v>1020</v>
      </c>
      <c r="R105" s="261">
        <f>IF(D105="","",IF(J105="リード付け",M105,VLOOKUP(D105,契約台帳!$A$3:$O$4986,15,FALSE)))</f>
        <v>1020</v>
      </c>
      <c r="S105" s="261">
        <f>IF(D105="","",IF(J105="リード付け",N105,VLOOKUP(D105,契約台帳!$A$3:$P$4986,16,FALSE)))</f>
        <v>12100</v>
      </c>
      <c r="T105" s="38">
        <v>1</v>
      </c>
      <c r="U105" s="261">
        <f ca="1">IF(D105="","",IF(OFFSET(D105,-2,0)=D105,"",VLOOKUP(D105,契約台帳!$A$3:$R$4986,18,FALSE)))</f>
        <v>6</v>
      </c>
      <c r="V105" s="256" t="str">
        <f>IF(J105="巻返し",VLOOKUP(F105&amp;K105&amp;M105,製品マスタ!$M$5:$AD$4999,18,FALSE),IF(J105="リード付け","原反コア",IF(J105="スリット",VLOOKUP(F105&amp;K105&amp;Q105,製品マスタ!$N$5:$AD$4999,17,FALSE),"")))</f>
        <v>原反コア</v>
      </c>
      <c r="W105" s="256" t="str">
        <f>IF(J105="巻返し",VLOOKUP(F105&amp;K105&amp;M105,製品マスタ!$M$5:$AE$4999,19,FALSE),IF(J105="リード付け","-",IF(J105="スリット",VLOOKUP(F105&amp;K105&amp;Q105,製品マスタ!$N$5:$AE$4999,18,FALSE),"")))</f>
        <v>-</v>
      </c>
      <c r="X105" s="256">
        <f>IF(D105="","",VLOOKUP(D105,契約台帳!$A$3:$Q$4986,17,FALSE))</f>
        <v>2</v>
      </c>
      <c r="Y105" s="256" t="str">
        <f>IF(D105="","",VLOOKUP(D105,契約台帳!$A$3:$E$4986,5,FALSE))</f>
        <v>パナック㈱亀山工場</v>
      </c>
      <c r="Z105" s="54"/>
      <c r="AA105" s="200">
        <f>IFERROR(VLOOKUP(F105&amp;K105&amp;M105,製品マスタ!$M$5:$AM$4999,27,FALSE),"")</f>
        <v>0</v>
      </c>
      <c r="AB105" s="31"/>
      <c r="AC105" s="184"/>
      <c r="AD105" s="51"/>
      <c r="AE105" s="52"/>
      <c r="AF105" s="41"/>
      <c r="AG105" s="45"/>
      <c r="AH105" s="28"/>
      <c r="AI105" s="28"/>
      <c r="AJ105" s="28"/>
      <c r="AK105" s="28"/>
      <c r="AL105" s="12"/>
      <c r="AM105" s="12"/>
      <c r="AN105" s="12"/>
      <c r="AO105" s="12"/>
      <c r="AP105" s="12"/>
      <c r="AQ105" s="13"/>
      <c r="AR105" s="14"/>
    </row>
    <row r="106" spans="1:44" s="16" customFormat="1" ht="30.95" hidden="1" customHeight="1" x14ac:dyDescent="0.2">
      <c r="A106" s="35"/>
      <c r="B106" s="36"/>
      <c r="C106" s="43"/>
      <c r="D106" s="29"/>
      <c r="E106" s="29"/>
      <c r="F106" s="255"/>
      <c r="G106" s="256"/>
      <c r="H106" s="256"/>
      <c r="I106" s="200"/>
      <c r="J106" s="30"/>
      <c r="K106" s="200"/>
      <c r="L106" s="200"/>
      <c r="M106" s="37"/>
      <c r="N106" s="37"/>
      <c r="O106" s="45"/>
      <c r="P106" s="54"/>
      <c r="Q106" s="260"/>
      <c r="R106" s="261"/>
      <c r="S106" s="261"/>
      <c r="T106" s="38"/>
      <c r="U106" s="261"/>
      <c r="V106" s="256"/>
      <c r="W106" s="256"/>
      <c r="X106" s="256"/>
      <c r="Y106" s="256"/>
      <c r="Z106" s="54"/>
      <c r="AA106" s="200"/>
      <c r="AB106" s="31"/>
      <c r="AC106" s="184"/>
      <c r="AD106" s="51"/>
      <c r="AE106" s="52"/>
      <c r="AF106" s="41"/>
      <c r="AG106" s="45"/>
      <c r="AH106" s="28"/>
      <c r="AI106" s="28"/>
      <c r="AJ106" s="28"/>
      <c r="AK106" s="28"/>
      <c r="AL106" s="12"/>
      <c r="AM106" s="12"/>
      <c r="AN106" s="12"/>
      <c r="AO106" s="12"/>
      <c r="AP106" s="12"/>
      <c r="AQ106" s="13"/>
      <c r="AR106" s="14"/>
    </row>
    <row r="107" spans="1:44" s="16" customFormat="1" ht="30.95" hidden="1" customHeight="1" x14ac:dyDescent="0.2">
      <c r="A107" s="35"/>
      <c r="B107" s="36"/>
      <c r="C107" s="43"/>
      <c r="D107" s="29">
        <v>3697662</v>
      </c>
      <c r="E107" s="29">
        <v>4170096</v>
      </c>
      <c r="F107" s="255" t="str">
        <f>IF(D107="","",VLOOKUP(D107,契約台帳!$A$3:$K$4986,6,FALSE)&amp;VLOOKUP(D107,契約台帳!$A$3:$K$4986,7,FALSE)&amp;VLOOKUP(D107,契約台帳!$A$3:$K$4986,8,FALSE)&amp;VLOOKUP(D107,契約台帳!$A$3:$K$4986,9,FALSE)&amp;VLOOKUP(D107,契約台帳!$A$3:$K$4986,11,FALSE))</f>
        <v>3SNMLBMNGTBF</v>
      </c>
      <c r="G107" s="256" t="str">
        <f>IF(D107="","",VLOOKUP(F107,製品マスタ!$G$5:$H$4999,2,FALSE))</f>
        <v>S</v>
      </c>
      <c r="H107" s="256" t="str">
        <f>IF(D107="","",VLOOKUP(F107,製品マスタ!$G$5:$K$4999,5,FALSE))</f>
        <v>MNGTBF</v>
      </c>
      <c r="I107" s="200" t="str">
        <f>IF(D107="","",VLOOKUP(F107,製品マスタ!$G$5:$L$4999,6,FALSE))</f>
        <v>メタルミー　ネーマー　銀艶　Ｂ</v>
      </c>
      <c r="J107" s="30" t="s">
        <v>850</v>
      </c>
      <c r="K107" s="200">
        <f>IF(D107="","",VLOOKUP(D107,契約台帳!$A$3:$L$4986,12,FALSE))</f>
        <v>25</v>
      </c>
      <c r="L107" s="200" t="str">
        <f>IF(D107="","",INDEX(製品マスタ!$Q$5:$Q$4999,MATCH(F107&amp;K107,製品マスタ!$AO$5:$AO$4999,0)))</f>
        <v>T62M</v>
      </c>
      <c r="M107" s="37">
        <v>1005</v>
      </c>
      <c r="N107" s="37">
        <v>12100</v>
      </c>
      <c r="O107" s="45">
        <v>1</v>
      </c>
      <c r="P107" s="54">
        <v>44952</v>
      </c>
      <c r="Q107" s="260">
        <f>IF(D107="","",IF(J107="リード付け",M107,VLOOKUP(D107,契約台帳!$A$3:$N$4986,14,FALSE)))</f>
        <v>1005</v>
      </c>
      <c r="R107" s="261">
        <f>IF(D107="","",IF(J107="リード付け",M107,VLOOKUP(D107,契約台帳!$A$3:$O$4986,15,FALSE)))</f>
        <v>1005</v>
      </c>
      <c r="S107" s="261">
        <f>IF(D107="","",IF(J107="リード付け",N107,VLOOKUP(D107,契約台帳!$A$3:$P$4986,16,FALSE)))</f>
        <v>12100</v>
      </c>
      <c r="T107" s="38">
        <v>1</v>
      </c>
      <c r="U107" s="261">
        <f ca="1">IF(D107="","",IF(OFFSET(D107,-2,0)=D107,"",VLOOKUP(D107,契約台帳!$A$3:$R$4986,18,FALSE)))</f>
        <v>3</v>
      </c>
      <c r="V107" s="256" t="str">
        <f>IF(J107="巻返し",VLOOKUP(F107&amp;K107&amp;M107,製品マスタ!$M$5:$AD$4999,18,FALSE),IF(J107="リード付け","原反コア",IF(J107="スリット",VLOOKUP(F107&amp;K107&amp;Q107,製品マスタ!$N$5:$AD$4999,17,FALSE),"")))</f>
        <v>原反コア</v>
      </c>
      <c r="W107" s="256" t="str">
        <f>IF(J107="巻返し",VLOOKUP(F107&amp;K107&amp;M107,製品マスタ!$M$5:$AE$4999,19,FALSE),IF(J107="リード付け","-",IF(J107="スリット",VLOOKUP(F107&amp;K107&amp;Q107,製品マスタ!$N$5:$AE$4999,18,FALSE),"")))</f>
        <v>-</v>
      </c>
      <c r="X107" s="256">
        <f>IF(D107="","",VLOOKUP(D107,契約台帳!$A$3:$Q$4986,17,FALSE))</f>
        <v>2</v>
      </c>
      <c r="Y107" s="256" t="str">
        <f>IF(D107="","",VLOOKUP(D107,契約台帳!$A$3:$E$4986,5,FALSE))</f>
        <v>リンテック㈱</v>
      </c>
      <c r="Z107" s="54"/>
      <c r="AA107" s="200">
        <f>IFERROR(VLOOKUP(F107&amp;K107&amp;M107,製品マスタ!$M$5:$AM$4999,27,FALSE),"")</f>
        <v>0</v>
      </c>
      <c r="AB107" s="31"/>
      <c r="AC107" s="184"/>
      <c r="AD107" s="51"/>
      <c r="AE107" s="52"/>
      <c r="AF107" s="41"/>
      <c r="AG107" s="45"/>
      <c r="AH107" s="28"/>
      <c r="AI107" s="28"/>
      <c r="AJ107" s="28"/>
      <c r="AK107" s="28"/>
      <c r="AL107" s="12"/>
      <c r="AM107" s="12"/>
      <c r="AN107" s="12"/>
      <c r="AO107" s="12"/>
      <c r="AP107" s="12"/>
      <c r="AQ107" s="13"/>
      <c r="AR107" s="14"/>
    </row>
    <row r="108" spans="1:44" s="16" customFormat="1" ht="30.95" hidden="1" customHeight="1" x14ac:dyDescent="0.2">
      <c r="A108" s="35"/>
      <c r="B108" s="36"/>
      <c r="C108" s="43"/>
      <c r="D108" s="29"/>
      <c r="E108" s="29"/>
      <c r="F108" s="255" t="str">
        <f>IF(D108="","",VLOOKUP(D108,契約台帳!$A$3:$K$4986,6,FALSE)&amp;VLOOKUP(D108,契約台帳!$A$3:$K$4986,7,FALSE)&amp;VLOOKUP(D108,契約台帳!$A$3:$K$4986,8,FALSE)&amp;VLOOKUP(D108,契約台帳!$A$3:$K$4986,9,FALSE)&amp;VLOOKUP(D108,契約台帳!$A$3:$K$4986,11,FALSE))</f>
        <v/>
      </c>
      <c r="G108" s="256" t="str">
        <f>IF(D108="","",VLOOKUP(F108,製品マスタ!$G$5:$H$4999,2,FALSE))</f>
        <v/>
      </c>
      <c r="H108" s="256" t="str">
        <f>IF(D108="","",VLOOKUP(F108,製品マスタ!$G$5:$K$4999,5,FALSE))</f>
        <v/>
      </c>
      <c r="I108" s="200" t="str">
        <f>IF(D108="","",VLOOKUP(F108,製品マスタ!$G$5:$L$4999,6,FALSE))</f>
        <v/>
      </c>
      <c r="J108" s="30"/>
      <c r="K108" s="200" t="str">
        <f>IF(D108="","",VLOOKUP(D108,契約台帳!$A$3:$L$4986,12,FALSE))</f>
        <v/>
      </c>
      <c r="L108" s="200" t="str">
        <f>IF(D108="","",INDEX(製品マスタ!$Q$5:$Q$4999,MATCH(F108&amp;K108,製品マスタ!$AO$5:$AO$4999,0)))</f>
        <v/>
      </c>
      <c r="M108" s="37"/>
      <c r="N108" s="37"/>
      <c r="O108" s="45"/>
      <c r="P108" s="54"/>
      <c r="Q108" s="260" t="str">
        <f>IF(D108="","",IF(J108="リード付け",M108,VLOOKUP(D108,契約台帳!$A$3:$N$4986,14,FALSE)))</f>
        <v/>
      </c>
      <c r="R108" s="261" t="str">
        <f>IF(D108="","",IF(J108="リード付け",M108,VLOOKUP(D108,契約台帳!$A$3:$O$4986,15,FALSE)))</f>
        <v/>
      </c>
      <c r="S108" s="261" t="str">
        <f>IF(D108="","",IF(J108="リード付け",N108,VLOOKUP(D108,契約台帳!$A$3:$P$4986,16,FALSE)))</f>
        <v/>
      </c>
      <c r="T108" s="38"/>
      <c r="U108" s="261" t="str">
        <f ca="1">IF(D108="","",IF(OFFSET(D108,-2,0)=D108,"",VLOOKUP(D108,契約台帳!$A$3:$R$4986,18,FALSE)))</f>
        <v/>
      </c>
      <c r="V108" s="256" t="str">
        <f>IF(J108="巻返し",VLOOKUP(F108&amp;K108&amp;M108,製品マスタ!$M$5:$AD$4999,18,FALSE),IF(J108="リード付け","原反コア",IF(J108="スリット",VLOOKUP(F108&amp;K108&amp;Q108,製品マスタ!$N$5:$AD$4999,17,FALSE),"")))</f>
        <v/>
      </c>
      <c r="W108" s="256" t="str">
        <f>IF(J108="巻返し",VLOOKUP(F108&amp;K108&amp;M108,製品マスタ!$M$5:$AE$4999,19,FALSE),IF(J108="リード付け","-",IF(J108="スリット",VLOOKUP(F108&amp;K108&amp;Q108,製品マスタ!$N$5:$AE$4999,18,FALSE),"")))</f>
        <v/>
      </c>
      <c r="X108" s="256" t="str">
        <f>IF(D108="","",VLOOKUP(D108,契約台帳!$A$3:$Q$4986,17,FALSE))</f>
        <v/>
      </c>
      <c r="Y108" s="256" t="str">
        <f>IF(D108="","",VLOOKUP(D108,契約台帳!$A$3:$E$4986,5,FALSE))</f>
        <v/>
      </c>
      <c r="Z108" s="54"/>
      <c r="AA108" s="200" t="str">
        <f>IFERROR(VLOOKUP(F108&amp;K108&amp;M108,製品マスタ!$M$5:$AM$4999,27,FALSE),"")</f>
        <v/>
      </c>
      <c r="AB108" s="31"/>
      <c r="AC108" s="184"/>
      <c r="AD108" s="51"/>
      <c r="AE108" s="52"/>
      <c r="AF108" s="41"/>
      <c r="AG108" s="45"/>
      <c r="AH108" s="28"/>
      <c r="AI108" s="28"/>
      <c r="AJ108" s="28"/>
      <c r="AK108" s="28"/>
      <c r="AL108" s="12"/>
      <c r="AM108" s="12"/>
      <c r="AN108" s="12"/>
      <c r="AO108" s="12"/>
      <c r="AP108" s="12"/>
      <c r="AQ108" s="13"/>
      <c r="AR108" s="14"/>
    </row>
    <row r="109" spans="1:44" s="16" customFormat="1" ht="30.95" hidden="1" customHeight="1" x14ac:dyDescent="0.2">
      <c r="A109" s="35" t="s">
        <v>866</v>
      </c>
      <c r="B109" s="36" t="s">
        <v>867</v>
      </c>
      <c r="C109" s="43"/>
      <c r="D109" s="29"/>
      <c r="E109" s="29"/>
      <c r="F109" s="255"/>
      <c r="G109" s="256"/>
      <c r="H109" s="256"/>
      <c r="I109" s="200" t="s">
        <v>868</v>
      </c>
      <c r="J109" s="30"/>
      <c r="K109" s="200"/>
      <c r="L109" s="200"/>
      <c r="M109" s="37"/>
      <c r="N109" s="37"/>
      <c r="O109" s="45"/>
      <c r="P109" s="54"/>
      <c r="Q109" s="260"/>
      <c r="R109" s="261"/>
      <c r="S109" s="261"/>
      <c r="T109" s="38"/>
      <c r="U109" s="261"/>
      <c r="V109" s="256"/>
      <c r="W109" s="256"/>
      <c r="X109" s="256"/>
      <c r="Y109" s="256"/>
      <c r="Z109" s="54"/>
      <c r="AA109" s="200"/>
      <c r="AB109" s="31"/>
      <c r="AC109" s="184"/>
      <c r="AD109" s="51"/>
      <c r="AE109" s="52"/>
      <c r="AF109" s="41"/>
      <c r="AG109" s="45"/>
      <c r="AH109" s="28"/>
      <c r="AI109" s="28"/>
      <c r="AJ109" s="28"/>
      <c r="AK109" s="28"/>
      <c r="AL109" s="12"/>
      <c r="AM109" s="12"/>
      <c r="AN109" s="12"/>
      <c r="AO109" s="12"/>
      <c r="AP109" s="12"/>
      <c r="AQ109" s="13"/>
      <c r="AR109" s="14"/>
    </row>
    <row r="110" spans="1:44" s="16" customFormat="1" ht="30.95" hidden="1" customHeight="1" x14ac:dyDescent="0.2">
      <c r="A110" s="35"/>
      <c r="B110" s="36"/>
      <c r="C110" s="43"/>
      <c r="D110" s="29"/>
      <c r="E110" s="29"/>
      <c r="F110" s="255"/>
      <c r="G110" s="256"/>
      <c r="H110" s="256"/>
      <c r="I110" s="200"/>
      <c r="J110" s="30"/>
      <c r="K110" s="200"/>
      <c r="L110" s="200"/>
      <c r="M110" s="37"/>
      <c r="N110" s="37"/>
      <c r="O110" s="45"/>
      <c r="P110" s="54"/>
      <c r="Q110" s="260"/>
      <c r="R110" s="261"/>
      <c r="S110" s="261"/>
      <c r="T110" s="38"/>
      <c r="U110" s="261"/>
      <c r="V110" s="256"/>
      <c r="W110" s="256"/>
      <c r="X110" s="256"/>
      <c r="Y110" s="256"/>
      <c r="Z110" s="54"/>
      <c r="AA110" s="200"/>
      <c r="AB110" s="31"/>
      <c r="AC110" s="184"/>
      <c r="AD110" s="51"/>
      <c r="AE110" s="52"/>
      <c r="AF110" s="41"/>
      <c r="AG110" s="45"/>
      <c r="AH110" s="28"/>
      <c r="AI110" s="28"/>
      <c r="AJ110" s="28"/>
      <c r="AK110" s="28"/>
      <c r="AL110" s="12"/>
      <c r="AM110" s="12"/>
      <c r="AN110" s="12"/>
      <c r="AO110" s="12"/>
      <c r="AP110" s="12"/>
      <c r="AQ110" s="13"/>
      <c r="AR110" s="14"/>
    </row>
    <row r="111" spans="1:44" s="16" customFormat="1" ht="30.95" hidden="1" customHeight="1" x14ac:dyDescent="0.2">
      <c r="A111" s="35" t="s">
        <v>861</v>
      </c>
      <c r="B111" s="36" t="s">
        <v>862</v>
      </c>
      <c r="C111" s="43"/>
      <c r="D111" s="29"/>
      <c r="E111" s="29"/>
      <c r="F111" s="255" t="str">
        <f>IF(D111="","",VLOOKUP(D111,契約台帳!$A$3:$K$4986,6,FALSE)&amp;VLOOKUP(D111,契約台帳!$A$3:$K$4986,7,FALSE)&amp;VLOOKUP(D111,契約台帳!$A$3:$K$4986,8,FALSE)&amp;VLOOKUP(D111,契約台帳!$A$3:$K$4986,9,FALSE)&amp;VLOOKUP(D111,契約台帳!$A$3:$K$4986,11,FALSE))</f>
        <v/>
      </c>
      <c r="G111" s="256" t="str">
        <f>IF(D111="","",VLOOKUP(F111,製品マスタ!$G$5:$H$4999,2,FALSE))</f>
        <v/>
      </c>
      <c r="H111" s="256" t="str">
        <f>IF(D111="","",VLOOKUP(F111,製品マスタ!$G$5:$K$4999,5,FALSE))</f>
        <v/>
      </c>
      <c r="I111" s="200" t="str">
        <f>IF(D111="","",VLOOKUP(F111,製品マスタ!$G$5:$L$4999,6,FALSE))</f>
        <v/>
      </c>
      <c r="J111" s="30"/>
      <c r="K111" s="200" t="str">
        <f>IF(D111="","",VLOOKUP(D111,契約台帳!$A$3:$L$4986,12,FALSE))</f>
        <v/>
      </c>
      <c r="L111" s="200" t="str">
        <f>IF(D111="","",INDEX(製品マスタ!$Q$5:$Q$4999,MATCH(F111&amp;K111,製品マスタ!$AO$5:$AO$4999,0)))</f>
        <v/>
      </c>
      <c r="M111" s="37"/>
      <c r="N111" s="37"/>
      <c r="O111" s="45"/>
      <c r="P111" s="54"/>
      <c r="Q111" s="260" t="str">
        <f>IF(D111="","",IF(J111="リード付け",M111,VLOOKUP(D111,契約台帳!$A$3:$N$4986,14,FALSE)))</f>
        <v/>
      </c>
      <c r="R111" s="261" t="str">
        <f>IF(D111="","",IF(J111="リード付け",M111,VLOOKUP(D111,契約台帳!$A$3:$O$4986,15,FALSE)))</f>
        <v/>
      </c>
      <c r="S111" s="261" t="str">
        <f>IF(D111="","",IF(J111="リード付け",N111,VLOOKUP(D111,契約台帳!$A$3:$P$4986,16,FALSE)))</f>
        <v/>
      </c>
      <c r="T111" s="38"/>
      <c r="U111" s="261" t="str">
        <f ca="1">IF(D111="","",IF(OFFSET(D111,-2,0)=D111,"",VLOOKUP(D111,契約台帳!$A$3:$R$4986,18,FALSE)))</f>
        <v/>
      </c>
      <c r="V111" s="256" t="str">
        <f>IF(J111="巻返し",VLOOKUP(F111&amp;K111&amp;M111,製品マスタ!$M$5:$AD$4999,18,FALSE),IF(J111="リード付け","原反コア",IF(J111="スリット",VLOOKUP(F111&amp;K111&amp;Q111,製品マスタ!$N$5:$AD$4999,17,FALSE),"")))</f>
        <v/>
      </c>
      <c r="W111" s="256" t="str">
        <f>IF(J111="巻返し",VLOOKUP(F111&amp;K111&amp;M111,製品マスタ!$M$5:$AE$4999,19,FALSE),IF(J111="リード付け","-",IF(J111="スリット",VLOOKUP(F111&amp;K111&amp;Q111,製品マスタ!$N$5:$AE$4999,18,FALSE),"")))</f>
        <v/>
      </c>
      <c r="X111" s="256" t="str">
        <f>IF(D111="","",VLOOKUP(D111,契約台帳!$A$3:$Q$4986,17,FALSE))</f>
        <v/>
      </c>
      <c r="Y111" s="256" t="str">
        <f>IF(D111="","",VLOOKUP(D111,契約台帳!$A$3:$E$4986,5,FALSE))</f>
        <v/>
      </c>
      <c r="Z111" s="54"/>
      <c r="AA111" s="200" t="str">
        <f>IFERROR(VLOOKUP(F111&amp;K111&amp;M111,製品マスタ!$M$5:$AM$4999,27,FALSE),"")</f>
        <v/>
      </c>
      <c r="AB111" s="31"/>
      <c r="AC111" s="184"/>
      <c r="AD111" s="51"/>
      <c r="AE111" s="52"/>
      <c r="AF111" s="41"/>
      <c r="AG111" s="45"/>
      <c r="AH111" s="28"/>
      <c r="AI111" s="28"/>
      <c r="AJ111" s="28"/>
      <c r="AK111" s="28"/>
      <c r="AL111" s="12"/>
      <c r="AM111" s="12"/>
      <c r="AN111" s="12"/>
      <c r="AO111" s="12"/>
      <c r="AP111" s="12"/>
      <c r="AQ111" s="13"/>
      <c r="AR111" s="14"/>
    </row>
    <row r="112" spans="1:44" s="16" customFormat="1" ht="30.95" hidden="1" customHeight="1" x14ac:dyDescent="0.2">
      <c r="A112" s="35"/>
      <c r="B112" s="36"/>
      <c r="C112" s="43"/>
      <c r="D112" s="29"/>
      <c r="E112" s="29"/>
      <c r="F112" s="255" t="str">
        <f>IF(D112="","",VLOOKUP(D112,契約台帳!$A$3:$K$4986,6,FALSE)&amp;VLOOKUP(D112,契約台帳!$A$3:$K$4986,7,FALSE)&amp;VLOOKUP(D112,契約台帳!$A$3:$K$4986,8,FALSE)&amp;VLOOKUP(D112,契約台帳!$A$3:$K$4986,9,FALSE)&amp;VLOOKUP(D112,契約台帳!$A$3:$K$4986,11,FALSE))</f>
        <v/>
      </c>
      <c r="G112" s="256" t="str">
        <f>IF(D112="","",VLOOKUP(F112,製品マスタ!$G$5:$H$4999,2,FALSE))</f>
        <v/>
      </c>
      <c r="H112" s="256" t="str">
        <f>IF(D112="","",VLOOKUP(F112,製品マスタ!$G$5:$K$4999,5,FALSE))</f>
        <v/>
      </c>
      <c r="I112" s="200" t="str">
        <f>IF(D112="","",VLOOKUP(F112,製品マスタ!$G$5:$L$4999,6,FALSE))</f>
        <v/>
      </c>
      <c r="J112" s="30"/>
      <c r="K112" s="200" t="str">
        <f>IF(D112="","",VLOOKUP(D112,契約台帳!$A$3:$L$4986,12,FALSE))</f>
        <v/>
      </c>
      <c r="L112" s="200" t="str">
        <f>IF(D112="","",INDEX(製品マスタ!$Q$5:$Q$4999,MATCH(F112&amp;K112,製品マスタ!$AO$5:$AO$4999,0)))</f>
        <v/>
      </c>
      <c r="M112" s="37"/>
      <c r="N112" s="37"/>
      <c r="O112" s="45"/>
      <c r="P112" s="54"/>
      <c r="Q112" s="260" t="str">
        <f>IF(D112="","",IF(J112="リード付け",M112,VLOOKUP(D112,契約台帳!$A$3:$N$4986,14,FALSE)))</f>
        <v/>
      </c>
      <c r="R112" s="261" t="str">
        <f>IF(D112="","",IF(J112="リード付け",M112,VLOOKUP(D112,契約台帳!$A$3:$O$4986,15,FALSE)))</f>
        <v/>
      </c>
      <c r="S112" s="261" t="str">
        <f>IF(D112="","",IF(J112="リード付け",N112,VLOOKUP(D112,契約台帳!$A$3:$P$4986,16,FALSE)))</f>
        <v/>
      </c>
      <c r="T112" s="38"/>
      <c r="U112" s="261" t="str">
        <f ca="1">IF(D112="","",IF(OFFSET(D112,-2,0)=D112,"",VLOOKUP(D112,契約台帳!$A$3:$R$4986,18,FALSE)))</f>
        <v/>
      </c>
      <c r="V112" s="256" t="str">
        <f>IF(J112="巻返し",VLOOKUP(F112&amp;K112&amp;M112,製品マスタ!$M$5:$AD$4999,18,FALSE),IF(J112="リード付け","原反コア",IF(J112="スリット",VLOOKUP(F112&amp;K112&amp;Q112,製品マスタ!$N$5:$AD$4999,17,FALSE),"")))</f>
        <v/>
      </c>
      <c r="W112" s="256" t="str">
        <f>IF(J112="巻返し",VLOOKUP(F112&amp;K112&amp;M112,製品マスタ!$M$5:$AE$4999,19,FALSE),IF(J112="リード付け","-",IF(J112="スリット",VLOOKUP(F112&amp;K112&amp;Q112,製品マスタ!$N$5:$AE$4999,18,FALSE),"")))</f>
        <v/>
      </c>
      <c r="X112" s="256" t="str">
        <f>IF(D112="","",VLOOKUP(D112,契約台帳!$A$3:$Q$4986,17,FALSE))</f>
        <v/>
      </c>
      <c r="Y112" s="256" t="str">
        <f>IF(D112="","",VLOOKUP(D112,契約台帳!$A$3:$E$4986,5,FALSE))</f>
        <v/>
      </c>
      <c r="Z112" s="54"/>
      <c r="AA112" s="200" t="str">
        <f>IFERROR(VLOOKUP(F112&amp;K112&amp;M112,製品マスタ!$M$5:$AM$4999,27,FALSE),"")</f>
        <v/>
      </c>
      <c r="AB112" s="31"/>
      <c r="AC112" s="184"/>
      <c r="AD112" s="51"/>
      <c r="AE112" s="52"/>
      <c r="AF112" s="41"/>
      <c r="AG112" s="45"/>
      <c r="AH112" s="28"/>
      <c r="AI112" s="28"/>
      <c r="AJ112" s="28"/>
      <c r="AK112" s="28"/>
      <c r="AL112" s="12"/>
      <c r="AM112" s="12"/>
      <c r="AN112" s="12"/>
      <c r="AO112" s="12"/>
      <c r="AP112" s="12"/>
      <c r="AQ112" s="13"/>
      <c r="AR112" s="14"/>
    </row>
    <row r="113" spans="1:44" s="16" customFormat="1" ht="30.95" hidden="1" customHeight="1" x14ac:dyDescent="0.2">
      <c r="A113" s="35" t="s">
        <v>863</v>
      </c>
      <c r="B113" s="36" t="s">
        <v>864</v>
      </c>
      <c r="C113" s="43"/>
      <c r="D113" s="29">
        <v>3698026</v>
      </c>
      <c r="E113" s="29">
        <v>4170100</v>
      </c>
      <c r="F113" s="255" t="str">
        <f>IF(D113="","",VLOOKUP(D113,契約台帳!$A$3:$K$4986,6,FALSE)&amp;VLOOKUP(D113,契約台帳!$A$3:$K$4986,7,FALSE)&amp;VLOOKUP(D113,契約台帳!$A$3:$K$4986,8,FALSE)&amp;VLOOKUP(D113,契約台帳!$A$3:$K$4986,9,FALSE)&amp;VLOOKUP(D113,契約台帳!$A$3:$K$4986,11,FALSE))</f>
        <v>3SNMLBMNQR66F</v>
      </c>
      <c r="G113" s="256" t="str">
        <f>IF(D113="","",VLOOKUP(F113,製品マスタ!$G$5:$H$4999,2,FALSE))</f>
        <v>S</v>
      </c>
      <c r="H113" s="256" t="str">
        <f>IF(D113="","",VLOOKUP(F113,製品マスタ!$G$5:$K$4999,5,FALSE))</f>
        <v>MNQR66F</v>
      </c>
      <c r="I113" s="200" t="str">
        <f>IF(D113="","",VLOOKUP(F113,製品マスタ!$G$5:$L$4999,6,FALSE))</f>
        <v>ＱＲ６６蒸着品</v>
      </c>
      <c r="J113" s="30" t="s">
        <v>464</v>
      </c>
      <c r="K113" s="200">
        <f>IF(D113="","",VLOOKUP(D113,契約台帳!$A$3:$L$4986,12,FALSE))</f>
        <v>25</v>
      </c>
      <c r="L113" s="200" t="str">
        <f>IF(D113="","",INDEX(製品マスタ!$Q$5:$Q$4999,MATCH(F113&amp;K113,製品マスタ!$AO$5:$AO$4999,0)))</f>
        <v>E315</v>
      </c>
      <c r="M113" s="37">
        <v>1100</v>
      </c>
      <c r="N113" s="37">
        <v>6000</v>
      </c>
      <c r="O113" s="45">
        <v>7</v>
      </c>
      <c r="P113" s="277" t="s">
        <v>865</v>
      </c>
      <c r="Q113" s="260">
        <f>IF(D113="","",IF(J113="リード付け",M113,VLOOKUP(D113,契約台帳!$A$3:$N$4986,14,FALSE)))</f>
        <v>1100</v>
      </c>
      <c r="R113" s="261">
        <f>IF(D113="","",IF(J113="リード付け",M113,VLOOKUP(D113,契約台帳!$A$3:$O$4986,15,FALSE)))</f>
        <v>1100</v>
      </c>
      <c r="S113" s="261">
        <f>IF(D113="","",IF(J113="リード付け",N113,VLOOKUP(D113,契約台帳!$A$3:$P$4986,16,FALSE)))</f>
        <v>6000</v>
      </c>
      <c r="T113" s="38">
        <v>7</v>
      </c>
      <c r="U113" s="261">
        <f ca="1">IF(D113="","",IF(OFFSET(D113,-2,0)=D113,"",VLOOKUP(D113,契約台帳!$A$3:$R$4986,18,FALSE)))</f>
        <v>7</v>
      </c>
      <c r="V113" s="256" t="str">
        <f>IF(J113="巻返し",VLOOKUP(F113&amp;K113&amp;M113,製品マスタ!$M$5:$AD$4999,18,FALSE),IF(J113="リード付け","原反コア",IF(J113="スリット",VLOOKUP(F113&amp;K113&amp;Q113,製品マスタ!$N$5:$AD$4999,17,FALSE),"")))</f>
        <v>原反コア</v>
      </c>
      <c r="W113" s="256" t="str">
        <f>IF(J113="巻返し",VLOOKUP(F113&amp;K113&amp;M113,製品マスタ!$M$5:$AE$4999,19,FALSE),IF(J113="リード付け","-",IF(J113="スリット",VLOOKUP(F113&amp;K113&amp;Q113,製品マスタ!$N$5:$AE$4999,18,FALSE),"")))</f>
        <v>-</v>
      </c>
      <c r="X113" s="256">
        <f>IF(D113="","",VLOOKUP(D113,契約台帳!$A$3:$Q$4986,17,FALSE))</f>
        <v>2</v>
      </c>
      <c r="Y113" s="256" t="str">
        <f>IF(D113="","",VLOOKUP(D113,契約台帳!$A$3:$E$4986,5,FALSE))</f>
        <v>リンテック㈱</v>
      </c>
      <c r="Z113" s="54"/>
      <c r="AA113" s="200" t="str">
        <f>IFERROR(VLOOKUP(F113&amp;K113&amp;M113,製品マスタ!$M$5:$AM$4999,27,FALSE),"")</f>
        <v>原反ケース再利用</v>
      </c>
      <c r="AB113" s="31"/>
      <c r="AC113" s="184"/>
      <c r="AD113" s="51"/>
      <c r="AE113" s="52"/>
      <c r="AF113" s="41"/>
      <c r="AG113" s="45"/>
      <c r="AH113" s="28"/>
      <c r="AI113" s="28"/>
      <c r="AJ113" s="28"/>
      <c r="AK113" s="28"/>
      <c r="AL113" s="12"/>
      <c r="AM113" s="12"/>
      <c r="AN113" s="12"/>
      <c r="AO113" s="12"/>
      <c r="AP113" s="12"/>
      <c r="AQ113" s="13"/>
      <c r="AR113" s="14"/>
    </row>
    <row r="114" spans="1:44" s="16" customFormat="1" ht="30.95" hidden="1" customHeight="1" x14ac:dyDescent="0.2">
      <c r="A114" s="35"/>
      <c r="B114" s="36"/>
      <c r="C114" s="43"/>
      <c r="D114" s="29"/>
      <c r="E114" s="29"/>
      <c r="F114" s="255" t="str">
        <f>IF(D114="","",VLOOKUP(D114,契約台帳!$A$3:$K$4986,6,FALSE)&amp;VLOOKUP(D114,契約台帳!$A$3:$K$4986,7,FALSE)&amp;VLOOKUP(D114,契約台帳!$A$3:$K$4986,8,FALSE)&amp;VLOOKUP(D114,契約台帳!$A$3:$K$4986,9,FALSE)&amp;VLOOKUP(D114,契約台帳!$A$3:$K$4986,11,FALSE))</f>
        <v/>
      </c>
      <c r="G114" s="256" t="str">
        <f>IF(D114="","",VLOOKUP(F114,製品マスタ!$G$5:$H$4999,2,FALSE))</f>
        <v/>
      </c>
      <c r="H114" s="256" t="str">
        <f>IF(D114="","",VLOOKUP(F114,製品マスタ!$G$5:$K$4999,5,FALSE))</f>
        <v/>
      </c>
      <c r="I114" s="200" t="str">
        <f>IF(D114="","",VLOOKUP(F114,製品マスタ!$G$5:$L$4999,6,FALSE))</f>
        <v/>
      </c>
      <c r="J114" s="30"/>
      <c r="K114" s="200" t="str">
        <f>IF(D114="","",VLOOKUP(D114,契約台帳!$A$3:$L$4986,12,FALSE))</f>
        <v/>
      </c>
      <c r="L114" s="200" t="str">
        <f>IF(D114="","",INDEX(製品マスタ!$Q$5:$Q$4999,MATCH(F114&amp;K114,製品マスタ!$AO$5:$AO$4999,0)))</f>
        <v/>
      </c>
      <c r="M114" s="37"/>
      <c r="N114" s="37"/>
      <c r="O114" s="45"/>
      <c r="P114" s="54"/>
      <c r="Q114" s="260" t="str">
        <f>IF(D114="","",IF(J114="リード付け",M114,VLOOKUP(D114,契約台帳!$A$3:$N$4986,14,FALSE)))</f>
        <v/>
      </c>
      <c r="R114" s="261" t="str">
        <f>IF(D114="","",IF(J114="リード付け",M114,VLOOKUP(D114,契約台帳!$A$3:$O$4986,15,FALSE)))</f>
        <v/>
      </c>
      <c r="S114" s="261" t="str">
        <f>IF(D114="","",IF(J114="リード付け",N114,VLOOKUP(D114,契約台帳!$A$3:$P$4986,16,FALSE)))</f>
        <v/>
      </c>
      <c r="T114" s="38"/>
      <c r="U114" s="261" t="str">
        <f ca="1">IF(D114="","",IF(OFFSET(D114,-2,0)=D114,"",VLOOKUP(D114,契約台帳!$A$3:$R$4986,18,FALSE)))</f>
        <v/>
      </c>
      <c r="V114" s="256" t="str">
        <f>IF(J114="巻返し",VLOOKUP(F114&amp;K114&amp;M114,製品マスタ!$M$5:$AD$4999,18,FALSE),IF(J114="リード付け","原反コア",IF(J114="スリット",VLOOKUP(F114&amp;K114&amp;Q114,製品マスタ!$N$5:$AD$4999,17,FALSE),"")))</f>
        <v/>
      </c>
      <c r="W114" s="256" t="str">
        <f>IF(J114="巻返し",VLOOKUP(F114&amp;K114&amp;M114,製品マスタ!$M$5:$AE$4999,19,FALSE),IF(J114="リード付け","-",IF(J114="スリット",VLOOKUP(F114&amp;K114&amp;Q114,製品マスタ!$N$5:$AE$4999,18,FALSE),"")))</f>
        <v/>
      </c>
      <c r="X114" s="256" t="str">
        <f>IF(D114="","",VLOOKUP(D114,契約台帳!$A$3:$Q$4986,17,FALSE))</f>
        <v/>
      </c>
      <c r="Y114" s="256" t="str">
        <f>IF(D114="","",VLOOKUP(D114,契約台帳!$A$3:$E$4986,5,FALSE))</f>
        <v/>
      </c>
      <c r="Z114" s="54"/>
      <c r="AA114" s="200" t="str">
        <f>IFERROR(VLOOKUP(F114&amp;K114&amp;M114,製品マスタ!$M$5:$AM$4999,27,FALSE),"")</f>
        <v/>
      </c>
      <c r="AB114" s="31"/>
      <c r="AC114" s="184"/>
      <c r="AD114" s="51"/>
      <c r="AE114" s="52"/>
      <c r="AF114" s="41"/>
      <c r="AG114" s="45"/>
      <c r="AH114" s="28"/>
      <c r="AI114" s="28"/>
      <c r="AJ114" s="28"/>
      <c r="AK114" s="28"/>
      <c r="AL114" s="12"/>
      <c r="AM114" s="12"/>
      <c r="AN114" s="12"/>
      <c r="AO114" s="12"/>
      <c r="AP114" s="12"/>
      <c r="AQ114" s="13"/>
      <c r="AR114" s="14"/>
    </row>
    <row r="115" spans="1:44" s="16" customFormat="1" ht="30.95" hidden="1" customHeight="1" x14ac:dyDescent="0.2">
      <c r="A115" s="35" t="s">
        <v>874</v>
      </c>
      <c r="B115" s="36" t="s">
        <v>875</v>
      </c>
      <c r="C115" s="43"/>
      <c r="D115" s="29"/>
      <c r="E115" s="29"/>
      <c r="F115" s="255" t="str">
        <f>IF(D115="","",VLOOKUP(D115,契約台帳!$A$3:$K$4986,6,FALSE)&amp;VLOOKUP(D115,契約台帳!$A$3:$K$4986,7,FALSE)&amp;VLOOKUP(D115,契約台帳!$A$3:$K$4986,8,FALSE)&amp;VLOOKUP(D115,契約台帳!$A$3:$K$4986,9,FALSE)&amp;VLOOKUP(D115,契約台帳!$A$3:$K$4986,11,FALSE))</f>
        <v/>
      </c>
      <c r="G115" s="256" t="str">
        <f>IF(D115="","",VLOOKUP(F115,製品マスタ!$G$5:$H$4999,2,FALSE))</f>
        <v/>
      </c>
      <c r="H115" s="256" t="str">
        <f>IF(D115="","",VLOOKUP(F115,製品マスタ!$G$5:$K$4999,5,FALSE))</f>
        <v/>
      </c>
      <c r="I115" s="200" t="str">
        <f>IF(D115="","",VLOOKUP(F115,製品マスタ!$G$5:$L$4999,6,FALSE))</f>
        <v/>
      </c>
      <c r="J115" s="30"/>
      <c r="K115" s="200" t="str">
        <f>IF(D115="","",VLOOKUP(D115,契約台帳!$A$3:$L$4986,12,FALSE))</f>
        <v/>
      </c>
      <c r="L115" s="200" t="str">
        <f>IF(D115="","",INDEX(製品マスタ!$Q$5:$Q$4999,MATCH(F115&amp;K115,製品マスタ!$AO$5:$AO$4999,0)))</f>
        <v/>
      </c>
      <c r="M115" s="37"/>
      <c r="N115" s="37"/>
      <c r="O115" s="45"/>
      <c r="P115" s="54"/>
      <c r="Q115" s="260" t="str">
        <f>IF(D115="","",IF(J115="リード付け",M115,VLOOKUP(D115,契約台帳!$A$3:$N$4986,14,FALSE)))</f>
        <v/>
      </c>
      <c r="R115" s="261" t="str">
        <f>IF(D115="","",IF(J115="リード付け",M115,VLOOKUP(D115,契約台帳!$A$3:$O$4986,15,FALSE)))</f>
        <v/>
      </c>
      <c r="S115" s="261" t="str">
        <f>IF(D115="","",IF(J115="リード付け",N115,VLOOKUP(D115,契約台帳!$A$3:$P$4986,16,FALSE)))</f>
        <v/>
      </c>
      <c r="T115" s="38"/>
      <c r="U115" s="261" t="str">
        <f ca="1">IF(D115="","",IF(OFFSET(D115,-2,0)=D115,"",VLOOKUP(D115,契約台帳!$A$3:$R$4986,18,FALSE)))</f>
        <v/>
      </c>
      <c r="V115" s="256" t="str">
        <f>IF(J115="巻返し",VLOOKUP(F115&amp;K115&amp;M115,製品マスタ!$M$5:$AD$4999,18,FALSE),IF(J115="リード付け","原反コア",IF(J115="スリット",VLOOKUP(F115&amp;K115&amp;Q115,製品マスタ!$N$5:$AD$4999,17,FALSE),"")))</f>
        <v/>
      </c>
      <c r="W115" s="256" t="str">
        <f>IF(J115="巻返し",VLOOKUP(F115&amp;K115&amp;M115,製品マスタ!$M$5:$AE$4999,19,FALSE),IF(J115="リード付け","-",IF(J115="スリット",VLOOKUP(F115&amp;K115&amp;Q115,製品マスタ!$N$5:$AE$4999,18,FALSE),"")))</f>
        <v/>
      </c>
      <c r="X115" s="256" t="str">
        <f>IF(D115="","",VLOOKUP(D115,契約台帳!$A$3:$Q$4986,17,FALSE))</f>
        <v/>
      </c>
      <c r="Y115" s="256" t="str">
        <f>IF(D115="","",VLOOKUP(D115,契約台帳!$A$3:$E$4986,5,FALSE))</f>
        <v/>
      </c>
      <c r="Z115" s="54"/>
      <c r="AA115" s="200" t="str">
        <f>IFERROR(VLOOKUP(F115&amp;K115&amp;M115,製品マスタ!$M$5:$AM$4999,27,FALSE),"")</f>
        <v/>
      </c>
      <c r="AB115" s="31"/>
      <c r="AC115" s="184"/>
      <c r="AD115" s="51"/>
      <c r="AE115" s="52"/>
      <c r="AF115" s="41"/>
      <c r="AG115" s="45"/>
      <c r="AH115" s="28"/>
      <c r="AI115" s="28"/>
      <c r="AJ115" s="28"/>
      <c r="AK115" s="28"/>
      <c r="AL115" s="12"/>
      <c r="AM115" s="12"/>
      <c r="AN115" s="12"/>
      <c r="AO115" s="12"/>
      <c r="AP115" s="12"/>
      <c r="AQ115" s="13"/>
      <c r="AR115" s="14"/>
    </row>
    <row r="116" spans="1:44" s="16" customFormat="1" ht="30.95" hidden="1" customHeight="1" x14ac:dyDescent="0.2">
      <c r="A116" s="35"/>
      <c r="B116" s="36"/>
      <c r="C116" s="43"/>
      <c r="D116" s="29"/>
      <c r="E116" s="29"/>
      <c r="F116" s="255" t="str">
        <f>IF(D116="","",VLOOKUP(D116,契約台帳!$A$3:$K$4986,6,FALSE)&amp;VLOOKUP(D116,契約台帳!$A$3:$K$4986,7,FALSE)&amp;VLOOKUP(D116,契約台帳!$A$3:$K$4986,8,FALSE)&amp;VLOOKUP(D116,契約台帳!$A$3:$K$4986,9,FALSE)&amp;VLOOKUP(D116,契約台帳!$A$3:$K$4986,11,FALSE))</f>
        <v/>
      </c>
      <c r="G116" s="256" t="str">
        <f>IF(D116="","",VLOOKUP(F116,製品マスタ!$G$5:$H$4999,2,FALSE))</f>
        <v/>
      </c>
      <c r="H116" s="256" t="str">
        <f>IF(D116="","",VLOOKUP(F116,製品マスタ!$G$5:$K$4999,5,FALSE))</f>
        <v/>
      </c>
      <c r="I116" s="200" t="str">
        <f>IF(D116="","",VLOOKUP(F116,製品マスタ!$G$5:$L$4999,6,FALSE))</f>
        <v/>
      </c>
      <c r="J116" s="30"/>
      <c r="K116" s="200" t="str">
        <f>IF(D116="","",VLOOKUP(D116,契約台帳!$A$3:$L$4986,12,FALSE))</f>
        <v/>
      </c>
      <c r="L116" s="200" t="str">
        <f>IF(D116="","",INDEX(製品マスタ!$Q$5:$Q$4999,MATCH(F116&amp;K116,製品マスタ!$AO$5:$AO$4999,0)))</f>
        <v/>
      </c>
      <c r="M116" s="37"/>
      <c r="N116" s="37"/>
      <c r="O116" s="45"/>
      <c r="P116" s="54"/>
      <c r="Q116" s="260" t="str">
        <f>IF(D116="","",IF(J116="リード付け",M116,VLOOKUP(D116,契約台帳!$A$3:$N$4986,14,FALSE)))</f>
        <v/>
      </c>
      <c r="R116" s="261" t="str">
        <f>IF(D116="","",IF(J116="リード付け",M116,VLOOKUP(D116,契約台帳!$A$3:$O$4986,15,FALSE)))</f>
        <v/>
      </c>
      <c r="S116" s="261" t="str">
        <f>IF(D116="","",IF(J116="リード付け",N116,VLOOKUP(D116,契約台帳!$A$3:$P$4986,16,FALSE)))</f>
        <v/>
      </c>
      <c r="T116" s="38"/>
      <c r="U116" s="261" t="str">
        <f ca="1">IF(D116="","",IF(OFFSET(D116,-2,0)=D116,"",VLOOKUP(D116,契約台帳!$A$3:$R$4986,18,FALSE)))</f>
        <v/>
      </c>
      <c r="V116" s="256" t="str">
        <f>IF(J116="巻返し",VLOOKUP(F116&amp;K116&amp;M116,製品マスタ!$M$5:$AD$4999,18,FALSE),IF(J116="リード付け","原反コア",IF(J116="スリット",VLOOKUP(F116&amp;K116&amp;Q116,製品マスタ!$N$5:$AD$4999,17,FALSE),"")))</f>
        <v/>
      </c>
      <c r="W116" s="256" t="str">
        <f>IF(J116="巻返し",VLOOKUP(F116&amp;K116&amp;M116,製品マスタ!$M$5:$AE$4999,19,FALSE),IF(J116="リード付け","-",IF(J116="スリット",VLOOKUP(F116&amp;K116&amp;Q116,製品マスタ!$N$5:$AE$4999,18,FALSE),"")))</f>
        <v/>
      </c>
      <c r="X116" s="256" t="str">
        <f>IF(D116="","",VLOOKUP(D116,契約台帳!$A$3:$Q$4986,17,FALSE))</f>
        <v/>
      </c>
      <c r="Y116" s="256" t="str">
        <f>IF(D116="","",VLOOKUP(D116,契約台帳!$A$3:$E$4986,5,FALSE))</f>
        <v/>
      </c>
      <c r="Z116" s="54"/>
      <c r="AA116" s="200" t="str">
        <f>IFERROR(VLOOKUP(F116&amp;K116&amp;M116,製品マスタ!$M$5:$AM$4999,27,FALSE),"")</f>
        <v/>
      </c>
      <c r="AB116" s="31"/>
      <c r="AC116" s="184"/>
      <c r="AD116" s="51"/>
      <c r="AE116" s="52"/>
      <c r="AF116" s="41"/>
      <c r="AG116" s="45"/>
      <c r="AH116" s="28"/>
      <c r="AI116" s="28"/>
      <c r="AJ116" s="28"/>
      <c r="AK116" s="28"/>
      <c r="AL116" s="12"/>
      <c r="AM116" s="12"/>
      <c r="AN116" s="12"/>
      <c r="AO116" s="12"/>
      <c r="AP116" s="12"/>
      <c r="AQ116" s="13"/>
      <c r="AR116" s="14"/>
    </row>
    <row r="117" spans="1:44" s="16" customFormat="1" ht="30.95" hidden="1" customHeight="1" x14ac:dyDescent="0.2">
      <c r="A117" s="35" t="s">
        <v>876</v>
      </c>
      <c r="B117" s="36" t="s">
        <v>877</v>
      </c>
      <c r="C117" s="43"/>
      <c r="D117" s="29"/>
      <c r="E117" s="29"/>
      <c r="F117" s="255" t="str">
        <f>IF(D117="","",VLOOKUP(D117,契約台帳!$A$3:$K$4986,6,FALSE)&amp;VLOOKUP(D117,契約台帳!$A$3:$K$4986,7,FALSE)&amp;VLOOKUP(D117,契約台帳!$A$3:$K$4986,8,FALSE)&amp;VLOOKUP(D117,契約台帳!$A$3:$K$4986,9,FALSE)&amp;VLOOKUP(D117,契約台帳!$A$3:$K$4986,11,FALSE))</f>
        <v/>
      </c>
      <c r="G117" s="256" t="str">
        <f>IF(D117="","",VLOOKUP(F117,製品マスタ!$G$5:$H$4999,2,FALSE))</f>
        <v/>
      </c>
      <c r="H117" s="256" t="str">
        <f>IF(D117="","",VLOOKUP(F117,製品マスタ!$G$5:$K$4999,5,FALSE))</f>
        <v/>
      </c>
      <c r="I117" s="200" t="str">
        <f>IF(D117="","",VLOOKUP(F117,製品マスタ!$G$5:$L$4999,6,FALSE))</f>
        <v/>
      </c>
      <c r="J117" s="30" t="s">
        <v>448</v>
      </c>
      <c r="K117" s="200" t="str">
        <f>IF(D117="","",VLOOKUP(D117,契約台帳!$A$3:$L$4986,12,FALSE))</f>
        <v/>
      </c>
      <c r="L117" s="200" t="str">
        <f>IF(D117="","",INDEX(製品マスタ!$Q$5:$Q$4999,MATCH(F117&amp;K117,製品マスタ!$AO$5:$AO$4999,0)))</f>
        <v/>
      </c>
      <c r="M117" s="37"/>
      <c r="N117" s="37"/>
      <c r="O117" s="45"/>
      <c r="P117" s="54"/>
      <c r="Q117" s="260" t="str">
        <f>IF(D117="","",IF(J117="リード付け",M117,VLOOKUP(D117,契約台帳!$A$3:$N$4986,14,FALSE)))</f>
        <v/>
      </c>
      <c r="R117" s="261" t="str">
        <f>IF(D117="","",IF(J117="リード付け",M117,VLOOKUP(D117,契約台帳!$A$3:$O$4986,15,FALSE)))</f>
        <v/>
      </c>
      <c r="S117" s="261" t="str">
        <f>IF(D117="","",IF(J117="リード付け",N117,VLOOKUP(D117,契約台帳!$A$3:$P$4986,16,FALSE)))</f>
        <v/>
      </c>
      <c r="T117" s="38"/>
      <c r="U117" s="261" t="str">
        <f ca="1">IF(D117="","",IF(OFFSET(D117,-2,0)=D117,"",VLOOKUP(D117,契約台帳!$A$3:$R$4986,18,FALSE)))</f>
        <v/>
      </c>
      <c r="V117" s="256" t="str">
        <f>IF(J117="巻返し",VLOOKUP(F117&amp;K117&amp;M117,製品マスタ!$M$5:$AD$4999,18,FALSE),IF(J117="リード付け","原反コア",IF(J117="スリット",VLOOKUP(F117&amp;K117&amp;Q117,製品マスタ!$N$5:$AD$4999,17,FALSE),"")))</f>
        <v/>
      </c>
      <c r="W117" s="256" t="str">
        <f>IF(J117="巻返し",VLOOKUP(F117&amp;K117&amp;M117,製品マスタ!$M$5:$AE$4999,19,FALSE),IF(J117="リード付け","-",IF(J117="スリット",VLOOKUP(F117&amp;K117&amp;Q117,製品マスタ!$N$5:$AE$4999,18,FALSE),"")))</f>
        <v/>
      </c>
      <c r="X117" s="256" t="str">
        <f>IF(D117="","",VLOOKUP(D117,契約台帳!$A$3:$Q$4986,17,FALSE))</f>
        <v/>
      </c>
      <c r="Y117" s="256" t="str">
        <f>IF(D117="","",VLOOKUP(D117,契約台帳!$A$3:$E$4986,5,FALSE))</f>
        <v/>
      </c>
      <c r="Z117" s="54"/>
      <c r="AA117" s="200" t="str">
        <f>IFERROR(VLOOKUP(F117&amp;K117&amp;M117,製品マスタ!$M$5:$AM$4999,27,FALSE),"")</f>
        <v/>
      </c>
      <c r="AB117" s="31"/>
      <c r="AC117" s="184"/>
      <c r="AD117" s="51"/>
      <c r="AE117" s="52"/>
      <c r="AF117" s="41"/>
      <c r="AG117" s="45"/>
      <c r="AH117" s="28"/>
      <c r="AI117" s="28"/>
      <c r="AJ117" s="28"/>
      <c r="AK117" s="28"/>
      <c r="AL117" s="12"/>
      <c r="AM117" s="12"/>
      <c r="AN117" s="12"/>
      <c r="AO117" s="12"/>
      <c r="AP117" s="12"/>
      <c r="AQ117" s="13"/>
      <c r="AR117" s="14"/>
    </row>
    <row r="118" spans="1:44" s="16" customFormat="1" ht="30.95" hidden="1" customHeight="1" x14ac:dyDescent="0.2">
      <c r="A118" s="35"/>
      <c r="B118" s="36"/>
      <c r="C118" s="43"/>
      <c r="D118" s="29"/>
      <c r="E118" s="29"/>
      <c r="F118" s="255" t="str">
        <f>IF(D118="","",VLOOKUP(D118,契約台帳!$A$3:$K$4986,6,FALSE)&amp;VLOOKUP(D118,契約台帳!$A$3:$K$4986,7,FALSE)&amp;VLOOKUP(D118,契約台帳!$A$3:$K$4986,8,FALSE)&amp;VLOOKUP(D118,契約台帳!$A$3:$K$4986,9,FALSE)&amp;VLOOKUP(D118,契約台帳!$A$3:$K$4986,11,FALSE))</f>
        <v/>
      </c>
      <c r="G118" s="256" t="str">
        <f>IF(D118="","",VLOOKUP(F118,製品マスタ!$G$5:$H$4999,2,FALSE))</f>
        <v/>
      </c>
      <c r="H118" s="256" t="str">
        <f>IF(D118="","",VLOOKUP(F118,製品マスタ!$G$5:$K$4999,5,FALSE))</f>
        <v/>
      </c>
      <c r="I118" s="200" t="str">
        <f>IF(D118="","",VLOOKUP(F118,製品マスタ!$G$5:$L$4999,6,FALSE))</f>
        <v/>
      </c>
      <c r="J118" s="30"/>
      <c r="K118" s="200" t="str">
        <f>IF(D118="","",VLOOKUP(D118,契約台帳!$A$3:$L$4986,12,FALSE))</f>
        <v/>
      </c>
      <c r="L118" s="200" t="str">
        <f>IF(D118="","",INDEX(製品マスタ!$Q$5:$Q$4999,MATCH(F118&amp;K118,製品マスタ!$AO$5:$AO$4999,0)))</f>
        <v/>
      </c>
      <c r="M118" s="37"/>
      <c r="N118" s="37"/>
      <c r="O118" s="45"/>
      <c r="P118" s="54"/>
      <c r="Q118" s="260" t="str">
        <f>IF(D118="","",IF(J118="リード付け",M118,VLOOKUP(D118,契約台帳!$A$3:$N$4986,14,FALSE)))</f>
        <v/>
      </c>
      <c r="R118" s="261" t="str">
        <f>IF(D118="","",IF(J118="リード付け",M118,VLOOKUP(D118,契約台帳!$A$3:$O$4986,15,FALSE)))</f>
        <v/>
      </c>
      <c r="S118" s="261" t="str">
        <f>IF(D118="","",IF(J118="リード付け",N118,VLOOKUP(D118,契約台帳!$A$3:$P$4986,16,FALSE)))</f>
        <v/>
      </c>
      <c r="T118" s="38"/>
      <c r="U118" s="261" t="str">
        <f ca="1">IF(D118="","",IF(OFFSET(D118,-2,0)=D118,"",VLOOKUP(D118,契約台帳!$A$3:$R$4986,18,FALSE)))</f>
        <v/>
      </c>
      <c r="V118" s="256" t="str">
        <f>IF(J118="巻返し",VLOOKUP(F118&amp;K118&amp;M118,製品マスタ!$M$5:$AD$4999,18,FALSE),IF(J118="リード付け","原反コア",IF(J118="スリット",VLOOKUP(F118&amp;K118&amp;Q118,製品マスタ!$N$5:$AD$4999,17,FALSE),"")))</f>
        <v/>
      </c>
      <c r="W118" s="256" t="str">
        <f>IF(J118="巻返し",VLOOKUP(F118&amp;K118&amp;M118,製品マスタ!$M$5:$AE$4999,19,FALSE),IF(J118="リード付け","-",IF(J118="スリット",VLOOKUP(F118&amp;K118&amp;Q118,製品マスタ!$N$5:$AE$4999,18,FALSE),"")))</f>
        <v/>
      </c>
      <c r="X118" s="256" t="str">
        <f>IF(D118="","",VLOOKUP(D118,契約台帳!$A$3:$Q$4986,17,FALSE))</f>
        <v/>
      </c>
      <c r="Y118" s="256" t="str">
        <f>IF(D118="","",VLOOKUP(D118,契約台帳!$A$3:$E$4986,5,FALSE))</f>
        <v/>
      </c>
      <c r="Z118" s="54"/>
      <c r="AA118" s="200" t="str">
        <f>IFERROR(VLOOKUP(F118&amp;K118&amp;M118,製品マスタ!$M$5:$AM$4999,27,FALSE),"")</f>
        <v/>
      </c>
      <c r="AB118" s="31"/>
      <c r="AC118" s="184"/>
      <c r="AD118" s="51"/>
      <c r="AE118" s="52"/>
      <c r="AF118" s="41"/>
      <c r="AG118" s="45"/>
      <c r="AH118" s="28"/>
      <c r="AI118" s="28"/>
      <c r="AJ118" s="28"/>
      <c r="AK118" s="28"/>
      <c r="AL118" s="12"/>
      <c r="AM118" s="12"/>
      <c r="AN118" s="12"/>
      <c r="AO118" s="12"/>
      <c r="AP118" s="12"/>
      <c r="AQ118" s="13"/>
      <c r="AR118" s="14"/>
    </row>
    <row r="119" spans="1:44" s="16" customFormat="1" ht="30.95" hidden="1" customHeight="1" x14ac:dyDescent="0.2">
      <c r="A119" s="35" t="s">
        <v>878</v>
      </c>
      <c r="B119" s="36" t="s">
        <v>879</v>
      </c>
      <c r="C119" s="43"/>
      <c r="D119" s="29"/>
      <c r="E119" s="29"/>
      <c r="F119" s="255" t="str">
        <f>IF(D119="","",VLOOKUP(D119,契約台帳!$A$3:$K$4986,6,FALSE)&amp;VLOOKUP(D119,契約台帳!$A$3:$K$4986,7,FALSE)&amp;VLOOKUP(D119,契約台帳!$A$3:$K$4986,8,FALSE)&amp;VLOOKUP(D119,契約台帳!$A$3:$K$4986,9,FALSE)&amp;VLOOKUP(D119,契約台帳!$A$3:$K$4986,11,FALSE))</f>
        <v/>
      </c>
      <c r="G119" s="256" t="str">
        <f>IF(D119="","",VLOOKUP(F119,製品マスタ!$G$5:$H$4999,2,FALSE))</f>
        <v/>
      </c>
      <c r="H119" s="256" t="str">
        <f>IF(D119="","",VLOOKUP(F119,製品マスタ!$G$5:$K$4999,5,FALSE))</f>
        <v/>
      </c>
      <c r="I119" s="200" t="str">
        <f>IF(D119="","",VLOOKUP(F119,製品マスタ!$G$5:$L$4999,6,FALSE))</f>
        <v/>
      </c>
      <c r="J119" s="30" t="s">
        <v>448</v>
      </c>
      <c r="K119" s="200" t="str">
        <f>IF(D119="","",VLOOKUP(D119,契約台帳!$A$3:$L$4986,12,FALSE))</f>
        <v/>
      </c>
      <c r="L119" s="200" t="str">
        <f>IF(D119="","",INDEX(製品マスタ!$Q$5:$Q$4999,MATCH(F119&amp;K119,製品マスタ!$AO$5:$AO$4999,0)))</f>
        <v/>
      </c>
      <c r="M119" s="37"/>
      <c r="N119" s="37"/>
      <c r="O119" s="45"/>
      <c r="P119" s="54"/>
      <c r="Q119" s="260" t="str">
        <f>IF(D119="","",IF(J119="リード付け",M119,VLOOKUP(D119,契約台帳!$A$3:$N$4986,14,FALSE)))</f>
        <v/>
      </c>
      <c r="R119" s="261" t="str">
        <f>IF(D119="","",IF(J119="リード付け",M119,VLOOKUP(D119,契約台帳!$A$3:$O$4986,15,FALSE)))</f>
        <v/>
      </c>
      <c r="S119" s="261" t="str">
        <f>IF(D119="","",IF(J119="リード付け",N119,VLOOKUP(D119,契約台帳!$A$3:$P$4986,16,FALSE)))</f>
        <v/>
      </c>
      <c r="T119" s="38"/>
      <c r="U119" s="261" t="str">
        <f ca="1">IF(D119="","",IF(OFFSET(D119,-2,0)=D119,"",VLOOKUP(D119,契約台帳!$A$3:$R$4986,18,FALSE)))</f>
        <v/>
      </c>
      <c r="V119" s="256" t="str">
        <f>IF(J119="巻返し",VLOOKUP(F119&amp;K119&amp;M119,製品マスタ!$M$5:$AD$4999,18,FALSE),IF(J119="リード付け","原反コア",IF(J119="スリット",VLOOKUP(F119&amp;K119&amp;Q119,製品マスタ!$N$5:$AD$4999,17,FALSE),"")))</f>
        <v/>
      </c>
      <c r="W119" s="256" t="str">
        <f>IF(J119="巻返し",VLOOKUP(F119&amp;K119&amp;M119,製品マスタ!$M$5:$AE$4999,19,FALSE),IF(J119="リード付け","-",IF(J119="スリット",VLOOKUP(F119&amp;K119&amp;Q119,製品マスタ!$N$5:$AE$4999,18,FALSE),"")))</f>
        <v/>
      </c>
      <c r="X119" s="256" t="str">
        <f>IF(D119="","",VLOOKUP(D119,契約台帳!$A$3:$Q$4986,17,FALSE))</f>
        <v/>
      </c>
      <c r="Y119" s="256" t="str">
        <f>IF(D119="","",VLOOKUP(D119,契約台帳!$A$3:$E$4986,5,FALSE))</f>
        <v/>
      </c>
      <c r="Z119" s="54"/>
      <c r="AA119" s="200" t="str">
        <f>IFERROR(VLOOKUP(F119&amp;K119&amp;M119,製品マスタ!$M$5:$AM$4999,27,FALSE),"")</f>
        <v/>
      </c>
      <c r="AB119" s="31"/>
      <c r="AC119" s="184"/>
      <c r="AD119" s="51"/>
      <c r="AE119" s="52"/>
      <c r="AF119" s="41"/>
      <c r="AG119" s="45"/>
      <c r="AH119" s="28"/>
      <c r="AI119" s="28"/>
      <c r="AJ119" s="28"/>
      <c r="AK119" s="28"/>
      <c r="AL119" s="12"/>
      <c r="AM119" s="12"/>
      <c r="AN119" s="12"/>
      <c r="AO119" s="12"/>
      <c r="AP119" s="12"/>
      <c r="AQ119" s="13"/>
      <c r="AR119" s="14"/>
    </row>
    <row r="120" spans="1:44" s="16" customFormat="1" ht="30.95" hidden="1" customHeight="1" x14ac:dyDescent="0.2">
      <c r="A120" s="35"/>
      <c r="B120" s="36"/>
      <c r="C120" s="43"/>
      <c r="D120" s="29"/>
      <c r="E120" s="29"/>
      <c r="F120" s="255" t="str">
        <f>IF(D120="","",VLOOKUP(D120,契約台帳!$A$3:$K$4986,6,FALSE)&amp;VLOOKUP(D120,契約台帳!$A$3:$K$4986,7,FALSE)&amp;VLOOKUP(D120,契約台帳!$A$3:$K$4986,8,FALSE)&amp;VLOOKUP(D120,契約台帳!$A$3:$K$4986,9,FALSE)&amp;VLOOKUP(D120,契約台帳!$A$3:$K$4986,11,FALSE))</f>
        <v/>
      </c>
      <c r="G120" s="256" t="str">
        <f>IF(D120="","",VLOOKUP(F120,製品マスタ!$G$5:$H$4999,2,FALSE))</f>
        <v/>
      </c>
      <c r="H120" s="256" t="str">
        <f>IF(D120="","",VLOOKUP(F120,製品マスタ!$G$5:$K$4999,5,FALSE))</f>
        <v/>
      </c>
      <c r="I120" s="200" t="str">
        <f>IF(D120="","",VLOOKUP(F120,製品マスタ!$G$5:$L$4999,6,FALSE))</f>
        <v/>
      </c>
      <c r="J120" s="30"/>
      <c r="K120" s="200" t="str">
        <f>IF(D120="","",VLOOKUP(D120,契約台帳!$A$3:$L$4986,12,FALSE))</f>
        <v/>
      </c>
      <c r="L120" s="200" t="str">
        <f>IF(D120="","",INDEX(製品マスタ!$Q$5:$Q$4999,MATCH(F120&amp;K120,製品マスタ!$AO$5:$AO$4999,0)))</f>
        <v/>
      </c>
      <c r="M120" s="37"/>
      <c r="N120" s="37"/>
      <c r="O120" s="45"/>
      <c r="P120" s="54"/>
      <c r="Q120" s="260" t="str">
        <f>IF(D120="","",IF(J120="リード付け",M120,VLOOKUP(D120,契約台帳!$A$3:$N$4986,14,FALSE)))</f>
        <v/>
      </c>
      <c r="R120" s="261" t="str">
        <f>IF(D120="","",IF(J120="リード付け",M120,VLOOKUP(D120,契約台帳!$A$3:$O$4986,15,FALSE)))</f>
        <v/>
      </c>
      <c r="S120" s="261" t="str">
        <f>IF(D120="","",IF(J120="リード付け",N120,VLOOKUP(D120,契約台帳!$A$3:$P$4986,16,FALSE)))</f>
        <v/>
      </c>
      <c r="T120" s="38"/>
      <c r="U120" s="261" t="str">
        <f ca="1">IF(D120="","",IF(OFFSET(D120,-2,0)=D120,"",VLOOKUP(D120,契約台帳!$A$3:$R$4986,18,FALSE)))</f>
        <v/>
      </c>
      <c r="V120" s="256" t="str">
        <f>IF(J120="巻返し",VLOOKUP(F120&amp;K120&amp;M120,製品マスタ!$M$5:$AD$4999,18,FALSE),IF(J120="リード付け","原反コア",IF(J120="スリット",VLOOKUP(F120&amp;K120&amp;Q120,製品マスタ!$N$5:$AD$4999,17,FALSE),"")))</f>
        <v/>
      </c>
      <c r="W120" s="256" t="str">
        <f>IF(J120="巻返し",VLOOKUP(F120&amp;K120&amp;M120,製品マスタ!$M$5:$AE$4999,19,FALSE),IF(J120="リード付け","-",IF(J120="スリット",VLOOKUP(F120&amp;K120&amp;Q120,製品マスタ!$N$5:$AE$4999,18,FALSE),"")))</f>
        <v/>
      </c>
      <c r="X120" s="256" t="str">
        <f>IF(D120="","",VLOOKUP(D120,契約台帳!$A$3:$Q$4986,17,FALSE))</f>
        <v/>
      </c>
      <c r="Y120" s="256" t="str">
        <f>IF(D120="","",VLOOKUP(D120,契約台帳!$A$3:$E$4986,5,FALSE))</f>
        <v/>
      </c>
      <c r="Z120" s="54"/>
      <c r="AA120" s="200" t="str">
        <f>IFERROR(VLOOKUP(F120&amp;K120&amp;M120,製品マスタ!$M$5:$AM$4999,27,FALSE),"")</f>
        <v/>
      </c>
      <c r="AB120" s="31"/>
      <c r="AC120" s="184"/>
      <c r="AD120" s="51"/>
      <c r="AE120" s="52"/>
      <c r="AF120" s="41"/>
      <c r="AG120" s="45"/>
      <c r="AH120" s="28"/>
      <c r="AI120" s="28"/>
      <c r="AJ120" s="28"/>
      <c r="AK120" s="28"/>
      <c r="AL120" s="12"/>
      <c r="AM120" s="12"/>
      <c r="AN120" s="12"/>
      <c r="AO120" s="12"/>
      <c r="AP120" s="12"/>
      <c r="AQ120" s="13"/>
      <c r="AR120" s="14"/>
    </row>
    <row r="121" spans="1:44" s="16" customFormat="1" ht="30.95" hidden="1" customHeight="1" x14ac:dyDescent="0.2">
      <c r="A121" s="35" t="s">
        <v>880</v>
      </c>
      <c r="B121" s="36" t="s">
        <v>881</v>
      </c>
      <c r="C121" s="43"/>
      <c r="D121" s="29"/>
      <c r="E121" s="29"/>
      <c r="F121" s="255" t="str">
        <f>IF(D121="","",VLOOKUP(D121,契約台帳!$A$3:$K$4986,6,FALSE)&amp;VLOOKUP(D121,契約台帳!$A$3:$K$4986,7,FALSE)&amp;VLOOKUP(D121,契約台帳!$A$3:$K$4986,8,FALSE)&amp;VLOOKUP(D121,契約台帳!$A$3:$K$4986,9,FALSE)&amp;VLOOKUP(D121,契約台帳!$A$3:$K$4986,11,FALSE))</f>
        <v/>
      </c>
      <c r="G121" s="256" t="str">
        <f>IF(D121="","",VLOOKUP(F121,製品マスタ!$G$5:$H$4999,2,FALSE))</f>
        <v/>
      </c>
      <c r="H121" s="256" t="str">
        <f>IF(D121="","",VLOOKUP(F121,製品マスタ!$G$5:$K$4999,5,FALSE))</f>
        <v/>
      </c>
      <c r="I121" s="200" t="str">
        <f>IF(D121="","",VLOOKUP(F121,製品マスタ!$G$5:$L$4999,6,FALSE))</f>
        <v/>
      </c>
      <c r="J121" s="30"/>
      <c r="K121" s="200" t="str">
        <f>IF(D121="","",VLOOKUP(D121,契約台帳!$A$3:$L$4986,12,FALSE))</f>
        <v/>
      </c>
      <c r="L121" s="200" t="str">
        <f>IF(D121="","",INDEX(製品マスタ!$Q$5:$Q$4999,MATCH(F121&amp;K121,製品マスタ!$AO$5:$AO$4999,0)))</f>
        <v/>
      </c>
      <c r="M121" s="37"/>
      <c r="N121" s="37"/>
      <c r="O121" s="45"/>
      <c r="P121" s="54"/>
      <c r="Q121" s="260" t="str">
        <f>IF(D121="","",IF(J121="リード付け",M121,VLOOKUP(D121,契約台帳!$A$3:$N$4986,14,FALSE)))</f>
        <v/>
      </c>
      <c r="R121" s="261" t="str">
        <f>IF(D121="","",IF(J121="リード付け",M121,VLOOKUP(D121,契約台帳!$A$3:$O$4986,15,FALSE)))</f>
        <v/>
      </c>
      <c r="S121" s="261" t="str">
        <f>IF(D121="","",IF(J121="リード付け",N121,VLOOKUP(D121,契約台帳!$A$3:$P$4986,16,FALSE)))</f>
        <v/>
      </c>
      <c r="T121" s="38"/>
      <c r="U121" s="261" t="str">
        <f ca="1">IF(D121="","",IF(OFFSET(D121,-2,0)=D121,"",VLOOKUP(D121,契約台帳!$A$3:$R$4986,18,FALSE)))</f>
        <v/>
      </c>
      <c r="V121" s="256" t="str">
        <f>IF(J121="巻返し",VLOOKUP(F121&amp;K121&amp;M121,製品マスタ!$M$5:$AD$4999,18,FALSE),IF(J121="リード付け","原反コア",IF(J121="スリット",VLOOKUP(F121&amp;K121&amp;Q121,製品マスタ!$N$5:$AD$4999,17,FALSE),"")))</f>
        <v/>
      </c>
      <c r="W121" s="256" t="str">
        <f>IF(J121="巻返し",VLOOKUP(F121&amp;K121&amp;M121,製品マスタ!$M$5:$AE$4999,19,FALSE),IF(J121="リード付け","-",IF(J121="スリット",VLOOKUP(F121&amp;K121&amp;Q121,製品マスタ!$N$5:$AE$4999,18,FALSE),"")))</f>
        <v/>
      </c>
      <c r="X121" s="256" t="str">
        <f>IF(D121="","",VLOOKUP(D121,契約台帳!$A$3:$Q$4986,17,FALSE))</f>
        <v/>
      </c>
      <c r="Y121" s="256" t="str">
        <f>IF(D121="","",VLOOKUP(D121,契約台帳!$A$3:$E$4986,5,FALSE))</f>
        <v/>
      </c>
      <c r="Z121" s="54"/>
      <c r="AA121" s="200" t="str">
        <f>IFERROR(VLOOKUP(F121&amp;K121&amp;M121,製品マスタ!$M$5:$AM$4999,27,FALSE),"")</f>
        <v/>
      </c>
      <c r="AB121" s="31"/>
      <c r="AC121" s="184"/>
      <c r="AD121" s="51"/>
      <c r="AE121" s="52"/>
      <c r="AF121" s="41"/>
      <c r="AG121" s="45"/>
      <c r="AH121" s="28"/>
      <c r="AI121" s="28"/>
      <c r="AJ121" s="28"/>
      <c r="AK121" s="28"/>
      <c r="AL121" s="12"/>
      <c r="AM121" s="12"/>
      <c r="AN121" s="12"/>
      <c r="AO121" s="12"/>
      <c r="AP121" s="12"/>
      <c r="AQ121" s="13"/>
      <c r="AR121" s="14"/>
    </row>
    <row r="122" spans="1:44" s="16" customFormat="1" ht="30.95" hidden="1" customHeight="1" x14ac:dyDescent="0.2">
      <c r="A122" s="35"/>
      <c r="B122" s="36"/>
      <c r="C122" s="43"/>
      <c r="D122" s="29"/>
      <c r="E122" s="29"/>
      <c r="F122" s="255" t="str">
        <f>IF(D122="","",VLOOKUP(D122,契約台帳!$A$3:$K$4986,6,FALSE)&amp;VLOOKUP(D122,契約台帳!$A$3:$K$4986,7,FALSE)&amp;VLOOKUP(D122,契約台帳!$A$3:$K$4986,8,FALSE)&amp;VLOOKUP(D122,契約台帳!$A$3:$K$4986,9,FALSE)&amp;VLOOKUP(D122,契約台帳!$A$3:$K$4986,11,FALSE))</f>
        <v/>
      </c>
      <c r="G122" s="256" t="str">
        <f>IF(D122="","",VLOOKUP(F122,製品マスタ!$G$5:$H$4999,2,FALSE))</f>
        <v/>
      </c>
      <c r="H122" s="256" t="str">
        <f>IF(D122="","",VLOOKUP(F122,製品マスタ!$G$5:$K$4999,5,FALSE))</f>
        <v/>
      </c>
      <c r="I122" s="200" t="str">
        <f>IF(D122="","",VLOOKUP(F122,製品マスタ!$G$5:$L$4999,6,FALSE))</f>
        <v/>
      </c>
      <c r="J122" s="30"/>
      <c r="K122" s="200" t="str">
        <f>IF(D122="","",VLOOKUP(D122,契約台帳!$A$3:$L$4986,12,FALSE))</f>
        <v/>
      </c>
      <c r="L122" s="200" t="str">
        <f>IF(D122="","",INDEX(製品マスタ!$Q$5:$Q$4999,MATCH(F122&amp;K122,製品マスタ!$AO$5:$AO$4999,0)))</f>
        <v/>
      </c>
      <c r="M122" s="37"/>
      <c r="N122" s="37"/>
      <c r="O122" s="45"/>
      <c r="P122" s="54"/>
      <c r="Q122" s="260" t="str">
        <f>IF(D122="","",IF(J122="リード付け",M122,VLOOKUP(D122,契約台帳!$A$3:$N$4986,14,FALSE)))</f>
        <v/>
      </c>
      <c r="R122" s="261" t="str">
        <f>IF(D122="","",IF(J122="リード付け",M122,VLOOKUP(D122,契約台帳!$A$3:$O$4986,15,FALSE)))</f>
        <v/>
      </c>
      <c r="S122" s="261" t="str">
        <f>IF(D122="","",IF(J122="リード付け",N122,VLOOKUP(D122,契約台帳!$A$3:$P$4986,16,FALSE)))</f>
        <v/>
      </c>
      <c r="T122" s="38"/>
      <c r="U122" s="261" t="str">
        <f ca="1">IF(D122="","",IF(OFFSET(D122,-2,0)=D122,"",VLOOKUP(D122,契約台帳!$A$3:$R$4986,18,FALSE)))</f>
        <v/>
      </c>
      <c r="V122" s="256" t="str">
        <f>IF(J122="巻返し",VLOOKUP(F122&amp;K122&amp;M122,製品マスタ!$M$5:$AD$4999,18,FALSE),IF(J122="リード付け","原反コア",IF(J122="スリット",VLOOKUP(F122&amp;K122&amp;Q122,製品マスタ!$N$5:$AD$4999,17,FALSE),"")))</f>
        <v/>
      </c>
      <c r="W122" s="256" t="str">
        <f>IF(J122="巻返し",VLOOKUP(F122&amp;K122&amp;M122,製品マスタ!$M$5:$AE$4999,19,FALSE),IF(J122="リード付け","-",IF(J122="スリット",VLOOKUP(F122&amp;K122&amp;Q122,製品マスタ!$N$5:$AE$4999,18,FALSE),"")))</f>
        <v/>
      </c>
      <c r="X122" s="256" t="str">
        <f>IF(D122="","",VLOOKUP(D122,契約台帳!$A$3:$Q$4986,17,FALSE))</f>
        <v/>
      </c>
      <c r="Y122" s="256" t="str">
        <f>IF(D122="","",VLOOKUP(D122,契約台帳!$A$3:$E$4986,5,FALSE))</f>
        <v/>
      </c>
      <c r="Z122" s="54"/>
      <c r="AA122" s="200" t="str">
        <f>IFERROR(VLOOKUP(F122&amp;K122&amp;M122,製品マスタ!$M$5:$AM$4999,27,FALSE),"")</f>
        <v/>
      </c>
      <c r="AB122" s="31"/>
      <c r="AC122" s="184"/>
      <c r="AD122" s="51"/>
      <c r="AE122" s="52"/>
      <c r="AF122" s="41"/>
      <c r="AG122" s="45"/>
      <c r="AH122" s="28"/>
      <c r="AI122" s="28"/>
      <c r="AJ122" s="28"/>
      <c r="AK122" s="28"/>
      <c r="AL122" s="12"/>
      <c r="AM122" s="12"/>
      <c r="AN122" s="12"/>
      <c r="AO122" s="12"/>
      <c r="AP122" s="12"/>
      <c r="AQ122" s="13"/>
      <c r="AR122" s="14"/>
    </row>
    <row r="123" spans="1:44" s="16" customFormat="1" ht="30.95" hidden="1" customHeight="1" x14ac:dyDescent="0.2">
      <c r="A123" s="35" t="s">
        <v>851</v>
      </c>
      <c r="B123" s="36" t="s">
        <v>688</v>
      </c>
      <c r="C123" s="43"/>
      <c r="D123" s="29">
        <v>3697663</v>
      </c>
      <c r="E123" s="29">
        <v>4151295</v>
      </c>
      <c r="F123" s="255" t="str">
        <f>IF(D123="","",VLOOKUP(D123,契約台帳!$A$3:$K$4986,6,FALSE)&amp;VLOOKUP(D123,契約台帳!$A$3:$K$4986,7,FALSE)&amp;VLOOKUP(D123,契約台帳!$A$3:$K$4986,8,FALSE)&amp;VLOOKUP(D123,契約台帳!$A$3:$K$4986,9,FALSE)&amp;VLOOKUP(D123,契約台帳!$A$3:$K$4986,11,FALSE))</f>
        <v>3SNMLBMNGTBF</v>
      </c>
      <c r="G123" s="256" t="str">
        <f>IF(D123="","",VLOOKUP(F123,製品マスタ!$G$5:$H$4999,2,FALSE))</f>
        <v>S</v>
      </c>
      <c r="H123" s="256" t="str">
        <f>IF(D123="","",VLOOKUP(F123,製品マスタ!$G$5:$K$4999,5,FALSE))</f>
        <v>MNGTBF</v>
      </c>
      <c r="I123" s="200" t="str">
        <f>IF(D123="","",VLOOKUP(F123,製品マスタ!$G$5:$L$4999,6,FALSE))</f>
        <v>メタルミー　ネーマー　銀艶　Ｂ</v>
      </c>
      <c r="J123" s="30" t="s">
        <v>447</v>
      </c>
      <c r="K123" s="200">
        <f>IF(D123="","",VLOOKUP(D123,契約台帳!$A$3:$L$4986,12,FALSE))</f>
        <v>25</v>
      </c>
      <c r="L123" s="200" t="str">
        <f>IF(D123="","",INDEX(製品マスタ!$Q$5:$Q$4999,MATCH(F123&amp;K123,製品マスタ!$AO$5:$AO$4999,0)))</f>
        <v>T62M</v>
      </c>
      <c r="M123" s="37">
        <v>1125</v>
      </c>
      <c r="N123" s="37">
        <v>12100</v>
      </c>
      <c r="O123" s="45">
        <v>1</v>
      </c>
      <c r="P123" s="54">
        <v>44963</v>
      </c>
      <c r="Q123" s="260">
        <f>IF(D123="","",IF(J123="リード付け",M123,VLOOKUP(D123,契約台帳!$A$3:$N$4986,14,FALSE)))</f>
        <v>1125</v>
      </c>
      <c r="R123" s="261">
        <f>IF(D123="","",IF(J123="リード付け",M123,VLOOKUP(D123,契約台帳!$A$3:$O$4986,15,FALSE)))</f>
        <v>1120</v>
      </c>
      <c r="S123" s="261">
        <f>IF(D123="","",IF(J123="リード付け",N123,VLOOKUP(D123,契約台帳!$A$3:$P$4986,16,FALSE)))</f>
        <v>4000</v>
      </c>
      <c r="T123" s="38">
        <v>3</v>
      </c>
      <c r="U123" s="261">
        <f ca="1">IF(D123="","",IF(OFFSET(D123,-2,0)=D123,"",VLOOKUP(D123,契約台帳!$A$3:$R$4986,18,FALSE)))</f>
        <v>3</v>
      </c>
      <c r="V123" s="256" t="str">
        <f>IF(J123="巻返し",VLOOKUP(F123&amp;K123&amp;M123,製品マスタ!$M$5:$AD$4999,18,FALSE),IF(J123="リード付け","原反コア",IF(J123="スリット",VLOOKUP(F123&amp;K123&amp;Q123,製品マスタ!$N$5:$AD$4999,17,FALSE),"")))</f>
        <v>6ｲﾝﾁSｺｱ</v>
      </c>
      <c r="W123" s="256">
        <f>IF(J123="巻返し",VLOOKUP(F123&amp;K123&amp;M123,製品マスタ!$M$5:$AE$4999,19,FALSE),IF(J123="リード付け","-",IF(J123="スリット",VLOOKUP(F123&amp;K123&amp;Q123,製品マスタ!$N$5:$AE$4999,18,FALSE),"")))</f>
        <v>1130</v>
      </c>
      <c r="X123" s="256">
        <f>IF(D123="","",VLOOKUP(D123,契約台帳!$A$3:$Q$4986,17,FALSE))</f>
        <v>2</v>
      </c>
      <c r="Y123" s="256" t="str">
        <f>IF(D123="","",VLOOKUP(D123,契約台帳!$A$3:$E$4986,5,FALSE))</f>
        <v>リンテック㈱</v>
      </c>
      <c r="Z123" s="54"/>
      <c r="AA123" s="200">
        <f>IFERROR(VLOOKUP(F123&amp;K123&amp;M123,製品マスタ!$M$5:$AM$4999,27,FALSE),"")</f>
        <v>0</v>
      </c>
      <c r="AB123" s="31"/>
      <c r="AC123" s="184"/>
      <c r="AD123" s="51" t="str">
        <f>IF(F123="","",+F123&amp;K123)</f>
        <v>3SNMLBMNGTBF25</v>
      </c>
      <c r="AE123" s="52">
        <f>+M123*N123*O123/1000</f>
        <v>13612.5</v>
      </c>
      <c r="AF123" s="41">
        <f>IF(AD123="","",VLOOKUP(AD123,原価マスタ!$A$2:$AJ$1693,13,FALSE))</f>
        <v>97.5</v>
      </c>
      <c r="AG123" s="45">
        <f>IF(AF123="","",+AE123*AF123/100)</f>
        <v>13272.1875</v>
      </c>
      <c r="AH123" s="28"/>
      <c r="AI123" s="28"/>
      <c r="AJ123" s="28"/>
      <c r="AK123" s="28"/>
      <c r="AL123" s="12"/>
      <c r="AM123" s="12"/>
      <c r="AN123" s="12"/>
      <c r="AO123" s="12"/>
      <c r="AP123" s="12"/>
      <c r="AQ123" s="13"/>
      <c r="AR123" s="14"/>
    </row>
    <row r="124" spans="1:44" s="16" customFormat="1" ht="30.95" hidden="1" customHeight="1" x14ac:dyDescent="0.2">
      <c r="A124" s="35"/>
      <c r="B124" s="36"/>
      <c r="C124" s="43"/>
      <c r="D124" s="29"/>
      <c r="E124" s="29"/>
      <c r="F124" s="255"/>
      <c r="G124" s="256"/>
      <c r="H124" s="256"/>
      <c r="I124" s="200"/>
      <c r="J124" s="30"/>
      <c r="K124" s="200"/>
      <c r="L124" s="200"/>
      <c r="M124" s="37"/>
      <c r="N124" s="37"/>
      <c r="O124" s="45"/>
      <c r="P124" s="54"/>
      <c r="Q124" s="260"/>
      <c r="R124" s="261"/>
      <c r="S124" s="261"/>
      <c r="T124" s="38"/>
      <c r="U124" s="261"/>
      <c r="V124" s="256"/>
      <c r="W124" s="256"/>
      <c r="X124" s="256"/>
      <c r="Y124" s="256"/>
      <c r="Z124" s="54"/>
      <c r="AA124" s="200"/>
      <c r="AB124" s="31"/>
      <c r="AC124" s="184"/>
      <c r="AD124" s="51"/>
      <c r="AE124" s="52"/>
      <c r="AF124" s="41"/>
      <c r="AG124" s="45"/>
      <c r="AH124" s="28"/>
      <c r="AI124" s="28"/>
      <c r="AJ124" s="28"/>
      <c r="AK124" s="28"/>
      <c r="AL124" s="12"/>
      <c r="AM124" s="12"/>
      <c r="AN124" s="12"/>
      <c r="AO124" s="12"/>
      <c r="AP124" s="12"/>
      <c r="AQ124" s="13"/>
      <c r="AR124" s="14"/>
    </row>
    <row r="125" spans="1:44" s="16" customFormat="1" ht="30.95" hidden="1" customHeight="1" x14ac:dyDescent="0.2">
      <c r="A125" s="35"/>
      <c r="B125" s="36"/>
      <c r="C125" s="43"/>
      <c r="D125" s="29">
        <v>3697664</v>
      </c>
      <c r="E125" s="29">
        <v>4151280</v>
      </c>
      <c r="F125" s="255" t="str">
        <f>IF(D125="","",VLOOKUP(D125,契約台帳!$A$3:$K$4986,6,FALSE)&amp;VLOOKUP(D125,契約台帳!$A$3:$K$4986,7,FALSE)&amp;VLOOKUP(D125,契約台帳!$A$3:$K$4986,8,FALSE)&amp;VLOOKUP(D125,契約台帳!$A$3:$K$4986,9,FALSE)&amp;VLOOKUP(D125,契約台帳!$A$3:$K$4986,11,FALSE))</f>
        <v>3SNMLBMNGTBF</v>
      </c>
      <c r="G125" s="256" t="str">
        <f>IF(D125="","",VLOOKUP(F125,製品マスタ!$G$5:$H$4999,2,FALSE))</f>
        <v>S</v>
      </c>
      <c r="H125" s="256" t="str">
        <f>IF(D125="","",VLOOKUP(F125,製品マスタ!$G$5:$K$4999,5,FALSE))</f>
        <v>MNGTBF</v>
      </c>
      <c r="I125" s="200" t="str">
        <f>IF(D125="","",VLOOKUP(F125,製品マスタ!$G$5:$L$4999,6,FALSE))</f>
        <v>メタルミー　ネーマー　銀艶　Ｂ</v>
      </c>
      <c r="J125" s="30" t="s">
        <v>893</v>
      </c>
      <c r="K125" s="200">
        <f>IF(D125="","",VLOOKUP(D125,契約台帳!$A$3:$L$4986,12,FALSE))</f>
        <v>50</v>
      </c>
      <c r="L125" s="200" t="str">
        <f>IF(D125="","",INDEX(製品マスタ!$Q$5:$Q$4999,MATCH(F125&amp;K125,製品マスタ!$AO$5:$AO$4999,0)))</f>
        <v>T62</v>
      </c>
      <c r="M125" s="37">
        <v>1120</v>
      </c>
      <c r="N125" s="37">
        <v>10000</v>
      </c>
      <c r="O125" s="45">
        <v>3</v>
      </c>
      <c r="P125" s="54">
        <v>44963</v>
      </c>
      <c r="Q125" s="260">
        <f>IF(D125="","",IF(J125="リード付け",M125,VLOOKUP(D125,契約台帳!$A$3:$N$4986,14,FALSE)))</f>
        <v>1120</v>
      </c>
      <c r="R125" s="261">
        <f>IF(D125="","",IF(J125="リード付け",M125,VLOOKUP(D125,契約台帳!$A$3:$O$4986,15,FALSE)))</f>
        <v>1120</v>
      </c>
      <c r="S125" s="261">
        <f>IF(D125="","",IF(J125="リード付け",N125,VLOOKUP(D125,契約台帳!$A$3:$P$4986,16,FALSE)))</f>
        <v>5000</v>
      </c>
      <c r="T125" s="38">
        <v>6</v>
      </c>
      <c r="U125" s="261">
        <f ca="1">IF(D125="","",IF(OFFSET(D125,-2,0)=D125,"",VLOOKUP(D125,契約台帳!$A$3:$R$4986,18,FALSE)))</f>
        <v>12</v>
      </c>
      <c r="V125" s="256" t="str">
        <f>IF(J125="巻返し",VLOOKUP(F125&amp;K125&amp;M125,製品マスタ!$M$5:$AD$4999,18,FALSE),IF(J125="リード付け","原反コア",IF(J125="スリット",VLOOKUP(F125&amp;K125&amp;Q125,製品マスタ!$N$5:$AD$4999,17,FALSE),"")))</f>
        <v>6ｲﾝﾁSｺｱ</v>
      </c>
      <c r="W125" s="256">
        <f>IF(J125="巻返し",VLOOKUP(F125&amp;K125&amp;M125,製品マスタ!$M$5:$AE$4999,19,FALSE),IF(J125="リード付け","-",IF(J125="スリット",VLOOKUP(F125&amp;K125&amp;Q125,製品マスタ!$N$5:$AE$4999,18,FALSE),"")))</f>
        <v>1125</v>
      </c>
      <c r="X125" s="256">
        <f>IF(D125="","",VLOOKUP(D125,契約台帳!$A$3:$Q$4986,17,FALSE))</f>
        <v>2</v>
      </c>
      <c r="Y125" s="256" t="str">
        <f>IF(D125="","",VLOOKUP(D125,契約台帳!$A$3:$E$4986,5,FALSE))</f>
        <v>リンテック㈱</v>
      </c>
      <c r="Z125" s="54"/>
      <c r="AA125" s="200" t="str">
        <f>IFERROR(VLOOKUP(F125&amp;K125&amp;M125,製品マスタ!$M$5:$AM$4999,27,FALSE),"")</f>
        <v>原反ケース再利用</v>
      </c>
      <c r="AB125" s="31"/>
      <c r="AC125" s="184"/>
      <c r="AD125" s="51" t="str">
        <f>IF(F125="","",+F125&amp;K125)</f>
        <v>3SNMLBMNGTBF50</v>
      </c>
      <c r="AE125" s="52">
        <f>+M125*N125*O125/1000</f>
        <v>33600</v>
      </c>
      <c r="AF125" s="41">
        <f>IF(AD125="","",VLOOKUP(AD125,原価マスタ!$A$2:$AJ$1693,13,FALSE))</f>
        <v>99</v>
      </c>
      <c r="AG125" s="45">
        <f>IF(AF125="","",+AE125*AF125/100)</f>
        <v>33264</v>
      </c>
      <c r="AH125" s="28"/>
      <c r="AI125" s="28"/>
      <c r="AJ125" s="28"/>
      <c r="AK125" s="28"/>
      <c r="AL125" s="12"/>
      <c r="AM125" s="12"/>
      <c r="AN125" s="12"/>
      <c r="AO125" s="12"/>
      <c r="AP125" s="12"/>
      <c r="AQ125" s="13"/>
      <c r="AR125" s="14"/>
    </row>
    <row r="126" spans="1:44" s="16" customFormat="1" ht="30.95" hidden="1" customHeight="1" x14ac:dyDescent="0.2">
      <c r="A126" s="35"/>
      <c r="B126" s="36"/>
      <c r="C126" s="43"/>
      <c r="D126" s="29"/>
      <c r="E126" s="29"/>
      <c r="F126" s="255" t="str">
        <f>IF(D126="","",VLOOKUP(D126,契約台帳!$A$3:$K$4986,6,FALSE)&amp;VLOOKUP(D126,契約台帳!$A$3:$K$4986,7,FALSE)&amp;VLOOKUP(D126,契約台帳!$A$3:$K$4986,8,FALSE)&amp;VLOOKUP(D126,契約台帳!$A$3:$K$4986,9,FALSE)&amp;VLOOKUP(D126,契約台帳!$A$3:$K$4986,11,FALSE))</f>
        <v/>
      </c>
      <c r="G126" s="256" t="str">
        <f>IF(D126="","",VLOOKUP(F126,製品マスタ!$G$5:$H$4999,2,FALSE))</f>
        <v/>
      </c>
      <c r="H126" s="256" t="str">
        <f>IF(D126="","",VLOOKUP(F126,製品マスタ!$G$5:$K$4999,5,FALSE))</f>
        <v/>
      </c>
      <c r="I126" s="200" t="str">
        <f>IF(D126="","",VLOOKUP(F126,製品マスタ!$G$5:$L$4999,6,FALSE))</f>
        <v/>
      </c>
      <c r="J126" s="30"/>
      <c r="K126" s="200" t="str">
        <f>IF(D126="","",VLOOKUP(D126,契約台帳!$A$3:$L$4986,12,FALSE))</f>
        <v/>
      </c>
      <c r="L126" s="200" t="str">
        <f>IF(D126="","",INDEX(製品マスタ!$Q$5:$Q$4999,MATCH(F126&amp;K126,製品マスタ!$AO$5:$AO$4999,0)))</f>
        <v/>
      </c>
      <c r="M126" s="37"/>
      <c r="N126" s="37"/>
      <c r="O126" s="45"/>
      <c r="P126" s="54"/>
      <c r="Q126" s="260" t="str">
        <f>IF(D126="","",IF(J126="リード付け",M126,VLOOKUP(D126,契約台帳!$A$3:$N$4986,14,FALSE)))</f>
        <v/>
      </c>
      <c r="R126" s="261" t="str">
        <f>IF(D126="","",IF(J126="リード付け",M126,VLOOKUP(D126,契約台帳!$A$3:$O$4986,15,FALSE)))</f>
        <v/>
      </c>
      <c r="S126" s="261" t="str">
        <f>IF(D126="","",IF(J126="リード付け",N126,VLOOKUP(D126,契約台帳!$A$3:$P$4986,16,FALSE)))</f>
        <v/>
      </c>
      <c r="T126" s="38"/>
      <c r="U126" s="261" t="str">
        <f ca="1">IF(D126="","",IF(OFFSET(D126,-2,0)=D126,"",VLOOKUP(D126,契約台帳!$A$3:$R$4986,18,FALSE)))</f>
        <v/>
      </c>
      <c r="V126" s="256" t="str">
        <f>IF(J126="巻返し",VLOOKUP(F126&amp;K126&amp;M126,製品マスタ!$M$5:$AD$4999,18,FALSE),IF(J126="リード付け","原反コア",IF(J126="スリット",VLOOKUP(F126&amp;K126&amp;Q126,製品マスタ!$N$5:$AD$4999,17,FALSE),"")))</f>
        <v/>
      </c>
      <c r="W126" s="256" t="str">
        <f>IF(J126="巻返し",VLOOKUP(F126&amp;K126&amp;M126,製品マスタ!$M$5:$AE$4999,19,FALSE),IF(J126="リード付け","-",IF(J126="スリット",VLOOKUP(F126&amp;K126&amp;Q126,製品マスタ!$N$5:$AE$4999,18,FALSE),"")))</f>
        <v/>
      </c>
      <c r="X126" s="256" t="str">
        <f>IF(D126="","",VLOOKUP(D126,契約台帳!$A$3:$Q$4986,17,FALSE))</f>
        <v/>
      </c>
      <c r="Y126" s="256" t="str">
        <f>IF(D126="","",VLOOKUP(D126,契約台帳!$A$3:$E$4986,5,FALSE))</f>
        <v/>
      </c>
      <c r="Z126" s="54"/>
      <c r="AA126" s="200" t="str">
        <f>IFERROR(VLOOKUP(F126&amp;K126&amp;M126,製品マスタ!$M$5:$AM$4999,27,FALSE),"")</f>
        <v/>
      </c>
      <c r="AB126" s="31"/>
      <c r="AC126" s="184"/>
      <c r="AD126" s="51"/>
      <c r="AE126" s="52"/>
      <c r="AF126" s="41"/>
      <c r="AG126" s="45"/>
      <c r="AH126" s="28"/>
      <c r="AI126" s="28"/>
      <c r="AJ126" s="28"/>
      <c r="AK126" s="28"/>
      <c r="AL126" s="12"/>
      <c r="AM126" s="12"/>
      <c r="AN126" s="12"/>
      <c r="AO126" s="12"/>
      <c r="AP126" s="12"/>
      <c r="AQ126" s="13"/>
      <c r="AR126" s="14"/>
    </row>
    <row r="127" spans="1:44" s="16" customFormat="1" ht="30.95" hidden="1" customHeight="1" x14ac:dyDescent="0.2">
      <c r="A127" s="35" t="s">
        <v>852</v>
      </c>
      <c r="B127" s="36" t="s">
        <v>442</v>
      </c>
      <c r="C127" s="43"/>
      <c r="D127" s="29">
        <v>3697664</v>
      </c>
      <c r="E127" s="29">
        <v>4151280</v>
      </c>
      <c r="F127" s="255" t="str">
        <f>IF(D127="","",VLOOKUP(D127,契約台帳!$A$3:$K$4986,6,FALSE)&amp;VLOOKUP(D127,契約台帳!$A$3:$K$4986,7,FALSE)&amp;VLOOKUP(D127,契約台帳!$A$3:$K$4986,8,FALSE)&amp;VLOOKUP(D127,契約台帳!$A$3:$K$4986,9,FALSE)&amp;VLOOKUP(D127,契約台帳!$A$3:$K$4986,11,FALSE))</f>
        <v>3SNMLBMNGTBF</v>
      </c>
      <c r="G127" s="256" t="str">
        <f>IF(D127="","",VLOOKUP(F127,製品マスタ!$G$5:$H$4999,2,FALSE))</f>
        <v>S</v>
      </c>
      <c r="H127" s="256" t="str">
        <f>IF(D127="","",VLOOKUP(F127,製品マスタ!$G$5:$K$4999,5,FALSE))</f>
        <v>MNGTBF</v>
      </c>
      <c r="I127" s="200" t="str">
        <f>IF(D127="","",VLOOKUP(F127,製品マスタ!$G$5:$L$4999,6,FALSE))</f>
        <v>メタルミー　ネーマー　銀艶　Ｂ</v>
      </c>
      <c r="J127" s="30" t="s">
        <v>447</v>
      </c>
      <c r="K127" s="200">
        <f>IF(D127="","",VLOOKUP(D127,契約台帳!$A$3:$L$4986,12,FALSE))</f>
        <v>50</v>
      </c>
      <c r="L127" s="200" t="str">
        <f>IF(D127="","",INDEX(製品マスタ!$Q$5:$Q$4999,MATCH(F127&amp;K127,製品マスタ!$AO$5:$AO$4999,0)))</f>
        <v>T62</v>
      </c>
      <c r="M127" s="37">
        <v>1120</v>
      </c>
      <c r="N127" s="37">
        <v>10000</v>
      </c>
      <c r="O127" s="45">
        <v>3</v>
      </c>
      <c r="P127" s="54">
        <v>44964</v>
      </c>
      <c r="Q127" s="260">
        <f>IF(D127="","",IF(J127="リード付け",M127,VLOOKUP(D127,契約台帳!$A$3:$N$4986,14,FALSE)))</f>
        <v>1120</v>
      </c>
      <c r="R127" s="261">
        <f>IF(D127="","",IF(J127="リード付け",M127,VLOOKUP(D127,契約台帳!$A$3:$O$4986,15,FALSE)))</f>
        <v>1120</v>
      </c>
      <c r="S127" s="261">
        <f>IF(D127="","",IF(J127="リード付け",N127,VLOOKUP(D127,契約台帳!$A$3:$P$4986,16,FALSE)))</f>
        <v>5000</v>
      </c>
      <c r="T127" s="38">
        <v>6</v>
      </c>
      <c r="U127" s="261" t="str">
        <f ca="1">IF(D127="","",IF(OFFSET(D127,-2,0)=D127,"",VLOOKUP(D127,契約台帳!$A$3:$R$4986,18,FALSE)))</f>
        <v/>
      </c>
      <c r="V127" s="256" t="str">
        <f>IF(J127="巻返し",VLOOKUP(F127&amp;K127&amp;M127,製品マスタ!$M$5:$AD$4999,18,FALSE),IF(J127="リード付け","原反コア",IF(J127="スリット",VLOOKUP(F127&amp;K127&amp;Q127,製品マスタ!$N$5:$AD$4999,17,FALSE),"")))</f>
        <v>6ｲﾝﾁSｺｱ</v>
      </c>
      <c r="W127" s="256">
        <f>IF(J127="巻返し",VLOOKUP(F127&amp;K127&amp;M127,製品マスタ!$M$5:$AE$4999,19,FALSE),IF(J127="リード付け","-",IF(J127="スリット",VLOOKUP(F127&amp;K127&amp;Q127,製品マスタ!$N$5:$AE$4999,18,FALSE),"")))</f>
        <v>1125</v>
      </c>
      <c r="X127" s="256">
        <f>IF(D127="","",VLOOKUP(D127,契約台帳!$A$3:$Q$4986,17,FALSE))</f>
        <v>2</v>
      </c>
      <c r="Y127" s="256" t="str">
        <f>IF(D127="","",VLOOKUP(D127,契約台帳!$A$3:$E$4986,5,FALSE))</f>
        <v>リンテック㈱</v>
      </c>
      <c r="Z127" s="54"/>
      <c r="AA127" s="200" t="str">
        <f>IFERROR(VLOOKUP(F127&amp;K127&amp;M127,製品マスタ!$M$5:$AM$4999,27,FALSE),"")</f>
        <v>原反ケース再利用</v>
      </c>
      <c r="AB127" s="31"/>
      <c r="AC127" s="184"/>
      <c r="AD127" s="51" t="str">
        <f>IF(F127="","",+F127&amp;K127)</f>
        <v>3SNMLBMNGTBF50</v>
      </c>
      <c r="AE127" s="52">
        <f>+M127*N127*O127/1000</f>
        <v>33600</v>
      </c>
      <c r="AF127" s="41">
        <f>IF(AD127="","",VLOOKUP(AD127,原価マスタ!$A$2:$AJ$1693,13,FALSE))</f>
        <v>99</v>
      </c>
      <c r="AG127" s="45">
        <f>IF(AF127="","",+AE127*AF127/100)</f>
        <v>33264</v>
      </c>
      <c r="AH127" s="28"/>
      <c r="AI127" s="28"/>
      <c r="AJ127" s="28"/>
      <c r="AK127" s="28"/>
      <c r="AL127" s="12"/>
      <c r="AM127" s="12"/>
      <c r="AN127" s="12"/>
      <c r="AO127" s="12"/>
      <c r="AP127" s="12"/>
      <c r="AQ127" s="13"/>
      <c r="AR127" s="14"/>
    </row>
    <row r="128" spans="1:44" s="16" customFormat="1" ht="30.95" hidden="1" customHeight="1" x14ac:dyDescent="0.2">
      <c r="A128" s="35"/>
      <c r="B128" s="36"/>
      <c r="C128" s="43"/>
      <c r="D128" s="29"/>
      <c r="E128" s="29"/>
      <c r="F128" s="255"/>
      <c r="G128" s="256"/>
      <c r="H128" s="256"/>
      <c r="I128" s="200"/>
      <c r="J128" s="30"/>
      <c r="K128" s="200"/>
      <c r="L128" s="200"/>
      <c r="M128" s="37"/>
      <c r="N128" s="37"/>
      <c r="O128" s="45"/>
      <c r="P128" s="54"/>
      <c r="Q128" s="260"/>
      <c r="R128" s="261"/>
      <c r="S128" s="261"/>
      <c r="T128" s="38"/>
      <c r="U128" s="261"/>
      <c r="V128" s="256"/>
      <c r="W128" s="256"/>
      <c r="X128" s="256"/>
      <c r="Y128" s="256"/>
      <c r="Z128" s="54"/>
      <c r="AA128" s="200"/>
      <c r="AB128" s="31"/>
      <c r="AC128" s="184"/>
      <c r="AD128" s="51"/>
      <c r="AE128" s="52"/>
      <c r="AF128" s="41"/>
      <c r="AG128" s="45"/>
      <c r="AH128" s="28"/>
      <c r="AI128" s="28"/>
      <c r="AJ128" s="28"/>
      <c r="AK128" s="28"/>
      <c r="AL128" s="12"/>
      <c r="AM128" s="12"/>
      <c r="AN128" s="12"/>
      <c r="AO128" s="12"/>
      <c r="AP128" s="12"/>
      <c r="AQ128" s="13"/>
      <c r="AR128" s="14"/>
    </row>
    <row r="129" spans="1:44" s="16" customFormat="1" ht="30.95" hidden="1" customHeight="1" x14ac:dyDescent="0.2">
      <c r="A129" s="35"/>
      <c r="B129" s="36"/>
      <c r="C129" s="43"/>
      <c r="D129" s="29">
        <v>3697665</v>
      </c>
      <c r="E129" s="29">
        <v>4151281</v>
      </c>
      <c r="F129" s="255" t="str">
        <f>IF(D129="","",VLOOKUP(D129,契約台帳!$A$3:$K$4986,6,FALSE)&amp;VLOOKUP(D129,契約台帳!$A$3:$K$4986,7,FALSE)&amp;VLOOKUP(D129,契約台帳!$A$3:$K$4986,8,FALSE)&amp;VLOOKUP(D129,契約台帳!$A$3:$K$4986,9,FALSE)&amp;VLOOKUP(D129,契約台帳!$A$3:$K$4986,11,FALSE))</f>
        <v>3SNMLBMNGTBF</v>
      </c>
      <c r="G129" s="256" t="str">
        <f>IF(D129="","",VLOOKUP(F129,製品マスタ!$G$5:$H$4999,2,FALSE))</f>
        <v>S</v>
      </c>
      <c r="H129" s="256" t="str">
        <f>IF(D129="","",VLOOKUP(F129,製品マスタ!$G$5:$K$4999,5,FALSE))</f>
        <v>MNGTBF</v>
      </c>
      <c r="I129" s="200" t="str">
        <f>IF(D129="","",VLOOKUP(F129,製品マスタ!$G$5:$L$4999,6,FALSE))</f>
        <v>メタルミー　ネーマー　銀艶　Ｂ</v>
      </c>
      <c r="J129" s="30" t="s">
        <v>893</v>
      </c>
      <c r="K129" s="200">
        <f>IF(D129="","",VLOOKUP(D129,契約台帳!$A$3:$L$4986,12,FALSE))</f>
        <v>50</v>
      </c>
      <c r="L129" s="200" t="str">
        <f>IF(D129="","",INDEX(製品マスタ!$Q$5:$Q$4999,MATCH(F129&amp;K129,製品マスタ!$AO$5:$AO$4999,0)))</f>
        <v>T62</v>
      </c>
      <c r="M129" s="37">
        <v>1120</v>
      </c>
      <c r="N129" s="37">
        <v>10000</v>
      </c>
      <c r="O129" s="45">
        <v>4</v>
      </c>
      <c r="P129" s="54">
        <v>44964</v>
      </c>
      <c r="Q129" s="260">
        <f>IF(D129="","",IF(J129="リード付け",M129,VLOOKUP(D129,契約台帳!$A$3:$N$4986,14,FALSE)))</f>
        <v>1120</v>
      </c>
      <c r="R129" s="261">
        <f>IF(D129="","",IF(J129="リード付け",M129,VLOOKUP(D129,契約台帳!$A$3:$O$4986,15,FALSE)))</f>
        <v>1120</v>
      </c>
      <c r="S129" s="261">
        <f>IF(D129="","",IF(J129="リード付け",N129,VLOOKUP(D129,契約台帳!$A$3:$P$4986,16,FALSE)))</f>
        <v>5000</v>
      </c>
      <c r="T129" s="38">
        <v>8</v>
      </c>
      <c r="U129" s="261">
        <f ca="1">IF(D129="","",IF(OFFSET(D129,-2,0)=D129,"",VLOOKUP(D129,契約台帳!$A$3:$R$4986,18,FALSE)))</f>
        <v>12</v>
      </c>
      <c r="V129" s="256" t="str">
        <f>IF(J129="巻返し",VLOOKUP(F129&amp;K129&amp;M129,製品マスタ!$M$5:$AD$4999,18,FALSE),IF(J129="リード付け","原反コア",IF(J129="スリット",VLOOKUP(F129&amp;K129&amp;Q129,製品マスタ!$N$5:$AD$4999,17,FALSE),"")))</f>
        <v>6ｲﾝﾁSｺｱ</v>
      </c>
      <c r="W129" s="256">
        <f>IF(J129="巻返し",VLOOKUP(F129&amp;K129&amp;M129,製品マスタ!$M$5:$AE$4999,19,FALSE),IF(J129="リード付け","-",IF(J129="スリット",VLOOKUP(F129&amp;K129&amp;Q129,製品マスタ!$N$5:$AE$4999,18,FALSE),"")))</f>
        <v>1125</v>
      </c>
      <c r="X129" s="256">
        <f>IF(D129="","",VLOOKUP(D129,契約台帳!$A$3:$Q$4986,17,FALSE))</f>
        <v>2</v>
      </c>
      <c r="Y129" s="256" t="str">
        <f>IF(D129="","",VLOOKUP(D129,契約台帳!$A$3:$E$4986,5,FALSE))</f>
        <v>リンテック㈱</v>
      </c>
      <c r="Z129" s="54"/>
      <c r="AA129" s="200" t="str">
        <f>IFERROR(VLOOKUP(F129&amp;K129&amp;M129,製品マスタ!$M$5:$AM$4999,27,FALSE),"")</f>
        <v>原反ケース再利用</v>
      </c>
      <c r="AB129" s="31"/>
      <c r="AC129" s="184"/>
      <c r="AD129" s="51" t="str">
        <f>IF(F129="","",+F129&amp;K129)</f>
        <v>3SNMLBMNGTBF50</v>
      </c>
      <c r="AE129" s="52">
        <f>+M129*N129*O129/1000</f>
        <v>44800</v>
      </c>
      <c r="AF129" s="41">
        <f>IF(AD129="","",VLOOKUP(AD129,原価マスタ!$A$2:$AJ$1693,13,FALSE))</f>
        <v>99</v>
      </c>
      <c r="AG129" s="45">
        <f>IF(AF129="","",+AE129*AF129/100)</f>
        <v>44352</v>
      </c>
      <c r="AH129" s="28"/>
      <c r="AI129" s="28"/>
      <c r="AJ129" s="28"/>
      <c r="AK129" s="28"/>
      <c r="AL129" s="12"/>
      <c r="AM129" s="12"/>
      <c r="AN129" s="12"/>
      <c r="AO129" s="12"/>
      <c r="AP129" s="12"/>
      <c r="AQ129" s="13"/>
      <c r="AR129" s="14"/>
    </row>
    <row r="130" spans="1:44" s="16" customFormat="1" ht="30.95" hidden="1" customHeight="1" x14ac:dyDescent="0.2">
      <c r="A130" s="35"/>
      <c r="B130" s="36"/>
      <c r="C130" s="43"/>
      <c r="D130" s="29"/>
      <c r="E130" s="29"/>
      <c r="F130" s="255" t="str">
        <f>IF(D130="","",VLOOKUP(D130,契約台帳!$A$3:$K$4986,6,FALSE)&amp;VLOOKUP(D130,契約台帳!$A$3:$K$4986,7,FALSE)&amp;VLOOKUP(D130,契約台帳!$A$3:$K$4986,8,FALSE)&amp;VLOOKUP(D130,契約台帳!$A$3:$K$4986,9,FALSE)&amp;VLOOKUP(D130,契約台帳!$A$3:$K$4986,11,FALSE))</f>
        <v/>
      </c>
      <c r="G130" s="256" t="str">
        <f>IF(D130="","",VLOOKUP(F130,製品マスタ!$G$5:$H$4999,2,FALSE))</f>
        <v/>
      </c>
      <c r="H130" s="256" t="str">
        <f>IF(D130="","",VLOOKUP(F130,製品マスタ!$G$5:$K$4999,5,FALSE))</f>
        <v/>
      </c>
      <c r="I130" s="200" t="str">
        <f>IF(D130="","",VLOOKUP(F130,製品マスタ!$G$5:$L$4999,6,FALSE))</f>
        <v/>
      </c>
      <c r="J130" s="30"/>
      <c r="K130" s="200" t="str">
        <f>IF(D130="","",VLOOKUP(D130,契約台帳!$A$3:$L$4986,12,FALSE))</f>
        <v/>
      </c>
      <c r="L130" s="200" t="str">
        <f>IF(D130="","",INDEX(製品マスタ!$Q$5:$Q$4999,MATCH(F130&amp;K130,製品マスタ!$AO$5:$AO$4999,0)))</f>
        <v/>
      </c>
      <c r="M130" s="37"/>
      <c r="N130" s="37"/>
      <c r="O130" s="45"/>
      <c r="P130" s="54"/>
      <c r="Q130" s="260" t="str">
        <f>IF(D130="","",IF(J130="リード付け",M130,VLOOKUP(D130,契約台帳!$A$3:$N$4986,14,FALSE)))</f>
        <v/>
      </c>
      <c r="R130" s="261" t="str">
        <f>IF(D130="","",IF(J130="リード付け",M130,VLOOKUP(D130,契約台帳!$A$3:$O$4986,15,FALSE)))</f>
        <v/>
      </c>
      <c r="S130" s="261" t="str">
        <f>IF(D130="","",IF(J130="リード付け",N130,VLOOKUP(D130,契約台帳!$A$3:$P$4986,16,FALSE)))</f>
        <v/>
      </c>
      <c r="T130" s="38"/>
      <c r="U130" s="261" t="str">
        <f ca="1">IF(D130="","",IF(OFFSET(D130,-2,0)=D130,"",VLOOKUP(D130,契約台帳!$A$3:$R$4986,18,FALSE)))</f>
        <v/>
      </c>
      <c r="V130" s="256" t="str">
        <f>IF(J130="巻返し",VLOOKUP(F130&amp;K130&amp;M130,製品マスタ!$M$5:$AD$4999,18,FALSE),IF(J130="リード付け","原反コア",IF(J130="スリット",VLOOKUP(F130&amp;K130&amp;Q130,製品マスタ!$N$5:$AD$4999,17,FALSE),"")))</f>
        <v/>
      </c>
      <c r="W130" s="256" t="str">
        <f>IF(J130="巻返し",VLOOKUP(F130&amp;K130&amp;M130,製品マスタ!$M$5:$AE$4999,19,FALSE),IF(J130="リード付け","-",IF(J130="スリット",VLOOKUP(F130&amp;K130&amp;Q130,製品マスタ!$N$5:$AE$4999,18,FALSE),"")))</f>
        <v/>
      </c>
      <c r="X130" s="256" t="str">
        <f>IF(D130="","",VLOOKUP(D130,契約台帳!$A$3:$Q$4986,17,FALSE))</f>
        <v/>
      </c>
      <c r="Y130" s="256" t="str">
        <f>IF(D130="","",VLOOKUP(D130,契約台帳!$A$3:$E$4986,5,FALSE))</f>
        <v/>
      </c>
      <c r="Z130" s="54"/>
      <c r="AA130" s="200" t="str">
        <f>IFERROR(VLOOKUP(F130&amp;K130&amp;M130,製品マスタ!$M$5:$AM$4999,27,FALSE),"")</f>
        <v/>
      </c>
      <c r="AB130" s="31"/>
      <c r="AC130" s="184"/>
      <c r="AD130" s="51"/>
      <c r="AE130" s="52"/>
      <c r="AF130" s="41"/>
      <c r="AG130" s="45"/>
      <c r="AH130" s="28"/>
      <c r="AI130" s="28"/>
      <c r="AJ130" s="28"/>
      <c r="AK130" s="28"/>
      <c r="AL130" s="12"/>
      <c r="AM130" s="12"/>
      <c r="AN130" s="12"/>
      <c r="AO130" s="12"/>
      <c r="AP130" s="12"/>
      <c r="AQ130" s="13"/>
      <c r="AR130" s="14"/>
    </row>
    <row r="131" spans="1:44" s="16" customFormat="1" ht="30.95" hidden="1" customHeight="1" x14ac:dyDescent="0.2">
      <c r="A131" s="35" t="s">
        <v>853</v>
      </c>
      <c r="B131" s="36" t="s">
        <v>443</v>
      </c>
      <c r="C131" s="43"/>
      <c r="D131" s="29">
        <v>3697665</v>
      </c>
      <c r="E131" s="29">
        <v>4151281</v>
      </c>
      <c r="F131" s="255" t="str">
        <f>IF(D131="","",VLOOKUP(D131,契約台帳!$A$3:$K$4986,6,FALSE)&amp;VLOOKUP(D131,契約台帳!$A$3:$K$4986,7,FALSE)&amp;VLOOKUP(D131,契約台帳!$A$3:$K$4986,8,FALSE)&amp;VLOOKUP(D131,契約台帳!$A$3:$K$4986,9,FALSE)&amp;VLOOKUP(D131,契約台帳!$A$3:$K$4986,11,FALSE))</f>
        <v>3SNMLBMNGTBF</v>
      </c>
      <c r="G131" s="256" t="str">
        <f>IF(D131="","",VLOOKUP(F131,製品マスタ!$G$5:$H$4999,2,FALSE))</f>
        <v>S</v>
      </c>
      <c r="H131" s="256" t="str">
        <f>IF(D131="","",VLOOKUP(F131,製品マスタ!$G$5:$K$4999,5,FALSE))</f>
        <v>MNGTBF</v>
      </c>
      <c r="I131" s="200" t="str">
        <f>IF(D131="","",VLOOKUP(F131,製品マスタ!$G$5:$L$4999,6,FALSE))</f>
        <v>メタルミー　ネーマー　銀艶　Ｂ</v>
      </c>
      <c r="J131" s="30" t="s">
        <v>447</v>
      </c>
      <c r="K131" s="200">
        <f>IF(D131="","",VLOOKUP(D131,契約台帳!$A$3:$L$4986,12,FALSE))</f>
        <v>50</v>
      </c>
      <c r="L131" s="200" t="str">
        <f>IF(D131="","",INDEX(製品マスタ!$Q$5:$Q$4999,MATCH(F131&amp;K131,製品マスタ!$AO$5:$AO$4999,0)))</f>
        <v>T62</v>
      </c>
      <c r="M131" s="37">
        <v>1120</v>
      </c>
      <c r="N131" s="37">
        <v>10000</v>
      </c>
      <c r="O131" s="45">
        <v>2</v>
      </c>
      <c r="P131" s="54">
        <v>44965</v>
      </c>
      <c r="Q131" s="260">
        <f>IF(D131="","",IF(J131="リード付け",M131,VLOOKUP(D131,契約台帳!$A$3:$N$4986,14,FALSE)))</f>
        <v>1120</v>
      </c>
      <c r="R131" s="261">
        <f>IF(D131="","",IF(J131="リード付け",M131,VLOOKUP(D131,契約台帳!$A$3:$O$4986,15,FALSE)))</f>
        <v>1120</v>
      </c>
      <c r="S131" s="261">
        <f>IF(D131="","",IF(J131="リード付け",N131,VLOOKUP(D131,契約台帳!$A$3:$P$4986,16,FALSE)))</f>
        <v>5000</v>
      </c>
      <c r="T131" s="38">
        <v>4</v>
      </c>
      <c r="U131" s="261" t="str">
        <f ca="1">IF(D131="","",IF(OFFSET(D131,-2,0)=D131,"",VLOOKUP(D131,契約台帳!$A$3:$R$4986,18,FALSE)))</f>
        <v/>
      </c>
      <c r="V131" s="256" t="str">
        <f>IF(J131="巻返し",VLOOKUP(F131&amp;K131&amp;M131,製品マスタ!$M$5:$AD$4999,18,FALSE),IF(J131="リード付け","原反コア",IF(J131="スリット",VLOOKUP(F131&amp;K131&amp;Q131,製品マスタ!$N$5:$AD$4999,17,FALSE),"")))</f>
        <v>6ｲﾝﾁSｺｱ</v>
      </c>
      <c r="W131" s="256">
        <f>IF(J131="巻返し",VLOOKUP(F131&amp;K131&amp;M131,製品マスタ!$M$5:$AE$4999,19,FALSE),IF(J131="リード付け","-",IF(J131="スリット",VLOOKUP(F131&amp;K131&amp;Q131,製品マスタ!$N$5:$AE$4999,18,FALSE),"")))</f>
        <v>1125</v>
      </c>
      <c r="X131" s="256">
        <f>IF(D131="","",VLOOKUP(D131,契約台帳!$A$3:$Q$4986,17,FALSE))</f>
        <v>2</v>
      </c>
      <c r="Y131" s="256" t="str">
        <f>IF(D131="","",VLOOKUP(D131,契約台帳!$A$3:$E$4986,5,FALSE))</f>
        <v>リンテック㈱</v>
      </c>
      <c r="Z131" s="54"/>
      <c r="AA131" s="200" t="str">
        <f>IFERROR(VLOOKUP(F131&amp;K131&amp;M131,製品マスタ!$M$5:$AM$4999,27,FALSE),"")</f>
        <v>原反ケース再利用</v>
      </c>
      <c r="AB131" s="31"/>
      <c r="AC131" s="184"/>
      <c r="AD131" s="51" t="str">
        <f>IF(F131="","",+F131&amp;K131)</f>
        <v>3SNMLBMNGTBF50</v>
      </c>
      <c r="AE131" s="52">
        <f>+M131*N131*O131/1000</f>
        <v>22400</v>
      </c>
      <c r="AF131" s="41">
        <f>IF(AD131="","",VLOOKUP(AD131,原価マスタ!$A$2:$AJ$1693,13,FALSE))</f>
        <v>99</v>
      </c>
      <c r="AG131" s="45">
        <f>IF(AF131="","",+AE131*AF131/100)</f>
        <v>22176</v>
      </c>
      <c r="AH131" s="28"/>
      <c r="AI131" s="28"/>
      <c r="AJ131" s="28"/>
      <c r="AK131" s="28"/>
      <c r="AL131" s="12"/>
      <c r="AM131" s="12"/>
      <c r="AN131" s="12"/>
      <c r="AO131" s="12"/>
      <c r="AP131" s="12"/>
      <c r="AQ131" s="13"/>
      <c r="AR131" s="14"/>
    </row>
    <row r="132" spans="1:44" s="16" customFormat="1" ht="30.95" hidden="1" customHeight="1" x14ac:dyDescent="0.2">
      <c r="A132" s="35"/>
      <c r="B132" s="36"/>
      <c r="C132" s="43"/>
      <c r="D132" s="29"/>
      <c r="E132" s="29"/>
      <c r="F132" s="255"/>
      <c r="G132" s="256"/>
      <c r="H132" s="256"/>
      <c r="I132" s="200"/>
      <c r="J132" s="30"/>
      <c r="K132" s="200"/>
      <c r="L132" s="200"/>
      <c r="M132" s="37"/>
      <c r="N132" s="37"/>
      <c r="O132" s="45"/>
      <c r="P132" s="54"/>
      <c r="Q132" s="260"/>
      <c r="R132" s="261"/>
      <c r="S132" s="261"/>
      <c r="T132" s="38"/>
      <c r="U132" s="261"/>
      <c r="V132" s="256"/>
      <c r="W132" s="256"/>
      <c r="X132" s="256"/>
      <c r="Y132" s="256"/>
      <c r="Z132" s="54"/>
      <c r="AA132" s="200"/>
      <c r="AB132" s="31"/>
      <c r="AC132" s="184"/>
      <c r="AD132" s="51"/>
      <c r="AE132" s="52"/>
      <c r="AF132" s="41"/>
      <c r="AG132" s="45"/>
      <c r="AH132" s="28"/>
      <c r="AI132" s="28"/>
      <c r="AJ132" s="28"/>
      <c r="AK132" s="28"/>
      <c r="AL132" s="12"/>
      <c r="AM132" s="12"/>
      <c r="AN132" s="12"/>
      <c r="AO132" s="12"/>
      <c r="AP132" s="12"/>
      <c r="AQ132" s="13"/>
      <c r="AR132" s="14"/>
    </row>
    <row r="133" spans="1:44" s="16" customFormat="1" ht="30.95" hidden="1" customHeight="1" x14ac:dyDescent="0.2">
      <c r="A133" s="35"/>
      <c r="B133" s="36"/>
      <c r="C133" s="43"/>
      <c r="D133" s="29">
        <v>3697666</v>
      </c>
      <c r="E133" s="29">
        <v>4151282</v>
      </c>
      <c r="F133" s="255" t="str">
        <f>IF(D133="","",VLOOKUP(D133,契約台帳!$A$3:$K$4986,6,FALSE)&amp;VLOOKUP(D133,契約台帳!$A$3:$K$4986,7,FALSE)&amp;VLOOKUP(D133,契約台帳!$A$3:$K$4986,8,FALSE)&amp;VLOOKUP(D133,契約台帳!$A$3:$K$4986,9,FALSE)&amp;VLOOKUP(D133,契約台帳!$A$3:$K$4986,11,FALSE))</f>
        <v>3SNMLBMNGTBF</v>
      </c>
      <c r="G133" s="256" t="str">
        <f>IF(D133="","",VLOOKUP(F133,製品マスタ!$G$5:$H$4999,2,FALSE))</f>
        <v>S</v>
      </c>
      <c r="H133" s="256" t="str">
        <f>IF(D133="","",VLOOKUP(F133,製品マスタ!$G$5:$K$4999,5,FALSE))</f>
        <v>MNGTBF</v>
      </c>
      <c r="I133" s="200" t="str">
        <f>IF(D133="","",VLOOKUP(F133,製品マスタ!$G$5:$L$4999,6,FALSE))</f>
        <v>メタルミー　ネーマー　銀艶　Ｂ</v>
      </c>
      <c r="J133" s="30" t="s">
        <v>893</v>
      </c>
      <c r="K133" s="200">
        <f>IF(D133="","",VLOOKUP(D133,契約台帳!$A$3:$L$4986,12,FALSE))</f>
        <v>50</v>
      </c>
      <c r="L133" s="200" t="str">
        <f>IF(D133="","",INDEX(製品マスタ!$Q$5:$Q$4999,MATCH(F133&amp;K133,製品マスタ!$AO$5:$AO$4999,0)))</f>
        <v>T62</v>
      </c>
      <c r="M133" s="37">
        <v>1120</v>
      </c>
      <c r="N133" s="37">
        <v>10000</v>
      </c>
      <c r="O133" s="45">
        <v>5</v>
      </c>
      <c r="P133" s="54">
        <v>44965</v>
      </c>
      <c r="Q133" s="260">
        <f>IF(D133="","",IF(J133="リード付け",M133,VLOOKUP(D133,契約台帳!$A$3:$N$4986,14,FALSE)))</f>
        <v>1120</v>
      </c>
      <c r="R133" s="261">
        <f>IF(D133="","",IF(J133="リード付け",M133,VLOOKUP(D133,契約台帳!$A$3:$O$4986,15,FALSE)))</f>
        <v>1120</v>
      </c>
      <c r="S133" s="261">
        <f>IF(D133="","",IF(J133="リード付け",N133,VLOOKUP(D133,契約台帳!$A$3:$P$4986,16,FALSE)))</f>
        <v>5000</v>
      </c>
      <c r="T133" s="38">
        <v>10</v>
      </c>
      <c r="U133" s="261">
        <f ca="1">IF(D133="","",IF(OFFSET(D133,-2,0)=D133,"",VLOOKUP(D133,契約台帳!$A$3:$R$4986,18,FALSE)))</f>
        <v>14</v>
      </c>
      <c r="V133" s="256" t="str">
        <f>IF(J133="巻返し",VLOOKUP(F133&amp;K133&amp;M133,製品マスタ!$M$5:$AD$4999,18,FALSE),IF(J133="リード付け","原反コア",IF(J133="スリット",VLOOKUP(F133&amp;K133&amp;Q133,製品マスタ!$N$5:$AD$4999,17,FALSE),"")))</f>
        <v>6ｲﾝﾁSｺｱ</v>
      </c>
      <c r="W133" s="256">
        <f>IF(J133="巻返し",VLOOKUP(F133&amp;K133&amp;M133,製品マスタ!$M$5:$AE$4999,19,FALSE),IF(J133="リード付け","-",IF(J133="スリット",VLOOKUP(F133&amp;K133&amp;Q133,製品マスタ!$N$5:$AE$4999,18,FALSE),"")))</f>
        <v>1125</v>
      </c>
      <c r="X133" s="256">
        <f>IF(D133="","",VLOOKUP(D133,契約台帳!$A$3:$Q$4986,17,FALSE))</f>
        <v>2</v>
      </c>
      <c r="Y133" s="256" t="str">
        <f>IF(D133="","",VLOOKUP(D133,契約台帳!$A$3:$E$4986,5,FALSE))</f>
        <v>リンテック㈱</v>
      </c>
      <c r="Z133" s="54"/>
      <c r="AA133" s="200" t="str">
        <f>IFERROR(VLOOKUP(F133&amp;K133&amp;M133,製品マスタ!$M$5:$AM$4999,27,FALSE),"")</f>
        <v>原反ケース再利用</v>
      </c>
      <c r="AB133" s="31"/>
      <c r="AC133" s="184"/>
      <c r="AD133" s="51" t="str">
        <f>IF(F133="","",+F133&amp;K133)</f>
        <v>3SNMLBMNGTBF50</v>
      </c>
      <c r="AE133" s="52">
        <f>+M133*N133*O133/1000</f>
        <v>56000</v>
      </c>
      <c r="AF133" s="41">
        <f>IF(AD133="","",VLOOKUP(AD133,原価マスタ!$A$2:$AJ$1693,13,FALSE))</f>
        <v>99</v>
      </c>
      <c r="AG133" s="45">
        <f>IF(AF133="","",+AE133*AF133/100)</f>
        <v>55440</v>
      </c>
      <c r="AH133" s="28"/>
      <c r="AI133" s="28"/>
      <c r="AJ133" s="28"/>
      <c r="AK133" s="28"/>
      <c r="AL133" s="12"/>
      <c r="AM133" s="12"/>
      <c r="AN133" s="12"/>
      <c r="AO133" s="12"/>
      <c r="AP133" s="12"/>
      <c r="AQ133" s="13"/>
      <c r="AR133" s="14"/>
    </row>
    <row r="134" spans="1:44" s="16" customFormat="1" ht="30.95" hidden="1" customHeight="1" x14ac:dyDescent="0.2">
      <c r="A134" s="35"/>
      <c r="B134" s="36"/>
      <c r="C134" s="43"/>
      <c r="D134" s="29"/>
      <c r="E134" s="29"/>
      <c r="F134" s="255" t="str">
        <f>IF(D134="","",VLOOKUP(D134,契約台帳!$A$3:$K$4986,6,FALSE)&amp;VLOOKUP(D134,契約台帳!$A$3:$K$4986,7,FALSE)&amp;VLOOKUP(D134,契約台帳!$A$3:$K$4986,8,FALSE)&amp;VLOOKUP(D134,契約台帳!$A$3:$K$4986,9,FALSE)&amp;VLOOKUP(D134,契約台帳!$A$3:$K$4986,11,FALSE))</f>
        <v/>
      </c>
      <c r="G134" s="256" t="str">
        <f>IF(D134="","",VLOOKUP(F134,製品マスタ!$G$5:$H$4999,2,FALSE))</f>
        <v/>
      </c>
      <c r="H134" s="256" t="str">
        <f>IF(D134="","",VLOOKUP(F134,製品マスタ!$G$5:$K$4999,5,FALSE))</f>
        <v/>
      </c>
      <c r="I134" s="200" t="str">
        <f>IF(D134="","",VLOOKUP(F134,製品マスタ!$G$5:$L$4999,6,FALSE))</f>
        <v/>
      </c>
      <c r="J134" s="30"/>
      <c r="K134" s="200" t="str">
        <f>IF(D134="","",VLOOKUP(D134,契約台帳!$A$3:$L$4986,12,FALSE))</f>
        <v/>
      </c>
      <c r="L134" s="200" t="str">
        <f>IF(D134="","",INDEX(製品マスタ!$Q$5:$Q$4999,MATCH(F134&amp;K134,製品マスタ!$AO$5:$AO$4999,0)))</f>
        <v/>
      </c>
      <c r="M134" s="37"/>
      <c r="N134" s="37"/>
      <c r="O134" s="45"/>
      <c r="P134" s="54"/>
      <c r="Q134" s="260" t="str">
        <f>IF(D134="","",IF(J134="リード付け",M134,VLOOKUP(D134,契約台帳!$A$3:$N$4986,14,FALSE)))</f>
        <v/>
      </c>
      <c r="R134" s="261" t="str">
        <f>IF(D134="","",IF(J134="リード付け",M134,VLOOKUP(D134,契約台帳!$A$3:$O$4986,15,FALSE)))</f>
        <v/>
      </c>
      <c r="S134" s="261" t="str">
        <f>IF(D134="","",IF(J134="リード付け",N134,VLOOKUP(D134,契約台帳!$A$3:$P$4986,16,FALSE)))</f>
        <v/>
      </c>
      <c r="T134" s="38"/>
      <c r="U134" s="261" t="str">
        <f ca="1">IF(D134="","",IF(OFFSET(D134,-2,0)=D134,"",VLOOKUP(D134,契約台帳!$A$3:$R$4986,18,FALSE)))</f>
        <v/>
      </c>
      <c r="V134" s="256" t="str">
        <f>IF(J134="巻返し",VLOOKUP(F134&amp;K134&amp;M134,製品マスタ!$M$5:$AD$4999,18,FALSE),IF(J134="リード付け","原反コア",IF(J134="スリット",VLOOKUP(F134&amp;K134&amp;Q134,製品マスタ!$N$5:$AD$4999,17,FALSE),"")))</f>
        <v/>
      </c>
      <c r="W134" s="256" t="str">
        <f>IF(J134="巻返し",VLOOKUP(F134&amp;K134&amp;M134,製品マスタ!$M$5:$AE$4999,19,FALSE),IF(J134="リード付け","-",IF(J134="スリット",VLOOKUP(F134&amp;K134&amp;Q134,製品マスタ!$N$5:$AE$4999,18,FALSE),"")))</f>
        <v/>
      </c>
      <c r="X134" s="256" t="str">
        <f>IF(D134="","",VLOOKUP(D134,契約台帳!$A$3:$Q$4986,17,FALSE))</f>
        <v/>
      </c>
      <c r="Y134" s="256" t="str">
        <f>IF(D134="","",VLOOKUP(D134,契約台帳!$A$3:$E$4986,5,FALSE))</f>
        <v/>
      </c>
      <c r="Z134" s="54"/>
      <c r="AA134" s="200" t="str">
        <f>IFERROR(VLOOKUP(F134&amp;K134&amp;M134,製品マスタ!$M$5:$AM$4999,27,FALSE),"")</f>
        <v/>
      </c>
      <c r="AB134" s="31"/>
      <c r="AC134" s="184"/>
      <c r="AD134" s="51"/>
      <c r="AE134" s="52"/>
      <c r="AF134" s="41"/>
      <c r="AG134" s="45"/>
      <c r="AH134" s="28"/>
      <c r="AI134" s="28"/>
      <c r="AJ134" s="28"/>
      <c r="AK134" s="28"/>
      <c r="AL134" s="12"/>
      <c r="AM134" s="12"/>
      <c r="AN134" s="12"/>
      <c r="AO134" s="12"/>
      <c r="AP134" s="12"/>
      <c r="AQ134" s="13"/>
      <c r="AR134" s="14"/>
    </row>
    <row r="135" spans="1:44" s="16" customFormat="1" ht="30.95" hidden="1" customHeight="1" x14ac:dyDescent="0.2">
      <c r="A135" s="35" t="s">
        <v>894</v>
      </c>
      <c r="B135" s="36" t="s">
        <v>895</v>
      </c>
      <c r="C135" s="43"/>
      <c r="D135" s="29">
        <v>3697666</v>
      </c>
      <c r="E135" s="29">
        <v>4151282</v>
      </c>
      <c r="F135" s="255" t="str">
        <f>IF(D135="","",VLOOKUP(D135,契約台帳!$A$3:$K$4986,6,FALSE)&amp;VLOOKUP(D135,契約台帳!$A$3:$K$4986,7,FALSE)&amp;VLOOKUP(D135,契約台帳!$A$3:$K$4986,8,FALSE)&amp;VLOOKUP(D135,契約台帳!$A$3:$K$4986,9,FALSE)&amp;VLOOKUP(D135,契約台帳!$A$3:$K$4986,11,FALSE))</f>
        <v>3SNMLBMNGTBF</v>
      </c>
      <c r="G135" s="256" t="str">
        <f>IF(D135="","",VLOOKUP(F135,製品マスタ!$G$5:$H$4999,2,FALSE))</f>
        <v>S</v>
      </c>
      <c r="H135" s="256" t="str">
        <f>IF(D135="","",VLOOKUP(F135,製品マスタ!$G$5:$K$4999,5,FALSE))</f>
        <v>MNGTBF</v>
      </c>
      <c r="I135" s="200" t="str">
        <f>IF(D135="","",VLOOKUP(F135,製品マスタ!$G$5:$L$4999,6,FALSE))</f>
        <v>メタルミー　ネーマー　銀艶　Ｂ</v>
      </c>
      <c r="J135" s="30" t="s">
        <v>447</v>
      </c>
      <c r="K135" s="200">
        <f>IF(D135="","",VLOOKUP(D135,契約台帳!$A$3:$L$4986,12,FALSE))</f>
        <v>50</v>
      </c>
      <c r="L135" s="200" t="str">
        <f>IF(D135="","",INDEX(製品マスタ!$Q$5:$Q$4999,MATCH(F135&amp;K135,製品マスタ!$AO$5:$AO$4999,0)))</f>
        <v>T62</v>
      </c>
      <c r="M135" s="37">
        <v>1120</v>
      </c>
      <c r="N135" s="37">
        <v>10000</v>
      </c>
      <c r="O135" s="45">
        <v>2</v>
      </c>
      <c r="P135" s="54">
        <v>44965</v>
      </c>
      <c r="Q135" s="260">
        <f>IF(D135="","",IF(J135="リード付け",M135,VLOOKUP(D135,契約台帳!$A$3:$N$4986,14,FALSE)))</f>
        <v>1120</v>
      </c>
      <c r="R135" s="261">
        <f>IF(D135="","",IF(J135="リード付け",M135,VLOOKUP(D135,契約台帳!$A$3:$O$4986,15,FALSE)))</f>
        <v>1120</v>
      </c>
      <c r="S135" s="261">
        <f>IF(D135="","",IF(J135="リード付け",N135,VLOOKUP(D135,契約台帳!$A$3:$P$4986,16,FALSE)))</f>
        <v>5000</v>
      </c>
      <c r="T135" s="38">
        <v>4</v>
      </c>
      <c r="U135" s="261" t="str">
        <f ca="1">IF(D135="","",IF(OFFSET(D135,-2,0)=D135,"",VLOOKUP(D135,契約台帳!$A$3:$R$4986,18,FALSE)))</f>
        <v/>
      </c>
      <c r="V135" s="256" t="str">
        <f>IF(J135="巻返し",VLOOKUP(F135&amp;K135&amp;M135,製品マスタ!$M$5:$AD$4999,18,FALSE),IF(J135="リード付け","原反コア",IF(J135="スリット",VLOOKUP(F135&amp;K135&amp;Q135,製品マスタ!$N$5:$AD$4999,17,FALSE),"")))</f>
        <v>6ｲﾝﾁSｺｱ</v>
      </c>
      <c r="W135" s="256">
        <f>IF(J135="巻返し",VLOOKUP(F135&amp;K135&amp;M135,製品マスタ!$M$5:$AE$4999,19,FALSE),IF(J135="リード付け","-",IF(J135="スリット",VLOOKUP(F135&amp;K135&amp;Q135,製品マスタ!$N$5:$AE$4999,18,FALSE),"")))</f>
        <v>1125</v>
      </c>
      <c r="X135" s="256">
        <f>IF(D135="","",VLOOKUP(D135,契約台帳!$A$3:$Q$4986,17,FALSE))</f>
        <v>2</v>
      </c>
      <c r="Y135" s="256" t="str">
        <f>IF(D135="","",VLOOKUP(D135,契約台帳!$A$3:$E$4986,5,FALSE))</f>
        <v>リンテック㈱</v>
      </c>
      <c r="Z135" s="54"/>
      <c r="AA135" s="200" t="str">
        <f>IFERROR(VLOOKUP(F135&amp;K135&amp;M135,製品マスタ!$M$5:$AM$4999,27,FALSE),"")</f>
        <v>原反ケース再利用</v>
      </c>
      <c r="AB135" s="31"/>
      <c r="AC135" s="184"/>
      <c r="AD135" s="51" t="str">
        <f>IF(F135="","",+F135&amp;K135)</f>
        <v>3SNMLBMNGTBF50</v>
      </c>
      <c r="AE135" s="52">
        <f>+M135*N135*O135/1000</f>
        <v>22400</v>
      </c>
      <c r="AF135" s="41">
        <f>IF(AD135="","",VLOOKUP(AD135,原価マスタ!$A$2:$AJ$1693,13,FALSE))</f>
        <v>99</v>
      </c>
      <c r="AG135" s="45">
        <f>IF(AF135="","",+AE135*AF135/100)</f>
        <v>22176</v>
      </c>
      <c r="AH135" s="28"/>
      <c r="AI135" s="28"/>
      <c r="AJ135" s="28"/>
      <c r="AK135" s="28"/>
      <c r="AL135" s="12"/>
      <c r="AM135" s="12"/>
      <c r="AN135" s="12"/>
      <c r="AO135" s="12"/>
      <c r="AP135" s="12"/>
      <c r="AQ135" s="13"/>
      <c r="AR135" s="14"/>
    </row>
    <row r="136" spans="1:44" s="16" customFormat="1" ht="30.95" hidden="1" customHeight="1" x14ac:dyDescent="0.2">
      <c r="A136" s="35"/>
      <c r="B136" s="36"/>
      <c r="C136" s="43"/>
      <c r="D136" s="29"/>
      <c r="E136" s="29"/>
      <c r="F136" s="255" t="str">
        <f>IF(D136="","",VLOOKUP(D136,契約台帳!$A$3:$K$4986,6,FALSE)&amp;VLOOKUP(D136,契約台帳!$A$3:$K$4986,7,FALSE)&amp;VLOOKUP(D136,契約台帳!$A$3:$K$4986,8,FALSE)&amp;VLOOKUP(D136,契約台帳!$A$3:$K$4986,9,FALSE)&amp;VLOOKUP(D136,契約台帳!$A$3:$K$4986,11,FALSE))</f>
        <v/>
      </c>
      <c r="G136" s="256" t="str">
        <f>IF(D136="","",VLOOKUP(F136,製品マスタ!$G$5:$H$4999,2,FALSE))</f>
        <v/>
      </c>
      <c r="H136" s="256" t="str">
        <f>IF(D136="","",VLOOKUP(F136,製品マスタ!$G$5:$K$4999,5,FALSE))</f>
        <v/>
      </c>
      <c r="I136" s="200" t="str">
        <f>IF(D136="","",VLOOKUP(F136,製品マスタ!$G$5:$L$4999,6,FALSE))</f>
        <v/>
      </c>
      <c r="J136" s="30"/>
      <c r="K136" s="200" t="str">
        <f>IF(D136="","",VLOOKUP(D136,契約台帳!$A$3:$L$4986,12,FALSE))</f>
        <v/>
      </c>
      <c r="L136" s="200" t="str">
        <f>IF(D136="","",INDEX(製品マスタ!$Q$5:$Q$4999,MATCH(F136&amp;K136,製品マスタ!$AO$5:$AO$4999,0)))</f>
        <v/>
      </c>
      <c r="M136" s="37"/>
      <c r="N136" s="37"/>
      <c r="O136" s="45"/>
      <c r="P136" s="54"/>
      <c r="Q136" s="260" t="str">
        <f>IF(D136="","",IF(J136="リード付け",M136,VLOOKUP(D136,契約台帳!$A$3:$N$4986,14,FALSE)))</f>
        <v/>
      </c>
      <c r="R136" s="261" t="str">
        <f>IF(D136="","",IF(J136="リード付け",M136,VLOOKUP(D136,契約台帳!$A$3:$O$4986,15,FALSE)))</f>
        <v/>
      </c>
      <c r="S136" s="261" t="str">
        <f>IF(D136="","",IF(J136="リード付け",N136,VLOOKUP(D136,契約台帳!$A$3:$P$4986,16,FALSE)))</f>
        <v/>
      </c>
      <c r="T136" s="38"/>
      <c r="U136" s="261" t="str">
        <f ca="1">IF(D136="","",IF(OFFSET(D136,-2,0)=D136,"",VLOOKUP(D136,契約台帳!$A$3:$R$4986,18,FALSE)))</f>
        <v/>
      </c>
      <c r="V136" s="256" t="str">
        <f>IF(J136="巻返し",VLOOKUP(F136&amp;K136&amp;M136,製品マスタ!$M$5:$AD$4999,18,FALSE),IF(J136="リード付け","原反コア",IF(J136="スリット",VLOOKUP(F136&amp;K136&amp;Q136,製品マスタ!$N$5:$AD$4999,17,FALSE),"")))</f>
        <v/>
      </c>
      <c r="W136" s="256" t="str">
        <f>IF(J136="巻返し",VLOOKUP(F136&amp;K136&amp;M136,製品マスタ!$M$5:$AE$4999,19,FALSE),IF(J136="リード付け","-",IF(J136="スリット",VLOOKUP(F136&amp;K136&amp;Q136,製品マスタ!$N$5:$AE$4999,18,FALSE),"")))</f>
        <v/>
      </c>
      <c r="X136" s="256" t="str">
        <f>IF(D136="","",VLOOKUP(D136,契約台帳!$A$3:$Q$4986,17,FALSE))</f>
        <v/>
      </c>
      <c r="Y136" s="256" t="str">
        <f>IF(D136="","",VLOOKUP(D136,契約台帳!$A$3:$E$4986,5,FALSE))</f>
        <v/>
      </c>
      <c r="Z136" s="54"/>
      <c r="AA136" s="200" t="str">
        <f>IFERROR(VLOOKUP(F136&amp;K136&amp;M136,製品マスタ!$M$5:$AM$4999,27,FALSE),"")</f>
        <v/>
      </c>
      <c r="AB136" s="31"/>
      <c r="AC136" s="184"/>
      <c r="AD136" s="51"/>
      <c r="AE136" s="52"/>
      <c r="AF136" s="41"/>
      <c r="AG136" s="45"/>
      <c r="AH136" s="28"/>
      <c r="AI136" s="28"/>
      <c r="AJ136" s="28"/>
      <c r="AK136" s="28"/>
      <c r="AL136" s="12"/>
      <c r="AM136" s="12"/>
      <c r="AN136" s="12"/>
      <c r="AO136" s="12"/>
      <c r="AP136" s="12"/>
      <c r="AQ136" s="13"/>
      <c r="AR136" s="14"/>
    </row>
    <row r="137" spans="1:44" s="16" customFormat="1" ht="30.95" hidden="1" customHeight="1" x14ac:dyDescent="0.2">
      <c r="A137" s="35"/>
      <c r="B137" s="36"/>
      <c r="C137" s="43"/>
      <c r="D137" s="29">
        <v>3697857</v>
      </c>
      <c r="E137" s="29">
        <v>4151297</v>
      </c>
      <c r="F137" s="255" t="str">
        <f>IF(D137="","",VLOOKUP(D137,契約台帳!$A$3:$K$4986,6,FALSE)&amp;VLOOKUP(D137,契約台帳!$A$3:$K$4986,7,FALSE)&amp;VLOOKUP(D137,契約台帳!$A$3:$K$4986,8,FALSE)&amp;VLOOKUP(D137,契約台帳!$A$3:$K$4986,9,FALSE)&amp;VLOOKUP(D137,契約台帳!$A$3:$K$4986,11,FALSE))</f>
        <v>3SNMLBMSF</v>
      </c>
      <c r="G137" s="256" t="str">
        <f>IF(D137="","",VLOOKUP(F137,製品マスタ!$G$5:$H$4999,2,FALSE))</f>
        <v>S</v>
      </c>
      <c r="H137" s="256" t="str">
        <f>IF(D137="","",VLOOKUP(F137,製品マスタ!$G$5:$K$4999,5,FALSE))</f>
        <v>MSF</v>
      </c>
      <c r="I137" s="200" t="str">
        <f>IF(D137="","",VLOOKUP(F137,製品マスタ!$G$5:$L$4999,6,FALSE))</f>
        <v>メタルミー　Ｓ</v>
      </c>
      <c r="J137" s="30" t="s">
        <v>463</v>
      </c>
      <c r="K137" s="200">
        <f>IF(D137="","",VLOOKUP(D137,契約台帳!$A$3:$L$4986,12,FALSE))</f>
        <v>25</v>
      </c>
      <c r="L137" s="200" t="str">
        <f>IF(D137="","",INDEX(製品マスタ!$Q$5:$Q$4999,MATCH(F137&amp;K137,製品マスタ!$AO$5:$AO$4999,0)))</f>
        <v>T62M</v>
      </c>
      <c r="M137" s="37">
        <v>1020</v>
      </c>
      <c r="N137" s="37">
        <v>12100</v>
      </c>
      <c r="O137" s="45">
        <v>1</v>
      </c>
      <c r="P137" s="54">
        <v>44967</v>
      </c>
      <c r="Q137" s="260">
        <f>IF(D137="","",IF(J137="リード付け",M137,VLOOKUP(D137,契約台帳!$A$3:$N$4986,14,FALSE)))</f>
        <v>1020</v>
      </c>
      <c r="R137" s="261">
        <f>IF(D137="","",IF(J137="リード付け",M137,VLOOKUP(D137,契約台帳!$A$3:$O$4986,15,FALSE)))</f>
        <v>1020</v>
      </c>
      <c r="S137" s="261">
        <f>IF(D137="","",IF(J137="リード付け",N137,VLOOKUP(D137,契約台帳!$A$3:$P$4986,16,FALSE)))</f>
        <v>2000</v>
      </c>
      <c r="T137" s="38">
        <v>6</v>
      </c>
      <c r="U137" s="261">
        <f ca="1">IF(D137="","",IF(OFFSET(D137,-2,0)=D137,"",VLOOKUP(D137,契約台帳!$A$3:$R$4986,18,FALSE)))</f>
        <v>6</v>
      </c>
      <c r="V137" s="256" t="str">
        <f>IF(J137="巻返し",VLOOKUP(F137&amp;K137&amp;M137,製品マスタ!$M$5:$AD$4999,18,FALSE),IF(J137="リード付け","原反コア",IF(J137="スリット",VLOOKUP(F137&amp;K137&amp;Q137,製品マスタ!$N$5:$AD$4999,17,FALSE),"")))</f>
        <v>3ｲﾝﾁSｺｱ</v>
      </c>
      <c r="W137" s="256">
        <f>IF(J137="巻返し",VLOOKUP(F137&amp;K137&amp;M137,製品マスタ!$M$5:$AE$4999,19,FALSE),IF(J137="リード付け","-",IF(J137="スリット",VLOOKUP(F137&amp;K137&amp;Q137,製品マスタ!$N$5:$AE$4999,18,FALSE),"")))</f>
        <v>1025</v>
      </c>
      <c r="X137" s="256">
        <f>IF(D137="","",VLOOKUP(D137,契約台帳!$A$3:$Q$4986,17,FALSE))</f>
        <v>2</v>
      </c>
      <c r="Y137" s="256" t="str">
        <f>IF(D137="","",VLOOKUP(D137,契約台帳!$A$3:$E$4986,5,FALSE))</f>
        <v>パナック㈱亀山工場</v>
      </c>
      <c r="Z137" s="54"/>
      <c r="AA137" s="200">
        <f>IFERROR(VLOOKUP(F137&amp;K137&amp;M137,製品マスタ!$M$5:$AM$4999,27,FALSE),"")</f>
        <v>0</v>
      </c>
      <c r="AB137" s="31"/>
      <c r="AC137" s="184"/>
      <c r="AD137" s="51" t="str">
        <f>IF(F137="","",+F137&amp;K137)</f>
        <v>3SNMLBMSF25</v>
      </c>
      <c r="AE137" s="52">
        <f>+M137*N137*O137/1000</f>
        <v>12342</v>
      </c>
      <c r="AF137" s="41">
        <f>IF(AD137="","",VLOOKUP(AD137,原価マスタ!$A$2:$AJ$1693,13,FALSE))</f>
        <v>97</v>
      </c>
      <c r="AG137" s="45">
        <f>IF(AF137="","",+AE137*AF137/100)</f>
        <v>11971.74</v>
      </c>
      <c r="AH137" s="28"/>
      <c r="AI137" s="28"/>
      <c r="AJ137" s="28"/>
      <c r="AK137" s="28"/>
      <c r="AL137" s="12"/>
      <c r="AM137" s="12"/>
      <c r="AN137" s="12"/>
      <c r="AO137" s="12"/>
      <c r="AP137" s="12"/>
      <c r="AQ137" s="13"/>
      <c r="AR137" s="14"/>
    </row>
    <row r="138" spans="1:44" s="16" customFormat="1" ht="30.95" hidden="1" customHeight="1" x14ac:dyDescent="0.2">
      <c r="A138" s="35"/>
      <c r="B138" s="36"/>
      <c r="C138" s="43"/>
      <c r="D138" s="29"/>
      <c r="E138" s="29"/>
      <c r="F138" s="255"/>
      <c r="G138" s="256"/>
      <c r="H138" s="256"/>
      <c r="I138" s="200"/>
      <c r="J138" s="30"/>
      <c r="K138" s="200"/>
      <c r="L138" s="200"/>
      <c r="M138" s="37"/>
      <c r="N138" s="37"/>
      <c r="O138" s="45"/>
      <c r="P138" s="54"/>
      <c r="Q138" s="260"/>
      <c r="R138" s="261"/>
      <c r="S138" s="261"/>
      <c r="T138" s="38"/>
      <c r="U138" s="261"/>
      <c r="V138" s="256"/>
      <c r="W138" s="256"/>
      <c r="X138" s="256"/>
      <c r="Y138" s="256"/>
      <c r="Z138" s="54"/>
      <c r="AA138" s="200"/>
      <c r="AB138" s="31"/>
      <c r="AC138" s="184"/>
      <c r="AD138" s="51"/>
      <c r="AE138" s="52"/>
      <c r="AF138" s="41"/>
      <c r="AG138" s="45"/>
      <c r="AH138" s="28"/>
      <c r="AI138" s="28"/>
      <c r="AJ138" s="28"/>
      <c r="AK138" s="28"/>
      <c r="AL138" s="12"/>
      <c r="AM138" s="12"/>
      <c r="AN138" s="12"/>
      <c r="AO138" s="12"/>
      <c r="AP138" s="12"/>
      <c r="AQ138" s="13"/>
      <c r="AR138" s="14"/>
    </row>
    <row r="139" spans="1:44" s="16" customFormat="1" ht="30.95" hidden="1" customHeight="1" x14ac:dyDescent="0.2">
      <c r="A139" s="35"/>
      <c r="B139" s="36"/>
      <c r="C139" s="43"/>
      <c r="D139" s="29">
        <v>3697647</v>
      </c>
      <c r="E139" s="29">
        <v>4151296</v>
      </c>
      <c r="F139" s="255" t="str">
        <f>IF(D139="","",VLOOKUP(D139,契約台帳!$A$3:$K$4986,6,FALSE)&amp;VLOOKUP(D139,契約台帳!$A$3:$K$4986,7,FALSE)&amp;VLOOKUP(D139,契約台帳!$A$3:$K$4986,8,FALSE)&amp;VLOOKUP(D139,契約台帳!$A$3:$K$4986,9,FALSE)&amp;VLOOKUP(D139,契約台帳!$A$3:$K$4986,11,FALSE))</f>
        <v>3SNMLBMTSF</v>
      </c>
      <c r="G139" s="256" t="str">
        <f>IF(D139="","",VLOOKUP(F139,製品マスタ!$G$5:$H$4999,2,FALSE))</f>
        <v>S</v>
      </c>
      <c r="H139" s="256" t="str">
        <f>IF(D139="","",VLOOKUP(F139,製品マスタ!$G$5:$K$4999,5,FALSE))</f>
        <v>MTSF</v>
      </c>
      <c r="I139" s="200" t="str">
        <f>IF(D139="","",VLOOKUP(F139,製品マスタ!$G$5:$L$4999,6,FALSE))</f>
        <v>メタルミー　ＴＳ</v>
      </c>
      <c r="J139" s="30" t="s">
        <v>463</v>
      </c>
      <c r="K139" s="200">
        <f>IF(D139="","",VLOOKUP(D139,契約台帳!$A$3:$L$4986,12,FALSE))</f>
        <v>75</v>
      </c>
      <c r="L139" s="200" t="str">
        <f>IF(D139="","",INDEX(製品マスタ!$Q$5:$Q$4999,MATCH(F139&amp;K139,製品マスタ!$AO$5:$AO$4999,0)))</f>
        <v>T60</v>
      </c>
      <c r="M139" s="37">
        <v>1100</v>
      </c>
      <c r="N139" s="37">
        <v>2000</v>
      </c>
      <c r="O139" s="45">
        <v>1</v>
      </c>
      <c r="P139" s="54">
        <v>44967</v>
      </c>
      <c r="Q139" s="260">
        <f>IF(D139="","",IF(J139="リード付け",M139,VLOOKUP(D139,契約台帳!$A$3:$N$4986,14,FALSE)))</f>
        <v>1000</v>
      </c>
      <c r="R139" s="261">
        <f>IF(D139="","",IF(J139="リード付け",M139,VLOOKUP(D139,契約台帳!$A$3:$O$4986,15,FALSE)))</f>
        <v>1000</v>
      </c>
      <c r="S139" s="261">
        <f>IF(D139="","",IF(J139="リード付け",N139,VLOOKUP(D139,契約台帳!$A$3:$P$4986,16,FALSE)))</f>
        <v>1000</v>
      </c>
      <c r="T139" s="38">
        <v>2</v>
      </c>
      <c r="U139" s="261">
        <f ca="1">IF(D139="","",IF(OFFSET(D139,-2,0)=D139,"",VLOOKUP(D139,契約台帳!$A$3:$R$4986,18,FALSE)))</f>
        <v>2</v>
      </c>
      <c r="V139" s="256" t="str">
        <f>IF(J139="巻返し",VLOOKUP(F139&amp;K139&amp;M139,製品マスタ!$M$5:$AD$4999,18,FALSE),IF(J139="リード付け","原反コア",IF(J139="スリット",VLOOKUP(F139&amp;K139&amp;Q139,製品マスタ!$N$5:$AD$4999,17,FALSE),"")))</f>
        <v>3ｲﾝﾁSｺｱ</v>
      </c>
      <c r="W139" s="256">
        <f>IF(J139="巻返し",VLOOKUP(F139&amp;K139&amp;M139,製品マスタ!$M$5:$AE$4999,19,FALSE),IF(J139="リード付け","-",IF(J139="スリット",VLOOKUP(F139&amp;K139&amp;Q139,製品マスタ!$N$5:$AE$4999,18,FALSE),"")))</f>
        <v>1005</v>
      </c>
      <c r="X139" s="256">
        <f>IF(D139="","",VLOOKUP(D139,契約台帳!$A$3:$Q$4986,17,FALSE))</f>
        <v>2</v>
      </c>
      <c r="Y139" s="256" t="str">
        <f>IF(D139="","",VLOOKUP(D139,契約台帳!$A$3:$E$4986,5,FALSE))</f>
        <v>パナック㈱亀山工場</v>
      </c>
      <c r="Z139" s="54"/>
      <c r="AA139" s="200">
        <f>IFERROR(VLOOKUP(F139&amp;K139&amp;M139,製品マスタ!$M$5:$AM$4999,27,FALSE),"")</f>
        <v>0</v>
      </c>
      <c r="AB139" s="31"/>
      <c r="AC139" s="184"/>
      <c r="AD139" s="51" t="str">
        <f>IF(F139="","",+F139&amp;K139)</f>
        <v>3SNMLBMTSF75</v>
      </c>
      <c r="AE139" s="52">
        <f>+M139*N139*O139/1000</f>
        <v>2200</v>
      </c>
      <c r="AF139" s="41">
        <f>IF(AD139="","",VLOOKUP(AD139,原価マスタ!$A$2:$AJ$1693,13,FALSE))</f>
        <v>86</v>
      </c>
      <c r="AG139" s="45">
        <f>IF(AF139="","",+AE139*AF139/100)</f>
        <v>1892</v>
      </c>
      <c r="AH139" s="28"/>
      <c r="AI139" s="28"/>
      <c r="AJ139" s="28"/>
      <c r="AK139" s="28"/>
      <c r="AL139" s="12"/>
      <c r="AM139" s="12"/>
      <c r="AN139" s="12"/>
      <c r="AO139" s="12"/>
      <c r="AP139" s="12"/>
      <c r="AQ139" s="13"/>
      <c r="AR139" s="14"/>
    </row>
    <row r="140" spans="1:44" s="16" customFormat="1" ht="30.95" hidden="1" customHeight="1" x14ac:dyDescent="0.2">
      <c r="A140" s="35"/>
      <c r="B140" s="36"/>
      <c r="C140" s="43"/>
      <c r="D140" s="29"/>
      <c r="E140" s="29"/>
      <c r="F140" s="255"/>
      <c r="G140" s="256"/>
      <c r="H140" s="256"/>
      <c r="I140" s="200"/>
      <c r="J140" s="30"/>
      <c r="K140" s="200"/>
      <c r="L140" s="200"/>
      <c r="M140" s="37"/>
      <c r="N140" s="37"/>
      <c r="O140" s="45"/>
      <c r="P140" s="54"/>
      <c r="Q140" s="260"/>
      <c r="R140" s="261"/>
      <c r="S140" s="261"/>
      <c r="T140" s="38"/>
      <c r="U140" s="261"/>
      <c r="V140" s="256"/>
      <c r="W140" s="256"/>
      <c r="X140" s="256"/>
      <c r="Y140" s="256"/>
      <c r="Z140" s="54"/>
      <c r="AA140" s="200"/>
      <c r="AB140" s="31"/>
      <c r="AC140" s="184"/>
      <c r="AD140" s="51"/>
      <c r="AE140" s="52"/>
      <c r="AF140" s="41"/>
      <c r="AG140" s="45"/>
      <c r="AH140" s="28"/>
      <c r="AI140" s="28"/>
      <c r="AJ140" s="28"/>
      <c r="AK140" s="28"/>
      <c r="AL140" s="12"/>
      <c r="AM140" s="12"/>
      <c r="AN140" s="12"/>
      <c r="AO140" s="12"/>
      <c r="AP140" s="12"/>
      <c r="AQ140" s="13"/>
      <c r="AR140" s="14"/>
    </row>
    <row r="141" spans="1:44" s="16" customFormat="1" ht="30.95" hidden="1" customHeight="1" x14ac:dyDescent="0.2">
      <c r="A141" s="35" t="s">
        <v>883</v>
      </c>
      <c r="B141" s="36" t="s">
        <v>877</v>
      </c>
      <c r="C141" s="43"/>
      <c r="D141" s="29"/>
      <c r="E141" s="29"/>
      <c r="F141" s="255" t="str">
        <f>IF(D141="","",VLOOKUP(D141,契約台帳!$A$3:$K$4986,6,FALSE)&amp;VLOOKUP(D141,契約台帳!$A$3:$K$4986,7,FALSE)&amp;VLOOKUP(D141,契約台帳!$A$3:$K$4986,8,FALSE)&amp;VLOOKUP(D141,契約台帳!$A$3:$K$4986,9,FALSE)&amp;VLOOKUP(D141,契約台帳!$A$3:$K$4986,11,FALSE))</f>
        <v/>
      </c>
      <c r="G141" s="256" t="str">
        <f>IF(D141="","",VLOOKUP(F141,製品マスタ!$G$5:$H$4999,2,FALSE))</f>
        <v/>
      </c>
      <c r="H141" s="256" t="str">
        <f>IF(D141="","",VLOOKUP(F141,製品マスタ!$G$5:$K$4999,5,FALSE))</f>
        <v/>
      </c>
      <c r="I141" s="200" t="str">
        <f>IF(D141="","",VLOOKUP(F141,製品マスタ!$G$5:$L$4999,6,FALSE))</f>
        <v/>
      </c>
      <c r="J141" s="30" t="s">
        <v>448</v>
      </c>
      <c r="K141" s="200" t="str">
        <f>IF(D141="","",VLOOKUP(D141,契約台帳!$A$3:$L$4986,12,FALSE))</f>
        <v/>
      </c>
      <c r="L141" s="200" t="str">
        <f>IF(D141="","",INDEX(製品マスタ!$Q$5:$Q$4999,MATCH(F141&amp;K141,製品マスタ!$AO$5:$AO$4999,0)))</f>
        <v/>
      </c>
      <c r="M141" s="37"/>
      <c r="N141" s="37"/>
      <c r="O141" s="45"/>
      <c r="P141" s="54"/>
      <c r="Q141" s="260" t="str">
        <f>IF(D141="","",IF(J141="リード付け",M141,VLOOKUP(D141,契約台帳!$A$3:$N$4986,14,FALSE)))</f>
        <v/>
      </c>
      <c r="R141" s="261" t="str">
        <f>IF(D141="","",IF(J141="リード付け",M141,VLOOKUP(D141,契約台帳!$A$3:$O$4986,15,FALSE)))</f>
        <v/>
      </c>
      <c r="S141" s="261" t="str">
        <f>IF(D141="","",IF(J141="リード付け",N141,VLOOKUP(D141,契約台帳!$A$3:$P$4986,16,FALSE)))</f>
        <v/>
      </c>
      <c r="T141" s="38"/>
      <c r="U141" s="261" t="str">
        <f ca="1">IF(D141="","",IF(OFFSET(D141,-2,0)=D141,"",VLOOKUP(D141,契約台帳!$A$3:$R$4986,18,FALSE)))</f>
        <v/>
      </c>
      <c r="V141" s="256" t="str">
        <f>IF(J141="巻返し",VLOOKUP(F141&amp;K141&amp;M141,製品マスタ!$M$5:$AD$4999,18,FALSE),IF(J141="リード付け","原反コア",IF(J141="スリット",VLOOKUP(F141&amp;K141&amp;Q141,製品マスタ!$N$5:$AD$4999,17,FALSE),"")))</f>
        <v/>
      </c>
      <c r="W141" s="256" t="str">
        <f>IF(J141="巻返し",VLOOKUP(F141&amp;K141&amp;M141,製品マスタ!$M$5:$AE$4999,19,FALSE),IF(J141="リード付け","-",IF(J141="スリット",VLOOKUP(F141&amp;K141&amp;Q141,製品マスタ!$N$5:$AE$4999,18,FALSE),"")))</f>
        <v/>
      </c>
      <c r="X141" s="256" t="str">
        <f>IF(D141="","",VLOOKUP(D141,契約台帳!$A$3:$Q$4986,17,FALSE))</f>
        <v/>
      </c>
      <c r="Y141" s="256" t="str">
        <f>IF(D141="","",VLOOKUP(D141,契約台帳!$A$3:$E$4986,5,FALSE))</f>
        <v/>
      </c>
      <c r="Z141" s="54"/>
      <c r="AA141" s="200" t="str">
        <f>IFERROR(VLOOKUP(F141&amp;K141&amp;M141,製品マスタ!$M$5:$AM$4999,27,FALSE),"")</f>
        <v/>
      </c>
      <c r="AB141" s="31"/>
      <c r="AC141" s="184"/>
      <c r="AD141" s="51"/>
      <c r="AE141" s="52"/>
      <c r="AF141" s="41"/>
      <c r="AG141" s="45"/>
      <c r="AH141" s="28"/>
      <c r="AI141" s="28"/>
      <c r="AJ141" s="28"/>
      <c r="AK141" s="28"/>
      <c r="AL141" s="12"/>
      <c r="AM141" s="12"/>
      <c r="AN141" s="12"/>
      <c r="AO141" s="12"/>
      <c r="AP141" s="12"/>
      <c r="AQ141" s="13"/>
      <c r="AR141" s="14"/>
    </row>
    <row r="142" spans="1:44" s="16" customFormat="1" ht="30.95" hidden="1" customHeight="1" x14ac:dyDescent="0.2">
      <c r="A142" s="35"/>
      <c r="B142" s="36"/>
      <c r="C142" s="43"/>
      <c r="D142" s="29"/>
      <c r="E142" s="29"/>
      <c r="F142" s="255" t="str">
        <f>IF(D142="","",VLOOKUP(D142,契約台帳!$A$3:$K$4986,6,FALSE)&amp;VLOOKUP(D142,契約台帳!$A$3:$K$4986,7,FALSE)&amp;VLOOKUP(D142,契約台帳!$A$3:$K$4986,8,FALSE)&amp;VLOOKUP(D142,契約台帳!$A$3:$K$4986,9,FALSE)&amp;VLOOKUP(D142,契約台帳!$A$3:$K$4986,11,FALSE))</f>
        <v/>
      </c>
      <c r="G142" s="256" t="str">
        <f>IF(D142="","",VLOOKUP(F142,製品マスタ!$G$5:$H$4999,2,FALSE))</f>
        <v/>
      </c>
      <c r="H142" s="256" t="str">
        <f>IF(D142="","",VLOOKUP(F142,製品マスタ!$G$5:$K$4999,5,FALSE))</f>
        <v/>
      </c>
      <c r="I142" s="200" t="str">
        <f>IF(D142="","",VLOOKUP(F142,製品マスタ!$G$5:$L$4999,6,FALSE))</f>
        <v/>
      </c>
      <c r="J142" s="30"/>
      <c r="K142" s="200" t="str">
        <f>IF(D142="","",VLOOKUP(D142,契約台帳!$A$3:$L$4986,12,FALSE))</f>
        <v/>
      </c>
      <c r="L142" s="200" t="str">
        <f>IF(D142="","",INDEX(製品マスタ!$Q$5:$Q$4999,MATCH(F142&amp;K142,製品マスタ!$AO$5:$AO$4999,0)))</f>
        <v/>
      </c>
      <c r="M142" s="37"/>
      <c r="N142" s="37"/>
      <c r="O142" s="45"/>
      <c r="P142" s="54"/>
      <c r="Q142" s="260" t="str">
        <f>IF(D142="","",IF(J142="リード付け",M142,VLOOKUP(D142,契約台帳!$A$3:$N$4986,14,FALSE)))</f>
        <v/>
      </c>
      <c r="R142" s="261" t="str">
        <f>IF(D142="","",IF(J142="リード付け",M142,VLOOKUP(D142,契約台帳!$A$3:$O$4986,15,FALSE)))</f>
        <v/>
      </c>
      <c r="S142" s="261" t="str">
        <f>IF(D142="","",IF(J142="リード付け",N142,VLOOKUP(D142,契約台帳!$A$3:$P$4986,16,FALSE)))</f>
        <v/>
      </c>
      <c r="T142" s="38"/>
      <c r="U142" s="261" t="str">
        <f ca="1">IF(D142="","",IF(OFFSET(D142,-2,0)=D142,"",VLOOKUP(D142,契約台帳!$A$3:$R$4986,18,FALSE)))</f>
        <v/>
      </c>
      <c r="V142" s="256" t="str">
        <f>IF(J142="巻返し",VLOOKUP(F142&amp;K142&amp;M142,製品マスタ!$M$5:$AD$4999,18,FALSE),IF(J142="リード付け","原反コア",IF(J142="スリット",VLOOKUP(F142&amp;K142&amp;Q142,製品マスタ!$N$5:$AD$4999,17,FALSE),"")))</f>
        <v/>
      </c>
      <c r="W142" s="256" t="str">
        <f>IF(J142="巻返し",VLOOKUP(F142&amp;K142&amp;M142,製品マスタ!$M$5:$AE$4999,19,FALSE),IF(J142="リード付け","-",IF(J142="スリット",VLOOKUP(F142&amp;K142&amp;Q142,製品マスタ!$N$5:$AE$4999,18,FALSE),"")))</f>
        <v/>
      </c>
      <c r="X142" s="256" t="str">
        <f>IF(D142="","",VLOOKUP(D142,契約台帳!$A$3:$Q$4986,17,FALSE))</f>
        <v/>
      </c>
      <c r="Y142" s="256" t="str">
        <f>IF(D142="","",VLOOKUP(D142,契約台帳!$A$3:$E$4986,5,FALSE))</f>
        <v/>
      </c>
      <c r="Z142" s="54"/>
      <c r="AA142" s="200" t="str">
        <f>IFERROR(VLOOKUP(F142&amp;K142&amp;M142,製品マスタ!$M$5:$AM$4999,27,FALSE),"")</f>
        <v/>
      </c>
      <c r="AB142" s="31"/>
      <c r="AC142" s="184"/>
      <c r="AD142" s="51"/>
      <c r="AE142" s="52"/>
      <c r="AF142" s="41"/>
      <c r="AG142" s="45"/>
      <c r="AH142" s="28"/>
      <c r="AI142" s="28"/>
      <c r="AJ142" s="28"/>
      <c r="AK142" s="28"/>
      <c r="AL142" s="12"/>
      <c r="AM142" s="12"/>
      <c r="AN142" s="12"/>
      <c r="AO142" s="12"/>
      <c r="AP142" s="12"/>
      <c r="AQ142" s="13"/>
      <c r="AR142" s="14"/>
    </row>
    <row r="143" spans="1:44" s="16" customFormat="1" ht="30.95" hidden="1" customHeight="1" x14ac:dyDescent="0.2">
      <c r="A143" s="35" t="s">
        <v>884</v>
      </c>
      <c r="B143" s="36" t="s">
        <v>879</v>
      </c>
      <c r="C143" s="43"/>
      <c r="D143" s="29"/>
      <c r="E143" s="29"/>
      <c r="F143" s="255" t="str">
        <f>IF(D143="","",VLOOKUP(D143,契約台帳!$A$3:$K$4986,6,FALSE)&amp;VLOOKUP(D143,契約台帳!$A$3:$K$4986,7,FALSE)&amp;VLOOKUP(D143,契約台帳!$A$3:$K$4986,8,FALSE)&amp;VLOOKUP(D143,契約台帳!$A$3:$K$4986,9,FALSE)&amp;VLOOKUP(D143,契約台帳!$A$3:$K$4986,11,FALSE))</f>
        <v/>
      </c>
      <c r="G143" s="256" t="str">
        <f>IF(D143="","",VLOOKUP(F143,製品マスタ!$G$5:$H$4999,2,FALSE))</f>
        <v/>
      </c>
      <c r="H143" s="256" t="str">
        <f>IF(D143="","",VLOOKUP(F143,製品マスタ!$G$5:$K$4999,5,FALSE))</f>
        <v/>
      </c>
      <c r="I143" s="200" t="str">
        <f>IF(D143="","",VLOOKUP(F143,製品マスタ!$G$5:$L$4999,6,FALSE))</f>
        <v/>
      </c>
      <c r="J143" s="30" t="s">
        <v>448</v>
      </c>
      <c r="K143" s="200" t="str">
        <f>IF(D143="","",VLOOKUP(D143,契約台帳!$A$3:$L$4986,12,FALSE))</f>
        <v/>
      </c>
      <c r="L143" s="200" t="str">
        <f>IF(D143="","",INDEX(製品マスタ!$Q$5:$Q$4999,MATCH(F143&amp;K143,製品マスタ!$AO$5:$AO$4999,0)))</f>
        <v/>
      </c>
      <c r="M143" s="37"/>
      <c r="N143" s="37"/>
      <c r="O143" s="45"/>
      <c r="P143" s="54"/>
      <c r="Q143" s="260" t="str">
        <f>IF(D143="","",IF(J143="リード付け",M143,VLOOKUP(D143,契約台帳!$A$3:$N$4986,14,FALSE)))</f>
        <v/>
      </c>
      <c r="R143" s="261" t="str">
        <f>IF(D143="","",IF(J143="リード付け",M143,VLOOKUP(D143,契約台帳!$A$3:$O$4986,15,FALSE)))</f>
        <v/>
      </c>
      <c r="S143" s="261" t="str">
        <f>IF(D143="","",IF(J143="リード付け",N143,VLOOKUP(D143,契約台帳!$A$3:$P$4986,16,FALSE)))</f>
        <v/>
      </c>
      <c r="T143" s="38"/>
      <c r="U143" s="261" t="str">
        <f ca="1">IF(D143="","",IF(OFFSET(D143,-2,0)=D143,"",VLOOKUP(D143,契約台帳!$A$3:$R$4986,18,FALSE)))</f>
        <v/>
      </c>
      <c r="V143" s="256" t="str">
        <f>IF(J143="巻返し",VLOOKUP(F143&amp;K143&amp;M143,製品マスタ!$M$5:$AD$4999,18,FALSE),IF(J143="リード付け","原反コア",IF(J143="スリット",VLOOKUP(F143&amp;K143&amp;Q143,製品マスタ!$N$5:$AD$4999,17,FALSE),"")))</f>
        <v/>
      </c>
      <c r="W143" s="256" t="str">
        <f>IF(J143="巻返し",VLOOKUP(F143&amp;K143&amp;M143,製品マスタ!$M$5:$AE$4999,19,FALSE),IF(J143="リード付け","-",IF(J143="スリット",VLOOKUP(F143&amp;K143&amp;Q143,製品マスタ!$N$5:$AE$4999,18,FALSE),"")))</f>
        <v/>
      </c>
      <c r="X143" s="256" t="str">
        <f>IF(D143="","",VLOOKUP(D143,契約台帳!$A$3:$Q$4986,17,FALSE))</f>
        <v/>
      </c>
      <c r="Y143" s="256" t="str">
        <f>IF(D143="","",VLOOKUP(D143,契約台帳!$A$3:$E$4986,5,FALSE))</f>
        <v/>
      </c>
      <c r="Z143" s="54"/>
      <c r="AA143" s="200" t="str">
        <f>IFERROR(VLOOKUP(F143&amp;K143&amp;M143,製品マスタ!$M$5:$AM$4999,27,FALSE),"")</f>
        <v/>
      </c>
      <c r="AB143" s="31"/>
      <c r="AC143" s="184"/>
      <c r="AD143" s="51"/>
      <c r="AE143" s="52"/>
      <c r="AF143" s="41"/>
      <c r="AG143" s="45"/>
      <c r="AH143" s="28"/>
      <c r="AI143" s="28"/>
      <c r="AJ143" s="28"/>
      <c r="AK143" s="28"/>
      <c r="AL143" s="12"/>
      <c r="AM143" s="12"/>
      <c r="AN143" s="12"/>
      <c r="AO143" s="12"/>
      <c r="AP143" s="12"/>
      <c r="AQ143" s="13"/>
      <c r="AR143" s="14"/>
    </row>
    <row r="144" spans="1:44" s="16" customFormat="1" ht="30.95" hidden="1" customHeight="1" x14ac:dyDescent="0.2">
      <c r="A144" s="35"/>
      <c r="B144" s="36"/>
      <c r="C144" s="43"/>
      <c r="D144" s="29"/>
      <c r="E144" s="29"/>
      <c r="F144" s="255" t="str">
        <f>IF(D144="","",VLOOKUP(D144,契約台帳!$A$3:$K$4986,6,FALSE)&amp;VLOOKUP(D144,契約台帳!$A$3:$K$4986,7,FALSE)&amp;VLOOKUP(D144,契約台帳!$A$3:$K$4986,8,FALSE)&amp;VLOOKUP(D144,契約台帳!$A$3:$K$4986,9,FALSE)&amp;VLOOKUP(D144,契約台帳!$A$3:$K$4986,11,FALSE))</f>
        <v/>
      </c>
      <c r="G144" s="256" t="str">
        <f>IF(D144="","",VLOOKUP(F144,製品マスタ!$G$5:$H$4999,2,FALSE))</f>
        <v/>
      </c>
      <c r="H144" s="256" t="str">
        <f>IF(D144="","",VLOOKUP(F144,製品マスタ!$G$5:$K$4999,5,FALSE))</f>
        <v/>
      </c>
      <c r="I144" s="200" t="str">
        <f>IF(D144="","",VLOOKUP(F144,製品マスタ!$G$5:$L$4999,6,FALSE))</f>
        <v/>
      </c>
      <c r="J144" s="30"/>
      <c r="K144" s="200" t="str">
        <f>IF(D144="","",VLOOKUP(D144,契約台帳!$A$3:$L$4986,12,FALSE))</f>
        <v/>
      </c>
      <c r="L144" s="200" t="str">
        <f>IF(D144="","",INDEX(製品マスタ!$Q$5:$Q$4999,MATCH(F144&amp;K144,製品マスタ!$AO$5:$AO$4999,0)))</f>
        <v/>
      </c>
      <c r="M144" s="37"/>
      <c r="N144" s="37"/>
      <c r="O144" s="45"/>
      <c r="P144" s="54"/>
      <c r="Q144" s="260" t="str">
        <f>IF(D144="","",IF(J144="リード付け",M144,VLOOKUP(D144,契約台帳!$A$3:$N$4986,14,FALSE)))</f>
        <v/>
      </c>
      <c r="R144" s="261" t="str">
        <f>IF(D144="","",IF(J144="リード付け",M144,VLOOKUP(D144,契約台帳!$A$3:$O$4986,15,FALSE)))</f>
        <v/>
      </c>
      <c r="S144" s="261" t="str">
        <f>IF(D144="","",IF(J144="リード付け",N144,VLOOKUP(D144,契約台帳!$A$3:$P$4986,16,FALSE)))</f>
        <v/>
      </c>
      <c r="T144" s="38"/>
      <c r="U144" s="261" t="str">
        <f ca="1">IF(D144="","",IF(OFFSET(D144,-2,0)=D144,"",VLOOKUP(D144,契約台帳!$A$3:$R$4986,18,FALSE)))</f>
        <v/>
      </c>
      <c r="V144" s="256" t="str">
        <f>IF(J144="巻返し",VLOOKUP(F144&amp;K144&amp;M144,製品マスタ!$M$5:$AD$4999,18,FALSE),IF(J144="リード付け","原反コア",IF(J144="スリット",VLOOKUP(F144&amp;K144&amp;Q144,製品マスタ!$N$5:$AD$4999,17,FALSE),"")))</f>
        <v/>
      </c>
      <c r="W144" s="256" t="str">
        <f>IF(J144="巻返し",VLOOKUP(F144&amp;K144&amp;M144,製品マスタ!$M$5:$AE$4999,19,FALSE),IF(J144="リード付け","-",IF(J144="スリット",VLOOKUP(F144&amp;K144&amp;Q144,製品マスタ!$N$5:$AE$4999,18,FALSE),"")))</f>
        <v/>
      </c>
      <c r="X144" s="256" t="str">
        <f>IF(D144="","",VLOOKUP(D144,契約台帳!$A$3:$Q$4986,17,FALSE))</f>
        <v/>
      </c>
      <c r="Y144" s="256" t="str">
        <f>IF(D144="","",VLOOKUP(D144,契約台帳!$A$3:$E$4986,5,FALSE))</f>
        <v/>
      </c>
      <c r="Z144" s="54"/>
      <c r="AA144" s="200" t="str">
        <f>IFERROR(VLOOKUP(F144&amp;K144&amp;M144,製品マスタ!$M$5:$AM$4999,27,FALSE),"")</f>
        <v/>
      </c>
      <c r="AB144" s="31"/>
      <c r="AC144" s="184"/>
      <c r="AD144" s="51"/>
      <c r="AE144" s="52"/>
      <c r="AF144" s="41"/>
      <c r="AG144" s="45"/>
      <c r="AH144" s="28"/>
      <c r="AI144" s="28"/>
      <c r="AJ144" s="28"/>
      <c r="AK144" s="28"/>
      <c r="AL144" s="12"/>
      <c r="AM144" s="12"/>
      <c r="AN144" s="12"/>
      <c r="AO144" s="12"/>
      <c r="AP144" s="12"/>
      <c r="AQ144" s="13"/>
      <c r="AR144" s="14"/>
    </row>
    <row r="145" spans="1:44" s="16" customFormat="1" ht="30.95" hidden="1" customHeight="1" x14ac:dyDescent="0.2">
      <c r="A145" s="35" t="s">
        <v>856</v>
      </c>
      <c r="B145" s="36" t="s">
        <v>462</v>
      </c>
      <c r="C145" s="43"/>
      <c r="D145" s="29">
        <v>3697662</v>
      </c>
      <c r="E145" s="29">
        <v>4151294</v>
      </c>
      <c r="F145" s="255" t="str">
        <f>IF(D145="","",VLOOKUP(D145,契約台帳!$A$3:$K$4986,6,FALSE)&amp;VLOOKUP(D145,契約台帳!$A$3:$K$4986,7,FALSE)&amp;VLOOKUP(D145,契約台帳!$A$3:$K$4986,8,FALSE)&amp;VLOOKUP(D145,契約台帳!$A$3:$K$4986,9,FALSE)&amp;VLOOKUP(D145,契約台帳!$A$3:$K$4986,11,FALSE))</f>
        <v>3SNMLBMNGTBF</v>
      </c>
      <c r="G145" s="256" t="str">
        <f>IF(D145="","",VLOOKUP(F145,製品マスタ!$G$5:$H$4999,2,FALSE))</f>
        <v>S</v>
      </c>
      <c r="H145" s="256" t="str">
        <f>IF(D145="","",VLOOKUP(F145,製品マスタ!$G$5:$K$4999,5,FALSE))</f>
        <v>MNGTBF</v>
      </c>
      <c r="I145" s="200" t="str">
        <f>IF(D145="","",VLOOKUP(F145,製品マスタ!$G$5:$L$4999,6,FALSE))</f>
        <v>メタルミー　ネーマー　銀艶　Ｂ</v>
      </c>
      <c r="J145" s="30" t="s">
        <v>447</v>
      </c>
      <c r="K145" s="200">
        <f>IF(D145="","",VLOOKUP(D145,契約台帳!$A$3:$L$4986,12,FALSE))</f>
        <v>25</v>
      </c>
      <c r="L145" s="200" t="str">
        <f>IF(D145="","",INDEX(製品マスタ!$Q$5:$Q$4999,MATCH(F145&amp;K145,製品マスタ!$AO$5:$AO$4999,0)))</f>
        <v>T62M</v>
      </c>
      <c r="M145" s="37">
        <v>1005</v>
      </c>
      <c r="N145" s="37">
        <v>12100</v>
      </c>
      <c r="O145" s="45">
        <v>1</v>
      </c>
      <c r="P145" s="54">
        <v>44967</v>
      </c>
      <c r="Q145" s="260">
        <f>IF(D145="","",IF(J145="リード付け",M145,VLOOKUP(D145,契約台帳!$A$3:$N$4986,14,FALSE)))</f>
        <v>1005</v>
      </c>
      <c r="R145" s="261">
        <f>IF(D145="","",IF(J145="リード付け",M145,VLOOKUP(D145,契約台帳!$A$3:$O$4986,15,FALSE)))</f>
        <v>1000</v>
      </c>
      <c r="S145" s="261">
        <f>IF(D145="","",IF(J145="リード付け",N145,VLOOKUP(D145,契約台帳!$A$3:$P$4986,16,FALSE)))</f>
        <v>4000</v>
      </c>
      <c r="T145" s="38">
        <v>3</v>
      </c>
      <c r="U145" s="261">
        <f ca="1">IF(D145="","",IF(OFFSET(D145,-2,0)=D145,"",VLOOKUP(D145,契約台帳!$A$3:$R$4986,18,FALSE)))</f>
        <v>3</v>
      </c>
      <c r="V145" s="256" t="str">
        <f>IF(J145="巻返し",VLOOKUP(F145&amp;K145&amp;M145,製品マスタ!$M$5:$AD$4999,18,FALSE),IF(J145="リード付け","原反コア",IF(J145="スリット",VLOOKUP(F145&amp;K145&amp;Q145,製品マスタ!$N$5:$AD$4999,17,FALSE),"")))</f>
        <v>6ｲﾝﾁSｺｱ</v>
      </c>
      <c r="W145" s="256">
        <f>IF(J145="巻返し",VLOOKUP(F145&amp;K145&amp;M145,製品マスタ!$M$5:$AE$4999,19,FALSE),IF(J145="リード付け","-",IF(J145="スリット",VLOOKUP(F145&amp;K145&amp;Q145,製品マスタ!$N$5:$AE$4999,18,FALSE),"")))</f>
        <v>1015</v>
      </c>
      <c r="X145" s="256">
        <f>IF(D145="","",VLOOKUP(D145,契約台帳!$A$3:$Q$4986,17,FALSE))</f>
        <v>2</v>
      </c>
      <c r="Y145" s="256" t="str">
        <f>IF(D145="","",VLOOKUP(D145,契約台帳!$A$3:$E$4986,5,FALSE))</f>
        <v>リンテック㈱</v>
      </c>
      <c r="Z145" s="54"/>
      <c r="AA145" s="200">
        <f>IFERROR(VLOOKUP(F145&amp;K145&amp;M145,製品マスタ!$M$5:$AM$4999,27,FALSE),"")</f>
        <v>0</v>
      </c>
      <c r="AB145" s="31"/>
      <c r="AC145" s="184"/>
      <c r="AD145" s="51" t="str">
        <f>IF(F145="","",+F145&amp;K145)</f>
        <v>3SNMLBMNGTBF25</v>
      </c>
      <c r="AE145" s="52">
        <f>+M145*N145*O145/1000</f>
        <v>12160.5</v>
      </c>
      <c r="AF145" s="41">
        <f>IF(AD145="","",VLOOKUP(AD145,原価マスタ!$A$2:$AJ$1693,13,FALSE))</f>
        <v>97.5</v>
      </c>
      <c r="AG145" s="45">
        <f>IF(AF145="","",+AE145*AF145/100)</f>
        <v>11856.487499999999</v>
      </c>
      <c r="AH145" s="28"/>
      <c r="AI145" s="28"/>
      <c r="AJ145" s="28"/>
      <c r="AK145" s="28"/>
      <c r="AL145" s="12"/>
      <c r="AM145" s="12"/>
      <c r="AN145" s="12"/>
      <c r="AO145" s="12"/>
      <c r="AP145" s="12"/>
      <c r="AQ145" s="13"/>
      <c r="AR145" s="14"/>
    </row>
    <row r="146" spans="1:44" s="16" customFormat="1" ht="30.95" hidden="1" customHeight="1" x14ac:dyDescent="0.2">
      <c r="A146" s="35"/>
      <c r="B146" s="36"/>
      <c r="C146" s="43"/>
      <c r="D146" s="29"/>
      <c r="E146" s="29"/>
      <c r="F146" s="255"/>
      <c r="G146" s="256"/>
      <c r="H146" s="256"/>
      <c r="I146" s="200"/>
      <c r="J146" s="30"/>
      <c r="K146" s="200"/>
      <c r="L146" s="200"/>
      <c r="M146" s="37"/>
      <c r="N146" s="37"/>
      <c r="O146" s="45"/>
      <c r="P146" s="54"/>
      <c r="Q146" s="260"/>
      <c r="R146" s="261"/>
      <c r="S146" s="261"/>
      <c r="T146" s="38"/>
      <c r="U146" s="261"/>
      <c r="V146" s="256"/>
      <c r="W146" s="256"/>
      <c r="X146" s="256"/>
      <c r="Y146" s="256"/>
      <c r="Z146" s="54"/>
      <c r="AA146" s="200"/>
      <c r="AB146" s="31"/>
      <c r="AC146" s="184"/>
      <c r="AD146" s="51"/>
      <c r="AE146" s="52"/>
      <c r="AF146" s="41"/>
      <c r="AG146" s="45"/>
      <c r="AH146" s="28"/>
      <c r="AI146" s="28"/>
      <c r="AJ146" s="28"/>
      <c r="AK146" s="28"/>
      <c r="AL146" s="12"/>
      <c r="AM146" s="12"/>
      <c r="AN146" s="12"/>
      <c r="AO146" s="12"/>
      <c r="AP146" s="12"/>
      <c r="AQ146" s="13"/>
      <c r="AR146" s="14"/>
    </row>
    <row r="147" spans="1:44" s="16" customFormat="1" ht="30.95" hidden="1" customHeight="1" x14ac:dyDescent="0.2">
      <c r="A147" s="35"/>
      <c r="B147" s="36"/>
      <c r="C147" s="43"/>
      <c r="D147" s="29">
        <v>3697667</v>
      </c>
      <c r="E147" s="29">
        <v>4151283</v>
      </c>
      <c r="F147" s="255" t="str">
        <f>IF(D147="","",VLOOKUP(D147,契約台帳!$A$3:$K$4986,6,FALSE)&amp;VLOOKUP(D147,契約台帳!$A$3:$K$4986,7,FALSE)&amp;VLOOKUP(D147,契約台帳!$A$3:$K$4986,8,FALSE)&amp;VLOOKUP(D147,契約台帳!$A$3:$K$4986,9,FALSE)&amp;VLOOKUP(D147,契約台帳!$A$3:$K$4986,11,FALSE))</f>
        <v>3SNMLBMNGTBF</v>
      </c>
      <c r="G147" s="256" t="str">
        <f>IF(D147="","",VLOOKUP(F147,製品マスタ!$G$5:$H$4999,2,FALSE))</f>
        <v>S</v>
      </c>
      <c r="H147" s="256" t="str">
        <f>IF(D147="","",VLOOKUP(F147,製品マスタ!$G$5:$K$4999,5,FALSE))</f>
        <v>MNGTBF</v>
      </c>
      <c r="I147" s="200" t="str">
        <f>IF(D147="","",VLOOKUP(F147,製品マスタ!$G$5:$L$4999,6,FALSE))</f>
        <v>メタルミー　ネーマー　銀艶　Ｂ</v>
      </c>
      <c r="J147" s="30" t="s">
        <v>447</v>
      </c>
      <c r="K147" s="200">
        <f>IF(D147="","",VLOOKUP(D147,契約台帳!$A$3:$L$4986,12,FALSE))</f>
        <v>50</v>
      </c>
      <c r="L147" s="200" t="str">
        <f>IF(D147="","",INDEX(製品マスタ!$Q$5:$Q$4999,MATCH(F147&amp;K147,製品マスタ!$AO$5:$AO$4999,0)))</f>
        <v>T62</v>
      </c>
      <c r="M147" s="37">
        <v>1120</v>
      </c>
      <c r="N147" s="37">
        <v>10000</v>
      </c>
      <c r="O147" s="45">
        <v>7</v>
      </c>
      <c r="P147" s="54">
        <v>44967</v>
      </c>
      <c r="Q147" s="260">
        <f>IF(D147="","",IF(J147="リード付け",M147,VLOOKUP(D147,契約台帳!$A$3:$N$4986,14,FALSE)))</f>
        <v>1120</v>
      </c>
      <c r="R147" s="261">
        <f>IF(D147="","",IF(J147="リード付け",M147,VLOOKUP(D147,契約台帳!$A$3:$O$4986,15,FALSE)))</f>
        <v>1120</v>
      </c>
      <c r="S147" s="261">
        <f>IF(D147="","",IF(J147="リード付け",N147,VLOOKUP(D147,契約台帳!$A$3:$P$4986,16,FALSE)))</f>
        <v>5000</v>
      </c>
      <c r="T147" s="38">
        <v>14</v>
      </c>
      <c r="U147" s="261">
        <f ca="1">IF(D147="","",IF(OFFSET(D147,-2,0)=D147,"",VLOOKUP(D147,契約台帳!$A$3:$R$4986,18,FALSE)))</f>
        <v>14</v>
      </c>
      <c r="V147" s="256" t="str">
        <f>IF(J147="巻返し",VLOOKUP(F147&amp;K147&amp;M147,製品マスタ!$M$5:$AD$4999,18,FALSE),IF(J147="リード付け","原反コア",IF(J147="スリット",VLOOKUP(F147&amp;K147&amp;Q147,製品マスタ!$N$5:$AD$4999,17,FALSE),"")))</f>
        <v>6ｲﾝﾁSｺｱ</v>
      </c>
      <c r="W147" s="256">
        <f>IF(J147="巻返し",VLOOKUP(F147&amp;K147&amp;M147,製品マスタ!$M$5:$AE$4999,19,FALSE),IF(J147="リード付け","-",IF(J147="スリット",VLOOKUP(F147&amp;K147&amp;Q147,製品マスタ!$N$5:$AE$4999,18,FALSE),"")))</f>
        <v>1125</v>
      </c>
      <c r="X147" s="256">
        <f>IF(D147="","",VLOOKUP(D147,契約台帳!$A$3:$Q$4986,17,FALSE))</f>
        <v>2</v>
      </c>
      <c r="Y147" s="256" t="str">
        <f>IF(D147="","",VLOOKUP(D147,契約台帳!$A$3:$E$4986,5,FALSE))</f>
        <v>リンテック㈱</v>
      </c>
      <c r="Z147" s="54"/>
      <c r="AA147" s="200" t="str">
        <f>IFERROR(VLOOKUP(F147&amp;K147&amp;M147,製品マスタ!$M$5:$AM$4999,27,FALSE),"")</f>
        <v>原反ケース再利用</v>
      </c>
      <c r="AB147" s="31"/>
      <c r="AC147" s="184"/>
      <c r="AD147" s="51" t="str">
        <f>IF(F147="","",+F147&amp;K147)</f>
        <v>3SNMLBMNGTBF50</v>
      </c>
      <c r="AE147" s="52">
        <f>+M147*N147*O147/1000</f>
        <v>78400</v>
      </c>
      <c r="AF147" s="41">
        <f>IF(AD147="","",VLOOKUP(AD147,原価マスタ!$A$2:$AJ$1693,13,FALSE))</f>
        <v>99</v>
      </c>
      <c r="AG147" s="45">
        <f>IF(AF147="","",+AE147*AF147/100)</f>
        <v>77616</v>
      </c>
      <c r="AH147" s="28"/>
      <c r="AI147" s="28"/>
      <c r="AJ147" s="28"/>
      <c r="AK147" s="28"/>
      <c r="AL147" s="12"/>
      <c r="AM147" s="12"/>
      <c r="AN147" s="12"/>
      <c r="AO147" s="12"/>
      <c r="AP147" s="12"/>
      <c r="AQ147" s="13"/>
      <c r="AR147" s="14"/>
    </row>
    <row r="148" spans="1:44" s="16" customFormat="1" ht="30.95" hidden="1" customHeight="1" x14ac:dyDescent="0.2">
      <c r="A148" s="35"/>
      <c r="B148" s="36"/>
      <c r="C148" s="43"/>
      <c r="D148" s="29"/>
      <c r="E148" s="29"/>
      <c r="F148" s="255"/>
      <c r="G148" s="256"/>
      <c r="H148" s="256"/>
      <c r="I148" s="200"/>
      <c r="J148" s="30"/>
      <c r="K148" s="200"/>
      <c r="L148" s="200"/>
      <c r="M148" s="37"/>
      <c r="N148" s="37"/>
      <c r="O148" s="45"/>
      <c r="P148" s="54"/>
      <c r="Q148" s="260"/>
      <c r="R148" s="261"/>
      <c r="S148" s="261"/>
      <c r="T148" s="38"/>
      <c r="U148" s="261"/>
      <c r="V148" s="256"/>
      <c r="W148" s="256"/>
      <c r="X148" s="256"/>
      <c r="Y148" s="256"/>
      <c r="Z148" s="54"/>
      <c r="AA148" s="200"/>
      <c r="AB148" s="31"/>
      <c r="AC148" s="184"/>
      <c r="AD148" s="51"/>
      <c r="AE148" s="52"/>
      <c r="AF148" s="41"/>
      <c r="AG148" s="45"/>
      <c r="AH148" s="28"/>
      <c r="AI148" s="28"/>
      <c r="AJ148" s="28"/>
      <c r="AK148" s="28"/>
      <c r="AL148" s="12"/>
      <c r="AM148" s="12"/>
      <c r="AN148" s="12"/>
      <c r="AO148" s="12"/>
      <c r="AP148" s="12"/>
      <c r="AQ148" s="13"/>
      <c r="AR148" s="14"/>
    </row>
    <row r="149" spans="1:44" s="16" customFormat="1" ht="30.95" hidden="1" customHeight="1" x14ac:dyDescent="0.2">
      <c r="A149" s="35" t="s">
        <v>873</v>
      </c>
      <c r="B149" s="36" t="s">
        <v>688</v>
      </c>
      <c r="C149" s="43"/>
      <c r="D149" s="29">
        <v>3697668</v>
      </c>
      <c r="E149" s="29">
        <v>4151284</v>
      </c>
      <c r="F149" s="255" t="str">
        <f>IF(D149="","",VLOOKUP(D149,契約台帳!$A$3:$K$4986,6,FALSE)&amp;VLOOKUP(D149,契約台帳!$A$3:$K$4986,7,FALSE)&amp;VLOOKUP(D149,契約台帳!$A$3:$K$4986,8,FALSE)&amp;VLOOKUP(D149,契約台帳!$A$3:$K$4986,9,FALSE)&amp;VLOOKUP(D149,契約台帳!$A$3:$K$4986,11,FALSE))</f>
        <v>3SNMLBMNGTBF</v>
      </c>
      <c r="G149" s="256" t="str">
        <f>IF(D149="","",VLOOKUP(F149,製品マスタ!$G$5:$H$4999,2,FALSE))</f>
        <v>S</v>
      </c>
      <c r="H149" s="256" t="str">
        <f>IF(D149="","",VLOOKUP(F149,製品マスタ!$G$5:$K$4999,5,FALSE))</f>
        <v>MNGTBF</v>
      </c>
      <c r="I149" s="200" t="str">
        <f>IF(D149="","",VLOOKUP(F149,製品マスタ!$G$5:$L$4999,6,FALSE))</f>
        <v>メタルミー　ネーマー　銀艶　Ｂ</v>
      </c>
      <c r="J149" s="30" t="s">
        <v>893</v>
      </c>
      <c r="K149" s="200">
        <f>IF(D149="","",VLOOKUP(D149,契約台帳!$A$3:$L$4986,12,FALSE))</f>
        <v>50</v>
      </c>
      <c r="L149" s="200" t="str">
        <f>IF(D149="","",INDEX(製品マスタ!$Q$5:$Q$4999,MATCH(F149&amp;K149,製品マスタ!$AO$5:$AO$4999,0)))</f>
        <v>T62</v>
      </c>
      <c r="M149" s="37">
        <v>1120</v>
      </c>
      <c r="N149" s="37">
        <v>10000</v>
      </c>
      <c r="O149" s="45">
        <v>6</v>
      </c>
      <c r="P149" s="54">
        <v>44968</v>
      </c>
      <c r="Q149" s="260">
        <f>IF(D149="","",IF(J149="リード付け",M149,VLOOKUP(D149,契約台帳!$A$3:$N$4986,14,FALSE)))</f>
        <v>1120</v>
      </c>
      <c r="R149" s="261">
        <f>IF(D149="","",IF(J149="リード付け",M149,VLOOKUP(D149,契約台帳!$A$3:$O$4986,15,FALSE)))</f>
        <v>1120</v>
      </c>
      <c r="S149" s="261">
        <f>IF(D149="","",IF(J149="リード付け",N149,VLOOKUP(D149,契約台帳!$A$3:$P$4986,16,FALSE)))</f>
        <v>5000</v>
      </c>
      <c r="T149" s="38">
        <v>12</v>
      </c>
      <c r="U149" s="261">
        <f ca="1">IF(D149="","",IF(OFFSET(D149,-2,0)=D149,"",VLOOKUP(D149,契約台帳!$A$3:$R$4986,18,FALSE)))</f>
        <v>12</v>
      </c>
      <c r="V149" s="256" t="str">
        <f>IF(J149="巻返し",VLOOKUP(F149&amp;K149&amp;M149,製品マスタ!$M$5:$AD$4999,18,FALSE),IF(J149="リード付け","原反コア",IF(J149="スリット",VLOOKUP(F149&amp;K149&amp;Q149,製品マスタ!$N$5:$AD$4999,17,FALSE),"")))</f>
        <v>6ｲﾝﾁSｺｱ</v>
      </c>
      <c r="W149" s="256">
        <f>IF(J149="巻返し",VLOOKUP(F149&amp;K149&amp;M149,製品マスタ!$M$5:$AE$4999,19,FALSE),IF(J149="リード付け","-",IF(J149="スリット",VLOOKUP(F149&amp;K149&amp;Q149,製品マスタ!$N$5:$AE$4999,18,FALSE),"")))</f>
        <v>1125</v>
      </c>
      <c r="X149" s="256">
        <f>IF(D149="","",VLOOKUP(D149,契約台帳!$A$3:$Q$4986,17,FALSE))</f>
        <v>2</v>
      </c>
      <c r="Y149" s="256" t="str">
        <f>IF(D149="","",VLOOKUP(D149,契約台帳!$A$3:$E$4986,5,FALSE))</f>
        <v>リンテック㈱</v>
      </c>
      <c r="Z149" s="54"/>
      <c r="AA149" s="200" t="str">
        <f>IFERROR(VLOOKUP(F149&amp;K149&amp;M149,製品マスタ!$M$5:$AM$4999,27,FALSE),"")</f>
        <v>原反ケース再利用</v>
      </c>
      <c r="AB149" s="31"/>
      <c r="AC149" s="184"/>
      <c r="AD149" s="51" t="str">
        <f>IF(F149="","",+F149&amp;K149)</f>
        <v>3SNMLBMNGTBF50</v>
      </c>
      <c r="AE149" s="52">
        <f>+M149*N149*O149/1000</f>
        <v>67200</v>
      </c>
      <c r="AF149" s="41">
        <f>IF(AD149="","",VLOOKUP(AD149,原価マスタ!$A$2:$AJ$1693,13,FALSE))</f>
        <v>99</v>
      </c>
      <c r="AG149" s="45">
        <f>IF(AF149="","",+AE149*AF149/100)</f>
        <v>66528</v>
      </c>
      <c r="AH149" s="28"/>
      <c r="AI149" s="28"/>
      <c r="AJ149" s="28"/>
      <c r="AK149" s="28"/>
      <c r="AL149" s="12"/>
      <c r="AM149" s="12"/>
      <c r="AN149" s="12"/>
      <c r="AO149" s="12"/>
      <c r="AP149" s="12"/>
      <c r="AQ149" s="13"/>
      <c r="AR149" s="14"/>
    </row>
    <row r="150" spans="1:44" s="16" customFormat="1" ht="30.95" hidden="1" customHeight="1" x14ac:dyDescent="0.2">
      <c r="A150" s="35"/>
      <c r="B150" s="36"/>
      <c r="C150" s="43"/>
      <c r="D150" s="29"/>
      <c r="E150" s="29"/>
      <c r="F150" s="255" t="str">
        <f>IF(D150="","",VLOOKUP(D150,契約台帳!$A$3:$K$4986,6,FALSE)&amp;VLOOKUP(D150,契約台帳!$A$3:$K$4986,7,FALSE)&amp;VLOOKUP(D150,契約台帳!$A$3:$K$4986,8,FALSE)&amp;VLOOKUP(D150,契約台帳!$A$3:$K$4986,9,FALSE)&amp;VLOOKUP(D150,契約台帳!$A$3:$K$4986,11,FALSE))</f>
        <v/>
      </c>
      <c r="G150" s="256" t="str">
        <f>IF(D150="","",VLOOKUP(F150,製品マスタ!$G$5:$H$4999,2,FALSE))</f>
        <v/>
      </c>
      <c r="H150" s="256" t="str">
        <f>IF(D150="","",VLOOKUP(F150,製品マスタ!$G$5:$K$4999,5,FALSE))</f>
        <v/>
      </c>
      <c r="I150" s="200" t="str">
        <f>IF(D150="","",VLOOKUP(F150,製品マスタ!$G$5:$L$4999,6,FALSE))</f>
        <v/>
      </c>
      <c r="J150" s="30"/>
      <c r="K150" s="200" t="str">
        <f>IF(D150="","",VLOOKUP(D150,契約台帳!$A$3:$L$4986,12,FALSE))</f>
        <v/>
      </c>
      <c r="L150" s="200" t="str">
        <f>IF(D150="","",INDEX(製品マスタ!$Q$5:$Q$4999,MATCH(F150&amp;K150,製品マスタ!$AO$5:$AO$4999,0)))</f>
        <v/>
      </c>
      <c r="M150" s="37"/>
      <c r="N150" s="37"/>
      <c r="O150" s="45"/>
      <c r="P150" s="54"/>
      <c r="Q150" s="260" t="str">
        <f>IF(D150="","",IF(J150="リード付け",M150,VLOOKUP(D150,契約台帳!$A$3:$N$4986,14,FALSE)))</f>
        <v/>
      </c>
      <c r="R150" s="261" t="str">
        <f>IF(D150="","",IF(J150="リード付け",M150,VLOOKUP(D150,契約台帳!$A$3:$O$4986,15,FALSE)))</f>
        <v/>
      </c>
      <c r="S150" s="261" t="str">
        <f>IF(D150="","",IF(J150="リード付け",N150,VLOOKUP(D150,契約台帳!$A$3:$P$4986,16,FALSE)))</f>
        <v/>
      </c>
      <c r="T150" s="38"/>
      <c r="U150" s="261" t="str">
        <f ca="1">IF(D150="","",IF(OFFSET(D150,-2,0)=D150,"",VLOOKUP(D150,契約台帳!$A$3:$R$4986,18,FALSE)))</f>
        <v/>
      </c>
      <c r="V150" s="256" t="str">
        <f>IF(J150="巻返し",VLOOKUP(F150&amp;K150&amp;M150,製品マスタ!$M$5:$AD$4999,18,FALSE),IF(J150="リード付け","原反コア",IF(J150="スリット",VLOOKUP(F150&amp;K150&amp;Q150,製品マスタ!$N$5:$AD$4999,17,FALSE),"")))</f>
        <v/>
      </c>
      <c r="W150" s="256" t="str">
        <f>IF(J150="巻返し",VLOOKUP(F150&amp;K150&amp;M150,製品マスタ!$M$5:$AE$4999,19,FALSE),IF(J150="リード付け","-",IF(J150="スリット",VLOOKUP(F150&amp;K150&amp;Q150,製品マスタ!$N$5:$AE$4999,18,FALSE),"")))</f>
        <v/>
      </c>
      <c r="X150" s="256" t="str">
        <f>IF(D150="","",VLOOKUP(D150,契約台帳!$A$3:$Q$4986,17,FALSE))</f>
        <v/>
      </c>
      <c r="Y150" s="256" t="str">
        <f>IF(D150="","",VLOOKUP(D150,契約台帳!$A$3:$E$4986,5,FALSE))</f>
        <v/>
      </c>
      <c r="Z150" s="54"/>
      <c r="AA150" s="200" t="str">
        <f>IFERROR(VLOOKUP(F150&amp;K150&amp;M150,製品マスタ!$M$5:$AM$4999,27,FALSE),"")</f>
        <v/>
      </c>
      <c r="AB150" s="31"/>
      <c r="AC150" s="184"/>
      <c r="AD150" s="51"/>
      <c r="AE150" s="52"/>
      <c r="AF150" s="41"/>
      <c r="AG150" s="45"/>
      <c r="AH150" s="28"/>
      <c r="AI150" s="28"/>
      <c r="AJ150" s="28"/>
      <c r="AK150" s="28"/>
      <c r="AL150" s="12"/>
      <c r="AM150" s="12"/>
      <c r="AN150" s="12"/>
      <c r="AO150" s="12"/>
      <c r="AP150" s="12"/>
      <c r="AQ150" s="13"/>
      <c r="AR150" s="14"/>
    </row>
    <row r="151" spans="1:44" s="16" customFormat="1" ht="30.95" hidden="1" customHeight="1" x14ac:dyDescent="0.2">
      <c r="A151" s="35" t="s">
        <v>896</v>
      </c>
      <c r="B151" s="36" t="s">
        <v>897</v>
      </c>
      <c r="C151" s="43"/>
      <c r="D151" s="29">
        <v>3697682</v>
      </c>
      <c r="E151" s="29">
        <v>4151288</v>
      </c>
      <c r="F151" s="255" t="str">
        <f>IF(D151="","",VLOOKUP(D151,契約台帳!$A$3:$K$4986,6,FALSE)&amp;VLOOKUP(D151,契約台帳!$A$3:$K$4986,7,FALSE)&amp;VLOOKUP(D151,契約台帳!$A$3:$K$4986,8,FALSE)&amp;VLOOKUP(D151,契約台帳!$A$3:$K$4986,9,FALSE)&amp;VLOOKUP(D151,契約台帳!$A$3:$K$4986,11,FALSE))</f>
        <v>3SYMLBMSSMBF</v>
      </c>
      <c r="G151" s="256" t="str">
        <f>IF(D151="","",VLOOKUP(F151,製品マスタ!$G$5:$H$4999,2,FALSE))</f>
        <v>S</v>
      </c>
      <c r="H151" s="256" t="str">
        <f>IF(D151="","",VLOOKUP(F151,製品マスタ!$G$5:$K$4999,5,FALSE))</f>
        <v>MSSMBF</v>
      </c>
      <c r="I151" s="200" t="str">
        <f>IF(D151="","",VLOOKUP(F151,製品マスタ!$G$5:$L$4999,6,FALSE))</f>
        <v>ＭＥＴＡＬＵＭＹ　ＳＩＬＶＥＲ　Ｓ－ＭＡＴＴＥ　Ｓ２８ＭＭ　Ｂ</v>
      </c>
      <c r="J151" s="30" t="s">
        <v>447</v>
      </c>
      <c r="K151" s="200">
        <f>IF(D151="","",VLOOKUP(D151,契約台帳!$A$3:$L$4986,12,FALSE))</f>
        <v>50</v>
      </c>
      <c r="L151" s="200" t="str">
        <f>IF(D151="","",INDEX(製品マスタ!$Q$5:$Q$4999,MATCH(F151&amp;K151,製品マスタ!$AO$5:$AO$4999,0)))</f>
        <v>LI-MAT</v>
      </c>
      <c r="M151" s="37">
        <v>1120</v>
      </c>
      <c r="N151" s="37">
        <v>8000</v>
      </c>
      <c r="O151" s="45">
        <v>2</v>
      </c>
      <c r="P151" s="54">
        <v>44969</v>
      </c>
      <c r="Q151" s="260">
        <f>IF(D151="","",IF(J151="リード付け",M151,VLOOKUP(D151,契約台帳!$A$3:$N$4986,14,FALSE)))</f>
        <v>1120</v>
      </c>
      <c r="R151" s="261">
        <f>IF(D151="","",IF(J151="リード付け",M151,VLOOKUP(D151,契約台帳!$A$3:$O$4986,15,FALSE)))</f>
        <v>1120</v>
      </c>
      <c r="S151" s="261">
        <f>IF(D151="","",IF(J151="リード付け",N151,VLOOKUP(D151,契約台帳!$A$3:$P$4986,16,FALSE)))</f>
        <v>4000</v>
      </c>
      <c r="T151" s="38">
        <v>4</v>
      </c>
      <c r="U151" s="261">
        <f ca="1">IF(D151="","",IF(OFFSET(D151,-2,0)=D151,"",VLOOKUP(D151,契約台帳!$A$3:$R$4986,18,FALSE)))</f>
        <v>4</v>
      </c>
      <c r="V151" s="256" t="str">
        <f>IF(J151="巻返し",VLOOKUP(F151&amp;K151&amp;M151,製品マスタ!$M$5:$AD$4999,18,FALSE),IF(J151="リード付け","原反コア",IF(J151="スリット",VLOOKUP(F151&amp;K151&amp;Q151,製品マスタ!$N$5:$AD$4999,17,FALSE),"")))</f>
        <v>6ｲﾝﾁSｺｱ</v>
      </c>
      <c r="W151" s="256">
        <f>IF(J151="巻返し",VLOOKUP(F151&amp;K151&amp;M151,製品マスタ!$M$5:$AE$4999,19,FALSE),IF(J151="リード付け","-",IF(J151="スリット",VLOOKUP(F151&amp;K151&amp;Q151,製品マスタ!$N$5:$AE$4999,18,FALSE),"")))</f>
        <v>1125</v>
      </c>
      <c r="X151" s="256">
        <f>IF(D151="","",VLOOKUP(D151,契約台帳!$A$3:$Q$4986,17,FALSE))</f>
        <v>2</v>
      </c>
      <c r="Y151" s="256" t="str">
        <f>IF(D151="","",VLOOKUP(D151,契約台帳!$A$3:$E$4986,5,FALSE))</f>
        <v>リンテック㈱</v>
      </c>
      <c r="Z151" s="54"/>
      <c r="AA151" s="200">
        <f>IFERROR(VLOOKUP(F151&amp;K151&amp;M151,製品マスタ!$M$5:$AM$4999,27,FALSE),"")</f>
        <v>0</v>
      </c>
      <c r="AB151" s="31"/>
      <c r="AC151" s="184"/>
      <c r="AD151" s="51" t="str">
        <f>IF(F151="","",+F151&amp;K151)</f>
        <v>3SYMLBMSSMBF50</v>
      </c>
      <c r="AE151" s="52">
        <f>+M151*N151*O151/1000</f>
        <v>17920</v>
      </c>
      <c r="AF151" s="41">
        <f>IF(AD151="","",VLOOKUP(AD151,原価マスタ!$A$2:$AJ$1693,13,FALSE))</f>
        <v>98</v>
      </c>
      <c r="AG151" s="45">
        <f>IF(AF151="","",+AE151*AF151/100)</f>
        <v>17561.599999999999</v>
      </c>
      <c r="AH151" s="28"/>
      <c r="AI151" s="28"/>
      <c r="AJ151" s="28"/>
      <c r="AK151" s="28"/>
      <c r="AL151" s="12"/>
      <c r="AM151" s="12"/>
      <c r="AN151" s="12"/>
      <c r="AO151" s="12"/>
      <c r="AP151" s="12"/>
      <c r="AQ151" s="13"/>
      <c r="AR151" s="14"/>
    </row>
    <row r="152" spans="1:44" s="16" customFormat="1" ht="30.95" hidden="1" customHeight="1" x14ac:dyDescent="0.2">
      <c r="A152" s="35"/>
      <c r="B152" s="36"/>
      <c r="C152" s="43"/>
      <c r="D152" s="29"/>
      <c r="E152" s="29"/>
      <c r="F152" s="255"/>
      <c r="G152" s="256"/>
      <c r="H152" s="256"/>
      <c r="I152" s="200"/>
      <c r="J152" s="30"/>
      <c r="K152" s="200"/>
      <c r="L152" s="200"/>
      <c r="M152" s="37"/>
      <c r="N152" s="37"/>
      <c r="O152" s="45"/>
      <c r="P152" s="54"/>
      <c r="Q152" s="260"/>
      <c r="R152" s="261"/>
      <c r="S152" s="261"/>
      <c r="T152" s="38"/>
      <c r="U152" s="261"/>
      <c r="V152" s="256"/>
      <c r="W152" s="256"/>
      <c r="X152" s="256"/>
      <c r="Y152" s="256"/>
      <c r="Z152" s="54"/>
      <c r="AA152" s="200"/>
      <c r="AB152" s="31"/>
      <c r="AC152" s="184"/>
      <c r="AD152" s="51"/>
      <c r="AE152" s="52"/>
      <c r="AF152" s="41"/>
      <c r="AG152" s="45"/>
      <c r="AH152" s="28"/>
      <c r="AI152" s="28"/>
      <c r="AJ152" s="28"/>
      <c r="AK152" s="28"/>
      <c r="AL152" s="12"/>
      <c r="AM152" s="12"/>
      <c r="AN152" s="12"/>
      <c r="AO152" s="12"/>
      <c r="AP152" s="12"/>
      <c r="AQ152" s="13"/>
      <c r="AR152" s="14"/>
    </row>
    <row r="153" spans="1:44" s="16" customFormat="1" ht="30.95" hidden="1" customHeight="1" x14ac:dyDescent="0.2">
      <c r="A153" s="35"/>
      <c r="B153" s="36"/>
      <c r="C153" s="43"/>
      <c r="D153" s="29">
        <v>3697683</v>
      </c>
      <c r="E153" s="29">
        <v>4151286</v>
      </c>
      <c r="F153" s="255" t="str">
        <f>IF(D153="","",VLOOKUP(D153,契約台帳!$A$3:$K$4986,6,FALSE)&amp;VLOOKUP(D153,契約台帳!$A$3:$K$4986,7,FALSE)&amp;VLOOKUP(D153,契約台帳!$A$3:$K$4986,8,FALSE)&amp;VLOOKUP(D153,契約台帳!$A$3:$K$4986,9,FALSE)&amp;VLOOKUP(D153,契約台帳!$A$3:$K$4986,11,FALSE))</f>
        <v>3SYMLBMSNMBF</v>
      </c>
      <c r="G153" s="256" t="str">
        <f>IF(D153="","",VLOOKUP(F153,製品マスタ!$G$5:$H$4999,2,FALSE))</f>
        <v>S</v>
      </c>
      <c r="H153" s="256" t="str">
        <f>IF(D153="","",VLOOKUP(F153,製品マスタ!$G$5:$K$4999,5,FALSE))</f>
        <v>MSNMBF</v>
      </c>
      <c r="I153" s="200" t="str">
        <f>IF(D153="","",VLOOKUP(F153,製品マスタ!$G$5:$L$4999,6,FALSE))</f>
        <v>ＭＥＴＡＬＵＭＹ　ＳＩＬＶＥＲ　Ｎ－ＭＡＴＴＥ　Ｘ４４Ｍ　Ｂ</v>
      </c>
      <c r="J153" s="30" t="s">
        <v>447</v>
      </c>
      <c r="K153" s="200">
        <f>IF(D153="","",VLOOKUP(D153,契約台帳!$A$3:$L$4986,12,FALSE))</f>
        <v>50</v>
      </c>
      <c r="L153" s="200" t="str">
        <f>IF(D153="","",INDEX(製品マスタ!$Q$5:$Q$4999,MATCH(F153&amp;K153,製品マスタ!$AO$5:$AO$4999,0)))</f>
        <v>X44</v>
      </c>
      <c r="M153" s="37">
        <v>1120</v>
      </c>
      <c r="N153" s="37">
        <v>12000</v>
      </c>
      <c r="O153" s="45">
        <v>1</v>
      </c>
      <c r="P153" s="54">
        <v>44969</v>
      </c>
      <c r="Q153" s="260">
        <f>IF(D153="","",IF(J153="リード付け",M153,VLOOKUP(D153,契約台帳!$A$3:$N$4986,14,FALSE)))</f>
        <v>1120</v>
      </c>
      <c r="R153" s="261">
        <f>IF(D153="","",IF(J153="リード付け",M153,VLOOKUP(D153,契約台帳!$A$3:$O$4986,15,FALSE)))</f>
        <v>1120</v>
      </c>
      <c r="S153" s="261">
        <f>IF(D153="","",IF(J153="リード付け",N153,VLOOKUP(D153,契約台帳!$A$3:$P$4986,16,FALSE)))</f>
        <v>4000</v>
      </c>
      <c r="T153" s="38">
        <v>3</v>
      </c>
      <c r="U153" s="261">
        <f ca="1">IF(D153="","",IF(OFFSET(D153,-2,0)=D153,"",VLOOKUP(D153,契約台帳!$A$3:$R$4986,18,FALSE)))</f>
        <v>4</v>
      </c>
      <c r="V153" s="256" t="str">
        <f>IF(J153="巻返し",VLOOKUP(F153&amp;K153&amp;M153,製品マスタ!$M$5:$AD$4999,18,FALSE),IF(J153="リード付け","原反コア",IF(J153="スリット",VLOOKUP(F153&amp;K153&amp;Q153,製品マスタ!$N$5:$AD$4999,17,FALSE),"")))</f>
        <v>6ｲﾝﾁMｺｱ</v>
      </c>
      <c r="W153" s="256">
        <f>IF(J153="巻返し",VLOOKUP(F153&amp;K153&amp;M153,製品マスタ!$M$5:$AE$4999,19,FALSE),IF(J153="リード付け","-",IF(J153="スリット",VLOOKUP(F153&amp;K153&amp;Q153,製品マスタ!$N$5:$AE$4999,18,FALSE),"")))</f>
        <v>1125</v>
      </c>
      <c r="X153" s="256">
        <f>IF(D153="","",VLOOKUP(D153,契約台帳!$A$3:$Q$4986,17,FALSE))</f>
        <v>2</v>
      </c>
      <c r="Y153" s="256" t="str">
        <f>IF(D153="","",VLOOKUP(D153,契約台帳!$A$3:$E$4986,5,FALSE))</f>
        <v>リンテック㈱</v>
      </c>
      <c r="Z153" s="54"/>
      <c r="AA153" s="200">
        <f>IFERROR(VLOOKUP(F153&amp;K153&amp;M153,製品マスタ!$M$5:$AM$4999,27,FALSE),"")</f>
        <v>0</v>
      </c>
      <c r="AB153" s="31"/>
      <c r="AC153" s="184"/>
      <c r="AD153" s="51" t="str">
        <f>IF(F153="","",+F153&amp;K153)</f>
        <v>3SYMLBMSNMBF50</v>
      </c>
      <c r="AE153" s="52">
        <f>+M153*N153*O153/1000</f>
        <v>13440</v>
      </c>
      <c r="AF153" s="41">
        <f>IF(AD153="","",VLOOKUP(AD153,原価マスタ!$A$2:$AJ$1693,13,FALSE))</f>
        <v>98.8</v>
      </c>
      <c r="AG153" s="45">
        <f>IF(AF153="","",+AE153*AF153/100)</f>
        <v>13278.72</v>
      </c>
      <c r="AH153" s="28"/>
      <c r="AI153" s="28"/>
      <c r="AJ153" s="28"/>
      <c r="AK153" s="28"/>
      <c r="AL153" s="12"/>
      <c r="AM153" s="12"/>
      <c r="AN153" s="12"/>
      <c r="AO153" s="12"/>
      <c r="AP153" s="12"/>
      <c r="AQ153" s="13"/>
      <c r="AR153" s="14"/>
    </row>
    <row r="154" spans="1:44" s="16" customFormat="1" ht="30.95" hidden="1" customHeight="1" x14ac:dyDescent="0.2">
      <c r="A154" s="35"/>
      <c r="B154" s="36"/>
      <c r="C154" s="43"/>
      <c r="D154" s="29"/>
      <c r="E154" s="29"/>
      <c r="F154" s="255"/>
      <c r="G154" s="256"/>
      <c r="H154" s="256"/>
      <c r="I154" s="200"/>
      <c r="J154" s="30"/>
      <c r="K154" s="200"/>
      <c r="L154" s="200"/>
      <c r="M154" s="37"/>
      <c r="N154" s="37"/>
      <c r="O154" s="45"/>
      <c r="P154" s="54"/>
      <c r="Q154" s="260"/>
      <c r="R154" s="261"/>
      <c r="S154" s="261"/>
      <c r="T154" s="38"/>
      <c r="U154" s="261"/>
      <c r="V154" s="256"/>
      <c r="W154" s="256"/>
      <c r="X154" s="256"/>
      <c r="Y154" s="256"/>
      <c r="Z154" s="54"/>
      <c r="AA154" s="200"/>
      <c r="AB154" s="31"/>
      <c r="AC154" s="184"/>
      <c r="AD154" s="51"/>
      <c r="AE154" s="52"/>
      <c r="AF154" s="41"/>
      <c r="AG154" s="45"/>
      <c r="AH154" s="28"/>
      <c r="AI154" s="28"/>
      <c r="AJ154" s="28"/>
      <c r="AK154" s="28"/>
      <c r="AL154" s="12"/>
      <c r="AM154" s="12"/>
      <c r="AN154" s="12"/>
      <c r="AO154" s="12"/>
      <c r="AP154" s="12"/>
      <c r="AQ154" s="13"/>
      <c r="AR154" s="14"/>
    </row>
    <row r="155" spans="1:44" s="16" customFormat="1" ht="30.95" hidden="1" customHeight="1" x14ac:dyDescent="0.2">
      <c r="A155" s="35"/>
      <c r="B155" s="36"/>
      <c r="C155" s="43"/>
      <c r="D155" s="29">
        <v>3697683</v>
      </c>
      <c r="E155" s="29">
        <v>4151286</v>
      </c>
      <c r="F155" s="255" t="str">
        <f>IF(D155="","",VLOOKUP(D155,契約台帳!$A$3:$K$4986,6,FALSE)&amp;VLOOKUP(D155,契約台帳!$A$3:$K$4986,7,FALSE)&amp;VLOOKUP(D155,契約台帳!$A$3:$K$4986,8,FALSE)&amp;VLOOKUP(D155,契約台帳!$A$3:$K$4986,9,FALSE)&amp;VLOOKUP(D155,契約台帳!$A$3:$K$4986,11,FALSE))</f>
        <v>3SYMLBMSNMBF</v>
      </c>
      <c r="G155" s="256" t="str">
        <f>IF(D155="","",VLOOKUP(F155,製品マスタ!$G$5:$H$4999,2,FALSE))</f>
        <v>S</v>
      </c>
      <c r="H155" s="256" t="str">
        <f>IF(D155="","",VLOOKUP(F155,製品マスタ!$G$5:$K$4999,5,FALSE))</f>
        <v>MSNMBF</v>
      </c>
      <c r="I155" s="200" t="str">
        <f>IF(D155="","",VLOOKUP(F155,製品マスタ!$G$5:$L$4999,6,FALSE))</f>
        <v>ＭＥＴＡＬＵＭＹ　ＳＩＬＶＥＲ　Ｎ－ＭＡＴＴＥ　Ｘ４４Ｍ　Ｂ</v>
      </c>
      <c r="J155" s="30" t="s">
        <v>447</v>
      </c>
      <c r="K155" s="200">
        <f>IF(D155="","",VLOOKUP(D155,契約台帳!$A$3:$L$4986,12,FALSE))</f>
        <v>50</v>
      </c>
      <c r="L155" s="200" t="str">
        <f>IF(D155="","",INDEX(製品マスタ!$Q$5:$Q$4999,MATCH(F155&amp;K155,製品マスタ!$AO$5:$AO$4999,0)))</f>
        <v>X44</v>
      </c>
      <c r="M155" s="37">
        <v>1120</v>
      </c>
      <c r="N155" s="37">
        <v>12000</v>
      </c>
      <c r="O155" s="45">
        <v>1</v>
      </c>
      <c r="P155" s="54">
        <v>44969</v>
      </c>
      <c r="Q155" s="260">
        <f>IF(D155="","",IF(J155="リード付け",M155,VLOOKUP(D155,契約台帳!$A$3:$N$4986,14,FALSE)))</f>
        <v>1120</v>
      </c>
      <c r="R155" s="261">
        <f>IF(D155="","",IF(J155="リード付け",M155,VLOOKUP(D155,契約台帳!$A$3:$O$4986,15,FALSE)))</f>
        <v>1120</v>
      </c>
      <c r="S155" s="261">
        <f>IF(D155="","",IF(J155="リード付け",N155,VLOOKUP(D155,契約台帳!$A$3:$P$4986,16,FALSE)))</f>
        <v>4000</v>
      </c>
      <c r="T155" s="38">
        <v>1</v>
      </c>
      <c r="U155" s="261" t="str">
        <f ca="1">IF(D155="","",IF(OFFSET(D155,-2,0)=D155,"",VLOOKUP(D155,契約台帳!$A$3:$R$4986,18,FALSE)))</f>
        <v/>
      </c>
      <c r="V155" s="256" t="str">
        <f>IF(J155="巻返し",VLOOKUP(F155&amp;K155&amp;M155,製品マスタ!$M$5:$AD$4999,18,FALSE),IF(J155="リード付け","原反コア",IF(J155="スリット",VLOOKUP(F155&amp;K155&amp;Q155,製品マスタ!$N$5:$AD$4999,17,FALSE),"")))</f>
        <v>6ｲﾝﾁMｺｱ</v>
      </c>
      <c r="W155" s="256">
        <f>IF(J155="巻返し",VLOOKUP(F155&amp;K155&amp;M155,製品マスタ!$M$5:$AE$4999,19,FALSE),IF(J155="リード付け","-",IF(J155="スリット",VLOOKUP(F155&amp;K155&amp;Q155,製品マスタ!$N$5:$AE$4999,18,FALSE),"")))</f>
        <v>1125</v>
      </c>
      <c r="X155" s="256">
        <f>IF(D155="","",VLOOKUP(D155,契約台帳!$A$3:$Q$4986,17,FALSE))</f>
        <v>2</v>
      </c>
      <c r="Y155" s="256" t="str">
        <f>IF(D155="","",VLOOKUP(D155,契約台帳!$A$3:$E$4986,5,FALSE))</f>
        <v>リンテック㈱</v>
      </c>
      <c r="Z155" s="54"/>
      <c r="AA155" s="200">
        <f>IFERROR(VLOOKUP(F155&amp;K155&amp;M155,製品マスタ!$M$5:$AM$4999,27,FALSE),"")</f>
        <v>0</v>
      </c>
      <c r="AB155" s="31"/>
      <c r="AC155" s="184"/>
      <c r="AD155" s="51" t="str">
        <f>IF(F155="","",+F155&amp;K155)</f>
        <v>3SYMLBMSNMBF50</v>
      </c>
      <c r="AE155" s="52">
        <f>+M155*N155*O155/1000</f>
        <v>13440</v>
      </c>
      <c r="AF155" s="41">
        <f>IF(AD155="","",VLOOKUP(AD155,原価マスタ!$A$2:$AJ$1693,13,FALSE))</f>
        <v>98.8</v>
      </c>
      <c r="AG155" s="45">
        <f>IF(AF155="","",+AE155*AF155/100)</f>
        <v>13278.72</v>
      </c>
      <c r="AH155" s="28"/>
      <c r="AI155" s="28"/>
      <c r="AJ155" s="28"/>
      <c r="AK155" s="28"/>
      <c r="AL155" s="12"/>
      <c r="AM155" s="12"/>
      <c r="AN155" s="12"/>
      <c r="AO155" s="12"/>
      <c r="AP155" s="12"/>
      <c r="AQ155" s="13"/>
      <c r="AR155" s="14"/>
    </row>
    <row r="156" spans="1:44" s="16" customFormat="1" ht="30.95" hidden="1" customHeight="1" x14ac:dyDescent="0.2">
      <c r="A156" s="35"/>
      <c r="B156" s="36"/>
      <c r="C156" s="43"/>
      <c r="D156" s="29">
        <v>3697684</v>
      </c>
      <c r="E156" s="29"/>
      <c r="F156" s="255" t="str">
        <f>IF(D156="","",VLOOKUP(D156,契約台帳!$A$3:$K$4986,6,FALSE)&amp;VLOOKUP(D156,契約台帳!$A$3:$K$4986,7,FALSE)&amp;VLOOKUP(D156,契約台帳!$A$3:$K$4986,8,FALSE)&amp;VLOOKUP(D156,契約台帳!$A$3:$K$4986,9,FALSE)&amp;VLOOKUP(D156,契約台帳!$A$3:$K$4986,11,FALSE))</f>
        <v>3SYMLBMSNMBF</v>
      </c>
      <c r="G156" s="256" t="str">
        <f>IF(D156="","",VLOOKUP(F156,製品マスタ!$G$5:$H$4999,2,FALSE))</f>
        <v>S</v>
      </c>
      <c r="H156" s="256" t="str">
        <f>IF(D156="","",VLOOKUP(F156,製品マスタ!$G$5:$K$4999,5,FALSE))</f>
        <v>MSNMBF</v>
      </c>
      <c r="I156" s="200" t="str">
        <f>IF(D156="","",VLOOKUP(F156,製品マスタ!$G$5:$L$4999,6,FALSE))</f>
        <v>ＭＥＴＡＬＵＭＹ　ＳＩＬＶＥＲ　Ｎ－ＭＡＴＴＥ　Ｘ４４Ｍ　Ｂ</v>
      </c>
      <c r="J156" s="30"/>
      <c r="K156" s="200">
        <f>IF(D156="","",VLOOKUP(D156,契約台帳!$A$3:$L$4986,12,FALSE))</f>
        <v>50</v>
      </c>
      <c r="L156" s="200" t="str">
        <f>IF(D156="","",INDEX(製品マスタ!$Q$5:$Q$4999,MATCH(F156&amp;K156,製品マスタ!$AO$5:$AO$4999,0)))</f>
        <v>X44</v>
      </c>
      <c r="M156" s="37"/>
      <c r="N156" s="37"/>
      <c r="O156" s="45"/>
      <c r="P156" s="54"/>
      <c r="Q156" s="260">
        <f>IF(D156="","",IF(J156="リード付け",M156,VLOOKUP(D156,契約台帳!$A$3:$N$4986,14,FALSE)))</f>
        <v>1120</v>
      </c>
      <c r="R156" s="261">
        <f>IF(D156="","",IF(J156="リード付け",M156,VLOOKUP(D156,契約台帳!$A$3:$O$4986,15,FALSE)))</f>
        <v>1120</v>
      </c>
      <c r="S156" s="261">
        <f>IF(D156="","",IF(J156="リード付け",N156,VLOOKUP(D156,契約台帳!$A$3:$P$4986,16,FALSE)))</f>
        <v>4000</v>
      </c>
      <c r="T156" s="38">
        <v>2</v>
      </c>
      <c r="U156" s="261">
        <f ca="1">IF(D156="","",IF(OFFSET(D156,-2,0)=D156,"",VLOOKUP(D156,契約台帳!$A$3:$R$4986,18,FALSE)))</f>
        <v>4</v>
      </c>
      <c r="V156" s="256" t="str">
        <f>IF(J156="巻返し",VLOOKUP(F156&amp;K156&amp;M156,製品マスタ!$M$5:$AD$4999,18,FALSE),IF(J156="リード付け","原反コア",IF(J156="スリット",VLOOKUP(F156&amp;K156&amp;Q156,製品マスタ!$N$5:$AD$4999,17,FALSE),"")))</f>
        <v/>
      </c>
      <c r="W156" s="256" t="str">
        <f>IF(J156="巻返し",VLOOKUP(F156&amp;K156&amp;M156,製品マスタ!$M$5:$AE$4999,19,FALSE),IF(J156="リード付け","-",IF(J156="スリット",VLOOKUP(F156&amp;K156&amp;Q156,製品マスタ!$N$5:$AE$4999,18,FALSE),"")))</f>
        <v/>
      </c>
      <c r="X156" s="256">
        <f>IF(D156="","",VLOOKUP(D156,契約台帳!$A$3:$Q$4986,17,FALSE))</f>
        <v>2</v>
      </c>
      <c r="Y156" s="256" t="str">
        <f>IF(D156="","",VLOOKUP(D156,契約台帳!$A$3:$E$4986,5,FALSE))</f>
        <v>リンテック㈱</v>
      </c>
      <c r="Z156" s="54"/>
      <c r="AA156" s="200" t="str">
        <f>IFERROR(VLOOKUP(F156&amp;K156&amp;M156,製品マスタ!$M$5:$AM$4999,27,FALSE),"")</f>
        <v/>
      </c>
      <c r="AB156" s="31"/>
      <c r="AC156" s="184"/>
      <c r="AD156" s="51"/>
      <c r="AE156" s="52"/>
      <c r="AF156" s="41"/>
      <c r="AG156" s="45"/>
      <c r="AH156" s="28"/>
      <c r="AI156" s="28"/>
      <c r="AJ156" s="28"/>
      <c r="AK156" s="28"/>
      <c r="AL156" s="12"/>
      <c r="AM156" s="12"/>
      <c r="AN156" s="12"/>
      <c r="AO156" s="12"/>
      <c r="AP156" s="12"/>
      <c r="AQ156" s="13"/>
      <c r="AR156" s="14"/>
    </row>
    <row r="157" spans="1:44" s="16" customFormat="1" ht="30.95" hidden="1" customHeight="1" x14ac:dyDescent="0.2">
      <c r="A157" s="35"/>
      <c r="B157" s="36"/>
      <c r="C157" s="43"/>
      <c r="D157" s="29"/>
      <c r="E157" s="29"/>
      <c r="F157" s="255"/>
      <c r="G157" s="256"/>
      <c r="H157" s="256"/>
      <c r="I157" s="200"/>
      <c r="J157" s="30"/>
      <c r="K157" s="200"/>
      <c r="L157" s="200"/>
      <c r="M157" s="37"/>
      <c r="N157" s="37"/>
      <c r="O157" s="45"/>
      <c r="P157" s="54"/>
      <c r="Q157" s="260"/>
      <c r="R157" s="261"/>
      <c r="S157" s="261"/>
      <c r="T157" s="38"/>
      <c r="U157" s="261"/>
      <c r="V157" s="256"/>
      <c r="W157" s="256"/>
      <c r="X157" s="256"/>
      <c r="Y157" s="256"/>
      <c r="Z157" s="54"/>
      <c r="AA157" s="200"/>
      <c r="AB157" s="31"/>
      <c r="AC157" s="184"/>
      <c r="AD157" s="51"/>
      <c r="AE157" s="52"/>
      <c r="AF157" s="41"/>
      <c r="AG157" s="45"/>
      <c r="AH157" s="28"/>
      <c r="AI157" s="28"/>
      <c r="AJ157" s="28"/>
      <c r="AK157" s="28"/>
      <c r="AL157" s="12"/>
      <c r="AM157" s="12"/>
      <c r="AN157" s="12"/>
      <c r="AO157" s="12"/>
      <c r="AP157" s="12"/>
      <c r="AQ157" s="13"/>
      <c r="AR157" s="14"/>
    </row>
    <row r="158" spans="1:44" s="16" customFormat="1" ht="30.95" hidden="1" customHeight="1" x14ac:dyDescent="0.2">
      <c r="A158" s="35"/>
      <c r="B158" s="36"/>
      <c r="C158" s="43"/>
      <c r="D158" s="29">
        <v>3697684</v>
      </c>
      <c r="E158" s="29">
        <v>4151287</v>
      </c>
      <c r="F158" s="255" t="str">
        <f>IF(D158="","",VLOOKUP(D158,契約台帳!$A$3:$K$4986,6,FALSE)&amp;VLOOKUP(D158,契約台帳!$A$3:$K$4986,7,FALSE)&amp;VLOOKUP(D158,契約台帳!$A$3:$K$4986,8,FALSE)&amp;VLOOKUP(D158,契約台帳!$A$3:$K$4986,9,FALSE)&amp;VLOOKUP(D158,契約台帳!$A$3:$K$4986,11,FALSE))</f>
        <v>3SYMLBMSNMBF</v>
      </c>
      <c r="G158" s="256" t="str">
        <f>IF(D158="","",VLOOKUP(F158,製品マスタ!$G$5:$H$4999,2,FALSE))</f>
        <v>S</v>
      </c>
      <c r="H158" s="256" t="str">
        <f>IF(D158="","",VLOOKUP(F158,製品マスタ!$G$5:$K$4999,5,FALSE))</f>
        <v>MSNMBF</v>
      </c>
      <c r="I158" s="200" t="str">
        <f>IF(D158="","",VLOOKUP(F158,製品マスタ!$G$5:$L$4999,6,FALSE))</f>
        <v>ＭＥＴＡＬＵＭＹ　ＳＩＬＶＥＲ　Ｎ－ＭＡＴＴＥ　Ｘ４４Ｍ　Ｂ</v>
      </c>
      <c r="J158" s="30" t="s">
        <v>447</v>
      </c>
      <c r="K158" s="200">
        <f>IF(D158="","",VLOOKUP(D158,契約台帳!$A$3:$L$4986,12,FALSE))</f>
        <v>50</v>
      </c>
      <c r="L158" s="200" t="str">
        <f>IF(D158="","",INDEX(製品マスタ!$Q$5:$Q$4999,MATCH(F158&amp;K158,製品マスタ!$AO$5:$AO$4999,0)))</f>
        <v>X44</v>
      </c>
      <c r="M158" s="37">
        <v>1120</v>
      </c>
      <c r="N158" s="37">
        <v>8000</v>
      </c>
      <c r="O158" s="45">
        <v>1</v>
      </c>
      <c r="P158" s="54">
        <v>44969</v>
      </c>
      <c r="Q158" s="260">
        <f>IF(D158="","",IF(J158="リード付け",M158,VLOOKUP(D158,契約台帳!$A$3:$N$4986,14,FALSE)))</f>
        <v>1120</v>
      </c>
      <c r="R158" s="261">
        <f>IF(D158="","",IF(J158="リード付け",M158,VLOOKUP(D158,契約台帳!$A$3:$O$4986,15,FALSE)))</f>
        <v>1120</v>
      </c>
      <c r="S158" s="261">
        <f>IF(D158="","",IF(J158="リード付け",N158,VLOOKUP(D158,契約台帳!$A$3:$P$4986,16,FALSE)))</f>
        <v>4000</v>
      </c>
      <c r="T158" s="38">
        <v>2</v>
      </c>
      <c r="U158" s="261" t="str">
        <f ca="1">IF(D158="","",IF(OFFSET(D158,-2,0)=D158,"",VLOOKUP(D158,契約台帳!$A$3:$R$4986,18,FALSE)))</f>
        <v/>
      </c>
      <c r="V158" s="256" t="str">
        <f>IF(J158="巻返し",VLOOKUP(F158&amp;K158&amp;M158,製品マスタ!$M$5:$AD$4999,18,FALSE),IF(J158="リード付け","原反コア",IF(J158="スリット",VLOOKUP(F158&amp;K158&amp;Q158,製品マスタ!$N$5:$AD$4999,17,FALSE),"")))</f>
        <v>6ｲﾝﾁMｺｱ</v>
      </c>
      <c r="W158" s="256">
        <f>IF(J158="巻返し",VLOOKUP(F158&amp;K158&amp;M158,製品マスタ!$M$5:$AE$4999,19,FALSE),IF(J158="リード付け","-",IF(J158="スリット",VLOOKUP(F158&amp;K158&amp;Q158,製品マスタ!$N$5:$AE$4999,18,FALSE),"")))</f>
        <v>1125</v>
      </c>
      <c r="X158" s="256">
        <f>IF(D158="","",VLOOKUP(D158,契約台帳!$A$3:$Q$4986,17,FALSE))</f>
        <v>2</v>
      </c>
      <c r="Y158" s="256" t="str">
        <f>IF(D158="","",VLOOKUP(D158,契約台帳!$A$3:$E$4986,5,FALSE))</f>
        <v>リンテック㈱</v>
      </c>
      <c r="Z158" s="54"/>
      <c r="AA158" s="200">
        <f>IFERROR(VLOOKUP(F158&amp;K158&amp;M158,製品マスタ!$M$5:$AM$4999,27,FALSE),"")</f>
        <v>0</v>
      </c>
      <c r="AB158" s="31"/>
      <c r="AC158" s="184"/>
      <c r="AD158" s="51" t="str">
        <f>IF(F158="","",+F158&amp;K158)</f>
        <v>3SYMLBMSNMBF50</v>
      </c>
      <c r="AE158" s="52">
        <f>+M158*N158*O158/1000</f>
        <v>8960</v>
      </c>
      <c r="AF158" s="41">
        <f>IF(AD158="","",VLOOKUP(AD158,原価マスタ!$A$2:$AJ$1693,13,FALSE))</f>
        <v>98.8</v>
      </c>
      <c r="AG158" s="45">
        <f>IF(AF158="","",+AE158*AF158/100)</f>
        <v>8852.48</v>
      </c>
      <c r="AH158" s="28"/>
      <c r="AI158" s="28"/>
      <c r="AJ158" s="28"/>
      <c r="AK158" s="28"/>
      <c r="AL158" s="12"/>
      <c r="AM158" s="12"/>
      <c r="AN158" s="12"/>
      <c r="AO158" s="12"/>
      <c r="AP158" s="12"/>
      <c r="AQ158" s="13"/>
      <c r="AR158" s="14"/>
    </row>
    <row r="159" spans="1:44" s="16" customFormat="1" ht="30.95" hidden="1" customHeight="1" x14ac:dyDescent="0.2">
      <c r="A159" s="35"/>
      <c r="B159" s="36"/>
      <c r="C159" s="43"/>
      <c r="D159" s="29"/>
      <c r="E159" s="29"/>
      <c r="F159" s="255"/>
      <c r="G159" s="256"/>
      <c r="H159" s="256"/>
      <c r="I159" s="200"/>
      <c r="J159" s="30"/>
      <c r="K159" s="200"/>
      <c r="L159" s="200"/>
      <c r="M159" s="37"/>
      <c r="N159" s="37"/>
      <c r="O159" s="45"/>
      <c r="P159" s="54"/>
      <c r="Q159" s="260"/>
      <c r="R159" s="261"/>
      <c r="S159" s="261"/>
      <c r="T159" s="38"/>
      <c r="U159" s="261"/>
      <c r="V159" s="256"/>
      <c r="W159" s="256"/>
      <c r="X159" s="256"/>
      <c r="Y159" s="256"/>
      <c r="Z159" s="54"/>
      <c r="AA159" s="200"/>
      <c r="AB159" s="31"/>
      <c r="AC159" s="184"/>
      <c r="AD159" s="51"/>
      <c r="AE159" s="52"/>
      <c r="AF159" s="41"/>
      <c r="AG159" s="45"/>
      <c r="AH159" s="28"/>
      <c r="AI159" s="28"/>
      <c r="AJ159" s="28"/>
      <c r="AK159" s="28"/>
      <c r="AL159" s="12"/>
      <c r="AM159" s="12"/>
      <c r="AN159" s="12"/>
      <c r="AO159" s="12"/>
      <c r="AP159" s="12"/>
      <c r="AQ159" s="13"/>
      <c r="AR159" s="14"/>
    </row>
    <row r="160" spans="1:44" s="16" customFormat="1" ht="30.95" hidden="1" customHeight="1" x14ac:dyDescent="0.2">
      <c r="A160" s="35" t="s">
        <v>898</v>
      </c>
      <c r="B160" s="36" t="s">
        <v>899</v>
      </c>
      <c r="C160" s="43"/>
      <c r="D160" s="29">
        <v>3697676</v>
      </c>
      <c r="E160" s="29">
        <v>4151299</v>
      </c>
      <c r="F160" s="255" t="str">
        <f>IF(D160="","",VLOOKUP(D160,契約台帳!$A$3:$K$4986,6,FALSE)&amp;VLOOKUP(D160,契約台帳!$A$3:$K$4986,7,FALSE)&amp;VLOOKUP(D160,契約台帳!$A$3:$K$4986,8,FALSE)&amp;VLOOKUP(D160,契約台帳!$A$3:$K$4986,9,FALSE)&amp;VLOOKUP(D160,契約台帳!$A$3:$K$4986,11,FALSE))</f>
        <v>3SNMLBMNQR66F</v>
      </c>
      <c r="G160" s="256" t="str">
        <f>IF(D160="","",VLOOKUP(F160,製品マスタ!$G$5:$H$4999,2,FALSE))</f>
        <v>S</v>
      </c>
      <c r="H160" s="256" t="str">
        <f>IF(D160="","",VLOOKUP(F160,製品マスタ!$G$5:$K$4999,5,FALSE))</f>
        <v>MNQR66F</v>
      </c>
      <c r="I160" s="200" t="str">
        <f>IF(D160="","",VLOOKUP(F160,製品マスタ!$G$5:$L$4999,6,FALSE))</f>
        <v>ＱＲ６６蒸着品</v>
      </c>
      <c r="J160" s="30" t="s">
        <v>893</v>
      </c>
      <c r="K160" s="200">
        <f>IF(D160="","",VLOOKUP(D160,契約台帳!$A$3:$L$4986,12,FALSE))</f>
        <v>25</v>
      </c>
      <c r="L160" s="200" t="str">
        <f>IF(D160="","",INDEX(製品マスタ!$Q$5:$Q$4999,MATCH(F160&amp;K160,製品マスタ!$AO$5:$AO$4999,0)))</f>
        <v>E315</v>
      </c>
      <c r="M160" s="37">
        <v>1100</v>
      </c>
      <c r="N160" s="37">
        <v>24000</v>
      </c>
      <c r="O160" s="45">
        <v>4</v>
      </c>
      <c r="P160" s="54">
        <v>44970</v>
      </c>
      <c r="Q160" s="260">
        <f>IF(D160="","",IF(J160="リード付け",M160,VLOOKUP(D160,契約台帳!$A$3:$N$4986,14,FALSE)))</f>
        <v>1100</v>
      </c>
      <c r="R160" s="261">
        <f>IF(D160="","",IF(J160="リード付け",M160,VLOOKUP(D160,契約台帳!$A$3:$O$4986,15,FALSE)))</f>
        <v>1100</v>
      </c>
      <c r="S160" s="261">
        <f>IF(D160="","",IF(J160="リード付け",N160,VLOOKUP(D160,契約台帳!$A$3:$P$4986,16,FALSE)))</f>
        <v>6000</v>
      </c>
      <c r="T160" s="38">
        <v>16</v>
      </c>
      <c r="U160" s="261">
        <f ca="1">IF(D160="","",IF(OFFSET(D160,-2,0)=D160,"",VLOOKUP(D160,契約台帳!$A$3:$R$4986,18,FALSE)))</f>
        <v>20</v>
      </c>
      <c r="V160" s="256" t="str">
        <f>IF(J160="巻返し",VLOOKUP(F160&amp;K160&amp;M160,製品マスタ!$M$5:$AD$4999,18,FALSE),IF(J160="リード付け","原反コア",IF(J160="スリット",VLOOKUP(F160&amp;K160&amp;Q160,製品マスタ!$N$5:$AD$4999,17,FALSE),"")))</f>
        <v>6ｲﾝﾁMｺｱ</v>
      </c>
      <c r="W160" s="256">
        <f>IF(J160="巻返し",VLOOKUP(F160&amp;K160&amp;M160,製品マスタ!$M$5:$AE$4999,19,FALSE),IF(J160="リード付け","-",IF(J160="スリット",VLOOKUP(F160&amp;K160&amp;Q160,製品マスタ!$N$5:$AE$4999,18,FALSE),"")))</f>
        <v>1110</v>
      </c>
      <c r="X160" s="256">
        <f>IF(D160="","",VLOOKUP(D160,契約台帳!$A$3:$Q$4986,17,FALSE))</f>
        <v>2</v>
      </c>
      <c r="Y160" s="256" t="str">
        <f>IF(D160="","",VLOOKUP(D160,契約台帳!$A$3:$E$4986,5,FALSE))</f>
        <v>リンテック㈱</v>
      </c>
      <c r="Z160" s="54"/>
      <c r="AA160" s="200" t="str">
        <f>IFERROR(VLOOKUP(F160&amp;K160&amp;M160,製品マスタ!$M$5:$AM$4999,27,FALSE),"")</f>
        <v>原反ケース再利用</v>
      </c>
      <c r="AB160" s="31"/>
      <c r="AC160" s="184"/>
      <c r="AD160" s="51" t="str">
        <f>IF(F160="","",+F160&amp;K160)</f>
        <v>3SNMLBMNQR66F25</v>
      </c>
      <c r="AE160" s="52">
        <f>+M160*N160*O160/1000</f>
        <v>105600</v>
      </c>
      <c r="AF160" s="41">
        <f>IF(AD160="","",VLOOKUP(AD160,原価マスタ!$A$2:$AJ$1693,13,FALSE))</f>
        <v>98</v>
      </c>
      <c r="AG160" s="45">
        <f>IF(AF160="","",+AE160*AF160/100)</f>
        <v>103488</v>
      </c>
      <c r="AH160" s="28"/>
      <c r="AI160" s="28"/>
      <c r="AJ160" s="28"/>
      <c r="AK160" s="28"/>
      <c r="AL160" s="12"/>
      <c r="AM160" s="12"/>
      <c r="AN160" s="12"/>
      <c r="AO160" s="12"/>
      <c r="AP160" s="12"/>
      <c r="AQ160" s="13"/>
      <c r="AR160" s="14"/>
    </row>
    <row r="161" spans="1:44" s="16" customFormat="1" ht="30.95" hidden="1" customHeight="1" x14ac:dyDescent="0.2">
      <c r="A161" s="35"/>
      <c r="B161" s="36"/>
      <c r="C161" s="43"/>
      <c r="D161" s="29"/>
      <c r="E161" s="29"/>
      <c r="F161" s="255" t="str">
        <f>IF(D161="","",VLOOKUP(D161,契約台帳!$A$3:$K$4986,6,FALSE)&amp;VLOOKUP(D161,契約台帳!$A$3:$K$4986,7,FALSE)&amp;VLOOKUP(D161,契約台帳!$A$3:$K$4986,8,FALSE)&amp;VLOOKUP(D161,契約台帳!$A$3:$K$4986,9,FALSE)&amp;VLOOKUP(D161,契約台帳!$A$3:$K$4986,11,FALSE))</f>
        <v/>
      </c>
      <c r="G161" s="256" t="str">
        <f>IF(D161="","",VLOOKUP(F161,製品マスタ!$G$5:$H$4999,2,FALSE))</f>
        <v/>
      </c>
      <c r="H161" s="256" t="str">
        <f>IF(D161="","",VLOOKUP(F161,製品マスタ!$G$5:$K$4999,5,FALSE))</f>
        <v/>
      </c>
      <c r="I161" s="200" t="str">
        <f>IF(D161="","",VLOOKUP(F161,製品マスタ!$G$5:$L$4999,6,FALSE))</f>
        <v/>
      </c>
      <c r="J161" s="30"/>
      <c r="K161" s="200" t="str">
        <f>IF(D161="","",VLOOKUP(D161,契約台帳!$A$3:$L$4986,12,FALSE))</f>
        <v/>
      </c>
      <c r="L161" s="200" t="str">
        <f>IF(D161="","",INDEX(製品マスタ!$Q$5:$Q$4999,MATCH(F161&amp;K161,製品マスタ!$AO$5:$AO$4999,0)))</f>
        <v/>
      </c>
      <c r="M161" s="37"/>
      <c r="N161" s="37"/>
      <c r="O161" s="45"/>
      <c r="P161" s="54"/>
      <c r="Q161" s="260" t="str">
        <f>IF(D161="","",IF(J161="リード付け",M161,VLOOKUP(D161,契約台帳!$A$3:$N$4986,14,FALSE)))</f>
        <v/>
      </c>
      <c r="R161" s="261" t="str">
        <f>IF(D161="","",IF(J161="リード付け",M161,VLOOKUP(D161,契約台帳!$A$3:$O$4986,15,FALSE)))</f>
        <v/>
      </c>
      <c r="S161" s="261" t="str">
        <f>IF(D161="","",IF(J161="リード付け",N161,VLOOKUP(D161,契約台帳!$A$3:$P$4986,16,FALSE)))</f>
        <v/>
      </c>
      <c r="T161" s="38"/>
      <c r="U161" s="261" t="str">
        <f ca="1">IF(D161="","",IF(OFFSET(D161,-2,0)=D161,"",VLOOKUP(D161,契約台帳!$A$3:$R$4986,18,FALSE)))</f>
        <v/>
      </c>
      <c r="V161" s="256" t="str">
        <f>IF(J161="巻返し",VLOOKUP(F161&amp;K161&amp;M161,製品マスタ!$M$5:$AD$4999,18,FALSE),IF(J161="リード付け","原反コア",IF(J161="スリット",VLOOKUP(F161&amp;K161&amp;Q161,製品マスタ!$N$5:$AD$4999,17,FALSE),"")))</f>
        <v/>
      </c>
      <c r="W161" s="256" t="str">
        <f>IF(J161="巻返し",VLOOKUP(F161&amp;K161&amp;M161,製品マスタ!$M$5:$AE$4999,19,FALSE),IF(J161="リード付け","-",IF(J161="スリット",VLOOKUP(F161&amp;K161&amp;Q161,製品マスタ!$N$5:$AE$4999,18,FALSE),"")))</f>
        <v/>
      </c>
      <c r="X161" s="256" t="str">
        <f>IF(D161="","",VLOOKUP(D161,契約台帳!$A$3:$Q$4986,17,FALSE))</f>
        <v/>
      </c>
      <c r="Y161" s="256" t="str">
        <f>IF(D161="","",VLOOKUP(D161,契約台帳!$A$3:$E$4986,5,FALSE))</f>
        <v/>
      </c>
      <c r="Z161" s="54"/>
      <c r="AA161" s="200" t="str">
        <f>IFERROR(VLOOKUP(F161&amp;K161&amp;M161,製品マスタ!$M$5:$AM$4999,27,FALSE),"")</f>
        <v/>
      </c>
      <c r="AB161" s="31"/>
      <c r="AC161" s="184"/>
      <c r="AD161" s="51"/>
      <c r="AE161" s="52"/>
      <c r="AF161" s="41"/>
      <c r="AG161" s="45"/>
      <c r="AH161" s="28"/>
      <c r="AI161" s="28"/>
      <c r="AJ161" s="28"/>
      <c r="AK161" s="28"/>
      <c r="AL161" s="12"/>
      <c r="AM161" s="12"/>
      <c r="AN161" s="12"/>
      <c r="AO161" s="12"/>
      <c r="AP161" s="12"/>
      <c r="AQ161" s="13"/>
      <c r="AR161" s="14"/>
    </row>
    <row r="162" spans="1:44" s="16" customFormat="1" ht="30.95" hidden="1" customHeight="1" x14ac:dyDescent="0.2">
      <c r="A162" s="35" t="s">
        <v>900</v>
      </c>
      <c r="B162" s="36" t="s">
        <v>444</v>
      </c>
      <c r="C162" s="43"/>
      <c r="D162" s="29">
        <v>3697669</v>
      </c>
      <c r="E162" s="29">
        <v>4151302</v>
      </c>
      <c r="F162" s="255" t="str">
        <f>IF(D162="","",VLOOKUP(D162,契約台帳!$A$3:$K$4986,6,FALSE)&amp;VLOOKUP(D162,契約台帳!$A$3:$K$4986,7,FALSE)&amp;VLOOKUP(D162,契約台帳!$A$3:$K$4986,8,FALSE)&amp;VLOOKUP(D162,契約台帳!$A$3:$K$4986,9,FALSE)&amp;VLOOKUP(D162,契約台帳!$A$3:$K$4986,11,FALSE))</f>
        <v>3SNMLBMNNGKBF</v>
      </c>
      <c r="G162" s="256" t="str">
        <f>IF(D162="","",VLOOKUP(F162,製品マスタ!$G$5:$H$4999,2,FALSE))</f>
        <v>S</v>
      </c>
      <c r="H162" s="256" t="str">
        <f>IF(D162="","",VLOOKUP(F162,製品マスタ!$G$5:$K$4999,5,FALSE))</f>
        <v>MNNGKBF</v>
      </c>
      <c r="I162" s="200" t="str">
        <f>IF(D162="","",VLOOKUP(F162,製品マスタ!$G$5:$L$4999,6,FALSE))</f>
        <v>メタルミー　ニューネーマー銀消　Ｂ</v>
      </c>
      <c r="J162" s="30" t="s">
        <v>447</v>
      </c>
      <c r="K162" s="200">
        <f>IF(D162="","",VLOOKUP(D162,契約台帳!$A$3:$L$4986,12,FALSE))</f>
        <v>25</v>
      </c>
      <c r="L162" s="200" t="str">
        <f>IF(D162="","",INDEX(製品マスタ!$Q$5:$Q$4999,MATCH(F162&amp;K162,製品マスタ!$AO$5:$AO$4999,0)))</f>
        <v>X44C</v>
      </c>
      <c r="M162" s="37">
        <v>1005</v>
      </c>
      <c r="N162" s="37">
        <v>16000</v>
      </c>
      <c r="O162" s="45">
        <v>1</v>
      </c>
      <c r="P162" s="54">
        <v>44973</v>
      </c>
      <c r="Q162" s="260">
        <f>IF(D162="","",IF(J162="リード付け",M162,VLOOKUP(D162,契約台帳!$A$3:$N$4986,14,FALSE)))</f>
        <v>1005</v>
      </c>
      <c r="R162" s="261">
        <f>IF(D162="","",IF(J162="リード付け",M162,VLOOKUP(D162,契約台帳!$A$3:$O$4986,15,FALSE)))</f>
        <v>1000</v>
      </c>
      <c r="S162" s="261">
        <f>IF(D162="","",IF(J162="リード付け",N162,VLOOKUP(D162,契約台帳!$A$3:$P$4986,16,FALSE)))</f>
        <v>4000</v>
      </c>
      <c r="T162" s="38">
        <v>4</v>
      </c>
      <c r="U162" s="261">
        <f ca="1">IF(D162="","",IF(OFFSET(D162,-2,0)=D162,"",VLOOKUP(D162,契約台帳!$A$3:$R$4986,18,FALSE)))</f>
        <v>4</v>
      </c>
      <c r="V162" s="256" t="str">
        <f>IF(J162="巻返し",VLOOKUP(F162&amp;K162&amp;M162,製品マスタ!$M$5:$AD$4999,18,FALSE),IF(J162="リード付け","原反コア",IF(J162="スリット",VLOOKUP(F162&amp;K162&amp;Q162,製品マスタ!$N$5:$AD$4999,17,FALSE),"")))</f>
        <v>6ｲﾝﾁSｺｱ</v>
      </c>
      <c r="W162" s="256">
        <f>IF(J162="巻返し",VLOOKUP(F162&amp;K162&amp;M162,製品マスタ!$M$5:$AE$4999,19,FALSE),IF(J162="リード付け","-",IF(J162="スリット",VLOOKUP(F162&amp;K162&amp;Q162,製品マスタ!$N$5:$AE$4999,18,FALSE),"")))</f>
        <v>1015</v>
      </c>
      <c r="X162" s="256">
        <f>IF(D162="","",VLOOKUP(D162,契約台帳!$A$3:$Q$4986,17,FALSE))</f>
        <v>2</v>
      </c>
      <c r="Y162" s="256" t="str">
        <f>IF(D162="","",VLOOKUP(D162,契約台帳!$A$3:$E$4986,5,FALSE))</f>
        <v>リンテック㈱</v>
      </c>
      <c r="Z162" s="54"/>
      <c r="AA162" s="200">
        <f>IFERROR(VLOOKUP(F162&amp;K162&amp;M162,製品マスタ!$M$5:$AM$4999,27,FALSE),"")</f>
        <v>0</v>
      </c>
      <c r="AB162" s="31"/>
      <c r="AC162" s="184"/>
      <c r="AD162" s="51" t="str">
        <f>IF(F162="","",+F162&amp;K162)</f>
        <v>3SNMLBMNNGKBF25</v>
      </c>
      <c r="AE162" s="52">
        <f>+M162*N162*O162/1000</f>
        <v>16080</v>
      </c>
      <c r="AF162" s="41">
        <f>IF(AD162="","",VLOOKUP(AD162,原価マスタ!$A$2:$AJ$1693,13,FALSE))</f>
        <v>98.3</v>
      </c>
      <c r="AG162" s="45">
        <f>IF(AF162="","",+AE162*AF162/100)</f>
        <v>15806.64</v>
      </c>
      <c r="AH162" s="28"/>
      <c r="AI162" s="28"/>
      <c r="AJ162" s="28"/>
      <c r="AK162" s="28"/>
      <c r="AL162" s="12"/>
      <c r="AM162" s="12"/>
      <c r="AN162" s="12"/>
      <c r="AO162" s="12"/>
      <c r="AP162" s="12"/>
      <c r="AQ162" s="13"/>
      <c r="AR162" s="14"/>
    </row>
    <row r="163" spans="1:44" s="16" customFormat="1" ht="30.95" hidden="1" customHeight="1" x14ac:dyDescent="0.2">
      <c r="A163" s="35"/>
      <c r="B163" s="36"/>
      <c r="C163" s="43"/>
      <c r="D163" s="29"/>
      <c r="E163" s="29"/>
      <c r="F163" s="255"/>
      <c r="G163" s="256"/>
      <c r="H163" s="256"/>
      <c r="I163" s="200"/>
      <c r="J163" s="30"/>
      <c r="K163" s="200"/>
      <c r="L163" s="200"/>
      <c r="M163" s="37"/>
      <c r="N163" s="37"/>
      <c r="O163" s="45"/>
      <c r="P163" s="54"/>
      <c r="Q163" s="260"/>
      <c r="R163" s="261"/>
      <c r="S163" s="261"/>
      <c r="T163" s="38"/>
      <c r="U163" s="261"/>
      <c r="V163" s="256"/>
      <c r="W163" s="256"/>
      <c r="X163" s="256"/>
      <c r="Y163" s="256"/>
      <c r="Z163" s="54"/>
      <c r="AA163" s="200"/>
      <c r="AB163" s="31"/>
      <c r="AC163" s="184"/>
      <c r="AD163" s="51"/>
      <c r="AE163" s="52"/>
      <c r="AF163" s="41"/>
      <c r="AG163" s="45"/>
      <c r="AH163" s="28"/>
      <c r="AI163" s="28"/>
      <c r="AJ163" s="28"/>
      <c r="AK163" s="28"/>
      <c r="AL163" s="12"/>
      <c r="AM163" s="12"/>
      <c r="AN163" s="12"/>
      <c r="AO163" s="12"/>
      <c r="AP163" s="12"/>
      <c r="AQ163" s="13"/>
      <c r="AR163" s="14"/>
    </row>
    <row r="164" spans="1:44" s="16" customFormat="1" ht="30.95" hidden="1" customHeight="1" x14ac:dyDescent="0.2">
      <c r="A164" s="35"/>
      <c r="B164" s="36"/>
      <c r="C164" s="43"/>
      <c r="D164" s="29">
        <v>3697657</v>
      </c>
      <c r="E164" s="29">
        <v>4151276</v>
      </c>
      <c r="F164" s="255" t="str">
        <f>IF(D164="","",VLOOKUP(D164,契約台帳!$A$3:$K$4986,6,FALSE)&amp;VLOOKUP(D164,契約台帳!$A$3:$K$4986,7,FALSE)&amp;VLOOKUP(D164,契約台帳!$A$3:$K$4986,8,FALSE)&amp;VLOOKUP(D164,契約台帳!$A$3:$K$4986,9,FALSE)&amp;VLOOKUP(D164,契約台帳!$A$3:$K$4986,11,FALSE))</f>
        <v>3SYMLBMNGKKBF</v>
      </c>
      <c r="G164" s="256" t="str">
        <f>IF(D164="","",VLOOKUP(F164,製品マスタ!$G$5:$H$4999,2,FALSE))</f>
        <v>S</v>
      </c>
      <c r="H164" s="256" t="str">
        <f>IF(D164="","",VLOOKUP(F164,製品マスタ!$G$5:$K$4999,5,FALSE))</f>
        <v>MNGKKBF</v>
      </c>
      <c r="I164" s="200" t="str">
        <f>IF(D164="","",VLOOKUP(F164,製品マスタ!$G$5:$L$4999,6,FALSE))</f>
        <v>メタルミー　ネーマー銀消改　Ｂ</v>
      </c>
      <c r="J164" s="30" t="s">
        <v>447</v>
      </c>
      <c r="K164" s="200">
        <f>IF(D164="","",VLOOKUP(D164,契約台帳!$A$3:$L$4986,12,FALSE))</f>
        <v>25</v>
      </c>
      <c r="L164" s="200" t="str">
        <f>IF(D164="","",INDEX(製品マスタ!$Q$5:$Q$4999,MATCH(F164&amp;K164,製品マスタ!$AO$5:$AO$4999,0)))</f>
        <v>FMATS99</v>
      </c>
      <c r="M164" s="37">
        <v>1120</v>
      </c>
      <c r="N164" s="37">
        <v>8000</v>
      </c>
      <c r="O164" s="45">
        <v>2</v>
      </c>
      <c r="P164" s="54">
        <v>44971</v>
      </c>
      <c r="Q164" s="260">
        <f>IF(D164="","",IF(J164="リード付け",M164,VLOOKUP(D164,契約台帳!$A$3:$N$4986,14,FALSE)))</f>
        <v>1120</v>
      </c>
      <c r="R164" s="261">
        <f>IF(D164="","",IF(J164="リード付け",M164,VLOOKUP(D164,契約台帳!$A$3:$O$4986,15,FALSE)))</f>
        <v>1120</v>
      </c>
      <c r="S164" s="261">
        <f>IF(D164="","",IF(J164="リード付け",N164,VLOOKUP(D164,契約台帳!$A$3:$P$4986,16,FALSE)))</f>
        <v>4000</v>
      </c>
      <c r="T164" s="38">
        <v>4</v>
      </c>
      <c r="U164" s="261">
        <f ca="1">IF(D164="","",IF(OFFSET(D164,-2,0)=D164,"",VLOOKUP(D164,契約台帳!$A$3:$R$4986,18,FALSE)))</f>
        <v>4</v>
      </c>
      <c r="V164" s="256" t="str">
        <f>IF(J164="巻返し",VLOOKUP(F164&amp;K164&amp;M164,製品マスタ!$M$5:$AD$4999,18,FALSE),IF(J164="リード付け","原反コア",IF(J164="スリット",VLOOKUP(F164&amp;K164&amp;Q164,製品マスタ!$N$5:$AD$4999,17,FALSE),"")))</f>
        <v>6ｲﾝﾁSｺｱ</v>
      </c>
      <c r="W164" s="256">
        <f>IF(J164="巻返し",VLOOKUP(F164&amp;K164&amp;M164,製品マスタ!$M$5:$AE$4999,19,FALSE),IF(J164="リード付け","-",IF(J164="スリット",VLOOKUP(F164&amp;K164&amp;Q164,製品マスタ!$N$5:$AE$4999,18,FALSE),"")))</f>
        <v>1125</v>
      </c>
      <c r="X164" s="256">
        <f>IF(D164="","",VLOOKUP(D164,契約台帳!$A$3:$Q$4986,17,FALSE))</f>
        <v>2</v>
      </c>
      <c r="Y164" s="256" t="str">
        <f>IF(D164="","",VLOOKUP(D164,契約台帳!$A$3:$E$4986,5,FALSE))</f>
        <v>リンテック㈱</v>
      </c>
      <c r="Z164" s="54"/>
      <c r="AA164" s="200">
        <f>IFERROR(VLOOKUP(F164&amp;K164&amp;M164,製品マスタ!$M$5:$AM$4999,27,FALSE),"")</f>
        <v>0</v>
      </c>
      <c r="AB164" s="31"/>
      <c r="AC164" s="184"/>
      <c r="AD164" s="51" t="str">
        <f>IF(F164="","",+F164&amp;K164)</f>
        <v>3SYMLBMNGKKBF25</v>
      </c>
      <c r="AE164" s="52">
        <f>+M164*N164*O164/1000</f>
        <v>17920</v>
      </c>
      <c r="AF164" s="41">
        <v>95</v>
      </c>
      <c r="AG164" s="45">
        <f>IF(AF164="","",+AE164*AF164/100)</f>
        <v>17024</v>
      </c>
      <c r="AH164" s="28"/>
      <c r="AI164" s="28"/>
      <c r="AJ164" s="28"/>
      <c r="AK164" s="28"/>
      <c r="AL164" s="12"/>
      <c r="AM164" s="12"/>
      <c r="AN164" s="12"/>
      <c r="AO164" s="12"/>
      <c r="AP164" s="12"/>
      <c r="AQ164" s="13"/>
      <c r="AR164" s="14"/>
    </row>
    <row r="165" spans="1:44" s="16" customFormat="1" ht="30.95" hidden="1" customHeight="1" x14ac:dyDescent="0.2">
      <c r="A165" s="35"/>
      <c r="B165" s="36"/>
      <c r="C165" s="43"/>
      <c r="D165" s="29"/>
      <c r="E165" s="29"/>
      <c r="F165" s="255" t="str">
        <f>IF(D165="","",VLOOKUP(D165,契約台帳!$A$3:$K$4986,6,FALSE)&amp;VLOOKUP(D165,契約台帳!$A$3:$K$4986,7,FALSE)&amp;VLOOKUP(D165,契約台帳!$A$3:$K$4986,8,FALSE)&amp;VLOOKUP(D165,契約台帳!$A$3:$K$4986,9,FALSE)&amp;VLOOKUP(D165,契約台帳!$A$3:$K$4986,11,FALSE))</f>
        <v/>
      </c>
      <c r="G165" s="256" t="str">
        <f>IF(D165="","",VLOOKUP(F165,製品マスタ!$G$5:$H$4999,2,FALSE))</f>
        <v/>
      </c>
      <c r="H165" s="256" t="str">
        <f>IF(D165="","",VLOOKUP(F165,製品マスタ!$G$5:$K$4999,5,FALSE))</f>
        <v/>
      </c>
      <c r="I165" s="200" t="str">
        <f>IF(D165="","",VLOOKUP(F165,製品マスタ!$G$5:$L$4999,6,FALSE))</f>
        <v/>
      </c>
      <c r="J165" s="30"/>
      <c r="K165" s="200" t="str">
        <f>IF(D165="","",VLOOKUP(D165,契約台帳!$A$3:$L$4986,12,FALSE))</f>
        <v/>
      </c>
      <c r="L165" s="200" t="str">
        <f>IF(D165="","",INDEX(製品マスタ!$Q$5:$Q$4999,MATCH(F165&amp;K165,製品マスタ!$AO$5:$AO$4999,0)))</f>
        <v/>
      </c>
      <c r="M165" s="37"/>
      <c r="N165" s="37"/>
      <c r="O165" s="45"/>
      <c r="P165" s="54"/>
      <c r="Q165" s="260" t="str">
        <f>IF(D165="","",IF(J165="リード付け",M165,VLOOKUP(D165,契約台帳!$A$3:$N$4986,14,FALSE)))</f>
        <v/>
      </c>
      <c r="R165" s="261" t="str">
        <f>IF(D165="","",IF(J165="リード付け",M165,VLOOKUP(D165,契約台帳!$A$3:$O$4986,15,FALSE)))</f>
        <v/>
      </c>
      <c r="S165" s="261" t="str">
        <f>IF(D165="","",IF(J165="リード付け",N165,VLOOKUP(D165,契約台帳!$A$3:$P$4986,16,FALSE)))</f>
        <v/>
      </c>
      <c r="T165" s="38"/>
      <c r="U165" s="261" t="str">
        <f ca="1">IF(D165="","",IF(OFFSET(D165,-2,0)=D165,"",VLOOKUP(D165,契約台帳!$A$3:$R$4986,18,FALSE)))</f>
        <v/>
      </c>
      <c r="V165" s="256" t="str">
        <f>IF(J165="巻返し",VLOOKUP(F165&amp;K165&amp;M165,製品マスタ!$M$5:$AD$4999,18,FALSE),IF(J165="リード付け","原反コア",IF(J165="スリット",VLOOKUP(F165&amp;K165&amp;Q165,製品マスタ!$N$5:$AD$4999,17,FALSE),"")))</f>
        <v/>
      </c>
      <c r="W165" s="256" t="str">
        <f>IF(J165="巻返し",VLOOKUP(F165&amp;K165&amp;M165,製品マスタ!$M$5:$AE$4999,19,FALSE),IF(J165="リード付け","-",IF(J165="スリット",VLOOKUP(F165&amp;K165&amp;Q165,製品マスタ!$N$5:$AE$4999,18,FALSE),"")))</f>
        <v/>
      </c>
      <c r="X165" s="256" t="str">
        <f>IF(D165="","",VLOOKUP(D165,契約台帳!$A$3:$Q$4986,17,FALSE))</f>
        <v/>
      </c>
      <c r="Y165" s="256" t="str">
        <f>IF(D165="","",VLOOKUP(D165,契約台帳!$A$3:$E$4986,5,FALSE))</f>
        <v/>
      </c>
      <c r="Z165" s="54"/>
      <c r="AA165" s="200" t="str">
        <f>IFERROR(VLOOKUP(F165&amp;K165&amp;M165,製品マスタ!$M$5:$AM$4999,27,FALSE),"")</f>
        <v/>
      </c>
      <c r="AB165" s="31"/>
      <c r="AC165" s="184"/>
      <c r="AD165" s="51"/>
      <c r="AE165" s="52"/>
      <c r="AF165" s="41"/>
      <c r="AG165" s="45"/>
      <c r="AH165" s="28"/>
      <c r="AI165" s="28"/>
      <c r="AJ165" s="28"/>
      <c r="AK165" s="28"/>
      <c r="AL165" s="12"/>
      <c r="AM165" s="12"/>
      <c r="AN165" s="12"/>
      <c r="AO165" s="12"/>
      <c r="AP165" s="12"/>
      <c r="AQ165" s="13"/>
      <c r="AR165" s="14"/>
    </row>
    <row r="166" spans="1:44" s="16" customFormat="1" ht="30.75" hidden="1" customHeight="1" x14ac:dyDescent="0.2">
      <c r="A166" s="35"/>
      <c r="B166" s="36"/>
      <c r="C166" s="43"/>
      <c r="D166" s="29">
        <v>3698026</v>
      </c>
      <c r="E166" s="29">
        <v>4151298</v>
      </c>
      <c r="F166" s="255" t="str">
        <f>IF(D166="","",VLOOKUP(D166,契約台帳!$A$3:$K$4986,6,FALSE)&amp;VLOOKUP(D166,契約台帳!$A$3:$K$4986,7,FALSE)&amp;VLOOKUP(D166,契約台帳!$A$3:$K$4986,8,FALSE)&amp;VLOOKUP(D166,契約台帳!$A$3:$K$4986,9,FALSE)&amp;VLOOKUP(D166,契約台帳!$A$3:$K$4986,11,FALSE))</f>
        <v>3SNMLBMNQR66F</v>
      </c>
      <c r="G166" s="256" t="str">
        <f>IF(D166="","",VLOOKUP(F166,製品マスタ!$G$5:$H$4999,2,FALSE))</f>
        <v>S</v>
      </c>
      <c r="H166" s="256" t="str">
        <f>IF(D166="","",VLOOKUP(F166,製品マスタ!$G$5:$K$4999,5,FALSE))</f>
        <v>MNQR66F</v>
      </c>
      <c r="I166" s="200" t="str">
        <f>IF(D166="","",VLOOKUP(F166,製品マスタ!$G$5:$L$4999,6,FALSE))</f>
        <v>ＱＲ６６蒸着品</v>
      </c>
      <c r="J166" s="30" t="s">
        <v>447</v>
      </c>
      <c r="K166" s="200">
        <f>IF(D166="","",VLOOKUP(D166,契約台帳!$A$3:$L$4986,12,FALSE))</f>
        <v>25</v>
      </c>
      <c r="L166" s="200" t="str">
        <f>IF(D166="","",INDEX(製品マスタ!$Q$5:$Q$4999,MATCH(F166&amp;K166,製品マスタ!$AO$5:$AO$4999,0)))</f>
        <v>E315</v>
      </c>
      <c r="M166" s="37">
        <v>1100</v>
      </c>
      <c r="N166" s="37">
        <v>6000</v>
      </c>
      <c r="O166" s="45">
        <v>1</v>
      </c>
      <c r="P166" s="54">
        <v>44974</v>
      </c>
      <c r="Q166" s="260">
        <f>IF(D166="","",IF(J166="リード付け",M166,VLOOKUP(D166,契約台帳!$A$3:$N$4986,14,FALSE)))</f>
        <v>1100</v>
      </c>
      <c r="R166" s="261">
        <f>IF(D166="","",IF(J166="リード付け",M166,VLOOKUP(D166,契約台帳!$A$3:$O$4986,15,FALSE)))</f>
        <v>1100</v>
      </c>
      <c r="S166" s="261">
        <f>IF(D166="","",IF(J166="リード付け",N166,VLOOKUP(D166,契約台帳!$A$3:$P$4986,16,FALSE)))</f>
        <v>6000</v>
      </c>
      <c r="T166" s="38">
        <v>1</v>
      </c>
      <c r="U166" s="261">
        <f ca="1">IF(D166="","",IF(OFFSET(D166,-2,0)=D166,"",VLOOKUP(D166,契約台帳!$A$3:$R$4986,18,FALSE)))</f>
        <v>7</v>
      </c>
      <c r="V166" s="256" t="str">
        <f>IF(J166="巻返し",VLOOKUP(F166&amp;K166&amp;M166,製品マスタ!$M$5:$AD$4999,18,FALSE),IF(J166="リード付け","原反コア",IF(J166="スリット",VLOOKUP(F166&amp;K166&amp;Q166,製品マスタ!$N$5:$AD$4999,17,FALSE),"")))</f>
        <v>6ｲﾝﾁMｺｱ</v>
      </c>
      <c r="W166" s="256">
        <f>IF(J166="巻返し",VLOOKUP(F166&amp;K166&amp;M166,製品マスタ!$M$5:$AE$4999,19,FALSE),IF(J166="リード付け","-",IF(J166="スリット",VLOOKUP(F166&amp;K166&amp;Q166,製品マスタ!$N$5:$AE$4999,18,FALSE),"")))</f>
        <v>1110</v>
      </c>
      <c r="X166" s="256">
        <f>IF(D166="","",VLOOKUP(D166,契約台帳!$A$3:$Q$4986,17,FALSE))</f>
        <v>2</v>
      </c>
      <c r="Y166" s="256" t="str">
        <f>IF(D166="","",VLOOKUP(D166,契約台帳!$A$3:$E$4986,5,FALSE))</f>
        <v>リンテック㈱</v>
      </c>
      <c r="Z166" s="54"/>
      <c r="AA166" s="200" t="str">
        <f>IFERROR(VLOOKUP(F166&amp;K166&amp;M166,製品マスタ!$M$5:$AM$4999,27,FALSE),"")</f>
        <v>原反ケース再利用</v>
      </c>
      <c r="AB166" s="31"/>
      <c r="AC166" s="184"/>
      <c r="AD166" s="51" t="str">
        <f>IF(F166="","",+F166&amp;K166)</f>
        <v>3SNMLBMNQR66F25</v>
      </c>
      <c r="AE166" s="52">
        <f>+M166*N166*O166/1000</f>
        <v>6600</v>
      </c>
      <c r="AF166" s="41">
        <f>IF(AD166="","",VLOOKUP(AD166,原価マスタ!$A$2:$AJ$1693,13,FALSE))</f>
        <v>98</v>
      </c>
      <c r="AG166" s="45">
        <f>IF(AF166="","",+AE166*AF166/100)</f>
        <v>6468</v>
      </c>
      <c r="AH166" s="28"/>
      <c r="AI166" s="28"/>
      <c r="AJ166" s="28"/>
      <c r="AK166" s="28"/>
      <c r="AL166" s="12"/>
      <c r="AM166" s="12"/>
      <c r="AN166" s="12"/>
      <c r="AO166" s="12"/>
      <c r="AP166" s="12"/>
      <c r="AQ166" s="13"/>
      <c r="AR166" s="14"/>
    </row>
    <row r="167" spans="1:44" s="16" customFormat="1" ht="30.95" hidden="1" customHeight="1" x14ac:dyDescent="0.2">
      <c r="A167" s="35"/>
      <c r="B167" s="36"/>
      <c r="C167" s="43"/>
      <c r="D167" s="29"/>
      <c r="E167" s="29"/>
      <c r="F167" s="255"/>
      <c r="G167" s="256"/>
      <c r="H167" s="256"/>
      <c r="I167" s="200"/>
      <c r="J167" s="30"/>
      <c r="K167" s="200"/>
      <c r="L167" s="200"/>
      <c r="M167" s="37"/>
      <c r="N167" s="37"/>
      <c r="O167" s="45"/>
      <c r="P167" s="54"/>
      <c r="Q167" s="260"/>
      <c r="R167" s="261"/>
      <c r="S167" s="261"/>
      <c r="T167" s="38"/>
      <c r="U167" s="261"/>
      <c r="V167" s="256"/>
      <c r="W167" s="256"/>
      <c r="X167" s="256"/>
      <c r="Y167" s="256"/>
      <c r="Z167" s="54"/>
      <c r="AA167" s="200"/>
      <c r="AB167" s="31"/>
      <c r="AC167" s="184"/>
      <c r="AD167" s="51"/>
      <c r="AE167" s="52"/>
      <c r="AF167" s="41"/>
      <c r="AG167" s="45"/>
      <c r="AH167" s="28"/>
      <c r="AI167" s="28"/>
      <c r="AJ167" s="28"/>
      <c r="AK167" s="28"/>
      <c r="AL167" s="12"/>
      <c r="AM167" s="12"/>
      <c r="AN167" s="12"/>
      <c r="AO167" s="12"/>
      <c r="AP167" s="12"/>
      <c r="AQ167" s="13"/>
      <c r="AR167" s="14"/>
    </row>
    <row r="168" spans="1:44" s="16" customFormat="1" ht="30.95" hidden="1" customHeight="1" x14ac:dyDescent="0.2">
      <c r="A168" s="35"/>
      <c r="B168" s="36"/>
      <c r="C168" s="43"/>
      <c r="D168" s="29">
        <v>3699538</v>
      </c>
      <c r="E168" s="29">
        <v>4151305</v>
      </c>
      <c r="F168" s="255" t="str">
        <f>IF(D168="","",VLOOKUP(D168,契約台帳!$A$3:$K$4986,6,FALSE)&amp;VLOOKUP(D168,契約台帳!$A$3:$K$4986,7,FALSE)&amp;VLOOKUP(D168,契約台帳!$A$3:$K$4986,8,FALSE)&amp;VLOOKUP(D168,契約台帳!$A$3:$K$4986,9,FALSE)&amp;VLOOKUP(D168,契約台帳!$A$3:$K$4986,11,FALSE))</f>
        <v>3UNMLBKF9BF</v>
      </c>
      <c r="G168" s="256" t="str">
        <f>IF(D168="","",VLOOKUP(F168,製品マスタ!$G$5:$H$4999,2,FALSE))</f>
        <v>U</v>
      </c>
      <c r="H168" s="256" t="str">
        <f>IF(D168="","",VLOOKUP(F168,製品マスタ!$G$5:$K$4999,5,FALSE))</f>
        <v>KF9BF</v>
      </c>
      <c r="I168" s="200" t="str">
        <f>IF(D168="","",VLOOKUP(F168,製品マスタ!$G$5:$L$4999,6,FALSE))</f>
        <v>ＫＦ－９Ｂ</v>
      </c>
      <c r="J168" s="30" t="s">
        <v>463</v>
      </c>
      <c r="K168" s="200">
        <f>IF(D168="","",VLOOKUP(D168,契約台帳!$A$3:$L$4986,12,FALSE))</f>
        <v>9</v>
      </c>
      <c r="L168" s="200" t="str">
        <f>IF(D168="","",INDEX(製品マスタ!$Q$5:$Q$4999,MATCH(F168&amp;K168,製品マスタ!$AO$5:$AO$4999,0)))</f>
        <v>F53</v>
      </c>
      <c r="M168" s="37">
        <v>1400</v>
      </c>
      <c r="N168" s="37">
        <v>12000</v>
      </c>
      <c r="O168" s="45">
        <v>2</v>
      </c>
      <c r="P168" s="54">
        <v>44970</v>
      </c>
      <c r="Q168" s="260">
        <f>IF(D168="","",IF(J168="リード付け",M168,VLOOKUP(D168,契約台帳!$A$3:$N$4986,14,FALSE)))</f>
        <v>1200</v>
      </c>
      <c r="R168" s="261">
        <f>IF(D168="","",IF(J168="リード付け",M168,VLOOKUP(D168,契約台帳!$A$3:$O$4986,15,FALSE)))</f>
        <v>1200</v>
      </c>
      <c r="S168" s="261">
        <f>IF(D168="","",IF(J168="リード付け",N168,VLOOKUP(D168,契約台帳!$A$3:$P$4986,16,FALSE)))</f>
        <v>2000</v>
      </c>
      <c r="T168" s="38">
        <v>12</v>
      </c>
      <c r="U168" s="261">
        <f ca="1">IF(D168="","",IF(OFFSET(D168,-2,0)=D168,"",VLOOKUP(D168,契約台帳!$A$3:$R$4986,18,FALSE)))</f>
        <v>12</v>
      </c>
      <c r="V168" s="256" t="str">
        <f>IF(J168="巻返し",VLOOKUP(F168&amp;K168&amp;M168,製品マスタ!$M$5:$AD$4999,18,FALSE),IF(J168="リード付け","原反コア",IF(J168="スリット",VLOOKUP(F168&amp;K168&amp;Q168,製品マスタ!$N$5:$AD$4999,17,FALSE),"")))</f>
        <v>3ｲﾝﾁMｺｱ</v>
      </c>
      <c r="W168" s="256">
        <f>IF(J168="巻返し",VLOOKUP(F168&amp;K168&amp;M168,製品マスタ!$M$5:$AE$4999,19,FALSE),IF(J168="リード付け","-",IF(J168="スリット",VLOOKUP(F168&amp;K168&amp;Q168,製品マスタ!$N$5:$AE$4999,18,FALSE),"")))</f>
        <v>1220</v>
      </c>
      <c r="X168" s="256">
        <f>IF(D168="","",VLOOKUP(D168,契約台帳!$A$3:$Q$4986,17,FALSE))</f>
        <v>2</v>
      </c>
      <c r="Y168" s="256" t="str">
        <f>IF(D168="","",VLOOKUP(D168,契約台帳!$A$3:$E$4986,5,FALSE))</f>
        <v>栃木カネカ㈱電材検査</v>
      </c>
      <c r="Z168" s="54"/>
      <c r="AA168" s="200" t="s">
        <v>774</v>
      </c>
      <c r="AB168" s="31"/>
      <c r="AC168" s="184"/>
      <c r="AD168" s="51"/>
      <c r="AE168" s="52"/>
      <c r="AF168" s="41"/>
      <c r="AG168" s="45"/>
      <c r="AH168" s="28"/>
      <c r="AI168" s="28"/>
      <c r="AJ168" s="28"/>
      <c r="AK168" s="28"/>
      <c r="AL168" s="12"/>
      <c r="AM168" s="12"/>
      <c r="AN168" s="12"/>
      <c r="AO168" s="12"/>
      <c r="AP168" s="12"/>
      <c r="AQ168" s="13"/>
      <c r="AR168" s="14"/>
    </row>
    <row r="169" spans="1:44" s="16" customFormat="1" ht="30.95" hidden="1" customHeight="1" x14ac:dyDescent="0.2">
      <c r="A169" s="35"/>
      <c r="B169" s="36"/>
      <c r="C169" s="43"/>
      <c r="D169" s="29"/>
      <c r="E169" s="29"/>
      <c r="F169" s="255"/>
      <c r="G169" s="256"/>
      <c r="H169" s="256"/>
      <c r="I169" s="200"/>
      <c r="J169" s="30"/>
      <c r="K169" s="200"/>
      <c r="L169" s="200"/>
      <c r="M169" s="37"/>
      <c r="N169" s="37"/>
      <c r="O169" s="45"/>
      <c r="P169" s="54"/>
      <c r="Q169" s="260"/>
      <c r="R169" s="261"/>
      <c r="S169" s="261"/>
      <c r="T169" s="38"/>
      <c r="U169" s="261"/>
      <c r="V169" s="256"/>
      <c r="W169" s="256"/>
      <c r="X169" s="256"/>
      <c r="Y169" s="256"/>
      <c r="Z169" s="54"/>
      <c r="AA169" s="200"/>
      <c r="AB169" s="31"/>
      <c r="AC169" s="184"/>
      <c r="AD169" s="51"/>
      <c r="AE169" s="52"/>
      <c r="AF169" s="41"/>
      <c r="AG169" s="45"/>
      <c r="AH169" s="28"/>
      <c r="AI169" s="28"/>
      <c r="AJ169" s="28"/>
      <c r="AK169" s="28"/>
      <c r="AL169" s="12"/>
      <c r="AM169" s="12"/>
      <c r="AN169" s="12"/>
      <c r="AO169" s="12"/>
      <c r="AP169" s="12"/>
      <c r="AQ169" s="13"/>
      <c r="AR169" s="14"/>
    </row>
    <row r="170" spans="1:44" s="16" customFormat="1" ht="30.95" hidden="1" customHeight="1" x14ac:dyDescent="0.2">
      <c r="A170" s="35" t="s">
        <v>885</v>
      </c>
      <c r="B170" s="36" t="s">
        <v>445</v>
      </c>
      <c r="C170" s="43"/>
      <c r="D170" s="29"/>
      <c r="E170" s="29"/>
      <c r="F170" s="255" t="str">
        <f>IF(D170="","",VLOOKUP(D170,契約台帳!$A$3:$K$4986,6,FALSE)&amp;VLOOKUP(D170,契約台帳!$A$3:$K$4986,7,FALSE)&amp;VLOOKUP(D170,契約台帳!$A$3:$K$4986,8,FALSE)&amp;VLOOKUP(D170,契約台帳!$A$3:$K$4986,9,FALSE)&amp;VLOOKUP(D170,契約台帳!$A$3:$K$4986,11,FALSE))</f>
        <v/>
      </c>
      <c r="G170" s="256" t="str">
        <f>IF(D170="","",VLOOKUP(F170,製品マスタ!$G$5:$H$4999,2,FALSE))</f>
        <v/>
      </c>
      <c r="H170" s="256" t="str">
        <f>IF(D170="","",VLOOKUP(F170,製品マスタ!$G$5:$K$4999,5,FALSE))</f>
        <v/>
      </c>
      <c r="I170" s="200" t="str">
        <f>IF(D170="","",VLOOKUP(F170,製品マスタ!$G$5:$L$4999,6,FALSE))</f>
        <v/>
      </c>
      <c r="J170" s="30" t="s">
        <v>448</v>
      </c>
      <c r="K170" s="200" t="str">
        <f>IF(D170="","",VLOOKUP(D170,契約台帳!$A$3:$L$4986,12,FALSE))</f>
        <v/>
      </c>
      <c r="L170" s="200" t="str">
        <f>IF(D170="","",INDEX(製品マスタ!$Q$5:$Q$4999,MATCH(F170&amp;K170,製品マスタ!$AO$5:$AO$4999,0)))</f>
        <v/>
      </c>
      <c r="M170" s="37"/>
      <c r="N170" s="37"/>
      <c r="O170" s="45"/>
      <c r="P170" s="54"/>
      <c r="Q170" s="260" t="str">
        <f>IF(D170="","",IF(J170="リード付け",M170,VLOOKUP(D170,契約台帳!$A$3:$N$4986,14,FALSE)))</f>
        <v/>
      </c>
      <c r="R170" s="261" t="str">
        <f>IF(D170="","",IF(J170="リード付け",M170,VLOOKUP(D170,契約台帳!$A$3:$O$4986,15,FALSE)))</f>
        <v/>
      </c>
      <c r="S170" s="261" t="str">
        <f>IF(D170="","",IF(J170="リード付け",N170,VLOOKUP(D170,契約台帳!$A$3:$P$4986,16,FALSE)))</f>
        <v/>
      </c>
      <c r="T170" s="38"/>
      <c r="U170" s="261" t="str">
        <f ca="1">IF(D170="","",IF(OFFSET(D170,-2,0)=D170,"",VLOOKUP(D170,契約台帳!$A$3:$R$4986,18,FALSE)))</f>
        <v/>
      </c>
      <c r="V170" s="256" t="str">
        <f>IF(J170="巻返し",VLOOKUP(F170&amp;K170&amp;M170,製品マスタ!$M$5:$AD$4999,18,FALSE),IF(J170="リード付け","原反コア",IF(J170="スリット",VLOOKUP(F170&amp;K170&amp;Q170,製品マスタ!$N$5:$AD$4999,17,FALSE),"")))</f>
        <v/>
      </c>
      <c r="W170" s="256" t="str">
        <f>IF(J170="巻返し",VLOOKUP(F170&amp;K170&amp;M170,製品マスタ!$M$5:$AE$4999,19,FALSE),IF(J170="リード付け","-",IF(J170="スリット",VLOOKUP(F170&amp;K170&amp;Q170,製品マスタ!$N$5:$AE$4999,18,FALSE),"")))</f>
        <v/>
      </c>
      <c r="X170" s="256" t="str">
        <f>IF(D170="","",VLOOKUP(D170,契約台帳!$A$3:$Q$4986,17,FALSE))</f>
        <v/>
      </c>
      <c r="Y170" s="256" t="str">
        <f>IF(D170="","",VLOOKUP(D170,契約台帳!$A$3:$E$4986,5,FALSE))</f>
        <v/>
      </c>
      <c r="Z170" s="54"/>
      <c r="AA170" s="200" t="str">
        <f>IFERROR(VLOOKUP(F170&amp;K170&amp;M170,製品マスタ!$M$5:$AM$4999,27,FALSE),"")</f>
        <v/>
      </c>
      <c r="AB170" s="31"/>
      <c r="AC170" s="184"/>
      <c r="AD170" s="51"/>
      <c r="AE170" s="52"/>
      <c r="AF170" s="41"/>
      <c r="AG170" s="45"/>
      <c r="AH170" s="28"/>
      <c r="AI170" s="28"/>
      <c r="AJ170" s="28"/>
      <c r="AK170" s="28"/>
      <c r="AL170" s="12"/>
      <c r="AM170" s="12"/>
      <c r="AN170" s="12"/>
      <c r="AO170" s="12"/>
      <c r="AP170" s="12"/>
      <c r="AQ170" s="13"/>
      <c r="AR170" s="14"/>
    </row>
    <row r="171" spans="1:44" s="16" customFormat="1" ht="30.95" hidden="1" customHeight="1" x14ac:dyDescent="0.2">
      <c r="A171" s="35"/>
      <c r="B171" s="36"/>
      <c r="C171" s="43"/>
      <c r="D171" s="29"/>
      <c r="E171" s="29"/>
      <c r="F171" s="255" t="str">
        <f>IF(D171="","",VLOOKUP(D171,契約台帳!$A$3:$K$4986,6,FALSE)&amp;VLOOKUP(D171,契約台帳!$A$3:$K$4986,7,FALSE)&amp;VLOOKUP(D171,契約台帳!$A$3:$K$4986,8,FALSE)&amp;VLOOKUP(D171,契約台帳!$A$3:$K$4986,9,FALSE)&amp;VLOOKUP(D171,契約台帳!$A$3:$K$4986,11,FALSE))</f>
        <v/>
      </c>
      <c r="G171" s="256" t="str">
        <f>IF(D171="","",VLOOKUP(F171,製品マスタ!$G$5:$H$4999,2,FALSE))</f>
        <v/>
      </c>
      <c r="H171" s="256" t="str">
        <f>IF(D171="","",VLOOKUP(F171,製品マスタ!$G$5:$K$4999,5,FALSE))</f>
        <v/>
      </c>
      <c r="I171" s="200" t="str">
        <f>IF(D171="","",VLOOKUP(F171,製品マスタ!$G$5:$L$4999,6,FALSE))</f>
        <v/>
      </c>
      <c r="J171" s="30"/>
      <c r="K171" s="200" t="str">
        <f>IF(D171="","",VLOOKUP(D171,契約台帳!$A$3:$L$4986,12,FALSE))</f>
        <v/>
      </c>
      <c r="L171" s="200" t="str">
        <f>IF(D171="","",INDEX(製品マスタ!$Q$5:$Q$4999,MATCH(F171&amp;K171,製品マスタ!$AO$5:$AO$4999,0)))</f>
        <v/>
      </c>
      <c r="M171" s="37"/>
      <c r="N171" s="37"/>
      <c r="O171" s="45"/>
      <c r="P171" s="54"/>
      <c r="Q171" s="260" t="str">
        <f>IF(D171="","",IF(J171="リード付け",M171,VLOOKUP(D171,契約台帳!$A$3:$N$4986,14,FALSE)))</f>
        <v/>
      </c>
      <c r="R171" s="261" t="str">
        <f>IF(D171="","",IF(J171="リード付け",M171,VLOOKUP(D171,契約台帳!$A$3:$O$4986,15,FALSE)))</f>
        <v/>
      </c>
      <c r="S171" s="261" t="str">
        <f>IF(D171="","",IF(J171="リード付け",N171,VLOOKUP(D171,契約台帳!$A$3:$P$4986,16,FALSE)))</f>
        <v/>
      </c>
      <c r="T171" s="38"/>
      <c r="U171" s="261" t="str">
        <f ca="1">IF(D171="","",IF(OFFSET(D171,-2,0)=D171,"",VLOOKUP(D171,契約台帳!$A$3:$R$4986,18,FALSE)))</f>
        <v/>
      </c>
      <c r="V171" s="256" t="str">
        <f>IF(J171="巻返し",VLOOKUP(F171&amp;K171&amp;M171,製品マスタ!$M$5:$AD$4999,18,FALSE),IF(J171="リード付け","原反コア",IF(J171="スリット",VLOOKUP(F171&amp;K171&amp;Q171,製品マスタ!$N$5:$AD$4999,17,FALSE),"")))</f>
        <v/>
      </c>
      <c r="W171" s="256" t="str">
        <f>IF(J171="巻返し",VLOOKUP(F171&amp;K171&amp;M171,製品マスタ!$M$5:$AE$4999,19,FALSE),IF(J171="リード付け","-",IF(J171="スリット",VLOOKUP(F171&amp;K171&amp;Q171,製品マスタ!$N$5:$AE$4999,18,FALSE),"")))</f>
        <v/>
      </c>
      <c r="X171" s="256" t="str">
        <f>IF(D171="","",VLOOKUP(D171,契約台帳!$A$3:$Q$4986,17,FALSE))</f>
        <v/>
      </c>
      <c r="Y171" s="256" t="str">
        <f>IF(D171="","",VLOOKUP(D171,契約台帳!$A$3:$E$4986,5,FALSE))</f>
        <v/>
      </c>
      <c r="Z171" s="54"/>
      <c r="AA171" s="200" t="str">
        <f>IFERROR(VLOOKUP(F171&amp;K171&amp;M171,製品マスタ!$M$5:$AM$4999,27,FALSE),"")</f>
        <v/>
      </c>
      <c r="AB171" s="31"/>
      <c r="AC171" s="184"/>
      <c r="AD171" s="51"/>
      <c r="AE171" s="52"/>
      <c r="AF171" s="41"/>
      <c r="AG171" s="45"/>
      <c r="AH171" s="28"/>
      <c r="AI171" s="28"/>
      <c r="AJ171" s="28"/>
      <c r="AK171" s="28"/>
      <c r="AL171" s="12"/>
      <c r="AM171" s="12"/>
      <c r="AN171" s="12"/>
      <c r="AO171" s="12"/>
      <c r="AP171" s="12"/>
      <c r="AQ171" s="13"/>
      <c r="AR171" s="14"/>
    </row>
    <row r="172" spans="1:44" s="16" customFormat="1" ht="30.95" hidden="1" customHeight="1" x14ac:dyDescent="0.2">
      <c r="A172" s="35" t="s">
        <v>886</v>
      </c>
      <c r="B172" s="36" t="s">
        <v>446</v>
      </c>
      <c r="C172" s="43"/>
      <c r="D172" s="29"/>
      <c r="E172" s="29"/>
      <c r="F172" s="255" t="str">
        <f>IF(D172="","",VLOOKUP(D172,契約台帳!$A$3:$K$4986,6,FALSE)&amp;VLOOKUP(D172,契約台帳!$A$3:$K$4986,7,FALSE)&amp;VLOOKUP(D172,契約台帳!$A$3:$K$4986,8,FALSE)&amp;VLOOKUP(D172,契約台帳!$A$3:$K$4986,9,FALSE)&amp;VLOOKUP(D172,契約台帳!$A$3:$K$4986,11,FALSE))</f>
        <v/>
      </c>
      <c r="G172" s="256" t="str">
        <f>IF(D172="","",VLOOKUP(F172,製品マスタ!$G$5:$H$4999,2,FALSE))</f>
        <v/>
      </c>
      <c r="H172" s="256" t="str">
        <f>IF(D172="","",VLOOKUP(F172,製品マスタ!$G$5:$K$4999,5,FALSE))</f>
        <v/>
      </c>
      <c r="I172" s="200" t="str">
        <f>IF(D172="","",VLOOKUP(F172,製品マスタ!$G$5:$L$4999,6,FALSE))</f>
        <v/>
      </c>
      <c r="J172" s="30" t="s">
        <v>448</v>
      </c>
      <c r="K172" s="200" t="str">
        <f>IF(D172="","",VLOOKUP(D172,契約台帳!$A$3:$L$4986,12,FALSE))</f>
        <v/>
      </c>
      <c r="L172" s="200" t="str">
        <f>IF(D172="","",INDEX(製品マスタ!$Q$5:$Q$4999,MATCH(F172&amp;K172,製品マスタ!$AO$5:$AO$4999,0)))</f>
        <v/>
      </c>
      <c r="M172" s="37"/>
      <c r="N172" s="37"/>
      <c r="O172" s="45"/>
      <c r="P172" s="54"/>
      <c r="Q172" s="260" t="str">
        <f>IF(D172="","",IF(J172="リード付け",M172,VLOOKUP(D172,契約台帳!$A$3:$N$4986,14,FALSE)))</f>
        <v/>
      </c>
      <c r="R172" s="261" t="str">
        <f>IF(D172="","",IF(J172="リード付け",M172,VLOOKUP(D172,契約台帳!$A$3:$O$4986,15,FALSE)))</f>
        <v/>
      </c>
      <c r="S172" s="261" t="str">
        <f>IF(D172="","",IF(J172="リード付け",N172,VLOOKUP(D172,契約台帳!$A$3:$P$4986,16,FALSE)))</f>
        <v/>
      </c>
      <c r="T172" s="38"/>
      <c r="U172" s="261" t="str">
        <f ca="1">IF(D172="","",IF(OFFSET(D172,-2,0)=D172,"",VLOOKUP(D172,契約台帳!$A$3:$R$4986,18,FALSE)))</f>
        <v/>
      </c>
      <c r="V172" s="256" t="str">
        <f>IF(J172="巻返し",VLOOKUP(F172&amp;K172&amp;M172,製品マスタ!$M$5:$AD$4999,18,FALSE),IF(J172="リード付け","原反コア",IF(J172="スリット",VLOOKUP(F172&amp;K172&amp;Q172,製品マスタ!$N$5:$AD$4999,17,FALSE),"")))</f>
        <v/>
      </c>
      <c r="W172" s="256" t="str">
        <f>IF(J172="巻返し",VLOOKUP(F172&amp;K172&amp;M172,製品マスタ!$M$5:$AE$4999,19,FALSE),IF(J172="リード付け","-",IF(J172="スリット",VLOOKUP(F172&amp;K172&amp;Q172,製品マスタ!$N$5:$AE$4999,18,FALSE),"")))</f>
        <v/>
      </c>
      <c r="X172" s="256" t="str">
        <f>IF(D172="","",VLOOKUP(D172,契約台帳!$A$3:$Q$4986,17,FALSE))</f>
        <v/>
      </c>
      <c r="Y172" s="256" t="str">
        <f>IF(D172="","",VLOOKUP(D172,契約台帳!$A$3:$E$4986,5,FALSE))</f>
        <v/>
      </c>
      <c r="Z172" s="54"/>
      <c r="AA172" s="200" t="str">
        <f>IFERROR(VLOOKUP(F172&amp;K172&amp;M172,製品マスタ!$M$5:$AM$4999,27,FALSE),"")</f>
        <v/>
      </c>
      <c r="AB172" s="31"/>
      <c r="AC172" s="184"/>
      <c r="AD172" s="51"/>
      <c r="AE172" s="52"/>
      <c r="AF172" s="41"/>
      <c r="AG172" s="45"/>
      <c r="AH172" s="28"/>
      <c r="AI172" s="28"/>
      <c r="AJ172" s="28"/>
      <c r="AK172" s="28"/>
      <c r="AL172" s="12"/>
      <c r="AM172" s="12"/>
      <c r="AN172" s="12"/>
      <c r="AO172" s="12"/>
      <c r="AP172" s="12"/>
      <c r="AQ172" s="13"/>
      <c r="AR172" s="14"/>
    </row>
    <row r="173" spans="1:44" s="16" customFormat="1" ht="30.95" hidden="1" customHeight="1" x14ac:dyDescent="0.2">
      <c r="A173" s="35"/>
      <c r="B173" s="36"/>
      <c r="C173" s="43"/>
      <c r="D173" s="29"/>
      <c r="E173" s="29"/>
      <c r="F173" s="255"/>
      <c r="G173" s="256"/>
      <c r="H173" s="256"/>
      <c r="I173" s="200"/>
      <c r="J173" s="30"/>
      <c r="K173" s="200"/>
      <c r="L173" s="200"/>
      <c r="M173" s="37"/>
      <c r="N173" s="37"/>
      <c r="O173" s="45"/>
      <c r="P173" s="54"/>
      <c r="Q173" s="260"/>
      <c r="R173" s="261"/>
      <c r="S173" s="261"/>
      <c r="T173" s="38"/>
      <c r="U173" s="261"/>
      <c r="V173" s="256"/>
      <c r="W173" s="256"/>
      <c r="X173" s="256"/>
      <c r="Y173" s="256"/>
      <c r="Z173" s="54"/>
      <c r="AA173" s="200"/>
      <c r="AB173" s="31"/>
      <c r="AC173" s="184"/>
      <c r="AD173" s="51"/>
      <c r="AE173" s="52"/>
      <c r="AF173" s="41"/>
      <c r="AG173" s="45"/>
      <c r="AH173" s="28"/>
      <c r="AI173" s="28"/>
      <c r="AJ173" s="28"/>
      <c r="AK173" s="28"/>
      <c r="AL173" s="12"/>
      <c r="AM173" s="12"/>
      <c r="AN173" s="12"/>
      <c r="AO173" s="12"/>
      <c r="AP173" s="12"/>
      <c r="AQ173" s="13"/>
      <c r="AR173" s="14"/>
    </row>
    <row r="174" spans="1:44" s="16" customFormat="1" ht="30.75" hidden="1" customHeight="1" x14ac:dyDescent="0.2">
      <c r="A174" s="35" t="s">
        <v>901</v>
      </c>
      <c r="B174" s="36" t="s">
        <v>462</v>
      </c>
      <c r="C174" s="43"/>
      <c r="D174" s="29">
        <v>3698026</v>
      </c>
      <c r="E174" s="29">
        <v>4151298</v>
      </c>
      <c r="F174" s="255" t="str">
        <f>IF(D174="","",VLOOKUP(D174,契約台帳!$A$3:$K$4986,6,FALSE)&amp;VLOOKUP(D174,契約台帳!$A$3:$K$4986,7,FALSE)&amp;VLOOKUP(D174,契約台帳!$A$3:$K$4986,8,FALSE)&amp;VLOOKUP(D174,契約台帳!$A$3:$K$4986,9,FALSE)&amp;VLOOKUP(D174,契約台帳!$A$3:$K$4986,11,FALSE))</f>
        <v>3SNMLBMNQR66F</v>
      </c>
      <c r="G174" s="256" t="str">
        <f>IF(D174="","",VLOOKUP(F174,製品マスタ!$G$5:$H$4999,2,FALSE))</f>
        <v>S</v>
      </c>
      <c r="H174" s="256" t="str">
        <f>IF(D174="","",VLOOKUP(F174,製品マスタ!$G$5:$K$4999,5,FALSE))</f>
        <v>MNQR66F</v>
      </c>
      <c r="I174" s="200" t="str">
        <f>IF(D174="","",VLOOKUP(F174,製品マスタ!$G$5:$L$4999,6,FALSE))</f>
        <v>ＱＲ６６蒸着品</v>
      </c>
      <c r="J174" s="30" t="s">
        <v>447</v>
      </c>
      <c r="K174" s="200">
        <f>IF(D174="","",VLOOKUP(D174,契約台帳!$A$3:$L$4986,12,FALSE))</f>
        <v>25</v>
      </c>
      <c r="L174" s="200" t="str">
        <f>IF(D174="","",INDEX(製品マスタ!$Q$5:$Q$4999,MATCH(F174&amp;K174,製品マスタ!$AO$5:$AO$4999,0)))</f>
        <v>E315</v>
      </c>
      <c r="M174" s="37">
        <v>1100</v>
      </c>
      <c r="N174" s="37">
        <v>6000</v>
      </c>
      <c r="O174" s="45">
        <v>6</v>
      </c>
      <c r="P174" s="54">
        <v>44974</v>
      </c>
      <c r="Q174" s="260">
        <f>IF(D174="","",IF(J174="リード付け",M174,VLOOKUP(D174,契約台帳!$A$3:$N$4986,14,FALSE)))</f>
        <v>1100</v>
      </c>
      <c r="R174" s="261">
        <f>IF(D174="","",IF(J174="リード付け",M174,VLOOKUP(D174,契約台帳!$A$3:$O$4986,15,FALSE)))</f>
        <v>1100</v>
      </c>
      <c r="S174" s="261">
        <f>IF(D174="","",IF(J174="リード付け",N174,VLOOKUP(D174,契約台帳!$A$3:$P$4986,16,FALSE)))</f>
        <v>6000</v>
      </c>
      <c r="T174" s="38">
        <v>6</v>
      </c>
      <c r="U174" s="261">
        <f ca="1">IF(D174="","",IF(OFFSET(D174,-2,0)=D174,"",VLOOKUP(D174,契約台帳!$A$3:$R$4986,18,FALSE)))</f>
        <v>7</v>
      </c>
      <c r="V174" s="256" t="str">
        <f>IF(J174="巻返し",VLOOKUP(F174&amp;K174&amp;M174,製品マスタ!$M$5:$AD$4999,18,FALSE),IF(J174="リード付け","原反コア",IF(J174="スリット",VLOOKUP(F174&amp;K174&amp;Q174,製品マスタ!$N$5:$AD$4999,17,FALSE),"")))</f>
        <v>6ｲﾝﾁMｺｱ</v>
      </c>
      <c r="W174" s="256">
        <f>IF(J174="巻返し",VLOOKUP(F174&amp;K174&amp;M174,製品マスタ!$M$5:$AE$4999,19,FALSE),IF(J174="リード付け","-",IF(J174="スリット",VLOOKUP(F174&amp;K174&amp;Q174,製品マスタ!$N$5:$AE$4999,18,FALSE),"")))</f>
        <v>1110</v>
      </c>
      <c r="X174" s="256">
        <f>IF(D174="","",VLOOKUP(D174,契約台帳!$A$3:$Q$4986,17,FALSE))</f>
        <v>2</v>
      </c>
      <c r="Y174" s="256" t="str">
        <f>IF(D174="","",VLOOKUP(D174,契約台帳!$A$3:$E$4986,5,FALSE))</f>
        <v>リンテック㈱</v>
      </c>
      <c r="Z174" s="54"/>
      <c r="AA174" s="200" t="str">
        <f>IFERROR(VLOOKUP(F174&amp;K174&amp;M174,製品マスタ!$M$5:$AM$4999,27,FALSE),"")</f>
        <v>原反ケース再利用</v>
      </c>
      <c r="AB174" s="31"/>
      <c r="AC174" s="184"/>
      <c r="AD174" s="51" t="str">
        <f>IF(F174="","",+F174&amp;K174)</f>
        <v>3SNMLBMNQR66F25</v>
      </c>
      <c r="AE174" s="52">
        <f>+M174*N174*O174/1000</f>
        <v>39600</v>
      </c>
      <c r="AF174" s="41">
        <f>IF(AD174="","",VLOOKUP(AD174,原価マスタ!$A$2:$AJ$1693,13,FALSE))</f>
        <v>98</v>
      </c>
      <c r="AG174" s="45">
        <f>IF(AF174="","",+AE174*AF174/100)</f>
        <v>38808</v>
      </c>
      <c r="AH174" s="28"/>
      <c r="AI174" s="28"/>
      <c r="AJ174" s="28"/>
      <c r="AK174" s="28"/>
      <c r="AL174" s="12"/>
      <c r="AM174" s="12"/>
      <c r="AN174" s="12"/>
      <c r="AO174" s="12"/>
      <c r="AP174" s="12"/>
      <c r="AQ174" s="13"/>
      <c r="AR174" s="14"/>
    </row>
    <row r="175" spans="1:44" s="16" customFormat="1" ht="30.95" hidden="1" customHeight="1" x14ac:dyDescent="0.2">
      <c r="A175" s="35"/>
      <c r="B175" s="36"/>
      <c r="C175" s="43"/>
      <c r="D175" s="29"/>
      <c r="E175" s="29"/>
      <c r="F175" s="255"/>
      <c r="G175" s="256"/>
      <c r="H175" s="256"/>
      <c r="I175" s="200"/>
      <c r="J175" s="30"/>
      <c r="K175" s="200"/>
      <c r="L175" s="200"/>
      <c r="M175" s="37"/>
      <c r="N175" s="37"/>
      <c r="O175" s="45"/>
      <c r="P175" s="54"/>
      <c r="Q175" s="260"/>
      <c r="R175" s="261"/>
      <c r="S175" s="261"/>
      <c r="T175" s="38"/>
      <c r="U175" s="261"/>
      <c r="V175" s="256"/>
      <c r="W175" s="256"/>
      <c r="X175" s="256"/>
      <c r="Y175" s="256"/>
      <c r="Z175" s="54"/>
      <c r="AA175" s="200"/>
      <c r="AB175" s="31"/>
      <c r="AC175" s="184"/>
      <c r="AD175" s="51"/>
      <c r="AE175" s="52"/>
      <c r="AF175" s="41"/>
      <c r="AG175" s="45"/>
      <c r="AH175" s="28"/>
      <c r="AI175" s="28"/>
      <c r="AJ175" s="28"/>
      <c r="AK175" s="28"/>
      <c r="AL175" s="12"/>
      <c r="AM175" s="12"/>
      <c r="AN175" s="12"/>
      <c r="AO175" s="12"/>
      <c r="AP175" s="12"/>
      <c r="AQ175" s="13"/>
      <c r="AR175" s="14"/>
    </row>
    <row r="176" spans="1:44" s="16" customFormat="1" ht="30.95" hidden="1" customHeight="1" x14ac:dyDescent="0.2">
      <c r="A176" s="35"/>
      <c r="B176" s="36"/>
      <c r="C176" s="43"/>
      <c r="D176" s="29">
        <v>3697676</v>
      </c>
      <c r="E176" s="29">
        <v>4151299</v>
      </c>
      <c r="F176" s="255" t="str">
        <f>IF(D176="","",VLOOKUP(D176,契約台帳!$A$3:$K$4986,6,FALSE)&amp;VLOOKUP(D176,契約台帳!$A$3:$K$4986,7,FALSE)&amp;VLOOKUP(D176,契約台帳!$A$3:$K$4986,8,FALSE)&amp;VLOOKUP(D176,契約台帳!$A$3:$K$4986,9,FALSE)&amp;VLOOKUP(D176,契約台帳!$A$3:$K$4986,11,FALSE))</f>
        <v>3SNMLBMNQR66F</v>
      </c>
      <c r="G176" s="256" t="str">
        <f>IF(D176="","",VLOOKUP(F176,製品マスタ!$G$5:$H$4999,2,FALSE))</f>
        <v>S</v>
      </c>
      <c r="H176" s="256" t="str">
        <f>IF(D176="","",VLOOKUP(F176,製品マスタ!$G$5:$K$4999,5,FALSE))</f>
        <v>MNQR66F</v>
      </c>
      <c r="I176" s="200" t="str">
        <f>IF(D176="","",VLOOKUP(F176,製品マスタ!$G$5:$L$4999,6,FALSE))</f>
        <v>ＱＲ６６蒸着品</v>
      </c>
      <c r="J176" s="30" t="s">
        <v>447</v>
      </c>
      <c r="K176" s="200">
        <f>IF(D176="","",VLOOKUP(D176,契約台帳!$A$3:$L$4986,12,FALSE))</f>
        <v>25</v>
      </c>
      <c r="L176" s="200" t="str">
        <f>IF(D176="","",INDEX(製品マスタ!$Q$5:$Q$4999,MATCH(F176&amp;K176,製品マスタ!$AO$5:$AO$4999,0)))</f>
        <v>E315</v>
      </c>
      <c r="M176" s="37">
        <v>1100</v>
      </c>
      <c r="N176" s="37">
        <v>24000</v>
      </c>
      <c r="O176" s="45">
        <v>1</v>
      </c>
      <c r="P176" s="54">
        <v>44970</v>
      </c>
      <c r="Q176" s="260">
        <f>IF(D176="","",IF(J176="リード付け",M176,VLOOKUP(D176,契約台帳!$A$3:$N$4986,14,FALSE)))</f>
        <v>1100</v>
      </c>
      <c r="R176" s="261">
        <f>IF(D176="","",IF(J176="リード付け",M176,VLOOKUP(D176,契約台帳!$A$3:$O$4986,15,FALSE)))</f>
        <v>1100</v>
      </c>
      <c r="S176" s="261">
        <f>IF(D176="","",IF(J176="リード付け",N176,VLOOKUP(D176,契約台帳!$A$3:$P$4986,16,FALSE)))</f>
        <v>6000</v>
      </c>
      <c r="T176" s="38">
        <v>4</v>
      </c>
      <c r="U176" s="261">
        <f ca="1">IF(D176="","",IF(OFFSET(D176,-2,0)=D176,"",VLOOKUP(D176,契約台帳!$A$3:$R$4986,18,FALSE)))</f>
        <v>20</v>
      </c>
      <c r="V176" s="256" t="str">
        <f>IF(J176="巻返し",VLOOKUP(F176&amp;K176&amp;M176,製品マスタ!$M$5:$AD$4999,18,FALSE),IF(J176="リード付け","原反コア",IF(J176="スリット",VLOOKUP(F176&amp;K176&amp;Q176,製品マスタ!$N$5:$AD$4999,17,FALSE),"")))</f>
        <v>6ｲﾝﾁMｺｱ</v>
      </c>
      <c r="W176" s="256">
        <f>IF(J176="巻返し",VLOOKUP(F176&amp;K176&amp;M176,製品マスタ!$M$5:$AE$4999,19,FALSE),IF(J176="リード付け","-",IF(J176="スリット",VLOOKUP(F176&amp;K176&amp;Q176,製品マスタ!$N$5:$AE$4999,18,FALSE),"")))</f>
        <v>1110</v>
      </c>
      <c r="X176" s="256">
        <f>IF(D176="","",VLOOKUP(D176,契約台帳!$A$3:$Q$4986,17,FALSE))</f>
        <v>2</v>
      </c>
      <c r="Y176" s="256" t="str">
        <f>IF(D176="","",VLOOKUP(D176,契約台帳!$A$3:$E$4986,5,FALSE))</f>
        <v>リンテック㈱</v>
      </c>
      <c r="Z176" s="54"/>
      <c r="AA176" s="200" t="str">
        <f>IFERROR(VLOOKUP(F176&amp;K176&amp;M176,製品マスタ!$M$5:$AM$4999,27,FALSE),"")</f>
        <v>原反ケース再利用</v>
      </c>
      <c r="AB176" s="31"/>
      <c r="AC176" s="184"/>
      <c r="AD176" s="51" t="str">
        <f>IF(F176="","",+F176&amp;K176)</f>
        <v>3SNMLBMNQR66F25</v>
      </c>
      <c r="AE176" s="52">
        <f>+M176*N176*O176/1000</f>
        <v>26400</v>
      </c>
      <c r="AF176" s="41">
        <f>IF(AD176="","",VLOOKUP(AD176,原価マスタ!$A$2:$AJ$1693,13,FALSE))</f>
        <v>98</v>
      </c>
      <c r="AG176" s="45">
        <f>IF(AF176="","",+AE176*AF176/100)</f>
        <v>25872</v>
      </c>
      <c r="AH176" s="28"/>
      <c r="AI176" s="28"/>
      <c r="AJ176" s="28"/>
      <c r="AK176" s="28"/>
      <c r="AL176" s="12"/>
      <c r="AM176" s="12"/>
      <c r="AN176" s="12"/>
      <c r="AO176" s="12"/>
      <c r="AP176" s="12"/>
      <c r="AQ176" s="13"/>
      <c r="AR176" s="14"/>
    </row>
    <row r="177" spans="1:44" s="16" customFormat="1" ht="30.95" hidden="1" customHeight="1" x14ac:dyDescent="0.2">
      <c r="A177" s="35"/>
      <c r="B177" s="36"/>
      <c r="C177" s="43"/>
      <c r="D177" s="29"/>
      <c r="E177" s="29"/>
      <c r="F177" s="255" t="str">
        <f>IF(D177="","",VLOOKUP(D177,契約台帳!$A$3:$K$4986,6,FALSE)&amp;VLOOKUP(D177,契約台帳!$A$3:$K$4986,7,FALSE)&amp;VLOOKUP(D177,契約台帳!$A$3:$K$4986,8,FALSE)&amp;VLOOKUP(D177,契約台帳!$A$3:$K$4986,9,FALSE)&amp;VLOOKUP(D177,契約台帳!$A$3:$K$4986,11,FALSE))</f>
        <v/>
      </c>
      <c r="G177" s="256" t="str">
        <f>IF(D177="","",VLOOKUP(F177,製品マスタ!$G$5:$H$4999,2,FALSE))</f>
        <v/>
      </c>
      <c r="H177" s="256" t="str">
        <f>IF(D177="","",VLOOKUP(F177,製品マスタ!$G$5:$K$4999,5,FALSE))</f>
        <v/>
      </c>
      <c r="I177" s="200" t="str">
        <f>IF(D177="","",VLOOKUP(F177,製品マスタ!$G$5:$L$4999,6,FALSE))</f>
        <v/>
      </c>
      <c r="J177" s="30"/>
      <c r="K177" s="200" t="str">
        <f>IF(D177="","",VLOOKUP(D177,契約台帳!$A$3:$L$4986,12,FALSE))</f>
        <v/>
      </c>
      <c r="L177" s="200" t="str">
        <f>IF(D177="","",INDEX(製品マスタ!$Q$5:$Q$4999,MATCH(F177&amp;K177,製品マスタ!$AO$5:$AO$4999,0)))</f>
        <v/>
      </c>
      <c r="M177" s="37"/>
      <c r="N177" s="37"/>
      <c r="O177" s="45"/>
      <c r="P177" s="54"/>
      <c r="Q177" s="260" t="str">
        <f>IF(D177="","",IF(J177="リード付け",M177,VLOOKUP(D177,契約台帳!$A$3:$N$4986,14,FALSE)))</f>
        <v/>
      </c>
      <c r="R177" s="261" t="str">
        <f>IF(D177="","",IF(J177="リード付け",M177,VLOOKUP(D177,契約台帳!$A$3:$O$4986,15,FALSE)))</f>
        <v/>
      </c>
      <c r="S177" s="261" t="str">
        <f>IF(D177="","",IF(J177="リード付け",N177,VLOOKUP(D177,契約台帳!$A$3:$P$4986,16,FALSE)))</f>
        <v/>
      </c>
      <c r="T177" s="38"/>
      <c r="U177" s="261" t="str">
        <f ca="1">IF(D177="","",IF(OFFSET(D177,-2,0)=D177,"",VLOOKUP(D177,契約台帳!$A$3:$R$4986,18,FALSE)))</f>
        <v/>
      </c>
      <c r="V177" s="256" t="str">
        <f>IF(J177="巻返し",VLOOKUP(F177&amp;K177&amp;M177,製品マスタ!$M$5:$AD$4999,18,FALSE),IF(J177="リード付け","原反コア",IF(J177="スリット",VLOOKUP(F177&amp;K177&amp;Q177,製品マスタ!$N$5:$AD$4999,17,FALSE),"")))</f>
        <v/>
      </c>
      <c r="W177" s="256" t="str">
        <f>IF(J177="巻返し",VLOOKUP(F177&amp;K177&amp;M177,製品マスタ!$M$5:$AE$4999,19,FALSE),IF(J177="リード付け","-",IF(J177="スリット",VLOOKUP(F177&amp;K177&amp;Q177,製品マスタ!$N$5:$AE$4999,18,FALSE),"")))</f>
        <v/>
      </c>
      <c r="X177" s="256" t="str">
        <f>IF(D177="","",VLOOKUP(D177,契約台帳!$A$3:$Q$4986,17,FALSE))</f>
        <v/>
      </c>
      <c r="Y177" s="256" t="str">
        <f>IF(D177="","",VLOOKUP(D177,契約台帳!$A$3:$E$4986,5,FALSE))</f>
        <v/>
      </c>
      <c r="Z177" s="54"/>
      <c r="AA177" s="200" t="str">
        <f>IFERROR(VLOOKUP(F177&amp;K177&amp;M177,製品マスタ!$M$5:$AM$4999,27,FALSE),"")</f>
        <v/>
      </c>
      <c r="AB177" s="31"/>
      <c r="AC177" s="184"/>
      <c r="AD177" s="51"/>
      <c r="AE177" s="52"/>
      <c r="AF177" s="41"/>
      <c r="AG177" s="45"/>
      <c r="AH177" s="28"/>
      <c r="AI177" s="28"/>
      <c r="AJ177" s="28"/>
      <c r="AK177" s="28"/>
      <c r="AL177" s="12"/>
      <c r="AM177" s="12"/>
      <c r="AN177" s="12"/>
      <c r="AO177" s="12"/>
      <c r="AP177" s="12"/>
      <c r="AQ177" s="13"/>
      <c r="AR177" s="14"/>
    </row>
    <row r="178" spans="1:44" s="16" customFormat="1" ht="30.95" hidden="1" customHeight="1" x14ac:dyDescent="0.2">
      <c r="A178" s="35" t="s">
        <v>929</v>
      </c>
      <c r="B178" s="36" t="s">
        <v>930</v>
      </c>
      <c r="C178" s="43"/>
      <c r="D178" s="29">
        <v>3697659</v>
      </c>
      <c r="E178" s="29">
        <v>4151275</v>
      </c>
      <c r="F178" s="255" t="str">
        <f>IF(D178="","",VLOOKUP(D178,契約台帳!$A$3:$K$4986,6,FALSE)&amp;VLOOKUP(D178,契約台帳!$A$3:$K$4986,7,FALSE)&amp;VLOOKUP(D178,契約台帳!$A$3:$K$4986,8,FALSE)&amp;VLOOKUP(D178,契約台帳!$A$3:$K$4986,9,FALSE)&amp;VLOOKUP(D178,契約台帳!$A$3:$K$4986,11,FALSE))</f>
        <v>3SNMLBMNGKBF</v>
      </c>
      <c r="G178" s="256" t="str">
        <f>IF(D178="","",VLOOKUP(F178,製品マスタ!$G$5:$H$4999,2,FALSE))</f>
        <v>S</v>
      </c>
      <c r="H178" s="256" t="str">
        <f>IF(D178="","",VLOOKUP(F178,製品マスタ!$G$5:$K$4999,5,FALSE))</f>
        <v>MNGKBF</v>
      </c>
      <c r="I178" s="200" t="str">
        <f>IF(D178="","",VLOOKUP(F178,製品マスタ!$G$5:$L$4999,6,FALSE))</f>
        <v>メタルミー　ネーマー銀消　Ｂ</v>
      </c>
      <c r="J178" s="30" t="s">
        <v>447</v>
      </c>
      <c r="K178" s="200">
        <f>IF(D178="","",VLOOKUP(D178,契約台帳!$A$3:$L$4986,12,FALSE))</f>
        <v>50</v>
      </c>
      <c r="L178" s="200" t="str">
        <f>IF(D178="","",INDEX(製品マスタ!$Q$5:$Q$4999,MATCH(F178&amp;K178,製品マスタ!$AO$5:$AO$4999,0)))</f>
        <v>MAT</v>
      </c>
      <c r="M178" s="37">
        <v>1170</v>
      </c>
      <c r="N178" s="37">
        <v>4000</v>
      </c>
      <c r="O178" s="45">
        <v>1</v>
      </c>
      <c r="P178" s="54">
        <v>44975</v>
      </c>
      <c r="Q178" s="260">
        <f>IF(D178="","",IF(J178="リード付け",M178,VLOOKUP(D178,契約台帳!$A$3:$N$4986,14,FALSE)))</f>
        <v>1170</v>
      </c>
      <c r="R178" s="261">
        <f>IF(D178="","",IF(J178="リード付け",M178,VLOOKUP(D178,契約台帳!$A$3:$O$4986,15,FALSE)))</f>
        <v>1170</v>
      </c>
      <c r="S178" s="261">
        <f>IF(D178="","",IF(J178="リード付け",N178,VLOOKUP(D178,契約台帳!$A$3:$P$4986,16,FALSE)))</f>
        <v>4000</v>
      </c>
      <c r="T178" s="38">
        <v>1</v>
      </c>
      <c r="U178" s="261">
        <f ca="1">IF(D178="","",IF(OFFSET(D178,-2,0)=D178,"",VLOOKUP(D178,契約台帳!$A$3:$R$4986,18,FALSE)))</f>
        <v>1</v>
      </c>
      <c r="V178" s="256" t="str">
        <f>IF(J178="巻返し",VLOOKUP(F178&amp;K178&amp;M178,製品マスタ!$M$5:$AD$4999,18,FALSE),IF(J178="リード付け","原反コア",IF(J178="スリット",VLOOKUP(F178&amp;K178&amp;Q178,製品マスタ!$N$5:$AD$4999,17,FALSE),"")))</f>
        <v>6ｲﾝﾁSｺｱ</v>
      </c>
      <c r="W178" s="256">
        <f>IF(J178="巻返し",VLOOKUP(F178&amp;K178&amp;M178,製品マスタ!$M$5:$AE$4999,19,FALSE),IF(J178="リード付け","-",IF(J178="スリット",VLOOKUP(F178&amp;K178&amp;Q178,製品マスタ!$N$5:$AE$4999,18,FALSE),"")))</f>
        <v>1175</v>
      </c>
      <c r="X178" s="256">
        <f>IF(D178="","",VLOOKUP(D178,契約台帳!$A$3:$Q$4986,17,FALSE))</f>
        <v>2</v>
      </c>
      <c r="Y178" s="256" t="str">
        <f>IF(D178="","",VLOOKUP(D178,契約台帳!$A$3:$E$4986,5,FALSE))</f>
        <v>リンテック㈱</v>
      </c>
      <c r="Z178" s="54"/>
      <c r="AA178" s="200">
        <f>IFERROR(VLOOKUP(F178&amp;K178&amp;M178,製品マスタ!$M$5:$AM$4999,27,FALSE),"")</f>
        <v>0</v>
      </c>
      <c r="AB178" s="31"/>
      <c r="AC178" s="184"/>
      <c r="AD178" s="51" t="str">
        <f>IF(F178="","",+F178&amp;K178)</f>
        <v>3SNMLBMNGKBF50</v>
      </c>
      <c r="AE178" s="52">
        <f>+M178*N178*O178/1000</f>
        <v>4680</v>
      </c>
      <c r="AF178" s="41">
        <f>IF(AD178="","",VLOOKUP(AD178,原価マスタ!$A$2:$AJ$1693,13,FALSE))</f>
        <v>98</v>
      </c>
      <c r="AG178" s="45">
        <f>IF(AF178="","",+AE178*AF178/100)</f>
        <v>4586.3999999999996</v>
      </c>
      <c r="AH178" s="28"/>
      <c r="AI178" s="28"/>
      <c r="AJ178" s="28"/>
      <c r="AK178" s="28"/>
      <c r="AL178" s="12"/>
      <c r="AM178" s="12"/>
      <c r="AN178" s="12"/>
      <c r="AO178" s="12"/>
      <c r="AP178" s="12"/>
      <c r="AQ178" s="13"/>
      <c r="AR178" s="14"/>
    </row>
    <row r="179" spans="1:44" s="16" customFormat="1" ht="30.95" hidden="1" customHeight="1" x14ac:dyDescent="0.2">
      <c r="A179" s="35"/>
      <c r="B179" s="36"/>
      <c r="C179" s="43"/>
      <c r="D179" s="29"/>
      <c r="E179" s="29"/>
      <c r="F179" s="255" t="str">
        <f>IF(D179="","",VLOOKUP(D179,契約台帳!$A$3:$K$4986,6,FALSE)&amp;VLOOKUP(D179,契約台帳!$A$3:$K$4986,7,FALSE)&amp;VLOOKUP(D179,契約台帳!$A$3:$K$4986,8,FALSE)&amp;VLOOKUP(D179,契約台帳!$A$3:$K$4986,9,FALSE)&amp;VLOOKUP(D179,契約台帳!$A$3:$K$4986,11,FALSE))</f>
        <v/>
      </c>
      <c r="G179" s="256" t="str">
        <f>IF(D179="","",VLOOKUP(F179,製品マスタ!$G$5:$H$4999,2,FALSE))</f>
        <v/>
      </c>
      <c r="H179" s="256" t="str">
        <f>IF(D179="","",VLOOKUP(F179,製品マスタ!$G$5:$K$4999,5,FALSE))</f>
        <v/>
      </c>
      <c r="I179" s="200" t="str">
        <f>IF(D179="","",VLOOKUP(F179,製品マスタ!$G$5:$L$4999,6,FALSE))</f>
        <v/>
      </c>
      <c r="J179" s="30"/>
      <c r="K179" s="200" t="str">
        <f>IF(D179="","",VLOOKUP(D179,契約台帳!$A$3:$L$4986,12,FALSE))</f>
        <v/>
      </c>
      <c r="L179" s="200" t="str">
        <f>IF(D179="","",INDEX(製品マスタ!$Q$5:$Q$4999,MATCH(F179&amp;K179,製品マスタ!$AO$5:$AO$4999,0)))</f>
        <v/>
      </c>
      <c r="M179" s="37"/>
      <c r="N179" s="37"/>
      <c r="O179" s="45"/>
      <c r="P179" s="54"/>
      <c r="Q179" s="260" t="str">
        <f>IF(D179="","",IF(J179="リード付け",M179,VLOOKUP(D179,契約台帳!$A$3:$N$4986,14,FALSE)))</f>
        <v/>
      </c>
      <c r="R179" s="261" t="str">
        <f>IF(D179="","",IF(J179="リード付け",M179,VLOOKUP(D179,契約台帳!$A$3:$O$4986,15,FALSE)))</f>
        <v/>
      </c>
      <c r="S179" s="261" t="str">
        <f>IF(D179="","",IF(J179="リード付け",N179,VLOOKUP(D179,契約台帳!$A$3:$P$4986,16,FALSE)))</f>
        <v/>
      </c>
      <c r="T179" s="38"/>
      <c r="U179" s="261" t="str">
        <f ca="1">IF(D179="","",IF(OFFSET(D179,-2,0)=D179,"",VLOOKUP(D179,契約台帳!$A$3:$R$4986,18,FALSE)))</f>
        <v/>
      </c>
      <c r="V179" s="256" t="str">
        <f>IF(J179="巻返し",VLOOKUP(F179&amp;K179&amp;M179,製品マスタ!$M$5:$AD$4999,18,FALSE),IF(J179="リード付け","原反コア",IF(J179="スリット",VLOOKUP(F179&amp;K179&amp;Q179,製品マスタ!$N$5:$AD$4999,17,FALSE),"")))</f>
        <v/>
      </c>
      <c r="W179" s="256" t="str">
        <f>IF(J179="巻返し",VLOOKUP(F179&amp;K179&amp;M179,製品マスタ!$M$5:$AE$4999,19,FALSE),IF(J179="リード付け","-",IF(J179="スリット",VLOOKUP(F179&amp;K179&amp;Q179,製品マスタ!$N$5:$AE$4999,18,FALSE),"")))</f>
        <v/>
      </c>
      <c r="X179" s="256" t="str">
        <f>IF(D179="","",VLOOKUP(D179,契約台帳!$A$3:$Q$4986,17,FALSE))</f>
        <v/>
      </c>
      <c r="Y179" s="256" t="str">
        <f>IF(D179="","",VLOOKUP(D179,契約台帳!$A$3:$E$4986,5,FALSE))</f>
        <v/>
      </c>
      <c r="Z179" s="54"/>
      <c r="AA179" s="200" t="str">
        <f>IFERROR(VLOOKUP(F179&amp;K179&amp;M179,製品マスタ!$M$5:$AM$4999,27,FALSE),"")</f>
        <v/>
      </c>
      <c r="AB179" s="31"/>
      <c r="AC179" s="184"/>
      <c r="AD179" s="51"/>
      <c r="AE179" s="52"/>
      <c r="AF179" s="41"/>
      <c r="AG179" s="45"/>
      <c r="AH179" s="28"/>
      <c r="AI179" s="28"/>
      <c r="AJ179" s="28"/>
      <c r="AK179" s="28"/>
      <c r="AL179" s="12"/>
      <c r="AM179" s="12"/>
      <c r="AN179" s="12"/>
      <c r="AO179" s="12"/>
      <c r="AP179" s="12"/>
      <c r="AQ179" s="13"/>
      <c r="AR179" s="14"/>
    </row>
    <row r="180" spans="1:44" s="16" customFormat="1" ht="30.95" hidden="1" customHeight="1" x14ac:dyDescent="0.2">
      <c r="A180" s="35"/>
      <c r="B180" s="36"/>
      <c r="C180" s="43"/>
      <c r="D180" s="29">
        <v>3697658</v>
      </c>
      <c r="E180" s="29">
        <v>4151277</v>
      </c>
      <c r="F180" s="255" t="str">
        <f>IF(D180="","",VLOOKUP(D180,契約台帳!$A$3:$K$4986,6,FALSE)&amp;VLOOKUP(D180,契約台帳!$A$3:$K$4986,7,FALSE)&amp;VLOOKUP(D180,契約台帳!$A$3:$K$4986,8,FALSE)&amp;VLOOKUP(D180,契約台帳!$A$3:$K$4986,9,FALSE)&amp;VLOOKUP(D180,契約台帳!$A$3:$K$4986,11,FALSE))</f>
        <v>3SNMLBMNGKKBF</v>
      </c>
      <c r="G180" s="256" t="str">
        <f>IF(D180="","",VLOOKUP(F180,製品マスタ!$G$5:$H$4999,2,FALSE))</f>
        <v>S</v>
      </c>
      <c r="H180" s="256" t="str">
        <f>IF(D180="","",VLOOKUP(F180,製品マスタ!$G$5:$K$4999,5,FALSE))</f>
        <v>MNGKKBF</v>
      </c>
      <c r="I180" s="200" t="str">
        <f>IF(D180="","",VLOOKUP(F180,製品マスタ!$G$5:$L$4999,6,FALSE))</f>
        <v>メタルミー　ネーマー銀消改　Ｂ</v>
      </c>
      <c r="J180" s="30" t="s">
        <v>447</v>
      </c>
      <c r="K180" s="200">
        <f>IF(D180="","",VLOOKUP(D180,契約台帳!$A$3:$L$4986,12,FALSE))</f>
        <v>50</v>
      </c>
      <c r="L180" s="200" t="str">
        <f>IF(D180="","",INDEX(製品マスタ!$Q$5:$Q$4999,MATCH(F180&amp;K180,製品マスタ!$AO$5:$AO$4999,0)))</f>
        <v>S99-MAT</v>
      </c>
      <c r="M180" s="37">
        <v>1120</v>
      </c>
      <c r="N180" s="37">
        <v>12000</v>
      </c>
      <c r="O180" s="45">
        <v>5</v>
      </c>
      <c r="P180" s="54">
        <v>44975</v>
      </c>
      <c r="Q180" s="260">
        <f>IF(D180="","",IF(J180="リード付け",M180,VLOOKUP(D180,契約台帳!$A$3:$N$4986,14,FALSE)))</f>
        <v>1120</v>
      </c>
      <c r="R180" s="261">
        <f>IF(D180="","",IF(J180="リード付け",M180,VLOOKUP(D180,契約台帳!$A$3:$O$4986,15,FALSE)))</f>
        <v>1120</v>
      </c>
      <c r="S180" s="261">
        <f>IF(D180="","",IF(J180="リード付け",N180,VLOOKUP(D180,契約台帳!$A$3:$P$4986,16,FALSE)))</f>
        <v>4000</v>
      </c>
      <c r="T180" s="38">
        <v>15</v>
      </c>
      <c r="U180" s="261">
        <f ca="1">IF(D180="","",IF(OFFSET(D180,-2,0)=D180,"",VLOOKUP(D180,契約台帳!$A$3:$R$4986,18,FALSE)))</f>
        <v>15</v>
      </c>
      <c r="V180" s="256" t="str">
        <f>IF(J180="巻返し",VLOOKUP(F180&amp;K180&amp;M180,製品マスタ!$M$5:$AD$4999,18,FALSE),IF(J180="リード付け","原反コア",IF(J180="スリット",VLOOKUP(F180&amp;K180&amp;Q180,製品マスタ!$N$5:$AD$4999,17,FALSE),"")))</f>
        <v>6ｲﾝﾁSｺｱ</v>
      </c>
      <c r="W180" s="256">
        <f>IF(J180="巻返し",VLOOKUP(F180&amp;K180&amp;M180,製品マスタ!$M$5:$AE$4999,19,FALSE),IF(J180="リード付け","-",IF(J180="スリット",VLOOKUP(F180&amp;K180&amp;Q180,製品マスタ!$N$5:$AE$4999,18,FALSE),"")))</f>
        <v>1125</v>
      </c>
      <c r="X180" s="256">
        <f>IF(D180="","",VLOOKUP(D180,契約台帳!$A$3:$Q$4986,17,FALSE))</f>
        <v>2</v>
      </c>
      <c r="Y180" s="256" t="str">
        <f>IF(D180="","",VLOOKUP(D180,契約台帳!$A$3:$E$4986,5,FALSE))</f>
        <v>リンテック㈱</v>
      </c>
      <c r="Z180" s="54"/>
      <c r="AA180" s="200">
        <f>IFERROR(VLOOKUP(F180&amp;K180&amp;M180,製品マスタ!$M$5:$AM$4999,27,FALSE),"")</f>
        <v>0</v>
      </c>
      <c r="AB180" s="31"/>
      <c r="AC180" s="184"/>
      <c r="AD180" s="51" t="str">
        <f>IF(F180="","",+F180&amp;K180)</f>
        <v>3SNMLBMNGKKBF50</v>
      </c>
      <c r="AE180" s="52">
        <f>+M180*N180*O180/1000</f>
        <v>67200</v>
      </c>
      <c r="AF180" s="41">
        <f>IF(AD180="","",VLOOKUP(AD180,原価マスタ!$A$2:$AJ$1693,13,FALSE))</f>
        <v>99</v>
      </c>
      <c r="AG180" s="45">
        <f>IF(AF180="","",+AE180*AF180/100)</f>
        <v>66528</v>
      </c>
      <c r="AH180" s="28"/>
      <c r="AI180" s="28"/>
      <c r="AJ180" s="28"/>
      <c r="AK180" s="28"/>
      <c r="AL180" s="12"/>
      <c r="AM180" s="12"/>
      <c r="AN180" s="12"/>
      <c r="AO180" s="12"/>
      <c r="AP180" s="12"/>
      <c r="AQ180" s="13"/>
      <c r="AR180" s="14"/>
    </row>
    <row r="181" spans="1:44" s="16" customFormat="1" ht="30.95" hidden="1" customHeight="1" x14ac:dyDescent="0.2">
      <c r="A181" s="35"/>
      <c r="B181" s="36"/>
      <c r="C181" s="43"/>
      <c r="D181" s="29"/>
      <c r="E181" s="29"/>
      <c r="F181" s="255"/>
      <c r="G181" s="256"/>
      <c r="H181" s="256"/>
      <c r="I181" s="200"/>
      <c r="J181" s="30"/>
      <c r="K181" s="200"/>
      <c r="L181" s="200"/>
      <c r="M181" s="37"/>
      <c r="N181" s="37"/>
      <c r="O181" s="45"/>
      <c r="P181" s="54"/>
      <c r="Q181" s="260"/>
      <c r="R181" s="261"/>
      <c r="S181" s="261"/>
      <c r="T181" s="38"/>
      <c r="U181" s="261"/>
      <c r="V181" s="256"/>
      <c r="W181" s="256"/>
      <c r="X181" s="256"/>
      <c r="Y181" s="256"/>
      <c r="Z181" s="54"/>
      <c r="AA181" s="200"/>
      <c r="AB181" s="31"/>
      <c r="AC181" s="184"/>
      <c r="AD181" s="51"/>
      <c r="AE181" s="52"/>
      <c r="AF181" s="41"/>
      <c r="AG181" s="45"/>
      <c r="AH181" s="28"/>
      <c r="AI181" s="28"/>
      <c r="AJ181" s="28"/>
      <c r="AK181" s="28"/>
      <c r="AL181" s="12"/>
      <c r="AM181" s="12"/>
      <c r="AN181" s="12"/>
      <c r="AO181" s="12"/>
      <c r="AP181" s="12"/>
      <c r="AQ181" s="13"/>
      <c r="AR181" s="14"/>
    </row>
    <row r="182" spans="1:44" s="16" customFormat="1" ht="30.95" hidden="1" customHeight="1" x14ac:dyDescent="0.2">
      <c r="A182" s="35" t="s">
        <v>902</v>
      </c>
      <c r="B182" s="36" t="s">
        <v>897</v>
      </c>
      <c r="C182" s="43"/>
      <c r="D182" s="29">
        <v>5352339</v>
      </c>
      <c r="E182" s="29">
        <v>4151308</v>
      </c>
      <c r="F182" s="255" t="s">
        <v>927</v>
      </c>
      <c r="G182" s="256" t="s">
        <v>19</v>
      </c>
      <c r="H182" s="256" t="s">
        <v>206</v>
      </c>
      <c r="I182" s="200" t="s">
        <v>207</v>
      </c>
      <c r="J182" s="30" t="s">
        <v>447</v>
      </c>
      <c r="K182" s="200">
        <v>50</v>
      </c>
      <c r="L182" s="200" t="s">
        <v>168</v>
      </c>
      <c r="M182" s="37">
        <v>1100</v>
      </c>
      <c r="N182" s="37">
        <v>8000</v>
      </c>
      <c r="O182" s="45">
        <v>1</v>
      </c>
      <c r="P182" s="54">
        <v>44973</v>
      </c>
      <c r="Q182" s="260">
        <v>1000</v>
      </c>
      <c r="R182" s="261">
        <v>1000</v>
      </c>
      <c r="S182" s="261">
        <v>2000</v>
      </c>
      <c r="T182" s="38">
        <v>4</v>
      </c>
      <c r="U182" s="261">
        <v>4</v>
      </c>
      <c r="V182" s="256" t="s">
        <v>903</v>
      </c>
      <c r="W182" s="256">
        <v>1005</v>
      </c>
      <c r="X182" s="256">
        <v>2</v>
      </c>
      <c r="Y182" s="256" t="s">
        <v>204</v>
      </c>
      <c r="Z182" s="54"/>
      <c r="AA182" s="200" t="str">
        <f>IFERROR(VLOOKUP(F182&amp;K182&amp;M182,製品マスタ!$M$5:$AM$4999,27,FALSE),"")</f>
        <v/>
      </c>
      <c r="AB182" s="31"/>
      <c r="AC182" s="184"/>
      <c r="AD182" s="51"/>
      <c r="AE182" s="52"/>
      <c r="AF182" s="41"/>
      <c r="AG182" s="45"/>
      <c r="AH182" s="28"/>
      <c r="AI182" s="28"/>
      <c r="AJ182" s="28"/>
      <c r="AK182" s="28"/>
      <c r="AL182" s="12"/>
      <c r="AM182" s="12"/>
      <c r="AN182" s="12"/>
      <c r="AO182" s="12"/>
      <c r="AP182" s="12"/>
      <c r="AQ182" s="13"/>
      <c r="AR182" s="14"/>
    </row>
    <row r="183" spans="1:44" s="16" customFormat="1" ht="30.95" hidden="1" customHeight="1" x14ac:dyDescent="0.2">
      <c r="A183" s="35"/>
      <c r="B183" s="36"/>
      <c r="C183" s="43"/>
      <c r="D183" s="278" t="s">
        <v>932</v>
      </c>
      <c r="E183" s="29"/>
      <c r="F183" s="255"/>
      <c r="G183" s="256"/>
      <c r="H183" s="256"/>
      <c r="I183" s="200"/>
      <c r="J183" s="30"/>
      <c r="K183" s="200"/>
      <c r="L183" s="200"/>
      <c r="M183" s="37"/>
      <c r="N183" s="37"/>
      <c r="O183" s="45"/>
      <c r="P183" s="54"/>
      <c r="Q183" s="260"/>
      <c r="R183" s="261"/>
      <c r="S183" s="261"/>
      <c r="T183" s="38"/>
      <c r="U183" s="261"/>
      <c r="V183" s="256"/>
      <c r="W183" s="256"/>
      <c r="X183" s="256"/>
      <c r="Y183" s="256"/>
      <c r="Z183" s="54"/>
      <c r="AA183" s="200"/>
      <c r="AB183" s="31"/>
      <c r="AC183" s="184"/>
      <c r="AD183" s="51"/>
      <c r="AE183" s="52"/>
      <c r="AF183" s="41"/>
      <c r="AG183" s="45"/>
      <c r="AH183" s="28"/>
      <c r="AI183" s="28"/>
      <c r="AJ183" s="28"/>
      <c r="AK183" s="28"/>
      <c r="AL183" s="12"/>
      <c r="AM183" s="12"/>
      <c r="AN183" s="12"/>
      <c r="AO183" s="12"/>
      <c r="AP183" s="12"/>
      <c r="AQ183" s="13"/>
      <c r="AR183" s="14"/>
    </row>
    <row r="184" spans="1:44" s="16" customFormat="1" ht="30.95" hidden="1" customHeight="1" x14ac:dyDescent="0.2">
      <c r="A184" s="35"/>
      <c r="B184" s="36"/>
      <c r="C184" s="43"/>
      <c r="D184" s="29">
        <v>3697654</v>
      </c>
      <c r="E184" s="29">
        <v>4151290</v>
      </c>
      <c r="F184" s="255" t="str">
        <f>IF(D184="","",VLOOKUP(D184,契約台帳!$A$3:$K$4986,6,FALSE)&amp;VLOOKUP(D184,契約台帳!$A$3:$K$4986,7,FALSE)&amp;VLOOKUP(D184,契約台帳!$A$3:$K$4986,8,FALSE)&amp;VLOOKUP(D184,契約台帳!$A$3:$K$4986,9,FALSE)&amp;VLOOKUP(D184,契約台帳!$A$3:$K$4986,11,FALSE))</f>
        <v>3TNDMSX42GPC</v>
      </c>
      <c r="G184" s="256" t="str">
        <f>IF(D184="","",VLOOKUP(F184,製品マスタ!$G$5:$H$4999,2,FALSE))</f>
        <v>T</v>
      </c>
      <c r="H184" s="256" t="str">
        <f>IF(D184="","",VLOOKUP(F184,製品マスタ!$G$5:$K$4999,5,FALSE))</f>
        <v>X42GPC</v>
      </c>
      <c r="I184" s="200" t="str">
        <f>IF(D184="","",VLOOKUP(F184,製品マスタ!$G$5:$L$4999,6,FALSE))</f>
        <v>ＤＭＳ（Ｘ４２Ｇ）ＰＣ</v>
      </c>
      <c r="J184" s="30" t="s">
        <v>463</v>
      </c>
      <c r="K184" s="200">
        <f>IF(D184="","",VLOOKUP(D184,契約台帳!$A$3:$L$4986,12,FALSE))</f>
        <v>50</v>
      </c>
      <c r="L184" s="200" t="str">
        <f>IF(D184="","",INDEX(製品マスタ!$Q$5:$Q$4999,MATCH(F184&amp;K184,製品マスタ!$AO$5:$AO$4999,0)))</f>
        <v>X42G</v>
      </c>
      <c r="M184" s="37">
        <v>1360</v>
      </c>
      <c r="N184" s="37">
        <v>4100</v>
      </c>
      <c r="O184" s="45">
        <v>1</v>
      </c>
      <c r="P184" s="54">
        <v>44977</v>
      </c>
      <c r="Q184" s="260">
        <f>IF(D184="","",IF(J184="リード付け",M184,VLOOKUP(D184,契約台帳!$A$3:$N$4986,14,FALSE)))</f>
        <v>680</v>
      </c>
      <c r="R184" s="261">
        <f>IF(D184="","",IF(J184="リード付け",M184,VLOOKUP(D184,契約台帳!$A$3:$O$4986,15,FALSE)))</f>
        <v>680</v>
      </c>
      <c r="S184" s="261">
        <f>IF(D184="","",IF(J184="リード付け",N184,VLOOKUP(D184,契約台帳!$A$3:$P$4986,16,FALSE)))</f>
        <v>2000</v>
      </c>
      <c r="T184" s="38">
        <v>4</v>
      </c>
      <c r="U184" s="261">
        <f ca="1">IF(D184="","",IF(OFFSET(D184,-2,0)=D184,"",VLOOKUP(D184,契約台帳!$A$3:$R$4986,18,FALSE)))</f>
        <v>4</v>
      </c>
      <c r="V184" s="256" t="str">
        <f>IF(J184="巻返し",VLOOKUP(F184&amp;K184&amp;M184,製品マスタ!$M$5:$AD$4999,18,FALSE),IF(J184="リード付け","原反コア",IF(J184="スリット",VLOOKUP(F184&amp;K184&amp;Q184,製品マスタ!$N$5:$AD$4999,17,FALSE),"")))</f>
        <v>3ｲﾝﾁMｺｱ</v>
      </c>
      <c r="W184" s="256">
        <f>IF(J184="巻返し",VLOOKUP(F184&amp;K184&amp;M184,製品マスタ!$M$5:$AE$4999,19,FALSE),IF(J184="リード付け","-",IF(J184="スリット",VLOOKUP(F184&amp;K184&amp;Q184,製品マスタ!$N$5:$AE$4999,18,FALSE),"")))</f>
        <v>690</v>
      </c>
      <c r="X184" s="256">
        <f>IF(D184="","",VLOOKUP(D184,契約台帳!$A$3:$Q$4986,17,FALSE))</f>
        <v>2</v>
      </c>
      <c r="Y184" s="256" t="str">
        <f>IF(D184="","",VLOOKUP(D184,契約台帳!$A$3:$E$4986,5,FALSE))</f>
        <v>㈱ポラテクノ</v>
      </c>
      <c r="Z184" s="54"/>
      <c r="AA184" s="200" t="s">
        <v>774</v>
      </c>
      <c r="AB184" s="31"/>
      <c r="AC184" s="184"/>
      <c r="AD184" s="51"/>
      <c r="AE184" s="52"/>
      <c r="AF184" s="41"/>
      <c r="AG184" s="45"/>
      <c r="AH184" s="28"/>
      <c r="AI184" s="28"/>
      <c r="AJ184" s="28"/>
      <c r="AK184" s="28"/>
      <c r="AL184" s="12"/>
      <c r="AM184" s="12"/>
      <c r="AN184" s="12"/>
      <c r="AO184" s="12"/>
      <c r="AP184" s="12"/>
      <c r="AQ184" s="13"/>
      <c r="AR184" s="14"/>
    </row>
    <row r="185" spans="1:44" s="16" customFormat="1" ht="30.95" hidden="1" customHeight="1" x14ac:dyDescent="0.2">
      <c r="A185" s="35"/>
      <c r="B185" s="36"/>
      <c r="C185" s="43"/>
      <c r="D185" s="29"/>
      <c r="E185" s="29"/>
      <c r="F185" s="255"/>
      <c r="G185" s="256"/>
      <c r="H185" s="256"/>
      <c r="I185" s="200"/>
      <c r="J185" s="30"/>
      <c r="K185" s="200"/>
      <c r="L185" s="200"/>
      <c r="M185" s="37"/>
      <c r="N185" s="37"/>
      <c r="O185" s="45"/>
      <c r="P185" s="54"/>
      <c r="Q185" s="260"/>
      <c r="R185" s="261"/>
      <c r="S185" s="261"/>
      <c r="T185" s="38"/>
      <c r="U185" s="261"/>
      <c r="V185" s="256"/>
      <c r="W185" s="256"/>
      <c r="X185" s="256"/>
      <c r="Y185" s="256"/>
      <c r="Z185" s="54"/>
      <c r="AA185" s="200"/>
      <c r="AB185" s="31"/>
      <c r="AC185" s="184"/>
      <c r="AD185" s="51"/>
      <c r="AE185" s="52"/>
      <c r="AF185" s="41"/>
      <c r="AG185" s="45"/>
      <c r="AH185" s="28"/>
      <c r="AI185" s="28"/>
      <c r="AJ185" s="28"/>
      <c r="AK185" s="28"/>
      <c r="AL185" s="12"/>
      <c r="AM185" s="12"/>
      <c r="AN185" s="12"/>
      <c r="AO185" s="12"/>
      <c r="AP185" s="12"/>
      <c r="AQ185" s="13"/>
      <c r="AR185" s="14"/>
    </row>
    <row r="186" spans="1:44" s="16" customFormat="1" ht="30.95" hidden="1" customHeight="1" x14ac:dyDescent="0.2">
      <c r="A186" s="35" t="s">
        <v>887</v>
      </c>
      <c r="B186" s="36" t="s">
        <v>443</v>
      </c>
      <c r="C186" s="43"/>
      <c r="D186" s="29"/>
      <c r="E186" s="29"/>
      <c r="F186" s="255" t="str">
        <f>IF(D186="","",VLOOKUP(D186,契約台帳!$A$3:$K$4986,6,FALSE)&amp;VLOOKUP(D186,契約台帳!$A$3:$K$4986,7,FALSE)&amp;VLOOKUP(D186,契約台帳!$A$3:$K$4986,8,FALSE)&amp;VLOOKUP(D186,契約台帳!$A$3:$K$4986,9,FALSE)&amp;VLOOKUP(D186,契約台帳!$A$3:$K$4986,11,FALSE))</f>
        <v/>
      </c>
      <c r="G186" s="256" t="str">
        <f>IF(D186="","",VLOOKUP(F186,製品マスタ!$G$5:$H$4999,2,FALSE))</f>
        <v/>
      </c>
      <c r="H186" s="256" t="str">
        <f>IF(D186="","",VLOOKUP(F186,製品マスタ!$G$5:$K$4999,5,FALSE))</f>
        <v/>
      </c>
      <c r="I186" s="200" t="str">
        <f>IF(D186="","",VLOOKUP(F186,製品マスタ!$G$5:$L$4999,6,FALSE))</f>
        <v/>
      </c>
      <c r="J186" s="30" t="s">
        <v>448</v>
      </c>
      <c r="K186" s="200" t="str">
        <f>IF(D186="","",VLOOKUP(D186,契約台帳!$A$3:$L$4986,12,FALSE))</f>
        <v/>
      </c>
      <c r="L186" s="200" t="str">
        <f>IF(D186="","",INDEX(製品マスタ!$Q$5:$Q$4999,MATCH(F186&amp;K186,製品マスタ!$AO$5:$AO$4999,0)))</f>
        <v/>
      </c>
      <c r="M186" s="37"/>
      <c r="N186" s="37"/>
      <c r="O186" s="45"/>
      <c r="P186" s="54"/>
      <c r="Q186" s="260" t="str">
        <f>IF(D186="","",IF(J186="リード付け",M186,VLOOKUP(D186,契約台帳!$A$3:$N$4986,14,FALSE)))</f>
        <v/>
      </c>
      <c r="R186" s="261" t="str">
        <f>IF(D186="","",IF(J186="リード付け",M186,VLOOKUP(D186,契約台帳!$A$3:$O$4986,15,FALSE)))</f>
        <v/>
      </c>
      <c r="S186" s="261" t="str">
        <f>IF(D186="","",IF(J186="リード付け",N186,VLOOKUP(D186,契約台帳!$A$3:$P$4986,16,FALSE)))</f>
        <v/>
      </c>
      <c r="T186" s="38"/>
      <c r="U186" s="261" t="str">
        <f ca="1">IF(D186="","",IF(OFFSET(D186,-2,0)=D186,"",VLOOKUP(D186,契約台帳!$A$3:$R$4986,18,FALSE)))</f>
        <v/>
      </c>
      <c r="V186" s="256" t="str">
        <f>IF(J186="巻返し",VLOOKUP(F186&amp;K186&amp;M186,製品マスタ!$M$5:$AD$4999,18,FALSE),IF(J186="リード付け","原反コア",IF(J186="スリット",VLOOKUP(F186&amp;K186&amp;Q186,製品マスタ!$N$5:$AD$4999,17,FALSE),"")))</f>
        <v/>
      </c>
      <c r="W186" s="256" t="str">
        <f>IF(J186="巻返し",VLOOKUP(F186&amp;K186&amp;M186,製品マスタ!$M$5:$AE$4999,19,FALSE),IF(J186="リード付け","-",IF(J186="スリット",VLOOKUP(F186&amp;K186&amp;Q186,製品マスタ!$N$5:$AE$4999,18,FALSE),"")))</f>
        <v/>
      </c>
      <c r="X186" s="256" t="str">
        <f>IF(D186="","",VLOOKUP(D186,契約台帳!$A$3:$Q$4986,17,FALSE))</f>
        <v/>
      </c>
      <c r="Y186" s="256" t="str">
        <f>IF(D186="","",VLOOKUP(D186,契約台帳!$A$3:$E$4986,5,FALSE))</f>
        <v/>
      </c>
      <c r="Z186" s="54"/>
      <c r="AA186" s="200" t="str">
        <f>IFERROR(VLOOKUP(F186&amp;K186&amp;M186,製品マスタ!$M$5:$AM$4999,27,FALSE),"")</f>
        <v/>
      </c>
      <c r="AB186" s="31"/>
      <c r="AC186" s="184"/>
      <c r="AD186" s="51"/>
      <c r="AE186" s="52"/>
      <c r="AF186" s="41"/>
      <c r="AG186" s="45"/>
      <c r="AH186" s="28"/>
      <c r="AI186" s="28"/>
      <c r="AJ186" s="28"/>
      <c r="AK186" s="28"/>
      <c r="AL186" s="12"/>
      <c r="AM186" s="12"/>
      <c r="AN186" s="12"/>
      <c r="AO186" s="12"/>
      <c r="AP186" s="12"/>
      <c r="AQ186" s="13"/>
      <c r="AR186" s="14"/>
    </row>
    <row r="187" spans="1:44" s="16" customFormat="1" ht="30.95" hidden="1" customHeight="1" x14ac:dyDescent="0.2">
      <c r="A187" s="35"/>
      <c r="B187" s="36"/>
      <c r="C187" s="43"/>
      <c r="D187" s="29"/>
      <c r="E187" s="29"/>
      <c r="F187" s="255"/>
      <c r="G187" s="256"/>
      <c r="H187" s="256"/>
      <c r="I187" s="200"/>
      <c r="J187" s="30"/>
      <c r="K187" s="200"/>
      <c r="L187" s="200"/>
      <c r="M187" s="37"/>
      <c r="N187" s="37"/>
      <c r="O187" s="45"/>
      <c r="P187" s="54"/>
      <c r="Q187" s="260"/>
      <c r="R187" s="261"/>
      <c r="S187" s="261"/>
      <c r="T187" s="38"/>
      <c r="U187" s="261"/>
      <c r="V187" s="256"/>
      <c r="W187" s="256"/>
      <c r="X187" s="256"/>
      <c r="Y187" s="256"/>
      <c r="Z187" s="54"/>
      <c r="AA187" s="200"/>
      <c r="AB187" s="31"/>
      <c r="AC187" s="184"/>
      <c r="AD187" s="51"/>
      <c r="AE187" s="52"/>
      <c r="AF187" s="41"/>
      <c r="AG187" s="45"/>
      <c r="AH187" s="28"/>
      <c r="AI187" s="28"/>
      <c r="AJ187" s="28"/>
      <c r="AK187" s="28"/>
      <c r="AL187" s="12"/>
      <c r="AM187" s="12"/>
      <c r="AN187" s="12"/>
      <c r="AO187" s="12"/>
      <c r="AP187" s="12"/>
      <c r="AQ187" s="13"/>
      <c r="AR187" s="14"/>
    </row>
    <row r="188" spans="1:44" s="16" customFormat="1" ht="30.95" hidden="1" customHeight="1" x14ac:dyDescent="0.2">
      <c r="A188" s="35" t="s">
        <v>888</v>
      </c>
      <c r="B188" s="36" t="s">
        <v>444</v>
      </c>
      <c r="C188" s="43"/>
      <c r="D188" s="29"/>
      <c r="E188" s="278"/>
      <c r="F188" s="255"/>
      <c r="G188" s="256"/>
      <c r="H188" s="256"/>
      <c r="I188" s="200"/>
      <c r="J188" s="30" t="s">
        <v>490</v>
      </c>
      <c r="K188" s="200"/>
      <c r="L188" s="200"/>
      <c r="M188" s="37"/>
      <c r="N188" s="37"/>
      <c r="O188" s="45"/>
      <c r="P188" s="54"/>
      <c r="Q188" s="260"/>
      <c r="R188" s="261"/>
      <c r="S188" s="261"/>
      <c r="T188" s="38"/>
      <c r="U188" s="261"/>
      <c r="V188" s="256"/>
      <c r="W188" s="256"/>
      <c r="X188" s="256"/>
      <c r="Y188" s="256"/>
      <c r="Z188" s="54"/>
      <c r="AA188" s="200" t="s">
        <v>928</v>
      </c>
      <c r="AB188" s="31"/>
      <c r="AC188" s="184"/>
      <c r="AD188" s="51"/>
      <c r="AE188" s="52"/>
      <c r="AF188" s="41"/>
      <c r="AG188" s="45"/>
      <c r="AH188" s="28"/>
      <c r="AI188" s="28"/>
      <c r="AJ188" s="28"/>
      <c r="AK188" s="28"/>
      <c r="AL188" s="12"/>
      <c r="AM188" s="12"/>
      <c r="AN188" s="12"/>
      <c r="AO188" s="12"/>
      <c r="AP188" s="12"/>
      <c r="AQ188" s="13"/>
      <c r="AR188" s="14"/>
    </row>
    <row r="189" spans="1:44" s="16" customFormat="1" ht="30.95" hidden="1" customHeight="1" x14ac:dyDescent="0.2">
      <c r="A189" s="35"/>
      <c r="B189" s="36"/>
      <c r="C189" s="43"/>
      <c r="D189" s="29"/>
      <c r="E189" s="29"/>
      <c r="F189" s="255"/>
      <c r="G189" s="256"/>
      <c r="H189" s="256"/>
      <c r="I189" s="200"/>
      <c r="J189" s="30"/>
      <c r="K189" s="200"/>
      <c r="L189" s="200"/>
      <c r="M189" s="37"/>
      <c r="N189" s="37"/>
      <c r="O189" s="45"/>
      <c r="P189" s="54"/>
      <c r="Q189" s="260"/>
      <c r="R189" s="261"/>
      <c r="S189" s="261"/>
      <c r="T189" s="38"/>
      <c r="U189" s="261"/>
      <c r="V189" s="256"/>
      <c r="W189" s="256"/>
      <c r="X189" s="256"/>
      <c r="Y189" s="256"/>
      <c r="Z189" s="54"/>
      <c r="AA189" s="200"/>
      <c r="AB189" s="31"/>
      <c r="AC189" s="184"/>
      <c r="AD189" s="51"/>
      <c r="AE189" s="52"/>
      <c r="AF189" s="41"/>
      <c r="AG189" s="45"/>
      <c r="AH189" s="28"/>
      <c r="AI189" s="28"/>
      <c r="AJ189" s="28"/>
      <c r="AK189" s="28"/>
      <c r="AL189" s="12"/>
      <c r="AM189" s="12"/>
      <c r="AN189" s="12"/>
      <c r="AO189" s="12"/>
      <c r="AP189" s="12"/>
      <c r="AQ189" s="13"/>
      <c r="AR189" s="14"/>
    </row>
    <row r="190" spans="1:44" s="225" customFormat="1" ht="30.95" hidden="1" customHeight="1" x14ac:dyDescent="0.2">
      <c r="A190" s="209"/>
      <c r="B190" s="210"/>
      <c r="C190" s="262"/>
      <c r="D190" s="211"/>
      <c r="E190" s="211"/>
      <c r="F190" s="263"/>
      <c r="G190" s="264"/>
      <c r="H190" s="264"/>
      <c r="I190" s="265"/>
      <c r="J190" s="212"/>
      <c r="K190" s="265"/>
      <c r="L190" s="265"/>
      <c r="M190" s="213"/>
      <c r="N190" s="213"/>
      <c r="O190" s="214"/>
      <c r="P190" s="206"/>
      <c r="Q190" s="266"/>
      <c r="R190" s="267"/>
      <c r="S190" s="267"/>
      <c r="T190" s="216"/>
      <c r="U190" s="267"/>
      <c r="V190" s="264"/>
      <c r="W190" s="264"/>
      <c r="X190" s="264"/>
      <c r="Y190" s="264"/>
      <c r="Z190" s="206"/>
      <c r="AA190" s="265"/>
      <c r="AB190" s="217"/>
      <c r="AC190" s="218"/>
      <c r="AD190" s="219"/>
      <c r="AE190" s="220"/>
      <c r="AF190" s="215"/>
      <c r="AG190" s="226">
        <f>SUM(AG123:AG188)</f>
        <v>725360.97499999986</v>
      </c>
      <c r="AH190" s="221"/>
      <c r="AI190" s="221"/>
      <c r="AJ190" s="221"/>
      <c r="AK190" s="221"/>
      <c r="AL190" s="222"/>
      <c r="AM190" s="222"/>
      <c r="AN190" s="222"/>
      <c r="AO190" s="222"/>
      <c r="AP190" s="222"/>
      <c r="AQ190" s="223"/>
      <c r="AR190" s="224"/>
    </row>
    <row r="191" spans="1:44" s="16" customFormat="1" ht="30.95" hidden="1" customHeight="1" x14ac:dyDescent="0.2">
      <c r="A191" s="35"/>
      <c r="B191" s="36"/>
      <c r="C191" s="43"/>
      <c r="D191" s="29"/>
      <c r="E191" s="29"/>
      <c r="F191" s="255"/>
      <c r="G191" s="256"/>
      <c r="H191" s="256"/>
      <c r="I191" s="200"/>
      <c r="J191" s="30"/>
      <c r="K191" s="200"/>
      <c r="L191" s="200"/>
      <c r="M191" s="37"/>
      <c r="N191" s="37"/>
      <c r="O191" s="45"/>
      <c r="P191" s="54"/>
      <c r="Q191" s="260"/>
      <c r="R191" s="261"/>
      <c r="S191" s="261"/>
      <c r="T191" s="38"/>
      <c r="U191" s="261"/>
      <c r="V191" s="256"/>
      <c r="W191" s="256"/>
      <c r="X191" s="256"/>
      <c r="Y191" s="256"/>
      <c r="Z191" s="54"/>
      <c r="AA191" s="200"/>
      <c r="AB191" s="31"/>
      <c r="AC191" s="184"/>
      <c r="AD191" s="51"/>
      <c r="AE191" s="52"/>
      <c r="AF191" s="41"/>
      <c r="AG191" s="45"/>
      <c r="AH191" s="28"/>
      <c r="AI191" s="28"/>
      <c r="AJ191" s="28"/>
      <c r="AK191" s="28"/>
      <c r="AL191" s="12"/>
      <c r="AM191" s="12"/>
      <c r="AN191" s="12"/>
      <c r="AO191" s="12"/>
      <c r="AP191" s="12"/>
      <c r="AQ191" s="13"/>
      <c r="AR191" s="14"/>
    </row>
    <row r="192" spans="1:44" s="16" customFormat="1" ht="30.95" hidden="1" customHeight="1" x14ac:dyDescent="0.2">
      <c r="A192" s="35" t="s">
        <v>889</v>
      </c>
      <c r="B192" s="36" t="s">
        <v>877</v>
      </c>
      <c r="C192" s="43"/>
      <c r="D192" s="29"/>
      <c r="E192" s="29"/>
      <c r="F192" s="255" t="str">
        <f>IF(D192="","",VLOOKUP(D192,契約台帳!$A$3:$K$4986,6,FALSE)&amp;VLOOKUP(D192,契約台帳!$A$3:$K$4986,7,FALSE)&amp;VLOOKUP(D192,契約台帳!$A$3:$K$4986,8,FALSE)&amp;VLOOKUP(D192,契約台帳!$A$3:$K$4986,9,FALSE)&amp;VLOOKUP(D192,契約台帳!$A$3:$K$4986,11,FALSE))</f>
        <v/>
      </c>
      <c r="G192" s="256" t="str">
        <f>IF(D192="","",VLOOKUP(F192,製品マスタ!$G$5:$H$4999,2,FALSE))</f>
        <v/>
      </c>
      <c r="H192" s="256" t="str">
        <f>IF(D192="","",VLOOKUP(F192,製品マスタ!$G$5:$K$4999,5,FALSE))</f>
        <v/>
      </c>
      <c r="I192" s="200" t="str">
        <f>IF(D192="","",VLOOKUP(F192,製品マスタ!$G$5:$L$4999,6,FALSE))</f>
        <v/>
      </c>
      <c r="J192" s="30" t="s">
        <v>448</v>
      </c>
      <c r="K192" s="200" t="str">
        <f>IF(D192="","",VLOOKUP(D192,契約台帳!$A$3:$L$4986,12,FALSE))</f>
        <v/>
      </c>
      <c r="L192" s="200" t="str">
        <f>IF(D192="","",INDEX(製品マスタ!$Q$5:$Q$4999,MATCH(F192&amp;K192,製品マスタ!$AO$5:$AO$4999,0)))</f>
        <v/>
      </c>
      <c r="M192" s="37"/>
      <c r="N192" s="37"/>
      <c r="O192" s="45"/>
      <c r="P192" s="54"/>
      <c r="Q192" s="260" t="str">
        <f>IF(D192="","",IF(J192="リード付け",M192,VLOOKUP(D192,契約台帳!$A$3:$N$4986,14,FALSE)))</f>
        <v/>
      </c>
      <c r="R192" s="261" t="str">
        <f>IF(D192="","",IF(J192="リード付け",M192,VLOOKUP(D192,契約台帳!$A$3:$O$4986,15,FALSE)))</f>
        <v/>
      </c>
      <c r="S192" s="261" t="str">
        <f>IF(D192="","",IF(J192="リード付け",N192,VLOOKUP(D192,契約台帳!$A$3:$P$4986,16,FALSE)))</f>
        <v/>
      </c>
      <c r="T192" s="38"/>
      <c r="U192" s="261" t="str">
        <f ca="1">IF(D192="","",IF(OFFSET(D192,-2,0)=D192,"",VLOOKUP(D192,契約台帳!$A$3:$R$4986,18,FALSE)))</f>
        <v/>
      </c>
      <c r="V192" s="256" t="str">
        <f>IF(J192="巻返し",VLOOKUP(F192&amp;K192&amp;M192,製品マスタ!$M$5:$AD$4999,18,FALSE),IF(J192="リード付け","原反コア",IF(J192="スリット",VLOOKUP(F192&amp;K192&amp;Q192,製品マスタ!$N$5:$AD$4999,17,FALSE),"")))</f>
        <v/>
      </c>
      <c r="W192" s="256" t="str">
        <f>IF(J192="巻返し",VLOOKUP(F192&amp;K192&amp;M192,製品マスタ!$M$5:$AE$4999,19,FALSE),IF(J192="リード付け","-",IF(J192="スリット",VLOOKUP(F192&amp;K192&amp;Q192,製品マスタ!$N$5:$AE$4999,18,FALSE),"")))</f>
        <v/>
      </c>
      <c r="X192" s="256" t="str">
        <f>IF(D192="","",VLOOKUP(D192,契約台帳!$A$3:$Q$4986,17,FALSE))</f>
        <v/>
      </c>
      <c r="Y192" s="256" t="str">
        <f>IF(D192="","",VLOOKUP(D192,契約台帳!$A$3:$E$4986,5,FALSE))</f>
        <v/>
      </c>
      <c r="Z192" s="54"/>
      <c r="AA192" s="200" t="str">
        <f>IFERROR(VLOOKUP(F192&amp;K192&amp;M192,製品マスタ!$M$5:$AM$4999,27,FALSE),"")</f>
        <v/>
      </c>
      <c r="AB192" s="31"/>
      <c r="AC192" s="184"/>
      <c r="AD192" s="51"/>
      <c r="AE192" s="52"/>
      <c r="AF192" s="41"/>
      <c r="AG192" s="45"/>
      <c r="AH192" s="28"/>
      <c r="AI192" s="28"/>
      <c r="AJ192" s="28"/>
      <c r="AK192" s="28"/>
      <c r="AL192" s="12"/>
      <c r="AM192" s="12"/>
      <c r="AN192" s="12"/>
      <c r="AO192" s="12"/>
      <c r="AP192" s="12"/>
      <c r="AQ192" s="13"/>
      <c r="AR192" s="14"/>
    </row>
    <row r="193" spans="1:44" s="16" customFormat="1" ht="30.95" hidden="1" customHeight="1" x14ac:dyDescent="0.2">
      <c r="A193" s="35"/>
      <c r="B193" s="36"/>
      <c r="C193" s="43"/>
      <c r="D193" s="29"/>
      <c r="E193" s="29"/>
      <c r="F193" s="255" t="str">
        <f>IF(D193="","",VLOOKUP(D193,契約台帳!$A$3:$K$4986,6,FALSE)&amp;VLOOKUP(D193,契約台帳!$A$3:$K$4986,7,FALSE)&amp;VLOOKUP(D193,契約台帳!$A$3:$K$4986,8,FALSE)&amp;VLOOKUP(D193,契約台帳!$A$3:$K$4986,9,FALSE)&amp;VLOOKUP(D193,契約台帳!$A$3:$K$4986,11,FALSE))</f>
        <v/>
      </c>
      <c r="G193" s="256" t="str">
        <f>IF(D193="","",VLOOKUP(F193,製品マスタ!$G$5:$H$4999,2,FALSE))</f>
        <v/>
      </c>
      <c r="H193" s="256" t="str">
        <f>IF(D193="","",VLOOKUP(F193,製品マスタ!$G$5:$K$4999,5,FALSE))</f>
        <v/>
      </c>
      <c r="I193" s="200" t="str">
        <f>IF(D193="","",VLOOKUP(F193,製品マスタ!$G$5:$L$4999,6,FALSE))</f>
        <v/>
      </c>
      <c r="J193" s="30"/>
      <c r="K193" s="200" t="str">
        <f>IF(D193="","",VLOOKUP(D193,契約台帳!$A$3:$L$4986,12,FALSE))</f>
        <v/>
      </c>
      <c r="L193" s="200" t="str">
        <f>IF(D193="","",INDEX(製品マスタ!$Q$5:$Q$4999,MATCH(F193&amp;K193,製品マスタ!$AO$5:$AO$4999,0)))</f>
        <v/>
      </c>
      <c r="M193" s="37"/>
      <c r="N193" s="37"/>
      <c r="O193" s="45"/>
      <c r="P193" s="54"/>
      <c r="Q193" s="260" t="str">
        <f>IF(D193="","",IF(J193="リード付け",M193,VLOOKUP(D193,契約台帳!$A$3:$N$4986,14,FALSE)))</f>
        <v/>
      </c>
      <c r="R193" s="261" t="str">
        <f>IF(D193="","",IF(J193="リード付け",M193,VLOOKUP(D193,契約台帳!$A$3:$O$4986,15,FALSE)))</f>
        <v/>
      </c>
      <c r="S193" s="261" t="str">
        <f>IF(D193="","",IF(J193="リード付け",N193,VLOOKUP(D193,契約台帳!$A$3:$P$4986,16,FALSE)))</f>
        <v/>
      </c>
      <c r="T193" s="38"/>
      <c r="U193" s="261" t="str">
        <f ca="1">IF(D193="","",IF(OFFSET(D193,-2,0)=D193,"",VLOOKUP(D193,契約台帳!$A$3:$R$4986,18,FALSE)))</f>
        <v/>
      </c>
      <c r="V193" s="256" t="str">
        <f>IF(J193="巻返し",VLOOKUP(F193&amp;K193&amp;M193,製品マスタ!$M$5:$AD$4999,18,FALSE),IF(J193="リード付け","原反コア",IF(J193="スリット",VLOOKUP(F193&amp;K193&amp;Q193,製品マスタ!$N$5:$AD$4999,17,FALSE),"")))</f>
        <v/>
      </c>
      <c r="W193" s="256" t="str">
        <f>IF(J193="巻返し",VLOOKUP(F193&amp;K193&amp;M193,製品マスタ!$M$5:$AE$4999,19,FALSE),IF(J193="リード付け","-",IF(J193="スリット",VLOOKUP(F193&amp;K193&amp;Q193,製品マスタ!$N$5:$AE$4999,18,FALSE),"")))</f>
        <v/>
      </c>
      <c r="X193" s="256" t="str">
        <f>IF(D193="","",VLOOKUP(D193,契約台帳!$A$3:$Q$4986,17,FALSE))</f>
        <v/>
      </c>
      <c r="Y193" s="256" t="str">
        <f>IF(D193="","",VLOOKUP(D193,契約台帳!$A$3:$E$4986,5,FALSE))</f>
        <v/>
      </c>
      <c r="Z193" s="54"/>
      <c r="AA193" s="200" t="str">
        <f>IFERROR(VLOOKUP(F193&amp;K193&amp;M193,製品マスタ!$M$5:$AM$4999,27,FALSE),"")</f>
        <v/>
      </c>
      <c r="AB193" s="31"/>
      <c r="AC193" s="184"/>
      <c r="AD193" s="51"/>
      <c r="AE193" s="52"/>
      <c r="AF193" s="41"/>
      <c r="AG193" s="45"/>
      <c r="AH193" s="28"/>
      <c r="AI193" s="28"/>
      <c r="AJ193" s="28"/>
      <c r="AK193" s="28"/>
      <c r="AL193" s="12"/>
      <c r="AM193" s="12"/>
      <c r="AN193" s="12"/>
      <c r="AO193" s="12"/>
      <c r="AP193" s="12"/>
      <c r="AQ193" s="13"/>
      <c r="AR193" s="14"/>
    </row>
    <row r="194" spans="1:44" s="16" customFormat="1" ht="30.95" hidden="1" customHeight="1" x14ac:dyDescent="0.2">
      <c r="A194" s="35" t="s">
        <v>890</v>
      </c>
      <c r="B194" s="36" t="s">
        <v>879</v>
      </c>
      <c r="C194" s="43"/>
      <c r="D194" s="29"/>
      <c r="E194" s="29"/>
      <c r="F194" s="255" t="str">
        <f>IF(D194="","",VLOOKUP(D194,契約台帳!$A$3:$K$4986,6,FALSE)&amp;VLOOKUP(D194,契約台帳!$A$3:$K$4986,7,FALSE)&amp;VLOOKUP(D194,契約台帳!$A$3:$K$4986,8,FALSE)&amp;VLOOKUP(D194,契約台帳!$A$3:$K$4986,9,FALSE)&amp;VLOOKUP(D194,契約台帳!$A$3:$K$4986,11,FALSE))</f>
        <v/>
      </c>
      <c r="G194" s="256" t="str">
        <f>IF(D194="","",VLOOKUP(F194,製品マスタ!$G$5:$H$4999,2,FALSE))</f>
        <v/>
      </c>
      <c r="H194" s="256" t="str">
        <f>IF(D194="","",VLOOKUP(F194,製品マスタ!$G$5:$K$4999,5,FALSE))</f>
        <v/>
      </c>
      <c r="I194" s="200" t="str">
        <f>IF(D194="","",VLOOKUP(F194,製品マスタ!$G$5:$L$4999,6,FALSE))</f>
        <v/>
      </c>
      <c r="J194" s="30" t="s">
        <v>448</v>
      </c>
      <c r="K194" s="200" t="str">
        <f>IF(D194="","",VLOOKUP(D194,契約台帳!$A$3:$L$4986,12,FALSE))</f>
        <v/>
      </c>
      <c r="L194" s="200" t="str">
        <f>IF(D194="","",INDEX(製品マスタ!$Q$5:$Q$4999,MATCH(F194&amp;K194,製品マスタ!$AO$5:$AO$4999,0)))</f>
        <v/>
      </c>
      <c r="M194" s="37"/>
      <c r="N194" s="37"/>
      <c r="O194" s="45"/>
      <c r="P194" s="54"/>
      <c r="Q194" s="260" t="str">
        <f>IF(D194="","",IF(J194="リード付け",M194,VLOOKUP(D194,契約台帳!$A$3:$N$4986,14,FALSE)))</f>
        <v/>
      </c>
      <c r="R194" s="261" t="str">
        <f>IF(D194="","",IF(J194="リード付け",M194,VLOOKUP(D194,契約台帳!$A$3:$O$4986,15,FALSE)))</f>
        <v/>
      </c>
      <c r="S194" s="261" t="str">
        <f>IF(D194="","",IF(J194="リード付け",N194,VLOOKUP(D194,契約台帳!$A$3:$P$4986,16,FALSE)))</f>
        <v/>
      </c>
      <c r="T194" s="38"/>
      <c r="U194" s="261" t="str">
        <f ca="1">IF(D194="","",IF(OFFSET(D194,-2,0)=D194,"",VLOOKUP(D194,契約台帳!$A$3:$R$4986,18,FALSE)))</f>
        <v/>
      </c>
      <c r="V194" s="256" t="str">
        <f>IF(J194="巻返し",VLOOKUP(F194&amp;K194&amp;M194,製品マスタ!$M$5:$AD$4999,18,FALSE),IF(J194="リード付け","原反コア",IF(J194="スリット",VLOOKUP(F194&amp;K194&amp;Q194,製品マスタ!$N$5:$AD$4999,17,FALSE),"")))</f>
        <v/>
      </c>
      <c r="W194" s="256" t="str">
        <f>IF(J194="巻返し",VLOOKUP(F194&amp;K194&amp;M194,製品マスタ!$M$5:$AE$4999,19,FALSE),IF(J194="リード付け","-",IF(J194="スリット",VLOOKUP(F194&amp;K194&amp;Q194,製品マスタ!$N$5:$AE$4999,18,FALSE),"")))</f>
        <v/>
      </c>
      <c r="X194" s="256" t="str">
        <f>IF(D194="","",VLOOKUP(D194,契約台帳!$A$3:$Q$4986,17,FALSE))</f>
        <v/>
      </c>
      <c r="Y194" s="256" t="str">
        <f>IF(D194="","",VLOOKUP(D194,契約台帳!$A$3:$E$4986,5,FALSE))</f>
        <v/>
      </c>
      <c r="Z194" s="54"/>
      <c r="AA194" s="200" t="str">
        <f>IFERROR(VLOOKUP(F194&amp;K194&amp;M194,製品マスタ!$M$5:$AM$4999,27,FALSE),"")</f>
        <v/>
      </c>
      <c r="AB194" s="31"/>
      <c r="AC194" s="184"/>
      <c r="AD194" s="51"/>
      <c r="AE194" s="52"/>
      <c r="AF194" s="41"/>
      <c r="AG194" s="45"/>
      <c r="AH194" s="28"/>
      <c r="AI194" s="28"/>
      <c r="AJ194" s="28"/>
      <c r="AK194" s="28"/>
      <c r="AL194" s="12"/>
      <c r="AM194" s="12"/>
      <c r="AN194" s="12"/>
      <c r="AO194" s="12"/>
      <c r="AP194" s="12"/>
      <c r="AQ194" s="13"/>
      <c r="AR194" s="14"/>
    </row>
    <row r="195" spans="1:44" s="16" customFormat="1" ht="30.95" hidden="1" customHeight="1" x14ac:dyDescent="0.2">
      <c r="A195" s="35"/>
      <c r="B195" s="36"/>
      <c r="C195" s="43"/>
      <c r="D195" s="29"/>
      <c r="E195" s="29"/>
      <c r="F195" s="255" t="str">
        <f>IF(D195="","",VLOOKUP(D195,契約台帳!$A$3:$K$4986,6,FALSE)&amp;VLOOKUP(D195,契約台帳!$A$3:$K$4986,7,FALSE)&amp;VLOOKUP(D195,契約台帳!$A$3:$K$4986,8,FALSE)&amp;VLOOKUP(D195,契約台帳!$A$3:$K$4986,9,FALSE)&amp;VLOOKUP(D195,契約台帳!$A$3:$K$4986,11,FALSE))</f>
        <v/>
      </c>
      <c r="G195" s="256" t="str">
        <f>IF(D195="","",VLOOKUP(F195,製品マスタ!$G$5:$H$4999,2,FALSE))</f>
        <v/>
      </c>
      <c r="H195" s="256" t="str">
        <f>IF(D195="","",VLOOKUP(F195,製品マスタ!$G$5:$K$4999,5,FALSE))</f>
        <v/>
      </c>
      <c r="I195" s="200" t="str">
        <f>IF(D195="","",VLOOKUP(F195,製品マスタ!$G$5:$L$4999,6,FALSE))</f>
        <v/>
      </c>
      <c r="J195" s="30"/>
      <c r="K195" s="200" t="str">
        <f>IF(D195="","",VLOOKUP(D195,契約台帳!$A$3:$L$4986,12,FALSE))</f>
        <v/>
      </c>
      <c r="L195" s="200" t="str">
        <f>IF(D195="","",INDEX(製品マスタ!$Q$5:$Q$4999,MATCH(F195&amp;K195,製品マスタ!$AO$5:$AO$4999,0)))</f>
        <v/>
      </c>
      <c r="M195" s="37"/>
      <c r="N195" s="37"/>
      <c r="O195" s="45"/>
      <c r="P195" s="54"/>
      <c r="Q195" s="260" t="str">
        <f>IF(D195="","",IF(J195="リード付け",M195,VLOOKUP(D195,契約台帳!$A$3:$N$4986,14,FALSE)))</f>
        <v/>
      </c>
      <c r="R195" s="261" t="str">
        <f>IF(D195="","",IF(J195="リード付け",M195,VLOOKUP(D195,契約台帳!$A$3:$O$4986,15,FALSE)))</f>
        <v/>
      </c>
      <c r="S195" s="261" t="str">
        <f>IF(D195="","",IF(J195="リード付け",N195,VLOOKUP(D195,契約台帳!$A$3:$P$4986,16,FALSE)))</f>
        <v/>
      </c>
      <c r="T195" s="38"/>
      <c r="U195" s="261" t="str">
        <f ca="1">IF(D195="","",IF(OFFSET(D195,-2,0)=D195,"",VLOOKUP(D195,契約台帳!$A$3:$R$4986,18,FALSE)))</f>
        <v/>
      </c>
      <c r="V195" s="256" t="str">
        <f>IF(J195="巻返し",VLOOKUP(F195&amp;K195&amp;M195,製品マスタ!$M$5:$AD$4999,18,FALSE),IF(J195="リード付け","原反コア",IF(J195="スリット",VLOOKUP(F195&amp;K195&amp;Q195,製品マスタ!$N$5:$AD$4999,17,FALSE),"")))</f>
        <v/>
      </c>
      <c r="W195" s="256" t="str">
        <f>IF(J195="巻返し",VLOOKUP(F195&amp;K195&amp;M195,製品マスタ!$M$5:$AE$4999,19,FALSE),IF(J195="リード付け","-",IF(J195="スリット",VLOOKUP(F195&amp;K195&amp;Q195,製品マスタ!$N$5:$AE$4999,18,FALSE),"")))</f>
        <v/>
      </c>
      <c r="X195" s="256" t="str">
        <f>IF(D195="","",VLOOKUP(D195,契約台帳!$A$3:$Q$4986,17,FALSE))</f>
        <v/>
      </c>
      <c r="Y195" s="256" t="str">
        <f>IF(D195="","",VLOOKUP(D195,契約台帳!$A$3:$E$4986,5,FALSE))</f>
        <v/>
      </c>
      <c r="Z195" s="54"/>
      <c r="AA195" s="200" t="str">
        <f>IFERROR(VLOOKUP(F195&amp;K195&amp;M195,製品マスタ!$M$5:$AM$4999,27,FALSE),"")</f>
        <v/>
      </c>
      <c r="AB195" s="31"/>
      <c r="AC195" s="184"/>
      <c r="AD195" s="51"/>
      <c r="AE195" s="52"/>
      <c r="AF195" s="41"/>
      <c r="AG195" s="45"/>
      <c r="AH195" s="28"/>
      <c r="AI195" s="28"/>
      <c r="AJ195" s="28"/>
      <c r="AK195" s="28"/>
      <c r="AL195" s="12"/>
      <c r="AM195" s="12"/>
      <c r="AN195" s="12"/>
      <c r="AO195" s="12"/>
      <c r="AP195" s="12"/>
      <c r="AQ195" s="13"/>
      <c r="AR195" s="14"/>
    </row>
    <row r="196" spans="1:44" s="16" customFormat="1" ht="30.95" hidden="1" customHeight="1" x14ac:dyDescent="0.2">
      <c r="A196" s="35" t="s">
        <v>891</v>
      </c>
      <c r="B196" s="36" t="s">
        <v>881</v>
      </c>
      <c r="C196" s="43"/>
      <c r="D196" s="29"/>
      <c r="E196" s="29"/>
      <c r="F196" s="255" t="str">
        <f>IF(D196="","",VLOOKUP(D196,契約台帳!$A$3:$K$4986,6,FALSE)&amp;VLOOKUP(D196,契約台帳!$A$3:$K$4986,7,FALSE)&amp;VLOOKUP(D196,契約台帳!$A$3:$K$4986,8,FALSE)&amp;VLOOKUP(D196,契約台帳!$A$3:$K$4986,9,FALSE)&amp;VLOOKUP(D196,契約台帳!$A$3:$K$4986,11,FALSE))</f>
        <v/>
      </c>
      <c r="G196" s="256" t="str">
        <f>IF(D196="","",VLOOKUP(F196,製品マスタ!$G$5:$H$4999,2,FALSE))</f>
        <v/>
      </c>
      <c r="H196" s="256" t="str">
        <f>IF(D196="","",VLOOKUP(F196,製品マスタ!$G$5:$K$4999,5,FALSE))</f>
        <v/>
      </c>
      <c r="I196" s="200" t="str">
        <f>IF(D196="","",VLOOKUP(F196,製品マスタ!$G$5:$L$4999,6,FALSE))</f>
        <v/>
      </c>
      <c r="J196" s="30" t="s">
        <v>904</v>
      </c>
      <c r="K196" s="200" t="str">
        <f>IF(D196="","",VLOOKUP(D196,契約台帳!$A$3:$L$4986,12,FALSE))</f>
        <v/>
      </c>
      <c r="L196" s="200" t="str">
        <f>IF(D196="","",INDEX(製品マスタ!$Q$5:$Q$4999,MATCH(F196&amp;K196,製品マスタ!$AO$5:$AO$4999,0)))</f>
        <v/>
      </c>
      <c r="M196" s="37"/>
      <c r="N196" s="37"/>
      <c r="O196" s="45"/>
      <c r="P196" s="54"/>
      <c r="Q196" s="260" t="str">
        <f>IF(D196="","",IF(J196="リード付け",M196,VLOOKUP(D196,契約台帳!$A$3:$N$4986,14,FALSE)))</f>
        <v/>
      </c>
      <c r="R196" s="261" t="str">
        <f>IF(D196="","",IF(J196="リード付け",M196,VLOOKUP(D196,契約台帳!$A$3:$O$4986,15,FALSE)))</f>
        <v/>
      </c>
      <c r="S196" s="261" t="str">
        <f>IF(D196="","",IF(J196="リード付け",N196,VLOOKUP(D196,契約台帳!$A$3:$P$4986,16,FALSE)))</f>
        <v/>
      </c>
      <c r="T196" s="38"/>
      <c r="U196" s="261" t="str">
        <f ca="1">IF(D196="","",IF(OFFSET(D196,-2,0)=D196,"",VLOOKUP(D196,契約台帳!$A$3:$R$4986,18,FALSE)))</f>
        <v/>
      </c>
      <c r="V196" s="256" t="str">
        <f>IF(J196="巻返し",VLOOKUP(F196&amp;K196&amp;M196,製品マスタ!$M$5:$AD$4999,18,FALSE),IF(J196="リード付け","原反コア",IF(J196="スリット",VLOOKUP(F196&amp;K196&amp;Q196,製品マスタ!$N$5:$AD$4999,17,FALSE),"")))</f>
        <v/>
      </c>
      <c r="W196" s="256" t="str">
        <f>IF(J196="巻返し",VLOOKUP(F196&amp;K196&amp;M196,製品マスタ!$M$5:$AE$4999,19,FALSE),IF(J196="リード付け","-",IF(J196="スリット",VLOOKUP(F196&amp;K196&amp;Q196,製品マスタ!$N$5:$AE$4999,18,FALSE),"")))</f>
        <v/>
      </c>
      <c r="X196" s="256" t="str">
        <f>IF(D196="","",VLOOKUP(D196,契約台帳!$A$3:$Q$4986,17,FALSE))</f>
        <v/>
      </c>
      <c r="Y196" s="256" t="str">
        <f>IF(D196="","",VLOOKUP(D196,契約台帳!$A$3:$E$4986,5,FALSE))</f>
        <v/>
      </c>
      <c r="Z196" s="54"/>
      <c r="AA196" s="200" t="str">
        <f>IFERROR(VLOOKUP(F196&amp;K196&amp;M196,製品マスタ!$M$5:$AM$4999,27,FALSE),"")</f>
        <v/>
      </c>
      <c r="AB196" s="31"/>
      <c r="AC196" s="184"/>
      <c r="AD196" s="51"/>
      <c r="AE196" s="52"/>
      <c r="AF196" s="41"/>
      <c r="AG196" s="45"/>
      <c r="AH196" s="28"/>
      <c r="AI196" s="28"/>
      <c r="AJ196" s="28"/>
      <c r="AK196" s="28"/>
      <c r="AL196" s="12"/>
      <c r="AM196" s="12"/>
      <c r="AN196" s="12"/>
      <c r="AO196" s="12"/>
      <c r="AP196" s="12"/>
      <c r="AQ196" s="13"/>
      <c r="AR196" s="14"/>
    </row>
    <row r="197" spans="1:44" s="16" customFormat="1" ht="30.95" hidden="1" customHeight="1" x14ac:dyDescent="0.2">
      <c r="A197" s="35"/>
      <c r="B197" s="36"/>
      <c r="C197" s="43"/>
      <c r="D197" s="29"/>
      <c r="E197" s="29"/>
      <c r="F197" s="255" t="str">
        <f>IF(D197="","",VLOOKUP(D197,契約台帳!$A$3:$K$4986,6,FALSE)&amp;VLOOKUP(D197,契約台帳!$A$3:$K$4986,7,FALSE)&amp;VLOOKUP(D197,契約台帳!$A$3:$K$4986,8,FALSE)&amp;VLOOKUP(D197,契約台帳!$A$3:$K$4986,9,FALSE)&amp;VLOOKUP(D197,契約台帳!$A$3:$K$4986,11,FALSE))</f>
        <v/>
      </c>
      <c r="G197" s="256" t="str">
        <f>IF(D197="","",VLOOKUP(F197,製品マスタ!$G$5:$H$4999,2,FALSE))</f>
        <v/>
      </c>
      <c r="H197" s="256" t="str">
        <f>IF(D197="","",VLOOKUP(F197,製品マスタ!$G$5:$K$4999,5,FALSE))</f>
        <v/>
      </c>
      <c r="I197" s="200" t="str">
        <f>IF(D197="","",VLOOKUP(F197,製品マスタ!$G$5:$L$4999,6,FALSE))</f>
        <v/>
      </c>
      <c r="J197" s="30"/>
      <c r="K197" s="200" t="str">
        <f>IF(D197="","",VLOOKUP(D197,契約台帳!$A$3:$L$4986,12,FALSE))</f>
        <v/>
      </c>
      <c r="L197" s="200" t="str">
        <f>IF(D197="","",INDEX(製品マスタ!$Q$5:$Q$4999,MATCH(F197&amp;K197,製品マスタ!$AO$5:$AO$4999,0)))</f>
        <v/>
      </c>
      <c r="M197" s="37"/>
      <c r="N197" s="37"/>
      <c r="O197" s="45"/>
      <c r="P197" s="54"/>
      <c r="Q197" s="260" t="str">
        <f>IF(D197="","",IF(J197="リード付け",M197,VLOOKUP(D197,契約台帳!$A$3:$N$4986,14,FALSE)))</f>
        <v/>
      </c>
      <c r="R197" s="261" t="str">
        <f>IF(D197="","",IF(J197="リード付け",M197,VLOOKUP(D197,契約台帳!$A$3:$O$4986,15,FALSE)))</f>
        <v/>
      </c>
      <c r="S197" s="261" t="str">
        <f>IF(D197="","",IF(J197="リード付け",N197,VLOOKUP(D197,契約台帳!$A$3:$P$4986,16,FALSE)))</f>
        <v/>
      </c>
      <c r="T197" s="38"/>
      <c r="U197" s="261" t="str">
        <f ca="1">IF(D197="","",IF(OFFSET(D197,-2,0)=D197,"",VLOOKUP(D197,契約台帳!$A$3:$R$4986,18,FALSE)))</f>
        <v/>
      </c>
      <c r="V197" s="256" t="str">
        <f>IF(J197="巻返し",VLOOKUP(F197&amp;K197&amp;M197,製品マスタ!$M$5:$AD$4999,18,FALSE),IF(J197="リード付け","原反コア",IF(J197="スリット",VLOOKUP(F197&amp;K197&amp;Q197,製品マスタ!$N$5:$AD$4999,17,FALSE),"")))</f>
        <v/>
      </c>
      <c r="W197" s="256" t="str">
        <f>IF(J197="巻返し",VLOOKUP(F197&amp;K197&amp;M197,製品マスタ!$M$5:$AE$4999,19,FALSE),IF(J197="リード付け","-",IF(J197="スリット",VLOOKUP(F197&amp;K197&amp;Q197,製品マスタ!$N$5:$AE$4999,18,FALSE),"")))</f>
        <v/>
      </c>
      <c r="X197" s="256" t="str">
        <f>IF(D197="","",VLOOKUP(D197,契約台帳!$A$3:$Q$4986,17,FALSE))</f>
        <v/>
      </c>
      <c r="Y197" s="256" t="str">
        <f>IF(D197="","",VLOOKUP(D197,契約台帳!$A$3:$E$4986,5,FALSE))</f>
        <v/>
      </c>
      <c r="Z197" s="54"/>
      <c r="AA197" s="200" t="str">
        <f>IFERROR(VLOOKUP(F197&amp;K197&amp;M197,製品マスタ!$M$5:$AM$4999,27,FALSE),"")</f>
        <v/>
      </c>
      <c r="AB197" s="31"/>
      <c r="AC197" s="184"/>
      <c r="AD197" s="51"/>
      <c r="AE197" s="52"/>
      <c r="AF197" s="41"/>
      <c r="AG197" s="45"/>
      <c r="AH197" s="28"/>
      <c r="AI197" s="28"/>
      <c r="AJ197" s="28"/>
      <c r="AK197" s="28"/>
      <c r="AL197" s="12"/>
      <c r="AM197" s="12"/>
      <c r="AN197" s="12"/>
      <c r="AO197" s="12"/>
      <c r="AP197" s="12"/>
      <c r="AQ197" s="13"/>
      <c r="AR197" s="14"/>
    </row>
    <row r="198" spans="1:44" s="16" customFormat="1" ht="30.95" hidden="1" customHeight="1" x14ac:dyDescent="0.2">
      <c r="A198" s="35" t="s">
        <v>892</v>
      </c>
      <c r="B198" s="36" t="s">
        <v>882</v>
      </c>
      <c r="C198" s="43"/>
      <c r="D198" s="29"/>
      <c r="E198" s="29"/>
      <c r="F198" s="255" t="str">
        <f>IF(D198="","",VLOOKUP(D198,契約台帳!$A$3:$K$4986,6,FALSE)&amp;VLOOKUP(D198,契約台帳!$A$3:$K$4986,7,FALSE)&amp;VLOOKUP(D198,契約台帳!$A$3:$K$4986,8,FALSE)&amp;VLOOKUP(D198,契約台帳!$A$3:$K$4986,9,FALSE)&amp;VLOOKUP(D198,契約台帳!$A$3:$K$4986,11,FALSE))</f>
        <v/>
      </c>
      <c r="G198" s="256" t="str">
        <f>IF(D198="","",VLOOKUP(F198,製品マスタ!$G$5:$H$4999,2,FALSE))</f>
        <v/>
      </c>
      <c r="H198" s="256" t="str">
        <f>IF(D198="","",VLOOKUP(F198,製品マスタ!$G$5:$K$4999,5,FALSE))</f>
        <v/>
      </c>
      <c r="I198" s="279"/>
      <c r="J198" s="30" t="s">
        <v>906</v>
      </c>
      <c r="K198" s="200" t="str">
        <f>IF(D198="","",VLOOKUP(D198,契約台帳!$A$3:$L$4986,12,FALSE))</f>
        <v/>
      </c>
      <c r="L198" s="200" t="str">
        <f>IF(D198="","",INDEX(製品マスタ!$Q$5:$Q$4999,MATCH(F198&amp;K198,製品マスタ!$AO$5:$AO$4999,0)))</f>
        <v/>
      </c>
      <c r="M198" s="37"/>
      <c r="N198" s="37"/>
      <c r="O198" s="45"/>
      <c r="P198" s="54"/>
      <c r="Q198" s="260" t="str">
        <f>IF(D198="","",IF(J198="リード付け",M198,VLOOKUP(D198,契約台帳!$A$3:$N$4986,14,FALSE)))</f>
        <v/>
      </c>
      <c r="R198" s="261" t="str">
        <f>IF(D198="","",IF(J198="リード付け",M198,VLOOKUP(D198,契約台帳!$A$3:$O$4986,15,FALSE)))</f>
        <v/>
      </c>
      <c r="S198" s="261" t="str">
        <f>IF(D198="","",IF(J198="リード付け",N198,VLOOKUP(D198,契約台帳!$A$3:$P$4986,16,FALSE)))</f>
        <v/>
      </c>
      <c r="T198" s="38"/>
      <c r="U198" s="261" t="str">
        <f ca="1">IF(D198="","",IF(OFFSET(D198,-2,0)=D198,"",VLOOKUP(D198,契約台帳!$A$3:$R$4986,18,FALSE)))</f>
        <v/>
      </c>
      <c r="V198" s="256" t="str">
        <f>IF(J198="巻返し",VLOOKUP(F198&amp;K198&amp;M198,製品マスタ!$M$5:$AD$4999,18,FALSE),IF(J198="リード付け","原反コア",IF(J198="スリット",VLOOKUP(F198&amp;K198&amp;Q198,製品マスタ!$N$5:$AD$4999,17,FALSE),"")))</f>
        <v/>
      </c>
      <c r="W198" s="256" t="str">
        <f>IF(J198="巻返し",VLOOKUP(F198&amp;K198&amp;M198,製品マスタ!$M$5:$AE$4999,19,FALSE),IF(J198="リード付け","-",IF(J198="スリット",VLOOKUP(F198&amp;K198&amp;Q198,製品マスタ!$N$5:$AE$4999,18,FALSE),"")))</f>
        <v/>
      </c>
      <c r="X198" s="256" t="str">
        <f>IF(D198="","",VLOOKUP(D198,契約台帳!$A$3:$Q$4986,17,FALSE))</f>
        <v/>
      </c>
      <c r="Y198" s="256" t="str">
        <f>IF(D198="","",VLOOKUP(D198,契約台帳!$A$3:$E$4986,5,FALSE))</f>
        <v/>
      </c>
      <c r="Z198" s="54"/>
      <c r="AA198" s="200" t="str">
        <f>IFERROR(VLOOKUP(F198&amp;K198&amp;M198,製品マスタ!$M$5:$AM$4999,27,FALSE),"")</f>
        <v/>
      </c>
      <c r="AB198" s="31"/>
      <c r="AC198" s="184"/>
      <c r="AD198" s="51"/>
      <c r="AE198" s="52"/>
      <c r="AF198" s="41"/>
      <c r="AG198" s="45"/>
      <c r="AH198" s="28"/>
      <c r="AI198" s="28"/>
      <c r="AJ198" s="28"/>
      <c r="AK198" s="28"/>
      <c r="AL198" s="12"/>
      <c r="AM198" s="12"/>
      <c r="AN198" s="12"/>
      <c r="AO198" s="12"/>
      <c r="AP198" s="12"/>
      <c r="AQ198" s="13"/>
      <c r="AR198" s="14"/>
    </row>
    <row r="199" spans="1:44" s="16" customFormat="1" ht="30.95" hidden="1" customHeight="1" x14ac:dyDescent="0.2">
      <c r="A199" s="35"/>
      <c r="B199" s="36"/>
      <c r="C199" s="43"/>
      <c r="D199" s="29"/>
      <c r="E199" s="29"/>
      <c r="F199" s="255" t="str">
        <f>IF(D199="","",VLOOKUP(D199,契約台帳!$A$3:$K$4986,6,FALSE)&amp;VLOOKUP(D199,契約台帳!$A$3:$K$4986,7,FALSE)&amp;VLOOKUP(D199,契約台帳!$A$3:$K$4986,8,FALSE)&amp;VLOOKUP(D199,契約台帳!$A$3:$K$4986,9,FALSE)&amp;VLOOKUP(D199,契約台帳!$A$3:$K$4986,11,FALSE))</f>
        <v/>
      </c>
      <c r="G199" s="256" t="str">
        <f>IF(D199="","",VLOOKUP(F199,製品マスタ!$G$5:$H$4999,2,FALSE))</f>
        <v/>
      </c>
      <c r="H199" s="256" t="str">
        <f>IF(D199="","",VLOOKUP(F199,製品マスタ!$G$5:$K$4999,5,FALSE))</f>
        <v/>
      </c>
      <c r="I199" s="200" t="str">
        <f>IF(D199="","",VLOOKUP(F199,製品マスタ!$G$5:$L$4999,6,FALSE))</f>
        <v/>
      </c>
      <c r="J199" s="30"/>
      <c r="K199" s="200" t="str">
        <f>IF(D199="","",VLOOKUP(D199,契約台帳!$A$3:$L$4986,12,FALSE))</f>
        <v/>
      </c>
      <c r="L199" s="200" t="str">
        <f>IF(D199="","",INDEX(製品マスタ!$Q$5:$Q$4999,MATCH(F199&amp;K199,製品マスタ!$AO$5:$AO$4999,0)))</f>
        <v/>
      </c>
      <c r="M199" s="37"/>
      <c r="N199" s="37"/>
      <c r="O199" s="45"/>
      <c r="P199" s="54"/>
      <c r="Q199" s="260" t="str">
        <f>IF(D199="","",IF(J199="リード付け",M199,VLOOKUP(D199,契約台帳!$A$3:$N$4986,14,FALSE)))</f>
        <v/>
      </c>
      <c r="R199" s="261" t="str">
        <f>IF(D199="","",IF(J199="リード付け",M199,VLOOKUP(D199,契約台帳!$A$3:$O$4986,15,FALSE)))</f>
        <v/>
      </c>
      <c r="S199" s="261" t="str">
        <f>IF(D199="","",IF(J199="リード付け",N199,VLOOKUP(D199,契約台帳!$A$3:$P$4986,16,FALSE)))</f>
        <v/>
      </c>
      <c r="T199" s="38"/>
      <c r="U199" s="261" t="str">
        <f ca="1">IF(D199="","",IF(OFFSET(D199,-2,0)=D199,"",VLOOKUP(D199,契約台帳!$A$3:$R$4986,18,FALSE)))</f>
        <v/>
      </c>
      <c r="V199" s="256" t="str">
        <f>IF(J199="巻返し",VLOOKUP(F199&amp;K199&amp;M199,製品マスタ!$M$5:$AD$4999,18,FALSE),IF(J199="リード付け","原反コア",IF(J199="スリット",VLOOKUP(F199&amp;K199&amp;Q199,製品マスタ!$N$5:$AD$4999,17,FALSE),"")))</f>
        <v/>
      </c>
      <c r="W199" s="256" t="str">
        <f>IF(J199="巻返し",VLOOKUP(F199&amp;K199&amp;M199,製品マスタ!$M$5:$AE$4999,19,FALSE),IF(J199="リード付け","-",IF(J199="スリット",VLOOKUP(F199&amp;K199&amp;Q199,製品マスタ!$N$5:$AE$4999,18,FALSE),"")))</f>
        <v/>
      </c>
      <c r="X199" s="256" t="str">
        <f>IF(D199="","",VLOOKUP(D199,契約台帳!$A$3:$Q$4986,17,FALSE))</f>
        <v/>
      </c>
      <c r="Y199" s="256" t="str">
        <f>IF(D199="","",VLOOKUP(D199,契約台帳!$A$3:$E$4986,5,FALSE))</f>
        <v/>
      </c>
      <c r="Z199" s="54"/>
      <c r="AA199" s="200" t="str">
        <f>IFERROR(VLOOKUP(F199&amp;K199&amp;M199,製品マスタ!$M$5:$AM$4999,27,FALSE),"")</f>
        <v/>
      </c>
      <c r="AB199" s="31"/>
      <c r="AC199" s="184"/>
      <c r="AD199" s="51"/>
      <c r="AE199" s="52"/>
      <c r="AF199" s="41"/>
      <c r="AG199" s="45"/>
      <c r="AH199" s="28"/>
      <c r="AI199" s="28"/>
      <c r="AJ199" s="28"/>
      <c r="AK199" s="28"/>
      <c r="AL199" s="12"/>
      <c r="AM199" s="12"/>
      <c r="AN199" s="12"/>
      <c r="AO199" s="12"/>
      <c r="AP199" s="12"/>
      <c r="AQ199" s="13"/>
      <c r="AR199" s="14"/>
    </row>
    <row r="200" spans="1:44" s="16" customFormat="1" ht="30.95" hidden="1" customHeight="1" x14ac:dyDescent="0.2">
      <c r="A200" s="35" t="s">
        <v>933</v>
      </c>
      <c r="B200" s="36" t="s">
        <v>934</v>
      </c>
      <c r="C200" s="43"/>
      <c r="D200" s="29">
        <v>3700955</v>
      </c>
      <c r="E200" s="29">
        <v>4170102</v>
      </c>
      <c r="F200" s="255" t="str">
        <f>IF(D200="","",VLOOKUP(D200,契約台帳!$A$3:$K$4986,6,FALSE)&amp;VLOOKUP(D200,契約台帳!$A$3:$K$4986,7,FALSE)&amp;VLOOKUP(D200,契約台帳!$A$3:$K$4986,8,FALSE)&amp;VLOOKUP(D200,契約台帳!$A$3:$K$4986,9,FALSE)&amp;VLOOKUP(D200,契約台帳!$A$3:$K$4986,11,FALSE))</f>
        <v>3SNMLBMNGTBF</v>
      </c>
      <c r="G200" s="256" t="str">
        <f>IF(D200="","",VLOOKUP(F200,製品マスタ!$G$5:$H$4999,2,FALSE))</f>
        <v>S</v>
      </c>
      <c r="H200" s="256" t="str">
        <f>IF(D200="","",VLOOKUP(F200,製品マスタ!$G$5:$K$4999,5,FALSE))</f>
        <v>MNGTBF</v>
      </c>
      <c r="I200" s="200" t="str">
        <f>IF(D200="","",VLOOKUP(F200,製品マスタ!$G$5:$L$4999,6,FALSE))</f>
        <v>メタルミー　ネーマー　銀艶　Ｂ</v>
      </c>
      <c r="J200" s="30" t="s">
        <v>464</v>
      </c>
      <c r="K200" s="200">
        <f>IF(D200="","",VLOOKUP(D200,契約台帳!$A$3:$L$4986,12,FALSE))</f>
        <v>25</v>
      </c>
      <c r="L200" s="200" t="str">
        <f>IF(D200="","",INDEX(製品マスタ!$Q$5:$Q$4999,MATCH(F200&amp;K200,製品マスタ!$AO$5:$AO$4999,0)))</f>
        <v>T62M</v>
      </c>
      <c r="M200" s="37">
        <v>1005</v>
      </c>
      <c r="N200" s="37">
        <v>12100</v>
      </c>
      <c r="O200" s="45">
        <v>5</v>
      </c>
      <c r="P200" s="206">
        <v>44986</v>
      </c>
      <c r="Q200" s="260">
        <f>IF(D200="","",IF(J200="リード付け",M200,VLOOKUP(D200,契約台帳!$A$3:$N$4986,14,FALSE)))</f>
        <v>1005</v>
      </c>
      <c r="R200" s="261">
        <f>IF(D200="","",IF(J200="リード付け",M200,VLOOKUP(D200,契約台帳!$A$3:$O$4986,15,FALSE)))</f>
        <v>1005</v>
      </c>
      <c r="S200" s="261">
        <f>IF(D200="","",IF(J200="リード付け",N200,VLOOKUP(D200,契約台帳!$A$3:$P$4986,16,FALSE)))</f>
        <v>12100</v>
      </c>
      <c r="T200" s="38">
        <v>5</v>
      </c>
      <c r="U200" s="261">
        <f ca="1">IF(D200="","",IF(OFFSET(D200,-2,0)=D200,"",VLOOKUP(D200,契約台帳!$A$3:$R$4986,18,FALSE)))</f>
        <v>15</v>
      </c>
      <c r="V200" s="256" t="str">
        <f>IF(J200="巻返し",VLOOKUP(F200&amp;K200&amp;M200,製品マスタ!$M$5:$AD$4999,18,FALSE),IF(J200="リード付け","原反コア",IF(J200="スリット",VLOOKUP(F200&amp;K200&amp;Q200,製品マスタ!$N$5:$AD$4999,17,FALSE),"")))</f>
        <v>原反コア</v>
      </c>
      <c r="W200" s="256" t="str">
        <f>IF(J200="巻返し",VLOOKUP(F200&amp;K200&amp;M200,製品マスタ!$M$5:$AE$4999,19,FALSE),IF(J200="リード付け","-",IF(J200="スリット",VLOOKUP(F200&amp;K200&amp;Q200,製品マスタ!$N$5:$AE$4999,18,FALSE),"")))</f>
        <v>-</v>
      </c>
      <c r="X200" s="256">
        <f>IF(D200="","",VLOOKUP(D200,契約台帳!$A$3:$Q$4986,17,FALSE))</f>
        <v>2</v>
      </c>
      <c r="Y200" s="256" t="str">
        <f>IF(D200="","",VLOOKUP(D200,契約台帳!$A$3:$E$4986,5,FALSE))</f>
        <v>リンテック㈱</v>
      </c>
      <c r="Z200" s="54"/>
      <c r="AA200" s="200">
        <f>IFERROR(VLOOKUP(F200&amp;K200&amp;M200,製品マスタ!$M$5:$AM$4999,27,FALSE),"")</f>
        <v>0</v>
      </c>
      <c r="AB200" s="31"/>
      <c r="AC200" s="184"/>
      <c r="AD200" s="51"/>
      <c r="AE200" s="52"/>
      <c r="AF200" s="41"/>
      <c r="AG200" s="45"/>
      <c r="AH200" s="28"/>
      <c r="AI200" s="28"/>
      <c r="AJ200" s="28"/>
      <c r="AK200" s="28"/>
      <c r="AL200" s="12"/>
      <c r="AM200" s="12"/>
      <c r="AN200" s="12"/>
      <c r="AO200" s="12"/>
      <c r="AP200" s="12"/>
      <c r="AQ200" s="13"/>
      <c r="AR200" s="14"/>
    </row>
    <row r="201" spans="1:44" s="16" customFormat="1" ht="30.95" hidden="1" customHeight="1" x14ac:dyDescent="0.2">
      <c r="A201" s="35"/>
      <c r="B201" s="36"/>
      <c r="C201" s="43"/>
      <c r="D201" s="29"/>
      <c r="E201" s="29"/>
      <c r="F201" s="255" t="str">
        <f>IF(D201="","",VLOOKUP(D201,契約台帳!$A$3:$K$4986,6,FALSE)&amp;VLOOKUP(D201,契約台帳!$A$3:$K$4986,7,FALSE)&amp;VLOOKUP(D201,契約台帳!$A$3:$K$4986,8,FALSE)&amp;VLOOKUP(D201,契約台帳!$A$3:$K$4986,9,FALSE)&amp;VLOOKUP(D201,契約台帳!$A$3:$K$4986,11,FALSE))</f>
        <v/>
      </c>
      <c r="G201" s="256" t="str">
        <f>IF(D201="","",VLOOKUP(F201,製品マスタ!$G$5:$H$4999,2,FALSE))</f>
        <v/>
      </c>
      <c r="H201" s="256" t="str">
        <f>IF(D201="","",VLOOKUP(F201,製品マスタ!$G$5:$K$4999,5,FALSE))</f>
        <v/>
      </c>
      <c r="I201" s="200" t="str">
        <f>IF(D201="","",VLOOKUP(F201,製品マスタ!$G$5:$L$4999,6,FALSE))</f>
        <v/>
      </c>
      <c r="J201" s="30"/>
      <c r="K201" s="200" t="str">
        <f>IF(D201="","",VLOOKUP(D201,契約台帳!$A$3:$L$4986,12,FALSE))</f>
        <v/>
      </c>
      <c r="L201" s="200" t="str">
        <f>IF(D201="","",INDEX(製品マスタ!$Q$5:$Q$4999,MATCH(F201&amp;K201,製品マスタ!$AO$5:$AO$4999,0)))</f>
        <v/>
      </c>
      <c r="M201" s="37"/>
      <c r="N201" s="37"/>
      <c r="O201" s="45"/>
      <c r="P201" s="54"/>
      <c r="Q201" s="260" t="str">
        <f>IF(D201="","",IF(J201="リード付け",M201,VLOOKUP(D201,契約台帳!$A$3:$N$4986,14,FALSE)))</f>
        <v/>
      </c>
      <c r="R201" s="261" t="str">
        <f>IF(D201="","",IF(J201="リード付け",M201,VLOOKUP(D201,契約台帳!$A$3:$O$4986,15,FALSE)))</f>
        <v/>
      </c>
      <c r="S201" s="261" t="str">
        <f>IF(D201="","",IF(J201="リード付け",N201,VLOOKUP(D201,契約台帳!$A$3:$P$4986,16,FALSE)))</f>
        <v/>
      </c>
      <c r="T201" s="38"/>
      <c r="U201" s="261" t="str">
        <f ca="1">IF(D201="","",IF(OFFSET(D201,-2,0)=D201,"",VLOOKUP(D201,契約台帳!$A$3:$R$4986,18,FALSE)))</f>
        <v/>
      </c>
      <c r="V201" s="256" t="str">
        <f>IF(J201="巻返し",VLOOKUP(F201&amp;K201&amp;M201,製品マスタ!$M$5:$AD$4999,18,FALSE),IF(J201="リード付け","原反コア",IF(J201="スリット",VLOOKUP(F201&amp;K201&amp;Q201,製品マスタ!$N$5:$AD$4999,17,FALSE),"")))</f>
        <v/>
      </c>
      <c r="W201" s="256" t="str">
        <f>IF(J201="巻返し",VLOOKUP(F201&amp;K201&amp;M201,製品マスタ!$M$5:$AE$4999,19,FALSE),IF(J201="リード付け","-",IF(J201="スリット",VLOOKUP(F201&amp;K201&amp;Q201,製品マスタ!$N$5:$AE$4999,18,FALSE),"")))</f>
        <v/>
      </c>
      <c r="X201" s="256" t="str">
        <f>IF(D201="","",VLOOKUP(D201,契約台帳!$A$3:$Q$4986,17,FALSE))</f>
        <v/>
      </c>
      <c r="Y201" s="256" t="str">
        <f>IF(D201="","",VLOOKUP(D201,契約台帳!$A$3:$E$4986,5,FALSE))</f>
        <v/>
      </c>
      <c r="Z201" s="54"/>
      <c r="AA201" s="200" t="str">
        <f>IFERROR(VLOOKUP(F201&amp;K201&amp;M201,製品マスタ!$M$5:$AM$4999,27,FALSE),"")</f>
        <v/>
      </c>
      <c r="AB201" s="31"/>
      <c r="AC201" s="184"/>
      <c r="AD201" s="51"/>
      <c r="AE201" s="52"/>
      <c r="AF201" s="41"/>
      <c r="AG201" s="45"/>
      <c r="AH201" s="28"/>
      <c r="AI201" s="28"/>
      <c r="AJ201" s="28"/>
      <c r="AK201" s="28"/>
      <c r="AL201" s="12"/>
      <c r="AM201" s="12"/>
      <c r="AN201" s="12"/>
      <c r="AO201" s="12"/>
      <c r="AP201" s="12"/>
      <c r="AQ201" s="13"/>
      <c r="AR201" s="14"/>
    </row>
    <row r="202" spans="1:44" s="16" customFormat="1" ht="30.95" hidden="1" customHeight="1" x14ac:dyDescent="0.2">
      <c r="A202" s="35" t="s">
        <v>936</v>
      </c>
      <c r="B202" s="36" t="s">
        <v>937</v>
      </c>
      <c r="C202" s="43"/>
      <c r="D202" s="29"/>
      <c r="E202" s="29"/>
      <c r="F202" s="255" t="str">
        <f>IF(D202="","",VLOOKUP(D202,契約台帳!$A$3:$K$4986,6,FALSE)&amp;VLOOKUP(D202,契約台帳!$A$3:$K$4986,7,FALSE)&amp;VLOOKUP(D202,契約台帳!$A$3:$K$4986,8,FALSE)&amp;VLOOKUP(D202,契約台帳!$A$3:$K$4986,9,FALSE)&amp;VLOOKUP(D202,契約台帳!$A$3:$K$4986,11,FALSE))</f>
        <v/>
      </c>
      <c r="G202" s="256" t="str">
        <f>IF(D202="","",VLOOKUP(F202,製品マスタ!$G$5:$H$4999,2,FALSE))</f>
        <v/>
      </c>
      <c r="H202" s="256" t="str">
        <f>IF(D202="","",VLOOKUP(F202,製品マスタ!$G$5:$K$4999,5,FALSE))</f>
        <v/>
      </c>
      <c r="I202" s="200" t="str">
        <f>IF(D202="","",VLOOKUP(F202,製品マスタ!$G$5:$L$4999,6,FALSE))</f>
        <v/>
      </c>
      <c r="J202" s="30"/>
      <c r="K202" s="200" t="str">
        <f>IF(D202="","",VLOOKUP(D202,契約台帳!$A$3:$L$4986,12,FALSE))</f>
        <v/>
      </c>
      <c r="L202" s="200" t="str">
        <f>IF(D202="","",INDEX(製品マスタ!$Q$5:$Q$4999,MATCH(F202&amp;K202,製品マスタ!$AO$5:$AO$4999,0)))</f>
        <v/>
      </c>
      <c r="M202" s="37"/>
      <c r="N202" s="37"/>
      <c r="O202" s="45"/>
      <c r="P202" s="54"/>
      <c r="Q202" s="260" t="str">
        <f>IF(D202="","",IF(J202="リード付け",M202,VLOOKUP(D202,契約台帳!$A$3:$N$4986,14,FALSE)))</f>
        <v/>
      </c>
      <c r="R202" s="261" t="str">
        <f>IF(D202="","",IF(J202="リード付け",M202,VLOOKUP(D202,契約台帳!$A$3:$O$4986,15,FALSE)))</f>
        <v/>
      </c>
      <c r="S202" s="261" t="str">
        <f>IF(D202="","",IF(J202="リード付け",N202,VLOOKUP(D202,契約台帳!$A$3:$P$4986,16,FALSE)))</f>
        <v/>
      </c>
      <c r="T202" s="38"/>
      <c r="U202" s="261" t="str">
        <f ca="1">IF(D202="","",IF(OFFSET(D202,-2,0)=D202,"",VLOOKUP(D202,契約台帳!$A$3:$R$4986,18,FALSE)))</f>
        <v/>
      </c>
      <c r="V202" s="256" t="str">
        <f>IF(J202="巻返し",VLOOKUP(F202&amp;K202&amp;M202,製品マスタ!$M$5:$AD$4999,18,FALSE),IF(J202="リード付け","原反コア",IF(J202="スリット",VLOOKUP(F202&amp;K202&amp;Q202,製品マスタ!$N$5:$AD$4999,17,FALSE),"")))</f>
        <v/>
      </c>
      <c r="W202" s="256" t="str">
        <f>IF(J202="巻返し",VLOOKUP(F202&amp;K202&amp;M202,製品マスタ!$M$5:$AE$4999,19,FALSE),IF(J202="リード付け","-",IF(J202="スリット",VLOOKUP(F202&amp;K202&amp;Q202,製品マスタ!$N$5:$AE$4999,18,FALSE),"")))</f>
        <v/>
      </c>
      <c r="X202" s="256" t="str">
        <f>IF(D202="","",VLOOKUP(D202,契約台帳!$A$3:$Q$4986,17,FALSE))</f>
        <v/>
      </c>
      <c r="Y202" s="256" t="str">
        <f>IF(D202="","",VLOOKUP(D202,契約台帳!$A$3:$E$4986,5,FALSE))</f>
        <v/>
      </c>
      <c r="Z202" s="54"/>
      <c r="AA202" s="200" t="str">
        <f>IFERROR(VLOOKUP(F202&amp;K202&amp;M202,製品マスタ!$M$5:$AM$4999,27,FALSE),"")</f>
        <v/>
      </c>
      <c r="AB202" s="31"/>
      <c r="AC202" s="184"/>
      <c r="AD202" s="51"/>
      <c r="AE202" s="52"/>
      <c r="AF202" s="41"/>
      <c r="AG202" s="45"/>
      <c r="AH202" s="28"/>
      <c r="AI202" s="28"/>
      <c r="AJ202" s="28"/>
      <c r="AK202" s="28"/>
      <c r="AL202" s="12"/>
      <c r="AM202" s="12"/>
      <c r="AN202" s="12"/>
      <c r="AO202" s="12"/>
      <c r="AP202" s="12"/>
      <c r="AQ202" s="13"/>
      <c r="AR202" s="14"/>
    </row>
    <row r="203" spans="1:44" s="16" customFormat="1" ht="30.95" hidden="1" customHeight="1" x14ac:dyDescent="0.2">
      <c r="A203" s="35"/>
      <c r="B203" s="36"/>
      <c r="C203" s="43"/>
      <c r="D203" s="29"/>
      <c r="E203" s="29"/>
      <c r="F203" s="255" t="str">
        <f>IF(D203="","",VLOOKUP(D203,契約台帳!$A$3:$K$4986,6,FALSE)&amp;VLOOKUP(D203,契約台帳!$A$3:$K$4986,7,FALSE)&amp;VLOOKUP(D203,契約台帳!$A$3:$K$4986,8,FALSE)&amp;VLOOKUP(D203,契約台帳!$A$3:$K$4986,9,FALSE)&amp;VLOOKUP(D203,契約台帳!$A$3:$K$4986,11,FALSE))</f>
        <v/>
      </c>
      <c r="G203" s="256" t="str">
        <f>IF(D203="","",VLOOKUP(F203,製品マスタ!$G$5:$H$4999,2,FALSE))</f>
        <v/>
      </c>
      <c r="H203" s="256" t="str">
        <f>IF(D203="","",VLOOKUP(F203,製品マスタ!$G$5:$K$4999,5,FALSE))</f>
        <v/>
      </c>
      <c r="I203" s="200" t="str">
        <f>IF(D203="","",VLOOKUP(F203,製品マスタ!$G$5:$L$4999,6,FALSE))</f>
        <v/>
      </c>
      <c r="J203" s="30"/>
      <c r="K203" s="200" t="str">
        <f>IF(D203="","",VLOOKUP(D203,契約台帳!$A$3:$L$4986,12,FALSE))</f>
        <v/>
      </c>
      <c r="L203" s="200" t="str">
        <f>IF(D203="","",INDEX(製品マスタ!$Q$5:$Q$4999,MATCH(F203&amp;K203,製品マスタ!$AO$5:$AO$4999,0)))</f>
        <v/>
      </c>
      <c r="M203" s="37"/>
      <c r="N203" s="37"/>
      <c r="O203" s="45"/>
      <c r="P203" s="54"/>
      <c r="Q203" s="260" t="str">
        <f>IF(D203="","",IF(J203="リード付け",M203,VLOOKUP(D203,契約台帳!$A$3:$N$4986,14,FALSE)))</f>
        <v/>
      </c>
      <c r="R203" s="261" t="str">
        <f>IF(D203="","",IF(J203="リード付け",M203,VLOOKUP(D203,契約台帳!$A$3:$O$4986,15,FALSE)))</f>
        <v/>
      </c>
      <c r="S203" s="261" t="str">
        <f>IF(D203="","",IF(J203="リード付け",N203,VLOOKUP(D203,契約台帳!$A$3:$P$4986,16,FALSE)))</f>
        <v/>
      </c>
      <c r="T203" s="38"/>
      <c r="U203" s="261" t="str">
        <f ca="1">IF(D203="","",IF(OFFSET(D203,-2,0)=D203,"",VLOOKUP(D203,契約台帳!$A$3:$R$4986,18,FALSE)))</f>
        <v/>
      </c>
      <c r="V203" s="256" t="str">
        <f>IF(J203="巻返し",VLOOKUP(F203&amp;K203&amp;M203,製品マスタ!$M$5:$AD$4999,18,FALSE),IF(J203="リード付け","原反コア",IF(J203="スリット",VLOOKUP(F203&amp;K203&amp;Q203,製品マスタ!$N$5:$AD$4999,17,FALSE),"")))</f>
        <v/>
      </c>
      <c r="W203" s="256" t="str">
        <f>IF(J203="巻返し",VLOOKUP(F203&amp;K203&amp;M203,製品マスタ!$M$5:$AE$4999,19,FALSE),IF(J203="リード付け","-",IF(J203="スリット",VLOOKUP(F203&amp;K203&amp;Q203,製品マスタ!$N$5:$AE$4999,18,FALSE),"")))</f>
        <v/>
      </c>
      <c r="X203" s="256" t="str">
        <f>IF(D203="","",VLOOKUP(D203,契約台帳!$A$3:$Q$4986,17,FALSE))</f>
        <v/>
      </c>
      <c r="Y203" s="256" t="str">
        <f>IF(D203="","",VLOOKUP(D203,契約台帳!$A$3:$E$4986,5,FALSE))</f>
        <v/>
      </c>
      <c r="Z203" s="54"/>
      <c r="AA203" s="200" t="str">
        <f>IFERROR(VLOOKUP(F203&amp;K203&amp;M203,製品マスタ!$M$5:$AM$4999,27,FALSE),"")</f>
        <v/>
      </c>
      <c r="AB203" s="31"/>
      <c r="AC203" s="184"/>
      <c r="AD203" s="51"/>
      <c r="AE203" s="52"/>
      <c r="AF203" s="41"/>
      <c r="AG203" s="45"/>
      <c r="AH203" s="28"/>
      <c r="AI203" s="28"/>
      <c r="AJ203" s="28"/>
      <c r="AK203" s="28"/>
      <c r="AL203" s="12"/>
      <c r="AM203" s="12"/>
      <c r="AN203" s="12"/>
      <c r="AO203" s="12"/>
      <c r="AP203" s="12"/>
      <c r="AQ203" s="13"/>
      <c r="AR203" s="14"/>
    </row>
    <row r="204" spans="1:44" s="16" customFormat="1" ht="30.95" hidden="1" customHeight="1" x14ac:dyDescent="0.2">
      <c r="A204" s="35" t="s">
        <v>938</v>
      </c>
      <c r="B204" s="36" t="s">
        <v>939</v>
      </c>
      <c r="C204" s="43"/>
      <c r="D204" s="29"/>
      <c r="E204" s="29"/>
      <c r="F204" s="255" t="str">
        <f>IF(D204="","",VLOOKUP(D204,契約台帳!$A$3:$K$4986,6,FALSE)&amp;VLOOKUP(D204,契約台帳!$A$3:$K$4986,7,FALSE)&amp;VLOOKUP(D204,契約台帳!$A$3:$K$4986,8,FALSE)&amp;VLOOKUP(D204,契約台帳!$A$3:$K$4986,9,FALSE)&amp;VLOOKUP(D204,契約台帳!$A$3:$K$4986,11,FALSE))</f>
        <v/>
      </c>
      <c r="G204" s="256" t="str">
        <f>IF(D204="","",VLOOKUP(F204,製品マスタ!$G$5:$H$4999,2,FALSE))</f>
        <v/>
      </c>
      <c r="H204" s="256" t="str">
        <f>IF(D204="","",VLOOKUP(F204,製品マスタ!$G$5:$K$4999,5,FALSE))</f>
        <v/>
      </c>
      <c r="I204" s="200" t="str">
        <f>IF(D204="","",VLOOKUP(F204,製品マスタ!$G$5:$L$4999,6,FALSE))</f>
        <v/>
      </c>
      <c r="J204" s="30"/>
      <c r="K204" s="200" t="str">
        <f>IF(D204="","",VLOOKUP(D204,契約台帳!$A$3:$L$4986,12,FALSE))</f>
        <v/>
      </c>
      <c r="L204" s="200" t="str">
        <f>IF(D204="","",INDEX(製品マスタ!$Q$5:$Q$4999,MATCH(F204&amp;K204,製品マスタ!$AO$5:$AO$4999,0)))</f>
        <v/>
      </c>
      <c r="M204" s="37"/>
      <c r="N204" s="37"/>
      <c r="O204" s="45"/>
      <c r="P204" s="54"/>
      <c r="Q204" s="260" t="str">
        <f>IF(D204="","",IF(J204="リード付け",M204,VLOOKUP(D204,契約台帳!$A$3:$N$4986,14,FALSE)))</f>
        <v/>
      </c>
      <c r="R204" s="261" t="str">
        <f>IF(D204="","",IF(J204="リード付け",M204,VLOOKUP(D204,契約台帳!$A$3:$O$4986,15,FALSE)))</f>
        <v/>
      </c>
      <c r="S204" s="261" t="str">
        <f>IF(D204="","",IF(J204="リード付け",N204,VLOOKUP(D204,契約台帳!$A$3:$P$4986,16,FALSE)))</f>
        <v/>
      </c>
      <c r="T204" s="38"/>
      <c r="U204" s="261" t="str">
        <f ca="1">IF(D204="","",IF(OFFSET(D204,-2,0)=D204,"",VLOOKUP(D204,契約台帳!$A$3:$R$4986,18,FALSE)))</f>
        <v/>
      </c>
      <c r="V204" s="256" t="str">
        <f>IF(J204="巻返し",VLOOKUP(F204&amp;K204&amp;M204,製品マスタ!$M$5:$AD$4999,18,FALSE),IF(J204="リード付け","原反コア",IF(J204="スリット",VLOOKUP(F204&amp;K204&amp;Q204,製品マスタ!$N$5:$AD$4999,17,FALSE),"")))</f>
        <v/>
      </c>
      <c r="W204" s="256" t="str">
        <f>IF(J204="巻返し",VLOOKUP(F204&amp;K204&amp;M204,製品マスタ!$M$5:$AE$4999,19,FALSE),IF(J204="リード付け","-",IF(J204="スリット",VLOOKUP(F204&amp;K204&amp;Q204,製品マスタ!$N$5:$AE$4999,18,FALSE),"")))</f>
        <v/>
      </c>
      <c r="X204" s="256" t="str">
        <f>IF(D204="","",VLOOKUP(D204,契約台帳!$A$3:$Q$4986,17,FALSE))</f>
        <v/>
      </c>
      <c r="Y204" s="256" t="str">
        <f>IF(D204="","",VLOOKUP(D204,契約台帳!$A$3:$E$4986,5,FALSE))</f>
        <v/>
      </c>
      <c r="Z204" s="54"/>
      <c r="AA204" s="200" t="str">
        <f>IFERROR(VLOOKUP(F204&amp;K204&amp;M204,製品マスタ!$M$5:$AM$4999,27,FALSE),"")</f>
        <v/>
      </c>
      <c r="AB204" s="31"/>
      <c r="AC204" s="184"/>
      <c r="AD204" s="51"/>
      <c r="AE204" s="52"/>
      <c r="AF204" s="41"/>
      <c r="AG204" s="45"/>
      <c r="AH204" s="28"/>
      <c r="AI204" s="28"/>
      <c r="AJ204" s="28"/>
      <c r="AK204" s="28"/>
      <c r="AL204" s="12"/>
      <c r="AM204" s="12"/>
      <c r="AN204" s="12"/>
      <c r="AO204" s="12"/>
      <c r="AP204" s="12"/>
      <c r="AQ204" s="13"/>
      <c r="AR204" s="14"/>
    </row>
    <row r="205" spans="1:44" s="16" customFormat="1" ht="30.95" hidden="1" customHeight="1" x14ac:dyDescent="0.2">
      <c r="A205" s="35"/>
      <c r="B205" s="36"/>
      <c r="C205" s="43"/>
      <c r="D205" s="29"/>
      <c r="E205" s="29"/>
      <c r="F205" s="255" t="str">
        <f>IF(D205="","",VLOOKUP(D205,契約台帳!$A$3:$K$4986,6,FALSE)&amp;VLOOKUP(D205,契約台帳!$A$3:$K$4986,7,FALSE)&amp;VLOOKUP(D205,契約台帳!$A$3:$K$4986,8,FALSE)&amp;VLOOKUP(D205,契約台帳!$A$3:$K$4986,9,FALSE)&amp;VLOOKUP(D205,契約台帳!$A$3:$K$4986,11,FALSE))</f>
        <v/>
      </c>
      <c r="G205" s="256" t="str">
        <f>IF(D205="","",VLOOKUP(F205,製品マスタ!$G$5:$H$4999,2,FALSE))</f>
        <v/>
      </c>
      <c r="H205" s="256" t="str">
        <f>IF(D205="","",VLOOKUP(F205,製品マスタ!$G$5:$K$4999,5,FALSE))</f>
        <v/>
      </c>
      <c r="I205" s="200" t="str">
        <f>IF(D205="","",VLOOKUP(F205,製品マスタ!$G$5:$L$4999,6,FALSE))</f>
        <v/>
      </c>
      <c r="J205" s="30"/>
      <c r="K205" s="200" t="str">
        <f>IF(D205="","",VLOOKUP(D205,契約台帳!$A$3:$L$4986,12,FALSE))</f>
        <v/>
      </c>
      <c r="L205" s="200" t="str">
        <f>IF(D205="","",INDEX(製品マスタ!$Q$5:$Q$4999,MATCH(F205&amp;K205,製品マスタ!$AO$5:$AO$4999,0)))</f>
        <v/>
      </c>
      <c r="M205" s="37"/>
      <c r="N205" s="37"/>
      <c r="O205" s="45"/>
      <c r="P205" s="54"/>
      <c r="Q205" s="260" t="str">
        <f>IF(D205="","",IF(J205="リード付け",M205,VLOOKUP(D205,契約台帳!$A$3:$N$4986,14,FALSE)))</f>
        <v/>
      </c>
      <c r="R205" s="261" t="str">
        <f>IF(D205="","",IF(J205="リード付け",M205,VLOOKUP(D205,契約台帳!$A$3:$O$4986,15,FALSE)))</f>
        <v/>
      </c>
      <c r="S205" s="261" t="str">
        <f>IF(D205="","",IF(J205="リード付け",N205,VLOOKUP(D205,契約台帳!$A$3:$P$4986,16,FALSE)))</f>
        <v/>
      </c>
      <c r="T205" s="38"/>
      <c r="U205" s="261" t="str">
        <f ca="1">IF(D205="","",IF(OFFSET(D205,-2,0)=D205,"",VLOOKUP(D205,契約台帳!$A$3:$R$4986,18,FALSE)))</f>
        <v/>
      </c>
      <c r="V205" s="256" t="str">
        <f>IF(J205="巻返し",VLOOKUP(F205&amp;K205&amp;M205,製品マスタ!$M$5:$AD$4999,18,FALSE),IF(J205="リード付け","原反コア",IF(J205="スリット",VLOOKUP(F205&amp;K205&amp;Q205,製品マスタ!$N$5:$AD$4999,17,FALSE),"")))</f>
        <v/>
      </c>
      <c r="W205" s="256" t="str">
        <f>IF(J205="巻返し",VLOOKUP(F205&amp;K205&amp;M205,製品マスタ!$M$5:$AE$4999,19,FALSE),IF(J205="リード付け","-",IF(J205="スリット",VLOOKUP(F205&amp;K205&amp;Q205,製品マスタ!$N$5:$AE$4999,18,FALSE),"")))</f>
        <v/>
      </c>
      <c r="X205" s="256" t="str">
        <f>IF(D205="","",VLOOKUP(D205,契約台帳!$A$3:$Q$4986,17,FALSE))</f>
        <v/>
      </c>
      <c r="Y205" s="256" t="str">
        <f>IF(D205="","",VLOOKUP(D205,契約台帳!$A$3:$E$4986,5,FALSE))</f>
        <v/>
      </c>
      <c r="Z205" s="54"/>
      <c r="AA205" s="200" t="str">
        <f>IFERROR(VLOOKUP(F205&amp;K205&amp;M205,製品マスタ!$M$5:$AM$4999,27,FALSE),"")</f>
        <v/>
      </c>
      <c r="AB205" s="31"/>
      <c r="AC205" s="184"/>
      <c r="AD205" s="51"/>
      <c r="AE205" s="52"/>
      <c r="AF205" s="41"/>
      <c r="AG205" s="45"/>
      <c r="AH205" s="28"/>
      <c r="AI205" s="28"/>
      <c r="AJ205" s="28"/>
      <c r="AK205" s="28"/>
      <c r="AL205" s="12"/>
      <c r="AM205" s="12"/>
      <c r="AN205" s="12"/>
      <c r="AO205" s="12"/>
      <c r="AP205" s="12"/>
      <c r="AQ205" s="13"/>
      <c r="AR205" s="14"/>
    </row>
    <row r="206" spans="1:44" s="16" customFormat="1" ht="30.95" hidden="1" customHeight="1" x14ac:dyDescent="0.2">
      <c r="A206" s="35" t="s">
        <v>940</v>
      </c>
      <c r="B206" s="36" t="s">
        <v>941</v>
      </c>
      <c r="C206" s="43"/>
      <c r="D206" s="29"/>
      <c r="E206" s="29"/>
      <c r="F206" s="255" t="str">
        <f>IF(D206="","",VLOOKUP(D206,契約台帳!$A$3:$K$4986,6,FALSE)&amp;VLOOKUP(D206,契約台帳!$A$3:$K$4986,7,FALSE)&amp;VLOOKUP(D206,契約台帳!$A$3:$K$4986,8,FALSE)&amp;VLOOKUP(D206,契約台帳!$A$3:$K$4986,9,FALSE)&amp;VLOOKUP(D206,契約台帳!$A$3:$K$4986,11,FALSE))</f>
        <v/>
      </c>
      <c r="G206" s="256" t="str">
        <f>IF(D206="","",VLOOKUP(F206,製品マスタ!$G$5:$H$4999,2,FALSE))</f>
        <v/>
      </c>
      <c r="H206" s="256" t="str">
        <f>IF(D206="","",VLOOKUP(F206,製品マスタ!$G$5:$K$4999,5,FALSE))</f>
        <v/>
      </c>
      <c r="I206" s="200" t="str">
        <f>IF(D206="","",VLOOKUP(F206,製品マスタ!$G$5:$L$4999,6,FALSE))</f>
        <v/>
      </c>
      <c r="J206" s="30" t="s">
        <v>448</v>
      </c>
      <c r="K206" s="200" t="str">
        <f>IF(D206="","",VLOOKUP(D206,契約台帳!$A$3:$L$4986,12,FALSE))</f>
        <v/>
      </c>
      <c r="L206" s="200" t="str">
        <f>IF(D206="","",INDEX(製品マスタ!$Q$5:$Q$4999,MATCH(F206&amp;K206,製品マスタ!$AO$5:$AO$4999,0)))</f>
        <v/>
      </c>
      <c r="M206" s="37"/>
      <c r="N206" s="37"/>
      <c r="O206" s="45"/>
      <c r="P206" s="54"/>
      <c r="Q206" s="260" t="str">
        <f>IF(D206="","",IF(J206="リード付け",M206,VLOOKUP(D206,契約台帳!$A$3:$N$4986,14,FALSE)))</f>
        <v/>
      </c>
      <c r="R206" s="261" t="str">
        <f>IF(D206="","",IF(J206="リード付け",M206,VLOOKUP(D206,契約台帳!$A$3:$O$4986,15,FALSE)))</f>
        <v/>
      </c>
      <c r="S206" s="261" t="str">
        <f>IF(D206="","",IF(J206="リード付け",N206,VLOOKUP(D206,契約台帳!$A$3:$P$4986,16,FALSE)))</f>
        <v/>
      </c>
      <c r="T206" s="38"/>
      <c r="U206" s="261" t="str">
        <f ca="1">IF(D206="","",IF(OFFSET(D206,-2,0)=D206,"",VLOOKUP(D206,契約台帳!$A$3:$R$4986,18,FALSE)))</f>
        <v/>
      </c>
      <c r="V206" s="256" t="str">
        <f>IF(J206="巻返し",VLOOKUP(F206&amp;K206&amp;M206,製品マスタ!$M$5:$AD$4999,18,FALSE),IF(J206="リード付け","原反コア",IF(J206="スリット",VLOOKUP(F206&amp;K206&amp;Q206,製品マスタ!$N$5:$AD$4999,17,FALSE),"")))</f>
        <v/>
      </c>
      <c r="W206" s="256" t="str">
        <f>IF(J206="巻返し",VLOOKUP(F206&amp;K206&amp;M206,製品マスタ!$M$5:$AE$4999,19,FALSE),IF(J206="リード付け","-",IF(J206="スリット",VLOOKUP(F206&amp;K206&amp;Q206,製品マスタ!$N$5:$AE$4999,18,FALSE),"")))</f>
        <v/>
      </c>
      <c r="X206" s="256" t="str">
        <f>IF(D206="","",VLOOKUP(D206,契約台帳!$A$3:$Q$4986,17,FALSE))</f>
        <v/>
      </c>
      <c r="Y206" s="256" t="str">
        <f>IF(D206="","",VLOOKUP(D206,契約台帳!$A$3:$E$4986,5,FALSE))</f>
        <v/>
      </c>
      <c r="Z206" s="54"/>
      <c r="AA206" s="200" t="str">
        <f>IFERROR(VLOOKUP(F206&amp;K206&amp;M206,製品マスタ!$M$5:$AM$4999,27,FALSE),"")</f>
        <v/>
      </c>
      <c r="AB206" s="31"/>
      <c r="AC206" s="184"/>
      <c r="AD206" s="51"/>
      <c r="AE206" s="52"/>
      <c r="AF206" s="41"/>
      <c r="AG206" s="45"/>
      <c r="AH206" s="28"/>
      <c r="AI206" s="28"/>
      <c r="AJ206" s="28"/>
      <c r="AK206" s="28"/>
      <c r="AL206" s="12"/>
      <c r="AM206" s="12"/>
      <c r="AN206" s="12"/>
      <c r="AO206" s="12"/>
      <c r="AP206" s="12"/>
      <c r="AQ206" s="13"/>
      <c r="AR206" s="14"/>
    </row>
    <row r="207" spans="1:44" s="16" customFormat="1" ht="30.95" hidden="1" customHeight="1" x14ac:dyDescent="0.2">
      <c r="A207" s="35"/>
      <c r="B207" s="36"/>
      <c r="C207" s="43"/>
      <c r="D207" s="29"/>
      <c r="E207" s="29"/>
      <c r="F207" s="255" t="str">
        <f>IF(D207="","",VLOOKUP(D207,契約台帳!$A$3:$K$4986,6,FALSE)&amp;VLOOKUP(D207,契約台帳!$A$3:$K$4986,7,FALSE)&amp;VLOOKUP(D207,契約台帳!$A$3:$K$4986,8,FALSE)&amp;VLOOKUP(D207,契約台帳!$A$3:$K$4986,9,FALSE)&amp;VLOOKUP(D207,契約台帳!$A$3:$K$4986,11,FALSE))</f>
        <v/>
      </c>
      <c r="G207" s="256" t="str">
        <f>IF(D207="","",VLOOKUP(F207,製品マスタ!$G$5:$H$4999,2,FALSE))</f>
        <v/>
      </c>
      <c r="H207" s="256" t="str">
        <f>IF(D207="","",VLOOKUP(F207,製品マスタ!$G$5:$K$4999,5,FALSE))</f>
        <v/>
      </c>
      <c r="I207" s="200" t="str">
        <f>IF(D207="","",VLOOKUP(F207,製品マスタ!$G$5:$L$4999,6,FALSE))</f>
        <v/>
      </c>
      <c r="J207" s="30"/>
      <c r="K207" s="200" t="str">
        <f>IF(D207="","",VLOOKUP(D207,契約台帳!$A$3:$L$4986,12,FALSE))</f>
        <v/>
      </c>
      <c r="L207" s="200" t="str">
        <f>IF(D207="","",INDEX(製品マスタ!$Q$5:$Q$4999,MATCH(F207&amp;K207,製品マスタ!$AO$5:$AO$4999,0)))</f>
        <v/>
      </c>
      <c r="M207" s="37"/>
      <c r="N207" s="37"/>
      <c r="O207" s="45"/>
      <c r="P207" s="54"/>
      <c r="Q207" s="260" t="str">
        <f>IF(D207="","",IF(J207="リード付け",M207,VLOOKUP(D207,契約台帳!$A$3:$N$4986,14,FALSE)))</f>
        <v/>
      </c>
      <c r="R207" s="261" t="str">
        <f>IF(D207="","",IF(J207="リード付け",M207,VLOOKUP(D207,契約台帳!$A$3:$O$4986,15,FALSE)))</f>
        <v/>
      </c>
      <c r="S207" s="261" t="str">
        <f>IF(D207="","",IF(J207="リード付け",N207,VLOOKUP(D207,契約台帳!$A$3:$P$4986,16,FALSE)))</f>
        <v/>
      </c>
      <c r="T207" s="38"/>
      <c r="U207" s="261" t="str">
        <f ca="1">IF(D207="","",IF(OFFSET(D207,-2,0)=D207,"",VLOOKUP(D207,契約台帳!$A$3:$R$4986,18,FALSE)))</f>
        <v/>
      </c>
      <c r="V207" s="256" t="str">
        <f>IF(J207="巻返し",VLOOKUP(F207&amp;K207&amp;M207,製品マスタ!$M$5:$AD$4999,18,FALSE),IF(J207="リード付け","原反コア",IF(J207="スリット",VLOOKUP(F207&amp;K207&amp;Q207,製品マスタ!$N$5:$AD$4999,17,FALSE),"")))</f>
        <v/>
      </c>
      <c r="W207" s="256" t="str">
        <f>IF(J207="巻返し",VLOOKUP(F207&amp;K207&amp;M207,製品マスタ!$M$5:$AE$4999,19,FALSE),IF(J207="リード付け","-",IF(J207="スリット",VLOOKUP(F207&amp;K207&amp;Q207,製品マスタ!$N$5:$AE$4999,18,FALSE),"")))</f>
        <v/>
      </c>
      <c r="X207" s="256" t="str">
        <f>IF(D207="","",VLOOKUP(D207,契約台帳!$A$3:$Q$4986,17,FALSE))</f>
        <v/>
      </c>
      <c r="Y207" s="256" t="str">
        <f>IF(D207="","",VLOOKUP(D207,契約台帳!$A$3:$E$4986,5,FALSE))</f>
        <v/>
      </c>
      <c r="Z207" s="54"/>
      <c r="AA207" s="200" t="str">
        <f>IFERROR(VLOOKUP(F207&amp;K207&amp;M207,製品マスタ!$M$5:$AM$4999,27,FALSE),"")</f>
        <v/>
      </c>
      <c r="AB207" s="31"/>
      <c r="AC207" s="184"/>
      <c r="AD207" s="51"/>
      <c r="AE207" s="52"/>
      <c r="AF207" s="41"/>
      <c r="AG207" s="45"/>
      <c r="AH207" s="28"/>
      <c r="AI207" s="28"/>
      <c r="AJ207" s="28"/>
      <c r="AK207" s="28"/>
      <c r="AL207" s="12"/>
      <c r="AM207" s="12"/>
      <c r="AN207" s="12"/>
      <c r="AO207" s="12"/>
      <c r="AP207" s="12"/>
      <c r="AQ207" s="13"/>
      <c r="AR207" s="14"/>
    </row>
    <row r="208" spans="1:44" s="16" customFormat="1" ht="30.95" hidden="1" customHeight="1" x14ac:dyDescent="0.2">
      <c r="A208" s="35" t="s">
        <v>942</v>
      </c>
      <c r="B208" s="36" t="s">
        <v>943</v>
      </c>
      <c r="C208" s="43"/>
      <c r="D208" s="29"/>
      <c r="E208" s="29"/>
      <c r="F208" s="255" t="str">
        <f>IF(D208="","",VLOOKUP(D208,契約台帳!$A$3:$K$4986,6,FALSE)&amp;VLOOKUP(D208,契約台帳!$A$3:$K$4986,7,FALSE)&amp;VLOOKUP(D208,契約台帳!$A$3:$K$4986,8,FALSE)&amp;VLOOKUP(D208,契約台帳!$A$3:$K$4986,9,FALSE)&amp;VLOOKUP(D208,契約台帳!$A$3:$K$4986,11,FALSE))</f>
        <v/>
      </c>
      <c r="G208" s="256" t="str">
        <f>IF(D208="","",VLOOKUP(F208,製品マスタ!$G$5:$H$4999,2,FALSE))</f>
        <v/>
      </c>
      <c r="H208" s="256" t="str">
        <f>IF(D208="","",VLOOKUP(F208,製品マスタ!$G$5:$K$4999,5,FALSE))</f>
        <v/>
      </c>
      <c r="I208" s="200" t="str">
        <f>IF(D208="","",VLOOKUP(F208,製品マスタ!$G$5:$L$4999,6,FALSE))</f>
        <v/>
      </c>
      <c r="J208" s="30" t="s">
        <v>448</v>
      </c>
      <c r="K208" s="200" t="str">
        <f>IF(D208="","",VLOOKUP(D208,契約台帳!$A$3:$L$4986,12,FALSE))</f>
        <v/>
      </c>
      <c r="L208" s="200" t="str">
        <f>IF(D208="","",INDEX(製品マスタ!$Q$5:$Q$4999,MATCH(F208&amp;K208,製品マスタ!$AO$5:$AO$4999,0)))</f>
        <v/>
      </c>
      <c r="M208" s="37"/>
      <c r="N208" s="37"/>
      <c r="O208" s="45"/>
      <c r="P208" s="54"/>
      <c r="Q208" s="260" t="str">
        <f>IF(D208="","",IF(J208="リード付け",M208,VLOOKUP(D208,契約台帳!$A$3:$N$4986,14,FALSE)))</f>
        <v/>
      </c>
      <c r="R208" s="261" t="str">
        <f>IF(D208="","",IF(J208="リード付け",M208,VLOOKUP(D208,契約台帳!$A$3:$O$4986,15,FALSE)))</f>
        <v/>
      </c>
      <c r="S208" s="261" t="str">
        <f>IF(D208="","",IF(J208="リード付け",N208,VLOOKUP(D208,契約台帳!$A$3:$P$4986,16,FALSE)))</f>
        <v/>
      </c>
      <c r="T208" s="38"/>
      <c r="U208" s="261" t="str">
        <f ca="1">IF(D208="","",IF(OFFSET(D208,-2,0)=D208,"",VLOOKUP(D208,契約台帳!$A$3:$R$4986,18,FALSE)))</f>
        <v/>
      </c>
      <c r="V208" s="256" t="str">
        <f>IF(J208="巻返し",VLOOKUP(F208&amp;K208&amp;M208,製品マスタ!$M$5:$AD$4999,18,FALSE),IF(J208="リード付け","原反コア",IF(J208="スリット",VLOOKUP(F208&amp;K208&amp;Q208,製品マスタ!$N$5:$AD$4999,17,FALSE),"")))</f>
        <v/>
      </c>
      <c r="W208" s="256" t="str">
        <f>IF(J208="巻返し",VLOOKUP(F208&amp;K208&amp;M208,製品マスタ!$M$5:$AE$4999,19,FALSE),IF(J208="リード付け","-",IF(J208="スリット",VLOOKUP(F208&amp;K208&amp;Q208,製品マスタ!$N$5:$AE$4999,18,FALSE),"")))</f>
        <v/>
      </c>
      <c r="X208" s="256" t="str">
        <f>IF(D208="","",VLOOKUP(D208,契約台帳!$A$3:$Q$4986,17,FALSE))</f>
        <v/>
      </c>
      <c r="Y208" s="256" t="str">
        <f>IF(D208="","",VLOOKUP(D208,契約台帳!$A$3:$E$4986,5,FALSE))</f>
        <v/>
      </c>
      <c r="Z208" s="54"/>
      <c r="AA208" s="200" t="str">
        <f>IFERROR(VLOOKUP(F208&amp;K208&amp;M208,製品マスタ!$M$5:$AM$4999,27,FALSE),"")</f>
        <v/>
      </c>
      <c r="AB208" s="31"/>
      <c r="AC208" s="184"/>
      <c r="AD208" s="51"/>
      <c r="AE208" s="52"/>
      <c r="AF208" s="41"/>
      <c r="AG208" s="45"/>
      <c r="AH208" s="28"/>
      <c r="AI208" s="28"/>
      <c r="AJ208" s="28"/>
      <c r="AK208" s="28"/>
      <c r="AL208" s="12"/>
      <c r="AM208" s="12"/>
      <c r="AN208" s="12"/>
      <c r="AO208" s="12"/>
      <c r="AP208" s="12"/>
      <c r="AQ208" s="13"/>
      <c r="AR208" s="14"/>
    </row>
    <row r="209" spans="1:44" s="16" customFormat="1" ht="30.95" hidden="1" customHeight="1" x14ac:dyDescent="0.2">
      <c r="A209" s="35"/>
      <c r="B209" s="36"/>
      <c r="C209" s="43"/>
      <c r="D209" s="29"/>
      <c r="E209" s="29"/>
      <c r="F209" s="255" t="str">
        <f>IF(D209="","",VLOOKUP(D209,契約台帳!$A$3:$K$4986,6,FALSE)&amp;VLOOKUP(D209,契約台帳!$A$3:$K$4986,7,FALSE)&amp;VLOOKUP(D209,契約台帳!$A$3:$K$4986,8,FALSE)&amp;VLOOKUP(D209,契約台帳!$A$3:$K$4986,9,FALSE)&amp;VLOOKUP(D209,契約台帳!$A$3:$K$4986,11,FALSE))</f>
        <v/>
      </c>
      <c r="G209" s="256" t="str">
        <f>IF(D209="","",VLOOKUP(F209,製品マスタ!$G$5:$H$4999,2,FALSE))</f>
        <v/>
      </c>
      <c r="H209" s="256" t="str">
        <f>IF(D209="","",VLOOKUP(F209,製品マスタ!$G$5:$K$4999,5,FALSE))</f>
        <v/>
      </c>
      <c r="I209" s="200" t="str">
        <f>IF(D209="","",VLOOKUP(F209,製品マスタ!$G$5:$L$4999,6,FALSE))</f>
        <v/>
      </c>
      <c r="J209" s="30"/>
      <c r="K209" s="200" t="str">
        <f>IF(D209="","",VLOOKUP(D209,契約台帳!$A$3:$L$4986,12,FALSE))</f>
        <v/>
      </c>
      <c r="L209" s="200" t="str">
        <f>IF(D209="","",INDEX(製品マスタ!$Q$5:$Q$4999,MATCH(F209&amp;K209,製品マスタ!$AO$5:$AO$4999,0)))</f>
        <v/>
      </c>
      <c r="M209" s="37"/>
      <c r="N209" s="37"/>
      <c r="O209" s="45"/>
      <c r="P209" s="54"/>
      <c r="Q209" s="260" t="str">
        <f>IF(D209="","",IF(J209="リード付け",M209,VLOOKUP(D209,契約台帳!$A$3:$N$4986,14,FALSE)))</f>
        <v/>
      </c>
      <c r="R209" s="261" t="str">
        <f>IF(D209="","",IF(J209="リード付け",M209,VLOOKUP(D209,契約台帳!$A$3:$O$4986,15,FALSE)))</f>
        <v/>
      </c>
      <c r="S209" s="261" t="str">
        <f>IF(D209="","",IF(J209="リード付け",N209,VLOOKUP(D209,契約台帳!$A$3:$P$4986,16,FALSE)))</f>
        <v/>
      </c>
      <c r="T209" s="38"/>
      <c r="U209" s="261" t="str">
        <f ca="1">IF(D209="","",IF(OFFSET(D209,-2,0)=D209,"",VLOOKUP(D209,契約台帳!$A$3:$R$4986,18,FALSE)))</f>
        <v/>
      </c>
      <c r="V209" s="256" t="str">
        <f>IF(J209="巻返し",VLOOKUP(F209&amp;K209&amp;M209,製品マスタ!$M$5:$AD$4999,18,FALSE),IF(J209="リード付け","原反コア",IF(J209="スリット",VLOOKUP(F209&amp;K209&amp;Q209,製品マスタ!$N$5:$AD$4999,17,FALSE),"")))</f>
        <v/>
      </c>
      <c r="W209" s="256" t="str">
        <f>IF(J209="巻返し",VLOOKUP(F209&amp;K209&amp;M209,製品マスタ!$M$5:$AE$4999,19,FALSE),IF(J209="リード付け","-",IF(J209="スリット",VLOOKUP(F209&amp;K209&amp;Q209,製品マスタ!$N$5:$AE$4999,18,FALSE),"")))</f>
        <v/>
      </c>
      <c r="X209" s="256" t="str">
        <f>IF(D209="","",VLOOKUP(D209,契約台帳!$A$3:$Q$4986,17,FALSE))</f>
        <v/>
      </c>
      <c r="Y209" s="256" t="str">
        <f>IF(D209="","",VLOOKUP(D209,契約台帳!$A$3:$E$4986,5,FALSE))</f>
        <v/>
      </c>
      <c r="Z209" s="54"/>
      <c r="AA209" s="200" t="str">
        <f>IFERROR(VLOOKUP(F209&amp;K209&amp;M209,製品マスタ!$M$5:$AM$4999,27,FALSE),"")</f>
        <v/>
      </c>
      <c r="AB209" s="31"/>
      <c r="AC209" s="184"/>
      <c r="AD209" s="51"/>
      <c r="AE209" s="52"/>
      <c r="AF209" s="41"/>
      <c r="AG209" s="45"/>
      <c r="AH209" s="28"/>
      <c r="AI209" s="28"/>
      <c r="AJ209" s="28"/>
      <c r="AK209" s="28"/>
      <c r="AL209" s="12"/>
      <c r="AM209" s="12"/>
      <c r="AN209" s="12"/>
      <c r="AO209" s="12"/>
      <c r="AP209" s="12"/>
      <c r="AQ209" s="13"/>
      <c r="AR209" s="14"/>
    </row>
    <row r="210" spans="1:44" s="16" customFormat="1" ht="30.95" hidden="1" customHeight="1" x14ac:dyDescent="0.2">
      <c r="A210" s="35" t="s">
        <v>944</v>
      </c>
      <c r="B210" s="36" t="s">
        <v>945</v>
      </c>
      <c r="C210" s="43"/>
      <c r="D210" s="29"/>
      <c r="E210" s="29"/>
      <c r="F210" s="255" t="str">
        <f>IF(D210="","",VLOOKUP(D210,契約台帳!$A$3:$K$4986,6,FALSE)&amp;VLOOKUP(D210,契約台帳!$A$3:$K$4986,7,FALSE)&amp;VLOOKUP(D210,契約台帳!$A$3:$K$4986,8,FALSE)&amp;VLOOKUP(D210,契約台帳!$A$3:$K$4986,9,FALSE)&amp;VLOOKUP(D210,契約台帳!$A$3:$K$4986,11,FALSE))</f>
        <v/>
      </c>
      <c r="G210" s="256" t="str">
        <f>IF(D210="","",VLOOKUP(F210,製品マスタ!$G$5:$H$4999,2,FALSE))</f>
        <v/>
      </c>
      <c r="H210" s="256" t="str">
        <f>IF(D210="","",VLOOKUP(F210,製品マスタ!$G$5:$K$4999,5,FALSE))</f>
        <v/>
      </c>
      <c r="I210" s="200" t="str">
        <f>IF(D210="","",VLOOKUP(F210,製品マスタ!$G$5:$L$4999,6,FALSE))</f>
        <v/>
      </c>
      <c r="J210" s="30"/>
      <c r="K210" s="200" t="str">
        <f>IF(D210="","",VLOOKUP(D210,契約台帳!$A$3:$L$4986,12,FALSE))</f>
        <v/>
      </c>
      <c r="L210" s="200" t="str">
        <f>IF(D210="","",INDEX(製品マスタ!$Q$5:$Q$4999,MATCH(F210&amp;K210,製品マスタ!$AO$5:$AO$4999,0)))</f>
        <v/>
      </c>
      <c r="M210" s="37"/>
      <c r="N210" s="37"/>
      <c r="O210" s="45"/>
      <c r="P210" s="54"/>
      <c r="Q210" s="260" t="str">
        <f>IF(D210="","",IF(J210="リード付け",M210,VLOOKUP(D210,契約台帳!$A$3:$N$4986,14,FALSE)))</f>
        <v/>
      </c>
      <c r="R210" s="261" t="str">
        <f>IF(D210="","",IF(J210="リード付け",M210,VLOOKUP(D210,契約台帳!$A$3:$O$4986,15,FALSE)))</f>
        <v/>
      </c>
      <c r="S210" s="261" t="str">
        <f>IF(D210="","",IF(J210="リード付け",N210,VLOOKUP(D210,契約台帳!$A$3:$P$4986,16,FALSE)))</f>
        <v/>
      </c>
      <c r="T210" s="38"/>
      <c r="U210" s="261" t="str">
        <f ca="1">IF(D210="","",IF(OFFSET(D210,-2,0)=D210,"",VLOOKUP(D210,契約台帳!$A$3:$R$4986,18,FALSE)))</f>
        <v/>
      </c>
      <c r="V210" s="256" t="str">
        <f>IF(J210="巻返し",VLOOKUP(F210&amp;K210&amp;M210,製品マスタ!$M$5:$AD$4999,18,FALSE),IF(J210="リード付け","原反コア",IF(J210="スリット",VLOOKUP(F210&amp;K210&amp;Q210,製品マスタ!$N$5:$AD$4999,17,FALSE),"")))</f>
        <v/>
      </c>
      <c r="W210" s="256" t="str">
        <f>IF(J210="巻返し",VLOOKUP(F210&amp;K210&amp;M210,製品マスタ!$M$5:$AE$4999,19,FALSE),IF(J210="リード付け","-",IF(J210="スリット",VLOOKUP(F210&amp;K210&amp;Q210,製品マスタ!$N$5:$AE$4999,18,FALSE),"")))</f>
        <v/>
      </c>
      <c r="X210" s="256" t="str">
        <f>IF(D210="","",VLOOKUP(D210,契約台帳!$A$3:$Q$4986,17,FALSE))</f>
        <v/>
      </c>
      <c r="Y210" s="256" t="str">
        <f>IF(D210="","",VLOOKUP(D210,契約台帳!$A$3:$E$4986,5,FALSE))</f>
        <v/>
      </c>
      <c r="Z210" s="54"/>
      <c r="AA210" s="200" t="str">
        <f>IFERROR(VLOOKUP(F210&amp;K210&amp;M210,製品マスタ!$M$5:$AM$4999,27,FALSE),"")</f>
        <v/>
      </c>
      <c r="AB210" s="31"/>
      <c r="AC210" s="184"/>
      <c r="AD210" s="51"/>
      <c r="AE210" s="52"/>
      <c r="AF210" s="41"/>
      <c r="AG210" s="45"/>
      <c r="AH210" s="28"/>
      <c r="AI210" s="28"/>
      <c r="AJ210" s="28"/>
      <c r="AK210" s="28"/>
      <c r="AL210" s="12"/>
      <c r="AM210" s="12"/>
      <c r="AN210" s="12"/>
      <c r="AO210" s="12"/>
      <c r="AP210" s="12"/>
      <c r="AQ210" s="13"/>
      <c r="AR210" s="14"/>
    </row>
    <row r="211" spans="1:44" s="16" customFormat="1" ht="30.95" hidden="1" customHeight="1" x14ac:dyDescent="0.2">
      <c r="A211" s="35"/>
      <c r="B211" s="36"/>
      <c r="C211" s="43"/>
      <c r="D211" s="29"/>
      <c r="E211" s="29"/>
      <c r="F211" s="255" t="str">
        <f>IF(D211="","",VLOOKUP(D211,契約台帳!$A$3:$K$4986,6,FALSE)&amp;VLOOKUP(D211,契約台帳!$A$3:$K$4986,7,FALSE)&amp;VLOOKUP(D211,契約台帳!$A$3:$K$4986,8,FALSE)&amp;VLOOKUP(D211,契約台帳!$A$3:$K$4986,9,FALSE)&amp;VLOOKUP(D211,契約台帳!$A$3:$K$4986,11,FALSE))</f>
        <v/>
      </c>
      <c r="G211" s="256" t="str">
        <f>IF(D211="","",VLOOKUP(F211,製品マスタ!$G$5:$H$4999,2,FALSE))</f>
        <v/>
      </c>
      <c r="H211" s="256" t="str">
        <f>IF(D211="","",VLOOKUP(F211,製品マスタ!$G$5:$K$4999,5,FALSE))</f>
        <v/>
      </c>
      <c r="I211" s="200" t="str">
        <f>IF(D211="","",VLOOKUP(F211,製品マスタ!$G$5:$L$4999,6,FALSE))</f>
        <v/>
      </c>
      <c r="J211" s="30"/>
      <c r="K211" s="200" t="str">
        <f>IF(D211="","",VLOOKUP(D211,契約台帳!$A$3:$L$4986,12,FALSE))</f>
        <v/>
      </c>
      <c r="L211" s="200" t="str">
        <f>IF(D211="","",INDEX(製品マスタ!$Q$5:$Q$4999,MATCH(F211&amp;K211,製品マスタ!$AO$5:$AO$4999,0)))</f>
        <v/>
      </c>
      <c r="M211" s="37"/>
      <c r="N211" s="37"/>
      <c r="O211" s="45"/>
      <c r="P211" s="54"/>
      <c r="Q211" s="260" t="str">
        <f>IF(D211="","",IF(J211="リード付け",M211,VLOOKUP(D211,契約台帳!$A$3:$N$4986,14,FALSE)))</f>
        <v/>
      </c>
      <c r="R211" s="261" t="str">
        <f>IF(D211="","",IF(J211="リード付け",M211,VLOOKUP(D211,契約台帳!$A$3:$O$4986,15,FALSE)))</f>
        <v/>
      </c>
      <c r="S211" s="261" t="str">
        <f>IF(D211="","",IF(J211="リード付け",N211,VLOOKUP(D211,契約台帳!$A$3:$P$4986,16,FALSE)))</f>
        <v/>
      </c>
      <c r="T211" s="38"/>
      <c r="U211" s="261" t="str">
        <f ca="1">IF(D211="","",IF(OFFSET(D211,-2,0)=D211,"",VLOOKUP(D211,契約台帳!$A$3:$R$4986,18,FALSE)))</f>
        <v/>
      </c>
      <c r="V211" s="256" t="str">
        <f>IF(J211="巻返し",VLOOKUP(F211&amp;K211&amp;M211,製品マスタ!$M$5:$AD$4999,18,FALSE),IF(J211="リード付け","原反コア",IF(J211="スリット",VLOOKUP(F211&amp;K211&amp;Q211,製品マスタ!$N$5:$AD$4999,17,FALSE),"")))</f>
        <v/>
      </c>
      <c r="W211" s="256" t="str">
        <f>IF(J211="巻返し",VLOOKUP(F211&amp;K211&amp;M211,製品マスタ!$M$5:$AE$4999,19,FALSE),IF(J211="リード付け","-",IF(J211="スリット",VLOOKUP(F211&amp;K211&amp;Q211,製品マスタ!$N$5:$AE$4999,18,FALSE),"")))</f>
        <v/>
      </c>
      <c r="X211" s="256" t="str">
        <f>IF(D211="","",VLOOKUP(D211,契約台帳!$A$3:$Q$4986,17,FALSE))</f>
        <v/>
      </c>
      <c r="Y211" s="256" t="str">
        <f>IF(D211="","",VLOOKUP(D211,契約台帳!$A$3:$E$4986,5,FALSE))</f>
        <v/>
      </c>
      <c r="Z211" s="54"/>
      <c r="AA211" s="200" t="str">
        <f>IFERROR(VLOOKUP(F211&amp;K211&amp;M211,製品マスタ!$M$5:$AM$4999,27,FALSE),"")</f>
        <v/>
      </c>
      <c r="AB211" s="31"/>
      <c r="AC211" s="184"/>
      <c r="AD211" s="51"/>
      <c r="AE211" s="52"/>
      <c r="AF211" s="41"/>
      <c r="AG211" s="45"/>
      <c r="AH211" s="28"/>
      <c r="AI211" s="28"/>
      <c r="AJ211" s="28"/>
      <c r="AK211" s="28"/>
      <c r="AL211" s="12"/>
      <c r="AM211" s="12"/>
      <c r="AN211" s="12"/>
      <c r="AO211" s="12"/>
      <c r="AP211" s="12"/>
      <c r="AQ211" s="13"/>
      <c r="AR211" s="14"/>
    </row>
    <row r="212" spans="1:44" s="16" customFormat="1" ht="30.95" hidden="1" customHeight="1" x14ac:dyDescent="0.2">
      <c r="A212" s="35" t="s">
        <v>946</v>
      </c>
      <c r="B212" s="36" t="s">
        <v>947</v>
      </c>
      <c r="C212" s="43"/>
      <c r="D212" s="29"/>
      <c r="E212" s="29"/>
      <c r="F212" s="255" t="str">
        <f>IF(D212="","",VLOOKUP(D212,契約台帳!$A$3:$K$4986,6,FALSE)&amp;VLOOKUP(D212,契約台帳!$A$3:$K$4986,7,FALSE)&amp;VLOOKUP(D212,契約台帳!$A$3:$K$4986,8,FALSE)&amp;VLOOKUP(D212,契約台帳!$A$3:$K$4986,9,FALSE)&amp;VLOOKUP(D212,契約台帳!$A$3:$K$4986,11,FALSE))</f>
        <v/>
      </c>
      <c r="G212" s="256" t="str">
        <f>IF(D212="","",VLOOKUP(F212,製品マスタ!$G$5:$H$4999,2,FALSE))</f>
        <v/>
      </c>
      <c r="H212" s="256" t="str">
        <f>IF(D212="","",VLOOKUP(F212,製品マスタ!$G$5:$K$4999,5,FALSE))</f>
        <v/>
      </c>
      <c r="I212" s="200" t="str">
        <f>IF(D212="","",VLOOKUP(F212,製品マスタ!$G$5:$L$4999,6,FALSE))</f>
        <v/>
      </c>
      <c r="J212" s="30"/>
      <c r="K212" s="200" t="str">
        <f>IF(D212="","",VLOOKUP(D212,契約台帳!$A$3:$L$4986,12,FALSE))</f>
        <v/>
      </c>
      <c r="L212" s="200" t="str">
        <f>IF(D212="","",INDEX(製品マスタ!$Q$5:$Q$4999,MATCH(F212&amp;K212,製品マスタ!$AO$5:$AO$4999,0)))</f>
        <v/>
      </c>
      <c r="M212" s="37"/>
      <c r="N212" s="37"/>
      <c r="O212" s="45"/>
      <c r="P212" s="54"/>
      <c r="Q212" s="260" t="str">
        <f>IF(D212="","",IF(J212="リード付け",M212,VLOOKUP(D212,契約台帳!$A$3:$N$4986,14,FALSE)))</f>
        <v/>
      </c>
      <c r="R212" s="261" t="str">
        <f>IF(D212="","",IF(J212="リード付け",M212,VLOOKUP(D212,契約台帳!$A$3:$O$4986,15,FALSE)))</f>
        <v/>
      </c>
      <c r="S212" s="261" t="str">
        <f>IF(D212="","",IF(J212="リード付け",N212,VLOOKUP(D212,契約台帳!$A$3:$P$4986,16,FALSE)))</f>
        <v/>
      </c>
      <c r="T212" s="38"/>
      <c r="U212" s="261" t="str">
        <f ca="1">IF(D212="","",IF(OFFSET(D212,-2,0)=D212,"",VLOOKUP(D212,契約台帳!$A$3:$R$4986,18,FALSE)))</f>
        <v/>
      </c>
      <c r="V212" s="256" t="str">
        <f>IF(J212="巻返し",VLOOKUP(F212&amp;K212&amp;M212,製品マスタ!$M$5:$AD$4999,18,FALSE),IF(J212="リード付け","原反コア",IF(J212="スリット",VLOOKUP(F212&amp;K212&amp;Q212,製品マスタ!$N$5:$AD$4999,17,FALSE),"")))</f>
        <v/>
      </c>
      <c r="W212" s="256" t="str">
        <f>IF(J212="巻返し",VLOOKUP(F212&amp;K212&amp;M212,製品マスタ!$M$5:$AE$4999,19,FALSE),IF(J212="リード付け","-",IF(J212="スリット",VLOOKUP(F212&amp;K212&amp;Q212,製品マスタ!$N$5:$AE$4999,18,FALSE),"")))</f>
        <v/>
      </c>
      <c r="X212" s="256" t="str">
        <f>IF(D212="","",VLOOKUP(D212,契約台帳!$A$3:$Q$4986,17,FALSE))</f>
        <v/>
      </c>
      <c r="Y212" s="256" t="str">
        <f>IF(D212="","",VLOOKUP(D212,契約台帳!$A$3:$E$4986,5,FALSE))</f>
        <v/>
      </c>
      <c r="Z212" s="54"/>
      <c r="AA212" s="200" t="str">
        <f>IFERROR(VLOOKUP(F212&amp;K212&amp;M212,製品マスタ!$M$5:$AM$4999,27,FALSE),"")</f>
        <v/>
      </c>
      <c r="AB212" s="31"/>
      <c r="AC212" s="184"/>
      <c r="AD212" s="51"/>
      <c r="AE212" s="52"/>
      <c r="AF212" s="41"/>
      <c r="AG212" s="45"/>
      <c r="AH212" s="28"/>
      <c r="AI212" s="28"/>
      <c r="AJ212" s="28"/>
      <c r="AK212" s="28"/>
      <c r="AL212" s="12"/>
      <c r="AM212" s="12"/>
      <c r="AN212" s="12"/>
      <c r="AO212" s="12"/>
      <c r="AP212" s="12"/>
      <c r="AQ212" s="13"/>
      <c r="AR212" s="14"/>
    </row>
    <row r="213" spans="1:44" s="16" customFormat="1" ht="30.95" hidden="1" customHeight="1" x14ac:dyDescent="0.2">
      <c r="A213" s="35"/>
      <c r="B213" s="36"/>
      <c r="C213" s="43"/>
      <c r="D213" s="29"/>
      <c r="E213" s="29"/>
      <c r="F213" s="255" t="str">
        <f>IF(D213="","",VLOOKUP(D213,契約台帳!$A$3:$K$4986,6,FALSE)&amp;VLOOKUP(D213,契約台帳!$A$3:$K$4986,7,FALSE)&amp;VLOOKUP(D213,契約台帳!$A$3:$K$4986,8,FALSE)&amp;VLOOKUP(D213,契約台帳!$A$3:$K$4986,9,FALSE)&amp;VLOOKUP(D213,契約台帳!$A$3:$K$4986,11,FALSE))</f>
        <v/>
      </c>
      <c r="G213" s="256" t="str">
        <f>IF(D213="","",VLOOKUP(F213,製品マスタ!$G$5:$H$4999,2,FALSE))</f>
        <v/>
      </c>
      <c r="H213" s="256" t="str">
        <f>IF(D213="","",VLOOKUP(F213,製品マスタ!$G$5:$K$4999,5,FALSE))</f>
        <v/>
      </c>
      <c r="I213" s="200" t="str">
        <f>IF(D213="","",VLOOKUP(F213,製品マスタ!$G$5:$L$4999,6,FALSE))</f>
        <v/>
      </c>
      <c r="J213" s="30"/>
      <c r="K213" s="200" t="str">
        <f>IF(D213="","",VLOOKUP(D213,契約台帳!$A$3:$L$4986,12,FALSE))</f>
        <v/>
      </c>
      <c r="L213" s="200" t="str">
        <f>IF(D213="","",INDEX(製品マスタ!$Q$5:$Q$4999,MATCH(F213&amp;K213,製品マスタ!$AO$5:$AO$4999,0)))</f>
        <v/>
      </c>
      <c r="M213" s="37"/>
      <c r="N213" s="37"/>
      <c r="O213" s="45"/>
      <c r="P213" s="54"/>
      <c r="Q213" s="260" t="str">
        <f>IF(D213="","",IF(J213="リード付け",M213,VLOOKUP(D213,契約台帳!$A$3:$N$4986,14,FALSE)))</f>
        <v/>
      </c>
      <c r="R213" s="261" t="str">
        <f>IF(D213="","",IF(J213="リード付け",M213,VLOOKUP(D213,契約台帳!$A$3:$O$4986,15,FALSE)))</f>
        <v/>
      </c>
      <c r="S213" s="261" t="str">
        <f>IF(D213="","",IF(J213="リード付け",N213,VLOOKUP(D213,契約台帳!$A$3:$P$4986,16,FALSE)))</f>
        <v/>
      </c>
      <c r="T213" s="38"/>
      <c r="U213" s="261" t="str">
        <f ca="1">IF(D213="","",IF(OFFSET(D213,-2,0)=D213,"",VLOOKUP(D213,契約台帳!$A$3:$R$4986,18,FALSE)))</f>
        <v/>
      </c>
      <c r="V213" s="256" t="str">
        <f>IF(J213="巻返し",VLOOKUP(F213&amp;K213&amp;M213,製品マスタ!$M$5:$AD$4999,18,FALSE),IF(J213="リード付け","原反コア",IF(J213="スリット",VLOOKUP(F213&amp;K213&amp;Q213,製品マスタ!$N$5:$AD$4999,17,FALSE),"")))</f>
        <v/>
      </c>
      <c r="W213" s="256" t="str">
        <f>IF(J213="巻返し",VLOOKUP(F213&amp;K213&amp;M213,製品マスタ!$M$5:$AE$4999,19,FALSE),IF(J213="リード付け","-",IF(J213="スリット",VLOOKUP(F213&amp;K213&amp;Q213,製品マスタ!$N$5:$AE$4999,18,FALSE),"")))</f>
        <v/>
      </c>
      <c r="X213" s="256" t="str">
        <f>IF(D213="","",VLOOKUP(D213,契約台帳!$A$3:$Q$4986,17,FALSE))</f>
        <v/>
      </c>
      <c r="Y213" s="256" t="str">
        <f>IF(D213="","",VLOOKUP(D213,契約台帳!$A$3:$E$4986,5,FALSE))</f>
        <v/>
      </c>
      <c r="Z213" s="54"/>
      <c r="AA213" s="200" t="str">
        <f>IFERROR(VLOOKUP(F213&amp;K213&amp;M213,製品マスタ!$M$5:$AM$4999,27,FALSE),"")</f>
        <v/>
      </c>
      <c r="AB213" s="31"/>
      <c r="AC213" s="184"/>
      <c r="AD213" s="51"/>
      <c r="AE213" s="52"/>
      <c r="AF213" s="41"/>
      <c r="AG213" s="45"/>
      <c r="AH213" s="28"/>
      <c r="AI213" s="28"/>
      <c r="AJ213" s="28"/>
      <c r="AK213" s="28"/>
      <c r="AL213" s="12"/>
      <c r="AM213" s="12"/>
      <c r="AN213" s="12"/>
      <c r="AO213" s="12"/>
      <c r="AP213" s="12"/>
      <c r="AQ213" s="13"/>
      <c r="AR213" s="14"/>
    </row>
    <row r="214" spans="1:44" s="16" customFormat="1" ht="30.95" hidden="1" customHeight="1" x14ac:dyDescent="0.2">
      <c r="A214" s="35" t="s">
        <v>948</v>
      </c>
      <c r="B214" s="36" t="s">
        <v>442</v>
      </c>
      <c r="C214" s="43"/>
      <c r="D214" s="29"/>
      <c r="E214" s="29"/>
      <c r="F214" s="255"/>
      <c r="G214" s="256"/>
      <c r="H214" s="256"/>
      <c r="I214" s="200"/>
      <c r="J214" s="30"/>
      <c r="K214" s="200"/>
      <c r="L214" s="200"/>
      <c r="M214" s="37"/>
      <c r="N214" s="37"/>
      <c r="O214" s="45"/>
      <c r="P214" s="54"/>
      <c r="Q214" s="260"/>
      <c r="R214" s="261"/>
      <c r="S214" s="261"/>
      <c r="T214" s="38"/>
      <c r="U214" s="261"/>
      <c r="V214" s="256"/>
      <c r="W214" s="256"/>
      <c r="X214" s="256"/>
      <c r="Y214" s="256"/>
      <c r="Z214" s="54"/>
      <c r="AA214" s="200"/>
      <c r="AB214" s="31"/>
      <c r="AC214" s="184"/>
      <c r="AD214" s="51"/>
      <c r="AE214" s="52"/>
      <c r="AF214" s="41"/>
      <c r="AG214" s="45"/>
      <c r="AH214" s="28"/>
      <c r="AI214" s="28"/>
      <c r="AJ214" s="28"/>
      <c r="AK214" s="28"/>
      <c r="AL214" s="12"/>
      <c r="AM214" s="12"/>
      <c r="AN214" s="12"/>
      <c r="AO214" s="12"/>
      <c r="AP214" s="12"/>
      <c r="AQ214" s="13"/>
      <c r="AR214" s="14"/>
    </row>
    <row r="215" spans="1:44" s="16" customFormat="1" ht="30.95" hidden="1" customHeight="1" x14ac:dyDescent="0.2">
      <c r="A215" s="35"/>
      <c r="B215" s="36"/>
      <c r="C215" s="43"/>
      <c r="D215" s="29"/>
      <c r="E215" s="29"/>
      <c r="F215" s="255"/>
      <c r="G215" s="256"/>
      <c r="H215" s="256"/>
      <c r="I215" s="200"/>
      <c r="J215" s="30"/>
      <c r="K215" s="200"/>
      <c r="L215" s="200"/>
      <c r="M215" s="37"/>
      <c r="N215" s="37"/>
      <c r="O215" s="45"/>
      <c r="P215" s="54"/>
      <c r="Q215" s="260"/>
      <c r="R215" s="261"/>
      <c r="S215" s="261"/>
      <c r="T215" s="38"/>
      <c r="U215" s="261"/>
      <c r="V215" s="256"/>
      <c r="W215" s="256"/>
      <c r="X215" s="256"/>
      <c r="Y215" s="256"/>
      <c r="Z215" s="54"/>
      <c r="AA215" s="200"/>
      <c r="AB215" s="31"/>
      <c r="AC215" s="184"/>
      <c r="AD215" s="51"/>
      <c r="AE215" s="52"/>
      <c r="AF215" s="41"/>
      <c r="AG215" s="45"/>
      <c r="AH215" s="28"/>
      <c r="AI215" s="28"/>
      <c r="AJ215" s="28"/>
      <c r="AK215" s="28"/>
      <c r="AL215" s="12"/>
      <c r="AM215" s="12"/>
      <c r="AN215" s="12"/>
      <c r="AO215" s="12"/>
      <c r="AP215" s="12"/>
      <c r="AQ215" s="13"/>
      <c r="AR215" s="14"/>
    </row>
    <row r="216" spans="1:44" s="16" customFormat="1" ht="30.95" hidden="1" customHeight="1" x14ac:dyDescent="0.2">
      <c r="A216" s="35" t="s">
        <v>949</v>
      </c>
      <c r="B216" s="36" t="s">
        <v>443</v>
      </c>
      <c r="C216" s="43"/>
      <c r="D216" s="29">
        <v>3700956</v>
      </c>
      <c r="E216" s="29">
        <v>4151314</v>
      </c>
      <c r="F216" s="255" t="str">
        <f>IF(D216="","",VLOOKUP(D216,契約台帳!$A$3:$K$4986,6,FALSE)&amp;VLOOKUP(D216,契約台帳!$A$3:$K$4986,7,FALSE)&amp;VLOOKUP(D216,契約台帳!$A$3:$K$4986,8,FALSE)&amp;VLOOKUP(D216,契約台帳!$A$3:$K$4986,9,FALSE)&amp;VLOOKUP(D216,契約台帳!$A$3:$K$4986,11,FALSE))</f>
        <v>3SNMLBMNGTBF</v>
      </c>
      <c r="G216" s="256" t="str">
        <f>IF(D216="","",VLOOKUP(F216,製品マスタ!$G$5:$H$4999,2,FALSE))</f>
        <v>S</v>
      </c>
      <c r="H216" s="256" t="str">
        <f>IF(D216="","",VLOOKUP(F216,製品マスタ!$G$5:$K$4999,5,FALSE))</f>
        <v>MNGTBF</v>
      </c>
      <c r="I216" s="200" t="str">
        <f>IF(D216="","",VLOOKUP(F216,製品マスタ!$G$5:$L$4999,6,FALSE))</f>
        <v>メタルミー　ネーマー　銀艶　Ｂ</v>
      </c>
      <c r="J216" s="30" t="s">
        <v>962</v>
      </c>
      <c r="K216" s="200">
        <f>IF(D216="","",VLOOKUP(D216,契約台帳!$A$3:$L$4986,12,FALSE))</f>
        <v>50</v>
      </c>
      <c r="L216" s="200" t="str">
        <f>IF(D216="","",INDEX(製品マスタ!$Q$5:$Q$4999,MATCH(F216&amp;K216,製品マスタ!$AO$5:$AO$4999,0)))</f>
        <v>T62</v>
      </c>
      <c r="M216" s="37">
        <v>1120</v>
      </c>
      <c r="N216" s="37">
        <v>10000</v>
      </c>
      <c r="O216" s="45">
        <v>6</v>
      </c>
      <c r="P216" s="54"/>
      <c r="Q216" s="260">
        <f>IF(D216="","",IF(J216="リード付け",M216,VLOOKUP(D216,契約台帳!$A$3:$N$4986,14,FALSE)))</f>
        <v>1120</v>
      </c>
      <c r="R216" s="261">
        <f>IF(D216="","",IF(J216="リード付け",M216,VLOOKUP(D216,契約台帳!$A$3:$O$4986,15,FALSE)))</f>
        <v>1120</v>
      </c>
      <c r="S216" s="261">
        <f>IF(D216="","",IF(J216="リード付け",N216,VLOOKUP(D216,契約台帳!$A$3:$P$4986,16,FALSE)))</f>
        <v>5000</v>
      </c>
      <c r="T216" s="38">
        <v>12</v>
      </c>
      <c r="U216" s="261">
        <f ca="1">IF(D216="","",IF(OFFSET(D216,-2,0)=D216,"",VLOOKUP(D216,契約台帳!$A$3:$R$4986,18,FALSE)))</f>
        <v>12</v>
      </c>
      <c r="V216" s="256" t="str">
        <f>IF(J216="巻返し",VLOOKUP(F216&amp;K216&amp;M216,製品マスタ!$M$5:$AD$4999,18,FALSE),IF(J216="リード付け","原反コア",IF(J216="スリット",VLOOKUP(F216&amp;K216&amp;Q216,製品マスタ!$N$5:$AD$4999,17,FALSE),"")))</f>
        <v>6ｲﾝﾁSｺｱ</v>
      </c>
      <c r="W216" s="256">
        <f>IF(J216="巻返し",VLOOKUP(F216&amp;K216&amp;M216,製品マスタ!$M$5:$AE$4999,19,FALSE),IF(J216="リード付け","-",IF(J216="スリット",VLOOKUP(F216&amp;K216&amp;Q216,製品マスタ!$N$5:$AE$4999,18,FALSE),"")))</f>
        <v>1125</v>
      </c>
      <c r="X216" s="256">
        <f>IF(D216="","",VLOOKUP(D216,契約台帳!$A$3:$Q$4986,17,FALSE))</f>
        <v>2</v>
      </c>
      <c r="Y216" s="256" t="str">
        <f>IF(D216="","",VLOOKUP(D216,契約台帳!$A$3:$E$4986,5,FALSE))</f>
        <v>リンテック㈱</v>
      </c>
      <c r="Z216" s="54">
        <v>44998</v>
      </c>
      <c r="AA216" s="200" t="str">
        <f>IFERROR(VLOOKUP(F216&amp;K216&amp;M216,製品マスタ!$M$5:$AM$4999,27,FALSE),"")</f>
        <v>原反ケース再利用</v>
      </c>
      <c r="AB216" s="31"/>
      <c r="AC216" s="184"/>
      <c r="AD216" s="51" t="str">
        <f>IF(F216="","",+F216&amp;K216)</f>
        <v>3SNMLBMNGTBF50</v>
      </c>
      <c r="AE216" s="52">
        <f>+M216*N216*O216/1000</f>
        <v>67200</v>
      </c>
      <c r="AF216" s="41">
        <f>IF(AD216="","",VLOOKUP(AD216,原価マスタ!$A$2:$AJ$1693,13,FALSE))</f>
        <v>99</v>
      </c>
      <c r="AG216" s="45">
        <f>IF(AF216="","",+AE216*AF216/100)</f>
        <v>66528</v>
      </c>
      <c r="AH216" s="28"/>
      <c r="AI216" s="28"/>
      <c r="AJ216" s="28"/>
      <c r="AK216" s="28"/>
      <c r="AL216" s="12"/>
      <c r="AM216" s="12"/>
      <c r="AN216" s="12"/>
      <c r="AO216" s="12"/>
      <c r="AP216" s="12"/>
      <c r="AQ216" s="13"/>
      <c r="AR216" s="14"/>
    </row>
    <row r="217" spans="1:44" s="16" customFormat="1" ht="30.95" hidden="1" customHeight="1" x14ac:dyDescent="0.2">
      <c r="A217" s="35"/>
      <c r="B217" s="36"/>
      <c r="C217" s="43"/>
      <c r="D217" s="29"/>
      <c r="E217" s="29"/>
      <c r="F217" s="255" t="str">
        <f>IF(D217="","",VLOOKUP(D217,契約台帳!$A$3:$K$4986,6,FALSE)&amp;VLOOKUP(D217,契約台帳!$A$3:$K$4986,7,FALSE)&amp;VLOOKUP(D217,契約台帳!$A$3:$K$4986,8,FALSE)&amp;VLOOKUP(D217,契約台帳!$A$3:$K$4986,9,FALSE)&amp;VLOOKUP(D217,契約台帳!$A$3:$K$4986,11,FALSE))</f>
        <v/>
      </c>
      <c r="G217" s="256" t="str">
        <f>IF(D217="","",VLOOKUP(F217,製品マスタ!$G$5:$H$4999,2,FALSE))</f>
        <v/>
      </c>
      <c r="H217" s="256" t="str">
        <f>IF(D217="","",VLOOKUP(F217,製品マスタ!$G$5:$K$4999,5,FALSE))</f>
        <v/>
      </c>
      <c r="I217" s="200" t="str">
        <f>IF(D217="","",VLOOKUP(F217,製品マスタ!$G$5:$L$4999,6,FALSE))</f>
        <v/>
      </c>
      <c r="J217" s="30"/>
      <c r="K217" s="200" t="str">
        <f>IF(D217="","",VLOOKUP(D217,契約台帳!$A$3:$L$4986,12,FALSE))</f>
        <v/>
      </c>
      <c r="L217" s="200" t="str">
        <f>IF(D217="","",INDEX(製品マスタ!$Q$5:$Q$4999,MATCH(F217&amp;K217,製品マスタ!$AO$5:$AO$4999,0)))</f>
        <v/>
      </c>
      <c r="M217" s="37"/>
      <c r="N217" s="37"/>
      <c r="O217" s="45"/>
      <c r="P217" s="54"/>
      <c r="Q217" s="260" t="str">
        <f>IF(D217="","",IF(J217="リード付け",M217,VLOOKUP(D217,契約台帳!$A$3:$N$4986,14,FALSE)))</f>
        <v/>
      </c>
      <c r="R217" s="261" t="str">
        <f>IF(D217="","",IF(J217="リード付け",M217,VLOOKUP(D217,契約台帳!$A$3:$O$4986,15,FALSE)))</f>
        <v/>
      </c>
      <c r="S217" s="261" t="str">
        <f>IF(D217="","",IF(J217="リード付け",N217,VLOOKUP(D217,契約台帳!$A$3:$P$4986,16,FALSE)))</f>
        <v/>
      </c>
      <c r="T217" s="38"/>
      <c r="U217" s="261" t="str">
        <f ca="1">IF(D217="","",IF(OFFSET(D217,-2,0)=D217,"",VLOOKUP(D217,契約台帳!$A$3:$R$4986,18,FALSE)))</f>
        <v/>
      </c>
      <c r="V217" s="256" t="str">
        <f>IF(J217="巻返し",VLOOKUP(F217&amp;K217&amp;M217,製品マスタ!$M$5:$AD$4999,18,FALSE),IF(J217="リード付け","原反コア",IF(J217="スリット",VLOOKUP(F217&amp;K217&amp;Q217,製品マスタ!$N$5:$AD$4999,17,FALSE),"")))</f>
        <v/>
      </c>
      <c r="W217" s="256" t="str">
        <f>IF(J217="巻返し",VLOOKUP(F217&amp;K217&amp;M217,製品マスタ!$M$5:$AE$4999,19,FALSE),IF(J217="リード付け","-",IF(J217="スリット",VLOOKUP(F217&amp;K217&amp;Q217,製品マスタ!$N$5:$AE$4999,18,FALSE),"")))</f>
        <v/>
      </c>
      <c r="X217" s="256" t="str">
        <f>IF(D217="","",VLOOKUP(D217,契約台帳!$A$3:$Q$4986,17,FALSE))</f>
        <v/>
      </c>
      <c r="Y217" s="256" t="str">
        <f>IF(D217="","",VLOOKUP(D217,契約台帳!$A$3:$E$4986,5,FALSE))</f>
        <v/>
      </c>
      <c r="Z217" s="54"/>
      <c r="AA217" s="200" t="str">
        <f>IFERROR(VLOOKUP(F217&amp;K217&amp;M217,製品マスタ!$M$5:$AM$4999,27,FALSE),"")</f>
        <v/>
      </c>
      <c r="AB217" s="31"/>
      <c r="AC217" s="184"/>
      <c r="AD217" s="51"/>
      <c r="AE217" s="52"/>
      <c r="AF217" s="41"/>
      <c r="AG217" s="45"/>
      <c r="AH217" s="28"/>
      <c r="AI217" s="28"/>
      <c r="AJ217" s="28"/>
      <c r="AK217" s="28"/>
      <c r="AL217" s="12"/>
      <c r="AM217" s="12"/>
      <c r="AN217" s="12"/>
      <c r="AO217" s="12"/>
      <c r="AP217" s="12"/>
      <c r="AQ217" s="13"/>
      <c r="AR217" s="14"/>
    </row>
    <row r="218" spans="1:44" s="16" customFormat="1" ht="30.95" hidden="1" customHeight="1" x14ac:dyDescent="0.2">
      <c r="A218" s="35" t="s">
        <v>950</v>
      </c>
      <c r="B218" s="36" t="s">
        <v>444</v>
      </c>
      <c r="C218" s="43"/>
      <c r="D218" s="29">
        <v>3700957</v>
      </c>
      <c r="E218" s="29">
        <v>4151315</v>
      </c>
      <c r="F218" s="255" t="str">
        <f>IF(D218="","",VLOOKUP(D218,契約台帳!$A$3:$K$4986,6,FALSE)&amp;VLOOKUP(D218,契約台帳!$A$3:$K$4986,7,FALSE)&amp;VLOOKUP(D218,契約台帳!$A$3:$K$4986,8,FALSE)&amp;VLOOKUP(D218,契約台帳!$A$3:$K$4986,9,FALSE)&amp;VLOOKUP(D218,契約台帳!$A$3:$K$4986,11,FALSE))</f>
        <v>3SNMLBMNGTBF</v>
      </c>
      <c r="G218" s="256" t="str">
        <f>IF(D218="","",VLOOKUP(F218,製品マスタ!$G$5:$H$4999,2,FALSE))</f>
        <v>S</v>
      </c>
      <c r="H218" s="256" t="str">
        <f>IF(D218="","",VLOOKUP(F218,製品マスタ!$G$5:$K$4999,5,FALSE))</f>
        <v>MNGTBF</v>
      </c>
      <c r="I218" s="200" t="str">
        <f>IF(D218="","",VLOOKUP(F218,製品マスタ!$G$5:$L$4999,6,FALSE))</f>
        <v>メタルミー　ネーマー　銀艶　Ｂ</v>
      </c>
      <c r="J218" s="30" t="s">
        <v>962</v>
      </c>
      <c r="K218" s="200">
        <f>IF(D218="","",VLOOKUP(D218,契約台帳!$A$3:$L$4986,12,FALSE))</f>
        <v>50</v>
      </c>
      <c r="L218" s="200" t="str">
        <f>IF(D218="","",INDEX(製品マスタ!$Q$5:$Q$4999,MATCH(F218&amp;K218,製品マスタ!$AO$5:$AO$4999,0)))</f>
        <v>T62</v>
      </c>
      <c r="M218" s="37">
        <v>1120</v>
      </c>
      <c r="N218" s="37">
        <v>10000</v>
      </c>
      <c r="O218" s="45">
        <v>6</v>
      </c>
      <c r="P218" s="54"/>
      <c r="Q218" s="260">
        <f>IF(D218="","",IF(J218="リード付け",M218,VLOOKUP(D218,契約台帳!$A$3:$N$4986,14,FALSE)))</f>
        <v>1120</v>
      </c>
      <c r="R218" s="261">
        <f>IF(D218="","",IF(J218="リード付け",M218,VLOOKUP(D218,契約台帳!$A$3:$O$4986,15,FALSE)))</f>
        <v>1120</v>
      </c>
      <c r="S218" s="261">
        <f>IF(D218="","",IF(J218="リード付け",N218,VLOOKUP(D218,契約台帳!$A$3:$P$4986,16,FALSE)))</f>
        <v>5000</v>
      </c>
      <c r="T218" s="38">
        <v>12</v>
      </c>
      <c r="U218" s="261">
        <f ca="1">IF(D218="","",IF(OFFSET(D218,-2,0)=D218,"",VLOOKUP(D218,契約台帳!$A$3:$R$4986,18,FALSE)))</f>
        <v>12</v>
      </c>
      <c r="V218" s="256" t="str">
        <f>IF(J218="巻返し",VLOOKUP(F218&amp;K218&amp;M218,製品マスタ!$M$5:$AD$4999,18,FALSE),IF(J218="リード付け","原反コア",IF(J218="スリット",VLOOKUP(F218&amp;K218&amp;Q218,製品マスタ!$N$5:$AD$4999,17,FALSE),"")))</f>
        <v>6ｲﾝﾁSｺｱ</v>
      </c>
      <c r="W218" s="256">
        <f>IF(J218="巻返し",VLOOKUP(F218&amp;K218&amp;M218,製品マスタ!$M$5:$AE$4999,19,FALSE),IF(J218="リード付け","-",IF(J218="スリット",VLOOKUP(F218&amp;K218&amp;Q218,製品マスタ!$N$5:$AE$4999,18,FALSE),"")))</f>
        <v>1125</v>
      </c>
      <c r="X218" s="256">
        <f>IF(D218="","",VLOOKUP(D218,契約台帳!$A$3:$Q$4986,17,FALSE))</f>
        <v>2</v>
      </c>
      <c r="Y218" s="256" t="str">
        <f>IF(D218="","",VLOOKUP(D218,契約台帳!$A$3:$E$4986,5,FALSE))</f>
        <v>リンテック㈱</v>
      </c>
      <c r="Z218" s="54">
        <v>44999</v>
      </c>
      <c r="AA218" s="200" t="str">
        <f>IFERROR(VLOOKUP(F218&amp;K218&amp;M218,製品マスタ!$M$5:$AM$4999,27,FALSE),"")</f>
        <v>原反ケース再利用</v>
      </c>
      <c r="AB218" s="31"/>
      <c r="AC218" s="184"/>
      <c r="AD218" s="51" t="str">
        <f>IF(F218="","",+F218&amp;K218)</f>
        <v>3SNMLBMNGTBF50</v>
      </c>
      <c r="AE218" s="52">
        <f>+M218*N218*O218/1000</f>
        <v>67200</v>
      </c>
      <c r="AF218" s="41">
        <f>IF(AD218="","",VLOOKUP(AD218,原価マスタ!$A$2:$AJ$1693,13,FALSE))</f>
        <v>99</v>
      </c>
      <c r="AG218" s="45">
        <f>IF(AF218="","",+AE218*AF218/100)</f>
        <v>66528</v>
      </c>
      <c r="AH218" s="28"/>
      <c r="AI218" s="28"/>
      <c r="AJ218" s="28"/>
      <c r="AK218" s="28"/>
      <c r="AL218" s="12"/>
      <c r="AM218" s="12"/>
      <c r="AN218" s="12"/>
      <c r="AO218" s="12"/>
      <c r="AP218" s="12"/>
      <c r="AQ218" s="13"/>
      <c r="AR218" s="14"/>
    </row>
    <row r="219" spans="1:44" s="16" customFormat="1" ht="30.95" hidden="1" customHeight="1" x14ac:dyDescent="0.2">
      <c r="A219" s="35"/>
      <c r="B219" s="36"/>
      <c r="C219" s="43"/>
      <c r="D219" s="29"/>
      <c r="E219" s="29"/>
      <c r="F219" s="255" t="str">
        <f>IF(D219="","",VLOOKUP(D219,契約台帳!$A$3:$K$4986,6,FALSE)&amp;VLOOKUP(D219,契約台帳!$A$3:$K$4986,7,FALSE)&amp;VLOOKUP(D219,契約台帳!$A$3:$K$4986,8,FALSE)&amp;VLOOKUP(D219,契約台帳!$A$3:$K$4986,9,FALSE)&amp;VLOOKUP(D219,契約台帳!$A$3:$K$4986,11,FALSE))</f>
        <v/>
      </c>
      <c r="G219" s="256" t="str">
        <f>IF(D219="","",VLOOKUP(F219,製品マスタ!$G$5:$H$4999,2,FALSE))</f>
        <v/>
      </c>
      <c r="H219" s="256" t="str">
        <f>IF(D219="","",VLOOKUP(F219,製品マスタ!$G$5:$K$4999,5,FALSE))</f>
        <v/>
      </c>
      <c r="I219" s="200" t="str">
        <f>IF(D219="","",VLOOKUP(F219,製品マスタ!$G$5:$L$4999,6,FALSE))</f>
        <v/>
      </c>
      <c r="J219" s="30"/>
      <c r="K219" s="200" t="str">
        <f>IF(D219="","",VLOOKUP(D219,契約台帳!$A$3:$L$4986,12,FALSE))</f>
        <v/>
      </c>
      <c r="L219" s="200" t="str">
        <f>IF(D219="","",INDEX(製品マスタ!$Q$5:$Q$4999,MATCH(F219&amp;K219,製品マスタ!$AO$5:$AO$4999,0)))</f>
        <v/>
      </c>
      <c r="M219" s="37"/>
      <c r="N219" s="37"/>
      <c r="O219" s="45"/>
      <c r="P219" s="54"/>
      <c r="Q219" s="260" t="str">
        <f>IF(D219="","",IF(J219="リード付け",M219,VLOOKUP(D219,契約台帳!$A$3:$N$4986,14,FALSE)))</f>
        <v/>
      </c>
      <c r="R219" s="261" t="str">
        <f>IF(D219="","",IF(J219="リード付け",M219,VLOOKUP(D219,契約台帳!$A$3:$O$4986,15,FALSE)))</f>
        <v/>
      </c>
      <c r="S219" s="261" t="str">
        <f>IF(D219="","",IF(J219="リード付け",N219,VLOOKUP(D219,契約台帳!$A$3:$P$4986,16,FALSE)))</f>
        <v/>
      </c>
      <c r="T219" s="38"/>
      <c r="U219" s="261" t="str">
        <f ca="1">IF(D219="","",IF(OFFSET(D219,-2,0)=D219,"",VLOOKUP(D219,契約台帳!$A$3:$R$4986,18,FALSE)))</f>
        <v/>
      </c>
      <c r="V219" s="256" t="str">
        <f>IF(J219="巻返し",VLOOKUP(F219&amp;K219&amp;M219,製品マスタ!$M$5:$AD$4999,18,FALSE),IF(J219="リード付け","原反コア",IF(J219="スリット",VLOOKUP(F219&amp;K219&amp;Q219,製品マスタ!$N$5:$AD$4999,17,FALSE),"")))</f>
        <v/>
      </c>
      <c r="W219" s="256" t="str">
        <f>IF(J219="巻返し",VLOOKUP(F219&amp;K219&amp;M219,製品マスタ!$M$5:$AE$4999,19,FALSE),IF(J219="リード付け","-",IF(J219="スリット",VLOOKUP(F219&amp;K219&amp;Q219,製品マスタ!$N$5:$AE$4999,18,FALSE),"")))</f>
        <v/>
      </c>
      <c r="X219" s="256" t="str">
        <f>IF(D219="","",VLOOKUP(D219,契約台帳!$A$3:$Q$4986,17,FALSE))</f>
        <v/>
      </c>
      <c r="Y219" s="256" t="str">
        <f>IF(D219="","",VLOOKUP(D219,契約台帳!$A$3:$E$4986,5,FALSE))</f>
        <v/>
      </c>
      <c r="Z219" s="54"/>
      <c r="AA219" s="200" t="str">
        <f>IFERROR(VLOOKUP(F219&amp;K219&amp;M219,製品マスタ!$M$5:$AM$4999,27,FALSE),"")</f>
        <v/>
      </c>
      <c r="AB219" s="31"/>
      <c r="AC219" s="184"/>
      <c r="AD219" s="51"/>
      <c r="AE219" s="52"/>
      <c r="AF219" s="41"/>
      <c r="AG219" s="45"/>
      <c r="AH219" s="28"/>
      <c r="AI219" s="28"/>
      <c r="AJ219" s="28"/>
      <c r="AK219" s="28"/>
      <c r="AL219" s="12"/>
      <c r="AM219" s="12"/>
      <c r="AN219" s="12"/>
      <c r="AO219" s="12"/>
      <c r="AP219" s="12"/>
      <c r="AQ219" s="13"/>
      <c r="AR219" s="14"/>
    </row>
    <row r="220" spans="1:44" s="16" customFormat="1" ht="30.95" hidden="1" customHeight="1" x14ac:dyDescent="0.2">
      <c r="A220" s="35" t="s">
        <v>951</v>
      </c>
      <c r="B220" s="36" t="s">
        <v>445</v>
      </c>
      <c r="C220" s="43"/>
      <c r="D220" s="29">
        <v>3700958</v>
      </c>
      <c r="E220" s="29">
        <v>4151316</v>
      </c>
      <c r="F220" s="255" t="str">
        <f>IF(D220="","",VLOOKUP(D220,契約台帳!$A$3:$K$4986,6,FALSE)&amp;VLOOKUP(D220,契約台帳!$A$3:$K$4986,7,FALSE)&amp;VLOOKUP(D220,契約台帳!$A$3:$K$4986,8,FALSE)&amp;VLOOKUP(D220,契約台帳!$A$3:$K$4986,9,FALSE)&amp;VLOOKUP(D220,契約台帳!$A$3:$K$4986,11,FALSE))</f>
        <v>3SNMLBMNGTBF</v>
      </c>
      <c r="G220" s="256" t="str">
        <f>IF(D220="","",VLOOKUP(F220,製品マスタ!$G$5:$H$4999,2,FALSE))</f>
        <v>S</v>
      </c>
      <c r="H220" s="256" t="str">
        <f>IF(D220="","",VLOOKUP(F220,製品マスタ!$G$5:$K$4999,5,FALSE))</f>
        <v>MNGTBF</v>
      </c>
      <c r="I220" s="200" t="str">
        <f>IF(D220="","",VLOOKUP(F220,製品マスタ!$G$5:$L$4999,6,FALSE))</f>
        <v>メタルミー　ネーマー　銀艶　Ｂ</v>
      </c>
      <c r="J220" s="30" t="s">
        <v>962</v>
      </c>
      <c r="K220" s="200">
        <f>IF(D220="","",VLOOKUP(D220,契約台帳!$A$3:$L$4986,12,FALSE))</f>
        <v>50</v>
      </c>
      <c r="L220" s="200" t="str">
        <f>IF(D220="","",INDEX(製品マスタ!$Q$5:$Q$4999,MATCH(F220&amp;K220,製品マスタ!$AO$5:$AO$4999,0)))</f>
        <v>T62</v>
      </c>
      <c r="M220" s="37">
        <v>1120</v>
      </c>
      <c r="N220" s="37">
        <v>10000</v>
      </c>
      <c r="O220" s="45">
        <v>6</v>
      </c>
      <c r="P220" s="54"/>
      <c r="Q220" s="260">
        <f>IF(D220="","",IF(J220="リード付け",M220,VLOOKUP(D220,契約台帳!$A$3:$N$4986,14,FALSE)))</f>
        <v>1120</v>
      </c>
      <c r="R220" s="261">
        <f>IF(D220="","",IF(J220="リード付け",M220,VLOOKUP(D220,契約台帳!$A$3:$O$4986,15,FALSE)))</f>
        <v>1120</v>
      </c>
      <c r="S220" s="261">
        <f>IF(D220="","",IF(J220="リード付け",N220,VLOOKUP(D220,契約台帳!$A$3:$P$4986,16,FALSE)))</f>
        <v>5000</v>
      </c>
      <c r="T220" s="38">
        <v>12</v>
      </c>
      <c r="U220" s="261">
        <f ca="1">IF(D220="","",IF(OFFSET(D220,-2,0)=D220,"",VLOOKUP(D220,契約台帳!$A$3:$R$4986,18,FALSE)))</f>
        <v>12</v>
      </c>
      <c r="V220" s="256" t="str">
        <f>IF(J220="巻返し",VLOOKUP(F220&amp;K220&amp;M220,製品マスタ!$M$5:$AD$4999,18,FALSE),IF(J220="リード付け","原反コア",IF(J220="スリット",VLOOKUP(F220&amp;K220&amp;Q220,製品マスタ!$N$5:$AD$4999,17,FALSE),"")))</f>
        <v>6ｲﾝﾁSｺｱ</v>
      </c>
      <c r="W220" s="256">
        <f>IF(J220="巻返し",VLOOKUP(F220&amp;K220&amp;M220,製品マスタ!$M$5:$AE$4999,19,FALSE),IF(J220="リード付け","-",IF(J220="スリット",VLOOKUP(F220&amp;K220&amp;Q220,製品マスタ!$N$5:$AE$4999,18,FALSE),"")))</f>
        <v>1125</v>
      </c>
      <c r="X220" s="256">
        <f>IF(D220="","",VLOOKUP(D220,契約台帳!$A$3:$Q$4986,17,FALSE))</f>
        <v>2</v>
      </c>
      <c r="Y220" s="256" t="str">
        <f>IF(D220="","",VLOOKUP(D220,契約台帳!$A$3:$E$4986,5,FALSE))</f>
        <v>リンテック㈱</v>
      </c>
      <c r="Z220" s="54">
        <v>44999</v>
      </c>
      <c r="AA220" s="200" t="str">
        <f>IFERROR(VLOOKUP(F220&amp;K220&amp;M220,製品マスタ!$M$5:$AM$4999,27,FALSE),"")</f>
        <v>原反ケース再利用</v>
      </c>
      <c r="AB220" s="31"/>
      <c r="AC220" s="184"/>
      <c r="AD220" s="51" t="str">
        <f>IF(F220="","",+F220&amp;K220)</f>
        <v>3SNMLBMNGTBF50</v>
      </c>
      <c r="AE220" s="52">
        <f>+M220*N220*O220/1000</f>
        <v>67200</v>
      </c>
      <c r="AF220" s="41">
        <f>IF(AD220="","",VLOOKUP(AD220,原価マスタ!$A$2:$AJ$1693,13,FALSE))</f>
        <v>99</v>
      </c>
      <c r="AG220" s="45">
        <f>IF(AF220="","",+AE220*AF220/100)</f>
        <v>66528</v>
      </c>
      <c r="AH220" s="28"/>
      <c r="AI220" s="28"/>
      <c r="AJ220" s="28"/>
      <c r="AK220" s="28"/>
      <c r="AL220" s="12"/>
      <c r="AM220" s="12"/>
      <c r="AN220" s="12"/>
      <c r="AO220" s="12"/>
      <c r="AP220" s="12"/>
      <c r="AQ220" s="13"/>
      <c r="AR220" s="14"/>
    </row>
    <row r="221" spans="1:44" s="16" customFormat="1" ht="30.95" hidden="1" customHeight="1" x14ac:dyDescent="0.2">
      <c r="A221" s="35"/>
      <c r="B221" s="36"/>
      <c r="C221" s="43"/>
      <c r="D221" s="29"/>
      <c r="E221" s="29"/>
      <c r="F221" s="255" t="str">
        <f>IF(D221="","",VLOOKUP(D221,契約台帳!$A$3:$K$4986,6,FALSE)&amp;VLOOKUP(D221,契約台帳!$A$3:$K$4986,7,FALSE)&amp;VLOOKUP(D221,契約台帳!$A$3:$K$4986,8,FALSE)&amp;VLOOKUP(D221,契約台帳!$A$3:$K$4986,9,FALSE)&amp;VLOOKUP(D221,契約台帳!$A$3:$K$4986,11,FALSE))</f>
        <v/>
      </c>
      <c r="G221" s="256" t="str">
        <f>IF(D221="","",VLOOKUP(F221,製品マスタ!$G$5:$H$4999,2,FALSE))</f>
        <v/>
      </c>
      <c r="H221" s="256" t="str">
        <f>IF(D221="","",VLOOKUP(F221,製品マスタ!$G$5:$K$4999,5,FALSE))</f>
        <v/>
      </c>
      <c r="I221" s="200" t="str">
        <f>IF(D221="","",VLOOKUP(F221,製品マスタ!$G$5:$L$4999,6,FALSE))</f>
        <v/>
      </c>
      <c r="J221" s="30"/>
      <c r="K221" s="200" t="str">
        <f>IF(D221="","",VLOOKUP(D221,契約台帳!$A$3:$L$4986,12,FALSE))</f>
        <v/>
      </c>
      <c r="L221" s="200" t="str">
        <f>IF(D221="","",INDEX(製品マスタ!$Q$5:$Q$4999,MATCH(F221&amp;K221,製品マスタ!$AO$5:$AO$4999,0)))</f>
        <v/>
      </c>
      <c r="M221" s="37"/>
      <c r="N221" s="37"/>
      <c r="O221" s="45"/>
      <c r="P221" s="54"/>
      <c r="Q221" s="260" t="str">
        <f>IF(D221="","",IF(J221="リード付け",M221,VLOOKUP(D221,契約台帳!$A$3:$N$4986,14,FALSE)))</f>
        <v/>
      </c>
      <c r="R221" s="261" t="str">
        <f>IF(D221="","",IF(J221="リード付け",M221,VLOOKUP(D221,契約台帳!$A$3:$O$4986,15,FALSE)))</f>
        <v/>
      </c>
      <c r="S221" s="261" t="str">
        <f>IF(D221="","",IF(J221="リード付け",N221,VLOOKUP(D221,契約台帳!$A$3:$P$4986,16,FALSE)))</f>
        <v/>
      </c>
      <c r="T221" s="38"/>
      <c r="U221" s="261" t="str">
        <f ca="1">IF(D221="","",IF(OFFSET(D221,-2,0)=D221,"",VLOOKUP(D221,契約台帳!$A$3:$R$4986,18,FALSE)))</f>
        <v/>
      </c>
      <c r="V221" s="256" t="str">
        <f>IF(J221="巻返し",VLOOKUP(F221&amp;K221&amp;M221,製品マスタ!$M$5:$AD$4999,18,FALSE),IF(J221="リード付け","原反コア",IF(J221="スリット",VLOOKUP(F221&amp;K221&amp;Q221,製品マスタ!$N$5:$AD$4999,17,FALSE),"")))</f>
        <v/>
      </c>
      <c r="W221" s="256" t="str">
        <f>IF(J221="巻返し",VLOOKUP(F221&amp;K221&amp;M221,製品マスタ!$M$5:$AE$4999,19,FALSE),IF(J221="リード付け","-",IF(J221="スリット",VLOOKUP(F221&amp;K221&amp;Q221,製品マスタ!$N$5:$AE$4999,18,FALSE),"")))</f>
        <v/>
      </c>
      <c r="X221" s="256" t="str">
        <f>IF(D221="","",VLOOKUP(D221,契約台帳!$A$3:$Q$4986,17,FALSE))</f>
        <v/>
      </c>
      <c r="Y221" s="256" t="str">
        <f>IF(D221="","",VLOOKUP(D221,契約台帳!$A$3:$E$4986,5,FALSE))</f>
        <v/>
      </c>
      <c r="Z221" s="54"/>
      <c r="AA221" s="200" t="str">
        <f>IFERROR(VLOOKUP(F221&amp;K221&amp;M221,製品マスタ!$M$5:$AM$4999,27,FALSE),"")</f>
        <v/>
      </c>
      <c r="AB221" s="31"/>
      <c r="AC221" s="184"/>
      <c r="AD221" s="51"/>
      <c r="AE221" s="52"/>
      <c r="AF221" s="41"/>
      <c r="AG221" s="45"/>
      <c r="AH221" s="28"/>
      <c r="AI221" s="28"/>
      <c r="AJ221" s="28"/>
      <c r="AK221" s="28"/>
      <c r="AL221" s="12"/>
      <c r="AM221" s="12"/>
      <c r="AN221" s="12"/>
      <c r="AO221" s="12"/>
      <c r="AP221" s="12"/>
      <c r="AQ221" s="13"/>
      <c r="AR221" s="14"/>
    </row>
    <row r="222" spans="1:44" s="16" customFormat="1" ht="30.95" hidden="1" customHeight="1" x14ac:dyDescent="0.2">
      <c r="A222" s="35" t="s">
        <v>952</v>
      </c>
      <c r="B222" s="36" t="s">
        <v>446</v>
      </c>
      <c r="C222" s="43"/>
      <c r="D222" s="29"/>
      <c r="E222" s="29"/>
      <c r="F222" s="255" t="str">
        <f>IF(D222="","",VLOOKUP(D222,契約台帳!$A$3:$K$4986,6,FALSE)&amp;VLOOKUP(D222,契約台帳!$A$3:$K$4986,7,FALSE)&amp;VLOOKUP(D222,契約台帳!$A$3:$K$4986,8,FALSE)&amp;VLOOKUP(D222,契約台帳!$A$3:$K$4986,9,FALSE)&amp;VLOOKUP(D222,契約台帳!$A$3:$K$4986,11,FALSE))</f>
        <v/>
      </c>
      <c r="G222" s="256" t="str">
        <f>IF(D222="","",VLOOKUP(F222,製品マスタ!$G$5:$H$4999,2,FALSE))</f>
        <v/>
      </c>
      <c r="H222" s="256" t="str">
        <f>IF(D222="","",VLOOKUP(F222,製品マスタ!$G$5:$K$4999,5,FALSE))</f>
        <v/>
      </c>
      <c r="I222" s="200" t="str">
        <f>IF(D222="","",VLOOKUP(F222,製品マスタ!$G$5:$L$4999,6,FALSE))</f>
        <v/>
      </c>
      <c r="J222" s="30" t="s">
        <v>448</v>
      </c>
      <c r="K222" s="200" t="str">
        <f>IF(D222="","",VLOOKUP(D222,契約台帳!$A$3:$L$4986,12,FALSE))</f>
        <v/>
      </c>
      <c r="L222" s="200" t="str">
        <f>IF(D222="","",INDEX(製品マスタ!$Q$5:$Q$4999,MATCH(F222&amp;K222,製品マスタ!$AO$5:$AO$4999,0)))</f>
        <v/>
      </c>
      <c r="M222" s="37"/>
      <c r="N222" s="37"/>
      <c r="O222" s="45"/>
      <c r="P222" s="54"/>
      <c r="Q222" s="260" t="str">
        <f>IF(D222="","",IF(J222="リード付け",M222,VLOOKUP(D222,契約台帳!$A$3:$N$4986,14,FALSE)))</f>
        <v/>
      </c>
      <c r="R222" s="261" t="str">
        <f>IF(D222="","",IF(J222="リード付け",M222,VLOOKUP(D222,契約台帳!$A$3:$O$4986,15,FALSE)))</f>
        <v/>
      </c>
      <c r="S222" s="261" t="str">
        <f>IF(D222="","",IF(J222="リード付け",N222,VLOOKUP(D222,契約台帳!$A$3:$P$4986,16,FALSE)))</f>
        <v/>
      </c>
      <c r="T222" s="38"/>
      <c r="U222" s="261" t="str">
        <f ca="1">IF(D222="","",IF(OFFSET(D222,-2,0)=D222,"",VLOOKUP(D222,契約台帳!$A$3:$R$4986,18,FALSE)))</f>
        <v/>
      </c>
      <c r="V222" s="256" t="str">
        <f>IF(J222="巻返し",VLOOKUP(F222&amp;K222&amp;M222,製品マスタ!$M$5:$AD$4999,18,FALSE),IF(J222="リード付け","原反コア",IF(J222="スリット",VLOOKUP(F222&amp;K222&amp;Q222,製品マスタ!$N$5:$AD$4999,17,FALSE),"")))</f>
        <v/>
      </c>
      <c r="W222" s="256" t="str">
        <f>IF(J222="巻返し",VLOOKUP(F222&amp;K222&amp;M222,製品マスタ!$M$5:$AE$4999,19,FALSE),IF(J222="リード付け","-",IF(J222="スリット",VLOOKUP(F222&amp;K222&amp;Q222,製品マスタ!$N$5:$AE$4999,18,FALSE),"")))</f>
        <v/>
      </c>
      <c r="X222" s="256" t="str">
        <f>IF(D222="","",VLOOKUP(D222,契約台帳!$A$3:$Q$4986,17,FALSE))</f>
        <v/>
      </c>
      <c r="Y222" s="256" t="str">
        <f>IF(D222="","",VLOOKUP(D222,契約台帳!$A$3:$E$4986,5,FALSE))</f>
        <v/>
      </c>
      <c r="Z222" s="54"/>
      <c r="AA222" s="200" t="str">
        <f>IFERROR(VLOOKUP(F222&amp;K222&amp;M222,製品マスタ!$M$5:$AM$4999,27,FALSE),"")</f>
        <v/>
      </c>
      <c r="AB222" s="31"/>
      <c r="AC222" s="184"/>
      <c r="AD222" s="51"/>
      <c r="AE222" s="52"/>
      <c r="AF222" s="41"/>
      <c r="AG222" s="45"/>
      <c r="AH222" s="28"/>
      <c r="AI222" s="28"/>
      <c r="AJ222" s="28"/>
      <c r="AK222" s="28"/>
      <c r="AL222" s="12"/>
      <c r="AM222" s="12"/>
      <c r="AN222" s="12"/>
      <c r="AO222" s="12"/>
      <c r="AP222" s="12"/>
      <c r="AQ222" s="13"/>
      <c r="AR222" s="14"/>
    </row>
    <row r="223" spans="1:44" s="16" customFormat="1" ht="30.95" hidden="1" customHeight="1" x14ac:dyDescent="0.2">
      <c r="A223" s="35"/>
      <c r="B223" s="36"/>
      <c r="C223" s="43"/>
      <c r="D223" s="29"/>
      <c r="E223" s="29"/>
      <c r="F223" s="255"/>
      <c r="G223" s="256"/>
      <c r="H223" s="256"/>
      <c r="I223" s="200"/>
      <c r="J223" s="30"/>
      <c r="K223" s="200"/>
      <c r="L223" s="200"/>
      <c r="M223" s="37"/>
      <c r="N223" s="37"/>
      <c r="O223" s="45"/>
      <c r="P223" s="54"/>
      <c r="Q223" s="260"/>
      <c r="R223" s="261"/>
      <c r="S223" s="261"/>
      <c r="T223" s="38"/>
      <c r="U223" s="261"/>
      <c r="V223" s="256"/>
      <c r="W223" s="256"/>
      <c r="X223" s="256"/>
      <c r="Y223" s="256"/>
      <c r="Z223" s="54"/>
      <c r="AA223" s="200"/>
      <c r="AB223" s="31"/>
      <c r="AC223" s="184"/>
      <c r="AD223" s="51"/>
      <c r="AE223" s="52"/>
      <c r="AF223" s="41"/>
      <c r="AG223" s="45"/>
      <c r="AH223" s="28"/>
      <c r="AI223" s="28"/>
      <c r="AJ223" s="28"/>
      <c r="AK223" s="28"/>
      <c r="AL223" s="12"/>
      <c r="AM223" s="12"/>
      <c r="AN223" s="12"/>
      <c r="AO223" s="12"/>
      <c r="AP223" s="12"/>
      <c r="AQ223" s="13"/>
      <c r="AR223" s="14"/>
    </row>
    <row r="224" spans="1:44" s="16" customFormat="1" ht="30.95" hidden="1" customHeight="1" x14ac:dyDescent="0.2">
      <c r="A224" s="35" t="s">
        <v>983</v>
      </c>
      <c r="B224" s="36" t="s">
        <v>984</v>
      </c>
      <c r="C224" s="43"/>
      <c r="D224" s="29">
        <v>3700959</v>
      </c>
      <c r="E224" s="29">
        <v>4151317</v>
      </c>
      <c r="F224" s="255" t="str">
        <f>IF(D224="","",VLOOKUP(D224,契約台帳!$A$3:$K$4986,6,FALSE)&amp;VLOOKUP(D224,契約台帳!$A$3:$K$4986,7,FALSE)&amp;VLOOKUP(D224,契約台帳!$A$3:$K$4986,8,FALSE)&amp;VLOOKUP(D224,契約台帳!$A$3:$K$4986,9,FALSE)&amp;VLOOKUP(D224,契約台帳!$A$3:$K$4986,11,FALSE))</f>
        <v>3SNMLBMNGTBF</v>
      </c>
      <c r="G224" s="256" t="str">
        <f>IF(D224="","",VLOOKUP(F224,製品マスタ!$G$5:$H$4999,2,FALSE))</f>
        <v>S</v>
      </c>
      <c r="H224" s="256" t="str">
        <f>IF(D224="","",VLOOKUP(F224,製品マスタ!$G$5:$K$4999,5,FALSE))</f>
        <v>MNGTBF</v>
      </c>
      <c r="I224" s="200" t="str">
        <f>IF(D224="","",VLOOKUP(F224,製品マスタ!$G$5:$L$4999,6,FALSE))</f>
        <v>メタルミー　ネーマー　銀艶　Ｂ</v>
      </c>
      <c r="J224" s="30" t="s">
        <v>962</v>
      </c>
      <c r="K224" s="200">
        <f>IF(D224="","",VLOOKUP(D224,契約台帳!$A$3:$L$4986,12,FALSE))</f>
        <v>50</v>
      </c>
      <c r="L224" s="200" t="str">
        <f>IF(D224="","",INDEX(製品マスタ!$Q$5:$Q$4999,MATCH(F224&amp;K224,製品マスタ!$AO$5:$AO$4999,0)))</f>
        <v>T62</v>
      </c>
      <c r="M224" s="37">
        <v>1120</v>
      </c>
      <c r="N224" s="37">
        <v>10000</v>
      </c>
      <c r="O224" s="45">
        <v>6</v>
      </c>
      <c r="P224" s="54"/>
      <c r="Q224" s="260">
        <f>IF(D224="","",IF(J224="リード付け",M224,VLOOKUP(D224,契約台帳!$A$3:$N$4986,14,FALSE)))</f>
        <v>1120</v>
      </c>
      <c r="R224" s="261">
        <f>IF(D224="","",IF(J224="リード付け",M224,VLOOKUP(D224,契約台帳!$A$3:$O$4986,15,FALSE)))</f>
        <v>1120</v>
      </c>
      <c r="S224" s="261">
        <f>IF(D224="","",IF(J224="リード付け",N224,VLOOKUP(D224,契約台帳!$A$3:$P$4986,16,FALSE)))</f>
        <v>5000</v>
      </c>
      <c r="T224" s="38">
        <v>12</v>
      </c>
      <c r="U224" s="261">
        <f ca="1">IF(D224="","",IF(OFFSET(D224,-2,0)=D224,"",VLOOKUP(D224,契約台帳!$A$3:$R$4986,18,FALSE)))</f>
        <v>12</v>
      </c>
      <c r="V224" s="256" t="str">
        <f>IF(J224="巻返し",VLOOKUP(F224&amp;K224&amp;M224,製品マスタ!$M$5:$AD$4999,18,FALSE),IF(J224="リード付け","原反コア",IF(J224="スリット",VLOOKUP(F224&amp;K224&amp;Q224,製品マスタ!$N$5:$AD$4999,17,FALSE),"")))</f>
        <v>6ｲﾝﾁSｺｱ</v>
      </c>
      <c r="W224" s="256">
        <f>IF(J224="巻返し",VLOOKUP(F224&amp;K224&amp;M224,製品マスタ!$M$5:$AE$4999,19,FALSE),IF(J224="リード付け","-",IF(J224="スリット",VLOOKUP(F224&amp;K224&amp;Q224,製品マスタ!$N$5:$AE$4999,18,FALSE),"")))</f>
        <v>1125</v>
      </c>
      <c r="X224" s="256">
        <f>IF(D224="","",VLOOKUP(D224,契約台帳!$A$3:$Q$4986,17,FALSE))</f>
        <v>2</v>
      </c>
      <c r="Y224" s="256" t="str">
        <f>IF(D224="","",VLOOKUP(D224,契約台帳!$A$3:$E$4986,5,FALSE))</f>
        <v>リンテック㈱</v>
      </c>
      <c r="Z224" s="54">
        <v>45001</v>
      </c>
      <c r="AA224" s="200" t="str">
        <f>IFERROR(VLOOKUP(F224&amp;K224&amp;M224,製品マスタ!$M$5:$AM$4999,27,FALSE),"")</f>
        <v>原反ケース再利用</v>
      </c>
      <c r="AB224" s="31"/>
      <c r="AC224" s="184"/>
      <c r="AD224" s="51" t="str">
        <f>IF(F224="","",+F224&amp;K224)</f>
        <v>3SNMLBMNGTBF50</v>
      </c>
      <c r="AE224" s="52">
        <f>+M224*N224*O224/1000</f>
        <v>67200</v>
      </c>
      <c r="AF224" s="41">
        <f>IF(AD224="","",VLOOKUP(AD224,原価マスタ!$A$2:$AJ$1693,13,FALSE))</f>
        <v>99</v>
      </c>
      <c r="AG224" s="45">
        <f>IF(AF224="","",+AE224*AF224/100)</f>
        <v>66528</v>
      </c>
      <c r="AH224" s="28"/>
      <c r="AI224" s="28"/>
      <c r="AJ224" s="28"/>
      <c r="AK224" s="28"/>
      <c r="AL224" s="12"/>
      <c r="AM224" s="12"/>
      <c r="AN224" s="12"/>
      <c r="AO224" s="12"/>
      <c r="AP224" s="12"/>
      <c r="AQ224" s="13"/>
      <c r="AR224" s="14"/>
    </row>
    <row r="225" spans="1:44" s="16" customFormat="1" ht="30.95" hidden="1" customHeight="1" x14ac:dyDescent="0.2">
      <c r="A225" s="35"/>
      <c r="B225" s="36"/>
      <c r="C225" s="43"/>
      <c r="D225" s="29"/>
      <c r="E225" s="29"/>
      <c r="F225" s="255" t="str">
        <f>IF(D225="","",VLOOKUP(D225,契約台帳!$A$3:$K$4986,6,FALSE)&amp;VLOOKUP(D225,契約台帳!$A$3:$K$4986,7,FALSE)&amp;VLOOKUP(D225,契約台帳!$A$3:$K$4986,8,FALSE)&amp;VLOOKUP(D225,契約台帳!$A$3:$K$4986,9,FALSE)&amp;VLOOKUP(D225,契約台帳!$A$3:$K$4986,11,FALSE))</f>
        <v/>
      </c>
      <c r="G225" s="256" t="str">
        <f>IF(D225="","",VLOOKUP(F225,製品マスタ!$G$5:$H$4999,2,FALSE))</f>
        <v/>
      </c>
      <c r="H225" s="256" t="str">
        <f>IF(D225="","",VLOOKUP(F225,製品マスタ!$G$5:$K$4999,5,FALSE))</f>
        <v/>
      </c>
      <c r="I225" s="200" t="str">
        <f>IF(D225="","",VLOOKUP(F225,製品マスタ!$G$5:$L$4999,6,FALSE))</f>
        <v/>
      </c>
      <c r="J225" s="30"/>
      <c r="K225" s="200" t="str">
        <f>IF(D225="","",VLOOKUP(D225,契約台帳!$A$3:$L$4986,12,FALSE))</f>
        <v/>
      </c>
      <c r="L225" s="200" t="str">
        <f>IF(D225="","",INDEX(製品マスタ!$Q$5:$Q$4999,MATCH(F225&amp;K225,製品マスタ!$AO$5:$AO$4999,0)))</f>
        <v/>
      </c>
      <c r="M225" s="37"/>
      <c r="N225" s="37"/>
      <c r="O225" s="45"/>
      <c r="P225" s="54"/>
      <c r="Q225" s="260" t="str">
        <f>IF(D225="","",IF(J225="リード付け",M225,VLOOKUP(D225,契約台帳!$A$3:$N$4986,14,FALSE)))</f>
        <v/>
      </c>
      <c r="R225" s="261" t="str">
        <f>IF(D225="","",IF(J225="リード付け",M225,VLOOKUP(D225,契約台帳!$A$3:$O$4986,15,FALSE)))</f>
        <v/>
      </c>
      <c r="S225" s="261" t="str">
        <f>IF(D225="","",IF(J225="リード付け",N225,VLOOKUP(D225,契約台帳!$A$3:$P$4986,16,FALSE)))</f>
        <v/>
      </c>
      <c r="T225" s="38"/>
      <c r="U225" s="261" t="str">
        <f ca="1">IF(D225="","",IF(OFFSET(D225,-2,0)=D225,"",VLOOKUP(D225,契約台帳!$A$3:$R$4986,18,FALSE)))</f>
        <v/>
      </c>
      <c r="V225" s="256" t="str">
        <f>IF(J225="巻返し",VLOOKUP(F225&amp;K225&amp;M225,製品マスタ!$M$5:$AD$4999,18,FALSE),IF(J225="リード付け","原反コア",IF(J225="スリット",VLOOKUP(F225&amp;K225&amp;Q225,製品マスタ!$N$5:$AD$4999,17,FALSE),"")))</f>
        <v/>
      </c>
      <c r="W225" s="256" t="str">
        <f>IF(J225="巻返し",VLOOKUP(F225&amp;K225&amp;M225,製品マスタ!$M$5:$AE$4999,19,FALSE),IF(J225="リード付け","-",IF(J225="スリット",VLOOKUP(F225&amp;K225&amp;Q225,製品マスタ!$N$5:$AE$4999,18,FALSE),"")))</f>
        <v/>
      </c>
      <c r="X225" s="256" t="str">
        <f>IF(D225="","",VLOOKUP(D225,契約台帳!$A$3:$Q$4986,17,FALSE))</f>
        <v/>
      </c>
      <c r="Y225" s="256" t="str">
        <f>IF(D225="","",VLOOKUP(D225,契約台帳!$A$3:$E$4986,5,FALSE))</f>
        <v/>
      </c>
      <c r="Z225" s="54"/>
      <c r="AA225" s="200" t="str">
        <f>IFERROR(VLOOKUP(F225&amp;K225&amp;M225,製品マスタ!$M$5:$AM$4999,27,FALSE),"")</f>
        <v/>
      </c>
      <c r="AB225" s="31"/>
      <c r="AC225" s="184"/>
      <c r="AD225" s="51"/>
      <c r="AE225" s="52"/>
      <c r="AF225" s="41"/>
      <c r="AG225" s="45"/>
      <c r="AH225" s="28"/>
      <c r="AI225" s="28"/>
      <c r="AJ225" s="28"/>
      <c r="AK225" s="28"/>
      <c r="AL225" s="12"/>
      <c r="AM225" s="12"/>
      <c r="AN225" s="12"/>
      <c r="AO225" s="12"/>
      <c r="AP225" s="12"/>
      <c r="AQ225" s="13"/>
      <c r="AR225" s="14"/>
    </row>
    <row r="226" spans="1:44" s="16" customFormat="1" ht="30.95" hidden="1" customHeight="1" x14ac:dyDescent="0.2">
      <c r="A226" s="35" t="s">
        <v>985</v>
      </c>
      <c r="B226" s="36" t="s">
        <v>986</v>
      </c>
      <c r="C226" s="43"/>
      <c r="D226" s="29">
        <v>3700968</v>
      </c>
      <c r="E226" s="29">
        <v>4151322</v>
      </c>
      <c r="F226" s="255" t="str">
        <f>IF(D226="","",VLOOKUP(D226,契約台帳!$A$3:$K$4986,6,FALSE)&amp;VLOOKUP(D226,契約台帳!$A$3:$K$4986,7,FALSE)&amp;VLOOKUP(D226,契約台帳!$A$3:$K$4986,8,FALSE)&amp;VLOOKUP(D226,契約台帳!$A$3:$K$4986,9,FALSE)&amp;VLOOKUP(D226,契約台帳!$A$3:$K$4986,11,FALSE))</f>
        <v>3SYMLBMSSMBZF</v>
      </c>
      <c r="G226" s="256" t="str">
        <f>IF(D226="","",VLOOKUP(F226,製品マスタ!$G$5:$H$4999,2,FALSE))</f>
        <v>S</v>
      </c>
      <c r="H226" s="256" t="str">
        <f>IF(D226="","",VLOOKUP(F226,製品マスタ!$G$5:$K$4999,5,FALSE))</f>
        <v>MSSMBZF</v>
      </c>
      <c r="I226" s="200" t="str">
        <f>IF(D226="","",VLOOKUP(F226,製品マスタ!$G$5:$L$4999,6,FALSE))</f>
        <v>ＭＥＴＡＬＵＭＹ　ＳＩＬＶＥＲ　Ｓ－ＭＡＴＴＥ　Ｂ</v>
      </c>
      <c r="J226" s="30" t="s">
        <v>447</v>
      </c>
      <c r="K226" s="200">
        <f>IF(D226="","",VLOOKUP(D226,契約台帳!$A$3:$L$4986,12,FALSE))</f>
        <v>50</v>
      </c>
      <c r="L226" s="200" t="str">
        <f>IF(D226="","",INDEX(製品マスタ!$Q$5:$Q$4999,MATCH(F226&amp;K226,製品マスタ!$AO$5:$AO$4999,0)))</f>
        <v>LI-MAT</v>
      </c>
      <c r="M226" s="37">
        <v>1120</v>
      </c>
      <c r="N226" s="37">
        <v>12000</v>
      </c>
      <c r="O226" s="45">
        <v>2</v>
      </c>
      <c r="P226" s="54"/>
      <c r="Q226" s="260">
        <f>IF(D226="","",IF(J226="リード付け",M226,VLOOKUP(D226,契約台帳!$A$3:$N$4986,14,FALSE)))</f>
        <v>1120</v>
      </c>
      <c r="R226" s="261">
        <f>IF(D226="","",IF(J226="リード付け",M226,VLOOKUP(D226,契約台帳!$A$3:$O$4986,15,FALSE)))</f>
        <v>1120</v>
      </c>
      <c r="S226" s="261">
        <f>IF(D226="","",IF(J226="リード付け",N226,VLOOKUP(D226,契約台帳!$A$3:$P$4986,16,FALSE)))</f>
        <v>4000</v>
      </c>
      <c r="T226" s="38">
        <v>6</v>
      </c>
      <c r="U226" s="261">
        <f ca="1">IF(D226="","",IF(OFFSET(D226,-2,0)=D226,"",VLOOKUP(D226,契約台帳!$A$3:$R$4986,18,FALSE)))</f>
        <v>10</v>
      </c>
      <c r="V226" s="256" t="str">
        <f>IF(J226="巻返し",VLOOKUP(F226&amp;K226&amp;M226,製品マスタ!$M$5:$AD$4999,18,FALSE),IF(J226="リード付け","原反コア",IF(J226="スリット",VLOOKUP(F226&amp;K226&amp;Q226,製品マスタ!$N$5:$AD$4999,17,FALSE),"")))</f>
        <v>6ｲﾝﾁSｺｱ</v>
      </c>
      <c r="W226" s="256">
        <f>IF(J226="巻返し",VLOOKUP(F226&amp;K226&amp;M226,製品マスタ!$M$5:$AE$4999,19,FALSE),IF(J226="リード付け","-",IF(J226="スリット",VLOOKUP(F226&amp;K226&amp;Q226,製品マスタ!$N$5:$AE$4999,18,FALSE),"")))</f>
        <v>1125</v>
      </c>
      <c r="X226" s="256">
        <f>IF(D226="","",VLOOKUP(D226,契約台帳!$A$3:$Q$4986,17,FALSE))</f>
        <v>2</v>
      </c>
      <c r="Y226" s="256" t="str">
        <f>IF(D226="","",VLOOKUP(D226,契約台帳!$A$3:$E$4986,5,FALSE))</f>
        <v>リンテック㈱</v>
      </c>
      <c r="Z226" s="54">
        <v>45002</v>
      </c>
      <c r="AA226" s="200">
        <f>IFERROR(VLOOKUP(F226&amp;K226&amp;M226,製品マスタ!$M$5:$AM$4999,27,FALSE),"")</f>
        <v>0</v>
      </c>
      <c r="AB226" s="31"/>
      <c r="AC226" s="184"/>
      <c r="AD226" s="51" t="str">
        <f>IF(F226="","",+F226&amp;K226)</f>
        <v>3SYMLBMSSMBZF50</v>
      </c>
      <c r="AE226" s="52">
        <f>+M226*N226*O226/1000</f>
        <v>26880</v>
      </c>
      <c r="AF226" s="41">
        <f>IF(AD226="","",VLOOKUP(AD226,原価マスタ!$A$2:$AJ$1693,13,FALSE))</f>
        <v>98</v>
      </c>
      <c r="AG226" s="45">
        <f>IF(AF226="","",+AE226*AF226/100)</f>
        <v>26342.400000000001</v>
      </c>
      <c r="AH226" s="28"/>
      <c r="AI226" s="28"/>
      <c r="AJ226" s="28"/>
      <c r="AK226" s="28"/>
      <c r="AL226" s="12"/>
      <c r="AM226" s="12"/>
      <c r="AN226" s="12"/>
      <c r="AO226" s="12"/>
      <c r="AP226" s="12"/>
      <c r="AQ226" s="13"/>
      <c r="AR226" s="14"/>
    </row>
    <row r="227" spans="1:44" s="16" customFormat="1" ht="30.95" hidden="1" customHeight="1" x14ac:dyDescent="0.2">
      <c r="A227" s="35"/>
      <c r="B227" s="36"/>
      <c r="C227" s="43"/>
      <c r="D227" s="29"/>
      <c r="E227" s="29"/>
      <c r="F227" s="255" t="str">
        <f>IF(D227="","",VLOOKUP(D227,契約台帳!$A$3:$K$4986,6,FALSE)&amp;VLOOKUP(D227,契約台帳!$A$3:$K$4986,7,FALSE)&amp;VLOOKUP(D227,契約台帳!$A$3:$K$4986,8,FALSE)&amp;VLOOKUP(D227,契約台帳!$A$3:$K$4986,9,FALSE)&amp;VLOOKUP(D227,契約台帳!$A$3:$K$4986,11,FALSE))</f>
        <v/>
      </c>
      <c r="G227" s="256" t="str">
        <f>IF(D227="","",VLOOKUP(F227,製品マスタ!$G$5:$H$4999,2,FALSE))</f>
        <v/>
      </c>
      <c r="H227" s="256" t="str">
        <f>IF(D227="","",VLOOKUP(F227,製品マスタ!$G$5:$K$4999,5,FALSE))</f>
        <v/>
      </c>
      <c r="I227" s="200" t="str">
        <f>IF(D227="","",VLOOKUP(F227,製品マスタ!$G$5:$L$4999,6,FALSE))</f>
        <v/>
      </c>
      <c r="J227" s="30"/>
      <c r="K227" s="200" t="str">
        <f>IF(D227="","",VLOOKUP(D227,契約台帳!$A$3:$L$4986,12,FALSE))</f>
        <v/>
      </c>
      <c r="L227" s="200" t="str">
        <f>IF(D227="","",INDEX(製品マスタ!$Q$5:$Q$4999,MATCH(F227&amp;K227,製品マスタ!$AO$5:$AO$4999,0)))</f>
        <v/>
      </c>
      <c r="M227" s="37"/>
      <c r="N227" s="37"/>
      <c r="O227" s="45"/>
      <c r="P227" s="54"/>
      <c r="Q227" s="260" t="str">
        <f>IF(D227="","",IF(J227="リード付け",M227,VLOOKUP(D227,契約台帳!$A$3:$N$4986,14,FALSE)))</f>
        <v/>
      </c>
      <c r="R227" s="261" t="str">
        <f>IF(D227="","",IF(J227="リード付け",M227,VLOOKUP(D227,契約台帳!$A$3:$O$4986,15,FALSE)))</f>
        <v/>
      </c>
      <c r="S227" s="261" t="str">
        <f>IF(D227="","",IF(J227="リード付け",N227,VLOOKUP(D227,契約台帳!$A$3:$P$4986,16,FALSE)))</f>
        <v/>
      </c>
      <c r="T227" s="38"/>
      <c r="U227" s="261" t="str">
        <f ca="1">IF(D227="","",IF(OFFSET(D227,-2,0)=D227,"",VLOOKUP(D227,契約台帳!$A$3:$R$4986,18,FALSE)))</f>
        <v/>
      </c>
      <c r="V227" s="256" t="str">
        <f>IF(J227="巻返し",VLOOKUP(F227&amp;K227&amp;M227,製品マスタ!$M$5:$AD$4999,18,FALSE),IF(J227="リード付け","原反コア",IF(J227="スリット",VLOOKUP(F227&amp;K227&amp;Q227,製品マスタ!$N$5:$AD$4999,17,FALSE),"")))</f>
        <v/>
      </c>
      <c r="W227" s="256" t="str">
        <f>IF(J227="巻返し",VLOOKUP(F227&amp;K227&amp;M227,製品マスタ!$M$5:$AE$4999,19,FALSE),IF(J227="リード付け","-",IF(J227="スリット",VLOOKUP(F227&amp;K227&amp;Q227,製品マスタ!$N$5:$AE$4999,18,FALSE),"")))</f>
        <v/>
      </c>
      <c r="X227" s="256" t="str">
        <f>IF(D227="","",VLOOKUP(D227,契約台帳!$A$3:$Q$4986,17,FALSE))</f>
        <v/>
      </c>
      <c r="Y227" s="256" t="str">
        <f>IF(D227="","",VLOOKUP(D227,契約台帳!$A$3:$E$4986,5,FALSE))</f>
        <v/>
      </c>
      <c r="Z227" s="54"/>
      <c r="AA227" s="200" t="str">
        <f>IFERROR(VLOOKUP(F227&amp;K227&amp;M227,製品マスタ!$M$5:$AM$4999,27,FALSE),"")</f>
        <v/>
      </c>
      <c r="AB227" s="31"/>
      <c r="AC227" s="184"/>
      <c r="AD227" s="51"/>
      <c r="AE227" s="52"/>
      <c r="AF227" s="41"/>
      <c r="AG227" s="45"/>
      <c r="AH227" s="28"/>
      <c r="AI227" s="28"/>
      <c r="AJ227" s="28"/>
      <c r="AK227" s="28"/>
      <c r="AL227" s="12"/>
      <c r="AM227" s="12"/>
      <c r="AN227" s="12"/>
      <c r="AO227" s="12"/>
      <c r="AP227" s="12"/>
      <c r="AQ227" s="13"/>
      <c r="AR227" s="14"/>
    </row>
    <row r="228" spans="1:44" s="16" customFormat="1" ht="30.95" hidden="1" customHeight="1" x14ac:dyDescent="0.2">
      <c r="A228" s="35"/>
      <c r="B228" s="36"/>
      <c r="C228" s="43"/>
      <c r="D228" s="29">
        <v>3700968</v>
      </c>
      <c r="E228" s="29">
        <v>4151322</v>
      </c>
      <c r="F228" s="255" t="str">
        <f>IF(D228="","",VLOOKUP(D228,契約台帳!$A$3:$K$4986,6,FALSE)&amp;VLOOKUP(D228,契約台帳!$A$3:$K$4986,7,FALSE)&amp;VLOOKUP(D228,契約台帳!$A$3:$K$4986,8,FALSE)&amp;VLOOKUP(D228,契約台帳!$A$3:$K$4986,9,FALSE)&amp;VLOOKUP(D228,契約台帳!$A$3:$K$4986,11,FALSE))</f>
        <v>3SYMLBMSSMBZF</v>
      </c>
      <c r="G228" s="256" t="str">
        <f>IF(D228="","",VLOOKUP(F228,製品マスタ!$G$5:$H$4999,2,FALSE))</f>
        <v>S</v>
      </c>
      <c r="H228" s="256" t="str">
        <f>IF(D228="","",VLOOKUP(F228,製品マスタ!$G$5:$K$4999,5,FALSE))</f>
        <v>MSSMBZF</v>
      </c>
      <c r="I228" s="200" t="str">
        <f>IF(D228="","",VLOOKUP(F228,製品マスタ!$G$5:$L$4999,6,FALSE))</f>
        <v>ＭＥＴＡＬＵＭＹ　ＳＩＬＶＥＲ　Ｓ－ＭＡＴＴＥ　Ｂ</v>
      </c>
      <c r="J228" s="30" t="s">
        <v>447</v>
      </c>
      <c r="K228" s="200">
        <f>IF(D228="","",VLOOKUP(D228,契約台帳!$A$3:$L$4986,12,FALSE))</f>
        <v>50</v>
      </c>
      <c r="L228" s="200" t="str">
        <f>IF(D228="","",INDEX(製品マスタ!$Q$5:$Q$4999,MATCH(F228&amp;K228,製品マスタ!$AO$5:$AO$4999,0)))</f>
        <v>LI-MAT</v>
      </c>
      <c r="M228" s="37">
        <v>1120</v>
      </c>
      <c r="N228" s="37">
        <v>8000</v>
      </c>
      <c r="O228" s="45">
        <v>2</v>
      </c>
      <c r="P228" s="54"/>
      <c r="Q228" s="260">
        <f>IF(D228="","",IF(J228="リード付け",M228,VLOOKUP(D228,契約台帳!$A$3:$N$4986,14,FALSE)))</f>
        <v>1120</v>
      </c>
      <c r="R228" s="261">
        <f>IF(D228="","",IF(J228="リード付け",M228,VLOOKUP(D228,契約台帳!$A$3:$O$4986,15,FALSE)))</f>
        <v>1120</v>
      </c>
      <c r="S228" s="261">
        <f>IF(D228="","",IF(J228="リード付け",N228,VLOOKUP(D228,契約台帳!$A$3:$P$4986,16,FALSE)))</f>
        <v>4000</v>
      </c>
      <c r="T228" s="38">
        <v>4</v>
      </c>
      <c r="U228" s="261" t="str">
        <f ca="1">IF(D228="","",IF(OFFSET(D228,-2,0)=D228,"",VLOOKUP(D228,契約台帳!$A$3:$R$4986,18,FALSE)))</f>
        <v/>
      </c>
      <c r="V228" s="256" t="str">
        <f>IF(J228="巻返し",VLOOKUP(F228&amp;K228&amp;M228,製品マスタ!$M$5:$AD$4999,18,FALSE),IF(J228="リード付け","原反コア",IF(J228="スリット",VLOOKUP(F228&amp;K228&amp;Q228,製品マスタ!$N$5:$AD$4999,17,FALSE),"")))</f>
        <v>6ｲﾝﾁSｺｱ</v>
      </c>
      <c r="W228" s="256">
        <f>IF(J228="巻返し",VLOOKUP(F228&amp;K228&amp;M228,製品マスタ!$M$5:$AE$4999,19,FALSE),IF(J228="リード付け","-",IF(J228="スリット",VLOOKUP(F228&amp;K228&amp;Q228,製品マスタ!$N$5:$AE$4999,18,FALSE),"")))</f>
        <v>1125</v>
      </c>
      <c r="X228" s="256">
        <f>IF(D228="","",VLOOKUP(D228,契約台帳!$A$3:$Q$4986,17,FALSE))</f>
        <v>2</v>
      </c>
      <c r="Y228" s="256" t="str">
        <f>IF(D228="","",VLOOKUP(D228,契約台帳!$A$3:$E$4986,5,FALSE))</f>
        <v>リンテック㈱</v>
      </c>
      <c r="Z228" s="54">
        <v>45002</v>
      </c>
      <c r="AA228" s="200">
        <f>IFERROR(VLOOKUP(F228&amp;K228&amp;M228,製品マスタ!$M$5:$AM$4999,27,FALSE),"")</f>
        <v>0</v>
      </c>
      <c r="AB228" s="31"/>
      <c r="AC228" s="184"/>
      <c r="AD228" s="51" t="str">
        <f>IF(F228="","",+F228&amp;K228)</f>
        <v>3SYMLBMSSMBZF50</v>
      </c>
      <c r="AE228" s="52">
        <f>+M228*N228*O228/1000</f>
        <v>17920</v>
      </c>
      <c r="AF228" s="41">
        <f>IF(AD228="","",VLOOKUP(AD228,原価マスタ!$A$2:$AJ$1693,13,FALSE))</f>
        <v>98</v>
      </c>
      <c r="AG228" s="45">
        <f>IF(AF228="","",+AE228*AF228/100)</f>
        <v>17561.599999999999</v>
      </c>
      <c r="AH228" s="28"/>
      <c r="AI228" s="28"/>
      <c r="AJ228" s="28"/>
      <c r="AK228" s="28"/>
      <c r="AL228" s="12"/>
      <c r="AM228" s="12"/>
      <c r="AN228" s="12"/>
      <c r="AO228" s="12"/>
      <c r="AP228" s="12"/>
      <c r="AQ228" s="13"/>
      <c r="AR228" s="14"/>
    </row>
    <row r="229" spans="1:44" s="16" customFormat="1" ht="30.95" hidden="1" customHeight="1" x14ac:dyDescent="0.2">
      <c r="A229" s="35"/>
      <c r="B229" s="36"/>
      <c r="C229" s="43"/>
      <c r="D229" s="29"/>
      <c r="E229" s="29"/>
      <c r="F229" s="255"/>
      <c r="G229" s="256"/>
      <c r="H229" s="256"/>
      <c r="I229" s="200"/>
      <c r="J229" s="30"/>
      <c r="K229" s="200"/>
      <c r="L229" s="200"/>
      <c r="M229" s="37"/>
      <c r="N229" s="37"/>
      <c r="O229" s="45"/>
      <c r="P229" s="54"/>
      <c r="Q229" s="260"/>
      <c r="R229" s="261"/>
      <c r="S229" s="261"/>
      <c r="T229" s="38"/>
      <c r="U229" s="261"/>
      <c r="V229" s="256"/>
      <c r="W229" s="256"/>
      <c r="X229" s="256"/>
      <c r="Y229" s="256"/>
      <c r="Z229" s="54"/>
      <c r="AA229" s="200"/>
      <c r="AB229" s="31"/>
      <c r="AC229" s="184"/>
      <c r="AD229" s="51"/>
      <c r="AE229" s="52"/>
      <c r="AF229" s="41"/>
      <c r="AG229" s="45"/>
      <c r="AH229" s="28"/>
      <c r="AI229" s="28"/>
      <c r="AJ229" s="28"/>
      <c r="AK229" s="28"/>
      <c r="AL229" s="12"/>
      <c r="AM229" s="12"/>
      <c r="AN229" s="12"/>
      <c r="AO229" s="12"/>
      <c r="AP229" s="12"/>
      <c r="AQ229" s="13"/>
      <c r="AR229" s="14"/>
    </row>
    <row r="230" spans="1:44" s="16" customFormat="1" ht="30.95" hidden="1" customHeight="1" x14ac:dyDescent="0.2">
      <c r="A230" s="35"/>
      <c r="B230" s="36"/>
      <c r="C230" s="43"/>
      <c r="D230" s="29">
        <v>3700970</v>
      </c>
      <c r="E230" s="29">
        <v>4151319</v>
      </c>
      <c r="F230" s="255" t="str">
        <f>IF(D230="","",VLOOKUP(D230,契約台帳!$A$3:$K$4986,6,FALSE)&amp;VLOOKUP(D230,契約台帳!$A$3:$K$4986,7,FALSE)&amp;VLOOKUP(D230,契約台帳!$A$3:$K$4986,8,FALSE)&amp;VLOOKUP(D230,契約台帳!$A$3:$K$4986,9,FALSE)&amp;VLOOKUP(D230,契約台帳!$A$3:$K$4986,11,FALSE))</f>
        <v>3SYMLBMSBBZF</v>
      </c>
      <c r="G230" s="256" t="str">
        <f>IF(D230="","",VLOOKUP(F230,製品マスタ!$G$5:$H$4999,2,FALSE))</f>
        <v>S</v>
      </c>
      <c r="H230" s="256" t="str">
        <f>IF(D230="","",VLOOKUP(F230,製品マスタ!$G$5:$K$4999,5,FALSE))</f>
        <v>MSBBZF</v>
      </c>
      <c r="I230" s="200" t="str">
        <f>IF(D230="","",VLOOKUP(F230,製品マスタ!$G$5:$L$4999,6,FALSE))</f>
        <v>ＭＥＴＡＬＵＭＹ　ＳＩＬＶＥＲ　ＢＲＩＧＨＴ　Ｂ</v>
      </c>
      <c r="J230" s="30" t="s">
        <v>962</v>
      </c>
      <c r="K230" s="200">
        <f>IF(D230="","",VLOOKUP(D230,契約台帳!$A$3:$L$4986,12,FALSE))</f>
        <v>50</v>
      </c>
      <c r="L230" s="200" t="str">
        <f>IF(D230="","",INDEX(製品マスタ!$Q$5:$Q$4999,MATCH(F230&amp;K230,製品マスタ!$AO$5:$AO$4999,0)))</f>
        <v>T62</v>
      </c>
      <c r="M230" s="37">
        <v>1120</v>
      </c>
      <c r="N230" s="37">
        <v>10000</v>
      </c>
      <c r="O230" s="45">
        <v>1</v>
      </c>
      <c r="P230" s="54"/>
      <c r="Q230" s="260">
        <f>IF(D230="","",IF(J230="リード付け",M230,VLOOKUP(D230,契約台帳!$A$3:$N$4986,14,FALSE)))</f>
        <v>1120</v>
      </c>
      <c r="R230" s="261">
        <f>IF(D230="","",IF(J230="リード付け",M230,VLOOKUP(D230,契約台帳!$A$3:$O$4986,15,FALSE)))</f>
        <v>1120</v>
      </c>
      <c r="S230" s="261">
        <f>IF(D230="","",IF(J230="リード付け",N230,VLOOKUP(D230,契約台帳!$A$3:$P$4986,16,FALSE)))</f>
        <v>5000</v>
      </c>
      <c r="T230" s="38">
        <v>2</v>
      </c>
      <c r="U230" s="261">
        <f ca="1">IF(D230="","",IF(OFFSET(D230,-2,0)=D230,"",VLOOKUP(D230,契約台帳!$A$3:$R$4986,18,FALSE)))</f>
        <v>2</v>
      </c>
      <c r="V230" s="256" t="str">
        <f>IF(J230="巻返し",VLOOKUP(F230&amp;K230&amp;M230,製品マスタ!$M$5:$AD$4999,18,FALSE),IF(J230="リード付け","原反コア",IF(J230="スリット",VLOOKUP(F230&amp;K230&amp;Q230,製品マスタ!$N$5:$AD$4999,17,FALSE),"")))</f>
        <v>6ｲﾝﾁSｺｱ</v>
      </c>
      <c r="W230" s="256">
        <f>IF(J230="巻返し",VLOOKUP(F230&amp;K230&amp;M230,製品マスタ!$M$5:$AE$4999,19,FALSE),IF(J230="リード付け","-",IF(J230="スリット",VLOOKUP(F230&amp;K230&amp;Q230,製品マスタ!$N$5:$AE$4999,18,FALSE),"")))</f>
        <v>1125</v>
      </c>
      <c r="X230" s="256">
        <f>IF(D230="","",VLOOKUP(D230,契約台帳!$A$3:$Q$4986,17,FALSE))</f>
        <v>2</v>
      </c>
      <c r="Y230" s="256" t="str">
        <f>IF(D230="","",VLOOKUP(D230,契約台帳!$A$3:$E$4986,5,FALSE))</f>
        <v>リンテック㈱</v>
      </c>
      <c r="Z230" s="54">
        <v>45002</v>
      </c>
      <c r="AA230" s="200" t="str">
        <f>IFERROR(VLOOKUP(F230&amp;K230&amp;M230,製品マスタ!$M$5:$AM$4999,27,FALSE),"")</f>
        <v>原反ケース再利用</v>
      </c>
      <c r="AB230" s="31"/>
      <c r="AC230" s="184"/>
      <c r="AD230" s="51" t="str">
        <f>IF(F230="","",+F230&amp;K230)</f>
        <v>3SYMLBMSBBZF50</v>
      </c>
      <c r="AE230" s="52">
        <f>+M230*N230*O230/1000</f>
        <v>11200</v>
      </c>
      <c r="AF230" s="41">
        <f>IF(AD230="","",VLOOKUP(AD230,原価マスタ!$A$2:$AJ$1693,13,FALSE))</f>
        <v>99</v>
      </c>
      <c r="AG230" s="45">
        <f>IF(AF230="","",+AE230*AF230/100)</f>
        <v>11088</v>
      </c>
      <c r="AH230" s="28"/>
      <c r="AI230" s="28"/>
      <c r="AJ230" s="28"/>
      <c r="AK230" s="28"/>
      <c r="AL230" s="12"/>
      <c r="AM230" s="12"/>
      <c r="AN230" s="12"/>
      <c r="AO230" s="12"/>
      <c r="AP230" s="12"/>
      <c r="AQ230" s="13"/>
      <c r="AR230" s="14"/>
    </row>
    <row r="231" spans="1:44" s="16" customFormat="1" ht="30.95" hidden="1" customHeight="1" x14ac:dyDescent="0.2">
      <c r="A231" s="35"/>
      <c r="B231" s="36"/>
      <c r="C231" s="43"/>
      <c r="D231" s="29"/>
      <c r="E231" s="29"/>
      <c r="F231" s="255" t="str">
        <f>IF(D231="","",VLOOKUP(D231,契約台帳!$A$3:$K$4986,6,FALSE)&amp;VLOOKUP(D231,契約台帳!$A$3:$K$4986,7,FALSE)&amp;VLOOKUP(D231,契約台帳!$A$3:$K$4986,8,FALSE)&amp;VLOOKUP(D231,契約台帳!$A$3:$K$4986,9,FALSE)&amp;VLOOKUP(D231,契約台帳!$A$3:$K$4986,11,FALSE))</f>
        <v/>
      </c>
      <c r="G231" s="256" t="str">
        <f>IF(D231="","",VLOOKUP(F231,製品マスタ!$G$5:$H$4999,2,FALSE))</f>
        <v/>
      </c>
      <c r="H231" s="256" t="str">
        <f>IF(D231="","",VLOOKUP(F231,製品マスタ!$G$5:$K$4999,5,FALSE))</f>
        <v/>
      </c>
      <c r="I231" s="200" t="str">
        <f>IF(D231="","",VLOOKUP(F231,製品マスタ!$G$5:$L$4999,6,FALSE))</f>
        <v/>
      </c>
      <c r="J231" s="30"/>
      <c r="K231" s="200" t="str">
        <f>IF(D231="","",VLOOKUP(D231,契約台帳!$A$3:$L$4986,12,FALSE))</f>
        <v/>
      </c>
      <c r="L231" s="200" t="str">
        <f>IF(D231="","",INDEX(製品マスタ!$Q$5:$Q$4999,MATCH(F231&amp;K231,製品マスタ!$AO$5:$AO$4999,0)))</f>
        <v/>
      </c>
      <c r="M231" s="37"/>
      <c r="N231" s="37"/>
      <c r="O231" s="45"/>
      <c r="P231" s="54"/>
      <c r="Q231" s="260" t="str">
        <f>IF(D231="","",IF(J231="リード付け",M231,VLOOKUP(D231,契約台帳!$A$3:$N$4986,14,FALSE)))</f>
        <v/>
      </c>
      <c r="R231" s="261" t="str">
        <f>IF(D231="","",IF(J231="リード付け",M231,VLOOKUP(D231,契約台帳!$A$3:$O$4986,15,FALSE)))</f>
        <v/>
      </c>
      <c r="S231" s="261" t="str">
        <f>IF(D231="","",IF(J231="リード付け",N231,VLOOKUP(D231,契約台帳!$A$3:$P$4986,16,FALSE)))</f>
        <v/>
      </c>
      <c r="T231" s="38"/>
      <c r="U231" s="261" t="str">
        <f ca="1">IF(D231="","",IF(OFFSET(D231,-2,0)=D231,"",VLOOKUP(D231,契約台帳!$A$3:$R$4986,18,FALSE)))</f>
        <v/>
      </c>
      <c r="V231" s="256" t="str">
        <f>IF(J231="巻返し",VLOOKUP(F231&amp;K231&amp;M231,製品マスタ!$M$5:$AD$4999,18,FALSE),IF(J231="リード付け","原反コア",IF(J231="スリット",VLOOKUP(F231&amp;K231&amp;Q231,製品マスタ!$N$5:$AD$4999,17,FALSE),"")))</f>
        <v/>
      </c>
      <c r="W231" s="256" t="str">
        <f>IF(J231="巻返し",VLOOKUP(F231&amp;K231&amp;M231,製品マスタ!$M$5:$AE$4999,19,FALSE),IF(J231="リード付け","-",IF(J231="スリット",VLOOKUP(F231&amp;K231&amp;Q231,製品マスタ!$N$5:$AE$4999,18,FALSE),"")))</f>
        <v/>
      </c>
      <c r="X231" s="256" t="str">
        <f>IF(D231="","",VLOOKUP(D231,契約台帳!$A$3:$Q$4986,17,FALSE))</f>
        <v/>
      </c>
      <c r="Y231" s="256" t="str">
        <f>IF(D231="","",VLOOKUP(D231,契約台帳!$A$3:$E$4986,5,FALSE))</f>
        <v/>
      </c>
      <c r="Z231" s="54"/>
      <c r="AA231" s="200" t="str">
        <f>IFERROR(VLOOKUP(F231&amp;K231&amp;M231,製品マスタ!$M$5:$AM$4999,27,FALSE),"")</f>
        <v/>
      </c>
      <c r="AB231" s="31"/>
      <c r="AC231" s="184"/>
      <c r="AD231" s="51"/>
      <c r="AE231" s="52"/>
      <c r="AF231" s="41"/>
      <c r="AG231" s="45"/>
      <c r="AH231" s="28"/>
      <c r="AI231" s="28"/>
      <c r="AJ231" s="28"/>
      <c r="AK231" s="28"/>
      <c r="AL231" s="12"/>
      <c r="AM231" s="12"/>
      <c r="AN231" s="12"/>
      <c r="AO231" s="12"/>
      <c r="AP231" s="12"/>
      <c r="AQ231" s="13"/>
      <c r="AR231" s="14"/>
    </row>
    <row r="232" spans="1:44" s="16" customFormat="1" ht="30.95" hidden="1" customHeight="1" x14ac:dyDescent="0.2">
      <c r="A232" s="35"/>
      <c r="B232" s="36"/>
      <c r="C232" s="43"/>
      <c r="D232" s="29">
        <v>3700967</v>
      </c>
      <c r="E232" s="29">
        <v>4151320</v>
      </c>
      <c r="F232" s="255" t="str">
        <f>IF(D232="","",VLOOKUP(D232,契約台帳!$A$3:$K$4986,6,FALSE)&amp;VLOOKUP(D232,契約台帳!$A$3:$K$4986,7,FALSE)&amp;VLOOKUP(D232,契約台帳!$A$3:$K$4986,8,FALSE)&amp;VLOOKUP(D232,契約台帳!$A$3:$K$4986,9,FALSE)&amp;VLOOKUP(D232,契約台帳!$A$3:$K$4986,11,FALSE))</f>
        <v>3SYMLBMSNMBF</v>
      </c>
      <c r="G232" s="256" t="str">
        <f>IF(D232="","",VLOOKUP(F232,製品マスタ!$G$5:$H$4999,2,FALSE))</f>
        <v>S</v>
      </c>
      <c r="H232" s="256" t="str">
        <f>IF(D232="","",VLOOKUP(F232,製品マスタ!$G$5:$K$4999,5,FALSE))</f>
        <v>MSNMBF</v>
      </c>
      <c r="I232" s="200" t="str">
        <f>IF(D232="","",VLOOKUP(F232,製品マスタ!$G$5:$L$4999,6,FALSE))</f>
        <v>ＭＥＴＡＬＵＭＹ　ＳＩＬＶＥＲ　Ｎ－ＭＡＴＴＥ　Ｘ４４Ｍ　Ｂ</v>
      </c>
      <c r="J232" s="30" t="s">
        <v>962</v>
      </c>
      <c r="K232" s="200">
        <f>IF(D232="","",VLOOKUP(D232,契約台帳!$A$3:$L$4986,12,FALSE))</f>
        <v>50</v>
      </c>
      <c r="L232" s="200" t="str">
        <f>IF(D232="","",INDEX(製品マスタ!$Q$5:$Q$4999,MATCH(F232&amp;K232,製品マスタ!$AO$5:$AO$4999,0)))</f>
        <v>X44</v>
      </c>
      <c r="M232" s="37">
        <v>1120</v>
      </c>
      <c r="N232" s="37">
        <v>8000</v>
      </c>
      <c r="O232" s="45">
        <v>2</v>
      </c>
      <c r="P232" s="54"/>
      <c r="Q232" s="260">
        <f>IF(D232="","",IF(J232="リード付け",M232,VLOOKUP(D232,契約台帳!$A$3:$N$4986,14,FALSE)))</f>
        <v>1120</v>
      </c>
      <c r="R232" s="261">
        <f>IF(D232="","",IF(J232="リード付け",M232,VLOOKUP(D232,契約台帳!$A$3:$O$4986,15,FALSE)))</f>
        <v>1120</v>
      </c>
      <c r="S232" s="261">
        <f>IF(D232="","",IF(J232="リード付け",N232,VLOOKUP(D232,契約台帳!$A$3:$P$4986,16,FALSE)))</f>
        <v>4000</v>
      </c>
      <c r="T232" s="38">
        <v>4</v>
      </c>
      <c r="U232" s="261">
        <f ca="1">IF(D232="","",IF(OFFSET(D232,-2,0)=D232,"",VLOOKUP(D232,契約台帳!$A$3:$R$4986,18,FALSE)))</f>
        <v>4</v>
      </c>
      <c r="V232" s="256" t="str">
        <f>IF(J232="巻返し",VLOOKUP(F232&amp;K232&amp;M232,製品マスタ!$M$5:$AD$4999,18,FALSE),IF(J232="リード付け","原反コア",IF(J232="スリット",VLOOKUP(F232&amp;K232&amp;Q232,製品マスタ!$N$5:$AD$4999,17,FALSE),"")))</f>
        <v>6ｲﾝﾁMｺｱ</v>
      </c>
      <c r="W232" s="256">
        <f>IF(J232="巻返し",VLOOKUP(F232&amp;K232&amp;M232,製品マスタ!$M$5:$AE$4999,19,FALSE),IF(J232="リード付け","-",IF(J232="スリット",VLOOKUP(F232&amp;K232&amp;Q232,製品マスタ!$N$5:$AE$4999,18,FALSE),"")))</f>
        <v>1125</v>
      </c>
      <c r="X232" s="256">
        <f>IF(D232="","",VLOOKUP(D232,契約台帳!$A$3:$Q$4986,17,FALSE))</f>
        <v>2</v>
      </c>
      <c r="Y232" s="256" t="str">
        <f>IF(D232="","",VLOOKUP(D232,契約台帳!$A$3:$E$4986,5,FALSE))</f>
        <v>リンテック㈱</v>
      </c>
      <c r="Z232" s="54">
        <v>45002</v>
      </c>
      <c r="AA232" s="200">
        <f>IFERROR(VLOOKUP(F232&amp;K232&amp;M232,製品マスタ!$M$5:$AM$4999,27,FALSE),"")</f>
        <v>0</v>
      </c>
      <c r="AB232" s="31"/>
      <c r="AC232" s="184"/>
      <c r="AD232" s="51" t="str">
        <f>IF(F232="","",+F232&amp;K232)</f>
        <v>3SYMLBMSNMBF50</v>
      </c>
      <c r="AE232" s="52">
        <f>+M232*N232*O232/1000</f>
        <v>17920</v>
      </c>
      <c r="AF232" s="41">
        <f>IF(AD232="","",VLOOKUP(AD232,原価マスタ!$A$2:$AJ$1693,13,FALSE))</f>
        <v>98.8</v>
      </c>
      <c r="AG232" s="45">
        <f>IF(AF232="","",+AE232*AF232/100)</f>
        <v>17704.96</v>
      </c>
      <c r="AH232" s="28"/>
      <c r="AI232" s="28"/>
      <c r="AJ232" s="28"/>
      <c r="AK232" s="28"/>
      <c r="AL232" s="12"/>
      <c r="AM232" s="12"/>
      <c r="AN232" s="12"/>
      <c r="AO232" s="12"/>
      <c r="AP232" s="12"/>
      <c r="AQ232" s="13"/>
      <c r="AR232" s="14"/>
    </row>
    <row r="233" spans="1:44" s="16" customFormat="1" ht="30.95" hidden="1" customHeight="1" x14ac:dyDescent="0.2">
      <c r="A233" s="35"/>
      <c r="B233" s="36"/>
      <c r="C233" s="43"/>
      <c r="D233" s="29"/>
      <c r="E233" s="29"/>
      <c r="F233" s="255" t="str">
        <f>IF(D233="","",VLOOKUP(D233,契約台帳!$A$3:$K$4986,6,FALSE)&amp;VLOOKUP(D233,契約台帳!$A$3:$K$4986,7,FALSE)&amp;VLOOKUP(D233,契約台帳!$A$3:$K$4986,8,FALSE)&amp;VLOOKUP(D233,契約台帳!$A$3:$K$4986,9,FALSE)&amp;VLOOKUP(D233,契約台帳!$A$3:$K$4986,11,FALSE))</f>
        <v/>
      </c>
      <c r="G233" s="256" t="str">
        <f>IF(D233="","",VLOOKUP(F233,製品マスタ!$G$5:$H$4999,2,FALSE))</f>
        <v/>
      </c>
      <c r="H233" s="256" t="str">
        <f>IF(D233="","",VLOOKUP(F233,製品マスタ!$G$5:$K$4999,5,FALSE))</f>
        <v/>
      </c>
      <c r="I233" s="200" t="str">
        <f>IF(D233="","",VLOOKUP(F233,製品マスタ!$G$5:$L$4999,6,FALSE))</f>
        <v/>
      </c>
      <c r="J233" s="30"/>
      <c r="K233" s="200" t="str">
        <f>IF(D233="","",VLOOKUP(D233,契約台帳!$A$3:$L$4986,12,FALSE))</f>
        <v/>
      </c>
      <c r="L233" s="200" t="str">
        <f>IF(D233="","",INDEX(製品マスタ!$Q$5:$Q$4999,MATCH(F233&amp;K233,製品マスタ!$AO$5:$AO$4999,0)))</f>
        <v/>
      </c>
      <c r="M233" s="37"/>
      <c r="N233" s="37"/>
      <c r="O233" s="45"/>
      <c r="P233" s="54"/>
      <c r="Q233" s="260" t="str">
        <f>IF(D233="","",IF(J233="リード付け",M233,VLOOKUP(D233,契約台帳!$A$3:$N$4986,14,FALSE)))</f>
        <v/>
      </c>
      <c r="R233" s="261" t="str">
        <f>IF(D233="","",IF(J233="リード付け",M233,VLOOKUP(D233,契約台帳!$A$3:$O$4986,15,FALSE)))</f>
        <v/>
      </c>
      <c r="S233" s="261" t="str">
        <f>IF(D233="","",IF(J233="リード付け",N233,VLOOKUP(D233,契約台帳!$A$3:$P$4986,16,FALSE)))</f>
        <v/>
      </c>
      <c r="T233" s="38"/>
      <c r="U233" s="261" t="str">
        <f ca="1">IF(D233="","",IF(OFFSET(D233,-2,0)=D233,"",VLOOKUP(D233,契約台帳!$A$3:$R$4986,18,FALSE)))</f>
        <v/>
      </c>
      <c r="V233" s="256" t="str">
        <f>IF(J233="巻返し",VLOOKUP(F233&amp;K233&amp;M233,製品マスタ!$M$5:$AD$4999,18,FALSE),IF(J233="リード付け","原反コア",IF(J233="スリット",VLOOKUP(F233&amp;K233&amp;Q233,製品マスタ!$N$5:$AD$4999,17,FALSE),"")))</f>
        <v/>
      </c>
      <c r="W233" s="256" t="str">
        <f>IF(J233="巻返し",VLOOKUP(F233&amp;K233&amp;M233,製品マスタ!$M$5:$AE$4999,19,FALSE),IF(J233="リード付け","-",IF(J233="スリット",VLOOKUP(F233&amp;K233&amp;Q233,製品マスタ!$N$5:$AE$4999,18,FALSE),"")))</f>
        <v/>
      </c>
      <c r="X233" s="256" t="str">
        <f>IF(D233="","",VLOOKUP(D233,契約台帳!$A$3:$Q$4986,17,FALSE))</f>
        <v/>
      </c>
      <c r="Y233" s="256" t="str">
        <f>IF(D233="","",VLOOKUP(D233,契約台帳!$A$3:$E$4986,5,FALSE))</f>
        <v/>
      </c>
      <c r="Z233" s="54"/>
      <c r="AA233" s="200" t="str">
        <f>IFERROR(VLOOKUP(F233&amp;K233&amp;M233,製品マスタ!$M$5:$AM$4999,27,FALSE),"")</f>
        <v/>
      </c>
      <c r="AB233" s="31"/>
      <c r="AC233" s="184"/>
      <c r="AD233" s="51"/>
      <c r="AE233" s="52"/>
      <c r="AF233" s="41"/>
      <c r="AG233" s="45"/>
      <c r="AH233" s="28"/>
      <c r="AI233" s="28"/>
      <c r="AJ233" s="28"/>
      <c r="AK233" s="28"/>
      <c r="AL233" s="12"/>
      <c r="AM233" s="12"/>
      <c r="AN233" s="12"/>
      <c r="AO233" s="12"/>
      <c r="AP233" s="12"/>
      <c r="AQ233" s="13"/>
      <c r="AR233" s="14"/>
    </row>
    <row r="234" spans="1:44" s="16" customFormat="1" ht="30.95" hidden="1" customHeight="1" x14ac:dyDescent="0.2">
      <c r="A234" s="35" t="s">
        <v>987</v>
      </c>
      <c r="B234" s="36" t="s">
        <v>988</v>
      </c>
      <c r="C234" s="43"/>
      <c r="D234" s="29">
        <v>3700969</v>
      </c>
      <c r="E234" s="29">
        <v>4151325</v>
      </c>
      <c r="F234" s="255" t="str">
        <f>IF(D234="","",VLOOKUP(D234,契約台帳!$A$3:$K$4986,6,FALSE)&amp;VLOOKUP(D234,契約台帳!$A$3:$K$4986,7,FALSE)&amp;VLOOKUP(D234,契約台帳!$A$3:$K$4986,8,FALSE)&amp;VLOOKUP(D234,契約台帳!$A$3:$K$4986,9,FALSE)&amp;VLOOKUP(D234,契約台帳!$A$3:$K$4986,11,FALSE))</f>
        <v>3SYMLBMSNMBZF</v>
      </c>
      <c r="G234" s="256" t="str">
        <f>IF(D234="","",VLOOKUP(F234,製品マスタ!$G$5:$H$4999,2,FALSE))</f>
        <v>S</v>
      </c>
      <c r="H234" s="256" t="str">
        <f>IF(D234="","",VLOOKUP(F234,製品マスタ!$G$5:$K$4999,5,FALSE))</f>
        <v>MSNMBZF</v>
      </c>
      <c r="I234" s="200" t="str">
        <f>IF(D234="","",VLOOKUP(F234,製品マスタ!$G$5:$L$4999,6,FALSE))</f>
        <v>ＭＥＴＡＬＵＭＹ　ＳＩＬＶＥＲ　Ｎ－ＭＡＴＴＥ　Ｂ</v>
      </c>
      <c r="J234" s="30" t="s">
        <v>962</v>
      </c>
      <c r="K234" s="200">
        <f>IF(D234="","",VLOOKUP(D234,契約台帳!$A$3:$L$4986,12,FALSE))</f>
        <v>50</v>
      </c>
      <c r="L234" s="200" t="str">
        <f>IF(D234="","",INDEX(製品マスタ!$Q$5:$Q$4999,MATCH(F234&amp;K234,製品マスタ!$AO$5:$AO$4999,0)))</f>
        <v>X44</v>
      </c>
      <c r="M234" s="37">
        <v>1120</v>
      </c>
      <c r="N234" s="37">
        <v>12000</v>
      </c>
      <c r="O234" s="45">
        <v>4</v>
      </c>
      <c r="P234" s="54"/>
      <c r="Q234" s="260">
        <f>IF(D234="","",IF(J234="リード付け",M234,VLOOKUP(D234,契約台帳!$A$3:$N$4986,14,FALSE)))</f>
        <v>1120</v>
      </c>
      <c r="R234" s="261">
        <f>IF(D234="","",IF(J234="リード付け",M234,VLOOKUP(D234,契約台帳!$A$3:$O$4986,15,FALSE)))</f>
        <v>1120</v>
      </c>
      <c r="S234" s="261">
        <f>IF(D234="","",IF(J234="リード付け",N234,VLOOKUP(D234,契約台帳!$A$3:$P$4986,16,FALSE)))</f>
        <v>4000</v>
      </c>
      <c r="T234" s="38">
        <v>12</v>
      </c>
      <c r="U234" s="261">
        <f ca="1">IF(D234="","",IF(OFFSET(D234,-2,0)=D234,"",VLOOKUP(D234,契約台帳!$A$3:$R$4986,18,FALSE)))</f>
        <v>16</v>
      </c>
      <c r="V234" s="256" t="str">
        <f>IF(J234="巻返し",VLOOKUP(F234&amp;K234&amp;M234,製品マスタ!$M$5:$AD$4999,18,FALSE),IF(J234="リード付け","原反コア",IF(J234="スリット",VLOOKUP(F234&amp;K234&amp;Q234,製品マスタ!$N$5:$AD$4999,17,FALSE),"")))</f>
        <v>6ｲﾝﾁMｺｱ</v>
      </c>
      <c r="W234" s="256">
        <f>IF(J234="巻返し",VLOOKUP(F234&amp;K234&amp;M234,製品マスタ!$M$5:$AE$4999,19,FALSE),IF(J234="リード付け","-",IF(J234="スリット",VLOOKUP(F234&amp;K234&amp;Q234,製品マスタ!$N$5:$AE$4999,18,FALSE),"")))</f>
        <v>1125</v>
      </c>
      <c r="X234" s="256">
        <f>IF(D234="","",VLOOKUP(D234,契約台帳!$A$3:$Q$4986,17,FALSE))</f>
        <v>2</v>
      </c>
      <c r="Y234" s="256" t="str">
        <f>IF(D234="","",VLOOKUP(D234,契約台帳!$A$3:$E$4986,5,FALSE))</f>
        <v>リンテック㈱</v>
      </c>
      <c r="Z234" s="54">
        <v>45005</v>
      </c>
      <c r="AA234" s="200">
        <f>IFERROR(VLOOKUP(F234&amp;K234&amp;M234,製品マスタ!$M$5:$AM$4999,27,FALSE),"")</f>
        <v>0</v>
      </c>
      <c r="AB234" s="31"/>
      <c r="AC234" s="184"/>
      <c r="AD234" s="51" t="str">
        <f>IF(F234="","",+F234&amp;K234)</f>
        <v>3SYMLBMSNMBZF50</v>
      </c>
      <c r="AE234" s="52">
        <f>+M234*N234*O234/1000</f>
        <v>53760</v>
      </c>
      <c r="AF234" s="41">
        <f>IF(AD234="","",VLOOKUP(AD234,原価マスタ!$A$2:$AJ$1693,13,FALSE))</f>
        <v>99</v>
      </c>
      <c r="AG234" s="45">
        <f>IF(AF234="","",+AE234*AF234/100)</f>
        <v>53222.400000000001</v>
      </c>
      <c r="AH234" s="28"/>
      <c r="AI234" s="28"/>
      <c r="AJ234" s="28"/>
      <c r="AK234" s="28"/>
      <c r="AL234" s="12"/>
      <c r="AM234" s="12"/>
      <c r="AN234" s="12"/>
      <c r="AO234" s="12"/>
      <c r="AP234" s="12"/>
      <c r="AQ234" s="13"/>
      <c r="AR234" s="14"/>
    </row>
    <row r="235" spans="1:44" s="16" customFormat="1" ht="30.95" hidden="1" customHeight="1" x14ac:dyDescent="0.2">
      <c r="A235" s="35"/>
      <c r="B235" s="36"/>
      <c r="C235" s="43"/>
      <c r="D235" s="29"/>
      <c r="E235" s="29"/>
      <c r="F235" s="255" t="str">
        <f>IF(D235="","",VLOOKUP(D235,契約台帳!$A$3:$K$4986,6,FALSE)&amp;VLOOKUP(D235,契約台帳!$A$3:$K$4986,7,FALSE)&amp;VLOOKUP(D235,契約台帳!$A$3:$K$4986,8,FALSE)&amp;VLOOKUP(D235,契約台帳!$A$3:$K$4986,9,FALSE)&amp;VLOOKUP(D235,契約台帳!$A$3:$K$4986,11,FALSE))</f>
        <v/>
      </c>
      <c r="G235" s="256" t="str">
        <f>IF(D235="","",VLOOKUP(F235,製品マスタ!$G$5:$H$4999,2,FALSE))</f>
        <v/>
      </c>
      <c r="H235" s="256" t="str">
        <f>IF(D235="","",VLOOKUP(F235,製品マスタ!$G$5:$K$4999,5,FALSE))</f>
        <v/>
      </c>
      <c r="I235" s="200" t="str">
        <f>IF(D235="","",VLOOKUP(F235,製品マスタ!$G$5:$L$4999,6,FALSE))</f>
        <v/>
      </c>
      <c r="J235" s="30"/>
      <c r="K235" s="200" t="str">
        <f>IF(D235="","",VLOOKUP(D235,契約台帳!$A$3:$L$4986,12,FALSE))</f>
        <v/>
      </c>
      <c r="L235" s="200" t="str">
        <f>IF(D235="","",INDEX(製品マスタ!$Q$5:$Q$4999,MATCH(F235&amp;K235,製品マスタ!$AO$5:$AO$4999,0)))</f>
        <v/>
      </c>
      <c r="M235" s="37"/>
      <c r="N235" s="37"/>
      <c r="O235" s="45"/>
      <c r="P235" s="54"/>
      <c r="Q235" s="260" t="str">
        <f>IF(D235="","",IF(J235="リード付け",M235,VLOOKUP(D235,契約台帳!$A$3:$N$4986,14,FALSE)))</f>
        <v/>
      </c>
      <c r="R235" s="261" t="str">
        <f>IF(D235="","",IF(J235="リード付け",M235,VLOOKUP(D235,契約台帳!$A$3:$O$4986,15,FALSE)))</f>
        <v/>
      </c>
      <c r="S235" s="261" t="str">
        <f>IF(D235="","",IF(J235="リード付け",N235,VLOOKUP(D235,契約台帳!$A$3:$P$4986,16,FALSE)))</f>
        <v/>
      </c>
      <c r="T235" s="38"/>
      <c r="U235" s="261" t="str">
        <f ca="1">IF(D235="","",IF(OFFSET(D235,-2,0)=D235,"",VLOOKUP(D235,契約台帳!$A$3:$R$4986,18,FALSE)))</f>
        <v/>
      </c>
      <c r="V235" s="256" t="str">
        <f>IF(J235="巻返し",VLOOKUP(F235&amp;K235&amp;M235,製品マスタ!$M$5:$AD$4999,18,FALSE),IF(J235="リード付け","原反コア",IF(J235="スリット",VLOOKUP(F235&amp;K235&amp;Q235,製品マスタ!$N$5:$AD$4999,17,FALSE),"")))</f>
        <v/>
      </c>
      <c r="W235" s="256" t="str">
        <f>IF(J235="巻返し",VLOOKUP(F235&amp;K235&amp;M235,製品マスタ!$M$5:$AE$4999,19,FALSE),IF(J235="リード付け","-",IF(J235="スリット",VLOOKUP(F235&amp;K235&amp;Q235,製品マスタ!$N$5:$AE$4999,18,FALSE),"")))</f>
        <v/>
      </c>
      <c r="X235" s="256" t="str">
        <f>IF(D235="","",VLOOKUP(D235,契約台帳!$A$3:$Q$4986,17,FALSE))</f>
        <v/>
      </c>
      <c r="Y235" s="256" t="str">
        <f>IF(D235="","",VLOOKUP(D235,契約台帳!$A$3:$E$4986,5,FALSE))</f>
        <v/>
      </c>
      <c r="Z235" s="54"/>
      <c r="AA235" s="200" t="str">
        <f>IFERROR(VLOOKUP(F235&amp;K235&amp;M235,製品マスタ!$M$5:$AM$4999,27,FALSE),"")</f>
        <v/>
      </c>
      <c r="AB235" s="31"/>
      <c r="AC235" s="184"/>
      <c r="AD235" s="51"/>
      <c r="AE235" s="52"/>
      <c r="AF235" s="41"/>
      <c r="AG235" s="45"/>
      <c r="AH235" s="28"/>
      <c r="AI235" s="28"/>
      <c r="AJ235" s="28"/>
      <c r="AK235" s="28"/>
      <c r="AL235" s="12"/>
      <c r="AM235" s="12"/>
      <c r="AN235" s="12"/>
      <c r="AO235" s="12"/>
      <c r="AP235" s="12"/>
      <c r="AQ235" s="13"/>
      <c r="AR235" s="14"/>
    </row>
    <row r="236" spans="1:44" s="16" customFormat="1" ht="30.95" hidden="1" customHeight="1" x14ac:dyDescent="0.2">
      <c r="A236" s="35"/>
      <c r="B236" s="36"/>
      <c r="C236" s="43"/>
      <c r="D236" s="29">
        <v>3700969</v>
      </c>
      <c r="E236" s="29">
        <v>4151325</v>
      </c>
      <c r="F236" s="255" t="str">
        <f>IF(D236="","",VLOOKUP(D236,契約台帳!$A$3:$K$4986,6,FALSE)&amp;VLOOKUP(D236,契約台帳!$A$3:$K$4986,7,FALSE)&amp;VLOOKUP(D236,契約台帳!$A$3:$K$4986,8,FALSE)&amp;VLOOKUP(D236,契約台帳!$A$3:$K$4986,9,FALSE)&amp;VLOOKUP(D236,契約台帳!$A$3:$K$4986,11,FALSE))</f>
        <v>3SYMLBMSNMBZF</v>
      </c>
      <c r="G236" s="256" t="str">
        <f>IF(D236="","",VLOOKUP(F236,製品マスタ!$G$5:$H$4999,2,FALSE))</f>
        <v>S</v>
      </c>
      <c r="H236" s="256" t="str">
        <f>IF(D236="","",VLOOKUP(F236,製品マスタ!$G$5:$K$4999,5,FALSE))</f>
        <v>MSNMBZF</v>
      </c>
      <c r="I236" s="200" t="str">
        <f>IF(D236="","",VLOOKUP(F236,製品マスタ!$G$5:$L$4999,6,FALSE))</f>
        <v>ＭＥＴＡＬＵＭＹ　ＳＩＬＶＥＲ　Ｎ－ＭＡＴＴＥ　Ｂ</v>
      </c>
      <c r="J236" s="30" t="s">
        <v>962</v>
      </c>
      <c r="K236" s="200">
        <f>IF(D236="","",VLOOKUP(D236,契約台帳!$A$3:$L$4986,12,FALSE))</f>
        <v>50</v>
      </c>
      <c r="L236" s="200" t="str">
        <f>IF(D236="","",INDEX(製品マスタ!$Q$5:$Q$4999,MATCH(F236&amp;K236,製品マスタ!$AO$5:$AO$4999,0)))</f>
        <v>X44</v>
      </c>
      <c r="M236" s="37">
        <v>1120</v>
      </c>
      <c r="N236" s="37">
        <v>8000</v>
      </c>
      <c r="O236" s="45">
        <v>2</v>
      </c>
      <c r="P236" s="54"/>
      <c r="Q236" s="260">
        <f>IF(D236="","",IF(J236="リード付け",M236,VLOOKUP(D236,契約台帳!$A$3:$N$4986,14,FALSE)))</f>
        <v>1120</v>
      </c>
      <c r="R236" s="261">
        <f>IF(D236="","",IF(J236="リード付け",M236,VLOOKUP(D236,契約台帳!$A$3:$O$4986,15,FALSE)))</f>
        <v>1120</v>
      </c>
      <c r="S236" s="261">
        <f>IF(D236="","",IF(J236="リード付け",N236,VLOOKUP(D236,契約台帳!$A$3:$P$4986,16,FALSE)))</f>
        <v>4000</v>
      </c>
      <c r="T236" s="38">
        <v>4</v>
      </c>
      <c r="U236" s="261" t="str">
        <f ca="1">IF(D236="","",IF(OFFSET(D236,-2,0)=D236,"",VLOOKUP(D236,契約台帳!$A$3:$R$4986,18,FALSE)))</f>
        <v/>
      </c>
      <c r="V236" s="256" t="str">
        <f>IF(J236="巻返し",VLOOKUP(F236&amp;K236&amp;M236,製品マスタ!$M$5:$AD$4999,18,FALSE),IF(J236="リード付け","原反コア",IF(J236="スリット",VLOOKUP(F236&amp;K236&amp;Q236,製品マスタ!$N$5:$AD$4999,17,FALSE),"")))</f>
        <v>6ｲﾝﾁMｺｱ</v>
      </c>
      <c r="W236" s="256">
        <f>IF(J236="巻返し",VLOOKUP(F236&amp;K236&amp;M236,製品マスタ!$M$5:$AE$4999,19,FALSE),IF(J236="リード付け","-",IF(J236="スリット",VLOOKUP(F236&amp;K236&amp;Q236,製品マスタ!$N$5:$AE$4999,18,FALSE),"")))</f>
        <v>1125</v>
      </c>
      <c r="X236" s="256">
        <f>IF(D236="","",VLOOKUP(D236,契約台帳!$A$3:$Q$4986,17,FALSE))</f>
        <v>2</v>
      </c>
      <c r="Y236" s="256" t="str">
        <f>IF(D236="","",VLOOKUP(D236,契約台帳!$A$3:$E$4986,5,FALSE))</f>
        <v>リンテック㈱</v>
      </c>
      <c r="Z236" s="54">
        <v>45005</v>
      </c>
      <c r="AA236" s="200">
        <f>IFERROR(VLOOKUP(F236&amp;K236&amp;M236,製品マスタ!$M$5:$AM$4999,27,FALSE),"")</f>
        <v>0</v>
      </c>
      <c r="AB236" s="31"/>
      <c r="AC236" s="184"/>
      <c r="AD236" s="51" t="str">
        <f>IF(F236="","",+F236&amp;K236)</f>
        <v>3SYMLBMSNMBZF50</v>
      </c>
      <c r="AE236" s="52">
        <f>+M236*N236*O236/1000</f>
        <v>17920</v>
      </c>
      <c r="AF236" s="41">
        <f>IF(AD236="","",VLOOKUP(AD236,原価マスタ!$A$2:$AJ$1693,13,FALSE))</f>
        <v>99</v>
      </c>
      <c r="AG236" s="45">
        <f>IF(AF236="","",+AE236*AF236/100)</f>
        <v>17740.8</v>
      </c>
      <c r="AH236" s="28"/>
      <c r="AI236" s="28"/>
      <c r="AJ236" s="28"/>
      <c r="AK236" s="28"/>
      <c r="AL236" s="12"/>
      <c r="AM236" s="12"/>
      <c r="AN236" s="12"/>
      <c r="AO236" s="12"/>
      <c r="AP236" s="12"/>
      <c r="AQ236" s="13"/>
      <c r="AR236" s="14"/>
    </row>
    <row r="237" spans="1:44" s="16" customFormat="1" ht="30.95" hidden="1" customHeight="1" x14ac:dyDescent="0.2">
      <c r="A237" s="35"/>
      <c r="B237" s="36"/>
      <c r="C237" s="43"/>
      <c r="D237" s="29"/>
      <c r="E237" s="29"/>
      <c r="F237" s="255" t="str">
        <f>IF(D237="","",VLOOKUP(D237,契約台帳!$A$3:$K$4986,6,FALSE)&amp;VLOOKUP(D237,契約台帳!$A$3:$K$4986,7,FALSE)&amp;VLOOKUP(D237,契約台帳!$A$3:$K$4986,8,FALSE)&amp;VLOOKUP(D237,契約台帳!$A$3:$K$4986,9,FALSE)&amp;VLOOKUP(D237,契約台帳!$A$3:$K$4986,11,FALSE))</f>
        <v/>
      </c>
      <c r="G237" s="256" t="str">
        <f>IF(D237="","",VLOOKUP(F237,製品マスタ!$G$5:$H$4999,2,FALSE))</f>
        <v/>
      </c>
      <c r="H237" s="256" t="str">
        <f>IF(D237="","",VLOOKUP(F237,製品マスタ!$G$5:$K$4999,5,FALSE))</f>
        <v/>
      </c>
      <c r="I237" s="200" t="str">
        <f>IF(D237="","",VLOOKUP(F237,製品マスタ!$G$5:$L$4999,6,FALSE))</f>
        <v/>
      </c>
      <c r="J237" s="30"/>
      <c r="K237" s="200" t="str">
        <f>IF(D237="","",VLOOKUP(D237,契約台帳!$A$3:$L$4986,12,FALSE))</f>
        <v/>
      </c>
      <c r="L237" s="200" t="str">
        <f>IF(D237="","",INDEX(製品マスタ!$Q$5:$Q$4999,MATCH(F237&amp;K237,製品マスタ!$AO$5:$AO$4999,0)))</f>
        <v/>
      </c>
      <c r="M237" s="37"/>
      <c r="N237" s="37"/>
      <c r="O237" s="45"/>
      <c r="P237" s="54"/>
      <c r="Q237" s="260" t="str">
        <f>IF(D237="","",IF(J237="リード付け",M237,VLOOKUP(D237,契約台帳!$A$3:$N$4986,14,FALSE)))</f>
        <v/>
      </c>
      <c r="R237" s="261" t="str">
        <f>IF(D237="","",IF(J237="リード付け",M237,VLOOKUP(D237,契約台帳!$A$3:$O$4986,15,FALSE)))</f>
        <v/>
      </c>
      <c r="S237" s="261" t="str">
        <f>IF(D237="","",IF(J237="リード付け",N237,VLOOKUP(D237,契約台帳!$A$3:$P$4986,16,FALSE)))</f>
        <v/>
      </c>
      <c r="T237" s="38"/>
      <c r="U237" s="261" t="str">
        <f ca="1">IF(D237="","",IF(OFFSET(D237,-2,0)=D237,"",VLOOKUP(D237,契約台帳!$A$3:$R$4986,18,FALSE)))</f>
        <v/>
      </c>
      <c r="V237" s="256" t="str">
        <f>IF(J237="巻返し",VLOOKUP(F237&amp;K237&amp;M237,製品マスタ!$M$5:$AD$4999,18,FALSE),IF(J237="リード付け","原反コア",IF(J237="スリット",VLOOKUP(F237&amp;K237&amp;Q237,製品マスタ!$N$5:$AD$4999,17,FALSE),"")))</f>
        <v/>
      </c>
      <c r="W237" s="256" t="str">
        <f>IF(J237="巻返し",VLOOKUP(F237&amp;K237&amp;M237,製品マスタ!$M$5:$AE$4999,19,FALSE),IF(J237="リード付け","-",IF(J237="スリット",VLOOKUP(F237&amp;K237&amp;Q237,製品マスタ!$N$5:$AE$4999,18,FALSE),"")))</f>
        <v/>
      </c>
      <c r="X237" s="256" t="str">
        <f>IF(D237="","",VLOOKUP(D237,契約台帳!$A$3:$Q$4986,17,FALSE))</f>
        <v/>
      </c>
      <c r="Y237" s="256" t="str">
        <f>IF(D237="","",VLOOKUP(D237,契約台帳!$A$3:$E$4986,5,FALSE))</f>
        <v/>
      </c>
      <c r="Z237" s="54"/>
      <c r="AA237" s="200" t="str">
        <f>IFERROR(VLOOKUP(F237&amp;K237&amp;M237,製品マスタ!$M$5:$AM$4999,27,FALSE),"")</f>
        <v/>
      </c>
      <c r="AB237" s="31"/>
      <c r="AC237" s="184"/>
      <c r="AD237" s="51"/>
      <c r="AE237" s="52"/>
      <c r="AF237" s="41"/>
      <c r="AG237" s="45"/>
      <c r="AH237" s="28"/>
      <c r="AI237" s="28"/>
      <c r="AJ237" s="28"/>
      <c r="AK237" s="28"/>
      <c r="AL237" s="12"/>
      <c r="AM237" s="12"/>
      <c r="AN237" s="12"/>
      <c r="AO237" s="12"/>
      <c r="AP237" s="12"/>
      <c r="AQ237" s="13"/>
      <c r="AR237" s="14"/>
    </row>
    <row r="238" spans="1:44" s="16" customFormat="1" ht="30.95" hidden="1" customHeight="1" x14ac:dyDescent="0.2">
      <c r="A238" s="35" t="s">
        <v>989</v>
      </c>
      <c r="B238" s="36" t="s">
        <v>990</v>
      </c>
      <c r="C238" s="43"/>
      <c r="D238" s="29">
        <v>3700971</v>
      </c>
      <c r="E238" s="29">
        <v>4151321</v>
      </c>
      <c r="F238" s="255" t="str">
        <f>IF(D238="","",VLOOKUP(D238,契約台帳!$A$3:$K$4986,6,FALSE)&amp;VLOOKUP(D238,契約台帳!$A$3:$K$4986,7,FALSE)&amp;VLOOKUP(D238,契約台帳!$A$3:$K$4986,8,FALSE)&amp;VLOOKUP(D238,契約台帳!$A$3:$K$4986,9,FALSE)&amp;VLOOKUP(D238,契約台帳!$A$3:$K$4986,11,FALSE))</f>
        <v>3SYMLBMSNMBZF</v>
      </c>
      <c r="G238" s="256" t="str">
        <f>IF(D238="","",VLOOKUP(F238,製品マスタ!$G$5:$H$4999,2,FALSE))</f>
        <v>S</v>
      </c>
      <c r="H238" s="256" t="str">
        <f>IF(D238="","",VLOOKUP(F238,製品マスタ!$G$5:$K$4999,5,FALSE))</f>
        <v>MSNMBZF</v>
      </c>
      <c r="I238" s="200" t="str">
        <f>IF(D238="","",VLOOKUP(F238,製品マスタ!$G$5:$L$4999,6,FALSE))</f>
        <v>ＭＥＴＡＬＵＭＹ　ＳＩＬＶＥＲ　Ｎ－ＭＡＴＴＥ　Ｂ</v>
      </c>
      <c r="J238" s="30" t="s">
        <v>962</v>
      </c>
      <c r="K238" s="200">
        <f>IF(D238="","",VLOOKUP(D238,契約台帳!$A$3:$L$4986,12,FALSE))</f>
        <v>25</v>
      </c>
      <c r="L238" s="200" t="str">
        <f>IF(D238="","",INDEX(製品マスタ!$Q$5:$Q$4999,MATCH(F238&amp;K238,製品マスタ!$AO$5:$AO$4999,0)))</f>
        <v>X44</v>
      </c>
      <c r="M238" s="37">
        <v>1120</v>
      </c>
      <c r="N238" s="37">
        <v>16000</v>
      </c>
      <c r="O238" s="45">
        <v>1</v>
      </c>
      <c r="P238" s="54"/>
      <c r="Q238" s="260">
        <f>IF(D238="","",IF(J238="リード付け",M238,VLOOKUP(D238,契約台帳!$A$3:$N$4986,14,FALSE)))</f>
        <v>1120</v>
      </c>
      <c r="R238" s="261">
        <f>IF(D238="","",IF(J238="リード付け",M238,VLOOKUP(D238,契約台帳!$A$3:$O$4986,15,FALSE)))</f>
        <v>1120</v>
      </c>
      <c r="S238" s="261">
        <f>IF(D238="","",IF(J238="リード付け",N238,VLOOKUP(D238,契約台帳!$A$3:$P$4986,16,FALSE)))</f>
        <v>8000</v>
      </c>
      <c r="T238" s="38">
        <v>2</v>
      </c>
      <c r="U238" s="261">
        <f ca="1">IF(D238="","",IF(OFFSET(D238,-2,0)=D238,"",VLOOKUP(D238,契約台帳!$A$3:$R$4986,18,FALSE)))</f>
        <v>2</v>
      </c>
      <c r="V238" s="256" t="str">
        <f>IF(J238="巻返し",VLOOKUP(F238&amp;K238&amp;M238,製品マスタ!$M$5:$AD$4999,18,FALSE),IF(J238="リード付け","原反コア",IF(J238="スリット",VLOOKUP(F238&amp;K238&amp;Q238,製品マスタ!$N$5:$AD$4999,17,FALSE),"")))</f>
        <v>6ｲﾝﾁMｺｱ</v>
      </c>
      <c r="W238" s="256">
        <f>IF(J238="巻返し",VLOOKUP(F238&amp;K238&amp;M238,製品マスタ!$M$5:$AE$4999,19,FALSE),IF(J238="リード付け","-",IF(J238="スリット",VLOOKUP(F238&amp;K238&amp;Q238,製品マスタ!$N$5:$AE$4999,18,FALSE),"")))</f>
        <v>1125</v>
      </c>
      <c r="X238" s="256">
        <f>IF(D238="","",VLOOKUP(D238,契約台帳!$A$3:$Q$4986,17,FALSE))</f>
        <v>2</v>
      </c>
      <c r="Y238" s="256" t="str">
        <f>IF(D238="","",VLOOKUP(D238,契約台帳!$A$3:$E$4986,5,FALSE))</f>
        <v>リンテック㈱</v>
      </c>
      <c r="Z238" s="54">
        <v>45005</v>
      </c>
      <c r="AA238" s="200">
        <f>IFERROR(VLOOKUP(F238&amp;K238&amp;M238,製品マスタ!$M$5:$AM$4999,27,FALSE),"")</f>
        <v>0</v>
      </c>
      <c r="AB238" s="31"/>
      <c r="AC238" s="184"/>
      <c r="AD238" s="51" t="str">
        <f>IF(F238="","",+F238&amp;K238)</f>
        <v>3SYMLBMSNMBZF25</v>
      </c>
      <c r="AE238" s="52">
        <f>+M238*N238*O238/1000</f>
        <v>17920</v>
      </c>
      <c r="AF238" s="41">
        <f>IF(AD238="","",VLOOKUP(AD238,原価マスタ!$A$2:$AJ$1693,13,FALSE))</f>
        <v>98.3</v>
      </c>
      <c r="AG238" s="45">
        <f>IF(AF238="","",+AE238*AF238/100)</f>
        <v>17615.36</v>
      </c>
      <c r="AH238" s="28"/>
      <c r="AI238" s="28"/>
      <c r="AJ238" s="28"/>
      <c r="AK238" s="28"/>
      <c r="AL238" s="12"/>
      <c r="AM238" s="12"/>
      <c r="AN238" s="12"/>
      <c r="AO238" s="12"/>
      <c r="AP238" s="12"/>
      <c r="AQ238" s="13"/>
      <c r="AR238" s="14"/>
    </row>
    <row r="239" spans="1:44" s="16" customFormat="1" ht="30.95" hidden="1" customHeight="1" x14ac:dyDescent="0.2">
      <c r="A239" s="35"/>
      <c r="B239" s="36"/>
      <c r="C239" s="43"/>
      <c r="D239" s="29"/>
      <c r="E239" s="29"/>
      <c r="F239" s="255" t="str">
        <f>IF(D239="","",VLOOKUP(D239,契約台帳!$A$3:$K$4986,6,FALSE)&amp;VLOOKUP(D239,契約台帳!$A$3:$K$4986,7,FALSE)&amp;VLOOKUP(D239,契約台帳!$A$3:$K$4986,8,FALSE)&amp;VLOOKUP(D239,契約台帳!$A$3:$K$4986,9,FALSE)&amp;VLOOKUP(D239,契約台帳!$A$3:$K$4986,11,FALSE))</f>
        <v/>
      </c>
      <c r="G239" s="256" t="str">
        <f>IF(D239="","",VLOOKUP(F239,製品マスタ!$G$5:$H$4999,2,FALSE))</f>
        <v/>
      </c>
      <c r="H239" s="256" t="str">
        <f>IF(D239="","",VLOOKUP(F239,製品マスタ!$G$5:$K$4999,5,FALSE))</f>
        <v/>
      </c>
      <c r="I239" s="200" t="str">
        <f>IF(D239="","",VLOOKUP(F239,製品マスタ!$G$5:$L$4999,6,FALSE))</f>
        <v/>
      </c>
      <c r="J239" s="30"/>
      <c r="K239" s="200" t="str">
        <f>IF(D239="","",VLOOKUP(D239,契約台帳!$A$3:$L$4986,12,FALSE))</f>
        <v/>
      </c>
      <c r="L239" s="200" t="str">
        <f>IF(D239="","",INDEX(製品マスタ!$Q$5:$Q$4999,MATCH(F239&amp;K239,製品マスタ!$AO$5:$AO$4999,0)))</f>
        <v/>
      </c>
      <c r="M239" s="37"/>
      <c r="N239" s="37"/>
      <c r="O239" s="45"/>
      <c r="P239" s="54"/>
      <c r="Q239" s="260" t="str">
        <f>IF(D239="","",IF(J239="リード付け",M239,VLOOKUP(D239,契約台帳!$A$3:$N$4986,14,FALSE)))</f>
        <v/>
      </c>
      <c r="R239" s="261" t="str">
        <f>IF(D239="","",IF(J239="リード付け",M239,VLOOKUP(D239,契約台帳!$A$3:$O$4986,15,FALSE)))</f>
        <v/>
      </c>
      <c r="S239" s="261" t="str">
        <f>IF(D239="","",IF(J239="リード付け",N239,VLOOKUP(D239,契約台帳!$A$3:$P$4986,16,FALSE)))</f>
        <v/>
      </c>
      <c r="T239" s="38"/>
      <c r="U239" s="261" t="str">
        <f ca="1">IF(D239="","",IF(OFFSET(D239,-2,0)=D239,"",VLOOKUP(D239,契約台帳!$A$3:$R$4986,18,FALSE)))</f>
        <v/>
      </c>
      <c r="V239" s="256" t="str">
        <f>IF(J239="巻返し",VLOOKUP(F239&amp;K239&amp;M239,製品マスタ!$M$5:$AD$4999,18,FALSE),IF(J239="リード付け","原反コア",IF(J239="スリット",VLOOKUP(F239&amp;K239&amp;Q239,製品マスタ!$N$5:$AD$4999,17,FALSE),"")))</f>
        <v/>
      </c>
      <c r="W239" s="256" t="str">
        <f>IF(J239="巻返し",VLOOKUP(F239&amp;K239&amp;M239,製品マスタ!$M$5:$AE$4999,19,FALSE),IF(J239="リード付け","-",IF(J239="スリット",VLOOKUP(F239&amp;K239&amp;Q239,製品マスタ!$N$5:$AE$4999,18,FALSE),"")))</f>
        <v/>
      </c>
      <c r="X239" s="256" t="str">
        <f>IF(D239="","",VLOOKUP(D239,契約台帳!$A$3:$Q$4986,17,FALSE))</f>
        <v/>
      </c>
      <c r="Y239" s="256" t="str">
        <f>IF(D239="","",VLOOKUP(D239,契約台帳!$A$3:$E$4986,5,FALSE))</f>
        <v/>
      </c>
      <c r="Z239" s="54"/>
      <c r="AA239" s="200" t="str">
        <f>IFERROR(VLOOKUP(F239&amp;K239&amp;M239,製品マスタ!$M$5:$AM$4999,27,FALSE),"")</f>
        <v/>
      </c>
      <c r="AB239" s="31"/>
      <c r="AC239" s="184"/>
      <c r="AD239" s="51"/>
      <c r="AE239" s="52"/>
      <c r="AF239" s="41"/>
      <c r="AG239" s="45"/>
      <c r="AH239" s="28"/>
      <c r="AI239" s="28"/>
      <c r="AJ239" s="28"/>
      <c r="AK239" s="28"/>
      <c r="AL239" s="12"/>
      <c r="AM239" s="12"/>
      <c r="AN239" s="12"/>
      <c r="AO239" s="12"/>
      <c r="AP239" s="12"/>
      <c r="AQ239" s="13"/>
      <c r="AR239" s="14"/>
    </row>
    <row r="240" spans="1:44" s="16" customFormat="1" ht="30.95" hidden="1" customHeight="1" x14ac:dyDescent="0.2">
      <c r="A240" s="35"/>
      <c r="B240" s="36"/>
      <c r="C240" s="43"/>
      <c r="D240" s="29">
        <v>3700950</v>
      </c>
      <c r="E240" s="29">
        <v>4151310</v>
      </c>
      <c r="F240" s="255" t="str">
        <f>IF(D240="","",VLOOKUP(D240,契約台帳!$A$3:$K$4986,6,FALSE)&amp;VLOOKUP(D240,契約台帳!$A$3:$K$4986,7,FALSE)&amp;VLOOKUP(D240,契約台帳!$A$3:$K$4986,8,FALSE)&amp;VLOOKUP(D240,契約台帳!$A$3:$K$4986,9,FALSE)&amp;VLOOKUP(D240,契約台帳!$A$3:$K$4986,11,FALSE))</f>
        <v>3SNMLBMNGKKBF</v>
      </c>
      <c r="G240" s="256" t="str">
        <f>IF(D240="","",VLOOKUP(F240,製品マスタ!$G$5:$H$4999,2,FALSE))</f>
        <v>S</v>
      </c>
      <c r="H240" s="256" t="str">
        <f>IF(D240="","",VLOOKUP(F240,製品マスタ!$G$5:$K$4999,5,FALSE))</f>
        <v>MNGKKBF</v>
      </c>
      <c r="I240" s="200" t="str">
        <f>IF(D240="","",VLOOKUP(F240,製品マスタ!$G$5:$L$4999,6,FALSE))</f>
        <v>メタルミー　ネーマー銀消改　Ｂ</v>
      </c>
      <c r="J240" s="30" t="s">
        <v>962</v>
      </c>
      <c r="K240" s="200">
        <f>IF(D240="","",VLOOKUP(D240,契約台帳!$A$3:$L$4986,12,FALSE))</f>
        <v>25</v>
      </c>
      <c r="L240" s="200" t="str">
        <f>IF(D240="","",INDEX(製品マスタ!$Q$5:$Q$4999,MATCH(F240&amp;K240,製品マスタ!$AO$5:$AO$4999,0)))</f>
        <v>FMATS99</v>
      </c>
      <c r="M240" s="37">
        <v>1120</v>
      </c>
      <c r="N240" s="37">
        <v>12000</v>
      </c>
      <c r="O240" s="45">
        <v>1</v>
      </c>
      <c r="P240" s="54"/>
      <c r="Q240" s="260">
        <f>IF(D240="","",IF(J240="リード付け",M240,VLOOKUP(D240,契約台帳!$A$3:$N$4986,14,FALSE)))</f>
        <v>1120</v>
      </c>
      <c r="R240" s="261">
        <f>IF(D240="","",IF(J240="リード付け",M240,VLOOKUP(D240,契約台帳!$A$3:$O$4986,15,FALSE)))</f>
        <v>1120</v>
      </c>
      <c r="S240" s="261">
        <f>IF(D240="","",IF(J240="リード付け",N240,VLOOKUP(D240,契約台帳!$A$3:$P$4986,16,FALSE)))</f>
        <v>4000</v>
      </c>
      <c r="T240" s="38">
        <v>3</v>
      </c>
      <c r="U240" s="261">
        <f ca="1">IF(D240="","",IF(OFFSET(D240,-2,0)=D240,"",VLOOKUP(D240,契約台帳!$A$3:$R$4986,18,FALSE)))</f>
        <v>5</v>
      </c>
      <c r="V240" s="256" t="str">
        <f>IF(J240="巻返し",VLOOKUP(F240&amp;K240&amp;M240,製品マスタ!$M$5:$AD$4999,18,FALSE),IF(J240="リード付け","原反コア",IF(J240="スリット",VLOOKUP(F240&amp;K240&amp;Q240,製品マスタ!$N$5:$AD$4999,17,FALSE),"")))</f>
        <v>6ｲﾝﾁSｺｱ</v>
      </c>
      <c r="W240" s="256">
        <f>IF(J240="巻返し",VLOOKUP(F240&amp;K240&amp;M240,製品マスタ!$M$5:$AE$4999,19,FALSE),IF(J240="リード付け","-",IF(J240="スリット",VLOOKUP(F240&amp;K240&amp;Q240,製品マスタ!$N$5:$AE$4999,18,FALSE),"")))</f>
        <v>1125</v>
      </c>
      <c r="X240" s="256">
        <f>IF(D240="","",VLOOKUP(D240,契約台帳!$A$3:$Q$4986,17,FALSE))</f>
        <v>2</v>
      </c>
      <c r="Y240" s="256" t="str">
        <f>IF(D240="","",VLOOKUP(D240,契約台帳!$A$3:$E$4986,5,FALSE))</f>
        <v>リンテック㈱</v>
      </c>
      <c r="Z240" s="54">
        <v>45005</v>
      </c>
      <c r="AA240" s="200">
        <f>IFERROR(VLOOKUP(F240&amp;K240&amp;M240,製品マスタ!$M$5:$AM$4999,27,FALSE),"")</f>
        <v>0</v>
      </c>
      <c r="AB240" s="31"/>
      <c r="AC240" s="184"/>
      <c r="AD240" s="51" t="str">
        <f>IF(F240="","",+F240&amp;K240)</f>
        <v>3SNMLBMNGKKBF25</v>
      </c>
      <c r="AE240" s="52">
        <f>+M240*N240*O240/1000</f>
        <v>13440</v>
      </c>
      <c r="AF240" s="41">
        <f>IF(AD240="","",VLOOKUP(AD240,原価マスタ!$A$2:$AJ$1693,13,FALSE))</f>
        <v>96</v>
      </c>
      <c r="AG240" s="45">
        <f>IF(AF240="","",+AE240*AF240/100)</f>
        <v>12902.4</v>
      </c>
      <c r="AH240" s="28"/>
      <c r="AI240" s="28"/>
      <c r="AJ240" s="28"/>
      <c r="AK240" s="28"/>
      <c r="AL240" s="12"/>
      <c r="AM240" s="12"/>
      <c r="AN240" s="12"/>
      <c r="AO240" s="12"/>
      <c r="AP240" s="12"/>
      <c r="AQ240" s="13"/>
      <c r="AR240" s="14"/>
    </row>
    <row r="241" spans="1:44" s="16" customFormat="1" ht="30.95" hidden="1" customHeight="1" x14ac:dyDescent="0.2">
      <c r="A241" s="35"/>
      <c r="B241" s="36"/>
      <c r="C241" s="43"/>
      <c r="D241" s="29"/>
      <c r="E241" s="29"/>
      <c r="F241" s="255" t="str">
        <f>IF(D241="","",VLOOKUP(D241,契約台帳!$A$3:$K$4986,6,FALSE)&amp;VLOOKUP(D241,契約台帳!$A$3:$K$4986,7,FALSE)&amp;VLOOKUP(D241,契約台帳!$A$3:$K$4986,8,FALSE)&amp;VLOOKUP(D241,契約台帳!$A$3:$K$4986,9,FALSE)&amp;VLOOKUP(D241,契約台帳!$A$3:$K$4986,11,FALSE))</f>
        <v/>
      </c>
      <c r="G241" s="256" t="str">
        <f>IF(D241="","",VLOOKUP(F241,製品マスタ!$G$5:$H$4999,2,FALSE))</f>
        <v/>
      </c>
      <c r="H241" s="256" t="str">
        <f>IF(D241="","",VLOOKUP(F241,製品マスタ!$G$5:$K$4999,5,FALSE))</f>
        <v/>
      </c>
      <c r="I241" s="200" t="str">
        <f>IF(D241="","",VLOOKUP(F241,製品マスタ!$G$5:$L$4999,6,FALSE))</f>
        <v/>
      </c>
      <c r="J241" s="30"/>
      <c r="K241" s="200" t="str">
        <f>IF(D241="","",VLOOKUP(D241,契約台帳!$A$3:$L$4986,12,FALSE))</f>
        <v/>
      </c>
      <c r="L241" s="200" t="str">
        <f>IF(D241="","",INDEX(製品マスタ!$Q$5:$Q$4999,MATCH(F241&amp;K241,製品マスタ!$AO$5:$AO$4999,0)))</f>
        <v/>
      </c>
      <c r="M241" s="37"/>
      <c r="N241" s="37"/>
      <c r="O241" s="45"/>
      <c r="P241" s="54"/>
      <c r="Q241" s="260" t="str">
        <f>IF(D241="","",IF(J241="リード付け",M241,VLOOKUP(D241,契約台帳!$A$3:$N$4986,14,FALSE)))</f>
        <v/>
      </c>
      <c r="R241" s="261" t="str">
        <f>IF(D241="","",IF(J241="リード付け",M241,VLOOKUP(D241,契約台帳!$A$3:$O$4986,15,FALSE)))</f>
        <v/>
      </c>
      <c r="S241" s="261" t="str">
        <f>IF(D241="","",IF(J241="リード付け",N241,VLOOKUP(D241,契約台帳!$A$3:$P$4986,16,FALSE)))</f>
        <v/>
      </c>
      <c r="T241" s="38"/>
      <c r="U241" s="261" t="str">
        <f ca="1">IF(D241="","",IF(OFFSET(D241,-2,0)=D241,"",VLOOKUP(D241,契約台帳!$A$3:$R$4986,18,FALSE)))</f>
        <v/>
      </c>
      <c r="V241" s="256" t="str">
        <f>IF(J241="巻返し",VLOOKUP(F241&amp;K241&amp;M241,製品マスタ!$M$5:$AD$4999,18,FALSE),IF(J241="リード付け","原反コア",IF(J241="スリット",VLOOKUP(F241&amp;K241&amp;Q241,製品マスタ!$N$5:$AD$4999,17,FALSE),"")))</f>
        <v/>
      </c>
      <c r="W241" s="256" t="str">
        <f>IF(J241="巻返し",VLOOKUP(F241&amp;K241&amp;M241,製品マスタ!$M$5:$AE$4999,19,FALSE),IF(J241="リード付け","-",IF(J241="スリット",VLOOKUP(F241&amp;K241&amp;Q241,製品マスタ!$N$5:$AE$4999,18,FALSE),"")))</f>
        <v/>
      </c>
      <c r="X241" s="256" t="str">
        <f>IF(D241="","",VLOOKUP(D241,契約台帳!$A$3:$Q$4986,17,FALSE))</f>
        <v/>
      </c>
      <c r="Y241" s="256" t="str">
        <f>IF(D241="","",VLOOKUP(D241,契約台帳!$A$3:$E$4986,5,FALSE))</f>
        <v/>
      </c>
      <c r="Z241" s="54"/>
      <c r="AA241" s="200" t="str">
        <f>IFERROR(VLOOKUP(F241&amp;K241&amp;M241,製品マスタ!$M$5:$AM$4999,27,FALSE),"")</f>
        <v/>
      </c>
      <c r="AB241" s="31"/>
      <c r="AC241" s="184"/>
      <c r="AD241" s="51"/>
      <c r="AE241" s="52"/>
      <c r="AF241" s="41"/>
      <c r="AG241" s="45"/>
      <c r="AH241" s="28"/>
      <c r="AI241" s="28"/>
      <c r="AJ241" s="28"/>
      <c r="AK241" s="28"/>
      <c r="AL241" s="12"/>
      <c r="AM241" s="12"/>
      <c r="AN241" s="12"/>
      <c r="AO241" s="12"/>
      <c r="AP241" s="12"/>
      <c r="AQ241" s="13"/>
      <c r="AR241" s="14"/>
    </row>
    <row r="242" spans="1:44" s="16" customFormat="1" ht="30.95" hidden="1" customHeight="1" x14ac:dyDescent="0.2">
      <c r="A242" s="35"/>
      <c r="B242" s="36"/>
      <c r="C242" s="43"/>
      <c r="D242" s="29">
        <v>3700950</v>
      </c>
      <c r="E242" s="29">
        <v>4151310</v>
      </c>
      <c r="F242" s="255" t="str">
        <f>IF(D242="","",VLOOKUP(D242,契約台帳!$A$3:$K$4986,6,FALSE)&amp;VLOOKUP(D242,契約台帳!$A$3:$K$4986,7,FALSE)&amp;VLOOKUP(D242,契約台帳!$A$3:$K$4986,8,FALSE)&amp;VLOOKUP(D242,契約台帳!$A$3:$K$4986,9,FALSE)&amp;VLOOKUP(D242,契約台帳!$A$3:$K$4986,11,FALSE))</f>
        <v>3SNMLBMNGKKBF</v>
      </c>
      <c r="G242" s="256" t="str">
        <f>IF(D242="","",VLOOKUP(F242,製品マスタ!$G$5:$H$4999,2,FALSE))</f>
        <v>S</v>
      </c>
      <c r="H242" s="256" t="str">
        <f>IF(D242="","",VLOOKUP(F242,製品マスタ!$G$5:$K$4999,5,FALSE))</f>
        <v>MNGKKBF</v>
      </c>
      <c r="I242" s="200" t="str">
        <f>IF(D242="","",VLOOKUP(F242,製品マスタ!$G$5:$L$4999,6,FALSE))</f>
        <v>メタルミー　ネーマー銀消改　Ｂ</v>
      </c>
      <c r="J242" s="30" t="s">
        <v>962</v>
      </c>
      <c r="K242" s="200">
        <f>IF(D242="","",VLOOKUP(D242,契約台帳!$A$3:$L$4986,12,FALSE))</f>
        <v>25</v>
      </c>
      <c r="L242" s="200" t="str">
        <f>IF(D242="","",INDEX(製品マスタ!$Q$5:$Q$4999,MATCH(F242&amp;K242,製品マスタ!$AO$5:$AO$4999,0)))</f>
        <v>FMATS99</v>
      </c>
      <c r="M242" s="37">
        <v>1120</v>
      </c>
      <c r="N242" s="37">
        <v>8000</v>
      </c>
      <c r="O242" s="45">
        <v>1</v>
      </c>
      <c r="P242" s="54"/>
      <c r="Q242" s="260">
        <f>IF(D242="","",IF(J242="リード付け",M242,VLOOKUP(D242,契約台帳!$A$3:$N$4986,14,FALSE)))</f>
        <v>1120</v>
      </c>
      <c r="R242" s="261">
        <f>IF(D242="","",IF(J242="リード付け",M242,VLOOKUP(D242,契約台帳!$A$3:$O$4986,15,FALSE)))</f>
        <v>1120</v>
      </c>
      <c r="S242" s="261">
        <f>IF(D242="","",IF(J242="リード付け",N242,VLOOKUP(D242,契約台帳!$A$3:$P$4986,16,FALSE)))</f>
        <v>4000</v>
      </c>
      <c r="T242" s="38">
        <v>2</v>
      </c>
      <c r="U242" s="261" t="str">
        <f ca="1">IF(D242="","",IF(OFFSET(D242,-2,0)=D242,"",VLOOKUP(D242,契約台帳!$A$3:$R$4986,18,FALSE)))</f>
        <v/>
      </c>
      <c r="V242" s="256" t="str">
        <f>IF(J242="巻返し",VLOOKUP(F242&amp;K242&amp;M242,製品マスタ!$M$5:$AD$4999,18,FALSE),IF(J242="リード付け","原反コア",IF(J242="スリット",VLOOKUP(F242&amp;K242&amp;Q242,製品マスタ!$N$5:$AD$4999,17,FALSE),"")))</f>
        <v>6ｲﾝﾁSｺｱ</v>
      </c>
      <c r="W242" s="256">
        <f>IF(J242="巻返し",VLOOKUP(F242&amp;K242&amp;M242,製品マスタ!$M$5:$AE$4999,19,FALSE),IF(J242="リード付け","-",IF(J242="スリット",VLOOKUP(F242&amp;K242&amp;Q242,製品マスタ!$N$5:$AE$4999,18,FALSE),"")))</f>
        <v>1125</v>
      </c>
      <c r="X242" s="256">
        <f>IF(D242="","",VLOOKUP(D242,契約台帳!$A$3:$Q$4986,17,FALSE))</f>
        <v>2</v>
      </c>
      <c r="Y242" s="256" t="str">
        <f>IF(D242="","",VLOOKUP(D242,契約台帳!$A$3:$E$4986,5,FALSE))</f>
        <v>リンテック㈱</v>
      </c>
      <c r="Z242" s="54">
        <v>45005</v>
      </c>
      <c r="AA242" s="200">
        <f>IFERROR(VLOOKUP(F242&amp;K242&amp;M242,製品マスタ!$M$5:$AM$4999,27,FALSE),"")</f>
        <v>0</v>
      </c>
      <c r="AB242" s="31"/>
      <c r="AC242" s="184"/>
      <c r="AD242" s="51" t="str">
        <f>IF(F242="","",+F242&amp;K242)</f>
        <v>3SNMLBMNGKKBF25</v>
      </c>
      <c r="AE242" s="52">
        <f>+M242*N242*O242/1000</f>
        <v>8960</v>
      </c>
      <c r="AF242" s="41">
        <f>IF(AD242="","",VLOOKUP(AD242,原価マスタ!$A$2:$AJ$1693,13,FALSE))</f>
        <v>96</v>
      </c>
      <c r="AG242" s="45">
        <f>IF(AF242="","",+AE242*AF242/100)</f>
        <v>8601.6</v>
      </c>
      <c r="AH242" s="28"/>
      <c r="AI242" s="28"/>
      <c r="AJ242" s="28"/>
      <c r="AK242" s="28"/>
      <c r="AL242" s="12"/>
      <c r="AM242" s="12"/>
      <c r="AN242" s="12"/>
      <c r="AO242" s="12"/>
      <c r="AP242" s="12"/>
      <c r="AQ242" s="13"/>
      <c r="AR242" s="14"/>
    </row>
    <row r="243" spans="1:44" s="16" customFormat="1" ht="30.95" hidden="1" customHeight="1" x14ac:dyDescent="0.2">
      <c r="A243" s="35"/>
      <c r="B243" s="36"/>
      <c r="C243" s="43"/>
      <c r="D243" s="29"/>
      <c r="E243" s="29"/>
      <c r="F243" s="255" t="str">
        <f>IF(D243="","",VLOOKUP(D243,契約台帳!$A$3:$K$4986,6,FALSE)&amp;VLOOKUP(D243,契約台帳!$A$3:$K$4986,7,FALSE)&amp;VLOOKUP(D243,契約台帳!$A$3:$K$4986,8,FALSE)&amp;VLOOKUP(D243,契約台帳!$A$3:$K$4986,9,FALSE)&amp;VLOOKUP(D243,契約台帳!$A$3:$K$4986,11,FALSE))</f>
        <v/>
      </c>
      <c r="G243" s="256" t="str">
        <f>IF(D243="","",VLOOKUP(F243,製品マスタ!$G$5:$H$4999,2,FALSE))</f>
        <v/>
      </c>
      <c r="H243" s="256" t="str">
        <f>IF(D243="","",VLOOKUP(F243,製品マスタ!$G$5:$K$4999,5,FALSE))</f>
        <v/>
      </c>
      <c r="I243" s="200" t="str">
        <f>IF(D243="","",VLOOKUP(F243,製品マスタ!$G$5:$L$4999,6,FALSE))</f>
        <v/>
      </c>
      <c r="J243" s="30"/>
      <c r="K243" s="200" t="str">
        <f>IF(D243="","",VLOOKUP(D243,契約台帳!$A$3:$L$4986,12,FALSE))</f>
        <v/>
      </c>
      <c r="L243" s="200" t="str">
        <f>IF(D243="","",INDEX(製品マスタ!$Q$5:$Q$4999,MATCH(F243&amp;K243,製品マスタ!$AO$5:$AO$4999,0)))</f>
        <v/>
      </c>
      <c r="M243" s="37"/>
      <c r="N243" s="37"/>
      <c r="O243" s="45"/>
      <c r="P243" s="54"/>
      <c r="Q243" s="260" t="str">
        <f>IF(D243="","",IF(J243="リード付け",M243,VLOOKUP(D243,契約台帳!$A$3:$N$4986,14,FALSE)))</f>
        <v/>
      </c>
      <c r="R243" s="261" t="str">
        <f>IF(D243="","",IF(J243="リード付け",M243,VLOOKUP(D243,契約台帳!$A$3:$O$4986,15,FALSE)))</f>
        <v/>
      </c>
      <c r="S243" s="261" t="str">
        <f>IF(D243="","",IF(J243="リード付け",N243,VLOOKUP(D243,契約台帳!$A$3:$P$4986,16,FALSE)))</f>
        <v/>
      </c>
      <c r="T243" s="38"/>
      <c r="U243" s="261" t="str">
        <f ca="1">IF(D243="","",IF(OFFSET(D243,-2,0)=D243,"",VLOOKUP(D243,契約台帳!$A$3:$R$4986,18,FALSE)))</f>
        <v/>
      </c>
      <c r="V243" s="256" t="str">
        <f>IF(J243="巻返し",VLOOKUP(F243&amp;K243&amp;M243,製品マスタ!$M$5:$AD$4999,18,FALSE),IF(J243="リード付け","原反コア",IF(J243="スリット",VLOOKUP(F243&amp;K243&amp;Q243,製品マスタ!$N$5:$AD$4999,17,FALSE),"")))</f>
        <v/>
      </c>
      <c r="W243" s="256" t="str">
        <f>IF(J243="巻返し",VLOOKUP(F243&amp;K243&amp;M243,製品マスタ!$M$5:$AE$4999,19,FALSE),IF(J243="リード付け","-",IF(J243="スリット",VLOOKUP(F243&amp;K243&amp;Q243,製品マスタ!$N$5:$AE$4999,18,FALSE),"")))</f>
        <v/>
      </c>
      <c r="X243" s="256" t="str">
        <f>IF(D243="","",VLOOKUP(D243,契約台帳!$A$3:$Q$4986,17,FALSE))</f>
        <v/>
      </c>
      <c r="Y243" s="256" t="str">
        <f>IF(D243="","",VLOOKUP(D243,契約台帳!$A$3:$E$4986,5,FALSE))</f>
        <v/>
      </c>
      <c r="Z243" s="54"/>
      <c r="AA243" s="200" t="str">
        <f>IFERROR(VLOOKUP(F243&amp;K243&amp;M243,製品マスタ!$M$5:$AM$4999,27,FALSE),"")</f>
        <v/>
      </c>
      <c r="AB243" s="31"/>
      <c r="AC243" s="184"/>
      <c r="AD243" s="51"/>
      <c r="AE243" s="52"/>
      <c r="AF243" s="41"/>
      <c r="AG243" s="45"/>
      <c r="AH243" s="28"/>
      <c r="AI243" s="28"/>
      <c r="AJ243" s="28"/>
      <c r="AK243" s="28"/>
      <c r="AL243" s="12"/>
      <c r="AM243" s="12"/>
      <c r="AN243" s="12"/>
      <c r="AO243" s="12"/>
      <c r="AP243" s="12"/>
      <c r="AQ243" s="13"/>
      <c r="AR243" s="14"/>
    </row>
    <row r="244" spans="1:44" s="16" customFormat="1" ht="30.95" hidden="1" customHeight="1" x14ac:dyDescent="0.2">
      <c r="A244" s="35" t="s">
        <v>966</v>
      </c>
      <c r="B244" s="36" t="s">
        <v>444</v>
      </c>
      <c r="C244" s="43"/>
      <c r="D244" s="29">
        <v>3700955</v>
      </c>
      <c r="E244" s="29">
        <v>4151327</v>
      </c>
      <c r="F244" s="255" t="str">
        <f>IF(D244="","",VLOOKUP(D244,契約台帳!$A$3:$K$4986,6,FALSE)&amp;VLOOKUP(D244,契約台帳!$A$3:$K$4986,7,FALSE)&amp;VLOOKUP(D244,契約台帳!$A$3:$K$4986,8,FALSE)&amp;VLOOKUP(D244,契約台帳!$A$3:$K$4986,9,FALSE)&amp;VLOOKUP(D244,契約台帳!$A$3:$K$4986,11,FALSE))</f>
        <v>3SNMLBMNGTBF</v>
      </c>
      <c r="G244" s="256" t="str">
        <f>IF(D244="","",VLOOKUP(F244,製品マスタ!$G$5:$H$4999,2,FALSE))</f>
        <v>S</v>
      </c>
      <c r="H244" s="256" t="str">
        <f>IF(D244="","",VLOOKUP(F244,製品マスタ!$G$5:$K$4999,5,FALSE))</f>
        <v>MNGTBF</v>
      </c>
      <c r="I244" s="200" t="str">
        <f>IF(D244="","",VLOOKUP(F244,製品マスタ!$G$5:$L$4999,6,FALSE))</f>
        <v>メタルミー　ネーマー　銀艶　Ｂ</v>
      </c>
      <c r="J244" s="30" t="s">
        <v>447</v>
      </c>
      <c r="K244" s="200">
        <f>IF(D244="","",VLOOKUP(D244,契約台帳!$A$3:$L$4986,12,FALSE))</f>
        <v>25</v>
      </c>
      <c r="L244" s="200" t="str">
        <f>IF(D244="","",INDEX(製品マスタ!$Q$5:$Q$4999,MATCH(F244&amp;K244,製品マスタ!$AO$5:$AO$4999,0)))</f>
        <v>T62M</v>
      </c>
      <c r="M244" s="37">
        <v>1005</v>
      </c>
      <c r="N244" s="37">
        <v>12100</v>
      </c>
      <c r="O244" s="45">
        <v>4</v>
      </c>
      <c r="P244" s="54"/>
      <c r="Q244" s="260">
        <f>IF(D244="","",IF(J244="リード付け",M244,VLOOKUP(D244,契約台帳!$A$3:$N$4986,14,FALSE)))</f>
        <v>1005</v>
      </c>
      <c r="R244" s="261">
        <f>IF(D244="","",IF(J244="リード付け",M244,VLOOKUP(D244,契約台帳!$A$3:$O$4986,15,FALSE)))</f>
        <v>1000</v>
      </c>
      <c r="S244" s="261">
        <f>IF(D244="","",IF(J244="リード付け",N244,VLOOKUP(D244,契約台帳!$A$3:$P$4986,16,FALSE)))</f>
        <v>4000</v>
      </c>
      <c r="T244" s="38">
        <v>12</v>
      </c>
      <c r="U244" s="261">
        <f ca="1">IF(D244="","",IF(OFFSET(D244,-2,0)=D244,"",VLOOKUP(D244,契約台帳!$A$3:$R$4986,18,FALSE)))</f>
        <v>15</v>
      </c>
      <c r="V244" s="256" t="str">
        <f>IF(J244="巻返し",VLOOKUP(F244&amp;K244&amp;M244,製品マスタ!$M$5:$AD$4999,18,FALSE),IF(J244="リード付け","原反コア",IF(J244="スリット",VLOOKUP(F244&amp;K244&amp;Q244,製品マスタ!$N$5:$AD$4999,17,FALSE),"")))</f>
        <v>6ｲﾝﾁSｺｱ</v>
      </c>
      <c r="W244" s="256">
        <f>IF(J244="巻返し",VLOOKUP(F244&amp;K244&amp;M244,製品マスタ!$M$5:$AE$4999,19,FALSE),IF(J244="リード付け","-",IF(J244="スリット",VLOOKUP(F244&amp;K244&amp;Q244,製品マスタ!$N$5:$AE$4999,18,FALSE),"")))</f>
        <v>1015</v>
      </c>
      <c r="X244" s="256">
        <f>IF(D244="","",VLOOKUP(D244,契約台帳!$A$3:$Q$4986,17,FALSE))</f>
        <v>2</v>
      </c>
      <c r="Y244" s="256" t="str">
        <f>IF(D244="","",VLOOKUP(D244,契約台帳!$A$3:$E$4986,5,FALSE))</f>
        <v>リンテック㈱</v>
      </c>
      <c r="Z244" s="54">
        <v>45005</v>
      </c>
      <c r="AA244" s="200">
        <f>IFERROR(VLOOKUP(F244&amp;K244&amp;M244,製品マスタ!$M$5:$AM$4999,27,FALSE),"")</f>
        <v>0</v>
      </c>
      <c r="AB244" s="31"/>
      <c r="AC244" s="184"/>
      <c r="AD244" s="51" t="str">
        <f>IF(F244="","",+F244&amp;K244)</f>
        <v>3SNMLBMNGTBF25</v>
      </c>
      <c r="AE244" s="52">
        <f>+M244*N244*O244/1000</f>
        <v>48642</v>
      </c>
      <c r="AF244" s="41">
        <f>IF(AD244="","",VLOOKUP(AD244,原価マスタ!$A$2:$AJ$1693,13,FALSE))</f>
        <v>97.5</v>
      </c>
      <c r="AG244" s="45">
        <f>IF(AF244="","",+AE244*AF244/100)</f>
        <v>47425.95</v>
      </c>
      <c r="AH244" s="28"/>
      <c r="AI244" s="28"/>
      <c r="AJ244" s="28"/>
      <c r="AK244" s="28"/>
      <c r="AL244" s="12"/>
      <c r="AM244" s="12"/>
      <c r="AN244" s="12"/>
      <c r="AO244" s="12"/>
      <c r="AP244" s="12"/>
      <c r="AQ244" s="13"/>
      <c r="AR244" s="14"/>
    </row>
    <row r="245" spans="1:44" s="16" customFormat="1" ht="30.95" hidden="1" customHeight="1" x14ac:dyDescent="0.2">
      <c r="A245" s="35"/>
      <c r="B245" s="36"/>
      <c r="C245" s="43"/>
      <c r="D245" s="29"/>
      <c r="E245" s="29"/>
      <c r="F245" s="255"/>
      <c r="G245" s="256"/>
      <c r="H245" s="256"/>
      <c r="I245" s="200"/>
      <c r="J245" s="30"/>
      <c r="K245" s="200"/>
      <c r="L245" s="200"/>
      <c r="M245" s="37"/>
      <c r="N245" s="37"/>
      <c r="O245" s="45"/>
      <c r="P245" s="54"/>
      <c r="Q245" s="260"/>
      <c r="R245" s="261"/>
      <c r="S245" s="261"/>
      <c r="T245" s="38"/>
      <c r="U245" s="261"/>
      <c r="V245" s="256"/>
      <c r="W245" s="256"/>
      <c r="X245" s="256"/>
      <c r="Y245" s="256"/>
      <c r="Z245" s="54"/>
      <c r="AA245" s="200"/>
      <c r="AB245" s="31"/>
      <c r="AC245" s="184"/>
      <c r="AD245" s="51"/>
      <c r="AE245" s="52"/>
      <c r="AF245" s="41"/>
      <c r="AG245" s="45"/>
      <c r="AH245" s="28"/>
      <c r="AI245" s="28"/>
      <c r="AJ245" s="28"/>
      <c r="AK245" s="28"/>
      <c r="AL245" s="12"/>
      <c r="AM245" s="12"/>
      <c r="AN245" s="12"/>
      <c r="AO245" s="12"/>
      <c r="AP245" s="12"/>
      <c r="AQ245" s="13"/>
      <c r="AR245" s="14"/>
    </row>
    <row r="246" spans="1:44" s="16" customFormat="1" ht="30.95" hidden="1" customHeight="1" x14ac:dyDescent="0.2">
      <c r="A246" s="35" t="s">
        <v>967</v>
      </c>
      <c r="B246" s="36" t="s">
        <v>445</v>
      </c>
      <c r="C246" s="43"/>
      <c r="D246" s="29"/>
      <c r="E246" s="29"/>
      <c r="F246" s="255" t="str">
        <f>IF(D246="","",VLOOKUP(D246,契約台帳!$A$3:$K$4986,6,FALSE)&amp;VLOOKUP(D246,契約台帳!$A$3:$K$4986,7,FALSE)&amp;VLOOKUP(D246,契約台帳!$A$3:$K$4986,8,FALSE)&amp;VLOOKUP(D246,契約台帳!$A$3:$K$4986,9,FALSE)&amp;VLOOKUP(D246,契約台帳!$A$3:$K$4986,11,FALSE))</f>
        <v/>
      </c>
      <c r="G246" s="256" t="str">
        <f>IF(D246="","",VLOOKUP(F246,製品マスタ!$G$5:$H$4999,2,FALSE))</f>
        <v/>
      </c>
      <c r="H246" s="256" t="str">
        <f>IF(D246="","",VLOOKUP(F246,製品マスタ!$G$5:$K$4999,5,FALSE))</f>
        <v/>
      </c>
      <c r="I246" s="200" t="str">
        <f>IF(D246="","",VLOOKUP(F246,製品マスタ!$G$5:$L$4999,6,FALSE))</f>
        <v/>
      </c>
      <c r="J246" s="30" t="s">
        <v>448</v>
      </c>
      <c r="K246" s="200" t="str">
        <f>IF(D246="","",VLOOKUP(D246,契約台帳!$A$3:$L$4986,12,FALSE))</f>
        <v/>
      </c>
      <c r="L246" s="200" t="str">
        <f>IF(D246="","",INDEX(製品マスタ!$Q$5:$Q$4999,MATCH(F246&amp;K246,製品マスタ!$AO$5:$AO$4999,0)))</f>
        <v/>
      </c>
      <c r="M246" s="37"/>
      <c r="N246" s="37"/>
      <c r="O246" s="45"/>
      <c r="P246" s="54"/>
      <c r="Q246" s="260" t="str">
        <f>IF(D246="","",IF(J246="リード付け",M246,VLOOKUP(D246,契約台帳!$A$3:$N$4986,14,FALSE)))</f>
        <v/>
      </c>
      <c r="R246" s="261" t="str">
        <f>IF(D246="","",IF(J246="リード付け",M246,VLOOKUP(D246,契約台帳!$A$3:$O$4986,15,FALSE)))</f>
        <v/>
      </c>
      <c r="S246" s="261" t="str">
        <f>IF(D246="","",IF(J246="リード付け",N246,VLOOKUP(D246,契約台帳!$A$3:$P$4986,16,FALSE)))</f>
        <v/>
      </c>
      <c r="T246" s="38"/>
      <c r="U246" s="261" t="str">
        <f ca="1">IF(D246="","",IF(OFFSET(D246,-2,0)=D246,"",VLOOKUP(D246,契約台帳!$A$3:$R$4986,18,FALSE)))</f>
        <v/>
      </c>
      <c r="V246" s="256" t="str">
        <f>IF(J246="巻返し",VLOOKUP(F246&amp;K246&amp;M246,製品マスタ!$M$5:$AD$4999,18,FALSE),IF(J246="リード付け","原反コア",IF(J246="スリット",VLOOKUP(F246&amp;K246&amp;Q246,製品マスタ!$N$5:$AD$4999,17,FALSE),"")))</f>
        <v/>
      </c>
      <c r="W246" s="256" t="str">
        <f>IF(J246="巻返し",VLOOKUP(F246&amp;K246&amp;M246,製品マスタ!$M$5:$AE$4999,19,FALSE),IF(J246="リード付け","-",IF(J246="スリット",VLOOKUP(F246&amp;K246&amp;Q246,製品マスタ!$N$5:$AE$4999,18,FALSE),"")))</f>
        <v/>
      </c>
      <c r="X246" s="256" t="str">
        <f>IF(D246="","",VLOOKUP(D246,契約台帳!$A$3:$Q$4986,17,FALSE))</f>
        <v/>
      </c>
      <c r="Y246" s="256" t="str">
        <f>IF(D246="","",VLOOKUP(D246,契約台帳!$A$3:$E$4986,5,FALSE))</f>
        <v/>
      </c>
      <c r="Z246" s="54"/>
      <c r="AA246" s="200" t="str">
        <f>IFERROR(VLOOKUP(F246&amp;K246&amp;M246,製品マスタ!$M$5:$AM$4999,27,FALSE),"")</f>
        <v/>
      </c>
      <c r="AB246" s="31"/>
      <c r="AC246" s="184"/>
      <c r="AD246" s="51"/>
      <c r="AE246" s="52"/>
      <c r="AF246" s="41"/>
      <c r="AG246" s="45"/>
      <c r="AH246" s="28"/>
      <c r="AI246" s="28"/>
      <c r="AJ246" s="28"/>
      <c r="AK246" s="28"/>
      <c r="AL246" s="12"/>
      <c r="AM246" s="12"/>
      <c r="AN246" s="12"/>
      <c r="AO246" s="12"/>
      <c r="AP246" s="12"/>
      <c r="AQ246" s="13"/>
      <c r="AR246" s="14"/>
    </row>
    <row r="247" spans="1:44" s="16" customFormat="1" ht="30.95" hidden="1" customHeight="1" x14ac:dyDescent="0.2">
      <c r="A247" s="35"/>
      <c r="B247" s="36"/>
      <c r="C247" s="43"/>
      <c r="D247" s="29"/>
      <c r="E247" s="29"/>
      <c r="F247" s="255" t="str">
        <f>IF(D247="","",VLOOKUP(D247,契約台帳!$A$3:$K$4986,6,FALSE)&amp;VLOOKUP(D247,契約台帳!$A$3:$K$4986,7,FALSE)&amp;VLOOKUP(D247,契約台帳!$A$3:$K$4986,8,FALSE)&amp;VLOOKUP(D247,契約台帳!$A$3:$K$4986,9,FALSE)&amp;VLOOKUP(D247,契約台帳!$A$3:$K$4986,11,FALSE))</f>
        <v/>
      </c>
      <c r="G247" s="256" t="str">
        <f>IF(D247="","",VLOOKUP(F247,製品マスタ!$G$5:$H$4999,2,FALSE))</f>
        <v/>
      </c>
      <c r="H247" s="256" t="str">
        <f>IF(D247="","",VLOOKUP(F247,製品マスタ!$G$5:$K$4999,5,FALSE))</f>
        <v/>
      </c>
      <c r="I247" s="200" t="str">
        <f>IF(D247="","",VLOOKUP(F247,製品マスタ!$G$5:$L$4999,6,FALSE))</f>
        <v/>
      </c>
      <c r="J247" s="30"/>
      <c r="K247" s="200" t="str">
        <f>IF(D247="","",VLOOKUP(D247,契約台帳!$A$3:$L$4986,12,FALSE))</f>
        <v/>
      </c>
      <c r="L247" s="200" t="str">
        <f>IF(D247="","",INDEX(製品マスタ!$Q$5:$Q$4999,MATCH(F247&amp;K247,製品マスタ!$AO$5:$AO$4999,0)))</f>
        <v/>
      </c>
      <c r="M247" s="37"/>
      <c r="N247" s="37"/>
      <c r="O247" s="45"/>
      <c r="P247" s="54"/>
      <c r="Q247" s="260" t="str">
        <f>IF(D247="","",IF(J247="リード付け",M247,VLOOKUP(D247,契約台帳!$A$3:$N$4986,14,FALSE)))</f>
        <v/>
      </c>
      <c r="R247" s="261" t="str">
        <f>IF(D247="","",IF(J247="リード付け",M247,VLOOKUP(D247,契約台帳!$A$3:$O$4986,15,FALSE)))</f>
        <v/>
      </c>
      <c r="S247" s="261" t="str">
        <f>IF(D247="","",IF(J247="リード付け",N247,VLOOKUP(D247,契約台帳!$A$3:$P$4986,16,FALSE)))</f>
        <v/>
      </c>
      <c r="T247" s="38"/>
      <c r="U247" s="261" t="str">
        <f ca="1">IF(D247="","",IF(OFFSET(D247,-2,0)=D247,"",VLOOKUP(D247,契約台帳!$A$3:$R$4986,18,FALSE)))</f>
        <v/>
      </c>
      <c r="V247" s="256" t="str">
        <f>IF(J247="巻返し",VLOOKUP(F247&amp;K247&amp;M247,製品マスタ!$M$5:$AD$4999,18,FALSE),IF(J247="リード付け","原反コア",IF(J247="スリット",VLOOKUP(F247&amp;K247&amp;Q247,製品マスタ!$N$5:$AD$4999,17,FALSE),"")))</f>
        <v/>
      </c>
      <c r="W247" s="256" t="str">
        <f>IF(J247="巻返し",VLOOKUP(F247&amp;K247&amp;M247,製品マスタ!$M$5:$AE$4999,19,FALSE),IF(J247="リード付け","-",IF(J247="スリット",VLOOKUP(F247&amp;K247&amp;Q247,製品マスタ!$N$5:$AE$4999,18,FALSE),"")))</f>
        <v/>
      </c>
      <c r="X247" s="256" t="str">
        <f>IF(D247="","",VLOOKUP(D247,契約台帳!$A$3:$Q$4986,17,FALSE))</f>
        <v/>
      </c>
      <c r="Y247" s="256" t="str">
        <f>IF(D247="","",VLOOKUP(D247,契約台帳!$A$3:$E$4986,5,FALSE))</f>
        <v/>
      </c>
      <c r="Z247" s="54"/>
      <c r="AA247" s="200" t="str">
        <f>IFERROR(VLOOKUP(F247&amp;K247&amp;M247,製品マスタ!$M$5:$AM$4999,27,FALSE),"")</f>
        <v/>
      </c>
      <c r="AB247" s="31"/>
      <c r="AC247" s="184"/>
      <c r="AD247" s="51"/>
      <c r="AE247" s="52"/>
      <c r="AF247" s="41"/>
      <c r="AG247" s="45"/>
      <c r="AH247" s="28"/>
      <c r="AI247" s="28"/>
      <c r="AJ247" s="28"/>
      <c r="AK247" s="28"/>
      <c r="AL247" s="12"/>
      <c r="AM247" s="12"/>
      <c r="AN247" s="12"/>
      <c r="AO247" s="12"/>
      <c r="AP247" s="12"/>
      <c r="AQ247" s="13"/>
      <c r="AR247" s="14"/>
    </row>
    <row r="248" spans="1:44" s="16" customFormat="1" ht="30.95" hidden="1" customHeight="1" x14ac:dyDescent="0.2">
      <c r="A248" s="35" t="s">
        <v>968</v>
      </c>
      <c r="B248" s="36" t="s">
        <v>446</v>
      </c>
      <c r="C248" s="43"/>
      <c r="D248" s="29"/>
      <c r="E248" s="29"/>
      <c r="F248" s="255" t="str">
        <f>IF(D248="","",VLOOKUP(D248,契約台帳!$A$3:$K$4986,6,FALSE)&amp;VLOOKUP(D248,契約台帳!$A$3:$K$4986,7,FALSE)&amp;VLOOKUP(D248,契約台帳!$A$3:$K$4986,8,FALSE)&amp;VLOOKUP(D248,契約台帳!$A$3:$K$4986,9,FALSE)&amp;VLOOKUP(D248,契約台帳!$A$3:$K$4986,11,FALSE))</f>
        <v/>
      </c>
      <c r="G248" s="256" t="str">
        <f>IF(D248="","",VLOOKUP(F248,製品マスタ!$G$5:$H$4999,2,FALSE))</f>
        <v/>
      </c>
      <c r="H248" s="256" t="str">
        <f>IF(D248="","",VLOOKUP(F248,製品マスタ!$G$5:$K$4999,5,FALSE))</f>
        <v/>
      </c>
      <c r="I248" s="200" t="str">
        <f>IF(D248="","",VLOOKUP(F248,製品マスタ!$G$5:$L$4999,6,FALSE))</f>
        <v/>
      </c>
      <c r="J248" s="30" t="s">
        <v>448</v>
      </c>
      <c r="K248" s="200" t="str">
        <f>IF(D248="","",VLOOKUP(D248,契約台帳!$A$3:$L$4986,12,FALSE))</f>
        <v/>
      </c>
      <c r="L248" s="200" t="str">
        <f>IF(D248="","",INDEX(製品マスタ!$Q$5:$Q$4999,MATCH(F248&amp;K248,製品マスタ!$AO$5:$AO$4999,0)))</f>
        <v/>
      </c>
      <c r="M248" s="37"/>
      <c r="N248" s="37"/>
      <c r="O248" s="45"/>
      <c r="P248" s="54"/>
      <c r="Q248" s="260" t="str">
        <f>IF(D248="","",IF(J248="リード付け",M248,VLOOKUP(D248,契約台帳!$A$3:$N$4986,14,FALSE)))</f>
        <v/>
      </c>
      <c r="R248" s="261" t="str">
        <f>IF(D248="","",IF(J248="リード付け",M248,VLOOKUP(D248,契約台帳!$A$3:$O$4986,15,FALSE)))</f>
        <v/>
      </c>
      <c r="S248" s="261" t="str">
        <f>IF(D248="","",IF(J248="リード付け",N248,VLOOKUP(D248,契約台帳!$A$3:$P$4986,16,FALSE)))</f>
        <v/>
      </c>
      <c r="T248" s="38"/>
      <c r="U248" s="261" t="str">
        <f ca="1">IF(D248="","",IF(OFFSET(D248,-2,0)=D248,"",VLOOKUP(D248,契約台帳!$A$3:$R$4986,18,FALSE)))</f>
        <v/>
      </c>
      <c r="V248" s="256" t="str">
        <f>IF(J248="巻返し",VLOOKUP(F248&amp;K248&amp;M248,製品マスタ!$M$5:$AD$4999,18,FALSE),IF(J248="リード付け","原反コア",IF(J248="スリット",VLOOKUP(F248&amp;K248&amp;Q248,製品マスタ!$N$5:$AD$4999,17,FALSE),"")))</f>
        <v/>
      </c>
      <c r="W248" s="256" t="str">
        <f>IF(J248="巻返し",VLOOKUP(F248&amp;K248&amp;M248,製品マスタ!$M$5:$AE$4999,19,FALSE),IF(J248="リード付け","-",IF(J248="スリット",VLOOKUP(F248&amp;K248&amp;Q248,製品マスタ!$N$5:$AE$4999,18,FALSE),"")))</f>
        <v/>
      </c>
      <c r="X248" s="256" t="str">
        <f>IF(D248="","",VLOOKUP(D248,契約台帳!$A$3:$Q$4986,17,FALSE))</f>
        <v/>
      </c>
      <c r="Y248" s="256" t="str">
        <f>IF(D248="","",VLOOKUP(D248,契約台帳!$A$3:$E$4986,5,FALSE))</f>
        <v/>
      </c>
      <c r="Z248" s="54"/>
      <c r="AA248" s="200" t="str">
        <f>IFERROR(VLOOKUP(F248&amp;K248&amp;M248,製品マスタ!$M$5:$AM$4999,27,FALSE),"")</f>
        <v/>
      </c>
      <c r="AB248" s="31"/>
      <c r="AC248" s="184"/>
      <c r="AD248" s="51"/>
      <c r="AE248" s="52"/>
      <c r="AF248" s="41"/>
      <c r="AG248" s="45"/>
      <c r="AH248" s="28"/>
      <c r="AI248" s="28"/>
      <c r="AJ248" s="28"/>
      <c r="AK248" s="28"/>
      <c r="AL248" s="12"/>
      <c r="AM248" s="12"/>
      <c r="AN248" s="12"/>
      <c r="AO248" s="12"/>
      <c r="AP248" s="12"/>
      <c r="AQ248" s="13"/>
      <c r="AR248" s="14"/>
    </row>
    <row r="249" spans="1:44" s="16" customFormat="1" ht="30.95" hidden="1" customHeight="1" x14ac:dyDescent="0.2">
      <c r="A249" s="35"/>
      <c r="B249" s="36"/>
      <c r="C249" s="43"/>
      <c r="D249" s="29"/>
      <c r="E249" s="29"/>
      <c r="F249" s="255" t="str">
        <f>IF(D249="","",VLOOKUP(D249,契約台帳!$A$3:$K$4986,6,FALSE)&amp;VLOOKUP(D249,契約台帳!$A$3:$K$4986,7,FALSE)&amp;VLOOKUP(D249,契約台帳!$A$3:$K$4986,8,FALSE)&amp;VLOOKUP(D249,契約台帳!$A$3:$K$4986,9,FALSE)&amp;VLOOKUP(D249,契約台帳!$A$3:$K$4986,11,FALSE))</f>
        <v/>
      </c>
      <c r="G249" s="256" t="str">
        <f>IF(D249="","",VLOOKUP(F249,製品マスタ!$G$5:$H$4999,2,FALSE))</f>
        <v/>
      </c>
      <c r="H249" s="256" t="str">
        <f>IF(D249="","",VLOOKUP(F249,製品マスタ!$G$5:$K$4999,5,FALSE))</f>
        <v/>
      </c>
      <c r="I249" s="200" t="str">
        <f>IF(D249="","",VLOOKUP(F249,製品マスタ!$G$5:$L$4999,6,FALSE))</f>
        <v/>
      </c>
      <c r="J249" s="30"/>
      <c r="K249" s="200" t="str">
        <f>IF(D249="","",VLOOKUP(D249,契約台帳!$A$3:$L$4986,12,FALSE))</f>
        <v/>
      </c>
      <c r="L249" s="200" t="str">
        <f>IF(D249="","",INDEX(製品マスタ!$Q$5:$Q$4999,MATCH(F249&amp;K249,製品マスタ!$AO$5:$AO$4999,0)))</f>
        <v/>
      </c>
      <c r="M249" s="37"/>
      <c r="N249" s="37"/>
      <c r="O249" s="45"/>
      <c r="P249" s="54"/>
      <c r="Q249" s="260" t="str">
        <f>IF(D249="","",IF(J249="リード付け",M249,VLOOKUP(D249,契約台帳!$A$3:$N$4986,14,FALSE)))</f>
        <v/>
      </c>
      <c r="R249" s="261" t="str">
        <f>IF(D249="","",IF(J249="リード付け",M249,VLOOKUP(D249,契約台帳!$A$3:$O$4986,15,FALSE)))</f>
        <v/>
      </c>
      <c r="S249" s="261" t="str">
        <f>IF(D249="","",IF(J249="リード付け",N249,VLOOKUP(D249,契約台帳!$A$3:$P$4986,16,FALSE)))</f>
        <v/>
      </c>
      <c r="T249" s="38"/>
      <c r="U249" s="261" t="str">
        <f ca="1">IF(D249="","",IF(OFFSET(D249,-2,0)=D249,"",VLOOKUP(D249,契約台帳!$A$3:$R$4986,18,FALSE)))</f>
        <v/>
      </c>
      <c r="V249" s="256" t="str">
        <f>IF(J249="巻返し",VLOOKUP(F249&amp;K249&amp;M249,製品マスタ!$M$5:$AD$4999,18,FALSE),IF(J249="リード付け","原反コア",IF(J249="スリット",VLOOKUP(F249&amp;K249&amp;Q249,製品マスタ!$N$5:$AD$4999,17,FALSE),"")))</f>
        <v/>
      </c>
      <c r="W249" s="256" t="str">
        <f>IF(J249="巻返し",VLOOKUP(F249&amp;K249&amp;M249,製品マスタ!$M$5:$AE$4999,19,FALSE),IF(J249="リード付け","-",IF(J249="スリット",VLOOKUP(F249&amp;K249&amp;Q249,製品マスタ!$N$5:$AE$4999,18,FALSE),"")))</f>
        <v/>
      </c>
      <c r="X249" s="256" t="str">
        <f>IF(D249="","",VLOOKUP(D249,契約台帳!$A$3:$Q$4986,17,FALSE))</f>
        <v/>
      </c>
      <c r="Y249" s="256" t="str">
        <f>IF(D249="","",VLOOKUP(D249,契約台帳!$A$3:$E$4986,5,FALSE))</f>
        <v/>
      </c>
      <c r="Z249" s="54"/>
      <c r="AA249" s="200" t="str">
        <f>IFERROR(VLOOKUP(F249&amp;K249&amp;M249,製品マスタ!$M$5:$AM$4999,27,FALSE),"")</f>
        <v/>
      </c>
      <c r="AB249" s="31"/>
      <c r="AC249" s="184"/>
      <c r="AD249" s="51"/>
      <c r="AE249" s="52"/>
      <c r="AF249" s="41"/>
      <c r="AG249" s="45"/>
      <c r="AH249" s="28"/>
      <c r="AI249" s="28"/>
      <c r="AJ249" s="28"/>
      <c r="AK249" s="28"/>
      <c r="AL249" s="12"/>
      <c r="AM249" s="12"/>
      <c r="AN249" s="12"/>
      <c r="AO249" s="12"/>
      <c r="AP249" s="12"/>
      <c r="AQ249" s="13"/>
      <c r="AR249" s="14"/>
    </row>
    <row r="250" spans="1:44" s="16" customFormat="1" ht="30.95" hidden="1" customHeight="1" x14ac:dyDescent="0.2">
      <c r="A250" s="35" t="s">
        <v>991</v>
      </c>
      <c r="B250" s="36" t="s">
        <v>992</v>
      </c>
      <c r="C250" s="43"/>
      <c r="D250" s="29">
        <v>3700952</v>
      </c>
      <c r="E250" s="29">
        <v>4151312</v>
      </c>
      <c r="F250" s="255" t="str">
        <f>IF(D250="","",VLOOKUP(D250,契約台帳!$A$3:$K$4986,6,FALSE)&amp;VLOOKUP(D250,契約台帳!$A$3:$K$4986,7,FALSE)&amp;VLOOKUP(D250,契約台帳!$A$3:$K$4986,8,FALSE)&amp;VLOOKUP(D250,契約台帳!$A$3:$K$4986,9,FALSE)&amp;VLOOKUP(D250,契約台帳!$A$3:$K$4986,11,FALSE))</f>
        <v>3SNMLBMNGKKBF</v>
      </c>
      <c r="G250" s="256" t="str">
        <f>IF(D250="","",VLOOKUP(F250,製品マスタ!$G$5:$H$4999,2,FALSE))</f>
        <v>S</v>
      </c>
      <c r="H250" s="256" t="str">
        <f>IF(D250="","",VLOOKUP(F250,製品マスタ!$G$5:$K$4999,5,FALSE))</f>
        <v>MNGKKBF</v>
      </c>
      <c r="I250" s="200" t="str">
        <f>IF(D250="","",VLOOKUP(F250,製品マスタ!$G$5:$L$4999,6,FALSE))</f>
        <v>メタルミー　ネーマー銀消改　Ｂ</v>
      </c>
      <c r="J250" s="30" t="s">
        <v>447</v>
      </c>
      <c r="K250" s="200">
        <f>IF(D250="","",VLOOKUP(D250,契約台帳!$A$3:$L$4986,12,FALSE))</f>
        <v>50</v>
      </c>
      <c r="L250" s="200" t="str">
        <f>IF(D250="","",INDEX(製品マスタ!$Q$5:$Q$4999,MATCH(F250&amp;K250,製品マスタ!$AO$5:$AO$4999,0)))</f>
        <v>S99-MAT</v>
      </c>
      <c r="M250" s="37">
        <v>1120</v>
      </c>
      <c r="N250" s="37">
        <v>12000</v>
      </c>
      <c r="O250" s="45">
        <v>8</v>
      </c>
      <c r="P250" s="54"/>
      <c r="Q250" s="260">
        <f>IF(D250="","",IF(J250="リード付け",M250,VLOOKUP(D250,契約台帳!$A$3:$N$4986,14,FALSE)))</f>
        <v>1120</v>
      </c>
      <c r="R250" s="261">
        <f>IF(D250="","",IF(J250="リード付け",M250,VLOOKUP(D250,契約台帳!$A$3:$O$4986,15,FALSE)))</f>
        <v>1120</v>
      </c>
      <c r="S250" s="261">
        <f>IF(D250="","",IF(J250="リード付け",N250,VLOOKUP(D250,契約台帳!$A$3:$P$4986,16,FALSE)))</f>
        <v>4000</v>
      </c>
      <c r="T250" s="38">
        <v>24</v>
      </c>
      <c r="U250" s="261">
        <v>24</v>
      </c>
      <c r="V250" s="256" t="str">
        <f>IF(J250="巻返し",VLOOKUP(F250&amp;K250&amp;M250,製品マスタ!$M$5:$AD$4999,18,FALSE),IF(J250="リード付け","原反コア",IF(J250="スリット",VLOOKUP(F250&amp;K250&amp;Q250,製品マスタ!$N$5:$AD$4999,17,FALSE),"")))</f>
        <v>6ｲﾝﾁSｺｱ</v>
      </c>
      <c r="W250" s="256">
        <f>IF(J250="巻返し",VLOOKUP(F250&amp;K250&amp;M250,製品マスタ!$M$5:$AE$4999,19,FALSE),IF(J250="リード付け","-",IF(J250="スリット",VLOOKUP(F250&amp;K250&amp;Q250,製品マスタ!$N$5:$AE$4999,18,FALSE),"")))</f>
        <v>1125</v>
      </c>
      <c r="X250" s="256">
        <f>IF(D250="","",VLOOKUP(D250,契約台帳!$A$3:$Q$4986,17,FALSE))</f>
        <v>2</v>
      </c>
      <c r="Y250" s="256" t="str">
        <f>IF(D250="","",VLOOKUP(D250,契約台帳!$A$3:$E$4986,5,FALSE))</f>
        <v>リンテック㈱</v>
      </c>
      <c r="Z250" s="54">
        <v>45008</v>
      </c>
      <c r="AA250" s="200">
        <f>IFERROR(VLOOKUP(F250&amp;K250&amp;M250,製品マスタ!$M$5:$AM$4999,27,FALSE),"")</f>
        <v>0</v>
      </c>
      <c r="AB250" s="31"/>
      <c r="AC250" s="184"/>
      <c r="AD250" s="51" t="str">
        <f>IF(F250="","",+F250&amp;K250)</f>
        <v>3SNMLBMNGKKBF50</v>
      </c>
      <c r="AE250" s="52">
        <f>+M250*N250*O250/1000</f>
        <v>107520</v>
      </c>
      <c r="AF250" s="41">
        <f>IF(AD250="","",VLOOKUP(AD250,原価マスタ!$A$2:$AJ$1693,13,FALSE))</f>
        <v>99</v>
      </c>
      <c r="AG250" s="45">
        <f>IF(AF250="","",+AE250*AF250/100)</f>
        <v>106444.8</v>
      </c>
      <c r="AH250" s="28"/>
      <c r="AI250" s="28"/>
      <c r="AJ250" s="28"/>
      <c r="AK250" s="28"/>
      <c r="AL250" s="12"/>
      <c r="AM250" s="12"/>
      <c r="AN250" s="12"/>
      <c r="AO250" s="12"/>
      <c r="AP250" s="12"/>
      <c r="AQ250" s="13"/>
      <c r="AR250" s="14"/>
    </row>
    <row r="251" spans="1:44" s="16" customFormat="1" ht="30.95" hidden="1" customHeight="1" x14ac:dyDescent="0.2">
      <c r="A251" s="35"/>
      <c r="B251" s="36"/>
      <c r="C251" s="43"/>
      <c r="D251" s="29"/>
      <c r="E251" s="29"/>
      <c r="F251" s="255"/>
      <c r="G251" s="256"/>
      <c r="H251" s="256"/>
      <c r="I251" s="200"/>
      <c r="J251" s="30"/>
      <c r="K251" s="200"/>
      <c r="L251" s="200"/>
      <c r="M251" s="37"/>
      <c r="N251" s="37"/>
      <c r="O251" s="45"/>
      <c r="P251" s="54"/>
      <c r="Q251" s="260"/>
      <c r="R251" s="261"/>
      <c r="S251" s="261"/>
      <c r="T251" s="38"/>
      <c r="U251" s="261"/>
      <c r="V251" s="256"/>
      <c r="W251" s="256"/>
      <c r="X251" s="256"/>
      <c r="Y251" s="256"/>
      <c r="Z251" s="54"/>
      <c r="AA251" s="200"/>
      <c r="AB251" s="31"/>
      <c r="AC251" s="184"/>
      <c r="AD251" s="51"/>
      <c r="AE251" s="52"/>
      <c r="AF251" s="41"/>
      <c r="AG251" s="45"/>
      <c r="AH251" s="28"/>
      <c r="AI251" s="28"/>
      <c r="AJ251" s="28"/>
      <c r="AK251" s="28"/>
      <c r="AL251" s="12"/>
      <c r="AM251" s="12"/>
      <c r="AN251" s="12"/>
      <c r="AO251" s="12"/>
      <c r="AP251" s="12"/>
      <c r="AQ251" s="13"/>
      <c r="AR251" s="14"/>
    </row>
    <row r="252" spans="1:44" s="16" customFormat="1" ht="30.95" hidden="1" customHeight="1" x14ac:dyDescent="0.2">
      <c r="A252" s="35" t="s">
        <v>993</v>
      </c>
      <c r="B252" s="36" t="s">
        <v>994</v>
      </c>
      <c r="C252" s="43"/>
      <c r="D252" s="29">
        <v>3700963</v>
      </c>
      <c r="E252" s="29">
        <v>4151326</v>
      </c>
      <c r="F252" s="255" t="str">
        <f>IF(D252="","",VLOOKUP(D252,契約台帳!$A$3:$K$4986,6,FALSE)&amp;VLOOKUP(D252,契約台帳!$A$3:$K$4986,7,FALSE)&amp;VLOOKUP(D252,契約台帳!$A$3:$K$4986,8,FALSE)&amp;VLOOKUP(D252,契約台帳!$A$3:$K$4986,9,FALSE)&amp;VLOOKUP(D252,契約台帳!$A$3:$K$4986,11,FALSE))</f>
        <v>3SNMLBMNQR66F</v>
      </c>
      <c r="G252" s="256" t="str">
        <f>IF(D252="","",VLOOKUP(F252,製品マスタ!$G$5:$H$4999,2,FALSE))</f>
        <v>S</v>
      </c>
      <c r="H252" s="256" t="str">
        <f>IF(D252="","",VLOOKUP(F252,製品マスタ!$G$5:$K$4999,5,FALSE))</f>
        <v>MNQR66F</v>
      </c>
      <c r="I252" s="200" t="str">
        <f>IF(D252="","",VLOOKUP(F252,製品マスタ!$G$5:$L$4999,6,FALSE))</f>
        <v>ＱＲ６６蒸着品</v>
      </c>
      <c r="J252" s="30" t="s">
        <v>962</v>
      </c>
      <c r="K252" s="200">
        <f>IF(D252="","",VLOOKUP(D252,契約台帳!$A$3:$L$4986,12,FALSE))</f>
        <v>25</v>
      </c>
      <c r="L252" s="200" t="str">
        <f>IF(D252="","",INDEX(製品マスタ!$Q$5:$Q$4999,MATCH(F252&amp;K252,製品マスタ!$AO$5:$AO$4999,0)))</f>
        <v>E315</v>
      </c>
      <c r="M252" s="37">
        <v>1100</v>
      </c>
      <c r="N252" s="37">
        <v>24000</v>
      </c>
      <c r="O252" s="45">
        <v>3</v>
      </c>
      <c r="P252" s="54"/>
      <c r="Q252" s="260">
        <f>IF(D252="","",IF(J252="リード付け",M252,VLOOKUP(D252,契約台帳!$A$3:$N$4986,14,FALSE)))</f>
        <v>1100</v>
      </c>
      <c r="R252" s="261">
        <f>IF(D252="","",IF(J252="リード付け",M252,VLOOKUP(D252,契約台帳!$A$3:$O$4986,15,FALSE)))</f>
        <v>1100</v>
      </c>
      <c r="S252" s="261">
        <f>IF(D252="","",IF(J252="リード付け",N252,VLOOKUP(D252,契約台帳!$A$3:$P$4986,16,FALSE)))</f>
        <v>6000</v>
      </c>
      <c r="T252" s="38">
        <v>12</v>
      </c>
      <c r="U252" s="261">
        <f ca="1">IF(D252="","",IF(OFFSET(D252,-2,0)=D252,"",VLOOKUP(D252,契約台帳!$A$3:$R$4986,18,FALSE)))</f>
        <v>18</v>
      </c>
      <c r="V252" s="256" t="str">
        <f>IF(J252="巻返し",VLOOKUP(F252&amp;K252&amp;M252,製品マスタ!$M$5:$AD$4999,18,FALSE),IF(J252="リード付け","原反コア",IF(J252="スリット",VLOOKUP(F252&amp;K252&amp;Q252,製品マスタ!$N$5:$AD$4999,17,FALSE),"")))</f>
        <v>6ｲﾝﾁMｺｱ</v>
      </c>
      <c r="W252" s="256">
        <f>IF(J252="巻返し",VLOOKUP(F252&amp;K252&amp;M252,製品マスタ!$M$5:$AE$4999,19,FALSE),IF(J252="リード付け","-",IF(J252="スリット",VLOOKUP(F252&amp;K252&amp;Q252,製品マスタ!$N$5:$AE$4999,18,FALSE),"")))</f>
        <v>1110</v>
      </c>
      <c r="X252" s="256">
        <f>IF(D252="","",VLOOKUP(D252,契約台帳!$A$3:$Q$4986,17,FALSE))</f>
        <v>2</v>
      </c>
      <c r="Y252" s="256" t="str">
        <f>IF(D252="","",VLOOKUP(D252,契約台帳!$A$3:$E$4986,5,FALSE))</f>
        <v>リンテック㈱</v>
      </c>
      <c r="Z252" s="54">
        <v>45009</v>
      </c>
      <c r="AA252" s="200" t="str">
        <f>IFERROR(VLOOKUP(F252&amp;K252&amp;M252,製品マスタ!$M$5:$AM$4999,27,FALSE),"")</f>
        <v>原反ケース再利用</v>
      </c>
      <c r="AB252" s="31"/>
      <c r="AC252" s="184"/>
      <c r="AD252" s="51" t="str">
        <f>IF(F252="","",+F252&amp;K252)</f>
        <v>3SNMLBMNQR66F25</v>
      </c>
      <c r="AE252" s="52">
        <f>+M252*N252*O252/1000</f>
        <v>79200</v>
      </c>
      <c r="AF252" s="41">
        <f>IF(AD252="","",VLOOKUP(AD252,原価マスタ!$A$2:$AJ$1693,13,FALSE))</f>
        <v>98</v>
      </c>
      <c r="AG252" s="45">
        <f>IF(AF252="","",+AE252*AF252/100)</f>
        <v>77616</v>
      </c>
      <c r="AH252" s="28"/>
      <c r="AI252" s="28"/>
      <c r="AJ252" s="28"/>
      <c r="AK252" s="28"/>
      <c r="AL252" s="12"/>
      <c r="AM252" s="12"/>
      <c r="AN252" s="12"/>
      <c r="AO252" s="12"/>
      <c r="AP252" s="12"/>
      <c r="AQ252" s="13"/>
      <c r="AR252" s="14"/>
    </row>
    <row r="253" spans="1:44" s="16" customFormat="1" ht="30.95" hidden="1" customHeight="1" x14ac:dyDescent="0.2">
      <c r="A253" s="35"/>
      <c r="B253" s="36"/>
      <c r="C253" s="43"/>
      <c r="D253" s="29"/>
      <c r="E253" s="29"/>
      <c r="F253" s="255" t="str">
        <f>IF(D253="","",VLOOKUP(D253,契約台帳!$A$3:$K$4986,6,FALSE)&amp;VLOOKUP(D253,契約台帳!$A$3:$K$4986,7,FALSE)&amp;VLOOKUP(D253,契約台帳!$A$3:$K$4986,8,FALSE)&amp;VLOOKUP(D253,契約台帳!$A$3:$K$4986,9,FALSE)&amp;VLOOKUP(D253,契約台帳!$A$3:$K$4986,11,FALSE))</f>
        <v/>
      </c>
      <c r="G253" s="256" t="str">
        <f>IF(D253="","",VLOOKUP(F253,製品マスタ!$G$5:$H$4999,2,FALSE))</f>
        <v/>
      </c>
      <c r="H253" s="256" t="str">
        <f>IF(D253="","",VLOOKUP(F253,製品マスタ!$G$5:$K$4999,5,FALSE))</f>
        <v/>
      </c>
      <c r="I253" s="200" t="str">
        <f>IF(D253="","",VLOOKUP(F253,製品マスタ!$G$5:$L$4999,6,FALSE))</f>
        <v/>
      </c>
      <c r="J253" s="30"/>
      <c r="K253" s="200" t="str">
        <f>IF(D253="","",VLOOKUP(D253,契約台帳!$A$3:$L$4986,12,FALSE))</f>
        <v/>
      </c>
      <c r="L253" s="200" t="str">
        <f>IF(D253="","",INDEX(製品マスタ!$Q$5:$Q$4999,MATCH(F253&amp;K253,製品マスタ!$AO$5:$AO$4999,0)))</f>
        <v/>
      </c>
      <c r="M253" s="37"/>
      <c r="N253" s="37"/>
      <c r="O253" s="45"/>
      <c r="P253" s="54"/>
      <c r="Q253" s="260" t="str">
        <f>IF(D253="","",IF(J253="リード付け",M253,VLOOKUP(D253,契約台帳!$A$3:$N$4986,14,FALSE)))</f>
        <v/>
      </c>
      <c r="R253" s="261" t="str">
        <f>IF(D253="","",IF(J253="リード付け",M253,VLOOKUP(D253,契約台帳!$A$3:$O$4986,15,FALSE)))</f>
        <v/>
      </c>
      <c r="S253" s="261" t="str">
        <f>IF(D253="","",IF(J253="リード付け",N253,VLOOKUP(D253,契約台帳!$A$3:$P$4986,16,FALSE)))</f>
        <v/>
      </c>
      <c r="T253" s="38"/>
      <c r="U253" s="261" t="str">
        <f ca="1">IF(D253="","",IF(OFFSET(D253,-2,0)=D253,"",VLOOKUP(D253,契約台帳!$A$3:$R$4986,18,FALSE)))</f>
        <v/>
      </c>
      <c r="V253" s="256" t="str">
        <f>IF(J253="巻返し",VLOOKUP(F253&amp;K253&amp;M253,製品マスタ!$M$5:$AD$4999,18,FALSE),IF(J253="リード付け","原反コア",IF(J253="スリット",VLOOKUP(F253&amp;K253&amp;Q253,製品マスタ!$N$5:$AD$4999,17,FALSE),"")))</f>
        <v/>
      </c>
      <c r="W253" s="256" t="str">
        <f>IF(J253="巻返し",VLOOKUP(F253&amp;K253&amp;M253,製品マスタ!$M$5:$AE$4999,19,FALSE),IF(J253="リード付け","-",IF(J253="スリット",VLOOKUP(F253&amp;K253&amp;Q253,製品マスタ!$N$5:$AE$4999,18,FALSE),"")))</f>
        <v/>
      </c>
      <c r="X253" s="256" t="str">
        <f>IF(D253="","",VLOOKUP(D253,契約台帳!$A$3:$Q$4986,17,FALSE))</f>
        <v/>
      </c>
      <c r="Y253" s="256" t="str">
        <f>IF(D253="","",VLOOKUP(D253,契約台帳!$A$3:$E$4986,5,FALSE))</f>
        <v/>
      </c>
      <c r="Z253" s="54"/>
      <c r="AA253" s="200" t="str">
        <f>IFERROR(VLOOKUP(F253&amp;K253&amp;M253,製品マスタ!$M$5:$AM$4999,27,FALSE),"")</f>
        <v/>
      </c>
      <c r="AB253" s="31"/>
      <c r="AC253" s="184"/>
      <c r="AD253" s="51"/>
      <c r="AE253" s="52"/>
      <c r="AF253" s="41"/>
      <c r="AG253" s="45"/>
      <c r="AH253" s="28"/>
      <c r="AI253" s="28"/>
      <c r="AJ253" s="28"/>
      <c r="AK253" s="28"/>
      <c r="AL253" s="12"/>
      <c r="AM253" s="12"/>
      <c r="AN253" s="12"/>
      <c r="AO253" s="12"/>
      <c r="AP253" s="12"/>
      <c r="AQ253" s="13"/>
      <c r="AR253" s="14"/>
    </row>
    <row r="254" spans="1:44" s="16" customFormat="1" ht="30.95" hidden="1" customHeight="1" x14ac:dyDescent="0.2">
      <c r="A254" s="35"/>
      <c r="B254" s="36"/>
      <c r="C254" s="43"/>
      <c r="D254" s="29">
        <v>3700963</v>
      </c>
      <c r="E254" s="29">
        <v>4151326</v>
      </c>
      <c r="F254" s="255" t="str">
        <f>IF(D254="","",VLOOKUP(D254,契約台帳!$A$3:$K$4986,6,FALSE)&amp;VLOOKUP(D254,契約台帳!$A$3:$K$4986,7,FALSE)&amp;VLOOKUP(D254,契約台帳!$A$3:$K$4986,8,FALSE)&amp;VLOOKUP(D254,契約台帳!$A$3:$K$4986,9,FALSE)&amp;VLOOKUP(D254,契約台帳!$A$3:$K$4986,11,FALSE))</f>
        <v>3SNMLBMNQR66F</v>
      </c>
      <c r="G254" s="256" t="str">
        <f>IF(D254="","",VLOOKUP(F254,製品マスタ!$G$5:$H$4999,2,FALSE))</f>
        <v>S</v>
      </c>
      <c r="H254" s="256" t="str">
        <f>IF(D254="","",VLOOKUP(F254,製品マスタ!$G$5:$K$4999,5,FALSE))</f>
        <v>MNQR66F</v>
      </c>
      <c r="I254" s="200" t="str">
        <f>IF(D254="","",VLOOKUP(F254,製品マスタ!$G$5:$L$4999,6,FALSE))</f>
        <v>ＱＲ６６蒸着品</v>
      </c>
      <c r="J254" s="30" t="s">
        <v>962</v>
      </c>
      <c r="K254" s="200">
        <f>IF(D254="","",VLOOKUP(D254,契約台帳!$A$3:$L$4986,12,FALSE))</f>
        <v>25</v>
      </c>
      <c r="L254" s="200" t="str">
        <f>IF(D254="","",INDEX(製品マスタ!$Q$5:$Q$4999,MATCH(F254&amp;K254,製品マスタ!$AO$5:$AO$4999,0)))</f>
        <v>E315</v>
      </c>
      <c r="M254" s="37">
        <v>1100</v>
      </c>
      <c r="N254" s="37">
        <v>18000</v>
      </c>
      <c r="O254" s="45">
        <v>2</v>
      </c>
      <c r="P254" s="54"/>
      <c r="Q254" s="260">
        <f>IF(D254="","",IF(J254="リード付け",M254,VLOOKUP(D254,契約台帳!$A$3:$N$4986,14,FALSE)))</f>
        <v>1100</v>
      </c>
      <c r="R254" s="261">
        <f>IF(D254="","",IF(J254="リード付け",M254,VLOOKUP(D254,契約台帳!$A$3:$O$4986,15,FALSE)))</f>
        <v>1100</v>
      </c>
      <c r="S254" s="261">
        <f>IF(D254="","",IF(J254="リード付け",N254,VLOOKUP(D254,契約台帳!$A$3:$P$4986,16,FALSE)))</f>
        <v>6000</v>
      </c>
      <c r="T254" s="38">
        <v>6</v>
      </c>
      <c r="U254" s="261" t="str">
        <f ca="1">IF(D254="","",IF(OFFSET(D254,-2,0)=D254,"",VLOOKUP(D254,契約台帳!$A$3:$R$4986,18,FALSE)))</f>
        <v/>
      </c>
      <c r="V254" s="256" t="str">
        <f>IF(J254="巻返し",VLOOKUP(F254&amp;K254&amp;M254,製品マスタ!$M$5:$AD$4999,18,FALSE),IF(J254="リード付け","原反コア",IF(J254="スリット",VLOOKUP(F254&amp;K254&amp;Q254,製品マスタ!$N$5:$AD$4999,17,FALSE),"")))</f>
        <v>6ｲﾝﾁMｺｱ</v>
      </c>
      <c r="W254" s="256">
        <f>IF(J254="巻返し",VLOOKUP(F254&amp;K254&amp;M254,製品マスタ!$M$5:$AE$4999,19,FALSE),IF(J254="リード付け","-",IF(J254="スリット",VLOOKUP(F254&amp;K254&amp;Q254,製品マスタ!$N$5:$AE$4999,18,FALSE),"")))</f>
        <v>1110</v>
      </c>
      <c r="X254" s="256">
        <f>IF(D254="","",VLOOKUP(D254,契約台帳!$A$3:$Q$4986,17,FALSE))</f>
        <v>2</v>
      </c>
      <c r="Y254" s="256" t="str">
        <f>IF(D254="","",VLOOKUP(D254,契約台帳!$A$3:$E$4986,5,FALSE))</f>
        <v>リンテック㈱</v>
      </c>
      <c r="Z254" s="54">
        <v>45009</v>
      </c>
      <c r="AA254" s="200" t="str">
        <f>IFERROR(VLOOKUP(F254&amp;K254&amp;M254,製品マスタ!$M$5:$AM$4999,27,FALSE),"")</f>
        <v>原反ケース再利用</v>
      </c>
      <c r="AB254" s="31"/>
      <c r="AC254" s="184"/>
      <c r="AD254" s="51" t="str">
        <f>IF(F254="","",+F254&amp;K254)</f>
        <v>3SNMLBMNQR66F25</v>
      </c>
      <c r="AE254" s="52">
        <f>+M254*N254*O254/1000</f>
        <v>39600</v>
      </c>
      <c r="AF254" s="41">
        <f>IF(AD254="","",VLOOKUP(AD254,原価マスタ!$A$2:$AJ$1693,13,FALSE))</f>
        <v>98</v>
      </c>
      <c r="AG254" s="45">
        <f>IF(AF254="","",+AE254*AF254/100)</f>
        <v>38808</v>
      </c>
      <c r="AH254" s="28"/>
      <c r="AI254" s="28"/>
      <c r="AJ254" s="28"/>
      <c r="AK254" s="28"/>
      <c r="AL254" s="12"/>
      <c r="AM254" s="12"/>
      <c r="AN254" s="12"/>
      <c r="AO254" s="12"/>
      <c r="AP254" s="12"/>
      <c r="AQ254" s="13"/>
      <c r="AR254" s="14"/>
    </row>
    <row r="255" spans="1:44" s="16" customFormat="1" ht="30.95" hidden="1" customHeight="1" x14ac:dyDescent="0.2">
      <c r="A255" s="35"/>
      <c r="B255" s="36"/>
      <c r="C255" s="43"/>
      <c r="D255" s="29"/>
      <c r="E255" s="29"/>
      <c r="F255" s="255" t="str">
        <f>IF(D255="","",VLOOKUP(D255,契約台帳!$A$3:$K$4986,6,FALSE)&amp;VLOOKUP(D255,契約台帳!$A$3:$K$4986,7,FALSE)&amp;VLOOKUP(D255,契約台帳!$A$3:$K$4986,8,FALSE)&amp;VLOOKUP(D255,契約台帳!$A$3:$K$4986,9,FALSE)&amp;VLOOKUP(D255,契約台帳!$A$3:$K$4986,11,FALSE))</f>
        <v/>
      </c>
      <c r="G255" s="256" t="str">
        <f>IF(D255="","",VLOOKUP(F255,製品マスタ!$G$5:$H$4999,2,FALSE))</f>
        <v/>
      </c>
      <c r="H255" s="256" t="str">
        <f>IF(D255="","",VLOOKUP(F255,製品マスタ!$G$5:$K$4999,5,FALSE))</f>
        <v/>
      </c>
      <c r="I255" s="200" t="str">
        <f>IF(D255="","",VLOOKUP(F255,製品マスタ!$G$5:$L$4999,6,FALSE))</f>
        <v/>
      </c>
      <c r="J255" s="30"/>
      <c r="K255" s="200" t="str">
        <f>IF(D255="","",VLOOKUP(D255,契約台帳!$A$3:$L$4986,12,FALSE))</f>
        <v/>
      </c>
      <c r="L255" s="200" t="str">
        <f>IF(D255="","",INDEX(製品マスタ!$Q$5:$Q$4999,MATCH(F255&amp;K255,製品マスタ!$AO$5:$AO$4999,0)))</f>
        <v/>
      </c>
      <c r="M255" s="37"/>
      <c r="N255" s="37"/>
      <c r="O255" s="45"/>
      <c r="P255" s="54"/>
      <c r="Q255" s="260" t="str">
        <f>IF(D255="","",IF(J255="リード付け",M255,VLOOKUP(D255,契約台帳!$A$3:$N$4986,14,FALSE)))</f>
        <v/>
      </c>
      <c r="R255" s="261" t="str">
        <f>IF(D255="","",IF(J255="リード付け",M255,VLOOKUP(D255,契約台帳!$A$3:$O$4986,15,FALSE)))</f>
        <v/>
      </c>
      <c r="S255" s="261" t="str">
        <f>IF(D255="","",IF(J255="リード付け",N255,VLOOKUP(D255,契約台帳!$A$3:$P$4986,16,FALSE)))</f>
        <v/>
      </c>
      <c r="T255" s="38"/>
      <c r="U255" s="261" t="str">
        <f ca="1">IF(D255="","",IF(OFFSET(D255,-2,0)=D255,"",VLOOKUP(D255,契約台帳!$A$3:$R$4986,18,FALSE)))</f>
        <v/>
      </c>
      <c r="V255" s="256" t="str">
        <f>IF(J255="巻返し",VLOOKUP(F255&amp;K255&amp;M255,製品マスタ!$M$5:$AD$4999,18,FALSE),IF(J255="リード付け","原反コア",IF(J255="スリット",VLOOKUP(F255&amp;K255&amp;Q255,製品マスタ!$N$5:$AD$4999,17,FALSE),"")))</f>
        <v/>
      </c>
      <c r="W255" s="256" t="str">
        <f>IF(J255="巻返し",VLOOKUP(F255&amp;K255&amp;M255,製品マスタ!$M$5:$AE$4999,19,FALSE),IF(J255="リード付け","-",IF(J255="スリット",VLOOKUP(F255&amp;K255&amp;Q255,製品マスタ!$N$5:$AE$4999,18,FALSE),"")))</f>
        <v/>
      </c>
      <c r="X255" s="256" t="str">
        <f>IF(D255="","",VLOOKUP(D255,契約台帳!$A$3:$Q$4986,17,FALSE))</f>
        <v/>
      </c>
      <c r="Y255" s="256" t="str">
        <f>IF(D255="","",VLOOKUP(D255,契約台帳!$A$3:$E$4986,5,FALSE))</f>
        <v/>
      </c>
      <c r="Z255" s="54"/>
      <c r="AA255" s="200" t="str">
        <f>IFERROR(VLOOKUP(F255&amp;K255&amp;M255,製品マスタ!$M$5:$AM$4999,27,FALSE),"")</f>
        <v/>
      </c>
      <c r="AB255" s="31"/>
      <c r="AC255" s="184"/>
      <c r="AD255" s="51"/>
      <c r="AE255" s="52"/>
      <c r="AF255" s="41"/>
      <c r="AG255" s="45"/>
      <c r="AH255" s="28"/>
      <c r="AI255" s="28"/>
      <c r="AJ255" s="28"/>
      <c r="AK255" s="28"/>
      <c r="AL255" s="12"/>
      <c r="AM255" s="12"/>
      <c r="AN255" s="12"/>
      <c r="AO255" s="12"/>
      <c r="AP255" s="12"/>
      <c r="AQ255" s="13"/>
      <c r="AR255" s="14"/>
    </row>
    <row r="256" spans="1:44" s="16" customFormat="1" ht="30.95" hidden="1" customHeight="1" x14ac:dyDescent="0.2">
      <c r="A256" s="35" t="s">
        <v>995</v>
      </c>
      <c r="B256" s="36" t="s">
        <v>996</v>
      </c>
      <c r="C256" s="43"/>
      <c r="D256" s="29">
        <v>3700953</v>
      </c>
      <c r="E256" s="29">
        <v>4151309</v>
      </c>
      <c r="F256" s="255" t="str">
        <f>IF(D256="","",VLOOKUP(D256,契約台帳!$A$3:$K$4986,6,FALSE)&amp;VLOOKUP(D256,契約台帳!$A$3:$K$4986,7,FALSE)&amp;VLOOKUP(D256,契約台帳!$A$3:$K$4986,8,FALSE)&amp;VLOOKUP(D256,契約台帳!$A$3:$K$4986,9,FALSE)&amp;VLOOKUP(D256,契約台帳!$A$3:$K$4986,11,FALSE))</f>
        <v>3SNMLBMNGKBF</v>
      </c>
      <c r="G256" s="256" t="str">
        <f>IF(D256="","",VLOOKUP(F256,製品マスタ!$G$5:$H$4999,2,FALSE))</f>
        <v>S</v>
      </c>
      <c r="H256" s="256" t="str">
        <f>IF(D256="","",VLOOKUP(F256,製品マスタ!$G$5:$K$4999,5,FALSE))</f>
        <v>MNGKBF</v>
      </c>
      <c r="I256" s="200" t="str">
        <f>IF(D256="","",VLOOKUP(F256,製品マスタ!$G$5:$L$4999,6,FALSE))</f>
        <v>メタルミー　ネーマー銀消　Ｂ</v>
      </c>
      <c r="J256" s="30" t="s">
        <v>962</v>
      </c>
      <c r="K256" s="200">
        <f>IF(D256="","",VLOOKUP(D256,契約台帳!$A$3:$L$4986,12,FALSE))</f>
        <v>50</v>
      </c>
      <c r="L256" s="200" t="str">
        <f>IF(D256="","",INDEX(製品マスタ!$Q$5:$Q$4999,MATCH(F256&amp;K256,製品マスタ!$AO$5:$AO$4999,0)))</f>
        <v>MAT</v>
      </c>
      <c r="M256" s="37">
        <v>1050</v>
      </c>
      <c r="N256" s="37">
        <v>12300</v>
      </c>
      <c r="O256" s="45">
        <v>1</v>
      </c>
      <c r="P256" s="54"/>
      <c r="Q256" s="260">
        <f>IF(D256="","",IF(J256="リード付け",M256,VLOOKUP(D256,契約台帳!$A$3:$N$4986,14,FALSE)))</f>
        <v>1050</v>
      </c>
      <c r="R256" s="261">
        <f>IF(D256="","",IF(J256="リード付け",M256,VLOOKUP(D256,契約台帳!$A$3:$O$4986,15,FALSE)))</f>
        <v>1050</v>
      </c>
      <c r="S256" s="261">
        <f>IF(D256="","",IF(J256="リード付け",N256,VLOOKUP(D256,契約台帳!$A$3:$P$4986,16,FALSE)))</f>
        <v>4100</v>
      </c>
      <c r="T256" s="38">
        <v>3</v>
      </c>
      <c r="U256" s="261">
        <f ca="1">IF(D256="","",IF(OFFSET(D256,-2,0)=D256,"",VLOOKUP(D256,契約台帳!$A$3:$R$4986,18,FALSE)))</f>
        <v>3</v>
      </c>
      <c r="V256" s="256" t="str">
        <f>IF(J256="巻返し",VLOOKUP(F256&amp;K256&amp;M256,製品マスタ!$M$5:$AD$4999,18,FALSE),IF(J256="リード付け","原反コア",IF(J256="スリット",VLOOKUP(F256&amp;K256&amp;Q256,製品マスタ!$N$5:$AD$4999,17,FALSE),"")))</f>
        <v>6ｲﾝﾁSｺｱ</v>
      </c>
      <c r="W256" s="256">
        <f>IF(J256="巻返し",VLOOKUP(F256&amp;K256&amp;M256,製品マスタ!$M$5:$AE$4999,19,FALSE),IF(J256="リード付け","-",IF(J256="スリット",VLOOKUP(F256&amp;K256&amp;Q256,製品マスタ!$N$5:$AE$4999,18,FALSE),"")))</f>
        <v>1055</v>
      </c>
      <c r="X256" s="256">
        <f>IF(D256="","",VLOOKUP(D256,契約台帳!$A$3:$Q$4986,17,FALSE))</f>
        <v>2</v>
      </c>
      <c r="Y256" s="256" t="str">
        <f>IF(D256="","",VLOOKUP(D256,契約台帳!$A$3:$E$4986,5,FALSE))</f>
        <v>リンテック㈱</v>
      </c>
      <c r="Z256" s="54">
        <v>45012</v>
      </c>
      <c r="AA256" s="200">
        <f>IFERROR(VLOOKUP(F256&amp;K256&amp;M256,製品マスタ!$M$5:$AM$4999,27,FALSE),"")</f>
        <v>0</v>
      </c>
      <c r="AB256" s="31"/>
      <c r="AC256" s="184"/>
      <c r="AD256" s="51" t="str">
        <f>IF(F256="","",+F256&amp;K256)</f>
        <v>3SNMLBMNGKBF50</v>
      </c>
      <c r="AE256" s="52">
        <f>+M256*N256*O256/1000</f>
        <v>12915</v>
      </c>
      <c r="AF256" s="41">
        <f>IF(AD256="","",VLOOKUP(AD256,原価マスタ!$A$2:$AJ$1693,13,FALSE))</f>
        <v>98</v>
      </c>
      <c r="AG256" s="45">
        <f>IF(AF256="","",+AE256*AF256/100)</f>
        <v>12656.7</v>
      </c>
      <c r="AH256" s="28"/>
      <c r="AI256" s="28"/>
      <c r="AJ256" s="28"/>
      <c r="AK256" s="28"/>
      <c r="AL256" s="12"/>
      <c r="AM256" s="12"/>
      <c r="AN256" s="12"/>
      <c r="AO256" s="12"/>
      <c r="AP256" s="12"/>
      <c r="AQ256" s="13"/>
      <c r="AR256" s="14"/>
    </row>
    <row r="257" spans="1:44" s="16" customFormat="1" ht="30.95" hidden="1" customHeight="1" x14ac:dyDescent="0.2">
      <c r="A257" s="35"/>
      <c r="B257" s="36"/>
      <c r="C257" s="43"/>
      <c r="D257" s="29"/>
      <c r="E257" s="29"/>
      <c r="F257" s="255" t="str">
        <f>IF(D257="","",VLOOKUP(D257,契約台帳!$A$3:$K$4986,6,FALSE)&amp;VLOOKUP(D257,契約台帳!$A$3:$K$4986,7,FALSE)&amp;VLOOKUP(D257,契約台帳!$A$3:$K$4986,8,FALSE)&amp;VLOOKUP(D257,契約台帳!$A$3:$K$4986,9,FALSE)&amp;VLOOKUP(D257,契約台帳!$A$3:$K$4986,11,FALSE))</f>
        <v/>
      </c>
      <c r="G257" s="256" t="str">
        <f>IF(D257="","",VLOOKUP(F257,製品マスタ!$G$5:$H$4999,2,FALSE))</f>
        <v/>
      </c>
      <c r="H257" s="256" t="str">
        <f>IF(D257="","",VLOOKUP(F257,製品マスタ!$G$5:$K$4999,5,FALSE))</f>
        <v/>
      </c>
      <c r="I257" s="200" t="str">
        <f>IF(D257="","",VLOOKUP(F257,製品マスタ!$G$5:$L$4999,6,FALSE))</f>
        <v/>
      </c>
      <c r="J257" s="30"/>
      <c r="K257" s="200" t="str">
        <f>IF(D257="","",VLOOKUP(D257,契約台帳!$A$3:$L$4986,12,FALSE))</f>
        <v/>
      </c>
      <c r="L257" s="200" t="str">
        <f>IF(D257="","",INDEX(製品マスタ!$Q$5:$Q$4999,MATCH(F257&amp;K257,製品マスタ!$AO$5:$AO$4999,0)))</f>
        <v/>
      </c>
      <c r="M257" s="37"/>
      <c r="N257" s="37"/>
      <c r="O257" s="45"/>
      <c r="P257" s="54"/>
      <c r="Q257" s="260" t="str">
        <f>IF(D257="","",IF(J257="リード付け",M257,VLOOKUP(D257,契約台帳!$A$3:$N$4986,14,FALSE)))</f>
        <v/>
      </c>
      <c r="R257" s="261" t="str">
        <f>IF(D257="","",IF(J257="リード付け",M257,VLOOKUP(D257,契約台帳!$A$3:$O$4986,15,FALSE)))</f>
        <v/>
      </c>
      <c r="S257" s="261" t="str">
        <f>IF(D257="","",IF(J257="リード付け",N257,VLOOKUP(D257,契約台帳!$A$3:$P$4986,16,FALSE)))</f>
        <v/>
      </c>
      <c r="T257" s="38"/>
      <c r="U257" s="261" t="str">
        <f ca="1">IF(D257="","",IF(OFFSET(D257,-2,0)=D257,"",VLOOKUP(D257,契約台帳!$A$3:$R$4986,18,FALSE)))</f>
        <v/>
      </c>
      <c r="V257" s="256" t="str">
        <f>IF(J257="巻返し",VLOOKUP(F257&amp;K257&amp;M257,製品マスタ!$M$5:$AD$4999,18,FALSE),IF(J257="リード付け","原反コア",IF(J257="スリット",VLOOKUP(F257&amp;K257&amp;Q257,製品マスタ!$N$5:$AD$4999,17,FALSE),"")))</f>
        <v/>
      </c>
      <c r="W257" s="256" t="str">
        <f>IF(J257="巻返し",VLOOKUP(F257&amp;K257&amp;M257,製品マスタ!$M$5:$AE$4999,19,FALSE),IF(J257="リード付け","-",IF(J257="スリット",VLOOKUP(F257&amp;K257&amp;Q257,製品マスタ!$N$5:$AE$4999,18,FALSE),"")))</f>
        <v/>
      </c>
      <c r="X257" s="256" t="str">
        <f>IF(D257="","",VLOOKUP(D257,契約台帳!$A$3:$Q$4986,17,FALSE))</f>
        <v/>
      </c>
      <c r="Y257" s="256" t="str">
        <f>IF(D257="","",VLOOKUP(D257,契約台帳!$A$3:$E$4986,5,FALSE))</f>
        <v/>
      </c>
      <c r="Z257" s="54"/>
      <c r="AA257" s="200" t="str">
        <f>IFERROR(VLOOKUP(F257&amp;K257&amp;M257,製品マスタ!$M$5:$AM$4999,27,FALSE),"")</f>
        <v/>
      </c>
      <c r="AB257" s="31"/>
      <c r="AC257" s="184"/>
      <c r="AD257" s="51"/>
      <c r="AE257" s="52"/>
      <c r="AF257" s="41"/>
      <c r="AG257" s="45"/>
      <c r="AH257" s="28"/>
      <c r="AI257" s="28"/>
      <c r="AJ257" s="28"/>
      <c r="AK257" s="28"/>
      <c r="AL257" s="12"/>
      <c r="AM257" s="12"/>
      <c r="AN257" s="12"/>
      <c r="AO257" s="12"/>
      <c r="AP257" s="12"/>
      <c r="AQ257" s="13"/>
      <c r="AR257" s="14"/>
    </row>
    <row r="258" spans="1:44" s="16" customFormat="1" ht="30.95" hidden="1" customHeight="1" x14ac:dyDescent="0.2">
      <c r="A258" s="35"/>
      <c r="B258" s="36"/>
      <c r="C258" s="43"/>
      <c r="D258" s="29">
        <v>3700955</v>
      </c>
      <c r="E258" s="29">
        <v>4151327</v>
      </c>
      <c r="F258" s="255" t="str">
        <f>IF(D258="","",VLOOKUP(D258,契約台帳!$A$3:$K$4986,6,FALSE)&amp;VLOOKUP(D258,契約台帳!$A$3:$K$4986,7,FALSE)&amp;VLOOKUP(D258,契約台帳!$A$3:$K$4986,8,FALSE)&amp;VLOOKUP(D258,契約台帳!$A$3:$K$4986,9,FALSE)&amp;VLOOKUP(D258,契約台帳!$A$3:$K$4986,11,FALSE))</f>
        <v>3SNMLBMNGTBF</v>
      </c>
      <c r="G258" s="256" t="str">
        <f>IF(D258="","",VLOOKUP(F258,製品マスタ!$G$5:$H$4999,2,FALSE))</f>
        <v>S</v>
      </c>
      <c r="H258" s="256" t="str">
        <f>IF(D258="","",VLOOKUP(F258,製品マスタ!$G$5:$K$4999,5,FALSE))</f>
        <v>MNGTBF</v>
      </c>
      <c r="I258" s="200" t="str">
        <f>IF(D258="","",VLOOKUP(F258,製品マスタ!$G$5:$L$4999,6,FALSE))</f>
        <v>メタルミー　ネーマー　銀艶　Ｂ</v>
      </c>
      <c r="J258" s="30" t="s">
        <v>447</v>
      </c>
      <c r="K258" s="200">
        <f>IF(D258="","",VLOOKUP(D258,契約台帳!$A$3:$L$4986,12,FALSE))</f>
        <v>25</v>
      </c>
      <c r="L258" s="200" t="str">
        <f>IF(D258="","",INDEX(製品マスタ!$Q$5:$Q$4999,MATCH(F258&amp;K258,製品マスタ!$AO$5:$AO$4999,0)))</f>
        <v>T62M</v>
      </c>
      <c r="M258" s="37">
        <v>1005</v>
      </c>
      <c r="N258" s="37">
        <v>12100</v>
      </c>
      <c r="O258" s="45">
        <v>1</v>
      </c>
      <c r="P258" s="54"/>
      <c r="Q258" s="260">
        <f>IF(D258="","",IF(J258="リード付け",M258,VLOOKUP(D258,契約台帳!$A$3:$N$4986,14,FALSE)))</f>
        <v>1005</v>
      </c>
      <c r="R258" s="261">
        <f>IF(D258="","",IF(J258="リード付け",M258,VLOOKUP(D258,契約台帳!$A$3:$O$4986,15,FALSE)))</f>
        <v>1000</v>
      </c>
      <c r="S258" s="261">
        <f>IF(D258="","",IF(J258="リード付け",N258,VLOOKUP(D258,契約台帳!$A$3:$P$4986,16,FALSE)))</f>
        <v>4000</v>
      </c>
      <c r="T258" s="38">
        <v>3</v>
      </c>
      <c r="U258" s="261">
        <f ca="1">IF(D258="","",IF(OFFSET(D258,-2,0)=D258,"",VLOOKUP(D258,契約台帳!$A$3:$R$4986,18,FALSE)))</f>
        <v>15</v>
      </c>
      <c r="V258" s="256" t="str">
        <f>IF(J258="巻返し",VLOOKUP(F258&amp;K258&amp;M258,製品マスタ!$M$5:$AD$4999,18,FALSE),IF(J258="リード付け","原反コア",IF(J258="スリット",VLOOKUP(F258&amp;K258&amp;Q258,製品マスタ!$N$5:$AD$4999,17,FALSE),"")))</f>
        <v>6ｲﾝﾁSｺｱ</v>
      </c>
      <c r="W258" s="256">
        <f>IF(J258="巻返し",VLOOKUP(F258&amp;K258&amp;M258,製品マスタ!$M$5:$AE$4999,19,FALSE),IF(J258="リード付け","-",IF(J258="スリット",VLOOKUP(F258&amp;K258&amp;Q258,製品マスタ!$N$5:$AE$4999,18,FALSE),"")))</f>
        <v>1015</v>
      </c>
      <c r="X258" s="256">
        <f>IF(D258="","",VLOOKUP(D258,契約台帳!$A$3:$Q$4986,17,FALSE))</f>
        <v>2</v>
      </c>
      <c r="Y258" s="256" t="str">
        <f>IF(D258="","",VLOOKUP(D258,契約台帳!$A$3:$E$4986,5,FALSE))</f>
        <v>リンテック㈱</v>
      </c>
      <c r="Z258" s="54">
        <v>45005</v>
      </c>
      <c r="AA258" s="200">
        <f>IFERROR(VLOOKUP(F258&amp;K258&amp;M258,製品マスタ!$M$5:$AM$4999,27,FALSE),"")</f>
        <v>0</v>
      </c>
      <c r="AB258" s="31"/>
      <c r="AC258" s="184"/>
      <c r="AD258" s="51" t="str">
        <f>IF(F258="","",+F258&amp;K258)</f>
        <v>3SNMLBMNGTBF25</v>
      </c>
      <c r="AE258" s="52">
        <f>+M258*N258*O258/1000</f>
        <v>12160.5</v>
      </c>
      <c r="AF258" s="41">
        <f>IF(AD258="","",VLOOKUP(AD258,原価マスタ!$A$2:$AJ$1693,13,FALSE))</f>
        <v>97.5</v>
      </c>
      <c r="AG258" s="45">
        <f>IF(AF258="","",+AE258*AF258/100)</f>
        <v>11856.487499999999</v>
      </c>
      <c r="AH258" s="28"/>
      <c r="AI258" s="28"/>
      <c r="AJ258" s="28"/>
      <c r="AK258" s="28"/>
      <c r="AL258" s="12"/>
      <c r="AM258" s="12"/>
      <c r="AN258" s="12"/>
      <c r="AO258" s="12"/>
      <c r="AP258" s="12"/>
      <c r="AQ258" s="13"/>
      <c r="AR258" s="14"/>
    </row>
    <row r="259" spans="1:44" s="16" customFormat="1" ht="30.95" hidden="1" customHeight="1" x14ac:dyDescent="0.2">
      <c r="A259" s="35"/>
      <c r="B259" s="36"/>
      <c r="C259" s="43"/>
      <c r="D259" s="29"/>
      <c r="E259" s="29"/>
      <c r="F259" s="255"/>
      <c r="G259" s="256"/>
      <c r="H259" s="256"/>
      <c r="I259" s="200"/>
      <c r="J259" s="30"/>
      <c r="K259" s="200"/>
      <c r="L259" s="200"/>
      <c r="M259" s="37"/>
      <c r="N259" s="37"/>
      <c r="O259" s="45"/>
      <c r="P259" s="54"/>
      <c r="Q259" s="260"/>
      <c r="R259" s="261"/>
      <c r="S259" s="261"/>
      <c r="T259" s="38"/>
      <c r="U259" s="261"/>
      <c r="V259" s="256"/>
      <c r="W259" s="256"/>
      <c r="X259" s="256"/>
      <c r="Y259" s="256"/>
      <c r="Z259" s="54"/>
      <c r="AA259" s="200"/>
      <c r="AB259" s="31"/>
      <c r="AC259" s="184"/>
      <c r="AD259" s="51"/>
      <c r="AE259" s="52"/>
      <c r="AF259" s="41"/>
      <c r="AG259" s="45"/>
      <c r="AH259" s="28"/>
      <c r="AI259" s="28"/>
      <c r="AJ259" s="28"/>
      <c r="AK259" s="28"/>
      <c r="AL259" s="12"/>
      <c r="AM259" s="12"/>
      <c r="AN259" s="12"/>
      <c r="AO259" s="12"/>
      <c r="AP259" s="12"/>
      <c r="AQ259" s="13"/>
      <c r="AR259" s="14"/>
    </row>
    <row r="260" spans="1:44" s="16" customFormat="1" ht="30.95" hidden="1" customHeight="1" x14ac:dyDescent="0.2">
      <c r="A260" s="35"/>
      <c r="B260" s="36"/>
      <c r="C260" s="43"/>
      <c r="D260" s="29">
        <v>3700951</v>
      </c>
      <c r="E260" s="29">
        <v>4151311</v>
      </c>
      <c r="F260" s="255" t="str">
        <f>IF(D260="","",VLOOKUP(D260,契約台帳!$A$3:$K$4986,6,FALSE)&amp;VLOOKUP(D260,契約台帳!$A$3:$K$4986,7,FALSE)&amp;VLOOKUP(D260,契約台帳!$A$3:$K$4986,8,FALSE)&amp;VLOOKUP(D260,契約台帳!$A$3:$K$4986,9,FALSE)&amp;VLOOKUP(D260,契約台帳!$A$3:$K$4986,11,FALSE))</f>
        <v>3SNMLBMNGKKBF</v>
      </c>
      <c r="G260" s="256" t="str">
        <f>IF(D260="","",VLOOKUP(F260,製品マスタ!$G$5:$H$4999,2,FALSE))</f>
        <v>S</v>
      </c>
      <c r="H260" s="256" t="str">
        <f>IF(D260="","",VLOOKUP(F260,製品マスタ!$G$5:$K$4999,5,FALSE))</f>
        <v>MNGKKBF</v>
      </c>
      <c r="I260" s="200" t="str">
        <f>IF(D260="","",VLOOKUP(F260,製品マスタ!$G$5:$L$4999,6,FALSE))</f>
        <v>メタルミー　ネーマー銀消改　Ｂ</v>
      </c>
      <c r="J260" s="30" t="s">
        <v>962</v>
      </c>
      <c r="K260" s="200">
        <f>IF(D260="","",VLOOKUP(D260,契約台帳!$A$3:$L$4986,12,FALSE))</f>
        <v>50</v>
      </c>
      <c r="L260" s="200" t="str">
        <f>IF(D260="","",INDEX(製品マスタ!$Q$5:$Q$4999,MATCH(F260&amp;K260,製品マスタ!$AO$5:$AO$4999,0)))</f>
        <v>S99-MAT</v>
      </c>
      <c r="M260" s="37">
        <v>1000</v>
      </c>
      <c r="N260" s="37">
        <v>8000</v>
      </c>
      <c r="O260" s="45">
        <v>1</v>
      </c>
      <c r="P260" s="54"/>
      <c r="Q260" s="260">
        <f>IF(D260="","",IF(J260="リード付け",M260,VLOOKUP(D260,契約台帳!$A$3:$N$4986,14,FALSE)))</f>
        <v>1000</v>
      </c>
      <c r="R260" s="261">
        <f>IF(D260="","",IF(J260="リード付け",M260,VLOOKUP(D260,契約台帳!$A$3:$O$4986,15,FALSE)))</f>
        <v>1000</v>
      </c>
      <c r="S260" s="261">
        <f>IF(D260="","",IF(J260="リード付け",N260,VLOOKUP(D260,契約台帳!$A$3:$P$4986,16,FALSE)))</f>
        <v>4000</v>
      </c>
      <c r="T260" s="38">
        <v>2</v>
      </c>
      <c r="U260" s="261">
        <f ca="1">IF(D260="","",IF(OFFSET(D260,-2,0)=D260,"",VLOOKUP(D260,契約台帳!$A$3:$R$4986,18,FALSE)))</f>
        <v>2</v>
      </c>
      <c r="V260" s="256" t="str">
        <f>IF(J260="巻返し",VLOOKUP(F260&amp;K260&amp;M260,製品マスタ!$M$5:$AD$4999,18,FALSE),IF(J260="リード付け","原反コア",IF(J260="スリット",VLOOKUP(F260&amp;K260&amp;Q260,製品マスタ!$N$5:$AD$4999,17,FALSE),"")))</f>
        <v>6ｲﾝﾁSｺｱ</v>
      </c>
      <c r="W260" s="256">
        <f>IF(J260="巻返し",VLOOKUP(F260&amp;K260&amp;M260,製品マスタ!$M$5:$AE$4999,19,FALSE),IF(J260="リード付け","-",IF(J260="スリット",VLOOKUP(F260&amp;K260&amp;Q260,製品マスタ!$N$5:$AE$4999,18,FALSE),"")))</f>
        <v>1005</v>
      </c>
      <c r="X260" s="256">
        <f>IF(D260="","",VLOOKUP(D260,契約台帳!$A$3:$Q$4986,17,FALSE))</f>
        <v>2</v>
      </c>
      <c r="Y260" s="256" t="str">
        <f>IF(D260="","",VLOOKUP(D260,契約台帳!$A$3:$E$4986,5,FALSE))</f>
        <v>リンテック㈱</v>
      </c>
      <c r="Z260" s="54">
        <v>45012</v>
      </c>
      <c r="AA260" s="200">
        <f>IFERROR(VLOOKUP(F260&amp;K260&amp;M260,製品マスタ!$M$5:$AM$4999,27,FALSE),"")</f>
        <v>0</v>
      </c>
      <c r="AB260" s="31"/>
      <c r="AC260" s="184"/>
      <c r="AD260" s="51" t="str">
        <f>IF(F260="","",+F260&amp;K260)</f>
        <v>3SNMLBMNGKKBF50</v>
      </c>
      <c r="AE260" s="52">
        <f>+M260*N260*O260/1000</f>
        <v>8000</v>
      </c>
      <c r="AF260" s="41">
        <f>IF(AD260="","",VLOOKUP(AD260,原価マスタ!$A$2:$AJ$1693,13,FALSE))</f>
        <v>99</v>
      </c>
      <c r="AG260" s="45">
        <f>IF(AF260="","",+AE260*AF260/100)</f>
        <v>7920</v>
      </c>
      <c r="AH260" s="28"/>
      <c r="AI260" s="28"/>
      <c r="AJ260" s="28"/>
      <c r="AK260" s="28"/>
      <c r="AL260" s="12"/>
      <c r="AM260" s="12"/>
      <c r="AN260" s="12"/>
      <c r="AO260" s="12"/>
      <c r="AP260" s="12"/>
      <c r="AQ260" s="13"/>
      <c r="AR260" s="14"/>
    </row>
    <row r="261" spans="1:44" s="16" customFormat="1" ht="30.95" hidden="1" customHeight="1" x14ac:dyDescent="0.2">
      <c r="A261" s="35"/>
      <c r="B261" s="36"/>
      <c r="C261" s="43"/>
      <c r="D261" s="29"/>
      <c r="E261" s="29"/>
      <c r="F261" s="255" t="str">
        <f>IF(D261="","",VLOOKUP(D261,契約台帳!$A$3:$K$4986,6,FALSE)&amp;VLOOKUP(D261,契約台帳!$A$3:$K$4986,7,FALSE)&amp;VLOOKUP(D261,契約台帳!$A$3:$K$4986,8,FALSE)&amp;VLOOKUP(D261,契約台帳!$A$3:$K$4986,9,FALSE)&amp;VLOOKUP(D261,契約台帳!$A$3:$K$4986,11,FALSE))</f>
        <v/>
      </c>
      <c r="G261" s="256" t="str">
        <f>IF(D261="","",VLOOKUP(F261,製品マスタ!$G$5:$H$4999,2,FALSE))</f>
        <v/>
      </c>
      <c r="H261" s="256" t="str">
        <f>IF(D261="","",VLOOKUP(F261,製品マスタ!$G$5:$K$4999,5,FALSE))</f>
        <v/>
      </c>
      <c r="I261" s="200" t="str">
        <f>IF(D261="","",VLOOKUP(F261,製品マスタ!$G$5:$L$4999,6,FALSE))</f>
        <v/>
      </c>
      <c r="J261" s="30"/>
      <c r="K261" s="200" t="str">
        <f>IF(D261="","",VLOOKUP(D261,契約台帳!$A$3:$L$4986,12,FALSE))</f>
        <v/>
      </c>
      <c r="L261" s="200" t="str">
        <f>IF(D261="","",INDEX(製品マスタ!$Q$5:$Q$4999,MATCH(F261&amp;K261,製品マスタ!$AO$5:$AO$4999,0)))</f>
        <v/>
      </c>
      <c r="M261" s="37"/>
      <c r="N261" s="37"/>
      <c r="O261" s="45"/>
      <c r="P261" s="54"/>
      <c r="Q261" s="260" t="str">
        <f>IF(D261="","",IF(J261="リード付け",M261,VLOOKUP(D261,契約台帳!$A$3:$N$4986,14,FALSE)))</f>
        <v/>
      </c>
      <c r="R261" s="261" t="str">
        <f>IF(D261="","",IF(J261="リード付け",M261,VLOOKUP(D261,契約台帳!$A$3:$O$4986,15,FALSE)))</f>
        <v/>
      </c>
      <c r="S261" s="261" t="str">
        <f>IF(D261="","",IF(J261="リード付け",N261,VLOOKUP(D261,契約台帳!$A$3:$P$4986,16,FALSE)))</f>
        <v/>
      </c>
      <c r="T261" s="38"/>
      <c r="U261" s="261" t="str">
        <f ca="1">IF(D261="","",IF(OFFSET(D261,-2,0)=D261,"",VLOOKUP(D261,契約台帳!$A$3:$R$4986,18,FALSE)))</f>
        <v/>
      </c>
      <c r="V261" s="256" t="str">
        <f>IF(J261="巻返し",VLOOKUP(F261&amp;K261&amp;M261,製品マスタ!$M$5:$AD$4999,18,FALSE),IF(J261="リード付け","原反コア",IF(J261="スリット",VLOOKUP(F261&amp;K261&amp;Q261,製品マスタ!$N$5:$AD$4999,17,FALSE),"")))</f>
        <v/>
      </c>
      <c r="W261" s="256" t="str">
        <f>IF(J261="巻返し",VLOOKUP(F261&amp;K261&amp;M261,製品マスタ!$M$5:$AE$4999,19,FALSE),IF(J261="リード付け","-",IF(J261="スリット",VLOOKUP(F261&amp;K261&amp;Q261,製品マスタ!$N$5:$AE$4999,18,FALSE),"")))</f>
        <v/>
      </c>
      <c r="X261" s="256" t="str">
        <f>IF(D261="","",VLOOKUP(D261,契約台帳!$A$3:$Q$4986,17,FALSE))</f>
        <v/>
      </c>
      <c r="Y261" s="256" t="str">
        <f>IF(D261="","",VLOOKUP(D261,契約台帳!$A$3:$E$4986,5,FALSE))</f>
        <v/>
      </c>
      <c r="Z261" s="54"/>
      <c r="AA261" s="200" t="str">
        <f>IFERROR(VLOOKUP(F261&amp;K261&amp;M261,製品マスタ!$M$5:$AM$4999,27,FALSE),"")</f>
        <v/>
      </c>
      <c r="AB261" s="31"/>
      <c r="AC261" s="184"/>
      <c r="AD261" s="51"/>
      <c r="AE261" s="52"/>
      <c r="AF261" s="41"/>
      <c r="AG261" s="45"/>
      <c r="AH261" s="28"/>
      <c r="AI261" s="28"/>
      <c r="AJ261" s="28"/>
      <c r="AK261" s="28"/>
      <c r="AL261" s="12"/>
      <c r="AM261" s="12"/>
      <c r="AN261" s="12"/>
      <c r="AO261" s="12"/>
      <c r="AP261" s="12"/>
      <c r="AQ261" s="13"/>
      <c r="AR261" s="14"/>
    </row>
    <row r="262" spans="1:44" s="16" customFormat="1" ht="30.95" hidden="1" customHeight="1" x14ac:dyDescent="0.2">
      <c r="A262" s="35" t="s">
        <v>971</v>
      </c>
      <c r="B262" s="36" t="s">
        <v>443</v>
      </c>
      <c r="C262" s="43"/>
      <c r="D262" s="29">
        <v>3700960</v>
      </c>
      <c r="E262" s="29">
        <v>4151318</v>
      </c>
      <c r="F262" s="255" t="str">
        <f>IF(D262="","",VLOOKUP(D262,契約台帳!$A$3:$K$4986,6,FALSE)&amp;VLOOKUP(D262,契約台帳!$A$3:$K$4986,7,FALSE)&amp;VLOOKUP(D262,契約台帳!$A$3:$K$4986,8,FALSE)&amp;VLOOKUP(D262,契約台帳!$A$3:$K$4986,9,FALSE)&amp;VLOOKUP(D262,契約台帳!$A$3:$K$4986,11,FALSE))</f>
        <v>3SNMLBMNNGKBF</v>
      </c>
      <c r="G262" s="256" t="str">
        <f>IF(D262="","",VLOOKUP(F262,製品マスタ!$G$5:$H$4999,2,FALSE))</f>
        <v>S</v>
      </c>
      <c r="H262" s="256" t="str">
        <f>IF(D262="","",VLOOKUP(F262,製品マスタ!$G$5:$K$4999,5,FALSE))</f>
        <v>MNNGKBF</v>
      </c>
      <c r="I262" s="200" t="str">
        <f>IF(D262="","",VLOOKUP(F262,製品マスタ!$G$5:$L$4999,6,FALSE))</f>
        <v>メタルミー　ニューネーマー銀消　Ｂ</v>
      </c>
      <c r="J262" s="30" t="s">
        <v>962</v>
      </c>
      <c r="K262" s="200">
        <f>IF(D262="","",VLOOKUP(D262,契約台帳!$A$3:$L$4986,12,FALSE))</f>
        <v>50</v>
      </c>
      <c r="L262" s="200" t="str">
        <f>IF(D262="","",INDEX(製品マスタ!$Q$5:$Q$4999,MATCH(F262&amp;K262,製品マスタ!$AO$5:$AO$4999,0)))</f>
        <v>X44</v>
      </c>
      <c r="M262" s="37">
        <v>1000</v>
      </c>
      <c r="N262" s="37">
        <v>12000</v>
      </c>
      <c r="O262" s="45">
        <v>5</v>
      </c>
      <c r="P262" s="54"/>
      <c r="Q262" s="260">
        <f>IF(D262="","",IF(J262="リード付け",M262,VLOOKUP(D262,契約台帳!$A$3:$N$4986,14,FALSE)))</f>
        <v>1000</v>
      </c>
      <c r="R262" s="261">
        <f>IF(D262="","",IF(J262="リード付け",M262,VLOOKUP(D262,契約台帳!$A$3:$O$4986,15,FALSE)))</f>
        <v>1000</v>
      </c>
      <c r="S262" s="261">
        <f>IF(D262="","",IF(J262="リード付け",N262,VLOOKUP(D262,契約台帳!$A$3:$P$4986,16,FALSE)))</f>
        <v>4000</v>
      </c>
      <c r="T262" s="38">
        <v>15</v>
      </c>
      <c r="U262" s="261">
        <f ca="1">IF(D262="","",IF(OFFSET(D262,-2,0)=D262,"",VLOOKUP(D262,契約台帳!$A$3:$R$4986,18,FALSE)))</f>
        <v>15</v>
      </c>
      <c r="V262" s="256" t="str">
        <f>IF(J262="巻返し",VLOOKUP(F262&amp;K262&amp;M262,製品マスタ!$M$5:$AD$4999,18,FALSE),IF(J262="リード付け","原反コア",IF(J262="スリット",VLOOKUP(F262&amp;K262&amp;Q262,製品マスタ!$N$5:$AD$4999,17,FALSE),"")))</f>
        <v>6ｲﾝﾁSｺｱ</v>
      </c>
      <c r="W262" s="256">
        <f>IF(J262="巻返し",VLOOKUP(F262&amp;K262&amp;M262,製品マスタ!$M$5:$AE$4999,19,FALSE),IF(J262="リード付け","-",IF(J262="スリット",VLOOKUP(F262&amp;K262&amp;Q262,製品マスタ!$N$5:$AE$4999,18,FALSE),"")))</f>
        <v>1005</v>
      </c>
      <c r="X262" s="256">
        <f>IF(D262="","",VLOOKUP(D262,契約台帳!$A$3:$Q$4986,17,FALSE))</f>
        <v>2</v>
      </c>
      <c r="Y262" s="256" t="str">
        <f>IF(D262="","",VLOOKUP(D262,契約台帳!$A$3:$E$4986,5,FALSE))</f>
        <v>リンテック㈱</v>
      </c>
      <c r="Z262" s="54">
        <v>45012</v>
      </c>
      <c r="AA262" s="200" t="str">
        <f>IFERROR(VLOOKUP(F262&amp;K262&amp;M262,製品マスタ!$M$5:$AM$4999,27,FALSE),"")</f>
        <v>原反ケース再利用</v>
      </c>
      <c r="AB262" s="31"/>
      <c r="AC262" s="184"/>
      <c r="AD262" s="51" t="str">
        <f>IF(F262="","",+F262&amp;K262)</f>
        <v>3SNMLBMNNGKBF50</v>
      </c>
      <c r="AE262" s="52">
        <f>+M262*N262*O262/1000</f>
        <v>60000</v>
      </c>
      <c r="AF262" s="41">
        <f>IF(AD262="","",VLOOKUP(AD262,原価マスタ!$A$2:$AJ$1693,13,FALSE))</f>
        <v>99</v>
      </c>
      <c r="AG262" s="45">
        <f>IF(AF262="","",+AE262*AF262/100)</f>
        <v>59400</v>
      </c>
      <c r="AH262" s="28"/>
      <c r="AI262" s="28"/>
      <c r="AJ262" s="28"/>
      <c r="AK262" s="28"/>
      <c r="AL262" s="12"/>
      <c r="AM262" s="12"/>
      <c r="AN262" s="12"/>
      <c r="AO262" s="12"/>
      <c r="AP262" s="12"/>
      <c r="AQ262" s="13"/>
      <c r="AR262" s="14"/>
    </row>
    <row r="263" spans="1:44" s="16" customFormat="1" ht="30.95" hidden="1" customHeight="1" x14ac:dyDescent="0.2">
      <c r="A263" s="35"/>
      <c r="B263" s="36"/>
      <c r="C263" s="43"/>
      <c r="D263" s="29"/>
      <c r="E263" s="29"/>
      <c r="F263" s="255" t="str">
        <f>IF(D263="","",VLOOKUP(D263,契約台帳!$A$3:$K$4986,6,FALSE)&amp;VLOOKUP(D263,契約台帳!$A$3:$K$4986,7,FALSE)&amp;VLOOKUP(D263,契約台帳!$A$3:$K$4986,8,FALSE)&amp;VLOOKUP(D263,契約台帳!$A$3:$K$4986,9,FALSE)&amp;VLOOKUP(D263,契約台帳!$A$3:$K$4986,11,FALSE))</f>
        <v/>
      </c>
      <c r="G263" s="256" t="str">
        <f>IF(D263="","",VLOOKUP(F263,製品マスタ!$G$5:$H$4999,2,FALSE))</f>
        <v/>
      </c>
      <c r="H263" s="256" t="str">
        <f>IF(D263="","",VLOOKUP(F263,製品マスタ!$G$5:$K$4999,5,FALSE))</f>
        <v/>
      </c>
      <c r="I263" s="200" t="str">
        <f>IF(D263="","",VLOOKUP(F263,製品マスタ!$G$5:$L$4999,6,FALSE))</f>
        <v/>
      </c>
      <c r="J263" s="30"/>
      <c r="K263" s="200" t="str">
        <f>IF(D263="","",VLOOKUP(D263,契約台帳!$A$3:$L$4986,12,FALSE))</f>
        <v/>
      </c>
      <c r="L263" s="200" t="str">
        <f>IF(D263="","",INDEX(製品マスタ!$Q$5:$Q$4999,MATCH(F263&amp;K263,製品マスタ!$AO$5:$AO$4999,0)))</f>
        <v/>
      </c>
      <c r="M263" s="37"/>
      <c r="N263" s="37"/>
      <c r="O263" s="45"/>
      <c r="P263" s="54"/>
      <c r="Q263" s="260" t="str">
        <f>IF(D263="","",IF(J263="リード付け",M263,VLOOKUP(D263,契約台帳!$A$3:$N$4986,14,FALSE)))</f>
        <v/>
      </c>
      <c r="R263" s="261" t="str">
        <f>IF(D263="","",IF(J263="リード付け",M263,VLOOKUP(D263,契約台帳!$A$3:$O$4986,15,FALSE)))</f>
        <v/>
      </c>
      <c r="S263" s="261" t="str">
        <f>IF(D263="","",IF(J263="リード付け",N263,VLOOKUP(D263,契約台帳!$A$3:$P$4986,16,FALSE)))</f>
        <v/>
      </c>
      <c r="T263" s="38"/>
      <c r="U263" s="261" t="str">
        <f ca="1">IF(D263="","",IF(OFFSET(D263,-2,0)=D263,"",VLOOKUP(D263,契約台帳!$A$3:$R$4986,18,FALSE)))</f>
        <v/>
      </c>
      <c r="V263" s="256" t="str">
        <f>IF(J263="巻返し",VLOOKUP(F263&amp;K263&amp;M263,製品マスタ!$M$5:$AD$4999,18,FALSE),IF(J263="リード付け","原反コア",IF(J263="スリット",VLOOKUP(F263&amp;K263&amp;Q263,製品マスタ!$N$5:$AD$4999,17,FALSE),"")))</f>
        <v/>
      </c>
      <c r="W263" s="256" t="str">
        <f>IF(J263="巻返し",VLOOKUP(F263&amp;K263&amp;M263,製品マスタ!$M$5:$AE$4999,19,FALSE),IF(J263="リード付け","-",IF(J263="スリット",VLOOKUP(F263&amp;K263&amp;Q263,製品マスタ!$N$5:$AE$4999,18,FALSE),"")))</f>
        <v/>
      </c>
      <c r="X263" s="256" t="str">
        <f>IF(D263="","",VLOOKUP(D263,契約台帳!$A$3:$Q$4986,17,FALSE))</f>
        <v/>
      </c>
      <c r="Y263" s="256" t="str">
        <f>IF(D263="","",VLOOKUP(D263,契約台帳!$A$3:$E$4986,5,FALSE))</f>
        <v/>
      </c>
      <c r="Z263" s="54"/>
      <c r="AA263" s="200" t="str">
        <f>IFERROR(VLOOKUP(F263&amp;K263&amp;M263,製品マスタ!$M$5:$AM$4999,27,FALSE),"")</f>
        <v/>
      </c>
      <c r="AB263" s="31"/>
      <c r="AC263" s="184"/>
      <c r="AD263" s="51"/>
      <c r="AE263" s="52"/>
      <c r="AF263" s="41"/>
      <c r="AG263" s="45"/>
      <c r="AH263" s="28"/>
      <c r="AI263" s="28"/>
      <c r="AJ263" s="28"/>
      <c r="AK263" s="28"/>
      <c r="AL263" s="12"/>
      <c r="AM263" s="12"/>
      <c r="AN263" s="12"/>
      <c r="AO263" s="12"/>
      <c r="AP263" s="12"/>
      <c r="AQ263" s="13"/>
      <c r="AR263" s="14"/>
    </row>
    <row r="264" spans="1:44" s="16" customFormat="1" ht="30.95" hidden="1" customHeight="1" x14ac:dyDescent="0.2">
      <c r="A264" s="35"/>
      <c r="B264" s="36"/>
      <c r="C264" s="43"/>
      <c r="D264" s="29">
        <v>3702343</v>
      </c>
      <c r="E264" s="29">
        <v>4151330</v>
      </c>
      <c r="F264" s="255" t="str">
        <f>IF(D264="","",VLOOKUP(D264,契約台帳!$A$3:$K$4986,6,FALSE)&amp;VLOOKUP(D264,契約台帳!$A$3:$K$4986,7,FALSE)&amp;VLOOKUP(D264,契約台帳!$A$3:$K$4986,8,FALSE)&amp;VLOOKUP(D264,契約台帳!$A$3:$K$4986,9,FALSE)&amp;VLOOKUP(D264,契約台帳!$A$3:$K$4986,11,FALSE))</f>
        <v>3UNMLBKF9BF</v>
      </c>
      <c r="G264" s="256" t="str">
        <f>IF(D264="","",VLOOKUP(F264,製品マスタ!$G$5:$H$4999,2,FALSE))</f>
        <v>U</v>
      </c>
      <c r="H264" s="256" t="str">
        <f>IF(D264="","",VLOOKUP(F264,製品マスタ!$G$5:$K$4999,5,FALSE))</f>
        <v>KF9BF</v>
      </c>
      <c r="I264" s="200" t="str">
        <f>IF(D264="","",VLOOKUP(F264,製品マスタ!$G$5:$L$4999,6,FALSE))</f>
        <v>ＫＦ－９Ｂ</v>
      </c>
      <c r="J264" s="30" t="s">
        <v>970</v>
      </c>
      <c r="K264" s="200">
        <f>IF(D264="","",VLOOKUP(D264,契約台帳!$A$3:$L$4986,12,FALSE))</f>
        <v>9</v>
      </c>
      <c r="L264" s="200" t="str">
        <f>IF(D264="","",INDEX(製品マスタ!$Q$5:$Q$4999,MATCH(F264&amp;K264,製品マスタ!$AO$5:$AO$4999,0)))</f>
        <v>F53</v>
      </c>
      <c r="M264" s="37">
        <v>1400</v>
      </c>
      <c r="N264" s="37">
        <v>12000</v>
      </c>
      <c r="O264" s="45">
        <v>1</v>
      </c>
      <c r="P264" s="54"/>
      <c r="Q264" s="260">
        <f>IF(D264="","",IF(J264="リード付け",M264,VLOOKUP(D264,契約台帳!$A$3:$N$4986,14,FALSE)))</f>
        <v>1200</v>
      </c>
      <c r="R264" s="261">
        <f>IF(D264="","",IF(J264="リード付け",M264,VLOOKUP(D264,契約台帳!$A$3:$O$4986,15,FALSE)))</f>
        <v>1200</v>
      </c>
      <c r="S264" s="261">
        <f>IF(D264="","",IF(J264="リード付け",N264,VLOOKUP(D264,契約台帳!$A$3:$P$4986,16,FALSE)))</f>
        <v>2000</v>
      </c>
      <c r="T264" s="38">
        <v>6</v>
      </c>
      <c r="U264" s="261">
        <f ca="1">IF(D264="","",IF(OFFSET(D264,-2,0)=D264,"",VLOOKUP(D264,契約台帳!$A$3:$R$4986,18,FALSE)))</f>
        <v>6</v>
      </c>
      <c r="V264" s="256" t="str">
        <f>IF(J264="巻返し",VLOOKUP(F264&amp;K264&amp;M264,製品マスタ!$M$5:$AD$4999,18,FALSE),IF(J264="リード付け","原反コア",IF(J264="スリット",VLOOKUP(F264&amp;K264&amp;Q264,製品マスタ!$N$5:$AD$4999,17,FALSE),"")))</f>
        <v>3ｲﾝﾁMｺｱ</v>
      </c>
      <c r="W264" s="256">
        <f>IF(J264="巻返し",VLOOKUP(F264&amp;K264&amp;M264,製品マスタ!$M$5:$AE$4999,19,FALSE),IF(J264="リード付け","-",IF(J264="スリット",VLOOKUP(F264&amp;K264&amp;Q264,製品マスタ!$N$5:$AE$4999,18,FALSE),"")))</f>
        <v>1220</v>
      </c>
      <c r="X264" s="256">
        <f>IF(D264="","",VLOOKUP(D264,契約台帳!$A$3:$Q$4986,17,FALSE))</f>
        <v>2</v>
      </c>
      <c r="Y264" s="256" t="str">
        <f>IF(D264="","",VLOOKUP(D264,契約台帳!$A$3:$E$4986,5,FALSE))</f>
        <v>栃木カネカ㈱電材検査</v>
      </c>
      <c r="Z264" s="54" t="s">
        <v>1016</v>
      </c>
      <c r="AA264" s="200" t="s">
        <v>774</v>
      </c>
      <c r="AB264" s="31"/>
      <c r="AC264" s="184"/>
      <c r="AD264" s="51"/>
      <c r="AE264" s="52"/>
      <c r="AF264" s="41"/>
      <c r="AG264" s="45"/>
      <c r="AH264" s="28"/>
      <c r="AI264" s="28"/>
      <c r="AJ264" s="28"/>
      <c r="AK264" s="28"/>
      <c r="AL264" s="12"/>
      <c r="AM264" s="12"/>
      <c r="AN264" s="12"/>
      <c r="AO264" s="12"/>
      <c r="AP264" s="12"/>
      <c r="AQ264" s="13"/>
      <c r="AR264" s="14"/>
    </row>
    <row r="265" spans="1:44" s="16" customFormat="1" ht="30.95" hidden="1" customHeight="1" x14ac:dyDescent="0.2">
      <c r="A265" s="35"/>
      <c r="B265" s="36"/>
      <c r="C265" s="43"/>
      <c r="D265" s="29"/>
      <c r="E265" s="29"/>
      <c r="F265" s="255" t="str">
        <f>IF(D265="","",VLOOKUP(D265,契約台帳!$A$3:$K$4986,6,FALSE)&amp;VLOOKUP(D265,契約台帳!$A$3:$K$4986,7,FALSE)&amp;VLOOKUP(D265,契約台帳!$A$3:$K$4986,8,FALSE)&amp;VLOOKUP(D265,契約台帳!$A$3:$K$4986,9,FALSE)&amp;VLOOKUP(D265,契約台帳!$A$3:$K$4986,11,FALSE))</f>
        <v/>
      </c>
      <c r="G265" s="256" t="str">
        <f>IF(D265="","",VLOOKUP(F265,製品マスタ!$G$5:$H$4999,2,FALSE))</f>
        <v/>
      </c>
      <c r="H265" s="256" t="str">
        <f>IF(D265="","",VLOOKUP(F265,製品マスタ!$G$5:$K$4999,5,FALSE))</f>
        <v/>
      </c>
      <c r="I265" s="200" t="str">
        <f>IF(D265="","",VLOOKUP(F265,製品マスタ!$G$5:$L$4999,6,FALSE))</f>
        <v/>
      </c>
      <c r="J265" s="30"/>
      <c r="K265" s="200" t="str">
        <f>IF(D265="","",VLOOKUP(D265,契約台帳!$A$3:$L$4986,12,FALSE))</f>
        <v/>
      </c>
      <c r="L265" s="200" t="str">
        <f>IF(D265="","",INDEX(製品マスタ!$Q$5:$Q$4999,MATCH(F265&amp;K265,製品マスタ!$AO$5:$AO$4999,0)))</f>
        <v/>
      </c>
      <c r="M265" s="37"/>
      <c r="N265" s="37"/>
      <c r="O265" s="45"/>
      <c r="P265" s="54"/>
      <c r="Q265" s="260" t="str">
        <f>IF(D265="","",IF(J265="リード付け",M265,VLOOKUP(D265,契約台帳!$A$3:$N$4986,14,FALSE)))</f>
        <v/>
      </c>
      <c r="R265" s="261" t="str">
        <f>IF(D265="","",IF(J265="リード付け",M265,VLOOKUP(D265,契約台帳!$A$3:$O$4986,15,FALSE)))</f>
        <v/>
      </c>
      <c r="S265" s="261" t="str">
        <f>IF(D265="","",IF(J265="リード付け",N265,VLOOKUP(D265,契約台帳!$A$3:$P$4986,16,FALSE)))</f>
        <v/>
      </c>
      <c r="T265" s="38"/>
      <c r="U265" s="261" t="str">
        <f ca="1">IF(D265="","",IF(OFFSET(D265,-2,0)=D265,"",VLOOKUP(D265,契約台帳!$A$3:$R$4986,18,FALSE)))</f>
        <v/>
      </c>
      <c r="V265" s="256" t="str">
        <f>IF(J265="巻返し",VLOOKUP(F265&amp;K265&amp;M265,製品マスタ!$M$5:$AD$4999,18,FALSE),IF(J265="リード付け","原反コア",IF(J265="スリット",VLOOKUP(F265&amp;K265&amp;Q265,製品マスタ!$N$5:$AD$4999,17,FALSE),"")))</f>
        <v/>
      </c>
      <c r="W265" s="256" t="str">
        <f>IF(J265="巻返し",VLOOKUP(F265&amp;K265&amp;M265,製品マスタ!$M$5:$AE$4999,19,FALSE),IF(J265="リード付け","-",IF(J265="スリット",VLOOKUP(F265&amp;K265&amp;Q265,製品マスタ!$N$5:$AE$4999,18,FALSE),"")))</f>
        <v/>
      </c>
      <c r="X265" s="256" t="str">
        <f>IF(D265="","",VLOOKUP(D265,契約台帳!$A$3:$Q$4986,17,FALSE))</f>
        <v/>
      </c>
      <c r="Y265" s="256" t="str">
        <f>IF(D265="","",VLOOKUP(D265,契約台帳!$A$3:$E$4986,5,FALSE))</f>
        <v/>
      </c>
      <c r="Z265" s="54"/>
      <c r="AA265" s="200" t="str">
        <f>IFERROR(VLOOKUP(F265&amp;K265&amp;M265,製品マスタ!$M$5:$AM$4999,27,FALSE),"")</f>
        <v/>
      </c>
      <c r="AB265" s="31"/>
      <c r="AC265" s="184"/>
      <c r="AD265" s="51"/>
      <c r="AE265" s="52"/>
      <c r="AF265" s="41"/>
      <c r="AG265" s="45"/>
      <c r="AH265" s="28"/>
      <c r="AI265" s="28"/>
      <c r="AJ265" s="28"/>
      <c r="AK265" s="28"/>
      <c r="AL265" s="12"/>
      <c r="AM265" s="12"/>
      <c r="AN265" s="12"/>
      <c r="AO265" s="12"/>
      <c r="AP265" s="12"/>
      <c r="AQ265" s="13"/>
      <c r="AR265" s="14"/>
    </row>
    <row r="266" spans="1:44" s="16" customFormat="1" ht="30.95" hidden="1" customHeight="1" x14ac:dyDescent="0.2">
      <c r="A266" s="35"/>
      <c r="B266" s="36"/>
      <c r="C266" s="43"/>
      <c r="D266" s="29">
        <v>3702649</v>
      </c>
      <c r="E266" s="29">
        <v>4151328</v>
      </c>
      <c r="F266" s="255" t="str">
        <f>IF(D266="","",VLOOKUP(D266,契約台帳!$A$3:$K$4986,6,FALSE)&amp;VLOOKUP(D266,契約台帳!$A$3:$K$4986,7,FALSE)&amp;VLOOKUP(D266,契約台帳!$A$3:$K$4986,8,FALSE)&amp;VLOOKUP(D266,契約台帳!$A$3:$K$4986,9,FALSE)&amp;VLOOKUP(D266,契約台帳!$A$3:$K$4986,11,FALSE))</f>
        <v>3TNMLBHLGTF</v>
      </c>
      <c r="G266" s="256" t="str">
        <f>IF(D266="","",VLOOKUP(F266,製品マスタ!$G$5:$H$4999,2,FALSE))</f>
        <v>T</v>
      </c>
      <c r="H266" s="256" t="str">
        <f>IF(D266="","",VLOOKUP(F266,製品マスタ!$G$5:$K$4999,5,FALSE))</f>
        <v>HLGTF</v>
      </c>
      <c r="I266" s="200" t="str">
        <f>IF(D266="","",VLOOKUP(F266,製品マスタ!$G$5:$L$4999,6,FALSE))</f>
        <v>メタルミーヘヤライン銀艶</v>
      </c>
      <c r="J266" s="30" t="s">
        <v>447</v>
      </c>
      <c r="K266" s="200">
        <f>IF(D266="","",VLOOKUP(D266,契約台帳!$A$3:$L$4986,12,FALSE))</f>
        <v>50</v>
      </c>
      <c r="L266" s="200" t="str">
        <f>IF(D266="","",INDEX(製品マスタ!$Q$5:$Q$4999,MATCH(F266&amp;K266,製品マスタ!$AO$5:$AO$4999,0)))</f>
        <v>BRIGHT</v>
      </c>
      <c r="M266" s="37">
        <v>1005</v>
      </c>
      <c r="N266" s="37">
        <v>8200</v>
      </c>
      <c r="O266" s="45">
        <v>1</v>
      </c>
      <c r="P266" s="54"/>
      <c r="Q266" s="260">
        <f>IF(D266="","",IF(J266="リード付け",M266,VLOOKUP(D266,契約台帳!$A$3:$N$4986,14,FALSE)))</f>
        <v>1005</v>
      </c>
      <c r="R266" s="261">
        <f>IF(D266="","",IF(J266="リード付け",M266,VLOOKUP(D266,契約台帳!$A$3:$O$4986,15,FALSE)))</f>
        <v>1000</v>
      </c>
      <c r="S266" s="261">
        <f>IF(D266="","",IF(J266="リード付け",N266,VLOOKUP(D266,契約台帳!$A$3:$P$4986,16,FALSE)))</f>
        <v>4100</v>
      </c>
      <c r="T266" s="38">
        <v>2</v>
      </c>
      <c r="U266" s="261">
        <f ca="1">IF(D266="","",IF(OFFSET(D266,-2,0)=D266,"",VLOOKUP(D266,契約台帳!$A$3:$R$4986,18,FALSE)))</f>
        <v>2</v>
      </c>
      <c r="V266" s="256">
        <f>IF(J266="巻返し",VLOOKUP(F266&amp;K266&amp;M266,製品マスタ!$M$5:$AD$4999,18,FALSE),IF(J266="リード付け","原反コア",IF(J266="スリット",VLOOKUP(F266&amp;K266&amp;Q266,製品マスタ!$N$5:$AD$4999,17,FALSE),"")))</f>
        <v>0</v>
      </c>
      <c r="W266" s="256">
        <f>IF(J266="巻返し",VLOOKUP(F266&amp;K266&amp;M266,製品マスタ!$M$5:$AE$4999,19,FALSE),IF(J266="リード付け","-",IF(J266="スリット",VLOOKUP(F266&amp;K266&amp;Q266,製品マスタ!$N$5:$AE$4999,18,FALSE),"")))</f>
        <v>0</v>
      </c>
      <c r="X266" s="256">
        <f>IF(D266="","",VLOOKUP(D266,契約台帳!$A$3:$Q$4986,17,FALSE))</f>
        <v>2</v>
      </c>
      <c r="Y266" s="256" t="str">
        <f>IF(D266="","",VLOOKUP(D266,契約台帳!$A$3:$E$4986,5,FALSE))</f>
        <v>アジヤアルミ㈱</v>
      </c>
      <c r="Z266" s="54">
        <v>45012</v>
      </c>
      <c r="AA266" s="200" t="s">
        <v>774</v>
      </c>
      <c r="AB266" s="31"/>
      <c r="AC266" s="184"/>
      <c r="AD266" s="51" t="str">
        <f>IF(F266="","",+F266&amp;K266)</f>
        <v>3TNMLBHLGTF50</v>
      </c>
      <c r="AE266" s="52">
        <f>+M266*N266*O266/1000</f>
        <v>8241</v>
      </c>
      <c r="AF266" s="41">
        <v>95</v>
      </c>
      <c r="AG266" s="45">
        <f>IF(AF266="","",+AE266*AF266/100)</f>
        <v>7828.95</v>
      </c>
      <c r="AH266" s="28"/>
      <c r="AI266" s="28"/>
      <c r="AJ266" s="28"/>
      <c r="AK266" s="28"/>
      <c r="AL266" s="12"/>
      <c r="AM266" s="12"/>
      <c r="AN266" s="12"/>
      <c r="AO266" s="12"/>
      <c r="AP266" s="12"/>
      <c r="AQ266" s="13"/>
      <c r="AR266" s="14"/>
    </row>
    <row r="267" spans="1:44" s="16" customFormat="1" ht="30.95" hidden="1" customHeight="1" x14ac:dyDescent="0.2">
      <c r="A267" s="35"/>
      <c r="B267" s="36"/>
      <c r="C267" s="43"/>
      <c r="D267" s="29"/>
      <c r="E267" s="29"/>
      <c r="F267" s="255"/>
      <c r="G267" s="256"/>
      <c r="H267" s="256"/>
      <c r="I267" s="200"/>
      <c r="J267" s="30"/>
      <c r="K267" s="200"/>
      <c r="L267" s="200"/>
      <c r="M267" s="37"/>
      <c r="N267" s="37"/>
      <c r="O267" s="45"/>
      <c r="P267" s="54"/>
      <c r="Q267" s="260"/>
      <c r="R267" s="261"/>
      <c r="S267" s="261"/>
      <c r="T267" s="38"/>
      <c r="U267" s="261"/>
      <c r="V267" s="256"/>
      <c r="W267" s="256"/>
      <c r="X267" s="256"/>
      <c r="Y267" s="256"/>
      <c r="Z267" s="54"/>
      <c r="AA267" s="200"/>
      <c r="AB267" s="31"/>
      <c r="AC267" s="184"/>
      <c r="AD267" s="51"/>
      <c r="AE267" s="52"/>
      <c r="AF267" s="41"/>
      <c r="AG267" s="45"/>
      <c r="AH267" s="28"/>
      <c r="AI267" s="28"/>
      <c r="AJ267" s="28"/>
      <c r="AK267" s="28"/>
      <c r="AL267" s="12"/>
      <c r="AM267" s="12"/>
      <c r="AN267" s="12"/>
      <c r="AO267" s="12"/>
      <c r="AP267" s="12"/>
      <c r="AQ267" s="13"/>
      <c r="AR267" s="14"/>
    </row>
    <row r="268" spans="1:44" s="16" customFormat="1" ht="30.95" hidden="1" customHeight="1" x14ac:dyDescent="0.2">
      <c r="A268" s="35" t="s">
        <v>972</v>
      </c>
      <c r="B268" s="36" t="s">
        <v>958</v>
      </c>
      <c r="C268" s="43"/>
      <c r="D268" s="29"/>
      <c r="E268" s="29"/>
      <c r="F268" s="255" t="str">
        <f>IF(D268="","",VLOOKUP(D268,契約台帳!$A$3:$K$4986,6,FALSE)&amp;VLOOKUP(D268,契約台帳!$A$3:$K$4986,7,FALSE)&amp;VLOOKUP(D268,契約台帳!$A$3:$K$4986,8,FALSE)&amp;VLOOKUP(D268,契約台帳!$A$3:$K$4986,9,FALSE)&amp;VLOOKUP(D268,契約台帳!$A$3:$K$4986,11,FALSE))</f>
        <v/>
      </c>
      <c r="G268" s="256" t="str">
        <f>IF(D268="","",VLOOKUP(F268,製品マスタ!$G$5:$H$4999,2,FALSE))</f>
        <v/>
      </c>
      <c r="H268" s="256" t="str">
        <f>IF(D268="","",VLOOKUP(F268,製品マスタ!$G$5:$K$4999,5,FALSE))</f>
        <v/>
      </c>
      <c r="I268" s="200" t="str">
        <f>IF(D268="","",VLOOKUP(F268,製品マスタ!$G$5:$L$4999,6,FALSE))</f>
        <v/>
      </c>
      <c r="J268" s="30" t="s">
        <v>1001</v>
      </c>
      <c r="K268" s="200" t="str">
        <f>IF(D268="","",VLOOKUP(D268,契約台帳!$A$3:$L$4986,12,FALSE))</f>
        <v/>
      </c>
      <c r="L268" s="200" t="str">
        <f>IF(D268="","",INDEX(製品マスタ!$Q$5:$Q$4999,MATCH(F268&amp;K268,製品マスタ!$AO$5:$AO$4999,0)))</f>
        <v/>
      </c>
      <c r="M268" s="37"/>
      <c r="N268" s="37"/>
      <c r="O268" s="45"/>
      <c r="P268" s="54"/>
      <c r="Q268" s="260" t="str">
        <f>IF(D268="","",IF(J268="リード付け",M268,VLOOKUP(D268,契約台帳!$A$3:$N$4986,14,FALSE)))</f>
        <v/>
      </c>
      <c r="R268" s="261" t="str">
        <f>IF(D268="","",IF(J268="リード付け",M268,VLOOKUP(D268,契約台帳!$A$3:$O$4986,15,FALSE)))</f>
        <v/>
      </c>
      <c r="S268" s="261" t="str">
        <f>IF(D268="","",IF(J268="リード付け",N268,VLOOKUP(D268,契約台帳!$A$3:$P$4986,16,FALSE)))</f>
        <v/>
      </c>
      <c r="T268" s="38"/>
      <c r="U268" s="261" t="str">
        <f ca="1">IF(D268="","",IF(OFFSET(D268,-2,0)=D268,"",VLOOKUP(D268,契約台帳!$A$3:$R$4986,18,FALSE)))</f>
        <v/>
      </c>
      <c r="V268" s="256" t="str">
        <f>IF(J268="巻返し",VLOOKUP(F268&amp;K268&amp;M268,製品マスタ!$M$5:$AD$4999,18,FALSE),IF(J268="リード付け","原反コア",IF(J268="スリット",VLOOKUP(F268&amp;K268&amp;Q268,製品マスタ!$N$5:$AD$4999,17,FALSE),"")))</f>
        <v/>
      </c>
      <c r="W268" s="256" t="str">
        <f>IF(J268="巻返し",VLOOKUP(F268&amp;K268&amp;M268,製品マスタ!$M$5:$AE$4999,19,FALSE),IF(J268="リード付け","-",IF(J268="スリット",VLOOKUP(F268&amp;K268&amp;Q268,製品マスタ!$N$5:$AE$4999,18,FALSE),"")))</f>
        <v/>
      </c>
      <c r="X268" s="256" t="str">
        <f>IF(D268="","",VLOOKUP(D268,契約台帳!$A$3:$Q$4986,17,FALSE))</f>
        <v/>
      </c>
      <c r="Y268" s="256" t="str">
        <f>IF(D268="","",VLOOKUP(D268,契約台帳!$A$3:$E$4986,5,FALSE))</f>
        <v/>
      </c>
      <c r="Z268" s="54"/>
      <c r="AA268" s="200" t="str">
        <f>IFERROR(VLOOKUP(F268&amp;K268&amp;M268,製品マスタ!$M$5:$AM$4999,27,FALSE),"")</f>
        <v/>
      </c>
      <c r="AB268" s="31"/>
      <c r="AC268" s="184"/>
      <c r="AD268" s="51"/>
      <c r="AE268" s="52"/>
      <c r="AF268" s="41"/>
      <c r="AG268" s="45"/>
      <c r="AH268" s="28"/>
      <c r="AI268" s="28"/>
      <c r="AJ268" s="28"/>
      <c r="AK268" s="28"/>
      <c r="AL268" s="12"/>
      <c r="AM268" s="12"/>
      <c r="AN268" s="12"/>
      <c r="AO268" s="12"/>
      <c r="AP268" s="12"/>
      <c r="AQ268" s="13"/>
      <c r="AR268" s="14"/>
    </row>
    <row r="269" spans="1:44" s="16" customFormat="1" ht="30.95" hidden="1" customHeight="1" x14ac:dyDescent="0.2">
      <c r="A269" s="35"/>
      <c r="B269" s="36"/>
      <c r="C269" s="43"/>
      <c r="D269" s="29"/>
      <c r="E269" s="29"/>
      <c r="F269" s="255" t="str">
        <f>IF(D269="","",VLOOKUP(D269,契約台帳!$A$3:$K$4986,6,FALSE)&amp;VLOOKUP(D269,契約台帳!$A$3:$K$4986,7,FALSE)&amp;VLOOKUP(D269,契約台帳!$A$3:$K$4986,8,FALSE)&amp;VLOOKUP(D269,契約台帳!$A$3:$K$4986,9,FALSE)&amp;VLOOKUP(D269,契約台帳!$A$3:$K$4986,11,FALSE))</f>
        <v/>
      </c>
      <c r="G269" s="256" t="str">
        <f>IF(D269="","",VLOOKUP(F269,製品マスタ!$G$5:$H$4999,2,FALSE))</f>
        <v/>
      </c>
      <c r="H269" s="256" t="str">
        <f>IF(D269="","",VLOOKUP(F269,製品マスタ!$G$5:$K$4999,5,FALSE))</f>
        <v/>
      </c>
      <c r="I269" s="200" t="str">
        <f>IF(D269="","",VLOOKUP(F269,製品マスタ!$G$5:$L$4999,6,FALSE))</f>
        <v/>
      </c>
      <c r="J269" s="30"/>
      <c r="K269" s="200" t="str">
        <f>IF(D269="","",VLOOKUP(D269,契約台帳!$A$3:$L$4986,12,FALSE))</f>
        <v/>
      </c>
      <c r="L269" s="200" t="str">
        <f>IF(D269="","",INDEX(製品マスタ!$Q$5:$Q$4999,MATCH(F269&amp;K269,製品マスタ!$AO$5:$AO$4999,0)))</f>
        <v/>
      </c>
      <c r="M269" s="37"/>
      <c r="N269" s="37"/>
      <c r="O269" s="45"/>
      <c r="P269" s="54"/>
      <c r="Q269" s="260" t="str">
        <f>IF(D269="","",IF(J269="リード付け",M269,VLOOKUP(D269,契約台帳!$A$3:$N$4986,14,FALSE)))</f>
        <v/>
      </c>
      <c r="R269" s="261" t="str">
        <f>IF(D269="","",IF(J269="リード付け",M269,VLOOKUP(D269,契約台帳!$A$3:$O$4986,15,FALSE)))</f>
        <v/>
      </c>
      <c r="S269" s="261" t="str">
        <f>IF(D269="","",IF(J269="リード付け",N269,VLOOKUP(D269,契約台帳!$A$3:$P$4986,16,FALSE)))</f>
        <v/>
      </c>
      <c r="T269" s="38"/>
      <c r="U269" s="261" t="str">
        <f ca="1">IF(D269="","",IF(OFFSET(D269,-2,0)=D269,"",VLOOKUP(D269,契約台帳!$A$3:$R$4986,18,FALSE)))</f>
        <v/>
      </c>
      <c r="V269" s="256" t="str">
        <f>IF(J269="巻返し",VLOOKUP(F269&amp;K269&amp;M269,製品マスタ!$M$5:$AD$4999,18,FALSE),IF(J269="リード付け","原反コア",IF(J269="スリット",VLOOKUP(F269&amp;K269&amp;Q269,製品マスタ!$N$5:$AD$4999,17,FALSE),"")))</f>
        <v/>
      </c>
      <c r="W269" s="256" t="str">
        <f>IF(J269="巻返し",VLOOKUP(F269&amp;K269&amp;M269,製品マスタ!$M$5:$AE$4999,19,FALSE),IF(J269="リード付け","-",IF(J269="スリット",VLOOKUP(F269&amp;K269&amp;Q269,製品マスタ!$N$5:$AE$4999,18,FALSE),"")))</f>
        <v/>
      </c>
      <c r="X269" s="256" t="str">
        <f>IF(D269="","",VLOOKUP(D269,契約台帳!$A$3:$Q$4986,17,FALSE))</f>
        <v/>
      </c>
      <c r="Y269" s="256" t="str">
        <f>IF(D269="","",VLOOKUP(D269,契約台帳!$A$3:$E$4986,5,FALSE))</f>
        <v/>
      </c>
      <c r="Z269" s="54"/>
      <c r="AA269" s="200" t="str">
        <f>IFERROR(VLOOKUP(F269&amp;K269&amp;M269,製品マスタ!$M$5:$AM$4999,27,FALSE),"")</f>
        <v/>
      </c>
      <c r="AB269" s="31"/>
      <c r="AC269" s="184"/>
      <c r="AD269" s="51"/>
      <c r="AE269" s="52"/>
      <c r="AF269" s="41"/>
      <c r="AG269" s="45"/>
      <c r="AH269" s="28"/>
      <c r="AI269" s="28"/>
      <c r="AJ269" s="28"/>
      <c r="AK269" s="28"/>
      <c r="AL269" s="12"/>
      <c r="AM269" s="12"/>
      <c r="AN269" s="12"/>
      <c r="AO269" s="12"/>
      <c r="AP269" s="12"/>
      <c r="AQ269" s="13"/>
      <c r="AR269" s="14"/>
    </row>
    <row r="270" spans="1:44" s="16" customFormat="1" ht="30.95" hidden="1" customHeight="1" x14ac:dyDescent="0.2">
      <c r="A270" s="35" t="s">
        <v>973</v>
      </c>
      <c r="B270" s="36" t="s">
        <v>959</v>
      </c>
      <c r="C270" s="43"/>
      <c r="D270" s="29"/>
      <c r="E270" s="29"/>
      <c r="F270" s="255" t="str">
        <f>IF(D270="","",VLOOKUP(D270,契約台帳!$A$3:$K$4986,6,FALSE)&amp;VLOOKUP(D270,契約台帳!$A$3:$K$4986,7,FALSE)&amp;VLOOKUP(D270,契約台帳!$A$3:$K$4986,8,FALSE)&amp;VLOOKUP(D270,契約台帳!$A$3:$K$4986,9,FALSE)&amp;VLOOKUP(D270,契約台帳!$A$3:$K$4986,11,FALSE))</f>
        <v/>
      </c>
      <c r="G270" s="256" t="str">
        <f>IF(D270="","",VLOOKUP(F270,製品マスタ!$G$5:$H$4999,2,FALSE))</f>
        <v/>
      </c>
      <c r="H270" s="256" t="str">
        <f>IF(D270="","",VLOOKUP(F270,製品マスタ!$G$5:$K$4999,5,FALSE))</f>
        <v/>
      </c>
      <c r="I270" s="200" t="str">
        <f>IF(D270="","",VLOOKUP(F270,製品マスタ!$G$5:$L$4999,6,FALSE))</f>
        <v/>
      </c>
      <c r="J270" s="30" t="s">
        <v>448</v>
      </c>
      <c r="K270" s="200" t="str">
        <f>IF(D270="","",VLOOKUP(D270,契約台帳!$A$3:$L$4986,12,FALSE))</f>
        <v/>
      </c>
      <c r="L270" s="200" t="str">
        <f>IF(D270="","",INDEX(製品マスタ!$Q$5:$Q$4999,MATCH(F270&amp;K270,製品マスタ!$AO$5:$AO$4999,0)))</f>
        <v/>
      </c>
      <c r="M270" s="37"/>
      <c r="N270" s="37"/>
      <c r="O270" s="45"/>
      <c r="P270" s="54"/>
      <c r="Q270" s="260" t="str">
        <f>IF(D270="","",IF(J270="リード付け",M270,VLOOKUP(D270,契約台帳!$A$3:$N$4986,14,FALSE)))</f>
        <v/>
      </c>
      <c r="R270" s="261" t="str">
        <f>IF(D270="","",IF(J270="リード付け",M270,VLOOKUP(D270,契約台帳!$A$3:$O$4986,15,FALSE)))</f>
        <v/>
      </c>
      <c r="S270" s="261" t="str">
        <f>IF(D270="","",IF(J270="リード付け",N270,VLOOKUP(D270,契約台帳!$A$3:$P$4986,16,FALSE)))</f>
        <v/>
      </c>
      <c r="T270" s="38"/>
      <c r="U270" s="261" t="str">
        <f ca="1">IF(D270="","",IF(OFFSET(D270,-2,0)=D270,"",VLOOKUP(D270,契約台帳!$A$3:$R$4986,18,FALSE)))</f>
        <v/>
      </c>
      <c r="V270" s="256" t="str">
        <f>IF(J270="巻返し",VLOOKUP(F270&amp;K270&amp;M270,製品マスタ!$M$5:$AD$4999,18,FALSE),IF(J270="リード付け","原反コア",IF(J270="スリット",VLOOKUP(F270&amp;K270&amp;Q270,製品マスタ!$N$5:$AD$4999,17,FALSE),"")))</f>
        <v/>
      </c>
      <c r="W270" s="256" t="str">
        <f>IF(J270="巻返し",VLOOKUP(F270&amp;K270&amp;M270,製品マスタ!$M$5:$AE$4999,19,FALSE),IF(J270="リード付け","-",IF(J270="スリット",VLOOKUP(F270&amp;K270&amp;Q270,製品マスタ!$N$5:$AE$4999,18,FALSE),"")))</f>
        <v/>
      </c>
      <c r="X270" s="256" t="str">
        <f>IF(D270="","",VLOOKUP(D270,契約台帳!$A$3:$Q$4986,17,FALSE))</f>
        <v/>
      </c>
      <c r="Y270" s="256" t="str">
        <f>IF(D270="","",VLOOKUP(D270,契約台帳!$A$3:$E$4986,5,FALSE))</f>
        <v/>
      </c>
      <c r="Z270" s="54"/>
      <c r="AA270" s="200" t="str">
        <f>IFERROR(VLOOKUP(F270&amp;K270&amp;M270,製品マスタ!$M$5:$AM$4999,27,FALSE),"")</f>
        <v/>
      </c>
      <c r="AB270" s="31"/>
      <c r="AC270" s="184"/>
      <c r="AD270" s="51"/>
      <c r="AE270" s="52"/>
      <c r="AF270" s="41"/>
      <c r="AG270" s="45"/>
      <c r="AH270" s="28"/>
      <c r="AI270" s="28"/>
      <c r="AJ270" s="28"/>
      <c r="AK270" s="28"/>
      <c r="AL270" s="12"/>
      <c r="AM270" s="12"/>
      <c r="AN270" s="12"/>
      <c r="AO270" s="12"/>
      <c r="AP270" s="12"/>
      <c r="AQ270" s="13"/>
      <c r="AR270" s="14"/>
    </row>
    <row r="271" spans="1:44" s="16" customFormat="1" ht="30.95" hidden="1" customHeight="1" x14ac:dyDescent="0.2">
      <c r="A271" s="35"/>
      <c r="B271" s="36"/>
      <c r="C271" s="43"/>
      <c r="D271" s="29"/>
      <c r="E271" s="29"/>
      <c r="F271" s="255" t="str">
        <f>IF(D271="","",VLOOKUP(D271,契約台帳!$A$3:$K$4986,6,FALSE)&amp;VLOOKUP(D271,契約台帳!$A$3:$K$4986,7,FALSE)&amp;VLOOKUP(D271,契約台帳!$A$3:$K$4986,8,FALSE)&amp;VLOOKUP(D271,契約台帳!$A$3:$K$4986,9,FALSE)&amp;VLOOKUP(D271,契約台帳!$A$3:$K$4986,11,FALSE))</f>
        <v/>
      </c>
      <c r="G271" s="256" t="str">
        <f>IF(D271="","",VLOOKUP(F271,製品マスタ!$G$5:$H$4999,2,FALSE))</f>
        <v/>
      </c>
      <c r="H271" s="256" t="str">
        <f>IF(D271="","",VLOOKUP(F271,製品マスタ!$G$5:$K$4999,5,FALSE))</f>
        <v/>
      </c>
      <c r="I271" s="200" t="str">
        <f>IF(D271="","",VLOOKUP(F271,製品マスタ!$G$5:$L$4999,6,FALSE))</f>
        <v/>
      </c>
      <c r="J271" s="30"/>
      <c r="K271" s="200" t="str">
        <f>IF(D271="","",VLOOKUP(D271,契約台帳!$A$3:$L$4986,12,FALSE))</f>
        <v/>
      </c>
      <c r="L271" s="200" t="str">
        <f>IF(D271="","",INDEX(製品マスタ!$Q$5:$Q$4999,MATCH(F271&amp;K271,製品マスタ!$AO$5:$AO$4999,0)))</f>
        <v/>
      </c>
      <c r="M271" s="37"/>
      <c r="N271" s="37"/>
      <c r="O271" s="45"/>
      <c r="P271" s="54"/>
      <c r="Q271" s="260" t="str">
        <f>IF(D271="","",IF(J271="リード付け",M271,VLOOKUP(D271,契約台帳!$A$3:$N$4986,14,FALSE)))</f>
        <v/>
      </c>
      <c r="R271" s="261" t="str">
        <f>IF(D271="","",IF(J271="リード付け",M271,VLOOKUP(D271,契約台帳!$A$3:$O$4986,15,FALSE)))</f>
        <v/>
      </c>
      <c r="S271" s="261" t="str">
        <f>IF(D271="","",IF(J271="リード付け",N271,VLOOKUP(D271,契約台帳!$A$3:$P$4986,16,FALSE)))</f>
        <v/>
      </c>
      <c r="T271" s="38"/>
      <c r="U271" s="261" t="str">
        <f ca="1">IF(D271="","",IF(OFFSET(D271,-2,0)=D271,"",VLOOKUP(D271,契約台帳!$A$3:$R$4986,18,FALSE)))</f>
        <v/>
      </c>
      <c r="V271" s="256" t="str">
        <f>IF(J271="巻返し",VLOOKUP(F271&amp;K271&amp;M271,製品マスタ!$M$5:$AD$4999,18,FALSE),IF(J271="リード付け","原反コア",IF(J271="スリット",VLOOKUP(F271&amp;K271&amp;Q271,製品マスタ!$N$5:$AD$4999,17,FALSE),"")))</f>
        <v/>
      </c>
      <c r="W271" s="256" t="str">
        <f>IF(J271="巻返し",VLOOKUP(F271&amp;K271&amp;M271,製品マスタ!$M$5:$AE$4999,19,FALSE),IF(J271="リード付け","-",IF(J271="スリット",VLOOKUP(F271&amp;K271&amp;Q271,製品マスタ!$N$5:$AE$4999,18,FALSE),"")))</f>
        <v/>
      </c>
      <c r="X271" s="256" t="str">
        <f>IF(D271="","",VLOOKUP(D271,契約台帳!$A$3:$Q$4986,17,FALSE))</f>
        <v/>
      </c>
      <c r="Y271" s="256" t="str">
        <f>IF(D271="","",VLOOKUP(D271,契約台帳!$A$3:$E$4986,5,FALSE))</f>
        <v/>
      </c>
      <c r="Z271" s="54"/>
      <c r="AA271" s="200" t="str">
        <f>IFERROR(VLOOKUP(F271&amp;K271&amp;M271,製品マスタ!$M$5:$AM$4999,27,FALSE),"")</f>
        <v/>
      </c>
      <c r="AB271" s="31"/>
      <c r="AC271" s="184"/>
      <c r="AD271" s="51"/>
      <c r="AE271" s="52"/>
      <c r="AF271" s="41"/>
      <c r="AG271" s="45"/>
      <c r="AH271" s="28"/>
      <c r="AI271" s="28"/>
      <c r="AJ271" s="28"/>
      <c r="AK271" s="28"/>
      <c r="AL271" s="12"/>
      <c r="AM271" s="12"/>
      <c r="AN271" s="12"/>
      <c r="AO271" s="12"/>
      <c r="AP271" s="12"/>
      <c r="AQ271" s="13"/>
      <c r="AR271" s="14"/>
    </row>
    <row r="272" spans="1:44" s="16" customFormat="1" ht="30.95" hidden="1" customHeight="1" x14ac:dyDescent="0.2">
      <c r="A272" s="35" t="s">
        <v>974</v>
      </c>
      <c r="B272" s="36" t="s">
        <v>960</v>
      </c>
      <c r="C272" s="43"/>
      <c r="D272" s="29"/>
      <c r="E272" s="29"/>
      <c r="F272" s="255" t="str">
        <f>IF(D272="","",VLOOKUP(D272,契約台帳!$A$3:$K$4986,6,FALSE)&amp;VLOOKUP(D272,契約台帳!$A$3:$K$4986,7,FALSE)&amp;VLOOKUP(D272,契約台帳!$A$3:$K$4986,8,FALSE)&amp;VLOOKUP(D272,契約台帳!$A$3:$K$4986,9,FALSE)&amp;VLOOKUP(D272,契約台帳!$A$3:$K$4986,11,FALSE))</f>
        <v/>
      </c>
      <c r="G272" s="256" t="str">
        <f>IF(D272="","",VLOOKUP(F272,製品マスタ!$G$5:$H$4999,2,FALSE))</f>
        <v/>
      </c>
      <c r="H272" s="256" t="str">
        <f>IF(D272="","",VLOOKUP(F272,製品マスタ!$G$5:$K$4999,5,FALSE))</f>
        <v/>
      </c>
      <c r="I272" s="200" t="str">
        <f>IF(D272="","",VLOOKUP(F272,製品マスタ!$G$5:$L$4999,6,FALSE))</f>
        <v/>
      </c>
      <c r="J272" s="30" t="s">
        <v>448</v>
      </c>
      <c r="K272" s="200" t="str">
        <f>IF(D272="","",VLOOKUP(D272,契約台帳!$A$3:$L$4986,12,FALSE))</f>
        <v/>
      </c>
      <c r="L272" s="200" t="str">
        <f>IF(D272="","",INDEX(製品マスタ!$Q$5:$Q$4999,MATCH(F272&amp;K272,製品マスタ!$AO$5:$AO$4999,0)))</f>
        <v/>
      </c>
      <c r="M272" s="37"/>
      <c r="N272" s="37"/>
      <c r="O272" s="45"/>
      <c r="P272" s="54"/>
      <c r="Q272" s="260" t="str">
        <f>IF(D272="","",IF(J272="リード付け",M272,VLOOKUP(D272,契約台帳!$A$3:$N$4986,14,FALSE)))</f>
        <v/>
      </c>
      <c r="R272" s="261" t="str">
        <f>IF(D272="","",IF(J272="リード付け",M272,VLOOKUP(D272,契約台帳!$A$3:$O$4986,15,FALSE)))</f>
        <v/>
      </c>
      <c r="S272" s="261" t="str">
        <f>IF(D272="","",IF(J272="リード付け",N272,VLOOKUP(D272,契約台帳!$A$3:$P$4986,16,FALSE)))</f>
        <v/>
      </c>
      <c r="T272" s="38"/>
      <c r="U272" s="261" t="str">
        <f ca="1">IF(D272="","",IF(OFFSET(D272,-2,0)=D272,"",VLOOKUP(D272,契約台帳!$A$3:$R$4986,18,FALSE)))</f>
        <v/>
      </c>
      <c r="V272" s="256" t="str">
        <f>IF(J272="巻返し",VLOOKUP(F272&amp;K272&amp;M272,製品マスタ!$M$5:$AD$4999,18,FALSE),IF(J272="リード付け","原反コア",IF(J272="スリット",VLOOKUP(F272&amp;K272&amp;Q272,製品マスタ!$N$5:$AD$4999,17,FALSE),"")))</f>
        <v/>
      </c>
      <c r="W272" s="256" t="str">
        <f>IF(J272="巻返し",VLOOKUP(F272&amp;K272&amp;M272,製品マスタ!$M$5:$AE$4999,19,FALSE),IF(J272="リード付け","-",IF(J272="スリット",VLOOKUP(F272&amp;K272&amp;Q272,製品マスタ!$N$5:$AE$4999,18,FALSE),"")))</f>
        <v/>
      </c>
      <c r="X272" s="256" t="str">
        <f>IF(D272="","",VLOOKUP(D272,契約台帳!$A$3:$Q$4986,17,FALSE))</f>
        <v/>
      </c>
      <c r="Y272" s="256" t="str">
        <f>IF(D272="","",VLOOKUP(D272,契約台帳!$A$3:$E$4986,5,FALSE))</f>
        <v/>
      </c>
      <c r="Z272" s="54"/>
      <c r="AA272" s="200" t="str">
        <f>IFERROR(VLOOKUP(F272&amp;K272&amp;M272,製品マスタ!$M$5:$AM$4999,27,FALSE),"")</f>
        <v/>
      </c>
      <c r="AB272" s="31"/>
      <c r="AC272" s="184"/>
      <c r="AD272" s="51"/>
      <c r="AE272" s="52"/>
      <c r="AF272" s="41"/>
      <c r="AG272" s="45"/>
      <c r="AH272" s="28"/>
      <c r="AI272" s="28"/>
      <c r="AJ272" s="28"/>
      <c r="AK272" s="28"/>
      <c r="AL272" s="12"/>
      <c r="AM272" s="12"/>
      <c r="AN272" s="12"/>
      <c r="AO272" s="12"/>
      <c r="AP272" s="12"/>
      <c r="AQ272" s="13"/>
      <c r="AR272" s="14"/>
    </row>
    <row r="273" spans="1:44" s="16" customFormat="1" ht="30.95" hidden="1" customHeight="1" x14ac:dyDescent="0.2">
      <c r="A273" s="35"/>
      <c r="B273" s="36"/>
      <c r="C273" s="43"/>
      <c r="D273" s="29"/>
      <c r="E273" s="29"/>
      <c r="F273" s="255" t="str">
        <f>IF(D273="","",VLOOKUP(D273,契約台帳!$A$3:$K$4986,6,FALSE)&amp;VLOOKUP(D273,契約台帳!$A$3:$K$4986,7,FALSE)&amp;VLOOKUP(D273,契約台帳!$A$3:$K$4986,8,FALSE)&amp;VLOOKUP(D273,契約台帳!$A$3:$K$4986,9,FALSE)&amp;VLOOKUP(D273,契約台帳!$A$3:$K$4986,11,FALSE))</f>
        <v/>
      </c>
      <c r="G273" s="256" t="str">
        <f>IF(D273="","",VLOOKUP(F273,製品マスタ!$G$5:$H$4999,2,FALSE))</f>
        <v/>
      </c>
      <c r="H273" s="256" t="str">
        <f>IF(D273="","",VLOOKUP(F273,製品マスタ!$G$5:$K$4999,5,FALSE))</f>
        <v/>
      </c>
      <c r="I273" s="200" t="str">
        <f>IF(D273="","",VLOOKUP(F273,製品マスタ!$G$5:$L$4999,6,FALSE))</f>
        <v/>
      </c>
      <c r="J273" s="30"/>
      <c r="K273" s="200" t="str">
        <f>IF(D273="","",VLOOKUP(D273,契約台帳!$A$3:$L$4986,12,FALSE))</f>
        <v/>
      </c>
      <c r="L273" s="200" t="str">
        <f>IF(D273="","",INDEX(製品マスタ!$Q$5:$Q$4999,MATCH(F273&amp;K273,製品マスタ!$AO$5:$AO$4999,0)))</f>
        <v/>
      </c>
      <c r="M273" s="37"/>
      <c r="N273" s="37"/>
      <c r="O273" s="45"/>
      <c r="P273" s="54"/>
      <c r="Q273" s="260" t="str">
        <f>IF(D273="","",IF(J273="リード付け",M273,VLOOKUP(D273,契約台帳!$A$3:$N$4986,14,FALSE)))</f>
        <v/>
      </c>
      <c r="R273" s="261" t="str">
        <f>IF(D273="","",IF(J273="リード付け",M273,VLOOKUP(D273,契約台帳!$A$3:$O$4986,15,FALSE)))</f>
        <v/>
      </c>
      <c r="S273" s="261" t="str">
        <f>IF(D273="","",IF(J273="リード付け",N273,VLOOKUP(D273,契約台帳!$A$3:$P$4986,16,FALSE)))</f>
        <v/>
      </c>
      <c r="T273" s="38"/>
      <c r="U273" s="261" t="str">
        <f ca="1">IF(D273="","",IF(OFFSET(D273,-2,0)=D273,"",VLOOKUP(D273,契約台帳!$A$3:$R$4986,18,FALSE)))</f>
        <v/>
      </c>
      <c r="V273" s="256" t="str">
        <f>IF(J273="巻返し",VLOOKUP(F273&amp;K273&amp;M273,製品マスタ!$M$5:$AD$4999,18,FALSE),IF(J273="リード付け","原反コア",IF(J273="スリット",VLOOKUP(F273&amp;K273&amp;Q273,製品マスタ!$N$5:$AD$4999,17,FALSE),"")))</f>
        <v/>
      </c>
      <c r="W273" s="256" t="str">
        <f>IF(J273="巻返し",VLOOKUP(F273&amp;K273&amp;M273,製品マスタ!$M$5:$AE$4999,19,FALSE),IF(J273="リード付け","-",IF(J273="スリット",VLOOKUP(F273&amp;K273&amp;Q273,製品マスタ!$N$5:$AE$4999,18,FALSE),"")))</f>
        <v/>
      </c>
      <c r="X273" s="256" t="str">
        <f>IF(D273="","",VLOOKUP(D273,契約台帳!$A$3:$Q$4986,17,FALSE))</f>
        <v/>
      </c>
      <c r="Y273" s="256" t="str">
        <f>IF(D273="","",VLOOKUP(D273,契約台帳!$A$3:$E$4986,5,FALSE))</f>
        <v/>
      </c>
      <c r="Z273" s="54"/>
      <c r="AA273" s="200" t="str">
        <f>IFERROR(VLOOKUP(F273&amp;K273&amp;M273,製品マスタ!$M$5:$AM$4999,27,FALSE),"")</f>
        <v/>
      </c>
      <c r="AB273" s="31"/>
      <c r="AC273" s="184"/>
      <c r="AD273" s="51"/>
      <c r="AE273" s="52"/>
      <c r="AF273" s="41"/>
      <c r="AG273" s="45"/>
      <c r="AH273" s="28"/>
      <c r="AI273" s="28"/>
      <c r="AJ273" s="28"/>
      <c r="AK273" s="28"/>
      <c r="AL273" s="12"/>
      <c r="AM273" s="12"/>
      <c r="AN273" s="12"/>
      <c r="AO273" s="12"/>
      <c r="AP273" s="12"/>
      <c r="AQ273" s="13"/>
      <c r="AR273" s="14"/>
    </row>
    <row r="274" spans="1:44" s="16" customFormat="1" ht="30.95" hidden="1" customHeight="1" x14ac:dyDescent="0.2">
      <c r="A274" s="35" t="s">
        <v>975</v>
      </c>
      <c r="B274" s="36" t="s">
        <v>961</v>
      </c>
      <c r="C274" s="43"/>
      <c r="D274" s="29"/>
      <c r="E274" s="29"/>
      <c r="F274" s="255" t="str">
        <f>IF(D274="","",VLOOKUP(D274,契約台帳!$A$3:$K$4986,6,FALSE)&amp;VLOOKUP(D274,契約台帳!$A$3:$K$4986,7,FALSE)&amp;VLOOKUP(D274,契約台帳!$A$3:$K$4986,8,FALSE)&amp;VLOOKUP(D274,契約台帳!$A$3:$K$4986,9,FALSE)&amp;VLOOKUP(D274,契約台帳!$A$3:$K$4986,11,FALSE))</f>
        <v/>
      </c>
      <c r="G274" s="256" t="str">
        <f>IF(D274="","",VLOOKUP(F274,製品マスタ!$G$5:$H$4999,2,FALSE))</f>
        <v/>
      </c>
      <c r="H274" s="256" t="str">
        <f>IF(D274="","",VLOOKUP(F274,製品マスタ!$G$5:$K$4999,5,FALSE))</f>
        <v/>
      </c>
      <c r="I274" s="200" t="str">
        <f>IF(D274="","",VLOOKUP(F274,製品マスタ!$G$5:$L$4999,6,FALSE))</f>
        <v/>
      </c>
      <c r="J274" s="30" t="s">
        <v>1001</v>
      </c>
      <c r="K274" s="200" t="str">
        <f>IF(D274="","",VLOOKUP(D274,契約台帳!$A$3:$L$4986,12,FALSE))</f>
        <v/>
      </c>
      <c r="L274" s="200" t="str">
        <f>IF(D274="","",INDEX(製品マスタ!$Q$5:$Q$4999,MATCH(F274&amp;K274,製品マスタ!$AO$5:$AO$4999,0)))</f>
        <v/>
      </c>
      <c r="M274" s="37"/>
      <c r="N274" s="37"/>
      <c r="O274" s="45"/>
      <c r="P274" s="54"/>
      <c r="Q274" s="260" t="str">
        <f>IF(D274="","",IF(J274="リード付け",M274,VLOOKUP(D274,契約台帳!$A$3:$N$4986,14,FALSE)))</f>
        <v/>
      </c>
      <c r="R274" s="261" t="str">
        <f>IF(D274="","",IF(J274="リード付け",M274,VLOOKUP(D274,契約台帳!$A$3:$O$4986,15,FALSE)))</f>
        <v/>
      </c>
      <c r="S274" s="261" t="str">
        <f>IF(D274="","",IF(J274="リード付け",N274,VLOOKUP(D274,契約台帳!$A$3:$P$4986,16,FALSE)))</f>
        <v/>
      </c>
      <c r="T274" s="38"/>
      <c r="U274" s="261" t="str">
        <f ca="1">IF(D274="","",IF(OFFSET(D274,-2,0)=D274,"",VLOOKUP(D274,契約台帳!$A$3:$R$4986,18,FALSE)))</f>
        <v/>
      </c>
      <c r="V274" s="256" t="str">
        <f>IF(J274="巻返し",VLOOKUP(F274&amp;K274&amp;M274,製品マスタ!$M$5:$AD$4999,18,FALSE),IF(J274="リード付け","原反コア",IF(J274="スリット",VLOOKUP(F274&amp;K274&amp;Q274,製品マスタ!$N$5:$AD$4999,17,FALSE),"")))</f>
        <v/>
      </c>
      <c r="W274" s="256" t="str">
        <f>IF(J274="巻返し",VLOOKUP(F274&amp;K274&amp;M274,製品マスタ!$M$5:$AE$4999,19,FALSE),IF(J274="リード付け","-",IF(J274="スリット",VLOOKUP(F274&amp;K274&amp;Q274,製品マスタ!$N$5:$AE$4999,18,FALSE),"")))</f>
        <v/>
      </c>
      <c r="X274" s="256" t="str">
        <f>IF(D274="","",VLOOKUP(D274,契約台帳!$A$3:$Q$4986,17,FALSE))</f>
        <v/>
      </c>
      <c r="Y274" s="256" t="str">
        <f>IF(D274="","",VLOOKUP(D274,契約台帳!$A$3:$E$4986,5,FALSE))</f>
        <v/>
      </c>
      <c r="Z274" s="54"/>
      <c r="AA274" s="200" t="str">
        <f>IFERROR(VLOOKUP(F274&amp;K274&amp;M274,製品マスタ!$M$5:$AM$4999,27,FALSE),"")</f>
        <v/>
      </c>
      <c r="AB274" s="31"/>
      <c r="AC274" s="184"/>
      <c r="AD274" s="51"/>
      <c r="AE274" s="52"/>
      <c r="AF274" s="41"/>
      <c r="AG274" s="45"/>
      <c r="AH274" s="28"/>
      <c r="AI274" s="28"/>
      <c r="AJ274" s="28"/>
      <c r="AK274" s="28"/>
      <c r="AL274" s="12"/>
      <c r="AM274" s="12"/>
      <c r="AN274" s="12"/>
      <c r="AO274" s="12"/>
      <c r="AP274" s="12"/>
      <c r="AQ274" s="13"/>
      <c r="AR274" s="14"/>
    </row>
    <row r="275" spans="1:44" s="16" customFormat="1" ht="30.95" hidden="1" customHeight="1" x14ac:dyDescent="0.2">
      <c r="A275" s="35"/>
      <c r="B275" s="36"/>
      <c r="C275" s="43"/>
      <c r="D275" s="29"/>
      <c r="E275" s="29"/>
      <c r="F275" s="255" t="str">
        <f>IF(D275="","",VLOOKUP(D275,契約台帳!$A$3:$K$4986,6,FALSE)&amp;VLOOKUP(D275,契約台帳!$A$3:$K$4986,7,FALSE)&amp;VLOOKUP(D275,契約台帳!$A$3:$K$4986,8,FALSE)&amp;VLOOKUP(D275,契約台帳!$A$3:$K$4986,9,FALSE)&amp;VLOOKUP(D275,契約台帳!$A$3:$K$4986,11,FALSE))</f>
        <v/>
      </c>
      <c r="G275" s="256" t="str">
        <f>IF(D275="","",VLOOKUP(F275,製品マスタ!$G$5:$H$4999,2,FALSE))</f>
        <v/>
      </c>
      <c r="H275" s="256" t="str">
        <f>IF(D275="","",VLOOKUP(F275,製品マスタ!$G$5:$K$4999,5,FALSE))</f>
        <v/>
      </c>
      <c r="I275" s="200" t="str">
        <f>IF(D275="","",VLOOKUP(F275,製品マスタ!$G$5:$L$4999,6,FALSE))</f>
        <v/>
      </c>
      <c r="J275" s="30"/>
      <c r="K275" s="200" t="str">
        <f>IF(D275="","",VLOOKUP(D275,契約台帳!$A$3:$L$4986,12,FALSE))</f>
        <v/>
      </c>
      <c r="L275" s="200" t="str">
        <f>IF(D275="","",INDEX(製品マスタ!$Q$5:$Q$4999,MATCH(F275&amp;K275,製品マスタ!$AO$5:$AO$4999,0)))</f>
        <v/>
      </c>
      <c r="M275" s="37"/>
      <c r="N275" s="37"/>
      <c r="O275" s="45"/>
      <c r="P275" s="54"/>
      <c r="Q275" s="260" t="str">
        <f>IF(D275="","",IF(J275="リード付け",M275,VLOOKUP(D275,契約台帳!$A$3:$N$4986,14,FALSE)))</f>
        <v/>
      </c>
      <c r="R275" s="261" t="str">
        <f>IF(D275="","",IF(J275="リード付け",M275,VLOOKUP(D275,契約台帳!$A$3:$O$4986,15,FALSE)))</f>
        <v/>
      </c>
      <c r="S275" s="261" t="str">
        <f>IF(D275="","",IF(J275="リード付け",N275,VLOOKUP(D275,契約台帳!$A$3:$P$4986,16,FALSE)))</f>
        <v/>
      </c>
      <c r="T275" s="38"/>
      <c r="U275" s="261" t="str">
        <f ca="1">IF(D275="","",IF(OFFSET(D275,-2,0)=D275,"",VLOOKUP(D275,契約台帳!$A$3:$R$4986,18,FALSE)))</f>
        <v/>
      </c>
      <c r="V275" s="256" t="str">
        <f>IF(J275="巻返し",VLOOKUP(F275&amp;K275&amp;M275,製品マスタ!$M$5:$AD$4999,18,FALSE),IF(J275="リード付け","原反コア",IF(J275="スリット",VLOOKUP(F275&amp;K275&amp;Q275,製品マスタ!$N$5:$AD$4999,17,FALSE),"")))</f>
        <v/>
      </c>
      <c r="W275" s="256" t="str">
        <f>IF(J275="巻返し",VLOOKUP(F275&amp;K275&amp;M275,製品マスタ!$M$5:$AE$4999,19,FALSE),IF(J275="リード付け","-",IF(J275="スリット",VLOOKUP(F275&amp;K275&amp;Q275,製品マスタ!$N$5:$AE$4999,18,FALSE),"")))</f>
        <v/>
      </c>
      <c r="X275" s="256" t="str">
        <f>IF(D275="","",VLOOKUP(D275,契約台帳!$A$3:$Q$4986,17,FALSE))</f>
        <v/>
      </c>
      <c r="Y275" s="256" t="str">
        <f>IF(D275="","",VLOOKUP(D275,契約台帳!$A$3:$E$4986,5,FALSE))</f>
        <v/>
      </c>
      <c r="Z275" s="54"/>
      <c r="AA275" s="200" t="str">
        <f>IFERROR(VLOOKUP(F275&amp;K275&amp;M275,製品マスタ!$M$5:$AM$4999,27,FALSE),"")</f>
        <v/>
      </c>
      <c r="AB275" s="31"/>
      <c r="AC275" s="184"/>
      <c r="AD275" s="51"/>
      <c r="AE275" s="52"/>
      <c r="AF275" s="41"/>
      <c r="AG275" s="45"/>
      <c r="AH275" s="28"/>
      <c r="AI275" s="28"/>
      <c r="AJ275" s="28"/>
      <c r="AK275" s="28"/>
      <c r="AL275" s="12"/>
      <c r="AM275" s="12"/>
      <c r="AN275" s="12"/>
      <c r="AO275" s="12"/>
      <c r="AP275" s="12"/>
      <c r="AQ275" s="13"/>
      <c r="AR275" s="14"/>
    </row>
    <row r="276" spans="1:44" s="16" customFormat="1" ht="30.95" hidden="1" customHeight="1" x14ac:dyDescent="0.2">
      <c r="A276" s="35" t="s">
        <v>976</v>
      </c>
      <c r="B276" s="36" t="s">
        <v>963</v>
      </c>
      <c r="C276" s="43"/>
      <c r="D276" s="29"/>
      <c r="E276" s="29"/>
      <c r="F276" s="255" t="str">
        <f>IF(D276="","",VLOOKUP(D276,契約台帳!$A$3:$K$4986,6,FALSE)&amp;VLOOKUP(D276,契約台帳!$A$3:$K$4986,7,FALSE)&amp;VLOOKUP(D276,契約台帳!$A$3:$K$4986,8,FALSE)&amp;VLOOKUP(D276,契約台帳!$A$3:$K$4986,9,FALSE)&amp;VLOOKUP(D276,契約台帳!$A$3:$K$4986,11,FALSE))</f>
        <v/>
      </c>
      <c r="G276" s="256" t="str">
        <f>IF(D276="","",VLOOKUP(F276,製品マスタ!$G$5:$H$4999,2,FALSE))</f>
        <v/>
      </c>
      <c r="H276" s="256" t="str">
        <f>IF(D276="","",VLOOKUP(F276,製品マスタ!$G$5:$K$4999,5,FALSE))</f>
        <v/>
      </c>
      <c r="I276" s="200" t="str">
        <f>IF(D276="","",VLOOKUP(F276,製品マスタ!$G$5:$L$4999,6,FALSE))</f>
        <v/>
      </c>
      <c r="J276" s="30" t="s">
        <v>1002</v>
      </c>
      <c r="K276" s="200" t="str">
        <f>IF(D276="","",VLOOKUP(D276,契約台帳!$A$3:$L$4986,12,FALSE))</f>
        <v/>
      </c>
      <c r="L276" s="200" t="str">
        <f>IF(D276="","",INDEX(製品マスタ!$Q$5:$Q$4999,MATCH(F276&amp;K276,製品マスタ!$AO$5:$AO$4999,0)))</f>
        <v/>
      </c>
      <c r="M276" s="37"/>
      <c r="N276" s="37"/>
      <c r="O276" s="45"/>
      <c r="P276" s="54"/>
      <c r="Q276" s="260" t="str">
        <f>IF(D276="","",IF(J276="リード付け",M276,VLOOKUP(D276,契約台帳!$A$3:$N$4986,14,FALSE)))</f>
        <v/>
      </c>
      <c r="R276" s="261" t="str">
        <f>IF(D276="","",IF(J276="リード付け",M276,VLOOKUP(D276,契約台帳!$A$3:$O$4986,15,FALSE)))</f>
        <v/>
      </c>
      <c r="S276" s="261" t="str">
        <f>IF(D276="","",IF(J276="リード付け",N276,VLOOKUP(D276,契約台帳!$A$3:$P$4986,16,FALSE)))</f>
        <v/>
      </c>
      <c r="T276" s="38"/>
      <c r="U276" s="261" t="str">
        <f ca="1">IF(D276="","",IF(OFFSET(D276,-2,0)=D276,"",VLOOKUP(D276,契約台帳!$A$3:$R$4986,18,FALSE)))</f>
        <v/>
      </c>
      <c r="V276" s="256" t="str">
        <f>IF(J276="巻返し",VLOOKUP(F276&amp;K276&amp;M276,製品マスタ!$M$5:$AD$4999,18,FALSE),IF(J276="リード付け","原反コア",IF(J276="スリット",VLOOKUP(F276&amp;K276&amp;Q276,製品マスタ!$N$5:$AD$4999,17,FALSE),"")))</f>
        <v/>
      </c>
      <c r="W276" s="256" t="str">
        <f>IF(J276="巻返し",VLOOKUP(F276&amp;K276&amp;M276,製品マスタ!$M$5:$AE$4999,19,FALSE),IF(J276="リード付け","-",IF(J276="スリット",VLOOKUP(F276&amp;K276&amp;Q276,製品マスタ!$N$5:$AE$4999,18,FALSE),"")))</f>
        <v/>
      </c>
      <c r="X276" s="256" t="str">
        <f>IF(D276="","",VLOOKUP(D276,契約台帳!$A$3:$Q$4986,17,FALSE))</f>
        <v/>
      </c>
      <c r="Y276" s="256" t="str">
        <f>IF(D276="","",VLOOKUP(D276,契約台帳!$A$3:$E$4986,5,FALSE))</f>
        <v/>
      </c>
      <c r="Z276" s="54"/>
      <c r="AA276" s="200" t="str">
        <f>IFERROR(VLOOKUP(F276&amp;K276&amp;M276,製品マスタ!$M$5:$AM$4999,27,FALSE),"")</f>
        <v/>
      </c>
      <c r="AB276" s="31"/>
      <c r="AC276" s="184"/>
      <c r="AD276" s="51"/>
      <c r="AE276" s="52"/>
      <c r="AF276" s="41"/>
      <c r="AG276" s="45"/>
      <c r="AH276" s="28"/>
      <c r="AI276" s="28"/>
      <c r="AJ276" s="28"/>
      <c r="AK276" s="28"/>
      <c r="AL276" s="12"/>
      <c r="AM276" s="12"/>
      <c r="AN276" s="12"/>
      <c r="AO276" s="12"/>
      <c r="AP276" s="12"/>
      <c r="AQ276" s="13"/>
      <c r="AR276" s="14"/>
    </row>
    <row r="277" spans="1:44" s="16" customFormat="1" ht="30.95" hidden="1" customHeight="1" x14ac:dyDescent="0.2">
      <c r="A277" s="35"/>
      <c r="B277" s="36"/>
      <c r="C277" s="43"/>
      <c r="D277" s="29"/>
      <c r="E277" s="29"/>
      <c r="F277" s="255" t="str">
        <f>IF(D277="","",VLOOKUP(D277,契約台帳!$A$3:$K$4986,6,FALSE)&amp;VLOOKUP(D277,契約台帳!$A$3:$K$4986,7,FALSE)&amp;VLOOKUP(D277,契約台帳!$A$3:$K$4986,8,FALSE)&amp;VLOOKUP(D277,契約台帳!$A$3:$K$4986,9,FALSE)&amp;VLOOKUP(D277,契約台帳!$A$3:$K$4986,11,FALSE))</f>
        <v/>
      </c>
      <c r="G277" s="256" t="str">
        <f>IF(D277="","",VLOOKUP(F277,製品マスタ!$G$5:$H$4999,2,FALSE))</f>
        <v/>
      </c>
      <c r="H277" s="256" t="str">
        <f>IF(D277="","",VLOOKUP(F277,製品マスタ!$G$5:$K$4999,5,FALSE))</f>
        <v/>
      </c>
      <c r="I277" s="200" t="str">
        <f>IF(D277="","",VLOOKUP(F277,製品マスタ!$G$5:$L$4999,6,FALSE))</f>
        <v/>
      </c>
      <c r="J277" s="30"/>
      <c r="K277" s="200" t="str">
        <f>IF(D277="","",VLOOKUP(D277,契約台帳!$A$3:$L$4986,12,FALSE))</f>
        <v/>
      </c>
      <c r="L277" s="200" t="str">
        <f>IF(D277="","",INDEX(製品マスタ!$Q$5:$Q$4999,MATCH(F277&amp;K277,製品マスタ!$AO$5:$AO$4999,0)))</f>
        <v/>
      </c>
      <c r="M277" s="37"/>
      <c r="N277" s="37"/>
      <c r="O277" s="45"/>
      <c r="P277" s="54"/>
      <c r="Q277" s="260" t="str">
        <f>IF(D277="","",IF(J277="リード付け",M277,VLOOKUP(D277,契約台帳!$A$3:$N$4986,14,FALSE)))</f>
        <v/>
      </c>
      <c r="R277" s="261" t="str">
        <f>IF(D277="","",IF(J277="リード付け",M277,VLOOKUP(D277,契約台帳!$A$3:$O$4986,15,FALSE)))</f>
        <v/>
      </c>
      <c r="S277" s="261" t="str">
        <f>IF(D277="","",IF(J277="リード付け",N277,VLOOKUP(D277,契約台帳!$A$3:$P$4986,16,FALSE)))</f>
        <v/>
      </c>
      <c r="T277" s="38"/>
      <c r="U277" s="261" t="str">
        <f ca="1">IF(D277="","",IF(OFFSET(D277,-2,0)=D277,"",VLOOKUP(D277,契約台帳!$A$3:$R$4986,18,FALSE)))</f>
        <v/>
      </c>
      <c r="V277" s="256" t="str">
        <f>IF(J277="巻返し",VLOOKUP(F277&amp;K277&amp;M277,製品マスタ!$M$5:$AD$4999,18,FALSE),IF(J277="リード付け","原反コア",IF(J277="スリット",VLOOKUP(F277&amp;K277&amp;Q277,製品マスタ!$N$5:$AD$4999,17,FALSE),"")))</f>
        <v/>
      </c>
      <c r="W277" s="256" t="str">
        <f>IF(J277="巻返し",VLOOKUP(F277&amp;K277&amp;M277,製品マスタ!$M$5:$AE$4999,19,FALSE),IF(J277="リード付け","-",IF(J277="スリット",VLOOKUP(F277&amp;K277&amp;Q277,製品マスタ!$N$5:$AE$4999,18,FALSE),"")))</f>
        <v/>
      </c>
      <c r="X277" s="256" t="str">
        <f>IF(D277="","",VLOOKUP(D277,契約台帳!$A$3:$Q$4986,17,FALSE))</f>
        <v/>
      </c>
      <c r="Y277" s="256" t="str">
        <f>IF(D277="","",VLOOKUP(D277,契約台帳!$A$3:$E$4986,5,FALSE))</f>
        <v/>
      </c>
      <c r="Z277" s="54"/>
      <c r="AA277" s="200" t="str">
        <f>IFERROR(VLOOKUP(F277&amp;K277&amp;M277,製品マスタ!$M$5:$AM$4999,27,FALSE),"")</f>
        <v/>
      </c>
      <c r="AB277" s="31"/>
      <c r="AC277" s="184"/>
      <c r="AD277" s="51"/>
      <c r="AE277" s="52"/>
      <c r="AF277" s="41"/>
      <c r="AG277" s="45"/>
      <c r="AH277" s="28"/>
      <c r="AI277" s="28"/>
      <c r="AJ277" s="28"/>
      <c r="AK277" s="28"/>
      <c r="AL277" s="12"/>
      <c r="AM277" s="12"/>
      <c r="AN277" s="12"/>
      <c r="AO277" s="12"/>
      <c r="AP277" s="12"/>
      <c r="AQ277" s="13"/>
      <c r="AR277" s="14"/>
    </row>
    <row r="278" spans="1:44" s="16" customFormat="1" ht="30.95" hidden="1" customHeight="1" x14ac:dyDescent="0.2">
      <c r="A278" s="35" t="s">
        <v>977</v>
      </c>
      <c r="B278" s="36" t="s">
        <v>956</v>
      </c>
      <c r="C278" s="43"/>
      <c r="D278" s="29"/>
      <c r="E278" s="29"/>
      <c r="F278" s="255" t="str">
        <f>IF(D278="","",VLOOKUP(D278,契約台帳!$A$3:$K$4986,6,FALSE)&amp;VLOOKUP(D278,契約台帳!$A$3:$K$4986,7,FALSE)&amp;VLOOKUP(D278,契約台帳!$A$3:$K$4986,8,FALSE)&amp;VLOOKUP(D278,契約台帳!$A$3:$K$4986,9,FALSE)&amp;VLOOKUP(D278,契約台帳!$A$3:$K$4986,11,FALSE))</f>
        <v/>
      </c>
      <c r="G278" s="256" t="str">
        <f>IF(D278="","",VLOOKUP(F278,製品マスタ!$G$5:$H$4999,2,FALSE))</f>
        <v/>
      </c>
      <c r="H278" s="256" t="str">
        <f>IF(D278="","",VLOOKUP(F278,製品マスタ!$G$5:$K$4999,5,FALSE))</f>
        <v/>
      </c>
      <c r="I278" s="200" t="str">
        <f>IF(D278="","",VLOOKUP(F278,製品マスタ!$G$5:$L$4999,6,FALSE))</f>
        <v/>
      </c>
      <c r="J278" s="30" t="s">
        <v>1002</v>
      </c>
      <c r="K278" s="200" t="str">
        <f>IF(D278="","",VLOOKUP(D278,契約台帳!$A$3:$L$4986,12,FALSE))</f>
        <v/>
      </c>
      <c r="L278" s="200" t="str">
        <f>IF(D278="","",INDEX(製品マスタ!$Q$5:$Q$4999,MATCH(F278&amp;K278,製品マスタ!$AO$5:$AO$4999,0)))</f>
        <v/>
      </c>
      <c r="M278" s="37"/>
      <c r="N278" s="37"/>
      <c r="O278" s="45"/>
      <c r="P278" s="54"/>
      <c r="Q278" s="260" t="str">
        <f>IF(D278="","",IF(J278="リード付け",M278,VLOOKUP(D278,契約台帳!$A$3:$N$4986,14,FALSE)))</f>
        <v/>
      </c>
      <c r="R278" s="261" t="str">
        <f>IF(D278="","",IF(J278="リード付け",M278,VLOOKUP(D278,契約台帳!$A$3:$O$4986,15,FALSE)))</f>
        <v/>
      </c>
      <c r="S278" s="261" t="str">
        <f>IF(D278="","",IF(J278="リード付け",N278,VLOOKUP(D278,契約台帳!$A$3:$P$4986,16,FALSE)))</f>
        <v/>
      </c>
      <c r="T278" s="38"/>
      <c r="U278" s="261" t="str">
        <f ca="1">IF(D278="","",IF(OFFSET(D278,-2,0)=D278,"",VLOOKUP(D278,契約台帳!$A$3:$R$4986,18,FALSE)))</f>
        <v/>
      </c>
      <c r="V278" s="256" t="str">
        <f>IF(J278="巻返し",VLOOKUP(F278&amp;K278&amp;M278,製品マスタ!$M$5:$AD$4999,18,FALSE),IF(J278="リード付け","原反コア",IF(J278="スリット",VLOOKUP(F278&amp;K278&amp;Q278,製品マスタ!$N$5:$AD$4999,17,FALSE),"")))</f>
        <v/>
      </c>
      <c r="W278" s="256" t="str">
        <f>IF(J278="巻返し",VLOOKUP(F278&amp;K278&amp;M278,製品マスタ!$M$5:$AE$4999,19,FALSE),IF(J278="リード付け","-",IF(J278="スリット",VLOOKUP(F278&amp;K278&amp;Q278,製品マスタ!$N$5:$AE$4999,18,FALSE),"")))</f>
        <v/>
      </c>
      <c r="X278" s="256" t="str">
        <f>IF(D278="","",VLOOKUP(D278,契約台帳!$A$3:$Q$4986,17,FALSE))</f>
        <v/>
      </c>
      <c r="Y278" s="256" t="str">
        <f>IF(D278="","",VLOOKUP(D278,契約台帳!$A$3:$E$4986,5,FALSE))</f>
        <v/>
      </c>
      <c r="Z278" s="54"/>
      <c r="AA278" s="200" t="str">
        <f>IFERROR(VLOOKUP(F278&amp;K278&amp;M278,製品マスタ!$M$5:$AM$4999,27,FALSE),"")</f>
        <v/>
      </c>
      <c r="AB278" s="31"/>
      <c r="AC278" s="184"/>
      <c r="AD278" s="51"/>
      <c r="AE278" s="52"/>
      <c r="AF278" s="41"/>
      <c r="AG278" s="45"/>
      <c r="AH278" s="28"/>
      <c r="AI278" s="28"/>
      <c r="AJ278" s="28"/>
      <c r="AK278" s="28"/>
      <c r="AL278" s="12"/>
      <c r="AM278" s="12"/>
      <c r="AN278" s="12"/>
      <c r="AO278" s="12"/>
      <c r="AP278" s="12"/>
      <c r="AQ278" s="13"/>
      <c r="AR278" s="14"/>
    </row>
    <row r="279" spans="1:44" s="16" customFormat="1" ht="30.95" hidden="1" customHeight="1" x14ac:dyDescent="0.2">
      <c r="A279" s="35"/>
      <c r="B279" s="36"/>
      <c r="C279" s="43"/>
      <c r="D279" s="29"/>
      <c r="E279" s="29"/>
      <c r="F279" s="255" t="str">
        <f>IF(D279="","",VLOOKUP(D279,契約台帳!$A$3:$K$4986,6,FALSE)&amp;VLOOKUP(D279,契約台帳!$A$3:$K$4986,7,FALSE)&amp;VLOOKUP(D279,契約台帳!$A$3:$K$4986,8,FALSE)&amp;VLOOKUP(D279,契約台帳!$A$3:$K$4986,9,FALSE)&amp;VLOOKUP(D279,契約台帳!$A$3:$K$4986,11,FALSE))</f>
        <v/>
      </c>
      <c r="G279" s="256" t="str">
        <f>IF(D279="","",VLOOKUP(F279,製品マスタ!$G$5:$H$4999,2,FALSE))</f>
        <v/>
      </c>
      <c r="H279" s="256" t="str">
        <f>IF(D279="","",VLOOKUP(F279,製品マスタ!$G$5:$K$4999,5,FALSE))</f>
        <v/>
      </c>
      <c r="I279" s="200" t="str">
        <f>IF(D279="","",VLOOKUP(F279,製品マスタ!$G$5:$L$4999,6,FALSE))</f>
        <v/>
      </c>
      <c r="J279" s="30"/>
      <c r="K279" s="200" t="str">
        <f>IF(D279="","",VLOOKUP(D279,契約台帳!$A$3:$L$4986,12,FALSE))</f>
        <v/>
      </c>
      <c r="L279" s="200" t="str">
        <f>IF(D279="","",INDEX(製品マスタ!$Q$5:$Q$4999,MATCH(F279&amp;K279,製品マスタ!$AO$5:$AO$4999,0)))</f>
        <v/>
      </c>
      <c r="M279" s="37"/>
      <c r="N279" s="37"/>
      <c r="O279" s="45"/>
      <c r="P279" s="54"/>
      <c r="Q279" s="260" t="str">
        <f>IF(D279="","",IF(J279="リード付け",M279,VLOOKUP(D279,契約台帳!$A$3:$N$4986,14,FALSE)))</f>
        <v/>
      </c>
      <c r="R279" s="261" t="str">
        <f>IF(D279="","",IF(J279="リード付け",M279,VLOOKUP(D279,契約台帳!$A$3:$O$4986,15,FALSE)))</f>
        <v/>
      </c>
      <c r="S279" s="261" t="str">
        <f>IF(D279="","",IF(J279="リード付け",N279,VLOOKUP(D279,契約台帳!$A$3:$P$4986,16,FALSE)))</f>
        <v/>
      </c>
      <c r="T279" s="38"/>
      <c r="U279" s="261" t="str">
        <f ca="1">IF(D279="","",IF(OFFSET(D279,-2,0)=D279,"",VLOOKUP(D279,契約台帳!$A$3:$R$4986,18,FALSE)))</f>
        <v/>
      </c>
      <c r="V279" s="256" t="str">
        <f>IF(J279="巻返し",VLOOKUP(F279&amp;K279&amp;M279,製品マスタ!$M$5:$AD$4999,18,FALSE),IF(J279="リード付け","原反コア",IF(J279="スリット",VLOOKUP(F279&amp;K279&amp;Q279,製品マスタ!$N$5:$AD$4999,17,FALSE),"")))</f>
        <v/>
      </c>
      <c r="W279" s="256" t="str">
        <f>IF(J279="巻返し",VLOOKUP(F279&amp;K279&amp;M279,製品マスタ!$M$5:$AE$4999,19,FALSE),IF(J279="リード付け","-",IF(J279="スリット",VLOOKUP(F279&amp;K279&amp;Q279,製品マスタ!$N$5:$AE$4999,18,FALSE),"")))</f>
        <v/>
      </c>
      <c r="X279" s="256" t="str">
        <f>IF(D279="","",VLOOKUP(D279,契約台帳!$A$3:$Q$4986,17,FALSE))</f>
        <v/>
      </c>
      <c r="Y279" s="256" t="str">
        <f>IF(D279="","",VLOOKUP(D279,契約台帳!$A$3:$E$4986,5,FALSE))</f>
        <v/>
      </c>
      <c r="Z279" s="54"/>
      <c r="AA279" s="200" t="str">
        <f>IFERROR(VLOOKUP(F279&amp;K279&amp;M279,製品マスタ!$M$5:$AM$4999,27,FALSE),"")</f>
        <v/>
      </c>
      <c r="AB279" s="31"/>
      <c r="AC279" s="184"/>
      <c r="AD279" s="51"/>
      <c r="AE279" s="52"/>
      <c r="AF279" s="41"/>
      <c r="AG279" s="45"/>
      <c r="AH279" s="28"/>
      <c r="AI279" s="28"/>
      <c r="AJ279" s="28"/>
      <c r="AK279" s="28"/>
      <c r="AL279" s="12"/>
      <c r="AM279" s="12"/>
      <c r="AN279" s="12"/>
      <c r="AO279" s="12"/>
      <c r="AP279" s="12"/>
      <c r="AQ279" s="13"/>
      <c r="AR279" s="14"/>
    </row>
    <row r="280" spans="1:44" s="225" customFormat="1" ht="30.95" hidden="1" customHeight="1" x14ac:dyDescent="0.2">
      <c r="A280" s="209"/>
      <c r="B280" s="210"/>
      <c r="C280" s="262"/>
      <c r="D280" s="211"/>
      <c r="E280" s="211"/>
      <c r="F280" s="263"/>
      <c r="G280" s="264"/>
      <c r="H280" s="264"/>
      <c r="I280" s="265"/>
      <c r="J280" s="212"/>
      <c r="K280" s="265"/>
      <c r="L280" s="265"/>
      <c r="M280" s="213"/>
      <c r="N280" s="213"/>
      <c r="O280" s="214"/>
      <c r="P280" s="206"/>
      <c r="Q280" s="266"/>
      <c r="R280" s="267"/>
      <c r="S280" s="267"/>
      <c r="T280" s="216"/>
      <c r="U280" s="267"/>
      <c r="V280" s="264"/>
      <c r="W280" s="264"/>
      <c r="X280" s="264"/>
      <c r="Y280" s="264"/>
      <c r="Z280" s="206"/>
      <c r="AA280" s="265"/>
      <c r="AB280" s="217"/>
      <c r="AC280" s="218"/>
      <c r="AD280" s="219"/>
      <c r="AE280" s="220"/>
      <c r="AF280" s="215"/>
      <c r="AG280" s="226">
        <f>SUM(AG192:AG278)</f>
        <v>818848.40749999997</v>
      </c>
      <c r="AH280" s="221"/>
      <c r="AI280" s="221"/>
      <c r="AJ280" s="221"/>
      <c r="AK280" s="221"/>
      <c r="AL280" s="222"/>
      <c r="AM280" s="222"/>
      <c r="AN280" s="222"/>
      <c r="AO280" s="222"/>
      <c r="AP280" s="222"/>
      <c r="AQ280" s="223"/>
      <c r="AR280" s="224"/>
    </row>
    <row r="281" spans="1:44" s="16" customFormat="1" ht="30.95" hidden="1" customHeight="1" x14ac:dyDescent="0.2">
      <c r="A281" s="35"/>
      <c r="B281" s="36"/>
      <c r="C281" s="43"/>
      <c r="D281" s="29"/>
      <c r="E281" s="29"/>
      <c r="F281" s="255"/>
      <c r="G281" s="256"/>
      <c r="H281" s="256"/>
      <c r="I281" s="200"/>
      <c r="J281" s="30"/>
      <c r="K281" s="200"/>
      <c r="L281" s="200"/>
      <c r="M281" s="37"/>
      <c r="N281" s="37"/>
      <c r="O281" s="45"/>
      <c r="P281" s="54"/>
      <c r="Q281" s="260"/>
      <c r="R281" s="261"/>
      <c r="S281" s="261"/>
      <c r="T281" s="38"/>
      <c r="U281" s="261"/>
      <c r="V281" s="256"/>
      <c r="W281" s="256"/>
      <c r="X281" s="256"/>
      <c r="Y281" s="256"/>
      <c r="Z281" s="54"/>
      <c r="AA281" s="200"/>
      <c r="AB281" s="31"/>
      <c r="AC281" s="184"/>
      <c r="AD281" s="51"/>
      <c r="AE281" s="52"/>
      <c r="AF281" s="41"/>
      <c r="AG281" s="45"/>
      <c r="AH281" s="28"/>
      <c r="AI281" s="28"/>
      <c r="AJ281" s="28"/>
      <c r="AK281" s="28"/>
      <c r="AL281" s="12"/>
      <c r="AM281" s="12"/>
      <c r="AN281" s="12"/>
      <c r="AO281" s="12"/>
      <c r="AP281" s="12"/>
      <c r="AQ281" s="13"/>
      <c r="AR281" s="14"/>
    </row>
    <row r="282" spans="1:44" s="16" customFormat="1" ht="30.95" hidden="1" customHeight="1" x14ac:dyDescent="0.2">
      <c r="A282" s="35" t="s">
        <v>978</v>
      </c>
      <c r="B282" s="36" t="s">
        <v>957</v>
      </c>
      <c r="C282" s="43"/>
      <c r="D282" s="29"/>
      <c r="E282" s="29"/>
      <c r="F282" s="255" t="str">
        <f>IF(D282="","",VLOOKUP(D282,契約台帳!$A$3:$K$4986,6,FALSE)&amp;VLOOKUP(D282,契約台帳!$A$3:$K$4986,7,FALSE)&amp;VLOOKUP(D282,契約台帳!$A$3:$K$4986,8,FALSE)&amp;VLOOKUP(D282,契約台帳!$A$3:$K$4986,9,FALSE)&amp;VLOOKUP(D282,契約台帳!$A$3:$K$4986,11,FALSE))</f>
        <v/>
      </c>
      <c r="G282" s="256" t="str">
        <f>IF(D282="","",VLOOKUP(F282,製品マスタ!$G$5:$H$4999,2,FALSE))</f>
        <v/>
      </c>
      <c r="H282" s="256" t="str">
        <f>IF(D282="","",VLOOKUP(F282,製品マスタ!$G$5:$K$4999,5,FALSE))</f>
        <v/>
      </c>
      <c r="I282" s="200" t="str">
        <f>IF(D282="","",VLOOKUP(F282,製品マスタ!$G$5:$L$4999,6,FALSE))</f>
        <v/>
      </c>
      <c r="J282" s="30" t="s">
        <v>1003</v>
      </c>
      <c r="K282" s="200" t="str">
        <f>IF(D282="","",VLOOKUP(D282,契約台帳!$A$3:$L$4986,12,FALSE))</f>
        <v/>
      </c>
      <c r="L282" s="200" t="str">
        <f>IF(D282="","",INDEX(製品マスタ!$Q$5:$Q$4999,MATCH(F282&amp;K282,製品マスタ!$AO$5:$AO$4999,0)))</f>
        <v/>
      </c>
      <c r="M282" s="37"/>
      <c r="N282" s="37"/>
      <c r="O282" s="45"/>
      <c r="P282" s="54"/>
      <c r="Q282" s="260" t="str">
        <f>IF(D282="","",IF(J282="リード付け",M282,VLOOKUP(D282,契約台帳!$A$3:$N$4986,14,FALSE)))</f>
        <v/>
      </c>
      <c r="R282" s="261" t="str">
        <f>IF(D282="","",IF(J282="リード付け",M282,VLOOKUP(D282,契約台帳!$A$3:$O$4986,15,FALSE)))</f>
        <v/>
      </c>
      <c r="S282" s="261" t="str">
        <f>IF(D282="","",IF(J282="リード付け",N282,VLOOKUP(D282,契約台帳!$A$3:$P$4986,16,FALSE)))</f>
        <v/>
      </c>
      <c r="T282" s="38"/>
      <c r="U282" s="261" t="str">
        <f ca="1">IF(D282="","",IF(OFFSET(D282,-2,0)=D282,"",VLOOKUP(D282,契約台帳!$A$3:$R$4986,18,FALSE)))</f>
        <v/>
      </c>
      <c r="V282" s="256" t="str">
        <f>IF(J282="巻返し",VLOOKUP(F282&amp;K282&amp;M282,製品マスタ!$M$5:$AD$4999,18,FALSE),IF(J282="リード付け","原反コア",IF(J282="スリット",VLOOKUP(F282&amp;K282&amp;Q282,製品マスタ!$N$5:$AD$4999,17,FALSE),"")))</f>
        <v/>
      </c>
      <c r="W282" s="256" t="str">
        <f>IF(J282="巻返し",VLOOKUP(F282&amp;K282&amp;M282,製品マスタ!$M$5:$AE$4999,19,FALSE),IF(J282="リード付け","-",IF(J282="スリット",VLOOKUP(F282&amp;K282&amp;Q282,製品マスタ!$N$5:$AE$4999,18,FALSE),"")))</f>
        <v/>
      </c>
      <c r="X282" s="256" t="str">
        <f>IF(D282="","",VLOOKUP(D282,契約台帳!$A$3:$Q$4986,17,FALSE))</f>
        <v/>
      </c>
      <c r="Y282" s="256" t="str">
        <f>IF(D282="","",VLOOKUP(D282,契約台帳!$A$3:$E$4986,5,FALSE))</f>
        <v/>
      </c>
      <c r="Z282" s="54"/>
      <c r="AA282" s="200" t="str">
        <f>IFERROR(VLOOKUP(F282&amp;K282&amp;M282,製品マスタ!$M$5:$AM$4999,27,FALSE),"")</f>
        <v/>
      </c>
      <c r="AB282" s="31"/>
      <c r="AC282" s="184"/>
      <c r="AD282" s="51"/>
      <c r="AE282" s="52"/>
      <c r="AF282" s="41"/>
      <c r="AG282" s="45"/>
      <c r="AH282" s="28"/>
      <c r="AI282" s="28"/>
      <c r="AJ282" s="28"/>
      <c r="AK282" s="28"/>
      <c r="AL282" s="12"/>
      <c r="AM282" s="12"/>
      <c r="AN282" s="12"/>
      <c r="AO282" s="12"/>
      <c r="AP282" s="12"/>
      <c r="AQ282" s="13"/>
      <c r="AR282" s="14"/>
    </row>
    <row r="283" spans="1:44" s="16" customFormat="1" ht="30.95" hidden="1" customHeight="1" x14ac:dyDescent="0.2">
      <c r="A283" s="35"/>
      <c r="B283" s="36"/>
      <c r="C283" s="43"/>
      <c r="D283" s="29"/>
      <c r="E283" s="29"/>
      <c r="F283" s="255" t="str">
        <f>IF(D283="","",VLOOKUP(D283,契約台帳!$A$3:$K$4986,6,FALSE)&amp;VLOOKUP(D283,契約台帳!$A$3:$K$4986,7,FALSE)&amp;VLOOKUP(D283,契約台帳!$A$3:$K$4986,8,FALSE)&amp;VLOOKUP(D283,契約台帳!$A$3:$K$4986,9,FALSE)&amp;VLOOKUP(D283,契約台帳!$A$3:$K$4986,11,FALSE))</f>
        <v/>
      </c>
      <c r="G283" s="256" t="str">
        <f>IF(D283="","",VLOOKUP(F283,製品マスタ!$G$5:$H$4999,2,FALSE))</f>
        <v/>
      </c>
      <c r="H283" s="256" t="str">
        <f>IF(D283="","",VLOOKUP(F283,製品マスタ!$G$5:$K$4999,5,FALSE))</f>
        <v/>
      </c>
      <c r="I283" s="200" t="str">
        <f>IF(D283="","",VLOOKUP(F283,製品マスタ!$G$5:$L$4999,6,FALSE))</f>
        <v/>
      </c>
      <c r="J283" s="30"/>
      <c r="K283" s="200" t="str">
        <f>IF(D283="","",VLOOKUP(D283,契約台帳!$A$3:$L$4986,12,FALSE))</f>
        <v/>
      </c>
      <c r="L283" s="200" t="str">
        <f>IF(D283="","",INDEX(製品マスタ!$Q$5:$Q$4999,MATCH(F283&amp;K283,製品マスタ!$AO$5:$AO$4999,0)))</f>
        <v/>
      </c>
      <c r="M283" s="37"/>
      <c r="N283" s="37"/>
      <c r="O283" s="45"/>
      <c r="P283" s="54"/>
      <c r="Q283" s="260" t="str">
        <f>IF(D283="","",IF(J283="リード付け",M283,VLOOKUP(D283,契約台帳!$A$3:$N$4986,14,FALSE)))</f>
        <v/>
      </c>
      <c r="R283" s="261" t="str">
        <f>IF(D283="","",IF(J283="リード付け",M283,VLOOKUP(D283,契約台帳!$A$3:$O$4986,15,FALSE)))</f>
        <v/>
      </c>
      <c r="S283" s="261" t="str">
        <f>IF(D283="","",IF(J283="リード付け",N283,VLOOKUP(D283,契約台帳!$A$3:$P$4986,16,FALSE)))</f>
        <v/>
      </c>
      <c r="T283" s="38"/>
      <c r="U283" s="261" t="str">
        <f ca="1">IF(D283="","",IF(OFFSET(D283,-2,0)=D283,"",VLOOKUP(D283,契約台帳!$A$3:$R$4986,18,FALSE)))</f>
        <v/>
      </c>
      <c r="V283" s="256" t="str">
        <f>IF(J283="巻返し",VLOOKUP(F283&amp;K283&amp;M283,製品マスタ!$M$5:$AD$4999,18,FALSE),IF(J283="リード付け","原反コア",IF(J283="スリット",VLOOKUP(F283&amp;K283&amp;Q283,製品マスタ!$N$5:$AD$4999,17,FALSE),"")))</f>
        <v/>
      </c>
      <c r="W283" s="256" t="str">
        <f>IF(J283="巻返し",VLOOKUP(F283&amp;K283&amp;M283,製品マスタ!$M$5:$AE$4999,19,FALSE),IF(J283="リード付け","-",IF(J283="スリット",VLOOKUP(F283&amp;K283&amp;Q283,製品マスタ!$N$5:$AE$4999,18,FALSE),"")))</f>
        <v/>
      </c>
      <c r="X283" s="256" t="str">
        <f>IF(D283="","",VLOOKUP(D283,契約台帳!$A$3:$Q$4986,17,FALSE))</f>
        <v/>
      </c>
      <c r="Y283" s="256" t="str">
        <f>IF(D283="","",VLOOKUP(D283,契約台帳!$A$3:$E$4986,5,FALSE))</f>
        <v/>
      </c>
      <c r="Z283" s="54"/>
      <c r="AA283" s="200" t="str">
        <f>IFERROR(VLOOKUP(F283&amp;K283&amp;M283,製品マスタ!$M$5:$AM$4999,27,FALSE),"")</f>
        <v/>
      </c>
      <c r="AB283" s="31"/>
      <c r="AC283" s="184"/>
      <c r="AD283" s="51"/>
      <c r="AE283" s="52"/>
      <c r="AF283" s="41"/>
      <c r="AG283" s="45"/>
      <c r="AH283" s="28"/>
      <c r="AI283" s="28"/>
      <c r="AJ283" s="28"/>
      <c r="AK283" s="28"/>
      <c r="AL283" s="12"/>
      <c r="AM283" s="12"/>
      <c r="AN283" s="12"/>
      <c r="AO283" s="12"/>
      <c r="AP283" s="12"/>
      <c r="AQ283" s="13"/>
      <c r="AR283" s="14"/>
    </row>
    <row r="284" spans="1:44" s="16" customFormat="1" ht="30.95" hidden="1" customHeight="1" x14ac:dyDescent="0.2">
      <c r="A284" s="35" t="s">
        <v>979</v>
      </c>
      <c r="B284" s="36" t="s">
        <v>958</v>
      </c>
      <c r="C284" s="43"/>
      <c r="D284" s="29"/>
      <c r="E284" s="29"/>
      <c r="F284" s="255" t="str">
        <f>IF(D284="","",VLOOKUP(D284,契約台帳!$A$3:$K$4986,6,FALSE)&amp;VLOOKUP(D284,契約台帳!$A$3:$K$4986,7,FALSE)&amp;VLOOKUP(D284,契約台帳!$A$3:$K$4986,8,FALSE)&amp;VLOOKUP(D284,契約台帳!$A$3:$K$4986,9,FALSE)&amp;VLOOKUP(D284,契約台帳!$A$3:$K$4986,11,FALSE))</f>
        <v/>
      </c>
      <c r="G284" s="256" t="str">
        <f>IF(D284="","",VLOOKUP(F284,製品マスタ!$G$5:$H$4999,2,FALSE))</f>
        <v/>
      </c>
      <c r="H284" s="256" t="str">
        <f>IF(D284="","",VLOOKUP(F284,製品マスタ!$G$5:$K$4999,5,FALSE))</f>
        <v/>
      </c>
      <c r="I284" s="200" t="str">
        <f>IF(D284="","",VLOOKUP(F284,製品マスタ!$G$5:$L$4999,6,FALSE))</f>
        <v/>
      </c>
      <c r="J284" s="30" t="s">
        <v>1003</v>
      </c>
      <c r="K284" s="200" t="str">
        <f>IF(D284="","",VLOOKUP(D284,契約台帳!$A$3:$L$4986,12,FALSE))</f>
        <v/>
      </c>
      <c r="L284" s="200" t="str">
        <f>IF(D284="","",INDEX(製品マスタ!$Q$5:$Q$4999,MATCH(F284&amp;K284,製品マスタ!$AO$5:$AO$4999,0)))</f>
        <v/>
      </c>
      <c r="M284" s="37"/>
      <c r="N284" s="37"/>
      <c r="O284" s="45"/>
      <c r="P284" s="54"/>
      <c r="Q284" s="260" t="str">
        <f>IF(D284="","",IF(J284="リード付け",M284,VLOOKUP(D284,契約台帳!$A$3:$N$4986,14,FALSE)))</f>
        <v/>
      </c>
      <c r="R284" s="261" t="str">
        <f>IF(D284="","",IF(J284="リード付け",M284,VLOOKUP(D284,契約台帳!$A$3:$O$4986,15,FALSE)))</f>
        <v/>
      </c>
      <c r="S284" s="261" t="str">
        <f>IF(D284="","",IF(J284="リード付け",N284,VLOOKUP(D284,契約台帳!$A$3:$P$4986,16,FALSE)))</f>
        <v/>
      </c>
      <c r="T284" s="38"/>
      <c r="U284" s="261" t="str">
        <f ca="1">IF(D284="","",IF(OFFSET(D284,-2,0)=D284,"",VLOOKUP(D284,契約台帳!$A$3:$R$4986,18,FALSE)))</f>
        <v/>
      </c>
      <c r="V284" s="256" t="str">
        <f>IF(J284="巻返し",VLOOKUP(F284&amp;K284&amp;M284,製品マスタ!$M$5:$AD$4999,18,FALSE),IF(J284="リード付け","原反コア",IF(J284="スリット",VLOOKUP(F284&amp;K284&amp;Q284,製品マスタ!$N$5:$AD$4999,17,FALSE),"")))</f>
        <v/>
      </c>
      <c r="W284" s="256" t="str">
        <f>IF(J284="巻返し",VLOOKUP(F284&amp;K284&amp;M284,製品マスタ!$M$5:$AE$4999,19,FALSE),IF(J284="リード付け","-",IF(J284="スリット",VLOOKUP(F284&amp;K284&amp;Q284,製品マスタ!$N$5:$AE$4999,18,FALSE),"")))</f>
        <v/>
      </c>
      <c r="X284" s="256" t="str">
        <f>IF(D284="","",VLOOKUP(D284,契約台帳!$A$3:$Q$4986,17,FALSE))</f>
        <v/>
      </c>
      <c r="Y284" s="256" t="str">
        <f>IF(D284="","",VLOOKUP(D284,契約台帳!$A$3:$E$4986,5,FALSE))</f>
        <v/>
      </c>
      <c r="Z284" s="54"/>
      <c r="AA284" s="200" t="str">
        <f>IFERROR(VLOOKUP(F284&amp;K284&amp;M284,製品マスタ!$M$5:$AM$4999,27,FALSE),"")</f>
        <v/>
      </c>
      <c r="AB284" s="31"/>
      <c r="AC284" s="184"/>
      <c r="AD284" s="51"/>
      <c r="AE284" s="52"/>
      <c r="AF284" s="41"/>
      <c r="AG284" s="45"/>
      <c r="AH284" s="28"/>
      <c r="AI284" s="28"/>
      <c r="AJ284" s="28"/>
      <c r="AK284" s="28"/>
      <c r="AL284" s="12"/>
      <c r="AM284" s="12"/>
      <c r="AN284" s="12"/>
      <c r="AO284" s="12"/>
      <c r="AP284" s="12"/>
      <c r="AQ284" s="13"/>
      <c r="AR284" s="14"/>
    </row>
    <row r="285" spans="1:44" s="16" customFormat="1" ht="30.95" hidden="1" customHeight="1" x14ac:dyDescent="0.2">
      <c r="A285" s="35"/>
      <c r="B285" s="36"/>
      <c r="C285" s="43"/>
      <c r="D285" s="29"/>
      <c r="E285" s="29"/>
      <c r="F285" s="255" t="str">
        <f>IF(D285="","",VLOOKUP(D285,契約台帳!$A$3:$K$4986,6,FALSE)&amp;VLOOKUP(D285,契約台帳!$A$3:$K$4986,7,FALSE)&amp;VLOOKUP(D285,契約台帳!$A$3:$K$4986,8,FALSE)&amp;VLOOKUP(D285,契約台帳!$A$3:$K$4986,9,FALSE)&amp;VLOOKUP(D285,契約台帳!$A$3:$K$4986,11,FALSE))</f>
        <v/>
      </c>
      <c r="G285" s="256" t="str">
        <f>IF(D285="","",VLOOKUP(F285,製品マスタ!$G$5:$H$4999,2,FALSE))</f>
        <v/>
      </c>
      <c r="H285" s="256" t="str">
        <f>IF(D285="","",VLOOKUP(F285,製品マスタ!$G$5:$K$4999,5,FALSE))</f>
        <v/>
      </c>
      <c r="I285" s="200" t="str">
        <f>IF(D285="","",VLOOKUP(F285,製品マスタ!$G$5:$L$4999,6,FALSE))</f>
        <v/>
      </c>
      <c r="J285" s="30"/>
      <c r="K285" s="200" t="str">
        <f>IF(D285="","",VLOOKUP(D285,契約台帳!$A$3:$L$4986,12,FALSE))</f>
        <v/>
      </c>
      <c r="L285" s="200" t="str">
        <f>IF(D285="","",INDEX(製品マスタ!$Q$5:$Q$4999,MATCH(F285&amp;K285,製品マスタ!$AO$5:$AO$4999,0)))</f>
        <v/>
      </c>
      <c r="M285" s="37"/>
      <c r="N285" s="37"/>
      <c r="O285" s="45"/>
      <c r="P285" s="54"/>
      <c r="Q285" s="260" t="str">
        <f>IF(D285="","",IF(J285="リード付け",M285,VLOOKUP(D285,契約台帳!$A$3:$N$4986,14,FALSE)))</f>
        <v/>
      </c>
      <c r="R285" s="261" t="str">
        <f>IF(D285="","",IF(J285="リード付け",M285,VLOOKUP(D285,契約台帳!$A$3:$O$4986,15,FALSE)))</f>
        <v/>
      </c>
      <c r="S285" s="261" t="str">
        <f>IF(D285="","",IF(J285="リード付け",N285,VLOOKUP(D285,契約台帳!$A$3:$P$4986,16,FALSE)))</f>
        <v/>
      </c>
      <c r="T285" s="38"/>
      <c r="U285" s="261" t="str">
        <f ca="1">IF(D285="","",IF(OFFSET(D285,-2,0)=D285,"",VLOOKUP(D285,契約台帳!$A$3:$R$4986,18,FALSE)))</f>
        <v/>
      </c>
      <c r="V285" s="256" t="str">
        <f>IF(J285="巻返し",VLOOKUP(F285&amp;K285&amp;M285,製品マスタ!$M$5:$AD$4999,18,FALSE),IF(J285="リード付け","原反コア",IF(J285="スリット",VLOOKUP(F285&amp;K285&amp;Q285,製品マスタ!$N$5:$AD$4999,17,FALSE),"")))</f>
        <v/>
      </c>
      <c r="W285" s="256" t="str">
        <f>IF(J285="巻返し",VLOOKUP(F285&amp;K285&amp;M285,製品マスタ!$M$5:$AE$4999,19,FALSE),IF(J285="リード付け","-",IF(J285="スリット",VLOOKUP(F285&amp;K285&amp;Q285,製品マスタ!$N$5:$AE$4999,18,FALSE),"")))</f>
        <v/>
      </c>
      <c r="X285" s="256" t="str">
        <f>IF(D285="","",VLOOKUP(D285,契約台帳!$A$3:$Q$4986,17,FALSE))</f>
        <v/>
      </c>
      <c r="Y285" s="256" t="str">
        <f>IF(D285="","",VLOOKUP(D285,契約台帳!$A$3:$E$4986,5,FALSE))</f>
        <v/>
      </c>
      <c r="Z285" s="54"/>
      <c r="AA285" s="200" t="str">
        <f>IFERROR(VLOOKUP(F285&amp;K285&amp;M285,製品マスタ!$M$5:$AM$4999,27,FALSE),"")</f>
        <v/>
      </c>
      <c r="AB285" s="31"/>
      <c r="AC285" s="184"/>
      <c r="AD285" s="51"/>
      <c r="AE285" s="52"/>
      <c r="AF285" s="41"/>
      <c r="AG285" s="45"/>
      <c r="AH285" s="28"/>
      <c r="AI285" s="28"/>
      <c r="AJ285" s="28"/>
      <c r="AK285" s="28"/>
      <c r="AL285" s="12"/>
      <c r="AM285" s="12"/>
      <c r="AN285" s="12"/>
      <c r="AO285" s="12"/>
      <c r="AP285" s="12"/>
      <c r="AQ285" s="13"/>
      <c r="AR285" s="14"/>
    </row>
    <row r="286" spans="1:44" s="16" customFormat="1" ht="30.95" hidden="1" customHeight="1" x14ac:dyDescent="0.2">
      <c r="A286" s="35" t="s">
        <v>980</v>
      </c>
      <c r="B286" s="36" t="s">
        <v>959</v>
      </c>
      <c r="C286" s="43"/>
      <c r="D286" s="29"/>
      <c r="E286" s="29"/>
      <c r="F286" s="255" t="str">
        <f>IF(D286="","",VLOOKUP(D286,契約台帳!$A$3:$K$4986,6,FALSE)&amp;VLOOKUP(D286,契約台帳!$A$3:$K$4986,7,FALSE)&amp;VLOOKUP(D286,契約台帳!$A$3:$K$4986,8,FALSE)&amp;VLOOKUP(D286,契約台帳!$A$3:$K$4986,9,FALSE)&amp;VLOOKUP(D286,契約台帳!$A$3:$K$4986,11,FALSE))</f>
        <v/>
      </c>
      <c r="G286" s="256" t="str">
        <f>IF(D286="","",VLOOKUP(F286,製品マスタ!$G$5:$H$4999,2,FALSE))</f>
        <v/>
      </c>
      <c r="H286" s="256" t="str">
        <f>IF(D286="","",VLOOKUP(F286,製品マスタ!$G$5:$K$4999,5,FALSE))</f>
        <v/>
      </c>
      <c r="I286" s="200" t="str">
        <f>IF(D286="","",VLOOKUP(F286,製品マスタ!$G$5:$L$4999,6,FALSE))</f>
        <v/>
      </c>
      <c r="J286" s="30" t="s">
        <v>448</v>
      </c>
      <c r="K286" s="200" t="str">
        <f>IF(D286="","",VLOOKUP(D286,契約台帳!$A$3:$L$4986,12,FALSE))</f>
        <v/>
      </c>
      <c r="L286" s="200" t="str">
        <f>IF(D286="","",INDEX(製品マスタ!$Q$5:$Q$4999,MATCH(F286&amp;K286,製品マスタ!$AO$5:$AO$4999,0)))</f>
        <v/>
      </c>
      <c r="M286" s="37"/>
      <c r="N286" s="37"/>
      <c r="O286" s="45"/>
      <c r="P286" s="54"/>
      <c r="Q286" s="260" t="str">
        <f>IF(D286="","",IF(J286="リード付け",M286,VLOOKUP(D286,契約台帳!$A$3:$N$4986,14,FALSE)))</f>
        <v/>
      </c>
      <c r="R286" s="261" t="str">
        <f>IF(D286="","",IF(J286="リード付け",M286,VLOOKUP(D286,契約台帳!$A$3:$O$4986,15,FALSE)))</f>
        <v/>
      </c>
      <c r="S286" s="261" t="str">
        <f>IF(D286="","",IF(J286="リード付け",N286,VLOOKUP(D286,契約台帳!$A$3:$P$4986,16,FALSE)))</f>
        <v/>
      </c>
      <c r="T286" s="38"/>
      <c r="U286" s="261" t="str">
        <f ca="1">IF(D286="","",IF(OFFSET(D286,-2,0)=D286,"",VLOOKUP(D286,契約台帳!$A$3:$R$4986,18,FALSE)))</f>
        <v/>
      </c>
      <c r="V286" s="256" t="str">
        <f>IF(J286="巻返し",VLOOKUP(F286&amp;K286&amp;M286,製品マスタ!$M$5:$AD$4999,18,FALSE),IF(J286="リード付け","原反コア",IF(J286="スリット",VLOOKUP(F286&amp;K286&amp;Q286,製品マスタ!$N$5:$AD$4999,17,FALSE),"")))</f>
        <v/>
      </c>
      <c r="W286" s="256" t="str">
        <f>IF(J286="巻返し",VLOOKUP(F286&amp;K286&amp;M286,製品マスタ!$M$5:$AE$4999,19,FALSE),IF(J286="リード付け","-",IF(J286="スリット",VLOOKUP(F286&amp;K286&amp;Q286,製品マスタ!$N$5:$AE$4999,18,FALSE),"")))</f>
        <v/>
      </c>
      <c r="X286" s="256" t="str">
        <f>IF(D286="","",VLOOKUP(D286,契約台帳!$A$3:$Q$4986,17,FALSE))</f>
        <v/>
      </c>
      <c r="Y286" s="256" t="str">
        <f>IF(D286="","",VLOOKUP(D286,契約台帳!$A$3:$E$4986,5,FALSE))</f>
        <v/>
      </c>
      <c r="Z286" s="54"/>
      <c r="AA286" s="200" t="str">
        <f>IFERROR(VLOOKUP(F286&amp;K286&amp;M286,製品マスタ!$M$5:$AM$4999,27,FALSE),"")</f>
        <v/>
      </c>
      <c r="AB286" s="31"/>
      <c r="AC286" s="184"/>
      <c r="AD286" s="51"/>
      <c r="AE286" s="52"/>
      <c r="AF286" s="41"/>
      <c r="AG286" s="45"/>
      <c r="AH286" s="28"/>
      <c r="AI286" s="28"/>
      <c r="AJ286" s="28"/>
      <c r="AK286" s="28"/>
      <c r="AL286" s="12"/>
      <c r="AM286" s="12"/>
      <c r="AN286" s="12"/>
      <c r="AO286" s="12"/>
      <c r="AP286" s="12"/>
      <c r="AQ286" s="13"/>
      <c r="AR286" s="14"/>
    </row>
    <row r="287" spans="1:44" s="16" customFormat="1" ht="30.95" hidden="1" customHeight="1" x14ac:dyDescent="0.2">
      <c r="A287" s="35"/>
      <c r="B287" s="36"/>
      <c r="C287" s="43"/>
      <c r="D287" s="29"/>
      <c r="E287" s="29"/>
      <c r="F287" s="255" t="str">
        <f>IF(D287="","",VLOOKUP(D287,契約台帳!$A$3:$K$4986,6,FALSE)&amp;VLOOKUP(D287,契約台帳!$A$3:$K$4986,7,FALSE)&amp;VLOOKUP(D287,契約台帳!$A$3:$K$4986,8,FALSE)&amp;VLOOKUP(D287,契約台帳!$A$3:$K$4986,9,FALSE)&amp;VLOOKUP(D287,契約台帳!$A$3:$K$4986,11,FALSE))</f>
        <v/>
      </c>
      <c r="G287" s="256" t="str">
        <f>IF(D287="","",VLOOKUP(F287,製品マスタ!$G$5:$H$4999,2,FALSE))</f>
        <v/>
      </c>
      <c r="H287" s="256" t="str">
        <f>IF(D287="","",VLOOKUP(F287,製品マスタ!$G$5:$K$4999,5,FALSE))</f>
        <v/>
      </c>
      <c r="I287" s="200" t="str">
        <f>IF(D287="","",VLOOKUP(F287,製品マスタ!$G$5:$L$4999,6,FALSE))</f>
        <v/>
      </c>
      <c r="J287" s="30"/>
      <c r="K287" s="200" t="str">
        <f>IF(D287="","",VLOOKUP(D287,契約台帳!$A$3:$L$4986,12,FALSE))</f>
        <v/>
      </c>
      <c r="L287" s="200" t="str">
        <f>IF(D287="","",INDEX(製品マスタ!$Q$5:$Q$4999,MATCH(F287&amp;K287,製品マスタ!$AO$5:$AO$4999,0)))</f>
        <v/>
      </c>
      <c r="M287" s="37"/>
      <c r="N287" s="37"/>
      <c r="O287" s="45"/>
      <c r="P287" s="54"/>
      <c r="Q287" s="260" t="str">
        <f>IF(D287="","",IF(J287="リード付け",M287,VLOOKUP(D287,契約台帳!$A$3:$N$4986,14,FALSE)))</f>
        <v/>
      </c>
      <c r="R287" s="261" t="str">
        <f>IF(D287="","",IF(J287="リード付け",M287,VLOOKUP(D287,契約台帳!$A$3:$O$4986,15,FALSE)))</f>
        <v/>
      </c>
      <c r="S287" s="261" t="str">
        <f>IF(D287="","",IF(J287="リード付け",N287,VLOOKUP(D287,契約台帳!$A$3:$P$4986,16,FALSE)))</f>
        <v/>
      </c>
      <c r="T287" s="38"/>
      <c r="U287" s="261" t="str">
        <f ca="1">IF(D287="","",IF(OFFSET(D287,-2,0)=D287,"",VLOOKUP(D287,契約台帳!$A$3:$R$4986,18,FALSE)))</f>
        <v/>
      </c>
      <c r="V287" s="256" t="str">
        <f>IF(J287="巻返し",VLOOKUP(F287&amp;K287&amp;M287,製品マスタ!$M$5:$AD$4999,18,FALSE),IF(J287="リード付け","原反コア",IF(J287="スリット",VLOOKUP(F287&amp;K287&amp;Q287,製品マスタ!$N$5:$AD$4999,17,FALSE),"")))</f>
        <v/>
      </c>
      <c r="W287" s="256" t="str">
        <f>IF(J287="巻返し",VLOOKUP(F287&amp;K287&amp;M287,製品マスタ!$M$5:$AE$4999,19,FALSE),IF(J287="リード付け","-",IF(J287="スリット",VLOOKUP(F287&amp;K287&amp;Q287,製品マスタ!$N$5:$AE$4999,18,FALSE),"")))</f>
        <v/>
      </c>
      <c r="X287" s="256" t="str">
        <f>IF(D287="","",VLOOKUP(D287,契約台帳!$A$3:$Q$4986,17,FALSE))</f>
        <v/>
      </c>
      <c r="Y287" s="256" t="str">
        <f>IF(D287="","",VLOOKUP(D287,契約台帳!$A$3:$E$4986,5,FALSE))</f>
        <v/>
      </c>
      <c r="Z287" s="54"/>
      <c r="AA287" s="200" t="str">
        <f>IFERROR(VLOOKUP(F287&amp;K287&amp;M287,製品マスタ!$M$5:$AM$4999,27,FALSE),"")</f>
        <v/>
      </c>
      <c r="AB287" s="31"/>
      <c r="AC287" s="184"/>
      <c r="AD287" s="51"/>
      <c r="AE287" s="52"/>
      <c r="AF287" s="41"/>
      <c r="AG287" s="45"/>
      <c r="AH287" s="28"/>
      <c r="AI287" s="28"/>
      <c r="AJ287" s="28"/>
      <c r="AK287" s="28"/>
      <c r="AL287" s="12"/>
      <c r="AM287" s="12"/>
      <c r="AN287" s="12"/>
      <c r="AO287" s="12"/>
      <c r="AP287" s="12"/>
      <c r="AQ287" s="13"/>
      <c r="AR287" s="14"/>
    </row>
    <row r="288" spans="1:44" s="16" customFormat="1" ht="30.95" hidden="1" customHeight="1" x14ac:dyDescent="0.2">
      <c r="A288" s="35" t="s">
        <v>981</v>
      </c>
      <c r="B288" s="36" t="s">
        <v>960</v>
      </c>
      <c r="C288" s="43"/>
      <c r="D288" s="29"/>
      <c r="E288" s="29"/>
      <c r="F288" s="255" t="str">
        <f>IF(D288="","",VLOOKUP(D288,契約台帳!$A$3:$K$4986,6,FALSE)&amp;VLOOKUP(D288,契約台帳!$A$3:$K$4986,7,FALSE)&amp;VLOOKUP(D288,契約台帳!$A$3:$K$4986,8,FALSE)&amp;VLOOKUP(D288,契約台帳!$A$3:$K$4986,9,FALSE)&amp;VLOOKUP(D288,契約台帳!$A$3:$K$4986,11,FALSE))</f>
        <v/>
      </c>
      <c r="G288" s="256" t="str">
        <f>IF(D288="","",VLOOKUP(F288,製品マスタ!$G$5:$H$4999,2,FALSE))</f>
        <v/>
      </c>
      <c r="H288" s="256" t="str">
        <f>IF(D288="","",VLOOKUP(F288,製品マスタ!$G$5:$K$4999,5,FALSE))</f>
        <v/>
      </c>
      <c r="I288" s="200" t="str">
        <f>IF(D288="","",VLOOKUP(F288,製品マスタ!$G$5:$L$4999,6,FALSE))</f>
        <v/>
      </c>
      <c r="J288" s="30" t="s">
        <v>448</v>
      </c>
      <c r="K288" s="200" t="str">
        <f>IF(D288="","",VLOOKUP(D288,契約台帳!$A$3:$L$4986,12,FALSE))</f>
        <v/>
      </c>
      <c r="L288" s="200" t="str">
        <f>IF(D288="","",INDEX(製品マスタ!$Q$5:$Q$4999,MATCH(F288&amp;K288,製品マスタ!$AO$5:$AO$4999,0)))</f>
        <v/>
      </c>
      <c r="M288" s="37"/>
      <c r="N288" s="37"/>
      <c r="O288" s="45"/>
      <c r="P288" s="54"/>
      <c r="Q288" s="260" t="str">
        <f>IF(D288="","",IF(J288="リード付け",M288,VLOOKUP(D288,契約台帳!$A$3:$N$4986,14,FALSE)))</f>
        <v/>
      </c>
      <c r="R288" s="261" t="str">
        <f>IF(D288="","",IF(J288="リード付け",M288,VLOOKUP(D288,契約台帳!$A$3:$O$4986,15,FALSE)))</f>
        <v/>
      </c>
      <c r="S288" s="261" t="str">
        <f>IF(D288="","",IF(J288="リード付け",N288,VLOOKUP(D288,契約台帳!$A$3:$P$4986,16,FALSE)))</f>
        <v/>
      </c>
      <c r="T288" s="38"/>
      <c r="U288" s="261" t="str">
        <f ca="1">IF(D288="","",IF(OFFSET(D288,-2,0)=D288,"",VLOOKUP(D288,契約台帳!$A$3:$R$4986,18,FALSE)))</f>
        <v/>
      </c>
      <c r="V288" s="256" t="str">
        <f>IF(J288="巻返し",VLOOKUP(F288&amp;K288&amp;M288,製品マスタ!$M$5:$AD$4999,18,FALSE),IF(J288="リード付け","原反コア",IF(J288="スリット",VLOOKUP(F288&amp;K288&amp;Q288,製品マスタ!$N$5:$AD$4999,17,FALSE),"")))</f>
        <v/>
      </c>
      <c r="W288" s="256" t="str">
        <f>IF(J288="巻返し",VLOOKUP(F288&amp;K288&amp;M288,製品マスタ!$M$5:$AE$4999,19,FALSE),IF(J288="リード付け","-",IF(J288="スリット",VLOOKUP(F288&amp;K288&amp;Q288,製品マスタ!$N$5:$AE$4999,18,FALSE),"")))</f>
        <v/>
      </c>
      <c r="X288" s="256" t="str">
        <f>IF(D288="","",VLOOKUP(D288,契約台帳!$A$3:$Q$4986,17,FALSE))</f>
        <v/>
      </c>
      <c r="Y288" s="256" t="str">
        <f>IF(D288="","",VLOOKUP(D288,契約台帳!$A$3:$E$4986,5,FALSE))</f>
        <v/>
      </c>
      <c r="Z288" s="54"/>
      <c r="AA288" s="200" t="str">
        <f>IFERROR(VLOOKUP(F288&amp;K288&amp;M288,製品マスタ!$M$5:$AM$4999,27,FALSE),"")</f>
        <v/>
      </c>
      <c r="AB288" s="31"/>
      <c r="AC288" s="184"/>
      <c r="AD288" s="51"/>
      <c r="AE288" s="52"/>
      <c r="AF288" s="41"/>
      <c r="AG288" s="45"/>
      <c r="AH288" s="28"/>
      <c r="AI288" s="28"/>
      <c r="AJ288" s="28"/>
      <c r="AK288" s="28"/>
      <c r="AL288" s="12"/>
      <c r="AM288" s="12"/>
      <c r="AN288" s="12"/>
      <c r="AO288" s="12"/>
      <c r="AP288" s="12"/>
      <c r="AQ288" s="13"/>
      <c r="AR288" s="14"/>
    </row>
    <row r="289" spans="1:44" s="16" customFormat="1" ht="30.95" hidden="1" customHeight="1" x14ac:dyDescent="0.2">
      <c r="A289" s="35"/>
      <c r="B289" s="36"/>
      <c r="C289" s="43"/>
      <c r="D289" s="29"/>
      <c r="E289" s="29"/>
      <c r="F289" s="255" t="str">
        <f>IF(D289="","",VLOOKUP(D289,契約台帳!$A$3:$K$4986,6,FALSE)&amp;VLOOKUP(D289,契約台帳!$A$3:$K$4986,7,FALSE)&amp;VLOOKUP(D289,契約台帳!$A$3:$K$4986,8,FALSE)&amp;VLOOKUP(D289,契約台帳!$A$3:$K$4986,9,FALSE)&amp;VLOOKUP(D289,契約台帳!$A$3:$K$4986,11,FALSE))</f>
        <v/>
      </c>
      <c r="G289" s="256" t="str">
        <f>IF(D289="","",VLOOKUP(F289,製品マスタ!$G$5:$H$4999,2,FALSE))</f>
        <v/>
      </c>
      <c r="H289" s="256" t="str">
        <f>IF(D289="","",VLOOKUP(F289,製品マスタ!$G$5:$K$4999,5,FALSE))</f>
        <v/>
      </c>
      <c r="I289" s="200" t="str">
        <f>IF(D289="","",VLOOKUP(F289,製品マスタ!$G$5:$L$4999,6,FALSE))</f>
        <v/>
      </c>
      <c r="J289" s="30"/>
      <c r="K289" s="200" t="str">
        <f>IF(D289="","",VLOOKUP(D289,契約台帳!$A$3:$L$4986,12,FALSE))</f>
        <v/>
      </c>
      <c r="L289" s="200" t="str">
        <f>IF(D289="","",INDEX(製品マスタ!$Q$5:$Q$4999,MATCH(F289&amp;K289,製品マスタ!$AO$5:$AO$4999,0)))</f>
        <v/>
      </c>
      <c r="M289" s="37"/>
      <c r="N289" s="37"/>
      <c r="O289" s="45"/>
      <c r="P289" s="54"/>
      <c r="Q289" s="260" t="str">
        <f>IF(D289="","",IF(J289="リード付け",M289,VLOOKUP(D289,契約台帳!$A$3:$N$4986,14,FALSE)))</f>
        <v/>
      </c>
      <c r="R289" s="261" t="str">
        <f>IF(D289="","",IF(J289="リード付け",M289,VLOOKUP(D289,契約台帳!$A$3:$O$4986,15,FALSE)))</f>
        <v/>
      </c>
      <c r="S289" s="261" t="str">
        <f>IF(D289="","",IF(J289="リード付け",N289,VLOOKUP(D289,契約台帳!$A$3:$P$4986,16,FALSE)))</f>
        <v/>
      </c>
      <c r="T289" s="38"/>
      <c r="U289" s="261" t="str">
        <f ca="1">IF(D289="","",IF(OFFSET(D289,-2,0)=D289,"",VLOOKUP(D289,契約台帳!$A$3:$R$4986,18,FALSE)))</f>
        <v/>
      </c>
      <c r="V289" s="256" t="str">
        <f>IF(J289="巻返し",VLOOKUP(F289&amp;K289&amp;M289,製品マスタ!$M$5:$AD$4999,18,FALSE),IF(J289="リード付け","原反コア",IF(J289="スリット",VLOOKUP(F289&amp;K289&amp;Q289,製品マスタ!$N$5:$AD$4999,17,FALSE),"")))</f>
        <v/>
      </c>
      <c r="W289" s="256" t="str">
        <f>IF(J289="巻返し",VLOOKUP(F289&amp;K289&amp;M289,製品マスタ!$M$5:$AE$4999,19,FALSE),IF(J289="リード付け","-",IF(J289="スリット",VLOOKUP(F289&amp;K289&amp;Q289,製品マスタ!$N$5:$AE$4999,18,FALSE),"")))</f>
        <v/>
      </c>
      <c r="X289" s="256" t="str">
        <f>IF(D289="","",VLOOKUP(D289,契約台帳!$A$3:$Q$4986,17,FALSE))</f>
        <v/>
      </c>
      <c r="Y289" s="256" t="str">
        <f>IF(D289="","",VLOOKUP(D289,契約台帳!$A$3:$E$4986,5,FALSE))</f>
        <v/>
      </c>
      <c r="Z289" s="54"/>
      <c r="AA289" s="200" t="str">
        <f>IFERROR(VLOOKUP(F289&amp;K289&amp;M289,製品マスタ!$M$5:$AM$4999,27,FALSE),"")</f>
        <v/>
      </c>
      <c r="AB289" s="31"/>
      <c r="AC289" s="184"/>
      <c r="AD289" s="51"/>
      <c r="AE289" s="52"/>
      <c r="AF289" s="41"/>
      <c r="AG289" s="45"/>
      <c r="AH289" s="28"/>
      <c r="AI289" s="28"/>
      <c r="AJ289" s="28"/>
      <c r="AK289" s="28"/>
      <c r="AL289" s="12"/>
      <c r="AM289" s="12"/>
      <c r="AN289" s="12"/>
      <c r="AO289" s="12"/>
      <c r="AP289" s="12"/>
      <c r="AQ289" s="13"/>
      <c r="AR289" s="14"/>
    </row>
    <row r="290" spans="1:44" s="16" customFormat="1" ht="30.95" hidden="1" customHeight="1" x14ac:dyDescent="0.2">
      <c r="A290" s="35" t="s">
        <v>1019</v>
      </c>
      <c r="B290" s="36" t="s">
        <v>1020</v>
      </c>
      <c r="C290" s="43"/>
      <c r="D290" s="29"/>
      <c r="E290" s="29"/>
      <c r="F290" s="255" t="str">
        <f>IF(D290="","",VLOOKUP(D290,契約台帳!$A$3:$K$4986,6,FALSE)&amp;VLOOKUP(D290,契約台帳!$A$3:$K$4986,7,FALSE)&amp;VLOOKUP(D290,契約台帳!$A$3:$K$4986,8,FALSE)&amp;VLOOKUP(D290,契約台帳!$A$3:$K$4986,9,FALSE)&amp;VLOOKUP(D290,契約台帳!$A$3:$K$4986,11,FALSE))</f>
        <v/>
      </c>
      <c r="G290" s="256" t="str">
        <f>IF(D290="","",VLOOKUP(F290,製品マスタ!$G$5:$H$4999,2,FALSE))</f>
        <v/>
      </c>
      <c r="H290" s="256" t="str">
        <f>IF(D290="","",VLOOKUP(F290,製品マスタ!$G$5:$K$4999,5,FALSE))</f>
        <v/>
      </c>
      <c r="I290" s="200" t="str">
        <f>IF(D290="","",VLOOKUP(F290,製品マスタ!$G$5:$L$4999,6,FALSE))</f>
        <v/>
      </c>
      <c r="J290" s="30" t="s">
        <v>1021</v>
      </c>
      <c r="K290" s="200" t="str">
        <f>IF(D290="","",VLOOKUP(D290,契約台帳!$A$3:$L$4986,12,FALSE))</f>
        <v/>
      </c>
      <c r="L290" s="200" t="str">
        <f>IF(D290="","",INDEX(製品マスタ!$Q$5:$Q$4999,MATCH(F290&amp;K290,製品マスタ!$AO$5:$AO$4999,0)))</f>
        <v/>
      </c>
      <c r="M290" s="37"/>
      <c r="N290" s="37"/>
      <c r="O290" s="45"/>
      <c r="P290" s="54"/>
      <c r="Q290" s="260" t="str">
        <f>IF(D290="","",IF(J290="リード付け",M290,VLOOKUP(D290,契約台帳!$A$3:$N$4986,14,FALSE)))</f>
        <v/>
      </c>
      <c r="R290" s="261" t="str">
        <f>IF(D290="","",IF(J290="リード付け",M290,VLOOKUP(D290,契約台帳!$A$3:$O$4986,15,FALSE)))</f>
        <v/>
      </c>
      <c r="S290" s="261" t="str">
        <f>IF(D290="","",IF(J290="リード付け",N290,VLOOKUP(D290,契約台帳!$A$3:$P$4986,16,FALSE)))</f>
        <v/>
      </c>
      <c r="T290" s="38"/>
      <c r="U290" s="261" t="str">
        <f ca="1">IF(D290="","",IF(OFFSET(D290,-2,0)=D290,"",VLOOKUP(D290,契約台帳!$A$3:$R$4986,18,FALSE)))</f>
        <v/>
      </c>
      <c r="V290" s="256" t="str">
        <f>IF(J290="巻返し",VLOOKUP(F290&amp;K290&amp;M290,製品マスタ!$M$5:$AD$4999,18,FALSE),IF(J290="リード付け","原反コア",IF(J290="スリット",VLOOKUP(F290&amp;K290&amp;Q290,製品マスタ!$N$5:$AD$4999,17,FALSE),"")))</f>
        <v/>
      </c>
      <c r="W290" s="256" t="str">
        <f>IF(J290="巻返し",VLOOKUP(F290&amp;K290&amp;M290,製品マスタ!$M$5:$AE$4999,19,FALSE),IF(J290="リード付け","-",IF(J290="スリット",VLOOKUP(F290&amp;K290&amp;Q290,製品マスタ!$N$5:$AE$4999,18,FALSE),"")))</f>
        <v/>
      </c>
      <c r="X290" s="256" t="str">
        <f>IF(D290="","",VLOOKUP(D290,契約台帳!$A$3:$Q$4986,17,FALSE))</f>
        <v/>
      </c>
      <c r="Y290" s="256" t="str">
        <f>IF(D290="","",VLOOKUP(D290,契約台帳!$A$3:$E$4986,5,FALSE))</f>
        <v/>
      </c>
      <c r="Z290" s="54"/>
      <c r="AA290" s="200" t="str">
        <f>IFERROR(VLOOKUP(F290&amp;K290&amp;M290,製品マスタ!$M$5:$AM$4999,27,FALSE),"")</f>
        <v/>
      </c>
      <c r="AB290" s="31"/>
      <c r="AC290" s="184"/>
      <c r="AD290" s="51"/>
      <c r="AE290" s="52"/>
      <c r="AF290" s="41"/>
      <c r="AG290" s="45"/>
      <c r="AH290" s="28"/>
      <c r="AI290" s="28"/>
      <c r="AJ290" s="28"/>
      <c r="AK290" s="28"/>
      <c r="AL290" s="12"/>
      <c r="AM290" s="12"/>
      <c r="AN290" s="12"/>
      <c r="AO290" s="12"/>
      <c r="AP290" s="12"/>
      <c r="AQ290" s="13"/>
      <c r="AR290" s="14"/>
    </row>
    <row r="291" spans="1:44" s="16" customFormat="1" ht="30.95" hidden="1" customHeight="1" x14ac:dyDescent="0.2">
      <c r="A291" s="35"/>
      <c r="B291" s="36"/>
      <c r="C291" s="43"/>
      <c r="D291" s="29"/>
      <c r="E291" s="29"/>
      <c r="F291" s="255" t="str">
        <f>IF(D291="","",VLOOKUP(D291,契約台帳!$A$3:$K$4986,6,FALSE)&amp;VLOOKUP(D291,契約台帳!$A$3:$K$4986,7,FALSE)&amp;VLOOKUP(D291,契約台帳!$A$3:$K$4986,8,FALSE)&amp;VLOOKUP(D291,契約台帳!$A$3:$K$4986,9,FALSE)&amp;VLOOKUP(D291,契約台帳!$A$3:$K$4986,11,FALSE))</f>
        <v/>
      </c>
      <c r="G291" s="256" t="str">
        <f>IF(D291="","",VLOOKUP(F291,製品マスタ!$G$5:$H$4999,2,FALSE))</f>
        <v/>
      </c>
      <c r="H291" s="256" t="str">
        <f>IF(D291="","",VLOOKUP(F291,製品マスタ!$G$5:$K$4999,5,FALSE))</f>
        <v/>
      </c>
      <c r="I291" s="200" t="str">
        <f>IF(D291="","",VLOOKUP(F291,製品マスタ!$G$5:$L$4999,6,FALSE))</f>
        <v/>
      </c>
      <c r="J291" s="30"/>
      <c r="K291" s="200" t="str">
        <f>IF(D291="","",VLOOKUP(D291,契約台帳!$A$3:$L$4986,12,FALSE))</f>
        <v/>
      </c>
      <c r="L291" s="200" t="str">
        <f>IF(D291="","",INDEX(製品マスタ!$Q$5:$Q$4999,MATCH(F291&amp;K291,製品マスタ!$AO$5:$AO$4999,0)))</f>
        <v/>
      </c>
      <c r="M291" s="37"/>
      <c r="N291" s="37"/>
      <c r="O291" s="45"/>
      <c r="P291" s="54"/>
      <c r="Q291" s="260" t="str">
        <f>IF(D291="","",IF(J291="リード付け",M291,VLOOKUP(D291,契約台帳!$A$3:$N$4986,14,FALSE)))</f>
        <v/>
      </c>
      <c r="R291" s="261" t="str">
        <f>IF(D291="","",IF(J291="リード付け",M291,VLOOKUP(D291,契約台帳!$A$3:$O$4986,15,FALSE)))</f>
        <v/>
      </c>
      <c r="S291" s="261" t="str">
        <f>IF(D291="","",IF(J291="リード付け",N291,VLOOKUP(D291,契約台帳!$A$3:$P$4986,16,FALSE)))</f>
        <v/>
      </c>
      <c r="T291" s="38"/>
      <c r="U291" s="261" t="str">
        <f ca="1">IF(D291="","",IF(OFFSET(D291,-2,0)=D291,"",VLOOKUP(D291,契約台帳!$A$3:$R$4986,18,FALSE)))</f>
        <v/>
      </c>
      <c r="V291" s="256" t="str">
        <f>IF(J291="巻返し",VLOOKUP(F291&amp;K291&amp;M291,製品マスタ!$M$5:$AD$4999,18,FALSE),IF(J291="リード付け","原反コア",IF(J291="スリット",VLOOKUP(F291&amp;K291&amp;Q291,製品マスタ!$N$5:$AD$4999,17,FALSE),"")))</f>
        <v/>
      </c>
      <c r="W291" s="256" t="str">
        <f>IF(J291="巻返し",VLOOKUP(F291&amp;K291&amp;M291,製品マスタ!$M$5:$AE$4999,19,FALSE),IF(J291="リード付け","-",IF(J291="スリット",VLOOKUP(F291&amp;K291&amp;Q291,製品マスタ!$N$5:$AE$4999,18,FALSE),"")))</f>
        <v/>
      </c>
      <c r="X291" s="256" t="str">
        <f>IF(D291="","",VLOOKUP(D291,契約台帳!$A$3:$Q$4986,17,FALSE))</f>
        <v/>
      </c>
      <c r="Y291" s="256" t="str">
        <f>IF(D291="","",VLOOKUP(D291,契約台帳!$A$3:$E$4986,5,FALSE))</f>
        <v/>
      </c>
      <c r="Z291" s="54"/>
      <c r="AA291" s="200" t="str">
        <f>IFERROR(VLOOKUP(F291&amp;K291&amp;M291,製品マスタ!$M$5:$AM$4999,27,FALSE),"")</f>
        <v/>
      </c>
      <c r="AB291" s="31"/>
      <c r="AC291" s="184"/>
      <c r="AD291" s="51"/>
      <c r="AE291" s="52"/>
      <c r="AF291" s="41"/>
      <c r="AG291" s="45"/>
      <c r="AH291" s="28"/>
      <c r="AI291" s="28"/>
      <c r="AJ291" s="28"/>
      <c r="AK291" s="28"/>
      <c r="AL291" s="12"/>
      <c r="AM291" s="12"/>
      <c r="AN291" s="12"/>
      <c r="AO291" s="12"/>
      <c r="AP291" s="12"/>
      <c r="AQ291" s="13"/>
      <c r="AR291" s="14"/>
    </row>
    <row r="292" spans="1:44" s="16" customFormat="1" ht="30.95" hidden="1" customHeight="1" x14ac:dyDescent="0.2">
      <c r="A292" s="35" t="s">
        <v>1023</v>
      </c>
      <c r="B292" s="36" t="s">
        <v>688</v>
      </c>
      <c r="C292" s="43"/>
      <c r="D292" s="29">
        <v>3703995</v>
      </c>
      <c r="E292" s="29">
        <v>4170104</v>
      </c>
      <c r="F292" s="255" t="str">
        <f>IF(D292="","",VLOOKUP(D292,契約台帳!$A$3:$K$4986,6,FALSE)&amp;VLOOKUP(D292,契約台帳!$A$3:$K$4986,7,FALSE)&amp;VLOOKUP(D292,契約台帳!$A$3:$K$4986,8,FALSE)&amp;VLOOKUP(D292,契約台帳!$A$3:$K$4986,9,FALSE)&amp;VLOOKUP(D292,契約台帳!$A$3:$K$4986,11,FALSE))</f>
        <v>3SNMLBMNGTBF</v>
      </c>
      <c r="G292" s="256" t="str">
        <f>IF(D292="","",VLOOKUP(F292,製品マスタ!$G$5:$H$4999,2,FALSE))</f>
        <v>S</v>
      </c>
      <c r="H292" s="256" t="str">
        <f>IF(D292="","",VLOOKUP(F292,製品マスタ!$G$5:$K$4999,5,FALSE))</f>
        <v>MNGTBF</v>
      </c>
      <c r="I292" s="200" t="str">
        <f>IF(D292="","",VLOOKUP(F292,製品マスタ!$G$5:$L$4999,6,FALSE))</f>
        <v>メタルミー　ネーマー　銀艶　Ｂ</v>
      </c>
      <c r="J292" s="30" t="s">
        <v>464</v>
      </c>
      <c r="K292" s="200">
        <f>IF(D292="","",VLOOKUP(D292,契約台帳!$A$3:$L$4986,12,FALSE))</f>
        <v>25</v>
      </c>
      <c r="L292" s="200" t="str">
        <f>IF(D292="","",INDEX(製品マスタ!$Q$5:$Q$4999,MATCH(F292&amp;K292,製品マスタ!$AO$5:$AO$4999,0)))</f>
        <v>T62M</v>
      </c>
      <c r="M292" s="37">
        <v>1005</v>
      </c>
      <c r="N292" s="37">
        <v>12100</v>
      </c>
      <c r="O292" s="45">
        <v>3</v>
      </c>
      <c r="P292" s="206">
        <v>45020</v>
      </c>
      <c r="Q292" s="260">
        <f>IF(D292="","",IF(J292="リード付け",M292,VLOOKUP(D292,契約台帳!$A$3:$N$4986,14,FALSE)))</f>
        <v>1005</v>
      </c>
      <c r="R292" s="261">
        <f>IF(D292="","",IF(J292="リード付け",M292,VLOOKUP(D292,契約台帳!$A$3:$O$4986,15,FALSE)))</f>
        <v>1005</v>
      </c>
      <c r="S292" s="261">
        <f>IF(D292="","",IF(J292="リード付け",N292,VLOOKUP(D292,契約台帳!$A$3:$P$4986,16,FALSE)))</f>
        <v>12100</v>
      </c>
      <c r="T292" s="38">
        <v>3</v>
      </c>
      <c r="U292" s="261">
        <f ca="1">IF(D292="","",IF(OFFSET(D292,-2,0)=D292,"",VLOOKUP(D292,契約台帳!$A$3:$R$4986,18,FALSE)))</f>
        <v>9</v>
      </c>
      <c r="V292" s="256" t="str">
        <f>IF(J292="巻返し",VLOOKUP(F292&amp;K292&amp;M292,製品マスタ!$M$5:$AD$4999,18,FALSE),IF(J292="リード付け","原反コア",IF(J292="スリット",VLOOKUP(F292&amp;K292&amp;Q292,製品マスタ!$N$5:$AD$4999,17,FALSE),"")))</f>
        <v>原反コア</v>
      </c>
      <c r="W292" s="256" t="str">
        <f>IF(J292="巻返し",VLOOKUP(F292&amp;K292&amp;M292,製品マスタ!$M$5:$AE$4999,19,FALSE),IF(J292="リード付け","-",IF(J292="スリット",VLOOKUP(F292&amp;K292&amp;Q292,製品マスタ!$N$5:$AE$4999,18,FALSE),"")))</f>
        <v>-</v>
      </c>
      <c r="X292" s="256">
        <f>IF(D292="","",VLOOKUP(D292,契約台帳!$A$3:$Q$4986,17,FALSE))</f>
        <v>2</v>
      </c>
      <c r="Y292" s="256" t="str">
        <f>IF(D292="","",VLOOKUP(D292,契約台帳!$A$3:$E$4986,5,FALSE))</f>
        <v>リンテック㈱</v>
      </c>
      <c r="Z292" s="54"/>
      <c r="AA292" s="200">
        <f>IFERROR(VLOOKUP(F292&amp;K292&amp;M292,製品マスタ!$M$5:$AM$4999,27,FALSE),"")</f>
        <v>0</v>
      </c>
      <c r="AB292" s="31"/>
      <c r="AC292" s="184"/>
      <c r="AD292" s="51"/>
      <c r="AE292" s="52"/>
      <c r="AF292" s="41"/>
      <c r="AG292" s="45"/>
      <c r="AH292" s="28"/>
      <c r="AI292" s="28"/>
      <c r="AJ292" s="28"/>
      <c r="AK292" s="28"/>
      <c r="AL292" s="12"/>
      <c r="AM292" s="12"/>
      <c r="AN292" s="12"/>
      <c r="AO292" s="12"/>
      <c r="AP292" s="12"/>
      <c r="AQ292" s="13"/>
      <c r="AR292" s="14"/>
    </row>
    <row r="293" spans="1:44" s="16" customFormat="1" ht="30.95" hidden="1" customHeight="1" x14ac:dyDescent="0.2">
      <c r="A293" s="35"/>
      <c r="B293" s="36"/>
      <c r="C293" s="43"/>
      <c r="D293" s="29"/>
      <c r="E293" s="29"/>
      <c r="F293" s="255" t="str">
        <f>IF(D293="","",VLOOKUP(D293,契約台帳!$A$3:$K$4986,6,FALSE)&amp;VLOOKUP(D293,契約台帳!$A$3:$K$4986,7,FALSE)&amp;VLOOKUP(D293,契約台帳!$A$3:$K$4986,8,FALSE)&amp;VLOOKUP(D293,契約台帳!$A$3:$K$4986,9,FALSE)&amp;VLOOKUP(D293,契約台帳!$A$3:$K$4986,11,FALSE))</f>
        <v/>
      </c>
      <c r="G293" s="256" t="str">
        <f>IF(D293="","",VLOOKUP(F293,製品マスタ!$G$5:$H$4999,2,FALSE))</f>
        <v/>
      </c>
      <c r="H293" s="256" t="str">
        <f>IF(D293="","",VLOOKUP(F293,製品マスタ!$G$5:$K$4999,5,FALSE))</f>
        <v/>
      </c>
      <c r="I293" s="200" t="str">
        <f>IF(D293="","",VLOOKUP(F293,製品マスタ!$G$5:$L$4999,6,FALSE))</f>
        <v/>
      </c>
      <c r="J293" s="30"/>
      <c r="K293" s="200" t="str">
        <f>IF(D293="","",VLOOKUP(D293,契約台帳!$A$3:$L$4986,12,FALSE))</f>
        <v/>
      </c>
      <c r="L293" s="200" t="str">
        <f>IF(D293="","",INDEX(製品マスタ!$Q$5:$Q$4999,MATCH(F293&amp;K293,製品マスタ!$AO$5:$AO$4999,0)))</f>
        <v/>
      </c>
      <c r="M293" s="37"/>
      <c r="N293" s="37"/>
      <c r="O293" s="45"/>
      <c r="P293" s="54"/>
      <c r="Q293" s="260" t="str">
        <f>IF(D293="","",IF(J293="リード付け",M293,VLOOKUP(D293,契約台帳!$A$3:$N$4986,14,FALSE)))</f>
        <v/>
      </c>
      <c r="R293" s="261" t="str">
        <f>IF(D293="","",IF(J293="リード付け",M293,VLOOKUP(D293,契約台帳!$A$3:$O$4986,15,FALSE)))</f>
        <v/>
      </c>
      <c r="S293" s="261" t="str">
        <f>IF(D293="","",IF(J293="リード付け",N293,VLOOKUP(D293,契約台帳!$A$3:$P$4986,16,FALSE)))</f>
        <v/>
      </c>
      <c r="T293" s="38"/>
      <c r="U293" s="261" t="str">
        <f ca="1">IF(D293="","",IF(OFFSET(D293,-2,0)=D293,"",VLOOKUP(D293,契約台帳!$A$3:$R$4986,18,FALSE)))</f>
        <v/>
      </c>
      <c r="V293" s="256" t="str">
        <f>IF(J293="巻返し",VLOOKUP(F293&amp;K293&amp;M293,製品マスタ!$M$5:$AD$4999,18,FALSE),IF(J293="リード付け","原反コア",IF(J293="スリット",VLOOKUP(F293&amp;K293&amp;Q293,製品マスタ!$N$5:$AD$4999,17,FALSE),"")))</f>
        <v/>
      </c>
      <c r="W293" s="256" t="str">
        <f>IF(J293="巻返し",VLOOKUP(F293&amp;K293&amp;M293,製品マスタ!$M$5:$AE$4999,19,FALSE),IF(J293="リード付け","-",IF(J293="スリット",VLOOKUP(F293&amp;K293&amp;Q293,製品マスタ!$N$5:$AE$4999,18,FALSE),"")))</f>
        <v/>
      </c>
      <c r="X293" s="256" t="str">
        <f>IF(D293="","",VLOOKUP(D293,契約台帳!$A$3:$Q$4986,17,FALSE))</f>
        <v/>
      </c>
      <c r="Y293" s="256" t="str">
        <f>IF(D293="","",VLOOKUP(D293,契約台帳!$A$3:$E$4986,5,FALSE))</f>
        <v/>
      </c>
      <c r="Z293" s="54"/>
      <c r="AA293" s="200" t="str">
        <f>IFERROR(VLOOKUP(F293&amp;K293&amp;M293,製品マスタ!$M$5:$AM$4999,27,FALSE),"")</f>
        <v/>
      </c>
      <c r="AB293" s="31"/>
      <c r="AC293" s="184"/>
      <c r="AD293" s="51"/>
      <c r="AE293" s="52"/>
      <c r="AF293" s="41"/>
      <c r="AG293" s="45"/>
      <c r="AH293" s="28"/>
      <c r="AI293" s="28"/>
      <c r="AJ293" s="28"/>
      <c r="AK293" s="28"/>
      <c r="AL293" s="12"/>
      <c r="AM293" s="12"/>
      <c r="AN293" s="12"/>
      <c r="AO293" s="12"/>
      <c r="AP293" s="12"/>
      <c r="AQ293" s="13"/>
      <c r="AR293" s="14"/>
    </row>
    <row r="294" spans="1:44" s="16" customFormat="1" ht="30.95" hidden="1" customHeight="1" x14ac:dyDescent="0.2">
      <c r="A294" s="35"/>
      <c r="B294" s="36"/>
      <c r="C294" s="43"/>
      <c r="D294" s="29">
        <v>3703999</v>
      </c>
      <c r="E294" s="29">
        <v>4170105</v>
      </c>
      <c r="F294" s="255" t="str">
        <f>IF(D294="","",VLOOKUP(D294,契約台帳!$A$3:$K$4986,6,FALSE)&amp;VLOOKUP(D294,契約台帳!$A$3:$K$4986,7,FALSE)&amp;VLOOKUP(D294,契約台帳!$A$3:$K$4986,8,FALSE)&amp;VLOOKUP(D294,契約台帳!$A$3:$K$4986,9,FALSE)&amp;VLOOKUP(D294,契約台帳!$A$3:$K$4986,11,FALSE))</f>
        <v>3SNMLBMNNGKBF</v>
      </c>
      <c r="G294" s="256" t="str">
        <f>IF(D294="","",VLOOKUP(F294,製品マスタ!$G$5:$H$4999,2,FALSE))</f>
        <v>S</v>
      </c>
      <c r="H294" s="256" t="str">
        <f>IF(D294="","",VLOOKUP(F294,製品マスタ!$G$5:$K$4999,5,FALSE))</f>
        <v>MNNGKBF</v>
      </c>
      <c r="I294" s="200" t="str">
        <f>IF(D294="","",VLOOKUP(F294,製品マスタ!$G$5:$L$4999,6,FALSE))</f>
        <v>メタルミー　ニューネーマー銀消　Ｂ</v>
      </c>
      <c r="J294" s="30" t="s">
        <v>464</v>
      </c>
      <c r="K294" s="200">
        <f>IF(D294="","",VLOOKUP(D294,契約台帳!$A$3:$L$4986,12,FALSE))</f>
        <v>25</v>
      </c>
      <c r="L294" s="200" t="str">
        <f>IF(D294="","",INDEX(製品マスタ!$Q$5:$Q$4999,MATCH(F294&amp;K294,製品マスタ!$AO$5:$AO$4999,0)))</f>
        <v>X44C</v>
      </c>
      <c r="M294" s="37">
        <v>1005</v>
      </c>
      <c r="N294" s="37">
        <v>8000</v>
      </c>
      <c r="O294" s="45">
        <v>1</v>
      </c>
      <c r="P294" s="206">
        <v>45020</v>
      </c>
      <c r="Q294" s="260">
        <f>IF(D294="","",IF(J294="リード付け",M294,VLOOKUP(D294,契約台帳!$A$3:$N$4986,14,FALSE)))</f>
        <v>1005</v>
      </c>
      <c r="R294" s="261">
        <f>IF(D294="","",IF(J294="リード付け",M294,VLOOKUP(D294,契約台帳!$A$3:$O$4986,15,FALSE)))</f>
        <v>1005</v>
      </c>
      <c r="S294" s="261">
        <f>IF(D294="","",IF(J294="リード付け",N294,VLOOKUP(D294,契約台帳!$A$3:$P$4986,16,FALSE)))</f>
        <v>8000</v>
      </c>
      <c r="T294" s="38">
        <v>1</v>
      </c>
      <c r="U294" s="261">
        <f ca="1">IF(D294="","",IF(OFFSET(D294,-2,0)=D294,"",VLOOKUP(D294,契約台帳!$A$3:$R$4986,18,FALSE)))</f>
        <v>2</v>
      </c>
      <c r="V294" s="256" t="str">
        <f>IF(J294="巻返し",VLOOKUP(F294&amp;K294&amp;M294,製品マスタ!$M$5:$AD$4999,18,FALSE),IF(J294="リード付け","原反コア",IF(J294="スリット",VLOOKUP(F294&amp;K294&amp;Q294,製品マスタ!$N$5:$AD$4999,17,FALSE),"")))</f>
        <v>原反コア</v>
      </c>
      <c r="W294" s="256" t="str">
        <f>IF(J294="巻返し",VLOOKUP(F294&amp;K294&amp;M294,製品マスタ!$M$5:$AE$4999,19,FALSE),IF(J294="リード付け","-",IF(J294="スリット",VLOOKUP(F294&amp;K294&amp;Q294,製品マスタ!$N$5:$AE$4999,18,FALSE),"")))</f>
        <v>-</v>
      </c>
      <c r="X294" s="256">
        <f>IF(D294="","",VLOOKUP(D294,契約台帳!$A$3:$Q$4986,17,FALSE))</f>
        <v>2</v>
      </c>
      <c r="Y294" s="256" t="str">
        <f>IF(D294="","",VLOOKUP(D294,契約台帳!$A$3:$E$4986,5,FALSE))</f>
        <v>リンテック㈱</v>
      </c>
      <c r="Z294" s="54"/>
      <c r="AA294" s="200">
        <f>IFERROR(VLOOKUP(F294&amp;K294&amp;M294,製品マスタ!$M$5:$AM$4999,27,FALSE),"")</f>
        <v>0</v>
      </c>
      <c r="AB294" s="31"/>
      <c r="AC294" s="184"/>
      <c r="AD294" s="51"/>
      <c r="AE294" s="52"/>
      <c r="AF294" s="41"/>
      <c r="AG294" s="45"/>
      <c r="AH294" s="28"/>
      <c r="AI294" s="28"/>
      <c r="AJ294" s="28"/>
      <c r="AK294" s="28"/>
      <c r="AL294" s="12"/>
      <c r="AM294" s="12"/>
      <c r="AN294" s="12"/>
      <c r="AO294" s="12"/>
      <c r="AP294" s="12"/>
      <c r="AQ294" s="13"/>
      <c r="AR294" s="14"/>
    </row>
    <row r="295" spans="1:44" s="16" customFormat="1" ht="30.95" hidden="1" customHeight="1" x14ac:dyDescent="0.2">
      <c r="A295" s="35"/>
      <c r="B295" s="36"/>
      <c r="C295" s="43"/>
      <c r="D295" s="29"/>
      <c r="E295" s="29"/>
      <c r="F295" s="255" t="str">
        <f>IF(D295="","",VLOOKUP(D295,契約台帳!$A$3:$K$4986,6,FALSE)&amp;VLOOKUP(D295,契約台帳!$A$3:$K$4986,7,FALSE)&amp;VLOOKUP(D295,契約台帳!$A$3:$K$4986,8,FALSE)&amp;VLOOKUP(D295,契約台帳!$A$3:$K$4986,9,FALSE)&amp;VLOOKUP(D295,契約台帳!$A$3:$K$4986,11,FALSE))</f>
        <v/>
      </c>
      <c r="G295" s="256" t="str">
        <f>IF(D295="","",VLOOKUP(F295,製品マスタ!$G$5:$H$4999,2,FALSE))</f>
        <v/>
      </c>
      <c r="H295" s="256" t="str">
        <f>IF(D295="","",VLOOKUP(F295,製品マスタ!$G$5:$K$4999,5,FALSE))</f>
        <v/>
      </c>
      <c r="I295" s="200" t="str">
        <f>IF(D295="","",VLOOKUP(F295,製品マスタ!$G$5:$L$4999,6,FALSE))</f>
        <v/>
      </c>
      <c r="J295" s="30"/>
      <c r="K295" s="200" t="str">
        <f>IF(D295="","",VLOOKUP(D295,契約台帳!$A$3:$L$4986,12,FALSE))</f>
        <v/>
      </c>
      <c r="L295" s="200" t="str">
        <f>IF(D295="","",INDEX(製品マスタ!$Q$5:$Q$4999,MATCH(F295&amp;K295,製品マスタ!$AO$5:$AO$4999,0)))</f>
        <v/>
      </c>
      <c r="M295" s="37"/>
      <c r="N295" s="37"/>
      <c r="O295" s="45"/>
      <c r="P295" s="54"/>
      <c r="Q295" s="260" t="str">
        <f>IF(D295="","",IF(J295="リード付け",M295,VLOOKUP(D295,契約台帳!$A$3:$N$4986,14,FALSE)))</f>
        <v/>
      </c>
      <c r="R295" s="261" t="str">
        <f>IF(D295="","",IF(J295="リード付け",M295,VLOOKUP(D295,契約台帳!$A$3:$O$4986,15,FALSE)))</f>
        <v/>
      </c>
      <c r="S295" s="261" t="str">
        <f>IF(D295="","",IF(J295="リード付け",N295,VLOOKUP(D295,契約台帳!$A$3:$P$4986,16,FALSE)))</f>
        <v/>
      </c>
      <c r="T295" s="38"/>
      <c r="U295" s="261" t="str">
        <f ca="1">IF(D295="","",IF(OFFSET(D295,-2,0)=D295,"",VLOOKUP(D295,契約台帳!$A$3:$R$4986,18,FALSE)))</f>
        <v/>
      </c>
      <c r="V295" s="256" t="str">
        <f>IF(J295="巻返し",VLOOKUP(F295&amp;K295&amp;M295,製品マスタ!$M$5:$AD$4999,18,FALSE),IF(J295="リード付け","原反コア",IF(J295="スリット",VLOOKUP(F295&amp;K295&amp;Q295,製品マスタ!$N$5:$AD$4999,17,FALSE),"")))</f>
        <v/>
      </c>
      <c r="W295" s="256" t="str">
        <f>IF(J295="巻返し",VLOOKUP(F295&amp;K295&amp;M295,製品マスタ!$M$5:$AE$4999,19,FALSE),IF(J295="リード付け","-",IF(J295="スリット",VLOOKUP(F295&amp;K295&amp;Q295,製品マスタ!$N$5:$AE$4999,18,FALSE),"")))</f>
        <v/>
      </c>
      <c r="X295" s="256" t="str">
        <f>IF(D295="","",VLOOKUP(D295,契約台帳!$A$3:$Q$4986,17,FALSE))</f>
        <v/>
      </c>
      <c r="Y295" s="256" t="str">
        <f>IF(D295="","",VLOOKUP(D295,契約台帳!$A$3:$E$4986,5,FALSE))</f>
        <v/>
      </c>
      <c r="Z295" s="54"/>
      <c r="AA295" s="200" t="str">
        <f>IFERROR(VLOOKUP(F295&amp;K295&amp;M295,製品マスタ!$M$5:$AM$4999,27,FALSE),"")</f>
        <v/>
      </c>
      <c r="AB295" s="31"/>
      <c r="AC295" s="184"/>
      <c r="AD295" s="51"/>
      <c r="AE295" s="52"/>
      <c r="AF295" s="41"/>
      <c r="AG295" s="45"/>
      <c r="AH295" s="28"/>
      <c r="AI295" s="28"/>
      <c r="AJ295" s="28"/>
      <c r="AK295" s="28"/>
      <c r="AL295" s="12"/>
      <c r="AM295" s="12"/>
      <c r="AN295" s="12"/>
      <c r="AO295" s="12"/>
      <c r="AP295" s="12"/>
      <c r="AQ295" s="13"/>
      <c r="AR295" s="14"/>
    </row>
    <row r="296" spans="1:44" s="16" customFormat="1" ht="30.95" hidden="1" customHeight="1" x14ac:dyDescent="0.2">
      <c r="A296" s="35" t="s">
        <v>1017</v>
      </c>
      <c r="B296" s="36" t="s">
        <v>1018</v>
      </c>
      <c r="C296" s="43"/>
      <c r="D296" s="29"/>
      <c r="E296" s="29"/>
      <c r="F296" s="255"/>
      <c r="G296" s="256"/>
      <c r="H296" s="256"/>
      <c r="I296" s="279" t="s">
        <v>905</v>
      </c>
      <c r="J296" s="30"/>
      <c r="K296" s="200"/>
      <c r="L296" s="200"/>
      <c r="M296" s="37"/>
      <c r="N296" s="37"/>
      <c r="O296" s="45"/>
      <c r="P296" s="54"/>
      <c r="Q296" s="260"/>
      <c r="R296" s="261"/>
      <c r="S296" s="261"/>
      <c r="T296" s="38"/>
      <c r="U296" s="261"/>
      <c r="V296" s="256"/>
      <c r="W296" s="256"/>
      <c r="X296" s="256"/>
      <c r="Y296" s="256"/>
      <c r="Z296" s="54"/>
      <c r="AA296" s="200"/>
      <c r="AB296" s="31"/>
      <c r="AC296" s="184"/>
      <c r="AD296" s="51"/>
      <c r="AE296" s="52"/>
      <c r="AF296" s="41"/>
      <c r="AG296" s="45"/>
      <c r="AH296" s="28"/>
      <c r="AI296" s="28"/>
      <c r="AJ296" s="28"/>
      <c r="AK296" s="28"/>
      <c r="AL296" s="12"/>
      <c r="AM296" s="12"/>
      <c r="AN296" s="12"/>
      <c r="AO296" s="12"/>
      <c r="AP296" s="12"/>
      <c r="AQ296" s="13"/>
      <c r="AR296" s="14"/>
    </row>
    <row r="297" spans="1:44" s="16" customFormat="1" ht="30.95" hidden="1" customHeight="1" x14ac:dyDescent="0.2">
      <c r="A297" s="35"/>
      <c r="B297" s="36"/>
      <c r="C297" s="43"/>
      <c r="D297" s="29"/>
      <c r="E297" s="29"/>
      <c r="F297" s="255"/>
      <c r="G297" s="256"/>
      <c r="H297" s="256"/>
      <c r="I297" s="200"/>
      <c r="J297" s="30"/>
      <c r="K297" s="200"/>
      <c r="L297" s="200"/>
      <c r="M297" s="37"/>
      <c r="N297" s="37"/>
      <c r="O297" s="45"/>
      <c r="P297" s="54"/>
      <c r="Q297" s="260"/>
      <c r="R297" s="261"/>
      <c r="S297" s="261"/>
      <c r="T297" s="38"/>
      <c r="U297" s="261"/>
      <c r="V297" s="256"/>
      <c r="W297" s="256"/>
      <c r="X297" s="256"/>
      <c r="Y297" s="256"/>
      <c r="Z297" s="54"/>
      <c r="AA297" s="200"/>
      <c r="AB297" s="31"/>
      <c r="AC297" s="184"/>
      <c r="AD297" s="51"/>
      <c r="AE297" s="52"/>
      <c r="AF297" s="41"/>
      <c r="AG297" s="45"/>
      <c r="AH297" s="28"/>
      <c r="AI297" s="28"/>
      <c r="AJ297" s="28"/>
      <c r="AK297" s="28"/>
      <c r="AL297" s="12"/>
      <c r="AM297" s="12"/>
      <c r="AN297" s="12"/>
      <c r="AO297" s="12"/>
      <c r="AP297" s="12"/>
      <c r="AQ297" s="13"/>
      <c r="AR297" s="14"/>
    </row>
    <row r="298" spans="1:44" s="16" customFormat="1" ht="30.95" hidden="1" customHeight="1" x14ac:dyDescent="0.2">
      <c r="A298" s="35" t="s">
        <v>1025</v>
      </c>
      <c r="B298" s="36" t="s">
        <v>1026</v>
      </c>
      <c r="C298" s="43"/>
      <c r="D298" s="29"/>
      <c r="E298" s="29"/>
      <c r="F298" s="255"/>
      <c r="G298" s="256"/>
      <c r="H298" s="256"/>
      <c r="I298" s="200"/>
      <c r="J298" s="30" t="s">
        <v>1035</v>
      </c>
      <c r="K298" s="200"/>
      <c r="L298" s="200"/>
      <c r="M298" s="37"/>
      <c r="N298" s="37"/>
      <c r="O298" s="45"/>
      <c r="P298" s="54"/>
      <c r="Q298" s="260"/>
      <c r="R298" s="261"/>
      <c r="S298" s="261"/>
      <c r="T298" s="38"/>
      <c r="U298" s="261"/>
      <c r="V298" s="256"/>
      <c r="W298" s="256"/>
      <c r="X298" s="256"/>
      <c r="Y298" s="256"/>
      <c r="Z298" s="54"/>
      <c r="AA298" s="200"/>
      <c r="AB298" s="31"/>
      <c r="AC298" s="184"/>
      <c r="AD298" s="51"/>
      <c r="AE298" s="52"/>
      <c r="AF298" s="41"/>
      <c r="AG298" s="45"/>
      <c r="AH298" s="28"/>
      <c r="AI298" s="28"/>
      <c r="AJ298" s="28"/>
      <c r="AK298" s="28"/>
      <c r="AL298" s="12"/>
      <c r="AM298" s="12"/>
      <c r="AN298" s="12"/>
      <c r="AO298" s="12"/>
      <c r="AP298" s="12"/>
      <c r="AQ298" s="13"/>
      <c r="AR298" s="14"/>
    </row>
    <row r="299" spans="1:44" s="16" customFormat="1" ht="30.95" hidden="1" customHeight="1" x14ac:dyDescent="0.2">
      <c r="A299" s="35"/>
      <c r="B299" s="36"/>
      <c r="C299" s="43"/>
      <c r="D299" s="29"/>
      <c r="E299" s="29"/>
      <c r="F299" s="255"/>
      <c r="G299" s="256"/>
      <c r="H299" s="256"/>
      <c r="I299" s="200"/>
      <c r="J299" s="30"/>
      <c r="K299" s="200"/>
      <c r="L299" s="200"/>
      <c r="M299" s="37"/>
      <c r="N299" s="37"/>
      <c r="O299" s="45"/>
      <c r="P299" s="54"/>
      <c r="Q299" s="260"/>
      <c r="R299" s="261"/>
      <c r="S299" s="261"/>
      <c r="T299" s="38"/>
      <c r="U299" s="261"/>
      <c r="V299" s="256"/>
      <c r="W299" s="256"/>
      <c r="X299" s="256"/>
      <c r="Y299" s="256"/>
      <c r="Z299" s="54"/>
      <c r="AA299" s="200"/>
      <c r="AB299" s="31"/>
      <c r="AC299" s="184"/>
      <c r="AD299" s="51"/>
      <c r="AE299" s="52"/>
      <c r="AF299" s="41"/>
      <c r="AG299" s="45"/>
      <c r="AH299" s="28"/>
      <c r="AI299" s="28"/>
      <c r="AJ299" s="28"/>
      <c r="AK299" s="28"/>
      <c r="AL299" s="12"/>
      <c r="AM299" s="12"/>
      <c r="AN299" s="12"/>
      <c r="AO299" s="12"/>
      <c r="AP299" s="12"/>
      <c r="AQ299" s="13"/>
      <c r="AR299" s="14"/>
    </row>
    <row r="300" spans="1:44" s="16" customFormat="1" ht="30.95" hidden="1" customHeight="1" x14ac:dyDescent="0.2">
      <c r="A300" s="35" t="s">
        <v>1027</v>
      </c>
      <c r="B300" s="36" t="s">
        <v>1028</v>
      </c>
      <c r="C300" s="43"/>
      <c r="D300" s="29"/>
      <c r="E300" s="29"/>
      <c r="F300" s="255"/>
      <c r="G300" s="256"/>
      <c r="H300" s="256"/>
      <c r="I300" s="200"/>
      <c r="J300" s="30" t="s">
        <v>1035</v>
      </c>
      <c r="K300" s="200"/>
      <c r="L300" s="200"/>
      <c r="M300" s="37"/>
      <c r="N300" s="37"/>
      <c r="O300" s="45"/>
      <c r="P300" s="54"/>
      <c r="Q300" s="260"/>
      <c r="R300" s="261"/>
      <c r="S300" s="261"/>
      <c r="T300" s="38"/>
      <c r="U300" s="261"/>
      <c r="V300" s="256"/>
      <c r="W300" s="256"/>
      <c r="X300" s="256"/>
      <c r="Y300" s="256"/>
      <c r="Z300" s="54"/>
      <c r="AA300" s="200"/>
      <c r="AB300" s="31"/>
      <c r="AC300" s="184"/>
      <c r="AD300" s="51"/>
      <c r="AE300" s="52"/>
      <c r="AF300" s="41"/>
      <c r="AG300" s="45"/>
      <c r="AH300" s="28"/>
      <c r="AI300" s="28"/>
      <c r="AJ300" s="28"/>
      <c r="AK300" s="28"/>
      <c r="AL300" s="12"/>
      <c r="AM300" s="12"/>
      <c r="AN300" s="12"/>
      <c r="AO300" s="12"/>
      <c r="AP300" s="12"/>
      <c r="AQ300" s="13"/>
      <c r="AR300" s="14"/>
    </row>
    <row r="301" spans="1:44" s="16" customFormat="1" ht="30.95" hidden="1" customHeight="1" x14ac:dyDescent="0.2">
      <c r="A301" s="35"/>
      <c r="B301" s="36"/>
      <c r="C301" s="43"/>
      <c r="D301" s="29"/>
      <c r="E301" s="29"/>
      <c r="F301" s="255"/>
      <c r="G301" s="256"/>
      <c r="H301" s="256"/>
      <c r="I301" s="200"/>
      <c r="J301" s="30"/>
      <c r="K301" s="200"/>
      <c r="L301" s="200"/>
      <c r="M301" s="37"/>
      <c r="N301" s="37"/>
      <c r="O301" s="45"/>
      <c r="P301" s="54"/>
      <c r="Q301" s="260"/>
      <c r="R301" s="261"/>
      <c r="S301" s="261"/>
      <c r="T301" s="38"/>
      <c r="U301" s="261"/>
      <c r="V301" s="256"/>
      <c r="W301" s="256"/>
      <c r="X301" s="256"/>
      <c r="Y301" s="256"/>
      <c r="Z301" s="54"/>
      <c r="AA301" s="200"/>
      <c r="AB301" s="31"/>
      <c r="AC301" s="184"/>
      <c r="AD301" s="51"/>
      <c r="AE301" s="52"/>
      <c r="AF301" s="41"/>
      <c r="AG301" s="45"/>
      <c r="AH301" s="28"/>
      <c r="AI301" s="28"/>
      <c r="AJ301" s="28"/>
      <c r="AK301" s="28"/>
      <c r="AL301" s="12"/>
      <c r="AM301" s="12"/>
      <c r="AN301" s="12"/>
      <c r="AO301" s="12"/>
      <c r="AP301" s="12"/>
      <c r="AQ301" s="13"/>
      <c r="AR301" s="14"/>
    </row>
    <row r="302" spans="1:44" s="16" customFormat="1" ht="30.95" hidden="1" customHeight="1" x14ac:dyDescent="0.2">
      <c r="A302" s="35" t="s">
        <v>1029</v>
      </c>
      <c r="B302" s="36" t="s">
        <v>1030</v>
      </c>
      <c r="C302" s="43"/>
      <c r="D302" s="29"/>
      <c r="E302" s="29"/>
      <c r="F302" s="255"/>
      <c r="G302" s="256"/>
      <c r="H302" s="256"/>
      <c r="I302" s="200"/>
      <c r="J302" s="30" t="s">
        <v>1035</v>
      </c>
      <c r="K302" s="200"/>
      <c r="L302" s="200"/>
      <c r="M302" s="37"/>
      <c r="N302" s="37"/>
      <c r="O302" s="45"/>
      <c r="P302" s="54"/>
      <c r="Q302" s="260"/>
      <c r="R302" s="261"/>
      <c r="S302" s="261"/>
      <c r="T302" s="38"/>
      <c r="U302" s="261"/>
      <c r="V302" s="256"/>
      <c r="W302" s="256"/>
      <c r="X302" s="256"/>
      <c r="Y302" s="256"/>
      <c r="Z302" s="54"/>
      <c r="AA302" s="200"/>
      <c r="AB302" s="31"/>
      <c r="AC302" s="184"/>
      <c r="AD302" s="51"/>
      <c r="AE302" s="52"/>
      <c r="AF302" s="41"/>
      <c r="AG302" s="45"/>
      <c r="AH302" s="28"/>
      <c r="AI302" s="28"/>
      <c r="AJ302" s="28"/>
      <c r="AK302" s="28"/>
      <c r="AL302" s="12"/>
      <c r="AM302" s="12"/>
      <c r="AN302" s="12"/>
      <c r="AO302" s="12"/>
      <c r="AP302" s="12"/>
      <c r="AQ302" s="13"/>
      <c r="AR302" s="14"/>
    </row>
    <row r="303" spans="1:44" s="16" customFormat="1" ht="30.95" hidden="1" customHeight="1" x14ac:dyDescent="0.2">
      <c r="A303" s="35"/>
      <c r="B303" s="36"/>
      <c r="C303" s="43"/>
      <c r="D303" s="29"/>
      <c r="E303" s="29"/>
      <c r="F303" s="255"/>
      <c r="G303" s="256"/>
      <c r="H303" s="256"/>
      <c r="I303" s="200"/>
      <c r="J303" s="30"/>
      <c r="K303" s="200"/>
      <c r="L303" s="200"/>
      <c r="M303" s="37"/>
      <c r="N303" s="37"/>
      <c r="O303" s="45"/>
      <c r="P303" s="54"/>
      <c r="Q303" s="260"/>
      <c r="R303" s="261"/>
      <c r="S303" s="261"/>
      <c r="T303" s="38"/>
      <c r="U303" s="261"/>
      <c r="V303" s="256"/>
      <c r="W303" s="256"/>
      <c r="X303" s="256"/>
      <c r="Y303" s="256"/>
      <c r="Z303" s="54"/>
      <c r="AA303" s="200"/>
      <c r="AB303" s="31"/>
      <c r="AC303" s="184"/>
      <c r="AD303" s="51"/>
      <c r="AE303" s="52"/>
      <c r="AF303" s="41"/>
      <c r="AG303" s="45"/>
      <c r="AH303" s="28"/>
      <c r="AI303" s="28"/>
      <c r="AJ303" s="28"/>
      <c r="AK303" s="28"/>
      <c r="AL303" s="12"/>
      <c r="AM303" s="12"/>
      <c r="AN303" s="12"/>
      <c r="AO303" s="12"/>
      <c r="AP303" s="12"/>
      <c r="AQ303" s="13"/>
      <c r="AR303" s="14"/>
    </row>
    <row r="304" spans="1:44" s="16" customFormat="1" ht="30.95" hidden="1" customHeight="1" x14ac:dyDescent="0.2">
      <c r="A304" s="35" t="s">
        <v>1033</v>
      </c>
      <c r="B304" s="36" t="s">
        <v>1034</v>
      </c>
      <c r="C304" s="43"/>
      <c r="D304" s="29"/>
      <c r="E304" s="29"/>
      <c r="F304" s="255"/>
      <c r="G304" s="256"/>
      <c r="H304" s="256"/>
      <c r="I304" s="200"/>
      <c r="J304" s="30" t="s">
        <v>448</v>
      </c>
      <c r="K304" s="200"/>
      <c r="L304" s="200"/>
      <c r="M304" s="37"/>
      <c r="N304" s="37"/>
      <c r="O304" s="45"/>
      <c r="P304" s="54"/>
      <c r="Q304" s="260"/>
      <c r="R304" s="261"/>
      <c r="S304" s="261"/>
      <c r="T304" s="38"/>
      <c r="U304" s="261"/>
      <c r="V304" s="256"/>
      <c r="W304" s="256"/>
      <c r="X304" s="256"/>
      <c r="Y304" s="256"/>
      <c r="Z304" s="54"/>
      <c r="AA304" s="200"/>
      <c r="AB304" s="31"/>
      <c r="AC304" s="184"/>
      <c r="AD304" s="51"/>
      <c r="AE304" s="52"/>
      <c r="AF304" s="41"/>
      <c r="AG304" s="45"/>
      <c r="AH304" s="28"/>
      <c r="AI304" s="28"/>
      <c r="AJ304" s="28"/>
      <c r="AK304" s="28"/>
      <c r="AL304" s="12"/>
      <c r="AM304" s="12"/>
      <c r="AN304" s="12"/>
      <c r="AO304" s="12"/>
      <c r="AP304" s="12"/>
      <c r="AQ304" s="13"/>
      <c r="AR304" s="14"/>
    </row>
    <row r="305" spans="1:44" s="16" customFormat="1" ht="30.95" hidden="1" customHeight="1" x14ac:dyDescent="0.2">
      <c r="A305" s="35"/>
      <c r="B305" s="36"/>
      <c r="C305" s="43"/>
      <c r="D305" s="29"/>
      <c r="E305" s="29"/>
      <c r="F305" s="255"/>
      <c r="G305" s="256"/>
      <c r="H305" s="256"/>
      <c r="I305" s="200"/>
      <c r="J305" s="30"/>
      <c r="K305" s="200"/>
      <c r="L305" s="200"/>
      <c r="M305" s="37"/>
      <c r="N305" s="37"/>
      <c r="O305" s="45"/>
      <c r="P305" s="54"/>
      <c r="Q305" s="260"/>
      <c r="R305" s="261"/>
      <c r="S305" s="261"/>
      <c r="T305" s="38"/>
      <c r="U305" s="261"/>
      <c r="V305" s="256"/>
      <c r="W305" s="256"/>
      <c r="X305" s="256"/>
      <c r="Y305" s="256"/>
      <c r="Z305" s="54"/>
      <c r="AA305" s="200"/>
      <c r="AB305" s="31"/>
      <c r="AC305" s="184"/>
      <c r="AD305" s="51"/>
      <c r="AE305" s="52"/>
      <c r="AF305" s="41"/>
      <c r="AG305" s="45"/>
      <c r="AH305" s="28"/>
      <c r="AI305" s="28"/>
      <c r="AJ305" s="28"/>
      <c r="AK305" s="28"/>
      <c r="AL305" s="12"/>
      <c r="AM305" s="12"/>
      <c r="AN305" s="12"/>
      <c r="AO305" s="12"/>
      <c r="AP305" s="12"/>
      <c r="AQ305" s="13"/>
      <c r="AR305" s="14"/>
    </row>
    <row r="306" spans="1:44" s="16" customFormat="1" ht="30.95" hidden="1" customHeight="1" x14ac:dyDescent="0.2">
      <c r="A306" s="35" t="s">
        <v>1047</v>
      </c>
      <c r="B306" s="36" t="s">
        <v>1048</v>
      </c>
      <c r="C306" s="43"/>
      <c r="D306" s="29">
        <v>5354175</v>
      </c>
      <c r="E306" s="29">
        <v>4151345</v>
      </c>
      <c r="F306" s="255" t="s">
        <v>927</v>
      </c>
      <c r="G306" s="256" t="s">
        <v>19</v>
      </c>
      <c r="H306" s="256" t="s">
        <v>1081</v>
      </c>
      <c r="I306" s="200" t="s">
        <v>222</v>
      </c>
      <c r="J306" s="30" t="s">
        <v>463</v>
      </c>
      <c r="K306" s="200">
        <v>25</v>
      </c>
      <c r="L306" s="200" t="s">
        <v>221</v>
      </c>
      <c r="M306" s="37">
        <v>1100</v>
      </c>
      <c r="N306" s="37">
        <v>6000</v>
      </c>
      <c r="O306" s="45">
        <v>2</v>
      </c>
      <c r="P306" s="206">
        <v>45026</v>
      </c>
      <c r="Q306" s="260">
        <v>1000</v>
      </c>
      <c r="R306" s="261">
        <v>1000</v>
      </c>
      <c r="S306" s="261">
        <v>5900</v>
      </c>
      <c r="T306" s="38">
        <v>2</v>
      </c>
      <c r="U306" s="261">
        <v>2</v>
      </c>
      <c r="V306" s="256" t="s">
        <v>1082</v>
      </c>
      <c r="W306" s="256">
        <v>1010</v>
      </c>
      <c r="X306" s="256">
        <v>2</v>
      </c>
      <c r="Y306" s="256" t="s">
        <v>116</v>
      </c>
      <c r="Z306" s="54"/>
      <c r="AA306" s="200" t="s">
        <v>1083</v>
      </c>
      <c r="AB306" s="31"/>
      <c r="AC306" s="184"/>
      <c r="AD306" s="51"/>
      <c r="AE306" s="52"/>
      <c r="AF306" s="41"/>
      <c r="AG306" s="45"/>
      <c r="AH306" s="28"/>
      <c r="AI306" s="28"/>
      <c r="AJ306" s="28"/>
      <c r="AK306" s="28"/>
      <c r="AL306" s="12"/>
      <c r="AM306" s="12"/>
      <c r="AN306" s="12"/>
      <c r="AO306" s="12"/>
      <c r="AP306" s="12"/>
      <c r="AQ306" s="13"/>
      <c r="AR306" s="14"/>
    </row>
    <row r="307" spans="1:44" s="16" customFormat="1" ht="30.95" hidden="1" customHeight="1" x14ac:dyDescent="0.2">
      <c r="A307" s="35"/>
      <c r="B307" s="36"/>
      <c r="C307" s="43"/>
      <c r="D307" s="278" t="s">
        <v>932</v>
      </c>
      <c r="E307" s="29"/>
      <c r="F307" s="255"/>
      <c r="G307" s="256"/>
      <c r="H307" s="256"/>
      <c r="I307" s="200"/>
      <c r="J307" s="30"/>
      <c r="K307" s="200"/>
      <c r="L307" s="200"/>
      <c r="M307" s="37"/>
      <c r="N307" s="37"/>
      <c r="O307" s="45"/>
      <c r="P307" s="54"/>
      <c r="Q307" s="260"/>
      <c r="R307" s="261"/>
      <c r="S307" s="261"/>
      <c r="T307" s="38"/>
      <c r="U307" s="261"/>
      <c r="V307" s="256"/>
      <c r="W307" s="256"/>
      <c r="X307" s="256"/>
      <c r="Y307" s="256"/>
      <c r="Z307" s="54"/>
      <c r="AA307" s="200" t="str">
        <f>IFERROR(VLOOKUP(F307&amp;K307&amp;M307,製品マスタ!$M$5:$AM$4999,27,FALSE),"")</f>
        <v/>
      </c>
      <c r="AB307" s="31"/>
      <c r="AC307" s="184"/>
      <c r="AD307" s="51"/>
      <c r="AE307" s="52"/>
      <c r="AF307" s="41"/>
      <c r="AG307" s="45"/>
      <c r="AH307" s="28"/>
      <c r="AI307" s="28"/>
      <c r="AJ307" s="28"/>
      <c r="AK307" s="28"/>
      <c r="AL307" s="12"/>
      <c r="AM307" s="12"/>
      <c r="AN307" s="12"/>
      <c r="AO307" s="12"/>
      <c r="AP307" s="12"/>
      <c r="AQ307" s="13"/>
      <c r="AR307" s="14"/>
    </row>
    <row r="308" spans="1:44" s="16" customFormat="1" ht="30.95" hidden="1" customHeight="1" x14ac:dyDescent="0.2">
      <c r="A308" s="35" t="s">
        <v>1049</v>
      </c>
      <c r="B308" s="36" t="s">
        <v>1050</v>
      </c>
      <c r="C308" s="43"/>
      <c r="D308" s="29">
        <v>3703996</v>
      </c>
      <c r="E308" s="29">
        <v>4151335</v>
      </c>
      <c r="F308" s="255" t="str">
        <f>IF(D308="","",VLOOKUP(D308,契約台帳!$A$3:$K$4986,6,FALSE)&amp;VLOOKUP(D308,契約台帳!$A$3:$K$4986,7,FALSE)&amp;VLOOKUP(D308,契約台帳!$A$3:$K$4986,8,FALSE)&amp;VLOOKUP(D308,契約台帳!$A$3:$K$4986,9,FALSE)&amp;VLOOKUP(D308,契約台帳!$A$3:$K$4986,11,FALSE))</f>
        <v>3SNMLBMNGTBF</v>
      </c>
      <c r="G308" s="256" t="str">
        <f>IF(D308="","",VLOOKUP(F308,製品マスタ!$G$5:$H$4999,2,FALSE))</f>
        <v>S</v>
      </c>
      <c r="H308" s="256" t="str">
        <f>IF(D308="","",VLOOKUP(F308,製品マスタ!$G$5:$K$4999,5,FALSE))</f>
        <v>MNGTBF</v>
      </c>
      <c r="I308" s="200" t="str">
        <f>IF(D308="","",VLOOKUP(F308,製品マスタ!$G$5:$L$4999,6,FALSE))</f>
        <v>メタルミー　ネーマー　銀艶　Ｂ</v>
      </c>
      <c r="J308" s="30" t="s">
        <v>1051</v>
      </c>
      <c r="K308" s="200">
        <f>IF(D308="","",VLOOKUP(D308,契約台帳!$A$3:$L$4986,12,FALSE))</f>
        <v>50</v>
      </c>
      <c r="L308" s="200" t="str">
        <f>IF(D308="","",INDEX(製品マスタ!$Q$5:$Q$4999,MATCH(F308&amp;K308,製品マスタ!$AO$5:$AO$4999,0)))</f>
        <v>T62</v>
      </c>
      <c r="M308" s="37">
        <v>1120</v>
      </c>
      <c r="N308" s="37">
        <v>10000</v>
      </c>
      <c r="O308" s="45">
        <v>3</v>
      </c>
      <c r="P308" s="54"/>
      <c r="Q308" s="260">
        <f>IF(D308="","",IF(J308="リード付け",M308,VLOOKUP(D308,契約台帳!$A$3:$N$4986,14,FALSE)))</f>
        <v>1120</v>
      </c>
      <c r="R308" s="261">
        <f>IF(D308="","",IF(J308="リード付け",M308,VLOOKUP(D308,契約台帳!$A$3:$O$4986,15,FALSE)))</f>
        <v>1120</v>
      </c>
      <c r="S308" s="261">
        <f>IF(D308="","",IF(J308="リード付け",N308,VLOOKUP(D308,契約台帳!$A$3:$P$4986,16,FALSE)))</f>
        <v>5000</v>
      </c>
      <c r="T308" s="38">
        <v>6</v>
      </c>
      <c r="U308" s="261">
        <f ca="1">IF(D308="","",IF(OFFSET(D308,-2,0)=D308,"",VLOOKUP(D308,契約台帳!$A$3:$R$4986,18,FALSE)))</f>
        <v>12</v>
      </c>
      <c r="V308" s="256" t="str">
        <f>IF(J308="巻返し",VLOOKUP(F308&amp;K308&amp;M308,製品マスタ!$M$5:$AD$4999,18,FALSE),IF(J308="リード付け","原反コア",IF(J308="スリット",VLOOKUP(F308&amp;K308&amp;Q308,製品マスタ!$N$5:$AD$4999,17,FALSE),"")))</f>
        <v>6ｲﾝﾁSｺｱ</v>
      </c>
      <c r="W308" s="256">
        <f>IF(J308="巻返し",VLOOKUP(F308&amp;K308&amp;M308,製品マスタ!$M$5:$AE$4999,19,FALSE),IF(J308="リード付け","-",IF(J308="スリット",VLOOKUP(F308&amp;K308&amp;Q308,製品マスタ!$N$5:$AE$4999,18,FALSE),"")))</f>
        <v>1125</v>
      </c>
      <c r="X308" s="256">
        <f>IF(D308="","",VLOOKUP(D308,契約台帳!$A$3:$Q$4986,17,FALSE))</f>
        <v>2</v>
      </c>
      <c r="Y308" s="256" t="str">
        <f>IF(D308="","",VLOOKUP(D308,契約台帳!$A$3:$E$4986,5,FALSE))</f>
        <v>リンテック㈱</v>
      </c>
      <c r="Z308" s="54">
        <v>45030</v>
      </c>
      <c r="AA308" s="200" t="str">
        <f>IFERROR(VLOOKUP(F308&amp;K308&amp;M308,製品マスタ!$M$5:$AM$4999,27,FALSE),"")</f>
        <v>原反ケース再利用</v>
      </c>
      <c r="AB308" s="31"/>
      <c r="AC308" s="184"/>
      <c r="AD308" s="51" t="str">
        <f>IF(F308="","",+F308&amp;K308)</f>
        <v>3SNMLBMNGTBF50</v>
      </c>
      <c r="AE308" s="52">
        <f>+M308*N308*O308/1000</f>
        <v>33600</v>
      </c>
      <c r="AF308" s="41">
        <f>IF(AD308="","",VLOOKUP(AD308,原価マスタ!$A$2:$AJ$1693,13,FALSE))</f>
        <v>99</v>
      </c>
      <c r="AG308" s="45">
        <f>IF(AF308="","",+AE308*AF308/100)</f>
        <v>33264</v>
      </c>
      <c r="AH308" s="28"/>
      <c r="AI308" s="28"/>
      <c r="AJ308" s="28"/>
      <c r="AK308" s="28"/>
      <c r="AL308" s="12"/>
      <c r="AM308" s="12"/>
      <c r="AN308" s="12"/>
      <c r="AO308" s="12"/>
      <c r="AP308" s="12"/>
      <c r="AQ308" s="13"/>
      <c r="AR308" s="14"/>
    </row>
    <row r="309" spans="1:44" s="16" customFormat="1" ht="30.95" hidden="1" customHeight="1" x14ac:dyDescent="0.2">
      <c r="A309" s="35"/>
      <c r="B309" s="36"/>
      <c r="C309" s="43"/>
      <c r="D309" s="29"/>
      <c r="E309" s="29"/>
      <c r="F309" s="255" t="str">
        <f>IF(D309="","",VLOOKUP(D309,契約台帳!$A$3:$K$4986,6,FALSE)&amp;VLOOKUP(D309,契約台帳!$A$3:$K$4986,7,FALSE)&amp;VLOOKUP(D309,契約台帳!$A$3:$K$4986,8,FALSE)&amp;VLOOKUP(D309,契約台帳!$A$3:$K$4986,9,FALSE)&amp;VLOOKUP(D309,契約台帳!$A$3:$K$4986,11,FALSE))</f>
        <v/>
      </c>
      <c r="G309" s="256" t="str">
        <f>IF(D309="","",VLOOKUP(F309,製品マスタ!$G$5:$H$4999,2,FALSE))</f>
        <v/>
      </c>
      <c r="H309" s="256" t="str">
        <f>IF(D309="","",VLOOKUP(F309,製品マスタ!$G$5:$K$4999,5,FALSE))</f>
        <v/>
      </c>
      <c r="I309" s="200" t="str">
        <f>IF(D309="","",VLOOKUP(F309,製品マスタ!$G$5:$L$4999,6,FALSE))</f>
        <v/>
      </c>
      <c r="J309" s="30"/>
      <c r="K309" s="200" t="str">
        <f>IF(D309="","",VLOOKUP(D309,契約台帳!$A$3:$L$4986,12,FALSE))</f>
        <v/>
      </c>
      <c r="L309" s="200" t="str">
        <f>IF(D309="","",INDEX(製品マスタ!$Q$5:$Q$4999,MATCH(F309&amp;K309,製品マスタ!$AO$5:$AO$4999,0)))</f>
        <v/>
      </c>
      <c r="M309" s="37"/>
      <c r="N309" s="37"/>
      <c r="O309" s="45"/>
      <c r="P309" s="54"/>
      <c r="Q309" s="260" t="str">
        <f>IF(D309="","",IF(J309="リード付け",M309,VLOOKUP(D309,契約台帳!$A$3:$N$4986,14,FALSE)))</f>
        <v/>
      </c>
      <c r="R309" s="261" t="str">
        <f>IF(D309="","",IF(J309="リード付け",M309,VLOOKUP(D309,契約台帳!$A$3:$O$4986,15,FALSE)))</f>
        <v/>
      </c>
      <c r="S309" s="261" t="str">
        <f>IF(D309="","",IF(J309="リード付け",N309,VLOOKUP(D309,契約台帳!$A$3:$P$4986,16,FALSE)))</f>
        <v/>
      </c>
      <c r="T309" s="38"/>
      <c r="U309" s="261" t="str">
        <f ca="1">IF(D309="","",IF(OFFSET(D309,-2,0)=D309,"",VLOOKUP(D309,契約台帳!$A$3:$R$4986,18,FALSE)))</f>
        <v/>
      </c>
      <c r="V309" s="256" t="str">
        <f>IF(J309="巻返し",VLOOKUP(F309&amp;K309&amp;M309,製品マスタ!$M$5:$AD$4999,18,FALSE),IF(J309="リード付け","原反コア",IF(J309="スリット",VLOOKUP(F309&amp;K309&amp;Q309,製品マスタ!$N$5:$AD$4999,17,FALSE),"")))</f>
        <v/>
      </c>
      <c r="W309" s="256" t="str">
        <f>IF(J309="巻返し",VLOOKUP(F309&amp;K309&amp;M309,製品マスタ!$M$5:$AE$4999,19,FALSE),IF(J309="リード付け","-",IF(J309="スリット",VLOOKUP(F309&amp;K309&amp;Q309,製品マスタ!$N$5:$AE$4999,18,FALSE),"")))</f>
        <v/>
      </c>
      <c r="X309" s="256" t="str">
        <f>IF(D309="","",VLOOKUP(D309,契約台帳!$A$3:$Q$4986,17,FALSE))</f>
        <v/>
      </c>
      <c r="Y309" s="256" t="str">
        <f>IF(D309="","",VLOOKUP(D309,契約台帳!$A$3:$E$4986,5,FALSE))</f>
        <v/>
      </c>
      <c r="Z309" s="54"/>
      <c r="AA309" s="200" t="str">
        <f>IFERROR(VLOOKUP(F309&amp;K309&amp;M309,製品マスタ!$M$5:$AM$4999,27,FALSE),"")</f>
        <v/>
      </c>
      <c r="AB309" s="31"/>
      <c r="AC309" s="184"/>
      <c r="AD309" s="51"/>
      <c r="AE309" s="52"/>
      <c r="AF309" s="41"/>
      <c r="AG309" s="45"/>
      <c r="AH309" s="28"/>
      <c r="AI309" s="28"/>
      <c r="AJ309" s="28"/>
      <c r="AK309" s="28"/>
      <c r="AL309" s="12"/>
      <c r="AM309" s="12"/>
      <c r="AN309" s="12"/>
      <c r="AO309" s="12"/>
      <c r="AP309" s="12"/>
      <c r="AQ309" s="13"/>
      <c r="AR309" s="14"/>
    </row>
    <row r="310" spans="1:44" s="16" customFormat="1" ht="30.95" hidden="1" customHeight="1" x14ac:dyDescent="0.2">
      <c r="A310" s="35" t="s">
        <v>1037</v>
      </c>
      <c r="B310" s="36" t="s">
        <v>442</v>
      </c>
      <c r="C310" s="43"/>
      <c r="D310" s="29">
        <v>3703996</v>
      </c>
      <c r="E310" s="29">
        <v>4151335</v>
      </c>
      <c r="F310" s="255" t="str">
        <f>IF(D310="","",VLOOKUP(D310,契約台帳!$A$3:$K$4986,6,FALSE)&amp;VLOOKUP(D310,契約台帳!$A$3:$K$4986,7,FALSE)&amp;VLOOKUP(D310,契約台帳!$A$3:$K$4986,8,FALSE)&amp;VLOOKUP(D310,契約台帳!$A$3:$K$4986,9,FALSE)&amp;VLOOKUP(D310,契約台帳!$A$3:$K$4986,11,FALSE))</f>
        <v>3SNMLBMNGTBF</v>
      </c>
      <c r="G310" s="256" t="str">
        <f>IF(D310="","",VLOOKUP(F310,製品マスタ!$G$5:$H$4999,2,FALSE))</f>
        <v>S</v>
      </c>
      <c r="H310" s="256" t="str">
        <f>IF(D310="","",VLOOKUP(F310,製品マスタ!$G$5:$K$4999,5,FALSE))</f>
        <v>MNGTBF</v>
      </c>
      <c r="I310" s="200" t="str">
        <f>IF(D310="","",VLOOKUP(F310,製品マスタ!$G$5:$L$4999,6,FALSE))</f>
        <v>メタルミー　ネーマー　銀艶　Ｂ</v>
      </c>
      <c r="J310" s="30" t="s">
        <v>447</v>
      </c>
      <c r="K310" s="200">
        <f>IF(D310="","",VLOOKUP(D310,契約台帳!$A$3:$L$4986,12,FALSE))</f>
        <v>50</v>
      </c>
      <c r="L310" s="200" t="str">
        <f>IF(D310="","",INDEX(製品マスタ!$Q$5:$Q$4999,MATCH(F310&amp;K310,製品マスタ!$AO$5:$AO$4999,0)))</f>
        <v>T62</v>
      </c>
      <c r="M310" s="37">
        <v>1120</v>
      </c>
      <c r="N310" s="37">
        <v>10000</v>
      </c>
      <c r="O310" s="45">
        <v>3</v>
      </c>
      <c r="P310" s="54"/>
      <c r="Q310" s="260">
        <f>IF(D310="","",IF(J310="リード付け",M310,VLOOKUP(D310,契約台帳!$A$3:$N$4986,14,FALSE)))</f>
        <v>1120</v>
      </c>
      <c r="R310" s="261">
        <f>IF(D310="","",IF(J310="リード付け",M310,VLOOKUP(D310,契約台帳!$A$3:$O$4986,15,FALSE)))</f>
        <v>1120</v>
      </c>
      <c r="S310" s="261">
        <f>IF(D310="","",IF(J310="リード付け",N310,VLOOKUP(D310,契約台帳!$A$3:$P$4986,16,FALSE)))</f>
        <v>5000</v>
      </c>
      <c r="T310" s="38">
        <v>6</v>
      </c>
      <c r="U310" s="261" t="str">
        <f ca="1">IF(D310="","",IF(OFFSET(D310,-2,0)=D310,"",VLOOKUP(D310,契約台帳!$A$3:$R$4986,18,FALSE)))</f>
        <v/>
      </c>
      <c r="V310" s="256" t="str">
        <f>IF(J310="巻返し",VLOOKUP(F310&amp;K310&amp;M310,製品マスタ!$M$5:$AD$4999,18,FALSE),IF(J310="リード付け","原反コア",IF(J310="スリット",VLOOKUP(F310&amp;K310&amp;Q310,製品マスタ!$N$5:$AD$4999,17,FALSE),"")))</f>
        <v>6ｲﾝﾁSｺｱ</v>
      </c>
      <c r="W310" s="256">
        <f>IF(J310="巻返し",VLOOKUP(F310&amp;K310&amp;M310,製品マスタ!$M$5:$AE$4999,19,FALSE),IF(J310="リード付け","-",IF(J310="スリット",VLOOKUP(F310&amp;K310&amp;Q310,製品マスタ!$N$5:$AE$4999,18,FALSE),"")))</f>
        <v>1125</v>
      </c>
      <c r="X310" s="256">
        <f>IF(D310="","",VLOOKUP(D310,契約台帳!$A$3:$Q$4986,17,FALSE))</f>
        <v>2</v>
      </c>
      <c r="Y310" s="256" t="str">
        <f>IF(D310="","",VLOOKUP(D310,契約台帳!$A$3:$E$4986,5,FALSE))</f>
        <v>リンテック㈱</v>
      </c>
      <c r="Z310" s="54">
        <v>45030</v>
      </c>
      <c r="AA310" s="200" t="str">
        <f>IFERROR(VLOOKUP(F310&amp;K310&amp;M310,製品マスタ!$M$5:$AM$4999,27,FALSE),"")</f>
        <v>原反ケース再利用</v>
      </c>
      <c r="AB310" s="31"/>
      <c r="AC310" s="184"/>
      <c r="AD310" s="51" t="str">
        <f>IF(F310="","",+F310&amp;K310)</f>
        <v>3SNMLBMNGTBF50</v>
      </c>
      <c r="AE310" s="52">
        <f>+M310*N310*O310/1000</f>
        <v>33600</v>
      </c>
      <c r="AF310" s="41">
        <f>IF(AD310="","",VLOOKUP(AD310,原価マスタ!$A$2:$AJ$1693,13,FALSE))</f>
        <v>99</v>
      </c>
      <c r="AG310" s="45">
        <f>IF(AF310="","",+AE310*AF310/100)</f>
        <v>33264</v>
      </c>
      <c r="AH310" s="28"/>
      <c r="AI310" s="28"/>
      <c r="AJ310" s="28"/>
      <c r="AK310" s="28"/>
      <c r="AL310" s="12"/>
      <c r="AM310" s="12"/>
      <c r="AN310" s="12"/>
      <c r="AO310" s="12"/>
      <c r="AP310" s="12"/>
      <c r="AQ310" s="13"/>
      <c r="AR310" s="14"/>
    </row>
    <row r="311" spans="1:44" s="16" customFormat="1" ht="30.95" hidden="1" customHeight="1" x14ac:dyDescent="0.2">
      <c r="A311" s="35"/>
      <c r="B311" s="36"/>
      <c r="C311" s="43"/>
      <c r="D311" s="29"/>
      <c r="E311" s="29"/>
      <c r="F311" s="255"/>
      <c r="G311" s="256"/>
      <c r="H311" s="256"/>
      <c r="I311" s="200"/>
      <c r="J311" s="30"/>
      <c r="K311" s="200"/>
      <c r="L311" s="200"/>
      <c r="M311" s="37"/>
      <c r="N311" s="37"/>
      <c r="O311" s="45"/>
      <c r="P311" s="54"/>
      <c r="Q311" s="260"/>
      <c r="R311" s="261"/>
      <c r="S311" s="261"/>
      <c r="T311" s="38"/>
      <c r="U311" s="261"/>
      <c r="V311" s="256"/>
      <c r="W311" s="256"/>
      <c r="X311" s="256"/>
      <c r="Y311" s="256"/>
      <c r="Z311" s="54"/>
      <c r="AA311" s="200"/>
      <c r="AB311" s="31"/>
      <c r="AC311" s="184"/>
      <c r="AD311" s="51"/>
      <c r="AE311" s="52"/>
      <c r="AF311" s="41"/>
      <c r="AG311" s="45"/>
      <c r="AH311" s="28"/>
      <c r="AI311" s="28"/>
      <c r="AJ311" s="28"/>
      <c r="AK311" s="28"/>
      <c r="AL311" s="12"/>
      <c r="AM311" s="12"/>
      <c r="AN311" s="12"/>
      <c r="AO311" s="12"/>
      <c r="AP311" s="12"/>
      <c r="AQ311" s="13"/>
      <c r="AR311" s="14"/>
    </row>
    <row r="312" spans="1:44" s="16" customFormat="1" ht="30.95" hidden="1" customHeight="1" x14ac:dyDescent="0.2">
      <c r="A312" s="35"/>
      <c r="B312" s="36"/>
      <c r="C312" s="43"/>
      <c r="D312" s="29">
        <v>3703997</v>
      </c>
      <c r="E312" s="29">
        <v>4151336</v>
      </c>
      <c r="F312" s="255" t="str">
        <f>IF(D312="","",VLOOKUP(D312,契約台帳!$A$3:$K$4986,6,FALSE)&amp;VLOOKUP(D312,契約台帳!$A$3:$K$4986,7,FALSE)&amp;VLOOKUP(D312,契約台帳!$A$3:$K$4986,8,FALSE)&amp;VLOOKUP(D312,契約台帳!$A$3:$K$4986,9,FALSE)&amp;VLOOKUP(D312,契約台帳!$A$3:$K$4986,11,FALSE))</f>
        <v>3SNMLBMNGTBF</v>
      </c>
      <c r="G312" s="256" t="str">
        <f>IF(D312="","",VLOOKUP(F312,製品マスタ!$G$5:$H$4999,2,FALSE))</f>
        <v>S</v>
      </c>
      <c r="H312" s="256" t="str">
        <f>IF(D312="","",VLOOKUP(F312,製品マスタ!$G$5:$K$4999,5,FALSE))</f>
        <v>MNGTBF</v>
      </c>
      <c r="I312" s="200" t="str">
        <f>IF(D312="","",VLOOKUP(F312,製品マスタ!$G$5:$L$4999,6,FALSE))</f>
        <v>メタルミー　ネーマー　銀艶　Ｂ</v>
      </c>
      <c r="J312" s="30" t="s">
        <v>1051</v>
      </c>
      <c r="K312" s="200">
        <f>IF(D312="","",VLOOKUP(D312,契約台帳!$A$3:$L$4986,12,FALSE))</f>
        <v>50</v>
      </c>
      <c r="L312" s="200" t="str">
        <f>IF(D312="","",INDEX(製品マスタ!$Q$5:$Q$4999,MATCH(F312&amp;K312,製品マスタ!$AO$5:$AO$4999,0)))</f>
        <v>T62</v>
      </c>
      <c r="M312" s="37">
        <v>1120</v>
      </c>
      <c r="N312" s="37">
        <v>10000</v>
      </c>
      <c r="O312" s="45">
        <v>1</v>
      </c>
      <c r="P312" s="54"/>
      <c r="Q312" s="260">
        <f>IF(D312="","",IF(J312="リード付け",M312,VLOOKUP(D312,契約台帳!$A$3:$N$4986,14,FALSE)))</f>
        <v>1120</v>
      </c>
      <c r="R312" s="261">
        <f>IF(D312="","",IF(J312="リード付け",M312,VLOOKUP(D312,契約台帳!$A$3:$O$4986,15,FALSE)))</f>
        <v>1120</v>
      </c>
      <c r="S312" s="261">
        <f>IF(D312="","",IF(J312="リード付け",N312,VLOOKUP(D312,契約台帳!$A$3:$P$4986,16,FALSE)))</f>
        <v>5000</v>
      </c>
      <c r="T312" s="38">
        <v>2</v>
      </c>
      <c r="U312" s="261">
        <f ca="1">IF(D312="","",IF(OFFSET(D312,-2,0)=D312,"",VLOOKUP(D312,契約台帳!$A$3:$R$4986,18,FALSE)))</f>
        <v>12</v>
      </c>
      <c r="V312" s="256" t="str">
        <f>IF(J312="巻返し",VLOOKUP(F312&amp;K312&amp;M312,製品マスタ!$M$5:$AD$4999,18,FALSE),IF(J312="リード付け","原反コア",IF(J312="スリット",VLOOKUP(F312&amp;K312&amp;Q312,製品マスタ!$N$5:$AD$4999,17,FALSE),"")))</f>
        <v>6ｲﾝﾁSｺｱ</v>
      </c>
      <c r="W312" s="256">
        <f>IF(J312="巻返し",VLOOKUP(F312&amp;K312&amp;M312,製品マスタ!$M$5:$AE$4999,19,FALSE),IF(J312="リード付け","-",IF(J312="スリット",VLOOKUP(F312&amp;K312&amp;Q312,製品マスタ!$N$5:$AE$4999,18,FALSE),"")))</f>
        <v>1125</v>
      </c>
      <c r="X312" s="256">
        <f>IF(D312="","",VLOOKUP(D312,契約台帳!$A$3:$Q$4986,17,FALSE))</f>
        <v>2</v>
      </c>
      <c r="Y312" s="256" t="str">
        <f>IF(D312="","",VLOOKUP(D312,契約台帳!$A$3:$E$4986,5,FALSE))</f>
        <v>リンテック㈱</v>
      </c>
      <c r="Z312" s="54">
        <v>45030</v>
      </c>
      <c r="AA312" s="200" t="str">
        <f>IFERROR(VLOOKUP(F312&amp;K312&amp;M312,製品マスタ!$M$5:$AM$4999,27,FALSE),"")</f>
        <v>原反ケース再利用</v>
      </c>
      <c r="AB312" s="31"/>
      <c r="AC312" s="184"/>
      <c r="AD312" s="51" t="str">
        <f>IF(F312="","",+F312&amp;K312)</f>
        <v>3SNMLBMNGTBF50</v>
      </c>
      <c r="AE312" s="52">
        <f>+M312*N312*O312/1000</f>
        <v>11200</v>
      </c>
      <c r="AF312" s="41">
        <f>IF(AD312="","",VLOOKUP(AD312,原価マスタ!$A$2:$AJ$1693,13,FALSE))</f>
        <v>99</v>
      </c>
      <c r="AG312" s="45">
        <f>IF(AF312="","",+AE312*AF312/100)</f>
        <v>11088</v>
      </c>
      <c r="AH312" s="28"/>
      <c r="AI312" s="28"/>
      <c r="AJ312" s="28"/>
      <c r="AK312" s="28"/>
      <c r="AL312" s="12"/>
      <c r="AM312" s="12"/>
      <c r="AN312" s="12"/>
      <c r="AO312" s="12"/>
      <c r="AP312" s="12"/>
      <c r="AQ312" s="13"/>
      <c r="AR312" s="14"/>
    </row>
    <row r="313" spans="1:44" s="16" customFormat="1" ht="30.95" hidden="1" customHeight="1" x14ac:dyDescent="0.2">
      <c r="A313" s="35"/>
      <c r="B313" s="36"/>
      <c r="C313" s="43"/>
      <c r="D313" s="29"/>
      <c r="E313" s="29"/>
      <c r="F313" s="255" t="str">
        <f>IF(D313="","",VLOOKUP(D313,契約台帳!$A$3:$K$4986,6,FALSE)&amp;VLOOKUP(D313,契約台帳!$A$3:$K$4986,7,FALSE)&amp;VLOOKUP(D313,契約台帳!$A$3:$K$4986,8,FALSE)&amp;VLOOKUP(D313,契約台帳!$A$3:$K$4986,9,FALSE)&amp;VLOOKUP(D313,契約台帳!$A$3:$K$4986,11,FALSE))</f>
        <v/>
      </c>
      <c r="G313" s="256" t="str">
        <f>IF(D313="","",VLOOKUP(F313,製品マスタ!$G$5:$H$4999,2,FALSE))</f>
        <v/>
      </c>
      <c r="H313" s="256" t="str">
        <f>IF(D313="","",VLOOKUP(F313,製品マスタ!$G$5:$K$4999,5,FALSE))</f>
        <v/>
      </c>
      <c r="I313" s="200" t="str">
        <f>IF(D313="","",VLOOKUP(F313,製品マスタ!$G$5:$L$4999,6,FALSE))</f>
        <v/>
      </c>
      <c r="J313" s="30"/>
      <c r="K313" s="200" t="str">
        <f>IF(D313="","",VLOOKUP(D313,契約台帳!$A$3:$L$4986,12,FALSE))</f>
        <v/>
      </c>
      <c r="L313" s="200" t="str">
        <f>IF(D313="","",INDEX(製品マスタ!$Q$5:$Q$4999,MATCH(F313&amp;K313,製品マスタ!$AO$5:$AO$4999,0)))</f>
        <v/>
      </c>
      <c r="M313" s="37"/>
      <c r="N313" s="37"/>
      <c r="O313" s="45"/>
      <c r="P313" s="54"/>
      <c r="Q313" s="260" t="str">
        <f>IF(D313="","",IF(J313="リード付け",M313,VLOOKUP(D313,契約台帳!$A$3:$N$4986,14,FALSE)))</f>
        <v/>
      </c>
      <c r="R313" s="261" t="str">
        <f>IF(D313="","",IF(J313="リード付け",M313,VLOOKUP(D313,契約台帳!$A$3:$O$4986,15,FALSE)))</f>
        <v/>
      </c>
      <c r="S313" s="261" t="str">
        <f>IF(D313="","",IF(J313="リード付け",N313,VLOOKUP(D313,契約台帳!$A$3:$P$4986,16,FALSE)))</f>
        <v/>
      </c>
      <c r="T313" s="38"/>
      <c r="U313" s="261" t="str">
        <f ca="1">IF(D313="","",IF(OFFSET(D313,-2,0)=D313,"",VLOOKUP(D313,契約台帳!$A$3:$R$4986,18,FALSE)))</f>
        <v/>
      </c>
      <c r="V313" s="256" t="str">
        <f>IF(J313="巻返し",VLOOKUP(F313&amp;K313&amp;M313,製品マスタ!$M$5:$AD$4999,18,FALSE),IF(J313="リード付け","原反コア",IF(J313="スリット",VLOOKUP(F313&amp;K313&amp;Q313,製品マスタ!$N$5:$AD$4999,17,FALSE),"")))</f>
        <v/>
      </c>
      <c r="W313" s="256" t="str">
        <f>IF(J313="巻返し",VLOOKUP(F313&amp;K313&amp;M313,製品マスタ!$M$5:$AE$4999,19,FALSE),IF(J313="リード付け","-",IF(J313="スリット",VLOOKUP(F313&amp;K313&amp;Q313,製品マスタ!$N$5:$AE$4999,18,FALSE),"")))</f>
        <v/>
      </c>
      <c r="X313" s="256" t="str">
        <f>IF(D313="","",VLOOKUP(D313,契約台帳!$A$3:$Q$4986,17,FALSE))</f>
        <v/>
      </c>
      <c r="Y313" s="256" t="str">
        <f>IF(D313="","",VLOOKUP(D313,契約台帳!$A$3:$E$4986,5,FALSE))</f>
        <v/>
      </c>
      <c r="Z313" s="54"/>
      <c r="AA313" s="200" t="str">
        <f>IFERROR(VLOOKUP(F313&amp;K313&amp;M313,製品マスタ!$M$5:$AM$4999,27,FALSE),"")</f>
        <v/>
      </c>
      <c r="AB313" s="31"/>
      <c r="AC313" s="184"/>
      <c r="AD313" s="51"/>
      <c r="AE313" s="52"/>
      <c r="AF313" s="41"/>
      <c r="AG313" s="45"/>
      <c r="AH313" s="28"/>
      <c r="AI313" s="28"/>
      <c r="AJ313" s="28"/>
      <c r="AK313" s="28"/>
      <c r="AL313" s="12"/>
      <c r="AM313" s="12"/>
      <c r="AN313" s="12"/>
      <c r="AO313" s="12"/>
      <c r="AP313" s="12"/>
      <c r="AQ313" s="13"/>
      <c r="AR313" s="14"/>
    </row>
    <row r="314" spans="1:44" s="16" customFormat="1" ht="30.95" hidden="1" customHeight="1" x14ac:dyDescent="0.2">
      <c r="A314" s="35" t="s">
        <v>1039</v>
      </c>
      <c r="B314" s="36" t="s">
        <v>443</v>
      </c>
      <c r="C314" s="43"/>
      <c r="D314" s="29">
        <v>3703997</v>
      </c>
      <c r="E314" s="29">
        <v>4151336</v>
      </c>
      <c r="F314" s="255" t="str">
        <f>IF(D314="","",VLOOKUP(D314,契約台帳!$A$3:$K$4986,6,FALSE)&amp;VLOOKUP(D314,契約台帳!$A$3:$K$4986,7,FALSE)&amp;VLOOKUP(D314,契約台帳!$A$3:$K$4986,8,FALSE)&amp;VLOOKUP(D314,契約台帳!$A$3:$K$4986,9,FALSE)&amp;VLOOKUP(D314,契約台帳!$A$3:$K$4986,11,FALSE))</f>
        <v>3SNMLBMNGTBF</v>
      </c>
      <c r="G314" s="256" t="str">
        <f>IF(D314="","",VLOOKUP(F314,製品マスタ!$G$5:$H$4999,2,FALSE))</f>
        <v>S</v>
      </c>
      <c r="H314" s="256" t="str">
        <f>IF(D314="","",VLOOKUP(F314,製品マスタ!$G$5:$K$4999,5,FALSE))</f>
        <v>MNGTBF</v>
      </c>
      <c r="I314" s="200" t="str">
        <f>IF(D314="","",VLOOKUP(F314,製品マスタ!$G$5:$L$4999,6,FALSE))</f>
        <v>メタルミー　ネーマー　銀艶　Ｂ</v>
      </c>
      <c r="J314" s="30" t="s">
        <v>447</v>
      </c>
      <c r="K314" s="200">
        <f>IF(D314="","",VLOOKUP(D314,契約台帳!$A$3:$L$4986,12,FALSE))</f>
        <v>50</v>
      </c>
      <c r="L314" s="200" t="str">
        <f>IF(D314="","",INDEX(製品マスタ!$Q$5:$Q$4999,MATCH(F314&amp;K314,製品マスタ!$AO$5:$AO$4999,0)))</f>
        <v>T62</v>
      </c>
      <c r="M314" s="37">
        <v>1120</v>
      </c>
      <c r="N314" s="37">
        <v>10000</v>
      </c>
      <c r="O314" s="45">
        <v>5</v>
      </c>
      <c r="P314" s="54"/>
      <c r="Q314" s="260">
        <f>IF(D314="","",IF(J314="リード付け",M314,VLOOKUP(D314,契約台帳!$A$3:$N$4986,14,FALSE)))</f>
        <v>1120</v>
      </c>
      <c r="R314" s="261">
        <f>IF(D314="","",IF(J314="リード付け",M314,VLOOKUP(D314,契約台帳!$A$3:$O$4986,15,FALSE)))</f>
        <v>1120</v>
      </c>
      <c r="S314" s="261">
        <f>IF(D314="","",IF(J314="リード付け",N314,VLOOKUP(D314,契約台帳!$A$3:$P$4986,16,FALSE)))</f>
        <v>5000</v>
      </c>
      <c r="T314" s="38">
        <v>10</v>
      </c>
      <c r="U314" s="261" t="str">
        <f ca="1">IF(D314="","",IF(OFFSET(D314,-2,0)=D314,"",VLOOKUP(D314,契約台帳!$A$3:$R$4986,18,FALSE)))</f>
        <v/>
      </c>
      <c r="V314" s="256" t="str">
        <f>IF(J314="巻返し",VLOOKUP(F314&amp;K314&amp;M314,製品マスタ!$M$5:$AD$4999,18,FALSE),IF(J314="リード付け","原反コア",IF(J314="スリット",VLOOKUP(F314&amp;K314&amp;Q314,製品マスタ!$N$5:$AD$4999,17,FALSE),"")))</f>
        <v>6ｲﾝﾁSｺｱ</v>
      </c>
      <c r="W314" s="256">
        <f>IF(J314="巻返し",VLOOKUP(F314&amp;K314&amp;M314,製品マスタ!$M$5:$AE$4999,19,FALSE),IF(J314="リード付け","-",IF(J314="スリット",VLOOKUP(F314&amp;K314&amp;Q314,製品マスタ!$N$5:$AE$4999,18,FALSE),"")))</f>
        <v>1125</v>
      </c>
      <c r="X314" s="256">
        <f>IF(D314="","",VLOOKUP(D314,契約台帳!$A$3:$Q$4986,17,FALSE))</f>
        <v>2</v>
      </c>
      <c r="Y314" s="256" t="str">
        <f>IF(D314="","",VLOOKUP(D314,契約台帳!$A$3:$E$4986,5,FALSE))</f>
        <v>リンテック㈱</v>
      </c>
      <c r="Z314" s="54">
        <v>45034</v>
      </c>
      <c r="AA314" s="200" t="str">
        <f>IFERROR(VLOOKUP(F314&amp;K314&amp;M314,製品マスタ!$M$5:$AM$4999,27,FALSE),"")</f>
        <v>原反ケース再利用</v>
      </c>
      <c r="AB314" s="31"/>
      <c r="AC314" s="184"/>
      <c r="AD314" s="51" t="str">
        <f>IF(F314="","",+F314&amp;K314)</f>
        <v>3SNMLBMNGTBF50</v>
      </c>
      <c r="AE314" s="52">
        <f>+M314*N314*O314/1000</f>
        <v>56000</v>
      </c>
      <c r="AF314" s="41">
        <f>IF(AD314="","",VLOOKUP(AD314,原価マスタ!$A$2:$AJ$1693,13,FALSE))</f>
        <v>99</v>
      </c>
      <c r="AG314" s="45">
        <f>IF(AF314="","",+AE314*AF314/100)</f>
        <v>55440</v>
      </c>
      <c r="AH314" s="28"/>
      <c r="AI314" s="28"/>
      <c r="AJ314" s="28"/>
      <c r="AK314" s="28"/>
      <c r="AL314" s="12"/>
      <c r="AM314" s="12"/>
      <c r="AN314" s="12"/>
      <c r="AO314" s="12"/>
      <c r="AP314" s="12"/>
      <c r="AQ314" s="13"/>
      <c r="AR314" s="14"/>
    </row>
    <row r="315" spans="1:44" s="16" customFormat="1" ht="30.95" hidden="1" customHeight="1" x14ac:dyDescent="0.2">
      <c r="A315" s="35"/>
      <c r="B315" s="36"/>
      <c r="C315" s="43"/>
      <c r="D315" s="29"/>
      <c r="E315" s="29"/>
      <c r="F315" s="255"/>
      <c r="G315" s="256"/>
      <c r="H315" s="256"/>
      <c r="I315" s="200"/>
      <c r="J315" s="30"/>
      <c r="K315" s="200"/>
      <c r="L315" s="200"/>
      <c r="M315" s="37"/>
      <c r="N315" s="37"/>
      <c r="O315" s="45"/>
      <c r="P315" s="54"/>
      <c r="Q315" s="260"/>
      <c r="R315" s="261"/>
      <c r="S315" s="261"/>
      <c r="T315" s="38"/>
      <c r="U315" s="261"/>
      <c r="V315" s="256"/>
      <c r="W315" s="256"/>
      <c r="X315" s="256"/>
      <c r="Y315" s="256"/>
      <c r="Z315" s="54"/>
      <c r="AA315" s="200"/>
      <c r="AB315" s="31"/>
      <c r="AC315" s="184"/>
      <c r="AD315" s="51"/>
      <c r="AE315" s="52"/>
      <c r="AF315" s="41"/>
      <c r="AG315" s="45"/>
      <c r="AH315" s="28"/>
      <c r="AI315" s="28"/>
      <c r="AJ315" s="28"/>
      <c r="AK315" s="28"/>
      <c r="AL315" s="12"/>
      <c r="AM315" s="12"/>
      <c r="AN315" s="12"/>
      <c r="AO315" s="12"/>
      <c r="AP315" s="12"/>
      <c r="AQ315" s="13"/>
      <c r="AR315" s="14"/>
    </row>
    <row r="316" spans="1:44" s="16" customFormat="1" ht="30.95" hidden="1" customHeight="1" x14ac:dyDescent="0.2">
      <c r="A316" s="35" t="s">
        <v>1041</v>
      </c>
      <c r="B316" s="36" t="s">
        <v>444</v>
      </c>
      <c r="C316" s="43"/>
      <c r="D316" s="29">
        <v>3703998</v>
      </c>
      <c r="E316" s="29">
        <v>4151337</v>
      </c>
      <c r="F316" s="255" t="str">
        <f>IF(D316="","",VLOOKUP(D316,契約台帳!$A$3:$K$4986,6,FALSE)&amp;VLOOKUP(D316,契約台帳!$A$3:$K$4986,7,FALSE)&amp;VLOOKUP(D316,契約台帳!$A$3:$K$4986,8,FALSE)&amp;VLOOKUP(D316,契約台帳!$A$3:$K$4986,9,FALSE)&amp;VLOOKUP(D316,契約台帳!$A$3:$K$4986,11,FALSE))</f>
        <v>3SNMLBMNGTBF</v>
      </c>
      <c r="G316" s="256" t="str">
        <f>IF(D316="","",VLOOKUP(F316,製品マスタ!$G$5:$H$4999,2,FALSE))</f>
        <v>S</v>
      </c>
      <c r="H316" s="256" t="str">
        <f>IF(D316="","",VLOOKUP(F316,製品マスタ!$G$5:$K$4999,5,FALSE))</f>
        <v>MNGTBF</v>
      </c>
      <c r="I316" s="200" t="str">
        <f>IF(D316="","",VLOOKUP(F316,製品マスタ!$G$5:$L$4999,6,FALSE))</f>
        <v>メタルミー　ネーマー　銀艶　Ｂ</v>
      </c>
      <c r="J316" s="30" t="s">
        <v>1051</v>
      </c>
      <c r="K316" s="200">
        <f>IF(D316="","",VLOOKUP(D316,契約台帳!$A$3:$L$4986,12,FALSE))</f>
        <v>50</v>
      </c>
      <c r="L316" s="200" t="str">
        <f>IF(D316="","",INDEX(製品マスタ!$Q$5:$Q$4999,MATCH(F316&amp;K316,製品マスタ!$AO$5:$AO$4999,0)))</f>
        <v>T62</v>
      </c>
      <c r="M316" s="37">
        <v>1120</v>
      </c>
      <c r="N316" s="37">
        <v>10000</v>
      </c>
      <c r="O316" s="45">
        <v>4</v>
      </c>
      <c r="P316" s="54"/>
      <c r="Q316" s="260">
        <f>IF(D316="","",IF(J316="リード付け",M316,VLOOKUP(D316,契約台帳!$A$3:$N$4986,14,FALSE)))</f>
        <v>1120</v>
      </c>
      <c r="R316" s="261">
        <f>IF(D316="","",IF(J316="リード付け",M316,VLOOKUP(D316,契約台帳!$A$3:$O$4986,15,FALSE)))</f>
        <v>1120</v>
      </c>
      <c r="S316" s="261">
        <f>IF(D316="","",IF(J316="リード付け",N316,VLOOKUP(D316,契約台帳!$A$3:$P$4986,16,FALSE)))</f>
        <v>5000</v>
      </c>
      <c r="T316" s="38">
        <v>8</v>
      </c>
      <c r="U316" s="261">
        <f ca="1">IF(D316="","",IF(OFFSET(D316,-2,0)=D316,"",VLOOKUP(D316,契約台帳!$A$3:$R$4986,18,FALSE)))</f>
        <v>12</v>
      </c>
      <c r="V316" s="256" t="str">
        <f>IF(J316="巻返し",VLOOKUP(F316&amp;K316&amp;M316,製品マスタ!$M$5:$AD$4999,18,FALSE),IF(J316="リード付け","原反コア",IF(J316="スリット",VLOOKUP(F316&amp;K316&amp;Q316,製品マスタ!$N$5:$AD$4999,17,FALSE),"")))</f>
        <v>6ｲﾝﾁSｺｱ</v>
      </c>
      <c r="W316" s="256">
        <f>IF(J316="巻返し",VLOOKUP(F316&amp;K316&amp;M316,製品マスタ!$M$5:$AE$4999,19,FALSE),IF(J316="リード付け","-",IF(J316="スリット",VLOOKUP(F316&amp;K316&amp;Q316,製品マスタ!$N$5:$AE$4999,18,FALSE),"")))</f>
        <v>1125</v>
      </c>
      <c r="X316" s="256">
        <f>IF(D316="","",VLOOKUP(D316,契約台帳!$A$3:$Q$4986,17,FALSE))</f>
        <v>2</v>
      </c>
      <c r="Y316" s="256" t="str">
        <f>IF(D316="","",VLOOKUP(D316,契約台帳!$A$3:$E$4986,5,FALSE))</f>
        <v>リンテック㈱</v>
      </c>
      <c r="Z316" s="54">
        <v>45034</v>
      </c>
      <c r="AA316" s="200" t="str">
        <f>IFERROR(VLOOKUP(F316&amp;K316&amp;M316,製品マスタ!$M$5:$AM$4999,27,FALSE),"")</f>
        <v>原反ケース再利用</v>
      </c>
      <c r="AB316" s="31"/>
      <c r="AC316" s="184"/>
      <c r="AD316" s="51" t="str">
        <f>IF(F316="","",+F316&amp;K316)</f>
        <v>3SNMLBMNGTBF50</v>
      </c>
      <c r="AE316" s="52">
        <f>+M316*N316*O316/1000</f>
        <v>44800</v>
      </c>
      <c r="AF316" s="41">
        <f>IF(AD316="","",VLOOKUP(AD316,原価マスタ!$A$2:$AJ$1693,13,FALSE))</f>
        <v>99</v>
      </c>
      <c r="AG316" s="45">
        <f>IF(AF316="","",+AE316*AF316/100)</f>
        <v>44352</v>
      </c>
      <c r="AH316" s="28"/>
      <c r="AI316" s="28"/>
      <c r="AJ316" s="28"/>
      <c r="AK316" s="28"/>
      <c r="AL316" s="12"/>
      <c r="AM316" s="12"/>
      <c r="AN316" s="12"/>
      <c r="AO316" s="12"/>
      <c r="AP316" s="12"/>
      <c r="AQ316" s="13"/>
      <c r="AR316" s="14"/>
    </row>
    <row r="317" spans="1:44" s="16" customFormat="1" ht="30.95" hidden="1" customHeight="1" x14ac:dyDescent="0.2">
      <c r="A317" s="35"/>
      <c r="B317" s="36"/>
      <c r="C317" s="43"/>
      <c r="D317" s="29"/>
      <c r="E317" s="29"/>
      <c r="F317" s="255" t="str">
        <f>IF(D317="","",VLOOKUP(D317,契約台帳!$A$3:$K$4986,6,FALSE)&amp;VLOOKUP(D317,契約台帳!$A$3:$K$4986,7,FALSE)&amp;VLOOKUP(D317,契約台帳!$A$3:$K$4986,8,FALSE)&amp;VLOOKUP(D317,契約台帳!$A$3:$K$4986,9,FALSE)&amp;VLOOKUP(D317,契約台帳!$A$3:$K$4986,11,FALSE))</f>
        <v/>
      </c>
      <c r="G317" s="256" t="str">
        <f>IF(D317="","",VLOOKUP(F317,製品マスタ!$G$5:$H$4999,2,FALSE))</f>
        <v/>
      </c>
      <c r="H317" s="256" t="str">
        <f>IF(D317="","",VLOOKUP(F317,製品マスタ!$G$5:$K$4999,5,FALSE))</f>
        <v/>
      </c>
      <c r="I317" s="200" t="str">
        <f>IF(D317="","",VLOOKUP(F317,製品マスタ!$G$5:$L$4999,6,FALSE))</f>
        <v/>
      </c>
      <c r="J317" s="30"/>
      <c r="K317" s="200" t="str">
        <f>IF(D317="","",VLOOKUP(D317,契約台帳!$A$3:$L$4986,12,FALSE))</f>
        <v/>
      </c>
      <c r="L317" s="200" t="str">
        <f>IF(D317="","",INDEX(製品マスタ!$Q$5:$Q$4999,MATCH(F317&amp;K317,製品マスタ!$AO$5:$AO$4999,0)))</f>
        <v/>
      </c>
      <c r="M317" s="37"/>
      <c r="N317" s="37"/>
      <c r="O317" s="45"/>
      <c r="P317" s="54"/>
      <c r="Q317" s="260" t="str">
        <f>IF(D317="","",IF(J317="リード付け",M317,VLOOKUP(D317,契約台帳!$A$3:$N$4986,14,FALSE)))</f>
        <v/>
      </c>
      <c r="R317" s="261" t="str">
        <f>IF(D317="","",IF(J317="リード付け",M317,VLOOKUP(D317,契約台帳!$A$3:$O$4986,15,FALSE)))</f>
        <v/>
      </c>
      <c r="S317" s="261" t="str">
        <f>IF(D317="","",IF(J317="リード付け",N317,VLOOKUP(D317,契約台帳!$A$3:$P$4986,16,FALSE)))</f>
        <v/>
      </c>
      <c r="T317" s="38"/>
      <c r="U317" s="261" t="str">
        <f ca="1">IF(D317="","",IF(OFFSET(D317,-2,0)=D317,"",VLOOKUP(D317,契約台帳!$A$3:$R$4986,18,FALSE)))</f>
        <v/>
      </c>
      <c r="V317" s="256" t="str">
        <f>IF(J317="巻返し",VLOOKUP(F317&amp;K317&amp;M317,製品マスタ!$M$5:$AD$4999,18,FALSE),IF(J317="リード付け","原反コア",IF(J317="スリット",VLOOKUP(F317&amp;K317&amp;Q317,製品マスタ!$N$5:$AD$4999,17,FALSE),"")))</f>
        <v/>
      </c>
      <c r="W317" s="256" t="str">
        <f>IF(J317="巻返し",VLOOKUP(F317&amp;K317&amp;M317,製品マスタ!$M$5:$AE$4999,19,FALSE),IF(J317="リード付け","-",IF(J317="スリット",VLOOKUP(F317&amp;K317&amp;Q317,製品マスタ!$N$5:$AE$4999,18,FALSE),"")))</f>
        <v/>
      </c>
      <c r="X317" s="256" t="str">
        <f>IF(D317="","",VLOOKUP(D317,契約台帳!$A$3:$Q$4986,17,FALSE))</f>
        <v/>
      </c>
      <c r="Y317" s="256" t="str">
        <f>IF(D317="","",VLOOKUP(D317,契約台帳!$A$3:$E$4986,5,FALSE))</f>
        <v/>
      </c>
      <c r="Z317" s="54"/>
      <c r="AA317" s="200" t="str">
        <f>IFERROR(VLOOKUP(F317&amp;K317&amp;M317,製品マスタ!$M$5:$AM$4999,27,FALSE),"")</f>
        <v/>
      </c>
      <c r="AB317" s="31"/>
      <c r="AC317" s="184"/>
      <c r="AD317" s="51"/>
      <c r="AE317" s="52"/>
      <c r="AF317" s="41"/>
      <c r="AG317" s="45"/>
      <c r="AH317" s="28"/>
      <c r="AI317" s="28"/>
      <c r="AJ317" s="28"/>
      <c r="AK317" s="28"/>
      <c r="AL317" s="12"/>
      <c r="AM317" s="12"/>
      <c r="AN317" s="12"/>
      <c r="AO317" s="12"/>
      <c r="AP317" s="12"/>
      <c r="AQ317" s="13"/>
      <c r="AR317" s="14"/>
    </row>
    <row r="318" spans="1:44" s="16" customFormat="1" ht="30.95" hidden="1" customHeight="1" x14ac:dyDescent="0.2">
      <c r="A318" s="35" t="s">
        <v>1043</v>
      </c>
      <c r="B318" s="36" t="s">
        <v>445</v>
      </c>
      <c r="C318" s="43"/>
      <c r="D318" s="29"/>
      <c r="E318" s="29"/>
      <c r="F318" s="255" t="str">
        <f>IF(D318="","",VLOOKUP(D318,契約台帳!$A$3:$K$4986,6,FALSE)&amp;VLOOKUP(D318,契約台帳!$A$3:$K$4986,7,FALSE)&amp;VLOOKUP(D318,契約台帳!$A$3:$K$4986,8,FALSE)&amp;VLOOKUP(D318,契約台帳!$A$3:$K$4986,9,FALSE)&amp;VLOOKUP(D318,契約台帳!$A$3:$K$4986,11,FALSE))</f>
        <v/>
      </c>
      <c r="G318" s="256" t="str">
        <f>IF(D318="","",VLOOKUP(F318,製品マスタ!$G$5:$H$4999,2,FALSE))</f>
        <v/>
      </c>
      <c r="H318" s="256" t="str">
        <f>IF(D318="","",VLOOKUP(F318,製品マスタ!$G$5:$K$4999,5,FALSE))</f>
        <v/>
      </c>
      <c r="I318" s="200" t="str">
        <f>IF(D318="","",VLOOKUP(F318,製品マスタ!$G$5:$L$4999,6,FALSE))</f>
        <v/>
      </c>
      <c r="J318" s="30" t="s">
        <v>448</v>
      </c>
      <c r="K318" s="200" t="str">
        <f>IF(D318="","",VLOOKUP(D318,契約台帳!$A$3:$L$4986,12,FALSE))</f>
        <v/>
      </c>
      <c r="L318" s="200" t="str">
        <f>IF(D318="","",INDEX(製品マスタ!$Q$5:$Q$4999,MATCH(F318&amp;K318,製品マスタ!$AO$5:$AO$4999,0)))</f>
        <v/>
      </c>
      <c r="M318" s="37"/>
      <c r="N318" s="37"/>
      <c r="O318" s="45"/>
      <c r="P318" s="54"/>
      <c r="Q318" s="260" t="str">
        <f>IF(D318="","",IF(J318="リード付け",M318,VLOOKUP(D318,契約台帳!$A$3:$N$4986,14,FALSE)))</f>
        <v/>
      </c>
      <c r="R318" s="261" t="str">
        <f>IF(D318="","",IF(J318="リード付け",M318,VLOOKUP(D318,契約台帳!$A$3:$O$4986,15,FALSE)))</f>
        <v/>
      </c>
      <c r="S318" s="261" t="str">
        <f>IF(D318="","",IF(J318="リード付け",N318,VLOOKUP(D318,契約台帳!$A$3:$P$4986,16,FALSE)))</f>
        <v/>
      </c>
      <c r="T318" s="38"/>
      <c r="U318" s="261" t="str">
        <f ca="1">IF(D318="","",IF(OFFSET(D318,-2,0)=D318,"",VLOOKUP(D318,契約台帳!$A$3:$R$4986,18,FALSE)))</f>
        <v/>
      </c>
      <c r="V318" s="256" t="str">
        <f>IF(J318="巻返し",VLOOKUP(F318&amp;K318&amp;M318,製品マスタ!$M$5:$AD$4999,18,FALSE),IF(J318="リード付け","原反コア",IF(J318="スリット",VLOOKUP(F318&amp;K318&amp;Q318,製品マスタ!$N$5:$AD$4999,17,FALSE),"")))</f>
        <v/>
      </c>
      <c r="W318" s="256" t="str">
        <f>IF(J318="巻返し",VLOOKUP(F318&amp;K318&amp;M318,製品マスタ!$M$5:$AE$4999,19,FALSE),IF(J318="リード付け","-",IF(J318="スリット",VLOOKUP(F318&amp;K318&amp;Q318,製品マスタ!$N$5:$AE$4999,18,FALSE),"")))</f>
        <v/>
      </c>
      <c r="X318" s="256" t="str">
        <f>IF(D318="","",VLOOKUP(D318,契約台帳!$A$3:$Q$4986,17,FALSE))</f>
        <v/>
      </c>
      <c r="Y318" s="256" t="str">
        <f>IF(D318="","",VLOOKUP(D318,契約台帳!$A$3:$E$4986,5,FALSE))</f>
        <v/>
      </c>
      <c r="Z318" s="54"/>
      <c r="AA318" s="200" t="str">
        <f>IFERROR(VLOOKUP(F318&amp;K318&amp;M318,製品マスタ!$M$5:$AM$4999,27,FALSE),"")</f>
        <v/>
      </c>
      <c r="AB318" s="31"/>
      <c r="AC318" s="184"/>
      <c r="AD318" s="51"/>
      <c r="AE318" s="52"/>
      <c r="AF318" s="41"/>
      <c r="AG318" s="45"/>
      <c r="AH318" s="28"/>
      <c r="AI318" s="28"/>
      <c r="AJ318" s="28"/>
      <c r="AK318" s="28"/>
      <c r="AL318" s="12"/>
      <c r="AM318" s="12"/>
      <c r="AN318" s="12"/>
      <c r="AO318" s="12"/>
      <c r="AP318" s="12"/>
      <c r="AQ318" s="13"/>
      <c r="AR318" s="14"/>
    </row>
    <row r="319" spans="1:44" s="16" customFormat="1" ht="30.95" hidden="1" customHeight="1" x14ac:dyDescent="0.2">
      <c r="A319" s="35"/>
      <c r="B319" s="36"/>
      <c r="C319" s="43"/>
      <c r="D319" s="29"/>
      <c r="E319" s="29"/>
      <c r="F319" s="255" t="str">
        <f>IF(D319="","",VLOOKUP(D319,契約台帳!$A$3:$K$4986,6,FALSE)&amp;VLOOKUP(D319,契約台帳!$A$3:$K$4986,7,FALSE)&amp;VLOOKUP(D319,契約台帳!$A$3:$K$4986,8,FALSE)&amp;VLOOKUP(D319,契約台帳!$A$3:$K$4986,9,FALSE)&amp;VLOOKUP(D319,契約台帳!$A$3:$K$4986,11,FALSE))</f>
        <v/>
      </c>
      <c r="G319" s="256" t="str">
        <f>IF(D319="","",VLOOKUP(F319,製品マスタ!$G$5:$H$4999,2,FALSE))</f>
        <v/>
      </c>
      <c r="H319" s="256" t="str">
        <f>IF(D319="","",VLOOKUP(F319,製品マスタ!$G$5:$K$4999,5,FALSE))</f>
        <v/>
      </c>
      <c r="I319" s="200" t="str">
        <f>IF(D319="","",VLOOKUP(F319,製品マスタ!$G$5:$L$4999,6,FALSE))</f>
        <v/>
      </c>
      <c r="J319" s="30"/>
      <c r="K319" s="200" t="str">
        <f>IF(D319="","",VLOOKUP(D319,契約台帳!$A$3:$L$4986,12,FALSE))</f>
        <v/>
      </c>
      <c r="L319" s="200" t="str">
        <f>IF(D319="","",INDEX(製品マスタ!$Q$5:$Q$4999,MATCH(F319&amp;K319,製品マスタ!$AO$5:$AO$4999,0)))</f>
        <v/>
      </c>
      <c r="M319" s="37"/>
      <c r="N319" s="37"/>
      <c r="O319" s="45"/>
      <c r="P319" s="54"/>
      <c r="Q319" s="260" t="str">
        <f>IF(D319="","",IF(J319="リード付け",M319,VLOOKUP(D319,契約台帳!$A$3:$N$4986,14,FALSE)))</f>
        <v/>
      </c>
      <c r="R319" s="261" t="str">
        <f>IF(D319="","",IF(J319="リード付け",M319,VLOOKUP(D319,契約台帳!$A$3:$O$4986,15,FALSE)))</f>
        <v/>
      </c>
      <c r="S319" s="261" t="str">
        <f>IF(D319="","",IF(J319="リード付け",N319,VLOOKUP(D319,契約台帳!$A$3:$P$4986,16,FALSE)))</f>
        <v/>
      </c>
      <c r="T319" s="38"/>
      <c r="U319" s="261" t="str">
        <f ca="1">IF(D319="","",IF(OFFSET(D319,-2,0)=D319,"",VLOOKUP(D319,契約台帳!$A$3:$R$4986,18,FALSE)))</f>
        <v/>
      </c>
      <c r="V319" s="256" t="str">
        <f>IF(J319="巻返し",VLOOKUP(F319&amp;K319&amp;M319,製品マスタ!$M$5:$AD$4999,18,FALSE),IF(J319="リード付け","原反コア",IF(J319="スリット",VLOOKUP(F319&amp;K319&amp;Q319,製品マスタ!$N$5:$AD$4999,17,FALSE),"")))</f>
        <v/>
      </c>
      <c r="W319" s="256" t="str">
        <f>IF(J319="巻返し",VLOOKUP(F319&amp;K319&amp;M319,製品マスタ!$M$5:$AE$4999,19,FALSE),IF(J319="リード付け","-",IF(J319="スリット",VLOOKUP(F319&amp;K319&amp;Q319,製品マスタ!$N$5:$AE$4999,18,FALSE),"")))</f>
        <v/>
      </c>
      <c r="X319" s="256" t="str">
        <f>IF(D319="","",VLOOKUP(D319,契約台帳!$A$3:$Q$4986,17,FALSE))</f>
        <v/>
      </c>
      <c r="Y319" s="256" t="str">
        <f>IF(D319="","",VLOOKUP(D319,契約台帳!$A$3:$E$4986,5,FALSE))</f>
        <v/>
      </c>
      <c r="Z319" s="54"/>
      <c r="AA319" s="200" t="str">
        <f>IFERROR(VLOOKUP(F319&amp;K319&amp;M319,製品マスタ!$M$5:$AM$4999,27,FALSE),"")</f>
        <v/>
      </c>
      <c r="AB319" s="31"/>
      <c r="AC319" s="184"/>
      <c r="AD319" s="51"/>
      <c r="AE319" s="52"/>
      <c r="AF319" s="41"/>
      <c r="AG319" s="45"/>
      <c r="AH319" s="28"/>
      <c r="AI319" s="28"/>
      <c r="AJ319" s="28"/>
      <c r="AK319" s="28"/>
      <c r="AL319" s="12"/>
      <c r="AM319" s="12"/>
      <c r="AN319" s="12"/>
      <c r="AO319" s="12"/>
      <c r="AP319" s="12"/>
      <c r="AQ319" s="13"/>
      <c r="AR319" s="14"/>
    </row>
    <row r="320" spans="1:44" s="16" customFormat="1" ht="30.95" hidden="1" customHeight="1" x14ac:dyDescent="0.2">
      <c r="A320" s="35" t="s">
        <v>1045</v>
      </c>
      <c r="B320" s="36" t="s">
        <v>446</v>
      </c>
      <c r="C320" s="43"/>
      <c r="D320" s="29"/>
      <c r="E320" s="29"/>
      <c r="F320" s="255" t="str">
        <f>IF(D320="","",VLOOKUP(D320,契約台帳!$A$3:$K$4986,6,FALSE)&amp;VLOOKUP(D320,契約台帳!$A$3:$K$4986,7,FALSE)&amp;VLOOKUP(D320,契約台帳!$A$3:$K$4986,8,FALSE)&amp;VLOOKUP(D320,契約台帳!$A$3:$K$4986,9,FALSE)&amp;VLOOKUP(D320,契約台帳!$A$3:$K$4986,11,FALSE))</f>
        <v/>
      </c>
      <c r="G320" s="256" t="str">
        <f>IF(D320="","",VLOOKUP(F320,製品マスタ!$G$5:$H$4999,2,FALSE))</f>
        <v/>
      </c>
      <c r="H320" s="256" t="str">
        <f>IF(D320="","",VLOOKUP(F320,製品マスタ!$G$5:$K$4999,5,FALSE))</f>
        <v/>
      </c>
      <c r="I320" s="200" t="str">
        <f>IF(D320="","",VLOOKUP(F320,製品マスタ!$G$5:$L$4999,6,FALSE))</f>
        <v/>
      </c>
      <c r="J320" s="30" t="s">
        <v>448</v>
      </c>
      <c r="K320" s="200" t="str">
        <f>IF(D320="","",VLOOKUP(D320,契約台帳!$A$3:$L$4986,12,FALSE))</f>
        <v/>
      </c>
      <c r="L320" s="200" t="str">
        <f>IF(D320="","",INDEX(製品マスタ!$Q$5:$Q$4999,MATCH(F320&amp;K320,製品マスタ!$AO$5:$AO$4999,0)))</f>
        <v/>
      </c>
      <c r="M320" s="37"/>
      <c r="N320" s="37"/>
      <c r="O320" s="45"/>
      <c r="P320" s="54"/>
      <c r="Q320" s="260" t="str">
        <f>IF(D320="","",IF(J320="リード付け",M320,VLOOKUP(D320,契約台帳!$A$3:$N$4986,14,FALSE)))</f>
        <v/>
      </c>
      <c r="R320" s="261" t="str">
        <f>IF(D320="","",IF(J320="リード付け",M320,VLOOKUP(D320,契約台帳!$A$3:$O$4986,15,FALSE)))</f>
        <v/>
      </c>
      <c r="S320" s="261" t="str">
        <f>IF(D320="","",IF(J320="リード付け",N320,VLOOKUP(D320,契約台帳!$A$3:$P$4986,16,FALSE)))</f>
        <v/>
      </c>
      <c r="T320" s="38"/>
      <c r="U320" s="261" t="str">
        <f ca="1">IF(D320="","",IF(OFFSET(D320,-2,0)=D320,"",VLOOKUP(D320,契約台帳!$A$3:$R$4986,18,FALSE)))</f>
        <v/>
      </c>
      <c r="V320" s="256" t="str">
        <f>IF(J320="巻返し",VLOOKUP(F320&amp;K320&amp;M320,製品マスタ!$M$5:$AD$4999,18,FALSE),IF(J320="リード付け","原反コア",IF(J320="スリット",VLOOKUP(F320&amp;K320&amp;Q320,製品マスタ!$N$5:$AD$4999,17,FALSE),"")))</f>
        <v/>
      </c>
      <c r="W320" s="256" t="str">
        <f>IF(J320="巻返し",VLOOKUP(F320&amp;K320&amp;M320,製品マスタ!$M$5:$AE$4999,19,FALSE),IF(J320="リード付け","-",IF(J320="スリット",VLOOKUP(F320&amp;K320&amp;Q320,製品マスタ!$N$5:$AE$4999,18,FALSE),"")))</f>
        <v/>
      </c>
      <c r="X320" s="256" t="str">
        <f>IF(D320="","",VLOOKUP(D320,契約台帳!$A$3:$Q$4986,17,FALSE))</f>
        <v/>
      </c>
      <c r="Y320" s="256" t="str">
        <f>IF(D320="","",VLOOKUP(D320,契約台帳!$A$3:$E$4986,5,FALSE))</f>
        <v/>
      </c>
      <c r="Z320" s="54"/>
      <c r="AA320" s="200" t="str">
        <f>IFERROR(VLOOKUP(F320&amp;K320&amp;M320,製品マスタ!$M$5:$AM$4999,27,FALSE),"")</f>
        <v/>
      </c>
      <c r="AB320" s="31"/>
      <c r="AC320" s="184"/>
      <c r="AD320" s="51"/>
      <c r="AE320" s="52"/>
      <c r="AF320" s="41"/>
      <c r="AG320" s="45"/>
      <c r="AH320" s="28"/>
      <c r="AI320" s="28"/>
      <c r="AJ320" s="28"/>
      <c r="AK320" s="28"/>
      <c r="AL320" s="12"/>
      <c r="AM320" s="12"/>
      <c r="AN320" s="12"/>
      <c r="AO320" s="12"/>
      <c r="AP320" s="12"/>
      <c r="AQ320" s="13"/>
      <c r="AR320" s="14"/>
    </row>
    <row r="321" spans="1:44" s="16" customFormat="1" ht="30.95" hidden="1" customHeight="1" x14ac:dyDescent="0.2">
      <c r="A321" s="35"/>
      <c r="B321" s="36"/>
      <c r="C321" s="43"/>
      <c r="D321" s="29"/>
      <c r="E321" s="29"/>
      <c r="F321" s="255"/>
      <c r="G321" s="256"/>
      <c r="H321" s="256"/>
      <c r="I321" s="200"/>
      <c r="J321" s="30"/>
      <c r="K321" s="200"/>
      <c r="L321" s="200"/>
      <c r="M321" s="37"/>
      <c r="N321" s="37"/>
      <c r="O321" s="45"/>
      <c r="P321" s="54"/>
      <c r="Q321" s="260"/>
      <c r="R321" s="261"/>
      <c r="S321" s="261"/>
      <c r="T321" s="38"/>
      <c r="U321" s="261"/>
      <c r="V321" s="256"/>
      <c r="W321" s="256"/>
      <c r="X321" s="256"/>
      <c r="Y321" s="256"/>
      <c r="Z321" s="54"/>
      <c r="AA321" s="200"/>
      <c r="AB321" s="31"/>
      <c r="AC321" s="184"/>
      <c r="AD321" s="51"/>
      <c r="AE321" s="52"/>
      <c r="AF321" s="41"/>
      <c r="AG321" s="45"/>
      <c r="AH321" s="28"/>
      <c r="AI321" s="28"/>
      <c r="AJ321" s="28"/>
      <c r="AK321" s="28"/>
      <c r="AL321" s="12"/>
      <c r="AM321" s="12"/>
      <c r="AN321" s="12"/>
      <c r="AO321" s="12"/>
      <c r="AP321" s="12"/>
      <c r="AQ321" s="13"/>
      <c r="AR321" s="14"/>
    </row>
    <row r="322" spans="1:44" s="16" customFormat="1" ht="30.95" hidden="1" customHeight="1" x14ac:dyDescent="0.2">
      <c r="A322" s="35" t="s">
        <v>1084</v>
      </c>
      <c r="B322" s="36" t="s">
        <v>1085</v>
      </c>
      <c r="C322" s="43"/>
      <c r="D322" s="29">
        <v>3703998</v>
      </c>
      <c r="E322" s="29">
        <v>4151337</v>
      </c>
      <c r="F322" s="255" t="str">
        <f>IF(D322="","",VLOOKUP(D322,契約台帳!$A$3:$K$4986,6,FALSE)&amp;VLOOKUP(D322,契約台帳!$A$3:$K$4986,7,FALSE)&amp;VLOOKUP(D322,契約台帳!$A$3:$K$4986,8,FALSE)&amp;VLOOKUP(D322,契約台帳!$A$3:$K$4986,9,FALSE)&amp;VLOOKUP(D322,契約台帳!$A$3:$K$4986,11,FALSE))</f>
        <v>3SNMLBMNGTBF</v>
      </c>
      <c r="G322" s="256" t="str">
        <f>IF(D322="","",VLOOKUP(F322,製品マスタ!$G$5:$H$4999,2,FALSE))</f>
        <v>S</v>
      </c>
      <c r="H322" s="256" t="str">
        <f>IF(D322="","",VLOOKUP(F322,製品マスタ!$G$5:$K$4999,5,FALSE))</f>
        <v>MNGTBF</v>
      </c>
      <c r="I322" s="200" t="str">
        <f>IF(D322="","",VLOOKUP(F322,製品マスタ!$G$5:$L$4999,6,FALSE))</f>
        <v>メタルミー　ネーマー　銀艶　Ｂ</v>
      </c>
      <c r="J322" s="30" t="s">
        <v>447</v>
      </c>
      <c r="K322" s="200">
        <f>IF(D322="","",VLOOKUP(D322,契約台帳!$A$3:$L$4986,12,FALSE))</f>
        <v>50</v>
      </c>
      <c r="L322" s="200" t="str">
        <f>IF(D322="","",INDEX(製品マスタ!$Q$5:$Q$4999,MATCH(F322&amp;K322,製品マスタ!$AO$5:$AO$4999,0)))</f>
        <v>T62</v>
      </c>
      <c r="M322" s="37">
        <v>1120</v>
      </c>
      <c r="N322" s="37">
        <v>10000</v>
      </c>
      <c r="O322" s="45">
        <v>2</v>
      </c>
      <c r="P322" s="54"/>
      <c r="Q322" s="260">
        <f>IF(D322="","",IF(J322="リード付け",M322,VLOOKUP(D322,契約台帳!$A$3:$N$4986,14,FALSE)))</f>
        <v>1120</v>
      </c>
      <c r="R322" s="261">
        <f>IF(D322="","",IF(J322="リード付け",M322,VLOOKUP(D322,契約台帳!$A$3:$O$4986,15,FALSE)))</f>
        <v>1120</v>
      </c>
      <c r="S322" s="261">
        <f>IF(D322="","",IF(J322="リード付け",N322,VLOOKUP(D322,契約台帳!$A$3:$P$4986,16,FALSE)))</f>
        <v>5000</v>
      </c>
      <c r="T322" s="38">
        <v>4</v>
      </c>
      <c r="U322" s="261">
        <f ca="1">IF(D322="","",IF(OFFSET(D322,-2,0)=D322,"",VLOOKUP(D322,契約台帳!$A$3:$R$4986,18,FALSE)))</f>
        <v>12</v>
      </c>
      <c r="V322" s="256" t="str">
        <f>IF(J322="巻返し",VLOOKUP(F322&amp;K322&amp;M322,製品マスタ!$M$5:$AD$4999,18,FALSE),IF(J322="リード付け","原反コア",IF(J322="スリット",VLOOKUP(F322&amp;K322&amp;Q322,製品マスタ!$N$5:$AD$4999,17,FALSE),"")))</f>
        <v>6ｲﾝﾁSｺｱ</v>
      </c>
      <c r="W322" s="256">
        <f>IF(J322="巻返し",VLOOKUP(F322&amp;K322&amp;M322,製品マスタ!$M$5:$AE$4999,19,FALSE),IF(J322="リード付け","-",IF(J322="スリット",VLOOKUP(F322&amp;K322&amp;Q322,製品マスタ!$N$5:$AE$4999,18,FALSE),"")))</f>
        <v>1125</v>
      </c>
      <c r="X322" s="256">
        <f>IF(D322="","",VLOOKUP(D322,契約台帳!$A$3:$Q$4986,17,FALSE))</f>
        <v>2</v>
      </c>
      <c r="Y322" s="256" t="str">
        <f>IF(D322="","",VLOOKUP(D322,契約台帳!$A$3:$E$4986,5,FALSE))</f>
        <v>リンテック㈱</v>
      </c>
      <c r="Z322" s="54">
        <v>45036</v>
      </c>
      <c r="AA322" s="200" t="str">
        <f>IFERROR(VLOOKUP(F322&amp;K322&amp;M322,製品マスタ!$M$5:$AM$4999,27,FALSE),"")</f>
        <v>原反ケース再利用</v>
      </c>
      <c r="AB322" s="31"/>
      <c r="AC322" s="184"/>
      <c r="AD322" s="51" t="str">
        <f>IF(F322="","",+F322&amp;K322)</f>
        <v>3SNMLBMNGTBF50</v>
      </c>
      <c r="AE322" s="52">
        <f>+M322*N322*O322/1000</f>
        <v>22400</v>
      </c>
      <c r="AF322" s="41">
        <f>IF(AD322="","",VLOOKUP(AD322,原価マスタ!$A$2:$AJ$1693,13,FALSE))</f>
        <v>99</v>
      </c>
      <c r="AG322" s="45">
        <f>IF(AF322="","",+AE322*AF322/100)</f>
        <v>22176</v>
      </c>
      <c r="AH322" s="28"/>
      <c r="AI322" s="28"/>
      <c r="AJ322" s="28"/>
      <c r="AK322" s="28"/>
      <c r="AL322" s="12"/>
      <c r="AM322" s="12"/>
      <c r="AN322" s="12"/>
      <c r="AO322" s="12"/>
      <c r="AP322" s="12"/>
      <c r="AQ322" s="13"/>
      <c r="AR322" s="14"/>
    </row>
    <row r="323" spans="1:44" s="16" customFormat="1" ht="30.95" hidden="1" customHeight="1" x14ac:dyDescent="0.2">
      <c r="A323" s="35"/>
      <c r="B323" s="36"/>
      <c r="C323" s="43"/>
      <c r="D323" s="29"/>
      <c r="E323" s="29"/>
      <c r="F323" s="255"/>
      <c r="G323" s="256"/>
      <c r="H323" s="256"/>
      <c r="I323" s="200"/>
      <c r="J323" s="30"/>
      <c r="K323" s="200"/>
      <c r="L323" s="200"/>
      <c r="M323" s="37"/>
      <c r="N323" s="37"/>
      <c r="O323" s="45"/>
      <c r="P323" s="54"/>
      <c r="Q323" s="260"/>
      <c r="R323" s="261"/>
      <c r="S323" s="261"/>
      <c r="T323" s="38"/>
      <c r="U323" s="261"/>
      <c r="V323" s="256"/>
      <c r="W323" s="256"/>
      <c r="X323" s="256"/>
      <c r="Y323" s="256"/>
      <c r="Z323" s="54"/>
      <c r="AA323" s="200"/>
      <c r="AB323" s="31"/>
      <c r="AC323" s="184"/>
      <c r="AD323" s="51"/>
      <c r="AE323" s="52"/>
      <c r="AF323" s="41"/>
      <c r="AG323" s="45"/>
      <c r="AH323" s="28"/>
      <c r="AI323" s="28"/>
      <c r="AJ323" s="28"/>
      <c r="AK323" s="28"/>
      <c r="AL323" s="12"/>
      <c r="AM323" s="12"/>
      <c r="AN323" s="12"/>
      <c r="AO323" s="12"/>
      <c r="AP323" s="12"/>
      <c r="AQ323" s="13"/>
      <c r="AR323" s="14"/>
    </row>
    <row r="324" spans="1:44" s="16" customFormat="1" ht="30.95" hidden="1" customHeight="1" x14ac:dyDescent="0.2">
      <c r="A324" s="35"/>
      <c r="B324" s="36"/>
      <c r="C324" s="43"/>
      <c r="D324" s="29">
        <v>3704001</v>
      </c>
      <c r="E324" s="29">
        <v>4151339</v>
      </c>
      <c r="F324" s="255" t="str">
        <f>IF(D324="","",VLOOKUP(D324,契約台帳!$A$3:$K$4986,6,FALSE)&amp;VLOOKUP(D324,契約台帳!$A$3:$K$4986,7,FALSE)&amp;VLOOKUP(D324,契約台帳!$A$3:$K$4986,8,FALSE)&amp;VLOOKUP(D324,契約台帳!$A$3:$K$4986,9,FALSE)&amp;VLOOKUP(D324,契約台帳!$A$3:$K$4986,11,FALSE))</f>
        <v>3SYMLBMSBBF</v>
      </c>
      <c r="G324" s="256" t="str">
        <f>IF(D324="","",VLOOKUP(F324,製品マスタ!$G$5:$H$4999,2,FALSE))</f>
        <v>S</v>
      </c>
      <c r="H324" s="256" t="str">
        <f>IF(D324="","",VLOOKUP(F324,製品マスタ!$G$5:$K$4999,5,FALSE))</f>
        <v>MSBBF</v>
      </c>
      <c r="I324" s="200" t="str">
        <f>IF(D324="","",VLOOKUP(F324,製品マスタ!$G$5:$L$4999,6,FALSE))</f>
        <v>ＭＥＴＡＬＵＭＹ　ＳＩＬＶＥＲ　ＢＲＩＧＨＴ　Ｔ６２Ｍ　Ｂ</v>
      </c>
      <c r="J324" s="30" t="s">
        <v>447</v>
      </c>
      <c r="K324" s="200">
        <f>IF(D324="","",VLOOKUP(D324,契約台帳!$A$3:$L$4986,12,FALSE))</f>
        <v>50</v>
      </c>
      <c r="L324" s="200" t="str">
        <f>IF(D324="","",INDEX(製品マスタ!$Q$5:$Q$4999,MATCH(F324&amp;K324,製品マスタ!$AO$5:$AO$4999,0)))</f>
        <v>T62</v>
      </c>
      <c r="M324" s="37">
        <v>1120</v>
      </c>
      <c r="N324" s="37">
        <v>10000</v>
      </c>
      <c r="O324" s="45">
        <v>1</v>
      </c>
      <c r="P324" s="54"/>
      <c r="Q324" s="260">
        <f>IF(D324="","",IF(J324="リード付け",M324,VLOOKUP(D324,契約台帳!$A$3:$N$4986,14,FALSE)))</f>
        <v>1120</v>
      </c>
      <c r="R324" s="261">
        <f>IF(D324="","",IF(J324="リード付け",M324,VLOOKUP(D324,契約台帳!$A$3:$O$4986,15,FALSE)))</f>
        <v>1120</v>
      </c>
      <c r="S324" s="261">
        <f>IF(D324="","",IF(J324="リード付け",N324,VLOOKUP(D324,契約台帳!$A$3:$P$4986,16,FALSE)))</f>
        <v>5000</v>
      </c>
      <c r="T324" s="38">
        <v>2</v>
      </c>
      <c r="U324" s="261">
        <f ca="1">IF(D324="","",IF(OFFSET(D324,-2,0)=D324,"",VLOOKUP(D324,契約台帳!$A$3:$R$4986,18,FALSE)))</f>
        <v>2</v>
      </c>
      <c r="V324" s="256" t="str">
        <f>IF(J324="巻返し",VLOOKUP(F324&amp;K324&amp;M324,製品マスタ!$M$5:$AD$4999,18,FALSE),IF(J324="リード付け","原反コア",IF(J324="スリット",VLOOKUP(F324&amp;K324&amp;Q324,製品マスタ!$N$5:$AD$4999,17,FALSE),"")))</f>
        <v>6ｲﾝﾁSｺｱ</v>
      </c>
      <c r="W324" s="256">
        <f>IF(J324="巻返し",VLOOKUP(F324&amp;K324&amp;M324,製品マスタ!$M$5:$AE$4999,19,FALSE),IF(J324="リード付け","-",IF(J324="スリット",VLOOKUP(F324&amp;K324&amp;Q324,製品マスタ!$N$5:$AE$4999,18,FALSE),"")))</f>
        <v>1125</v>
      </c>
      <c r="X324" s="256">
        <f>IF(D324="","",VLOOKUP(D324,契約台帳!$A$3:$Q$4986,17,FALSE))</f>
        <v>2</v>
      </c>
      <c r="Y324" s="256" t="str">
        <f>IF(D324="","",VLOOKUP(D324,契約台帳!$A$3:$E$4986,5,FALSE))</f>
        <v>リンテック㈱</v>
      </c>
      <c r="Z324" s="54">
        <v>45036</v>
      </c>
      <c r="AA324" s="200" t="str">
        <f>IFERROR(VLOOKUP(F324&amp;K324&amp;M324,製品マスタ!$M$5:$AM$4999,27,FALSE),"")</f>
        <v>原反ケース再利用</v>
      </c>
      <c r="AB324" s="31"/>
      <c r="AC324" s="184"/>
      <c r="AD324" s="51" t="str">
        <f>IF(F324="","",+F324&amp;K324)</f>
        <v>3SYMLBMSBBF50</v>
      </c>
      <c r="AE324" s="52">
        <f>+M324*N324*O324/1000</f>
        <v>11200</v>
      </c>
      <c r="AF324" s="41">
        <f>IF(AD324="","",VLOOKUP(AD324,原価マスタ!$A$2:$AJ$1693,13,FALSE))</f>
        <v>99</v>
      </c>
      <c r="AG324" s="45">
        <f>IF(AF324="","",+AE324*AF324/100)</f>
        <v>11088</v>
      </c>
      <c r="AH324" s="28"/>
      <c r="AI324" s="28"/>
      <c r="AJ324" s="28"/>
      <c r="AK324" s="28"/>
      <c r="AL324" s="12"/>
      <c r="AM324" s="12"/>
      <c r="AN324" s="12"/>
      <c r="AO324" s="12"/>
      <c r="AP324" s="12"/>
      <c r="AQ324" s="13"/>
      <c r="AR324" s="14"/>
    </row>
    <row r="325" spans="1:44" s="16" customFormat="1" ht="30.95" hidden="1" customHeight="1" x14ac:dyDescent="0.2">
      <c r="A325" s="35"/>
      <c r="B325" s="36"/>
      <c r="C325" s="43"/>
      <c r="D325" s="29"/>
      <c r="E325" s="29"/>
      <c r="F325" s="255" t="str">
        <f>IF(D325="","",VLOOKUP(D325,契約台帳!$A$3:$K$4986,6,FALSE)&amp;VLOOKUP(D325,契約台帳!$A$3:$K$4986,7,FALSE)&amp;VLOOKUP(D325,契約台帳!$A$3:$K$4986,8,FALSE)&amp;VLOOKUP(D325,契約台帳!$A$3:$K$4986,9,FALSE)&amp;VLOOKUP(D325,契約台帳!$A$3:$K$4986,11,FALSE))</f>
        <v/>
      </c>
      <c r="G325" s="256" t="str">
        <f>IF(D325="","",VLOOKUP(F325,製品マスタ!$G$5:$H$4999,2,FALSE))</f>
        <v/>
      </c>
      <c r="H325" s="256" t="str">
        <f>IF(D325="","",VLOOKUP(F325,製品マスタ!$G$5:$K$4999,5,FALSE))</f>
        <v/>
      </c>
      <c r="I325" s="200" t="str">
        <f>IF(D325="","",VLOOKUP(F325,製品マスタ!$G$5:$L$4999,6,FALSE))</f>
        <v/>
      </c>
      <c r="J325" s="30"/>
      <c r="K325" s="200" t="str">
        <f>IF(D325="","",VLOOKUP(D325,契約台帳!$A$3:$L$4986,12,FALSE))</f>
        <v/>
      </c>
      <c r="L325" s="200" t="str">
        <f>IF(D325="","",INDEX(製品マスタ!$Q$5:$Q$4999,MATCH(F325&amp;K325,製品マスタ!$AO$5:$AO$4999,0)))</f>
        <v/>
      </c>
      <c r="M325" s="37"/>
      <c r="N325" s="37"/>
      <c r="O325" s="45"/>
      <c r="P325" s="54"/>
      <c r="Q325" s="260" t="str">
        <f>IF(D325="","",IF(J325="リード付け",M325,VLOOKUP(D325,契約台帳!$A$3:$N$4986,14,FALSE)))</f>
        <v/>
      </c>
      <c r="R325" s="261" t="str">
        <f>IF(D325="","",IF(J325="リード付け",M325,VLOOKUP(D325,契約台帳!$A$3:$O$4986,15,FALSE)))</f>
        <v/>
      </c>
      <c r="S325" s="261" t="str">
        <f>IF(D325="","",IF(J325="リード付け",N325,VLOOKUP(D325,契約台帳!$A$3:$P$4986,16,FALSE)))</f>
        <v/>
      </c>
      <c r="T325" s="38"/>
      <c r="U325" s="261" t="str">
        <f ca="1">IF(D325="","",IF(OFFSET(D325,-2,0)=D325,"",VLOOKUP(D325,契約台帳!$A$3:$R$4986,18,FALSE)))</f>
        <v/>
      </c>
      <c r="V325" s="256" t="str">
        <f>IF(J325="巻返し",VLOOKUP(F325&amp;K325&amp;M325,製品マスタ!$M$5:$AD$4999,18,FALSE),IF(J325="リード付け","原反コア",IF(J325="スリット",VLOOKUP(F325&amp;K325&amp;Q325,製品マスタ!$N$5:$AD$4999,17,FALSE),"")))</f>
        <v/>
      </c>
      <c r="W325" s="256" t="str">
        <f>IF(J325="巻返し",VLOOKUP(F325&amp;K325&amp;M325,製品マスタ!$M$5:$AE$4999,19,FALSE),IF(J325="リード付け","-",IF(J325="スリット",VLOOKUP(F325&amp;K325&amp;Q325,製品マスタ!$N$5:$AE$4999,18,FALSE),"")))</f>
        <v/>
      </c>
      <c r="X325" s="256" t="str">
        <f>IF(D325="","",VLOOKUP(D325,契約台帳!$A$3:$Q$4986,17,FALSE))</f>
        <v/>
      </c>
      <c r="Y325" s="256" t="str">
        <f>IF(D325="","",VLOOKUP(D325,契約台帳!$A$3:$E$4986,5,FALSE))</f>
        <v/>
      </c>
      <c r="Z325" s="54"/>
      <c r="AA325" s="200" t="str">
        <f>IFERROR(VLOOKUP(F325&amp;K325&amp;M325,製品マスタ!$M$5:$AM$4999,27,FALSE),"")</f>
        <v/>
      </c>
      <c r="AB325" s="31"/>
      <c r="AC325" s="184"/>
      <c r="AD325" s="51"/>
      <c r="AE325" s="52"/>
      <c r="AF325" s="41"/>
      <c r="AG325" s="45"/>
      <c r="AH325" s="28"/>
      <c r="AI325" s="28"/>
      <c r="AJ325" s="28"/>
      <c r="AK325" s="28"/>
      <c r="AL325" s="12"/>
      <c r="AM325" s="12"/>
      <c r="AN325" s="12"/>
      <c r="AO325" s="12"/>
      <c r="AP325" s="12"/>
      <c r="AQ325" s="13"/>
      <c r="AR325" s="14"/>
    </row>
    <row r="326" spans="1:44" s="16" customFormat="1" ht="30.95" hidden="1" customHeight="1" x14ac:dyDescent="0.2">
      <c r="A326" s="35"/>
      <c r="B326" s="36"/>
      <c r="C326" s="43"/>
      <c r="D326" s="29">
        <v>3706174</v>
      </c>
      <c r="E326" s="29">
        <v>4151343</v>
      </c>
      <c r="F326" s="255" t="str">
        <f>IF(D326="","",VLOOKUP(D326,契約台帳!$A$3:$K$4986,6,FALSE)&amp;VLOOKUP(D326,契約台帳!$A$3:$K$4986,7,FALSE)&amp;VLOOKUP(D326,契約台帳!$A$3:$K$4986,8,FALSE)&amp;VLOOKUP(D326,契約台帳!$A$3:$K$4986,9,FALSE)&amp;VLOOKUP(D326,契約台帳!$A$3:$K$4986,11,FALSE))</f>
        <v>3SNMLBMNGTBF</v>
      </c>
      <c r="G326" s="256" t="str">
        <f>IF(D326="","",VLOOKUP(F326,製品マスタ!$G$5:$H$4999,2,FALSE))</f>
        <v>S</v>
      </c>
      <c r="H326" s="256" t="str">
        <f>IF(D326="","",VLOOKUP(F326,製品マスタ!$G$5:$K$4999,5,FALSE))</f>
        <v>MNGTBF</v>
      </c>
      <c r="I326" s="200" t="str">
        <f>IF(D326="","",VLOOKUP(F326,製品マスタ!$G$5:$L$4999,6,FALSE))</f>
        <v>メタルミー　ネーマー　銀艶　Ｂ</v>
      </c>
      <c r="J326" s="30" t="s">
        <v>447</v>
      </c>
      <c r="K326" s="200">
        <f>IF(D326="","",VLOOKUP(D326,契約台帳!$A$3:$L$4986,12,FALSE))</f>
        <v>50</v>
      </c>
      <c r="L326" s="200" t="str">
        <f>IF(D326="","",INDEX(製品マスタ!$Q$5:$Q$4999,MATCH(F326&amp;K326,製品マスタ!$AO$5:$AO$4999,0)))</f>
        <v>T62</v>
      </c>
      <c r="M326" s="37">
        <v>1120</v>
      </c>
      <c r="N326" s="37">
        <v>10000</v>
      </c>
      <c r="O326" s="45">
        <v>1</v>
      </c>
      <c r="P326" s="54"/>
      <c r="Q326" s="260">
        <f>IF(D326="","",IF(J326="リード付け",M326,VLOOKUP(D326,契約台帳!$A$3:$N$4986,14,FALSE)))</f>
        <v>1120</v>
      </c>
      <c r="R326" s="261">
        <f>IF(D326="","",IF(J326="リード付け",M326,VLOOKUP(D326,契約台帳!$A$3:$O$4986,15,FALSE)))</f>
        <v>1120</v>
      </c>
      <c r="S326" s="261">
        <f>IF(D326="","",IF(J326="リード付け",N326,VLOOKUP(D326,契約台帳!$A$3:$P$4986,16,FALSE)))</f>
        <v>5000</v>
      </c>
      <c r="T326" s="38">
        <v>2</v>
      </c>
      <c r="U326" s="261">
        <f ca="1">IF(D326="","",IF(OFFSET(D326,-2,0)=D326,"",VLOOKUP(D326,契約台帳!$A$3:$R$4986,18,FALSE)))</f>
        <v>12</v>
      </c>
      <c r="V326" s="256" t="str">
        <f>IF(J326="巻返し",VLOOKUP(F326&amp;K326&amp;M326,製品マスタ!$M$5:$AD$4999,18,FALSE),IF(J326="リード付け","原反コア",IF(J326="スリット",VLOOKUP(F326&amp;K326&amp;Q326,製品マスタ!$N$5:$AD$4999,17,FALSE),"")))</f>
        <v>6ｲﾝﾁSｺｱ</v>
      </c>
      <c r="W326" s="256">
        <f>IF(J326="巻返し",VLOOKUP(F326&amp;K326&amp;M326,製品マスタ!$M$5:$AE$4999,19,FALSE),IF(J326="リード付け","-",IF(J326="スリット",VLOOKUP(F326&amp;K326&amp;Q326,製品マスタ!$N$5:$AE$4999,18,FALSE),"")))</f>
        <v>1125</v>
      </c>
      <c r="X326" s="256">
        <f>IF(D326="","",VLOOKUP(D326,契約台帳!$A$3:$Q$4986,17,FALSE))</f>
        <v>2</v>
      </c>
      <c r="Y326" s="256" t="str">
        <f>IF(D326="","",VLOOKUP(D326,契約台帳!$A$3:$E$4986,5,FALSE))</f>
        <v>リンテック㈱</v>
      </c>
      <c r="Z326" s="54">
        <v>45036</v>
      </c>
      <c r="AA326" s="200" t="str">
        <f>IFERROR(VLOOKUP(F326&amp;K326&amp;M326,製品マスタ!$M$5:$AM$4999,27,FALSE),"")</f>
        <v>原反ケース再利用</v>
      </c>
      <c r="AB326" s="31"/>
      <c r="AC326" s="184"/>
      <c r="AD326" s="51" t="str">
        <f>IF(F326="","",+F326&amp;K326)</f>
        <v>3SNMLBMNGTBF50</v>
      </c>
      <c r="AE326" s="52">
        <f>+M326*N326*O326/1000</f>
        <v>11200</v>
      </c>
      <c r="AF326" s="41">
        <f>IF(AD326="","",VLOOKUP(AD326,原価マスタ!$A$2:$AJ$1693,13,FALSE))</f>
        <v>99</v>
      </c>
      <c r="AG326" s="45">
        <f>IF(AF326="","",+AE326*AF326/100)</f>
        <v>11088</v>
      </c>
      <c r="AH326" s="28"/>
      <c r="AI326" s="28"/>
      <c r="AJ326" s="28"/>
      <c r="AK326" s="28"/>
      <c r="AL326" s="12"/>
      <c r="AM326" s="12"/>
      <c r="AN326" s="12"/>
      <c r="AO326" s="12"/>
      <c r="AP326" s="12"/>
      <c r="AQ326" s="13"/>
      <c r="AR326" s="14"/>
    </row>
    <row r="327" spans="1:44" s="16" customFormat="1" ht="30.95" hidden="1" customHeight="1" x14ac:dyDescent="0.2">
      <c r="A327" s="35"/>
      <c r="B327" s="36"/>
      <c r="C327" s="43"/>
      <c r="D327" s="29"/>
      <c r="E327" s="29"/>
      <c r="F327" s="255" t="str">
        <f>IF(D327="","",VLOOKUP(D327,契約台帳!$A$3:$K$4986,6,FALSE)&amp;VLOOKUP(D327,契約台帳!$A$3:$K$4986,7,FALSE)&amp;VLOOKUP(D327,契約台帳!$A$3:$K$4986,8,FALSE)&amp;VLOOKUP(D327,契約台帳!$A$3:$K$4986,9,FALSE)&amp;VLOOKUP(D327,契約台帳!$A$3:$K$4986,11,FALSE))</f>
        <v/>
      </c>
      <c r="G327" s="256" t="str">
        <f>IF(D327="","",VLOOKUP(F327,製品マスタ!$G$5:$H$4999,2,FALSE))</f>
        <v/>
      </c>
      <c r="H327" s="256" t="str">
        <f>IF(D327="","",VLOOKUP(F327,製品マスタ!$G$5:$K$4999,5,FALSE))</f>
        <v/>
      </c>
      <c r="I327" s="200" t="str">
        <f>IF(D327="","",VLOOKUP(F327,製品マスタ!$G$5:$L$4999,6,FALSE))</f>
        <v/>
      </c>
      <c r="J327" s="30"/>
      <c r="K327" s="200" t="str">
        <f>IF(D327="","",VLOOKUP(D327,契約台帳!$A$3:$L$4986,12,FALSE))</f>
        <v/>
      </c>
      <c r="L327" s="200" t="str">
        <f>IF(D327="","",INDEX(製品マスタ!$Q$5:$Q$4999,MATCH(F327&amp;K327,製品マスタ!$AO$5:$AO$4999,0)))</f>
        <v/>
      </c>
      <c r="M327" s="37"/>
      <c r="N327" s="37"/>
      <c r="O327" s="45"/>
      <c r="P327" s="54"/>
      <c r="Q327" s="260" t="str">
        <f>IF(D327="","",IF(J327="リード付け",M327,VLOOKUP(D327,契約台帳!$A$3:$N$4986,14,FALSE)))</f>
        <v/>
      </c>
      <c r="R327" s="261" t="str">
        <f>IF(D327="","",IF(J327="リード付け",M327,VLOOKUP(D327,契約台帳!$A$3:$O$4986,15,FALSE)))</f>
        <v/>
      </c>
      <c r="S327" s="261" t="str">
        <f>IF(D327="","",IF(J327="リード付け",N327,VLOOKUP(D327,契約台帳!$A$3:$P$4986,16,FALSE)))</f>
        <v/>
      </c>
      <c r="T327" s="38"/>
      <c r="U327" s="261" t="str">
        <f ca="1">IF(D327="","",IF(OFFSET(D327,-2,0)=D327,"",VLOOKUP(D327,契約台帳!$A$3:$R$4986,18,FALSE)))</f>
        <v/>
      </c>
      <c r="V327" s="256" t="str">
        <f>IF(J327="巻返し",VLOOKUP(F327&amp;K327&amp;M327,製品マスタ!$M$5:$AD$4999,18,FALSE),IF(J327="リード付け","原反コア",IF(J327="スリット",VLOOKUP(F327&amp;K327&amp;Q327,製品マスタ!$N$5:$AD$4999,17,FALSE),"")))</f>
        <v/>
      </c>
      <c r="W327" s="256" t="str">
        <f>IF(J327="巻返し",VLOOKUP(F327&amp;K327&amp;M327,製品マスタ!$M$5:$AE$4999,19,FALSE),IF(J327="リード付け","-",IF(J327="スリット",VLOOKUP(F327&amp;K327&amp;Q327,製品マスタ!$N$5:$AE$4999,18,FALSE),"")))</f>
        <v/>
      </c>
      <c r="X327" s="256" t="str">
        <f>IF(D327="","",VLOOKUP(D327,契約台帳!$A$3:$Q$4986,17,FALSE))</f>
        <v/>
      </c>
      <c r="Y327" s="256" t="str">
        <f>IF(D327="","",VLOOKUP(D327,契約台帳!$A$3:$E$4986,5,FALSE))</f>
        <v/>
      </c>
      <c r="Z327" s="54"/>
      <c r="AA327" s="200" t="str">
        <f>IFERROR(VLOOKUP(F327&amp;K327&amp;M327,製品マスタ!$M$5:$AM$4999,27,FALSE),"")</f>
        <v/>
      </c>
      <c r="AB327" s="31"/>
      <c r="AC327" s="184"/>
      <c r="AD327" s="51"/>
      <c r="AE327" s="52"/>
      <c r="AF327" s="41"/>
      <c r="AG327" s="45"/>
      <c r="AH327" s="28"/>
      <c r="AI327" s="28"/>
      <c r="AJ327" s="28"/>
      <c r="AK327" s="28"/>
      <c r="AL327" s="12"/>
      <c r="AM327" s="12"/>
      <c r="AN327" s="12"/>
      <c r="AO327" s="12"/>
      <c r="AP327" s="12"/>
      <c r="AQ327" s="13"/>
      <c r="AR327" s="14"/>
    </row>
    <row r="328" spans="1:44" s="16" customFormat="1" ht="30.95" hidden="1" customHeight="1" x14ac:dyDescent="0.2">
      <c r="A328" s="35" t="s">
        <v>1086</v>
      </c>
      <c r="B328" s="36" t="s">
        <v>1087</v>
      </c>
      <c r="C328" s="43"/>
      <c r="D328" s="29">
        <v>3706174</v>
      </c>
      <c r="E328" s="29">
        <v>4151343</v>
      </c>
      <c r="F328" s="255" t="str">
        <f>IF(D328="","",VLOOKUP(D328,契約台帳!$A$3:$K$4986,6,FALSE)&amp;VLOOKUP(D328,契約台帳!$A$3:$K$4986,7,FALSE)&amp;VLOOKUP(D328,契約台帳!$A$3:$K$4986,8,FALSE)&amp;VLOOKUP(D328,契約台帳!$A$3:$K$4986,9,FALSE)&amp;VLOOKUP(D328,契約台帳!$A$3:$K$4986,11,FALSE))</f>
        <v>3SNMLBMNGTBF</v>
      </c>
      <c r="G328" s="256" t="str">
        <f>IF(D328="","",VLOOKUP(F328,製品マスタ!$G$5:$H$4999,2,FALSE))</f>
        <v>S</v>
      </c>
      <c r="H328" s="256" t="str">
        <f>IF(D328="","",VLOOKUP(F328,製品マスタ!$G$5:$K$4999,5,FALSE))</f>
        <v>MNGTBF</v>
      </c>
      <c r="I328" s="200" t="str">
        <f>IF(D328="","",VLOOKUP(F328,製品マスタ!$G$5:$L$4999,6,FALSE))</f>
        <v>メタルミー　ネーマー　銀艶　Ｂ</v>
      </c>
      <c r="J328" s="30" t="s">
        <v>447</v>
      </c>
      <c r="K328" s="200">
        <f>IF(D328="","",VLOOKUP(D328,契約台帳!$A$3:$L$4986,12,FALSE))</f>
        <v>50</v>
      </c>
      <c r="L328" s="200" t="str">
        <f>IF(D328="","",INDEX(製品マスタ!$Q$5:$Q$4999,MATCH(F328&amp;K328,製品マスタ!$AO$5:$AO$4999,0)))</f>
        <v>T62</v>
      </c>
      <c r="M328" s="37">
        <v>1120</v>
      </c>
      <c r="N328" s="37">
        <v>10000</v>
      </c>
      <c r="O328" s="45">
        <v>5</v>
      </c>
      <c r="P328" s="54"/>
      <c r="Q328" s="260">
        <f>IF(D328="","",IF(J328="リード付け",M328,VLOOKUP(D328,契約台帳!$A$3:$N$4986,14,FALSE)))</f>
        <v>1120</v>
      </c>
      <c r="R328" s="261">
        <f>IF(D328="","",IF(J328="リード付け",M328,VLOOKUP(D328,契約台帳!$A$3:$O$4986,15,FALSE)))</f>
        <v>1120</v>
      </c>
      <c r="S328" s="261">
        <f>IF(D328="","",IF(J328="リード付け",N328,VLOOKUP(D328,契約台帳!$A$3:$P$4986,16,FALSE)))</f>
        <v>5000</v>
      </c>
      <c r="T328" s="38">
        <v>10</v>
      </c>
      <c r="U328" s="261" t="str">
        <f ca="1">IF(D328="","",IF(OFFSET(D328,-2,0)=D328,"",VLOOKUP(D328,契約台帳!$A$3:$R$4986,18,FALSE)))</f>
        <v/>
      </c>
      <c r="V328" s="256" t="str">
        <f>IF(J328="巻返し",VLOOKUP(F328&amp;K328&amp;M328,製品マスタ!$M$5:$AD$4999,18,FALSE),IF(J328="リード付け","原反コア",IF(J328="スリット",VLOOKUP(F328&amp;K328&amp;Q328,製品マスタ!$N$5:$AD$4999,17,FALSE),"")))</f>
        <v>6ｲﾝﾁSｺｱ</v>
      </c>
      <c r="W328" s="256">
        <f>IF(J328="巻返し",VLOOKUP(F328&amp;K328&amp;M328,製品マスタ!$M$5:$AE$4999,19,FALSE),IF(J328="リード付け","-",IF(J328="スリット",VLOOKUP(F328&amp;K328&amp;Q328,製品マスタ!$N$5:$AE$4999,18,FALSE),"")))</f>
        <v>1125</v>
      </c>
      <c r="X328" s="256">
        <f>IF(D328="","",VLOOKUP(D328,契約台帳!$A$3:$Q$4986,17,FALSE))</f>
        <v>2</v>
      </c>
      <c r="Y328" s="256" t="str">
        <f>IF(D328="","",VLOOKUP(D328,契約台帳!$A$3:$E$4986,5,FALSE))</f>
        <v>リンテック㈱</v>
      </c>
      <c r="Z328" s="54">
        <v>45037</v>
      </c>
      <c r="AA328" s="200" t="str">
        <f>IFERROR(VLOOKUP(F328&amp;K328&amp;M328,製品マスタ!$M$5:$AM$4999,27,FALSE),"")</f>
        <v>原反ケース再利用</v>
      </c>
      <c r="AB328" s="31"/>
      <c r="AC328" s="184"/>
      <c r="AD328" s="51" t="str">
        <f>IF(F328="","",+F328&amp;K328)</f>
        <v>3SNMLBMNGTBF50</v>
      </c>
      <c r="AE328" s="52">
        <f>+M328*N328*O328/1000</f>
        <v>56000</v>
      </c>
      <c r="AF328" s="41">
        <f>IF(AD328="","",VLOOKUP(AD328,原価マスタ!$A$2:$AJ$1693,13,FALSE))</f>
        <v>99</v>
      </c>
      <c r="AG328" s="45">
        <f>IF(AF328="","",+AE328*AF328/100)</f>
        <v>55440</v>
      </c>
      <c r="AH328" s="28"/>
      <c r="AI328" s="28"/>
      <c r="AJ328" s="28"/>
      <c r="AK328" s="28"/>
      <c r="AL328" s="12"/>
      <c r="AM328" s="12"/>
      <c r="AN328" s="12"/>
      <c r="AO328" s="12"/>
      <c r="AP328" s="12"/>
      <c r="AQ328" s="13"/>
      <c r="AR328" s="14"/>
    </row>
    <row r="329" spans="1:44" s="16" customFormat="1" ht="30.95" hidden="1" customHeight="1" x14ac:dyDescent="0.2">
      <c r="A329" s="35"/>
      <c r="B329" s="36"/>
      <c r="C329" s="43"/>
      <c r="D329" s="29"/>
      <c r="E329" s="29"/>
      <c r="F329" s="255" t="str">
        <f>IF(D329="","",VLOOKUP(D329,契約台帳!$A$3:$K$4986,6,FALSE)&amp;VLOOKUP(D329,契約台帳!$A$3:$K$4986,7,FALSE)&amp;VLOOKUP(D329,契約台帳!$A$3:$K$4986,8,FALSE)&amp;VLOOKUP(D329,契約台帳!$A$3:$K$4986,9,FALSE)&amp;VLOOKUP(D329,契約台帳!$A$3:$K$4986,11,FALSE))</f>
        <v/>
      </c>
      <c r="G329" s="256" t="str">
        <f>IF(D329="","",VLOOKUP(F329,製品マスタ!$G$5:$H$4999,2,FALSE))</f>
        <v/>
      </c>
      <c r="H329" s="256" t="str">
        <f>IF(D329="","",VLOOKUP(F329,製品マスタ!$G$5:$K$4999,5,FALSE))</f>
        <v/>
      </c>
      <c r="I329" s="200" t="str">
        <f>IF(D329="","",VLOOKUP(F329,製品マスタ!$G$5:$L$4999,6,FALSE))</f>
        <v/>
      </c>
      <c r="J329" s="30"/>
      <c r="K329" s="200" t="str">
        <f>IF(D329="","",VLOOKUP(D329,契約台帳!$A$3:$L$4986,12,FALSE))</f>
        <v/>
      </c>
      <c r="L329" s="200" t="str">
        <f>IF(D329="","",INDEX(製品マスタ!$Q$5:$Q$4999,MATCH(F329&amp;K329,製品マスタ!$AO$5:$AO$4999,0)))</f>
        <v/>
      </c>
      <c r="M329" s="37"/>
      <c r="N329" s="37"/>
      <c r="O329" s="45"/>
      <c r="P329" s="54"/>
      <c r="Q329" s="260" t="str">
        <f>IF(D329="","",IF(J329="リード付け",M329,VLOOKUP(D329,契約台帳!$A$3:$N$4986,14,FALSE)))</f>
        <v/>
      </c>
      <c r="R329" s="261" t="str">
        <f>IF(D329="","",IF(J329="リード付け",M329,VLOOKUP(D329,契約台帳!$A$3:$O$4986,15,FALSE)))</f>
        <v/>
      </c>
      <c r="S329" s="261" t="str">
        <f>IF(D329="","",IF(J329="リード付け",N329,VLOOKUP(D329,契約台帳!$A$3:$P$4986,16,FALSE)))</f>
        <v/>
      </c>
      <c r="T329" s="38"/>
      <c r="U329" s="261" t="str">
        <f ca="1">IF(D329="","",IF(OFFSET(D329,-2,0)=D329,"",VLOOKUP(D329,契約台帳!$A$3:$R$4986,18,FALSE)))</f>
        <v/>
      </c>
      <c r="V329" s="256" t="str">
        <f>IF(J329="巻返し",VLOOKUP(F329&amp;K329&amp;M329,製品マスタ!$M$5:$AD$4999,18,FALSE),IF(J329="リード付け","原反コア",IF(J329="スリット",VLOOKUP(F329&amp;K329&amp;Q329,製品マスタ!$N$5:$AD$4999,17,FALSE),"")))</f>
        <v/>
      </c>
      <c r="W329" s="256" t="str">
        <f>IF(J329="巻返し",VLOOKUP(F329&amp;K329&amp;M329,製品マスタ!$M$5:$AE$4999,19,FALSE),IF(J329="リード付け","-",IF(J329="スリット",VLOOKUP(F329&amp;K329&amp;Q329,製品マスタ!$N$5:$AE$4999,18,FALSE),"")))</f>
        <v/>
      </c>
      <c r="X329" s="256" t="str">
        <f>IF(D329="","",VLOOKUP(D329,契約台帳!$A$3:$Q$4986,17,FALSE))</f>
        <v/>
      </c>
      <c r="Y329" s="256" t="str">
        <f>IF(D329="","",VLOOKUP(D329,契約台帳!$A$3:$E$4986,5,FALSE))</f>
        <v/>
      </c>
      <c r="Z329" s="54"/>
      <c r="AA329" s="200" t="str">
        <f>IFERROR(VLOOKUP(F329&amp;K329&amp;M329,製品マスタ!$M$5:$AM$4999,27,FALSE),"")</f>
        <v/>
      </c>
      <c r="AB329" s="31"/>
      <c r="AC329" s="184"/>
      <c r="AD329" s="51"/>
      <c r="AE329" s="52"/>
      <c r="AF329" s="41"/>
      <c r="AG329" s="45"/>
      <c r="AH329" s="28"/>
      <c r="AI329" s="28"/>
      <c r="AJ329" s="28"/>
      <c r="AK329" s="28"/>
      <c r="AL329" s="12"/>
      <c r="AM329" s="12"/>
      <c r="AN329" s="12"/>
      <c r="AO329" s="12"/>
      <c r="AP329" s="12"/>
      <c r="AQ329" s="13"/>
      <c r="AR329" s="14"/>
    </row>
    <row r="330" spans="1:44" s="16" customFormat="1" ht="30.95" hidden="1" customHeight="1" x14ac:dyDescent="0.2">
      <c r="A330" s="35" t="s">
        <v>1088</v>
      </c>
      <c r="B330" s="36" t="s">
        <v>1089</v>
      </c>
      <c r="C330" s="43"/>
      <c r="D330" s="29">
        <v>3703994</v>
      </c>
      <c r="E330" s="29">
        <v>4151333</v>
      </c>
      <c r="F330" s="255" t="str">
        <f>IF(D330="","",VLOOKUP(D330,契約台帳!$A$3:$K$4986,6,FALSE)&amp;VLOOKUP(D330,契約台帳!$A$3:$K$4986,7,FALSE)&amp;VLOOKUP(D330,契約台帳!$A$3:$K$4986,8,FALSE)&amp;VLOOKUP(D330,契約台帳!$A$3:$K$4986,9,FALSE)&amp;VLOOKUP(D330,契約台帳!$A$3:$K$4986,11,FALSE))</f>
        <v>3SNMLBMNGKKBF</v>
      </c>
      <c r="G330" s="256" t="str">
        <f>IF(D330="","",VLOOKUP(F330,製品マスタ!$G$5:$H$4999,2,FALSE))</f>
        <v>S</v>
      </c>
      <c r="H330" s="256" t="str">
        <f>IF(D330="","",VLOOKUP(F330,製品マスタ!$G$5:$K$4999,5,FALSE))</f>
        <v>MNGKKBF</v>
      </c>
      <c r="I330" s="200" t="str">
        <f>IF(D330="","",VLOOKUP(F330,製品マスタ!$G$5:$L$4999,6,FALSE))</f>
        <v>メタルミー　ネーマー銀消改　Ｂ</v>
      </c>
      <c r="J330" s="30" t="s">
        <v>447</v>
      </c>
      <c r="K330" s="200">
        <f>IF(D330="","",VLOOKUP(D330,契約台帳!$A$3:$L$4986,12,FALSE))</f>
        <v>25</v>
      </c>
      <c r="L330" s="200" t="str">
        <f>IF(D330="","",INDEX(製品マスタ!$Q$5:$Q$4999,MATCH(F330&amp;K330,製品マスタ!$AO$5:$AO$4999,0)))</f>
        <v>FMATS99</v>
      </c>
      <c r="M330" s="37">
        <v>1120</v>
      </c>
      <c r="N330" s="37">
        <v>12000</v>
      </c>
      <c r="O330" s="45">
        <v>2</v>
      </c>
      <c r="P330" s="54"/>
      <c r="Q330" s="260">
        <f>IF(D330="","",IF(J330="リード付け",M330,VLOOKUP(D330,契約台帳!$A$3:$N$4986,14,FALSE)))</f>
        <v>1120</v>
      </c>
      <c r="R330" s="261">
        <f>IF(D330="","",IF(J330="リード付け",M330,VLOOKUP(D330,契約台帳!$A$3:$O$4986,15,FALSE)))</f>
        <v>1120</v>
      </c>
      <c r="S330" s="261">
        <f>IF(D330="","",IF(J330="リード付け",N330,VLOOKUP(D330,契約台帳!$A$3:$P$4986,16,FALSE)))</f>
        <v>4000</v>
      </c>
      <c r="T330" s="38">
        <v>6</v>
      </c>
      <c r="U330" s="261">
        <f ca="1">IF(D330="","",IF(OFFSET(D330,-2,0)=D330,"",VLOOKUP(D330,契約台帳!$A$3:$R$4986,18,FALSE)))</f>
        <v>6</v>
      </c>
      <c r="V330" s="256" t="str">
        <f>IF(J330="巻返し",VLOOKUP(F330&amp;K330&amp;M330,製品マスタ!$M$5:$AD$4999,18,FALSE),IF(J330="リード付け","原反コア",IF(J330="スリット",VLOOKUP(F330&amp;K330&amp;Q330,製品マスタ!$N$5:$AD$4999,17,FALSE),"")))</f>
        <v>6ｲﾝﾁSｺｱ</v>
      </c>
      <c r="W330" s="256">
        <f>IF(J330="巻返し",VLOOKUP(F330&amp;K330&amp;M330,製品マスタ!$M$5:$AE$4999,19,FALSE),IF(J330="リード付け","-",IF(J330="スリット",VLOOKUP(F330&amp;K330&amp;Q330,製品マスタ!$N$5:$AE$4999,18,FALSE),"")))</f>
        <v>1125</v>
      </c>
      <c r="X330" s="256">
        <f>IF(D330="","",VLOOKUP(D330,契約台帳!$A$3:$Q$4986,17,FALSE))</f>
        <v>2</v>
      </c>
      <c r="Y330" s="256" t="str">
        <f>IF(D330="","",VLOOKUP(D330,契約台帳!$A$3:$E$4986,5,FALSE))</f>
        <v>リンテック㈱</v>
      </c>
      <c r="Z330" s="54">
        <v>45040</v>
      </c>
      <c r="AA330" s="200">
        <f>IFERROR(VLOOKUP(F330&amp;K330&amp;M330,製品マスタ!$M$5:$AM$4999,27,FALSE),"")</f>
        <v>0</v>
      </c>
      <c r="AB330" s="31"/>
      <c r="AC330" s="184"/>
      <c r="AD330" s="51" t="str">
        <f>IF(F330="","",+F330&amp;K330)</f>
        <v>3SNMLBMNGKKBF25</v>
      </c>
      <c r="AE330" s="52">
        <f>+M330*N330*O330/1000</f>
        <v>26880</v>
      </c>
      <c r="AF330" s="41">
        <f>IF(AD330="","",VLOOKUP(AD330,原価マスタ!$A$2:$AJ$1693,13,FALSE))</f>
        <v>96</v>
      </c>
      <c r="AG330" s="45">
        <f>IF(AF330="","",+AE330*AF330/100)</f>
        <v>25804.799999999999</v>
      </c>
      <c r="AH330" s="28"/>
      <c r="AI330" s="28"/>
      <c r="AJ330" s="28"/>
      <c r="AK330" s="28"/>
      <c r="AL330" s="12"/>
      <c r="AM330" s="12"/>
      <c r="AN330" s="12"/>
      <c r="AO330" s="12"/>
      <c r="AP330" s="12"/>
      <c r="AQ330" s="13"/>
      <c r="AR330" s="14"/>
    </row>
    <row r="331" spans="1:44" s="16" customFormat="1" ht="30.95" hidden="1" customHeight="1" x14ac:dyDescent="0.2">
      <c r="A331" s="35"/>
      <c r="B331" s="36"/>
      <c r="C331" s="43"/>
      <c r="D331" s="29"/>
      <c r="E331" s="29"/>
      <c r="F331" s="255" t="str">
        <f>IF(D331="","",VLOOKUP(D331,契約台帳!$A$3:$K$4986,6,FALSE)&amp;VLOOKUP(D331,契約台帳!$A$3:$K$4986,7,FALSE)&amp;VLOOKUP(D331,契約台帳!$A$3:$K$4986,8,FALSE)&amp;VLOOKUP(D331,契約台帳!$A$3:$K$4986,9,FALSE)&amp;VLOOKUP(D331,契約台帳!$A$3:$K$4986,11,FALSE))</f>
        <v/>
      </c>
      <c r="G331" s="256" t="str">
        <f>IF(D331="","",VLOOKUP(F331,製品マスタ!$G$5:$H$4999,2,FALSE))</f>
        <v/>
      </c>
      <c r="H331" s="256" t="str">
        <f>IF(D331="","",VLOOKUP(F331,製品マスタ!$G$5:$K$4999,5,FALSE))</f>
        <v/>
      </c>
      <c r="I331" s="200" t="str">
        <f>IF(D331="","",VLOOKUP(F331,製品マスタ!$G$5:$L$4999,6,FALSE))</f>
        <v/>
      </c>
      <c r="J331" s="30"/>
      <c r="K331" s="200" t="str">
        <f>IF(D331="","",VLOOKUP(D331,契約台帳!$A$3:$L$4986,12,FALSE))</f>
        <v/>
      </c>
      <c r="L331" s="200" t="str">
        <f>IF(D331="","",INDEX(製品マスタ!$Q$5:$Q$4999,MATCH(F331&amp;K331,製品マスタ!$AO$5:$AO$4999,0)))</f>
        <v/>
      </c>
      <c r="M331" s="37"/>
      <c r="N331" s="37"/>
      <c r="O331" s="45"/>
      <c r="P331" s="54"/>
      <c r="Q331" s="260" t="str">
        <f>IF(D331="","",IF(J331="リード付け",M331,VLOOKUP(D331,契約台帳!$A$3:$N$4986,14,FALSE)))</f>
        <v/>
      </c>
      <c r="R331" s="261" t="str">
        <f>IF(D331="","",IF(J331="リード付け",M331,VLOOKUP(D331,契約台帳!$A$3:$O$4986,15,FALSE)))</f>
        <v/>
      </c>
      <c r="S331" s="261" t="str">
        <f>IF(D331="","",IF(J331="リード付け",N331,VLOOKUP(D331,契約台帳!$A$3:$P$4986,16,FALSE)))</f>
        <v/>
      </c>
      <c r="T331" s="38"/>
      <c r="U331" s="261" t="str">
        <f ca="1">IF(D331="","",IF(OFFSET(D331,-2,0)=D331,"",VLOOKUP(D331,契約台帳!$A$3:$R$4986,18,FALSE)))</f>
        <v/>
      </c>
      <c r="V331" s="256" t="str">
        <f>IF(J331="巻返し",VLOOKUP(F331&amp;K331&amp;M331,製品マスタ!$M$5:$AD$4999,18,FALSE),IF(J331="リード付け","原反コア",IF(J331="スリット",VLOOKUP(F331&amp;K331&amp;Q331,製品マスタ!$N$5:$AD$4999,17,FALSE),"")))</f>
        <v/>
      </c>
      <c r="W331" s="256" t="str">
        <f>IF(J331="巻返し",VLOOKUP(F331&amp;K331&amp;M331,製品マスタ!$M$5:$AE$4999,19,FALSE),IF(J331="リード付け","-",IF(J331="スリット",VLOOKUP(F331&amp;K331&amp;Q331,製品マスタ!$N$5:$AE$4999,18,FALSE),"")))</f>
        <v/>
      </c>
      <c r="X331" s="256" t="str">
        <f>IF(D331="","",VLOOKUP(D331,契約台帳!$A$3:$Q$4986,17,FALSE))</f>
        <v/>
      </c>
      <c r="Y331" s="256" t="str">
        <f>IF(D331="","",VLOOKUP(D331,契約台帳!$A$3:$E$4986,5,FALSE))</f>
        <v/>
      </c>
      <c r="Z331" s="54"/>
      <c r="AA331" s="200" t="str">
        <f>IFERROR(VLOOKUP(F331&amp;K331&amp;M331,製品マスタ!$M$5:$AM$4999,27,FALSE),"")</f>
        <v/>
      </c>
      <c r="AB331" s="31"/>
      <c r="AC331" s="184"/>
      <c r="AD331" s="51"/>
      <c r="AE331" s="52"/>
      <c r="AF331" s="41"/>
      <c r="AG331" s="45"/>
      <c r="AH331" s="28"/>
      <c r="AI331" s="28"/>
      <c r="AJ331" s="28"/>
      <c r="AK331" s="28"/>
      <c r="AL331" s="12"/>
      <c r="AM331" s="12"/>
      <c r="AN331" s="12"/>
      <c r="AO331" s="12"/>
      <c r="AP331" s="12"/>
      <c r="AQ331" s="13"/>
      <c r="AR331" s="14"/>
    </row>
    <row r="332" spans="1:44" s="16" customFormat="1" ht="30.95" hidden="1" customHeight="1" x14ac:dyDescent="0.2">
      <c r="A332" s="35"/>
      <c r="B332" s="36"/>
      <c r="C332" s="43"/>
      <c r="D332" s="29">
        <v>3703993</v>
      </c>
      <c r="E332" s="29">
        <v>4151332</v>
      </c>
      <c r="F332" s="255" t="str">
        <f>IF(D332="","",VLOOKUP(D332,契約台帳!$A$3:$K$4986,6,FALSE)&amp;VLOOKUP(D332,契約台帳!$A$3:$K$4986,7,FALSE)&amp;VLOOKUP(D332,契約台帳!$A$3:$K$4986,8,FALSE)&amp;VLOOKUP(D332,契約台帳!$A$3:$K$4986,9,FALSE)&amp;VLOOKUP(D332,契約台帳!$A$3:$K$4986,11,FALSE))</f>
        <v>3SNMLBMNGKBF</v>
      </c>
      <c r="G332" s="256" t="str">
        <f>IF(D332="","",VLOOKUP(F332,製品マスタ!$G$5:$H$4999,2,FALSE))</f>
        <v>S</v>
      </c>
      <c r="H332" s="256" t="str">
        <f>IF(D332="","",VLOOKUP(F332,製品マスタ!$G$5:$K$4999,5,FALSE))</f>
        <v>MNGKBF</v>
      </c>
      <c r="I332" s="200" t="str">
        <f>IF(D332="","",VLOOKUP(F332,製品マスタ!$G$5:$L$4999,6,FALSE))</f>
        <v>メタルミー　ネーマー銀消　Ｂ</v>
      </c>
      <c r="J332" s="30" t="s">
        <v>447</v>
      </c>
      <c r="K332" s="200">
        <f>IF(D332="","",VLOOKUP(D332,契約台帳!$A$3:$L$4986,12,FALSE))</f>
        <v>50</v>
      </c>
      <c r="L332" s="200" t="str">
        <f>IF(D332="","",INDEX(製品マスタ!$Q$5:$Q$4999,MATCH(F332&amp;K332,製品マスタ!$AO$5:$AO$4999,0)))</f>
        <v>MAT</v>
      </c>
      <c r="M332" s="37">
        <v>1050</v>
      </c>
      <c r="N332" s="37">
        <v>8200</v>
      </c>
      <c r="O332" s="45">
        <v>2</v>
      </c>
      <c r="P332" s="54"/>
      <c r="Q332" s="260">
        <f>IF(D332="","",IF(J332="リード付け",M332,VLOOKUP(D332,契約台帳!$A$3:$N$4986,14,FALSE)))</f>
        <v>1050</v>
      </c>
      <c r="R332" s="261">
        <f>IF(D332="","",IF(J332="リード付け",M332,VLOOKUP(D332,契約台帳!$A$3:$O$4986,15,FALSE)))</f>
        <v>1050</v>
      </c>
      <c r="S332" s="261">
        <f>IF(D332="","",IF(J332="リード付け",N332,VLOOKUP(D332,契約台帳!$A$3:$P$4986,16,FALSE)))</f>
        <v>4100</v>
      </c>
      <c r="T332" s="38">
        <v>4</v>
      </c>
      <c r="U332" s="261">
        <f ca="1">IF(D332="","",IF(OFFSET(D332,-2,0)=D332,"",VLOOKUP(D332,契約台帳!$A$3:$R$4986,18,FALSE)))</f>
        <v>4</v>
      </c>
      <c r="V332" s="256" t="str">
        <f>IF(J332="巻返し",VLOOKUP(F332&amp;K332&amp;M332,製品マスタ!$M$5:$AD$4999,18,FALSE),IF(J332="リード付け","原反コア",IF(J332="スリット",VLOOKUP(F332&amp;K332&amp;Q332,製品マスタ!$N$5:$AD$4999,17,FALSE),"")))</f>
        <v>6ｲﾝﾁSｺｱ</v>
      </c>
      <c r="W332" s="256">
        <f>IF(J332="巻返し",VLOOKUP(F332&amp;K332&amp;M332,製品マスタ!$M$5:$AE$4999,19,FALSE),IF(J332="リード付け","-",IF(J332="スリット",VLOOKUP(F332&amp;K332&amp;Q332,製品マスタ!$N$5:$AE$4999,18,FALSE),"")))</f>
        <v>1055</v>
      </c>
      <c r="X332" s="256">
        <f>IF(D332="","",VLOOKUP(D332,契約台帳!$A$3:$Q$4986,17,FALSE))</f>
        <v>2</v>
      </c>
      <c r="Y332" s="256" t="str">
        <f>IF(D332="","",VLOOKUP(D332,契約台帳!$A$3:$E$4986,5,FALSE))</f>
        <v>リンテック㈱</v>
      </c>
      <c r="Z332" s="54">
        <v>45040</v>
      </c>
      <c r="AA332" s="200">
        <f>IFERROR(VLOOKUP(F332&amp;K332&amp;M332,製品マスタ!$M$5:$AM$4999,27,FALSE),"")</f>
        <v>0</v>
      </c>
      <c r="AB332" s="31"/>
      <c r="AC332" s="184"/>
      <c r="AD332" s="51" t="str">
        <f>IF(F332="","",+F332&amp;K332)</f>
        <v>3SNMLBMNGKBF50</v>
      </c>
      <c r="AE332" s="52">
        <f>+M332*N332*O332/1000</f>
        <v>17220</v>
      </c>
      <c r="AF332" s="41">
        <f>IF(AD332="","",VLOOKUP(AD332,原価マスタ!$A$2:$AJ$1693,13,FALSE))</f>
        <v>98</v>
      </c>
      <c r="AG332" s="45">
        <f>IF(AF332="","",+AE332*AF332/100)</f>
        <v>16875.599999999999</v>
      </c>
      <c r="AH332" s="28"/>
      <c r="AI332" s="28"/>
      <c r="AJ332" s="28"/>
      <c r="AK332" s="28"/>
      <c r="AL332" s="12"/>
      <c r="AM332" s="12"/>
      <c r="AN332" s="12"/>
      <c r="AO332" s="12"/>
      <c r="AP332" s="12"/>
      <c r="AQ332" s="13"/>
      <c r="AR332" s="14"/>
    </row>
    <row r="333" spans="1:44" s="16" customFormat="1" ht="30.95" hidden="1" customHeight="1" x14ac:dyDescent="0.2">
      <c r="A333" s="35"/>
      <c r="B333" s="36"/>
      <c r="C333" s="43"/>
      <c r="D333" s="29"/>
      <c r="E333" s="29"/>
      <c r="F333" s="255"/>
      <c r="G333" s="256"/>
      <c r="H333" s="256"/>
      <c r="I333" s="200"/>
      <c r="J333" s="30"/>
      <c r="K333" s="200"/>
      <c r="L333" s="200"/>
      <c r="M333" s="37"/>
      <c r="N333" s="37"/>
      <c r="O333" s="45"/>
      <c r="P333" s="54"/>
      <c r="Q333" s="260"/>
      <c r="R333" s="261"/>
      <c r="S333" s="261"/>
      <c r="T333" s="38"/>
      <c r="U333" s="261"/>
      <c r="V333" s="256"/>
      <c r="W333" s="256"/>
      <c r="X333" s="256"/>
      <c r="Y333" s="256"/>
      <c r="Z333" s="54"/>
      <c r="AA333" s="200"/>
      <c r="AB333" s="31"/>
      <c r="AC333" s="184"/>
      <c r="AD333" s="51"/>
      <c r="AE333" s="52"/>
      <c r="AF333" s="41"/>
      <c r="AG333" s="45"/>
      <c r="AH333" s="28"/>
      <c r="AI333" s="28"/>
      <c r="AJ333" s="28"/>
      <c r="AK333" s="28"/>
      <c r="AL333" s="12"/>
      <c r="AM333" s="12"/>
      <c r="AN333" s="12"/>
      <c r="AO333" s="12"/>
      <c r="AP333" s="12"/>
      <c r="AQ333" s="13"/>
      <c r="AR333" s="14"/>
    </row>
    <row r="334" spans="1:44" s="16" customFormat="1" ht="30.95" hidden="1" customHeight="1" x14ac:dyDescent="0.2">
      <c r="A334" s="35" t="s">
        <v>1090</v>
      </c>
      <c r="B334" s="36" t="s">
        <v>1091</v>
      </c>
      <c r="C334" s="43"/>
      <c r="D334" s="29">
        <v>3703995</v>
      </c>
      <c r="E334" s="29">
        <v>4151342</v>
      </c>
      <c r="F334" s="255" t="str">
        <f>IF(D334="","",VLOOKUP(D334,契約台帳!$A$3:$K$4986,6,FALSE)&amp;VLOOKUP(D334,契約台帳!$A$3:$K$4986,7,FALSE)&amp;VLOOKUP(D334,契約台帳!$A$3:$K$4986,8,FALSE)&amp;VLOOKUP(D334,契約台帳!$A$3:$K$4986,9,FALSE)&amp;VLOOKUP(D334,契約台帳!$A$3:$K$4986,11,FALSE))</f>
        <v>3SNMLBMNGTBF</v>
      </c>
      <c r="G334" s="256" t="str">
        <f>IF(D334="","",VLOOKUP(F334,製品マスタ!$G$5:$H$4999,2,FALSE))</f>
        <v>S</v>
      </c>
      <c r="H334" s="256" t="str">
        <f>IF(D334="","",VLOOKUP(F334,製品マスタ!$G$5:$K$4999,5,FALSE))</f>
        <v>MNGTBF</v>
      </c>
      <c r="I334" s="200" t="str">
        <f>IF(D334="","",VLOOKUP(F334,製品マスタ!$G$5:$L$4999,6,FALSE))</f>
        <v>メタルミー　ネーマー　銀艶　Ｂ</v>
      </c>
      <c r="J334" s="30" t="s">
        <v>447</v>
      </c>
      <c r="K334" s="200">
        <f>IF(D334="","",VLOOKUP(D334,契約台帳!$A$3:$L$4986,12,FALSE))</f>
        <v>25</v>
      </c>
      <c r="L334" s="200" t="str">
        <f>IF(D334="","",INDEX(製品マスタ!$Q$5:$Q$4999,MATCH(F334&amp;K334,製品マスタ!$AO$5:$AO$4999,0)))</f>
        <v>T62M</v>
      </c>
      <c r="M334" s="37">
        <v>1005</v>
      </c>
      <c r="N334" s="37">
        <v>12100</v>
      </c>
      <c r="O334" s="45">
        <v>3</v>
      </c>
      <c r="P334" s="54"/>
      <c r="Q334" s="260">
        <f>IF(D334="","",IF(J334="リード付け",M334,VLOOKUP(D334,契約台帳!$A$3:$N$4986,14,FALSE)))</f>
        <v>1005</v>
      </c>
      <c r="R334" s="261">
        <f>IF(D334="","",IF(J334="リード付け",M334,VLOOKUP(D334,契約台帳!$A$3:$O$4986,15,FALSE)))</f>
        <v>1000</v>
      </c>
      <c r="S334" s="261">
        <f>IF(D334="","",IF(J334="リード付け",N334,VLOOKUP(D334,契約台帳!$A$3:$P$4986,16,FALSE)))</f>
        <v>4000</v>
      </c>
      <c r="T334" s="38">
        <v>9</v>
      </c>
      <c r="U334" s="261">
        <f ca="1">IF(D334="","",IF(OFFSET(D334,-2,0)=D334,"",VLOOKUP(D334,契約台帳!$A$3:$R$4986,18,FALSE)))</f>
        <v>9</v>
      </c>
      <c r="V334" s="256" t="str">
        <f>IF(J334="巻返し",VLOOKUP(F334&amp;K334&amp;M334,製品マスタ!$M$5:$AD$4999,18,FALSE),IF(J334="リード付け","原反コア",IF(J334="スリット",VLOOKUP(F334&amp;K334&amp;Q334,製品マスタ!$N$5:$AD$4999,17,FALSE),"")))</f>
        <v>6ｲﾝﾁSｺｱ</v>
      </c>
      <c r="W334" s="256">
        <f>IF(J334="巻返し",VLOOKUP(F334&amp;K334&amp;M334,製品マスタ!$M$5:$AE$4999,19,FALSE),IF(J334="リード付け","-",IF(J334="スリット",VLOOKUP(F334&amp;K334&amp;Q334,製品マスタ!$N$5:$AE$4999,18,FALSE),"")))</f>
        <v>1015</v>
      </c>
      <c r="X334" s="256">
        <f>IF(D334="","",VLOOKUP(D334,契約台帳!$A$3:$Q$4986,17,FALSE))</f>
        <v>2</v>
      </c>
      <c r="Y334" s="256" t="str">
        <f>IF(D334="","",VLOOKUP(D334,契約台帳!$A$3:$E$4986,5,FALSE))</f>
        <v>リンテック㈱</v>
      </c>
      <c r="Z334" s="54">
        <v>45040</v>
      </c>
      <c r="AA334" s="200">
        <f>IFERROR(VLOOKUP(F334&amp;K334&amp;M334,製品マスタ!$M$5:$AM$4999,27,FALSE),"")</f>
        <v>0</v>
      </c>
      <c r="AB334" s="31"/>
      <c r="AC334" s="184"/>
      <c r="AD334" s="51" t="str">
        <f>IF(F334="","",+F334&amp;K334)</f>
        <v>3SNMLBMNGTBF25</v>
      </c>
      <c r="AE334" s="52">
        <f>+M334*N334*O334/1000</f>
        <v>36481.5</v>
      </c>
      <c r="AF334" s="41">
        <f>IF(AD334="","",VLOOKUP(AD334,原価マスタ!$A$2:$AJ$1693,13,FALSE))</f>
        <v>97.5</v>
      </c>
      <c r="AG334" s="45">
        <f>IF(AF334="","",+AE334*AF334/100)</f>
        <v>35569.462500000001</v>
      </c>
      <c r="AH334" s="28"/>
      <c r="AI334" s="28"/>
      <c r="AJ334" s="28"/>
      <c r="AK334" s="28"/>
      <c r="AL334" s="12"/>
      <c r="AM334" s="12"/>
      <c r="AN334" s="12"/>
      <c r="AO334" s="12"/>
      <c r="AP334" s="12"/>
      <c r="AQ334" s="13"/>
      <c r="AR334" s="14"/>
    </row>
    <row r="335" spans="1:44" s="16" customFormat="1" ht="30.95" hidden="1" customHeight="1" x14ac:dyDescent="0.2">
      <c r="A335" s="35"/>
      <c r="B335" s="36"/>
      <c r="C335" s="43"/>
      <c r="D335" s="29"/>
      <c r="E335" s="29"/>
      <c r="F335" s="255"/>
      <c r="G335" s="256"/>
      <c r="H335" s="256"/>
      <c r="I335" s="200"/>
      <c r="J335" s="30"/>
      <c r="K335" s="200"/>
      <c r="L335" s="200"/>
      <c r="M335" s="37"/>
      <c r="N335" s="37"/>
      <c r="O335" s="45"/>
      <c r="P335" s="54"/>
      <c r="Q335" s="260"/>
      <c r="R335" s="261"/>
      <c r="S335" s="261"/>
      <c r="T335" s="38"/>
      <c r="U335" s="261"/>
      <c r="V335" s="256"/>
      <c r="W335" s="256"/>
      <c r="X335" s="256"/>
      <c r="Y335" s="256"/>
      <c r="Z335" s="54"/>
      <c r="AA335" s="200"/>
      <c r="AB335" s="31"/>
      <c r="AC335" s="184"/>
      <c r="AD335" s="51"/>
      <c r="AE335" s="52"/>
      <c r="AF335" s="41"/>
      <c r="AG335" s="45"/>
      <c r="AH335" s="28"/>
      <c r="AI335" s="28"/>
      <c r="AJ335" s="28"/>
      <c r="AK335" s="28"/>
      <c r="AL335" s="12"/>
      <c r="AM335" s="12"/>
      <c r="AN335" s="12"/>
      <c r="AO335" s="12"/>
      <c r="AP335" s="12"/>
      <c r="AQ335" s="13"/>
      <c r="AR335" s="14"/>
    </row>
    <row r="336" spans="1:44" s="16" customFormat="1" ht="30.95" hidden="1" customHeight="1" x14ac:dyDescent="0.2">
      <c r="A336" s="35"/>
      <c r="B336" s="36"/>
      <c r="C336" s="43"/>
      <c r="D336" s="29">
        <v>3703992</v>
      </c>
      <c r="E336" s="29">
        <v>4151331</v>
      </c>
      <c r="F336" s="255" t="str">
        <f>IF(D336="","",VLOOKUP(D336,契約台帳!$A$3:$K$4986,6,FALSE)&amp;VLOOKUP(D336,契約台帳!$A$3:$K$4986,7,FALSE)&amp;VLOOKUP(D336,契約台帳!$A$3:$K$4986,8,FALSE)&amp;VLOOKUP(D336,契約台帳!$A$3:$K$4986,9,FALSE)&amp;VLOOKUP(D336,契約台帳!$A$3:$K$4986,11,FALSE))</f>
        <v>3SNMLBMNGKBF</v>
      </c>
      <c r="G336" s="256" t="str">
        <f>IF(D336="","",VLOOKUP(F336,製品マスタ!$G$5:$H$4999,2,FALSE))</f>
        <v>S</v>
      </c>
      <c r="H336" s="256" t="str">
        <f>IF(D336="","",VLOOKUP(F336,製品マスタ!$G$5:$K$4999,5,FALSE))</f>
        <v>MNGKBF</v>
      </c>
      <c r="I336" s="200" t="str">
        <f>IF(D336="","",VLOOKUP(F336,製品マスタ!$G$5:$L$4999,6,FALSE))</f>
        <v>メタルミー　ネーマー銀消　Ｂ</v>
      </c>
      <c r="J336" s="30" t="s">
        <v>1051</v>
      </c>
      <c r="K336" s="200">
        <f>IF(D336="","",VLOOKUP(D336,契約台帳!$A$3:$L$4986,12,FALSE))</f>
        <v>38</v>
      </c>
      <c r="L336" s="200" t="str">
        <f>IF(D336="","",INDEX(製品マスタ!$Q$5:$Q$4999,MATCH(F336&amp;K336,製品マスタ!$AO$5:$AO$4999,0)))</f>
        <v>LUMIMAT</v>
      </c>
      <c r="M336" s="37">
        <v>1005</v>
      </c>
      <c r="N336" s="37">
        <v>12300</v>
      </c>
      <c r="O336" s="45">
        <v>1</v>
      </c>
      <c r="P336" s="54"/>
      <c r="Q336" s="260">
        <f>IF(D336="","",IF(J336="リード付け",M336,VLOOKUP(D336,契約台帳!$A$3:$N$4986,14,FALSE)))</f>
        <v>1005</v>
      </c>
      <c r="R336" s="261">
        <f>IF(D336="","",IF(J336="リード付け",M336,VLOOKUP(D336,契約台帳!$A$3:$O$4986,15,FALSE)))</f>
        <v>1000</v>
      </c>
      <c r="S336" s="261">
        <f>IF(D336="","",IF(J336="リード付け",N336,VLOOKUP(D336,契約台帳!$A$3:$P$4986,16,FALSE)))</f>
        <v>4000</v>
      </c>
      <c r="T336" s="38">
        <v>3</v>
      </c>
      <c r="U336" s="261">
        <f ca="1">IF(D336="","",IF(OFFSET(D336,-2,0)=D336,"",VLOOKUP(D336,契約台帳!$A$3:$R$4986,18,FALSE)))</f>
        <v>3</v>
      </c>
      <c r="V336" s="256" t="str">
        <f>IF(J336="巻返し",VLOOKUP(F336&amp;K336&amp;M336,製品マスタ!$M$5:$AD$4999,18,FALSE),IF(J336="リード付け","原反コア",IF(J336="スリット",VLOOKUP(F336&amp;K336&amp;Q336,製品マスタ!$N$5:$AD$4999,17,FALSE),"")))</f>
        <v>6ｲﾝﾁSｺｱ</v>
      </c>
      <c r="W336" s="256">
        <f>IF(J336="巻返し",VLOOKUP(F336&amp;K336&amp;M336,製品マスタ!$M$5:$AE$4999,19,FALSE),IF(J336="リード付け","-",IF(J336="スリット",VLOOKUP(F336&amp;K336&amp;Q336,製品マスタ!$N$5:$AE$4999,18,FALSE),"")))</f>
        <v>1015</v>
      </c>
      <c r="X336" s="256">
        <f>IF(D336="","",VLOOKUP(D336,契約台帳!$A$3:$Q$4986,17,FALSE))</f>
        <v>2</v>
      </c>
      <c r="Y336" s="256" t="str">
        <f>IF(D336="","",VLOOKUP(D336,契約台帳!$A$3:$E$4986,5,FALSE))</f>
        <v>リンテック㈱</v>
      </c>
      <c r="Z336" s="54">
        <v>45041</v>
      </c>
      <c r="AA336" s="200">
        <f>IFERROR(VLOOKUP(F336&amp;K336&amp;M336,製品マスタ!$M$5:$AM$4999,27,FALSE),"")</f>
        <v>0</v>
      </c>
      <c r="AB336" s="31"/>
      <c r="AC336" s="184"/>
      <c r="AD336" s="51" t="str">
        <f>IF(F336="","",+F336&amp;K336)</f>
        <v>3SNMLBMNGKBF38</v>
      </c>
      <c r="AE336" s="52">
        <f>+M336*N336*O336/1000</f>
        <v>12361.5</v>
      </c>
      <c r="AF336" s="41">
        <f>IF(AD336="","",VLOOKUP(AD336,原価マスタ!$A$2:$AJ$1693,13,FALSE))</f>
        <v>97.2</v>
      </c>
      <c r="AG336" s="45">
        <f>IF(AF336="","",+AE336*AF336/100)</f>
        <v>12015.378000000001</v>
      </c>
      <c r="AH336" s="28"/>
      <c r="AI336" s="28"/>
      <c r="AJ336" s="28"/>
      <c r="AK336" s="28"/>
      <c r="AL336" s="12"/>
      <c r="AM336" s="12"/>
      <c r="AN336" s="12"/>
      <c r="AO336" s="12"/>
      <c r="AP336" s="12"/>
      <c r="AQ336" s="13"/>
      <c r="AR336" s="14"/>
    </row>
    <row r="337" spans="1:44" s="16" customFormat="1" ht="30.95" hidden="1" customHeight="1" x14ac:dyDescent="0.2">
      <c r="A337" s="35"/>
      <c r="B337" s="36"/>
      <c r="C337" s="43"/>
      <c r="D337" s="29"/>
      <c r="E337" s="29"/>
      <c r="F337" s="255" t="str">
        <f>IF(D337="","",VLOOKUP(D337,契約台帳!$A$3:$K$4986,6,FALSE)&amp;VLOOKUP(D337,契約台帳!$A$3:$K$4986,7,FALSE)&amp;VLOOKUP(D337,契約台帳!$A$3:$K$4986,8,FALSE)&amp;VLOOKUP(D337,契約台帳!$A$3:$K$4986,9,FALSE)&amp;VLOOKUP(D337,契約台帳!$A$3:$K$4986,11,FALSE))</f>
        <v/>
      </c>
      <c r="G337" s="256" t="str">
        <f>IF(D337="","",VLOOKUP(F337,製品マスタ!$G$5:$H$4999,2,FALSE))</f>
        <v/>
      </c>
      <c r="H337" s="256" t="str">
        <f>IF(D337="","",VLOOKUP(F337,製品マスタ!$G$5:$K$4999,5,FALSE))</f>
        <v/>
      </c>
      <c r="I337" s="200" t="str">
        <f>IF(D337="","",VLOOKUP(F337,製品マスタ!$G$5:$L$4999,6,FALSE))</f>
        <v/>
      </c>
      <c r="J337" s="30"/>
      <c r="K337" s="200" t="str">
        <f>IF(D337="","",VLOOKUP(D337,契約台帳!$A$3:$L$4986,12,FALSE))</f>
        <v/>
      </c>
      <c r="L337" s="200" t="str">
        <f>IF(D337="","",INDEX(製品マスタ!$Q$5:$Q$4999,MATCH(F337&amp;K337,製品マスタ!$AO$5:$AO$4999,0)))</f>
        <v/>
      </c>
      <c r="M337" s="37"/>
      <c r="N337" s="37"/>
      <c r="O337" s="45"/>
      <c r="P337" s="54"/>
      <c r="Q337" s="260" t="str">
        <f>IF(D337="","",IF(J337="リード付け",M337,VLOOKUP(D337,契約台帳!$A$3:$N$4986,14,FALSE)))</f>
        <v/>
      </c>
      <c r="R337" s="261" t="str">
        <f>IF(D337="","",IF(J337="リード付け",M337,VLOOKUP(D337,契約台帳!$A$3:$O$4986,15,FALSE)))</f>
        <v/>
      </c>
      <c r="S337" s="261" t="str">
        <f>IF(D337="","",IF(J337="リード付け",N337,VLOOKUP(D337,契約台帳!$A$3:$P$4986,16,FALSE)))</f>
        <v/>
      </c>
      <c r="T337" s="38"/>
      <c r="U337" s="261" t="str">
        <f ca="1">IF(D337="","",IF(OFFSET(D337,-2,0)=D337,"",VLOOKUP(D337,契約台帳!$A$3:$R$4986,18,FALSE)))</f>
        <v/>
      </c>
      <c r="V337" s="256" t="str">
        <f>IF(J337="巻返し",VLOOKUP(F337&amp;K337&amp;M337,製品マスタ!$M$5:$AD$4999,18,FALSE),IF(J337="リード付け","原反コア",IF(J337="スリット",VLOOKUP(F337&amp;K337&amp;Q337,製品マスタ!$N$5:$AD$4999,17,FALSE),"")))</f>
        <v/>
      </c>
      <c r="W337" s="256" t="str">
        <f>IF(J337="巻返し",VLOOKUP(F337&amp;K337&amp;M337,製品マスタ!$M$5:$AE$4999,19,FALSE),IF(J337="リード付け","-",IF(J337="スリット",VLOOKUP(F337&amp;K337&amp;Q337,製品マスタ!$N$5:$AE$4999,18,FALSE),"")))</f>
        <v/>
      </c>
      <c r="X337" s="256" t="str">
        <f>IF(D337="","",VLOOKUP(D337,契約台帳!$A$3:$Q$4986,17,FALSE))</f>
        <v/>
      </c>
      <c r="Y337" s="256" t="str">
        <f>IF(D337="","",VLOOKUP(D337,契約台帳!$A$3:$E$4986,5,FALSE))</f>
        <v/>
      </c>
      <c r="Z337" s="54"/>
      <c r="AA337" s="200" t="str">
        <f>IFERROR(VLOOKUP(F337&amp;K337&amp;M337,製品マスタ!$M$5:$AM$4999,27,FALSE),"")</f>
        <v/>
      </c>
      <c r="AB337" s="31"/>
      <c r="AC337" s="184"/>
      <c r="AD337" s="51"/>
      <c r="AE337" s="52"/>
      <c r="AF337" s="41" t="str">
        <f>IF(AD337="","",VLOOKUP(AD337,原価マスタ!$A$2:$AJ$1693,13,FALSE))</f>
        <v/>
      </c>
      <c r="AG337" s="45"/>
      <c r="AH337" s="28"/>
      <c r="AI337" s="28"/>
      <c r="AJ337" s="28"/>
      <c r="AK337" s="28"/>
      <c r="AL337" s="12"/>
      <c r="AM337" s="12"/>
      <c r="AN337" s="12"/>
      <c r="AO337" s="12"/>
      <c r="AP337" s="12"/>
      <c r="AQ337" s="13"/>
      <c r="AR337" s="14"/>
    </row>
    <row r="338" spans="1:44" s="16" customFormat="1" ht="30.95" hidden="1" customHeight="1" x14ac:dyDescent="0.2">
      <c r="A338" s="35"/>
      <c r="B338" s="36"/>
      <c r="C338" s="43"/>
      <c r="D338" s="29">
        <v>3703999</v>
      </c>
      <c r="E338" s="29">
        <v>4151341</v>
      </c>
      <c r="F338" s="255" t="str">
        <f>IF(D338="","",VLOOKUP(D338,契約台帳!$A$3:$K$4986,6,FALSE)&amp;VLOOKUP(D338,契約台帳!$A$3:$K$4986,7,FALSE)&amp;VLOOKUP(D338,契約台帳!$A$3:$K$4986,8,FALSE)&amp;VLOOKUP(D338,契約台帳!$A$3:$K$4986,9,FALSE)&amp;VLOOKUP(D338,契約台帳!$A$3:$K$4986,11,FALSE))</f>
        <v>3SNMLBMNNGKBF</v>
      </c>
      <c r="G338" s="256" t="str">
        <f>IF(D338="","",VLOOKUP(F338,製品マスタ!$G$5:$H$4999,2,FALSE))</f>
        <v>S</v>
      </c>
      <c r="H338" s="256" t="str">
        <f>IF(D338="","",VLOOKUP(F338,製品マスタ!$G$5:$K$4999,5,FALSE))</f>
        <v>MNNGKBF</v>
      </c>
      <c r="I338" s="200" t="str">
        <f>IF(D338="","",VLOOKUP(F338,製品マスタ!$G$5:$L$4999,6,FALSE))</f>
        <v>メタルミー　ニューネーマー銀消　Ｂ</v>
      </c>
      <c r="J338" s="30" t="s">
        <v>1051</v>
      </c>
      <c r="K338" s="200">
        <f>IF(D338="","",VLOOKUP(D338,契約台帳!$A$3:$L$4986,12,FALSE))</f>
        <v>25</v>
      </c>
      <c r="L338" s="200" t="str">
        <f>IF(D338="","",INDEX(製品マスタ!$Q$5:$Q$4999,MATCH(F338&amp;K338,製品マスタ!$AO$5:$AO$4999,0)))</f>
        <v>X44C</v>
      </c>
      <c r="M338" s="37">
        <v>1005</v>
      </c>
      <c r="N338" s="37">
        <v>8000</v>
      </c>
      <c r="O338" s="45">
        <v>1</v>
      </c>
      <c r="P338" s="54"/>
      <c r="Q338" s="260">
        <f>IF(D338="","",IF(J338="リード付け",M338,VLOOKUP(D338,契約台帳!$A$3:$N$4986,14,FALSE)))</f>
        <v>1005</v>
      </c>
      <c r="R338" s="261">
        <f>IF(D338="","",IF(J338="リード付け",M338,VLOOKUP(D338,契約台帳!$A$3:$O$4986,15,FALSE)))</f>
        <v>1000</v>
      </c>
      <c r="S338" s="261">
        <f>IF(D338="","",IF(J338="リード付け",N338,VLOOKUP(D338,契約台帳!$A$3:$P$4986,16,FALSE)))</f>
        <v>4000</v>
      </c>
      <c r="T338" s="38">
        <v>2</v>
      </c>
      <c r="U338" s="261">
        <f ca="1">IF(D338="","",IF(OFFSET(D338,-2,0)=D338,"",VLOOKUP(D338,契約台帳!$A$3:$R$4986,18,FALSE)))</f>
        <v>2</v>
      </c>
      <c r="V338" s="256" t="str">
        <f>IF(J338="巻返し",VLOOKUP(F338&amp;K338&amp;M338,製品マスタ!$M$5:$AD$4999,18,FALSE),IF(J338="リード付け","原反コア",IF(J338="スリット",VLOOKUP(F338&amp;K338&amp;Q338,製品マスタ!$N$5:$AD$4999,17,FALSE),"")))</f>
        <v>6ｲﾝﾁSｺｱ</v>
      </c>
      <c r="W338" s="256">
        <f>IF(J338="巻返し",VLOOKUP(F338&amp;K338&amp;M338,製品マスタ!$M$5:$AE$4999,19,FALSE),IF(J338="リード付け","-",IF(J338="スリット",VLOOKUP(F338&amp;K338&amp;Q338,製品マスタ!$N$5:$AE$4999,18,FALSE),"")))</f>
        <v>1015</v>
      </c>
      <c r="X338" s="256">
        <f>IF(D338="","",VLOOKUP(D338,契約台帳!$A$3:$Q$4986,17,FALSE))</f>
        <v>2</v>
      </c>
      <c r="Y338" s="256" t="str">
        <f>IF(D338="","",VLOOKUP(D338,契約台帳!$A$3:$E$4986,5,FALSE))</f>
        <v>リンテック㈱</v>
      </c>
      <c r="Z338" s="54">
        <v>45041</v>
      </c>
      <c r="AA338" s="200">
        <f>IFERROR(VLOOKUP(F338&amp;K338&amp;M338,製品マスタ!$M$5:$AM$4999,27,FALSE),"")</f>
        <v>0</v>
      </c>
      <c r="AB338" s="31"/>
      <c r="AC338" s="184"/>
      <c r="AD338" s="51" t="str">
        <f>IF(F338="","",+F338&amp;K338)</f>
        <v>3SNMLBMNNGKBF25</v>
      </c>
      <c r="AE338" s="52">
        <f>+M338*N338*O338/1000</f>
        <v>8040</v>
      </c>
      <c r="AF338" s="41">
        <f>IF(AD338="","",VLOOKUP(AD338,原価マスタ!$A$2:$AJ$1693,13,FALSE))</f>
        <v>98.3</v>
      </c>
      <c r="AG338" s="45">
        <f>IF(AF338="","",+AE338*AF338/100)</f>
        <v>7903.32</v>
      </c>
      <c r="AH338" s="28"/>
      <c r="AI338" s="28"/>
      <c r="AJ338" s="28"/>
      <c r="AK338" s="28"/>
      <c r="AL338" s="12"/>
      <c r="AM338" s="12"/>
      <c r="AN338" s="12"/>
      <c r="AO338" s="12"/>
      <c r="AP338" s="12"/>
      <c r="AQ338" s="13"/>
      <c r="AR338" s="14"/>
    </row>
    <row r="339" spans="1:44" s="16" customFormat="1" ht="30.95" hidden="1" customHeight="1" x14ac:dyDescent="0.2">
      <c r="A339" s="35"/>
      <c r="B339" s="36"/>
      <c r="C339" s="43"/>
      <c r="D339" s="29"/>
      <c r="E339" s="29"/>
      <c r="F339" s="255" t="str">
        <f>IF(D339="","",VLOOKUP(D339,契約台帳!$A$3:$K$4986,6,FALSE)&amp;VLOOKUP(D339,契約台帳!$A$3:$K$4986,7,FALSE)&amp;VLOOKUP(D339,契約台帳!$A$3:$K$4986,8,FALSE)&amp;VLOOKUP(D339,契約台帳!$A$3:$K$4986,9,FALSE)&amp;VLOOKUP(D339,契約台帳!$A$3:$K$4986,11,FALSE))</f>
        <v/>
      </c>
      <c r="G339" s="256" t="str">
        <f>IF(D339="","",VLOOKUP(F339,製品マスタ!$G$5:$H$4999,2,FALSE))</f>
        <v/>
      </c>
      <c r="H339" s="256" t="str">
        <f>IF(D339="","",VLOOKUP(F339,製品マスタ!$G$5:$K$4999,5,FALSE))</f>
        <v/>
      </c>
      <c r="I339" s="200" t="str">
        <f>IF(D339="","",VLOOKUP(F339,製品マスタ!$G$5:$L$4999,6,FALSE))</f>
        <v/>
      </c>
      <c r="J339" s="30"/>
      <c r="K339" s="200" t="str">
        <f>IF(D339="","",VLOOKUP(D339,契約台帳!$A$3:$L$4986,12,FALSE))</f>
        <v/>
      </c>
      <c r="L339" s="200" t="str">
        <f>IF(D339="","",INDEX(製品マスタ!$Q$5:$Q$4999,MATCH(F339&amp;K339,製品マスタ!$AO$5:$AO$4999,0)))</f>
        <v/>
      </c>
      <c r="M339" s="37"/>
      <c r="N339" s="37"/>
      <c r="O339" s="45"/>
      <c r="P339" s="54"/>
      <c r="Q339" s="260" t="str">
        <f>IF(D339="","",IF(J339="リード付け",M339,VLOOKUP(D339,契約台帳!$A$3:$N$4986,14,FALSE)))</f>
        <v/>
      </c>
      <c r="R339" s="261" t="str">
        <f>IF(D339="","",IF(J339="リード付け",M339,VLOOKUP(D339,契約台帳!$A$3:$O$4986,15,FALSE)))</f>
        <v/>
      </c>
      <c r="S339" s="261" t="str">
        <f>IF(D339="","",IF(J339="リード付け",N339,VLOOKUP(D339,契約台帳!$A$3:$P$4986,16,FALSE)))</f>
        <v/>
      </c>
      <c r="T339" s="38"/>
      <c r="U339" s="261" t="str">
        <f ca="1">IF(D339="","",IF(OFFSET(D339,-2,0)=D339,"",VLOOKUP(D339,契約台帳!$A$3:$R$4986,18,FALSE)))</f>
        <v/>
      </c>
      <c r="V339" s="256" t="str">
        <f>IF(J339="巻返し",VLOOKUP(F339&amp;K339&amp;M339,製品マスタ!$M$5:$AD$4999,18,FALSE),IF(J339="リード付け","原反コア",IF(J339="スリット",VLOOKUP(F339&amp;K339&amp;Q339,製品マスタ!$N$5:$AD$4999,17,FALSE),"")))</f>
        <v/>
      </c>
      <c r="W339" s="256" t="str">
        <f>IF(J339="巻返し",VLOOKUP(F339&amp;K339&amp;M339,製品マスタ!$M$5:$AE$4999,19,FALSE),IF(J339="リード付け","-",IF(J339="スリット",VLOOKUP(F339&amp;K339&amp;Q339,製品マスタ!$N$5:$AE$4999,18,FALSE),"")))</f>
        <v/>
      </c>
      <c r="X339" s="256" t="str">
        <f>IF(D339="","",VLOOKUP(D339,契約台帳!$A$3:$Q$4986,17,FALSE))</f>
        <v/>
      </c>
      <c r="Y339" s="256" t="str">
        <f>IF(D339="","",VLOOKUP(D339,契約台帳!$A$3:$E$4986,5,FALSE))</f>
        <v/>
      </c>
      <c r="Z339" s="54"/>
      <c r="AA339" s="200" t="str">
        <f>IFERROR(VLOOKUP(F339&amp;K339&amp;M339,製品マスタ!$M$5:$AM$4999,27,FALSE),"")</f>
        <v/>
      </c>
      <c r="AB339" s="31"/>
      <c r="AC339" s="184"/>
      <c r="AD339" s="51"/>
      <c r="AE339" s="52"/>
      <c r="AF339" s="41"/>
      <c r="AG339" s="45"/>
      <c r="AH339" s="28"/>
      <c r="AI339" s="28"/>
      <c r="AJ339" s="28"/>
      <c r="AK339" s="28"/>
      <c r="AL339" s="12"/>
      <c r="AM339" s="12"/>
      <c r="AN339" s="12"/>
      <c r="AO339" s="12"/>
      <c r="AP339" s="12"/>
      <c r="AQ339" s="13"/>
      <c r="AR339" s="14"/>
    </row>
    <row r="340" spans="1:44" s="16" customFormat="1" ht="30.95" hidden="1" customHeight="1" x14ac:dyDescent="0.2">
      <c r="A340" s="35" t="s">
        <v>1092</v>
      </c>
      <c r="B340" s="36" t="s">
        <v>1093</v>
      </c>
      <c r="C340" s="43"/>
      <c r="D340" s="29">
        <v>3704000</v>
      </c>
      <c r="E340" s="29">
        <v>4151338</v>
      </c>
      <c r="F340" s="255" t="str">
        <f>IF(D340="","",VLOOKUP(D340,契約台帳!$A$3:$K$4986,6,FALSE)&amp;VLOOKUP(D340,契約台帳!$A$3:$K$4986,7,FALSE)&amp;VLOOKUP(D340,契約台帳!$A$3:$K$4986,8,FALSE)&amp;VLOOKUP(D340,契約台帳!$A$3:$K$4986,9,FALSE)&amp;VLOOKUP(D340,契約台帳!$A$3:$K$4986,11,FALSE))</f>
        <v>3SNMLBMNNGKBF</v>
      </c>
      <c r="G340" s="256" t="str">
        <f>IF(D340="","",VLOOKUP(F340,製品マスタ!$G$5:$H$4999,2,FALSE))</f>
        <v>S</v>
      </c>
      <c r="H340" s="256" t="str">
        <f>IF(D340="","",VLOOKUP(F340,製品マスタ!$G$5:$K$4999,5,FALSE))</f>
        <v>MNNGKBF</v>
      </c>
      <c r="I340" s="200" t="str">
        <f>IF(D340="","",VLOOKUP(F340,製品マスタ!$G$5:$L$4999,6,FALSE))</f>
        <v>メタルミー　ニューネーマー銀消　Ｂ</v>
      </c>
      <c r="J340" s="30" t="s">
        <v>1051</v>
      </c>
      <c r="K340" s="200">
        <f>IF(D340="","",VLOOKUP(D340,契約台帳!$A$3:$L$4986,12,FALSE))</f>
        <v>50</v>
      </c>
      <c r="L340" s="200" t="str">
        <f>IF(D340="","",INDEX(製品マスタ!$Q$5:$Q$4999,MATCH(F340&amp;K340,製品マスタ!$AO$5:$AO$4999,0)))</f>
        <v>X44</v>
      </c>
      <c r="M340" s="37">
        <v>1000</v>
      </c>
      <c r="N340" s="37">
        <v>12000</v>
      </c>
      <c r="O340" s="45">
        <v>5</v>
      </c>
      <c r="P340" s="54"/>
      <c r="Q340" s="260">
        <f>IF(D340="","",IF(J340="リード付け",M340,VLOOKUP(D340,契約台帳!$A$3:$N$4986,14,FALSE)))</f>
        <v>1000</v>
      </c>
      <c r="R340" s="261">
        <f>IF(D340="","",IF(J340="リード付け",M340,VLOOKUP(D340,契約台帳!$A$3:$O$4986,15,FALSE)))</f>
        <v>1000</v>
      </c>
      <c r="S340" s="261">
        <f>IF(D340="","",IF(J340="リード付け",N340,VLOOKUP(D340,契約台帳!$A$3:$P$4986,16,FALSE)))</f>
        <v>4000</v>
      </c>
      <c r="T340" s="38">
        <v>15</v>
      </c>
      <c r="U340" s="261">
        <f ca="1">IF(D340="","",IF(OFFSET(D340,-2,0)=D340,"",VLOOKUP(D340,契約台帳!$A$3:$R$4986,18,FALSE)))</f>
        <v>15</v>
      </c>
      <c r="V340" s="256" t="str">
        <f>IF(J340="巻返し",VLOOKUP(F340&amp;K340&amp;M340,製品マスタ!$M$5:$AD$4999,18,FALSE),IF(J340="リード付け","原反コア",IF(J340="スリット",VLOOKUP(F340&amp;K340&amp;Q340,製品マスタ!$N$5:$AD$4999,17,FALSE),"")))</f>
        <v>6ｲﾝﾁSｺｱ</v>
      </c>
      <c r="W340" s="256">
        <f>IF(J340="巻返し",VLOOKUP(F340&amp;K340&amp;M340,製品マスタ!$M$5:$AE$4999,19,FALSE),IF(J340="リード付け","-",IF(J340="スリット",VLOOKUP(F340&amp;K340&amp;Q340,製品マスタ!$N$5:$AE$4999,18,FALSE),"")))</f>
        <v>1005</v>
      </c>
      <c r="X340" s="256">
        <f>IF(D340="","",VLOOKUP(D340,契約台帳!$A$3:$Q$4986,17,FALSE))</f>
        <v>2</v>
      </c>
      <c r="Y340" s="256" t="str">
        <f>IF(D340="","",VLOOKUP(D340,契約台帳!$A$3:$E$4986,5,FALSE))</f>
        <v>リンテック㈱</v>
      </c>
      <c r="Z340" s="54">
        <v>45041</v>
      </c>
      <c r="AA340" s="200" t="str">
        <f>IFERROR(VLOOKUP(F340&amp;K340&amp;M340,製品マスタ!$M$5:$AM$4999,27,FALSE),"")</f>
        <v>原反ケース再利用</v>
      </c>
      <c r="AB340" s="31"/>
      <c r="AC340" s="184"/>
      <c r="AD340" s="51" t="str">
        <f>IF(F340="","",+F340&amp;K340)</f>
        <v>3SNMLBMNNGKBF50</v>
      </c>
      <c r="AE340" s="52">
        <f>+M340*N340*O340/1000</f>
        <v>60000</v>
      </c>
      <c r="AF340" s="41">
        <f>IF(AD340="","",VLOOKUP(AD340,原価マスタ!$A$2:$AJ$1693,13,FALSE))</f>
        <v>99</v>
      </c>
      <c r="AG340" s="45">
        <f>IF(AF340="","",+AE340*AF340/100)</f>
        <v>59400</v>
      </c>
      <c r="AH340" s="28"/>
      <c r="AI340" s="28"/>
      <c r="AJ340" s="28"/>
      <c r="AK340" s="28"/>
      <c r="AL340" s="12"/>
      <c r="AM340" s="12"/>
      <c r="AN340" s="12"/>
      <c r="AO340" s="12"/>
      <c r="AP340" s="12"/>
      <c r="AQ340" s="13"/>
      <c r="AR340" s="14"/>
    </row>
    <row r="341" spans="1:44" s="16" customFormat="1" ht="30.95" hidden="1" customHeight="1" x14ac:dyDescent="0.2">
      <c r="A341" s="35"/>
      <c r="B341" s="36"/>
      <c r="C341" s="43"/>
      <c r="D341" s="29"/>
      <c r="E341" s="29"/>
      <c r="F341" s="255" t="str">
        <f>IF(D341="","",VLOOKUP(D341,契約台帳!$A$3:$K$4986,6,FALSE)&amp;VLOOKUP(D341,契約台帳!$A$3:$K$4986,7,FALSE)&amp;VLOOKUP(D341,契約台帳!$A$3:$K$4986,8,FALSE)&amp;VLOOKUP(D341,契約台帳!$A$3:$K$4986,9,FALSE)&amp;VLOOKUP(D341,契約台帳!$A$3:$K$4986,11,FALSE))</f>
        <v/>
      </c>
      <c r="G341" s="256" t="str">
        <f>IF(D341="","",VLOOKUP(F341,製品マスタ!$G$5:$H$4999,2,FALSE))</f>
        <v/>
      </c>
      <c r="H341" s="256" t="str">
        <f>IF(D341="","",VLOOKUP(F341,製品マスタ!$G$5:$K$4999,5,FALSE))</f>
        <v/>
      </c>
      <c r="I341" s="200" t="str">
        <f>IF(D341="","",VLOOKUP(F341,製品マスタ!$G$5:$L$4999,6,FALSE))</f>
        <v/>
      </c>
      <c r="J341" s="30"/>
      <c r="K341" s="200" t="str">
        <f>IF(D341="","",VLOOKUP(D341,契約台帳!$A$3:$L$4986,12,FALSE))</f>
        <v/>
      </c>
      <c r="L341" s="200" t="str">
        <f>IF(D341="","",INDEX(製品マスタ!$Q$5:$Q$4999,MATCH(F341&amp;K341,製品マスタ!$AO$5:$AO$4999,0)))</f>
        <v/>
      </c>
      <c r="M341" s="37"/>
      <c r="N341" s="37"/>
      <c r="O341" s="45"/>
      <c r="P341" s="54"/>
      <c r="Q341" s="260" t="str">
        <f>IF(D341="","",IF(J341="リード付け",M341,VLOOKUP(D341,契約台帳!$A$3:$N$4986,14,FALSE)))</f>
        <v/>
      </c>
      <c r="R341" s="261" t="str">
        <f>IF(D341="","",IF(J341="リード付け",M341,VLOOKUP(D341,契約台帳!$A$3:$O$4986,15,FALSE)))</f>
        <v/>
      </c>
      <c r="S341" s="261" t="str">
        <f>IF(D341="","",IF(J341="リード付け",N341,VLOOKUP(D341,契約台帳!$A$3:$P$4986,16,FALSE)))</f>
        <v/>
      </c>
      <c r="T341" s="38"/>
      <c r="U341" s="261" t="str">
        <f ca="1">IF(D341="","",IF(OFFSET(D341,-2,0)=D341,"",VLOOKUP(D341,契約台帳!$A$3:$R$4986,18,FALSE)))</f>
        <v/>
      </c>
      <c r="V341" s="256" t="str">
        <f>IF(J341="巻返し",VLOOKUP(F341&amp;K341&amp;M341,製品マスタ!$M$5:$AD$4999,18,FALSE),IF(J341="リード付け","原反コア",IF(J341="スリット",VLOOKUP(F341&amp;K341&amp;Q341,製品マスタ!$N$5:$AD$4999,17,FALSE),"")))</f>
        <v/>
      </c>
      <c r="W341" s="256" t="str">
        <f>IF(J341="巻返し",VLOOKUP(F341&amp;K341&amp;M341,製品マスタ!$M$5:$AE$4999,19,FALSE),IF(J341="リード付け","-",IF(J341="スリット",VLOOKUP(F341&amp;K341&amp;Q341,製品マスタ!$N$5:$AE$4999,18,FALSE),"")))</f>
        <v/>
      </c>
      <c r="X341" s="256" t="str">
        <f>IF(D341="","",VLOOKUP(D341,契約台帳!$A$3:$Q$4986,17,FALSE))</f>
        <v/>
      </c>
      <c r="Y341" s="256" t="str">
        <f>IF(D341="","",VLOOKUP(D341,契約台帳!$A$3:$E$4986,5,FALSE))</f>
        <v/>
      </c>
      <c r="Z341" s="54"/>
      <c r="AA341" s="200" t="str">
        <f>IFERROR(VLOOKUP(F341&amp;K341&amp;M341,製品マスタ!$M$5:$AM$4999,27,FALSE),"")</f>
        <v/>
      </c>
      <c r="AB341" s="31"/>
      <c r="AC341" s="184"/>
      <c r="AD341" s="51"/>
      <c r="AE341" s="52"/>
      <c r="AF341" s="41"/>
      <c r="AG341" s="45"/>
      <c r="AH341" s="28"/>
      <c r="AI341" s="28"/>
      <c r="AJ341" s="28"/>
      <c r="AK341" s="28"/>
      <c r="AL341" s="12"/>
      <c r="AM341" s="12"/>
      <c r="AN341" s="12"/>
      <c r="AO341" s="12"/>
      <c r="AP341" s="12"/>
      <c r="AQ341" s="13"/>
      <c r="AR341" s="14"/>
    </row>
    <row r="342" spans="1:44" s="16" customFormat="1" ht="30.95" hidden="1" customHeight="1" x14ac:dyDescent="0.2">
      <c r="A342" s="35" t="s">
        <v>1063</v>
      </c>
      <c r="B342" s="36" t="s">
        <v>445</v>
      </c>
      <c r="C342" s="43"/>
      <c r="D342" s="29"/>
      <c r="E342" s="29"/>
      <c r="F342" s="255" t="str">
        <f>IF(D342="","",VLOOKUP(D342,契約台帳!$A$3:$K$4986,6,FALSE)&amp;VLOOKUP(D342,契約台帳!$A$3:$K$4986,7,FALSE)&amp;VLOOKUP(D342,契約台帳!$A$3:$K$4986,8,FALSE)&amp;VLOOKUP(D342,契約台帳!$A$3:$K$4986,9,FALSE)&amp;VLOOKUP(D342,契約台帳!$A$3:$K$4986,11,FALSE))</f>
        <v/>
      </c>
      <c r="G342" s="256" t="str">
        <f>IF(D342="","",VLOOKUP(F342,製品マスタ!$G$5:$H$4999,2,FALSE))</f>
        <v/>
      </c>
      <c r="H342" s="256" t="str">
        <f>IF(D342="","",VLOOKUP(F342,製品マスタ!$G$5:$K$4999,5,FALSE))</f>
        <v/>
      </c>
      <c r="I342" s="200" t="str">
        <f>IF(D342="","",VLOOKUP(F342,製品マスタ!$G$5:$L$4999,6,FALSE))</f>
        <v/>
      </c>
      <c r="J342" s="30" t="s">
        <v>448</v>
      </c>
      <c r="K342" s="200" t="str">
        <f>IF(D342="","",VLOOKUP(D342,契約台帳!$A$3:$L$4986,12,FALSE))</f>
        <v/>
      </c>
      <c r="L342" s="200" t="str">
        <f>IF(D342="","",INDEX(製品マスタ!$Q$5:$Q$4999,MATCH(F342&amp;K342,製品マスタ!$AO$5:$AO$4999,0)))</f>
        <v/>
      </c>
      <c r="M342" s="37"/>
      <c r="N342" s="37"/>
      <c r="O342" s="45"/>
      <c r="P342" s="54"/>
      <c r="Q342" s="260" t="str">
        <f>IF(D342="","",IF(J342="リード付け",M342,VLOOKUP(D342,契約台帳!$A$3:$N$4986,14,FALSE)))</f>
        <v/>
      </c>
      <c r="R342" s="261" t="str">
        <f>IF(D342="","",IF(J342="リード付け",M342,VLOOKUP(D342,契約台帳!$A$3:$O$4986,15,FALSE)))</f>
        <v/>
      </c>
      <c r="S342" s="261" t="str">
        <f>IF(D342="","",IF(J342="リード付け",N342,VLOOKUP(D342,契約台帳!$A$3:$P$4986,16,FALSE)))</f>
        <v/>
      </c>
      <c r="T342" s="38"/>
      <c r="U342" s="261" t="str">
        <f ca="1">IF(D342="","",IF(OFFSET(D342,-2,0)=D342,"",VLOOKUP(D342,契約台帳!$A$3:$R$4986,18,FALSE)))</f>
        <v/>
      </c>
      <c r="V342" s="256" t="str">
        <f>IF(J342="巻返し",VLOOKUP(F342&amp;K342&amp;M342,製品マスタ!$M$5:$AD$4999,18,FALSE),IF(J342="リード付け","原反コア",IF(J342="スリット",VLOOKUP(F342&amp;K342&amp;Q342,製品マスタ!$N$5:$AD$4999,17,FALSE),"")))</f>
        <v/>
      </c>
      <c r="W342" s="256" t="str">
        <f>IF(J342="巻返し",VLOOKUP(F342&amp;K342&amp;M342,製品マスタ!$M$5:$AE$4999,19,FALSE),IF(J342="リード付け","-",IF(J342="スリット",VLOOKUP(F342&amp;K342&amp;Q342,製品マスタ!$N$5:$AE$4999,18,FALSE),"")))</f>
        <v/>
      </c>
      <c r="X342" s="256" t="str">
        <f>IF(D342="","",VLOOKUP(D342,契約台帳!$A$3:$Q$4986,17,FALSE))</f>
        <v/>
      </c>
      <c r="Y342" s="256" t="str">
        <f>IF(D342="","",VLOOKUP(D342,契約台帳!$A$3:$E$4986,5,FALSE))</f>
        <v/>
      </c>
      <c r="Z342" s="54"/>
      <c r="AA342" s="200" t="str">
        <f>IFERROR(VLOOKUP(F342&amp;K342&amp;M342,製品マスタ!$M$5:$AM$4999,27,FALSE),"")</f>
        <v/>
      </c>
      <c r="AB342" s="31"/>
      <c r="AC342" s="184"/>
      <c r="AD342" s="51"/>
      <c r="AE342" s="52"/>
      <c r="AF342" s="41"/>
      <c r="AG342" s="45"/>
      <c r="AH342" s="28"/>
      <c r="AI342" s="28"/>
      <c r="AJ342" s="28"/>
      <c r="AK342" s="28"/>
      <c r="AL342" s="12"/>
      <c r="AM342" s="12"/>
      <c r="AN342" s="12"/>
      <c r="AO342" s="12"/>
      <c r="AP342" s="12"/>
      <c r="AQ342" s="13"/>
      <c r="AR342" s="14"/>
    </row>
    <row r="343" spans="1:44" s="16" customFormat="1" ht="30.95" hidden="1" customHeight="1" x14ac:dyDescent="0.2">
      <c r="A343" s="35"/>
      <c r="B343" s="36"/>
      <c r="C343" s="43"/>
      <c r="D343" s="29"/>
      <c r="E343" s="29"/>
      <c r="F343" s="255" t="str">
        <f>IF(D343="","",VLOOKUP(D343,契約台帳!$A$3:$K$4986,6,FALSE)&amp;VLOOKUP(D343,契約台帳!$A$3:$K$4986,7,FALSE)&amp;VLOOKUP(D343,契約台帳!$A$3:$K$4986,8,FALSE)&amp;VLOOKUP(D343,契約台帳!$A$3:$K$4986,9,FALSE)&amp;VLOOKUP(D343,契約台帳!$A$3:$K$4986,11,FALSE))</f>
        <v/>
      </c>
      <c r="G343" s="256" t="str">
        <f>IF(D343="","",VLOOKUP(F343,製品マスタ!$G$5:$H$4999,2,FALSE))</f>
        <v/>
      </c>
      <c r="H343" s="256" t="str">
        <f>IF(D343="","",VLOOKUP(F343,製品マスタ!$G$5:$K$4999,5,FALSE))</f>
        <v/>
      </c>
      <c r="I343" s="200" t="str">
        <f>IF(D343="","",VLOOKUP(F343,製品マスタ!$G$5:$L$4999,6,FALSE))</f>
        <v/>
      </c>
      <c r="J343" s="30"/>
      <c r="K343" s="200" t="str">
        <f>IF(D343="","",VLOOKUP(D343,契約台帳!$A$3:$L$4986,12,FALSE))</f>
        <v/>
      </c>
      <c r="L343" s="200" t="str">
        <f>IF(D343="","",INDEX(製品マスタ!$Q$5:$Q$4999,MATCH(F343&amp;K343,製品マスタ!$AO$5:$AO$4999,0)))</f>
        <v/>
      </c>
      <c r="M343" s="37"/>
      <c r="N343" s="37"/>
      <c r="O343" s="45"/>
      <c r="P343" s="54"/>
      <c r="Q343" s="260" t="str">
        <f>IF(D343="","",IF(J343="リード付け",M343,VLOOKUP(D343,契約台帳!$A$3:$N$4986,14,FALSE)))</f>
        <v/>
      </c>
      <c r="R343" s="261" t="str">
        <f>IF(D343="","",IF(J343="リード付け",M343,VLOOKUP(D343,契約台帳!$A$3:$O$4986,15,FALSE)))</f>
        <v/>
      </c>
      <c r="S343" s="261" t="str">
        <f>IF(D343="","",IF(J343="リード付け",N343,VLOOKUP(D343,契約台帳!$A$3:$P$4986,16,FALSE)))</f>
        <v/>
      </c>
      <c r="T343" s="38"/>
      <c r="U343" s="261" t="str">
        <f ca="1">IF(D343="","",IF(OFFSET(D343,-2,0)=D343,"",VLOOKUP(D343,契約台帳!$A$3:$R$4986,18,FALSE)))</f>
        <v/>
      </c>
      <c r="V343" s="256" t="str">
        <f>IF(J343="巻返し",VLOOKUP(F343&amp;K343&amp;M343,製品マスタ!$M$5:$AD$4999,18,FALSE),IF(J343="リード付け","原反コア",IF(J343="スリット",VLOOKUP(F343&amp;K343&amp;Q343,製品マスタ!$N$5:$AD$4999,17,FALSE),"")))</f>
        <v/>
      </c>
      <c r="W343" s="256" t="str">
        <f>IF(J343="巻返し",VLOOKUP(F343&amp;K343&amp;M343,製品マスタ!$M$5:$AE$4999,19,FALSE),IF(J343="リード付け","-",IF(J343="スリット",VLOOKUP(F343&amp;K343&amp;Q343,製品マスタ!$N$5:$AE$4999,18,FALSE),"")))</f>
        <v/>
      </c>
      <c r="X343" s="256" t="str">
        <f>IF(D343="","",VLOOKUP(D343,契約台帳!$A$3:$Q$4986,17,FALSE))</f>
        <v/>
      </c>
      <c r="Y343" s="256" t="str">
        <f>IF(D343="","",VLOOKUP(D343,契約台帳!$A$3:$E$4986,5,FALSE))</f>
        <v/>
      </c>
      <c r="Z343" s="54"/>
      <c r="AA343" s="200" t="str">
        <f>IFERROR(VLOOKUP(F343&amp;K343&amp;M343,製品マスタ!$M$5:$AM$4999,27,FALSE),"")</f>
        <v/>
      </c>
      <c r="AB343" s="31"/>
      <c r="AC343" s="184"/>
      <c r="AD343" s="51"/>
      <c r="AE343" s="52"/>
      <c r="AF343" s="41"/>
      <c r="AG343" s="45"/>
      <c r="AH343" s="28"/>
      <c r="AI343" s="28"/>
      <c r="AJ343" s="28"/>
      <c r="AK343" s="28"/>
      <c r="AL343" s="12"/>
      <c r="AM343" s="12"/>
      <c r="AN343" s="12"/>
      <c r="AO343" s="12"/>
      <c r="AP343" s="12"/>
      <c r="AQ343" s="13"/>
      <c r="AR343" s="14"/>
    </row>
    <row r="344" spans="1:44" s="16" customFormat="1" ht="30.95" hidden="1" customHeight="1" x14ac:dyDescent="0.2">
      <c r="A344" s="35" t="s">
        <v>1064</v>
      </c>
      <c r="B344" s="36" t="s">
        <v>446</v>
      </c>
      <c r="C344" s="43"/>
      <c r="D344" s="29"/>
      <c r="E344" s="29"/>
      <c r="F344" s="255" t="str">
        <f>IF(D344="","",VLOOKUP(D344,契約台帳!$A$3:$K$4986,6,FALSE)&amp;VLOOKUP(D344,契約台帳!$A$3:$K$4986,7,FALSE)&amp;VLOOKUP(D344,契約台帳!$A$3:$K$4986,8,FALSE)&amp;VLOOKUP(D344,契約台帳!$A$3:$K$4986,9,FALSE)&amp;VLOOKUP(D344,契約台帳!$A$3:$K$4986,11,FALSE))</f>
        <v/>
      </c>
      <c r="G344" s="256" t="str">
        <f>IF(D344="","",VLOOKUP(F344,製品マスタ!$G$5:$H$4999,2,FALSE))</f>
        <v/>
      </c>
      <c r="H344" s="256" t="str">
        <f>IF(D344="","",VLOOKUP(F344,製品マスタ!$G$5:$K$4999,5,FALSE))</f>
        <v/>
      </c>
      <c r="I344" s="200" t="str">
        <f>IF(D344="","",VLOOKUP(F344,製品マスタ!$G$5:$L$4999,6,FALSE))</f>
        <v/>
      </c>
      <c r="J344" s="30" t="s">
        <v>448</v>
      </c>
      <c r="K344" s="200" t="str">
        <f>IF(D344="","",VLOOKUP(D344,契約台帳!$A$3:$L$4986,12,FALSE))</f>
        <v/>
      </c>
      <c r="L344" s="200" t="str">
        <f>IF(D344="","",INDEX(製品マスタ!$Q$5:$Q$4999,MATCH(F344&amp;K344,製品マスタ!$AO$5:$AO$4999,0)))</f>
        <v/>
      </c>
      <c r="M344" s="37"/>
      <c r="N344" s="37"/>
      <c r="O344" s="45"/>
      <c r="P344" s="54"/>
      <c r="Q344" s="260" t="str">
        <f>IF(D344="","",IF(J344="リード付け",M344,VLOOKUP(D344,契約台帳!$A$3:$N$4986,14,FALSE)))</f>
        <v/>
      </c>
      <c r="R344" s="261" t="str">
        <f>IF(D344="","",IF(J344="リード付け",M344,VLOOKUP(D344,契約台帳!$A$3:$O$4986,15,FALSE)))</f>
        <v/>
      </c>
      <c r="S344" s="261" t="str">
        <f>IF(D344="","",IF(J344="リード付け",N344,VLOOKUP(D344,契約台帳!$A$3:$P$4986,16,FALSE)))</f>
        <v/>
      </c>
      <c r="T344" s="38"/>
      <c r="U344" s="261" t="str">
        <f ca="1">IF(D344="","",IF(OFFSET(D344,-2,0)=D344,"",VLOOKUP(D344,契約台帳!$A$3:$R$4986,18,FALSE)))</f>
        <v/>
      </c>
      <c r="V344" s="256" t="str">
        <f>IF(J344="巻返し",VLOOKUP(F344&amp;K344&amp;M344,製品マスタ!$M$5:$AD$4999,18,FALSE),IF(J344="リード付け","原反コア",IF(J344="スリット",VLOOKUP(F344&amp;K344&amp;Q344,製品マスタ!$N$5:$AD$4999,17,FALSE),"")))</f>
        <v/>
      </c>
      <c r="W344" s="256" t="str">
        <f>IF(J344="巻返し",VLOOKUP(F344&amp;K344&amp;M344,製品マスタ!$M$5:$AE$4999,19,FALSE),IF(J344="リード付け","-",IF(J344="スリット",VLOOKUP(F344&amp;K344&amp;Q344,製品マスタ!$N$5:$AE$4999,18,FALSE),"")))</f>
        <v/>
      </c>
      <c r="X344" s="256" t="str">
        <f>IF(D344="","",VLOOKUP(D344,契約台帳!$A$3:$Q$4986,17,FALSE))</f>
        <v/>
      </c>
      <c r="Y344" s="256" t="str">
        <f>IF(D344="","",VLOOKUP(D344,契約台帳!$A$3:$E$4986,5,FALSE))</f>
        <v/>
      </c>
      <c r="Z344" s="54"/>
      <c r="AA344" s="200" t="str">
        <f>IFERROR(VLOOKUP(F344&amp;K344&amp;M344,製品マスタ!$M$5:$AM$4999,27,FALSE),"")</f>
        <v/>
      </c>
      <c r="AB344" s="31"/>
      <c r="AC344" s="184"/>
      <c r="AD344" s="51"/>
      <c r="AE344" s="52"/>
      <c r="AF344" s="41"/>
      <c r="AG344" s="45"/>
      <c r="AH344" s="28"/>
      <c r="AI344" s="28"/>
      <c r="AJ344" s="28"/>
      <c r="AK344" s="28"/>
      <c r="AL344" s="12"/>
      <c r="AM344" s="12"/>
      <c r="AN344" s="12"/>
      <c r="AO344" s="12"/>
      <c r="AP344" s="12"/>
      <c r="AQ344" s="13"/>
      <c r="AR344" s="14"/>
    </row>
    <row r="345" spans="1:44" s="16" customFormat="1" ht="30.95" hidden="1" customHeight="1" x14ac:dyDescent="0.2">
      <c r="A345" s="35"/>
      <c r="B345" s="36"/>
      <c r="C345" s="43"/>
      <c r="D345" s="29"/>
      <c r="E345" s="29"/>
      <c r="F345" s="255" t="str">
        <f>IF(D345="","",VLOOKUP(D345,契約台帳!$A$3:$K$4986,6,FALSE)&amp;VLOOKUP(D345,契約台帳!$A$3:$K$4986,7,FALSE)&amp;VLOOKUP(D345,契約台帳!$A$3:$K$4986,8,FALSE)&amp;VLOOKUP(D345,契約台帳!$A$3:$K$4986,9,FALSE)&amp;VLOOKUP(D345,契約台帳!$A$3:$K$4986,11,FALSE))</f>
        <v/>
      </c>
      <c r="G345" s="256" t="str">
        <f>IF(D345="","",VLOOKUP(F345,製品マスタ!$G$5:$H$4999,2,FALSE))</f>
        <v/>
      </c>
      <c r="H345" s="256" t="str">
        <f>IF(D345="","",VLOOKUP(F345,製品マスタ!$G$5:$K$4999,5,FALSE))</f>
        <v/>
      </c>
      <c r="I345" s="200" t="str">
        <f>IF(D345="","",VLOOKUP(F345,製品マスタ!$G$5:$L$4999,6,FALSE))</f>
        <v/>
      </c>
      <c r="J345" s="30"/>
      <c r="K345" s="200" t="str">
        <f>IF(D345="","",VLOOKUP(D345,契約台帳!$A$3:$L$4986,12,FALSE))</f>
        <v/>
      </c>
      <c r="L345" s="200" t="str">
        <f>IF(D345="","",INDEX(製品マスタ!$Q$5:$Q$4999,MATCH(F345&amp;K345,製品マスタ!$AO$5:$AO$4999,0)))</f>
        <v/>
      </c>
      <c r="M345" s="37"/>
      <c r="N345" s="37"/>
      <c r="O345" s="45"/>
      <c r="P345" s="54"/>
      <c r="Q345" s="260" t="str">
        <f>IF(D345="","",IF(J345="リード付け",M345,VLOOKUP(D345,契約台帳!$A$3:$N$4986,14,FALSE)))</f>
        <v/>
      </c>
      <c r="R345" s="261" t="str">
        <f>IF(D345="","",IF(J345="リード付け",M345,VLOOKUP(D345,契約台帳!$A$3:$O$4986,15,FALSE)))</f>
        <v/>
      </c>
      <c r="S345" s="261" t="str">
        <f>IF(D345="","",IF(J345="リード付け",N345,VLOOKUP(D345,契約台帳!$A$3:$P$4986,16,FALSE)))</f>
        <v/>
      </c>
      <c r="T345" s="38"/>
      <c r="U345" s="261" t="str">
        <f ca="1">IF(D345="","",IF(OFFSET(D345,-2,0)=D345,"",VLOOKUP(D345,契約台帳!$A$3:$R$4986,18,FALSE)))</f>
        <v/>
      </c>
      <c r="V345" s="256" t="str">
        <f>IF(J345="巻返し",VLOOKUP(F345&amp;K345&amp;M345,製品マスタ!$M$5:$AD$4999,18,FALSE),IF(J345="リード付け","原反コア",IF(J345="スリット",VLOOKUP(F345&amp;K345&amp;Q345,製品マスタ!$N$5:$AD$4999,17,FALSE),"")))</f>
        <v/>
      </c>
      <c r="W345" s="256" t="str">
        <f>IF(J345="巻返し",VLOOKUP(F345&amp;K345&amp;M345,製品マスタ!$M$5:$AE$4999,19,FALSE),IF(J345="リード付け","-",IF(J345="スリット",VLOOKUP(F345&amp;K345&amp;Q345,製品マスタ!$N$5:$AE$4999,18,FALSE),"")))</f>
        <v/>
      </c>
      <c r="X345" s="256" t="str">
        <f>IF(D345="","",VLOOKUP(D345,契約台帳!$A$3:$Q$4986,17,FALSE))</f>
        <v/>
      </c>
      <c r="Y345" s="256" t="str">
        <f>IF(D345="","",VLOOKUP(D345,契約台帳!$A$3:$E$4986,5,FALSE))</f>
        <v/>
      </c>
      <c r="Z345" s="54"/>
      <c r="AA345" s="200" t="str">
        <f>IFERROR(VLOOKUP(F345&amp;K345&amp;M345,製品マスタ!$M$5:$AM$4999,27,FALSE),"")</f>
        <v/>
      </c>
      <c r="AB345" s="31"/>
      <c r="AC345" s="184"/>
      <c r="AD345" s="51"/>
      <c r="AE345" s="52"/>
      <c r="AF345" s="41"/>
      <c r="AG345" s="45"/>
      <c r="AH345" s="28"/>
      <c r="AI345" s="28"/>
      <c r="AJ345" s="28"/>
      <c r="AK345" s="28"/>
      <c r="AL345" s="12"/>
      <c r="AM345" s="12"/>
      <c r="AN345" s="12"/>
      <c r="AO345" s="12"/>
      <c r="AP345" s="12"/>
      <c r="AQ345" s="13"/>
      <c r="AR345" s="14"/>
    </row>
    <row r="346" spans="1:44" s="16" customFormat="1" ht="30.95" hidden="1" customHeight="1" x14ac:dyDescent="0.2">
      <c r="A346" s="35" t="s">
        <v>1094</v>
      </c>
      <c r="B346" s="36" t="s">
        <v>1085</v>
      </c>
      <c r="C346" s="43"/>
      <c r="D346" s="29">
        <v>3706175</v>
      </c>
      <c r="E346" s="29">
        <v>4151344</v>
      </c>
      <c r="F346" s="255" t="str">
        <f>IF(D346="","",VLOOKUP(D346,契約台帳!$A$3:$K$4986,6,FALSE)&amp;VLOOKUP(D346,契約台帳!$A$3:$K$4986,7,FALSE)&amp;VLOOKUP(D346,契約台帳!$A$3:$K$4986,8,FALSE)&amp;VLOOKUP(D346,契約台帳!$A$3:$K$4986,9,FALSE)&amp;VLOOKUP(D346,契約台帳!$A$3:$K$4986,11,FALSE))</f>
        <v>3SNMLBMNNGKBF</v>
      </c>
      <c r="G346" s="256" t="str">
        <f>IF(D346="","",VLOOKUP(F346,製品マスタ!$G$5:$H$4999,2,FALSE))</f>
        <v>S</v>
      </c>
      <c r="H346" s="256" t="str">
        <f>IF(D346="","",VLOOKUP(F346,製品マスタ!$G$5:$K$4999,5,FALSE))</f>
        <v>MNNGKBF</v>
      </c>
      <c r="I346" s="200" t="str">
        <f>IF(D346="","",VLOOKUP(F346,製品マスタ!$G$5:$L$4999,6,FALSE))</f>
        <v>メタルミー　ニューネーマー銀消　Ｂ</v>
      </c>
      <c r="J346" s="30" t="s">
        <v>447</v>
      </c>
      <c r="K346" s="200">
        <f>IF(D346="","",VLOOKUP(D346,契約台帳!$A$3:$L$4986,12,FALSE))</f>
        <v>50</v>
      </c>
      <c r="L346" s="200" t="str">
        <f>IF(D346="","",INDEX(製品マスタ!$Q$5:$Q$4999,MATCH(F346&amp;K346,製品マスタ!$AO$5:$AO$4999,0)))</f>
        <v>X44</v>
      </c>
      <c r="M346" s="37">
        <v>1000</v>
      </c>
      <c r="N346" s="37">
        <v>12000</v>
      </c>
      <c r="O346" s="45">
        <v>2</v>
      </c>
      <c r="P346" s="54"/>
      <c r="Q346" s="260">
        <f>IF(D346="","",IF(J346="リード付け",M346,VLOOKUP(D346,契約台帳!$A$3:$N$4986,14,FALSE)))</f>
        <v>1000</v>
      </c>
      <c r="R346" s="261">
        <f>IF(D346="","",IF(J346="リード付け",M346,VLOOKUP(D346,契約台帳!$A$3:$O$4986,15,FALSE)))</f>
        <v>1000</v>
      </c>
      <c r="S346" s="261">
        <f>IF(D346="","",IF(J346="リード付け",N346,VLOOKUP(D346,契約台帳!$A$3:$P$4986,16,FALSE)))</f>
        <v>4000</v>
      </c>
      <c r="T346" s="38">
        <v>6</v>
      </c>
      <c r="U346" s="261">
        <f ca="1">IF(D346="","",IF(OFFSET(D346,-2,0)=D346,"",VLOOKUP(D346,契約台帳!$A$3:$R$4986,18,FALSE)))</f>
        <v>8</v>
      </c>
      <c r="V346" s="256" t="str">
        <f>IF(J346="巻返し",VLOOKUP(F346&amp;K346&amp;M346,製品マスタ!$M$5:$AD$4999,18,FALSE),IF(J346="リード付け","原反コア",IF(J346="スリット",VLOOKUP(F346&amp;K346&amp;Q346,製品マスタ!$N$5:$AD$4999,17,FALSE),"")))</f>
        <v>6ｲﾝﾁSｺｱ</v>
      </c>
      <c r="W346" s="256">
        <f>IF(J346="巻返し",VLOOKUP(F346&amp;K346&amp;M346,製品マスタ!$M$5:$AE$4999,19,FALSE),IF(J346="リード付け","-",IF(J346="スリット",VLOOKUP(F346&amp;K346&amp;Q346,製品マスタ!$N$5:$AE$4999,18,FALSE),"")))</f>
        <v>1005</v>
      </c>
      <c r="X346" s="256">
        <f>IF(D346="","",VLOOKUP(D346,契約台帳!$A$3:$Q$4986,17,FALSE))</f>
        <v>2</v>
      </c>
      <c r="Y346" s="256" t="str">
        <f>IF(D346="","",VLOOKUP(D346,契約台帳!$A$3:$E$4986,5,FALSE))</f>
        <v>リンテック㈱</v>
      </c>
      <c r="Z346" s="54">
        <v>45043</v>
      </c>
      <c r="AA346" s="200" t="str">
        <f>IFERROR(VLOOKUP(F346&amp;K346&amp;M346,製品マスタ!$M$5:$AM$4999,27,FALSE),"")</f>
        <v>原反ケース再利用</v>
      </c>
      <c r="AB346" s="31"/>
      <c r="AC346" s="184"/>
      <c r="AD346" s="51" t="str">
        <f>IF(F346="","",+F346&amp;K346)</f>
        <v>3SNMLBMNNGKBF50</v>
      </c>
      <c r="AE346" s="52">
        <f>+M346*N346*O346/1000</f>
        <v>24000</v>
      </c>
      <c r="AF346" s="41">
        <f>IF(AD346="","",VLOOKUP(AD346,原価マスタ!$A$2:$AJ$1693,13,FALSE))</f>
        <v>99</v>
      </c>
      <c r="AG346" s="45">
        <f>IF(AF346="","",+AE346*AF346/100)</f>
        <v>23760</v>
      </c>
      <c r="AH346" s="28"/>
      <c r="AI346" s="28"/>
      <c r="AJ346" s="28"/>
      <c r="AK346" s="28"/>
      <c r="AL346" s="12"/>
      <c r="AM346" s="12"/>
      <c r="AN346" s="12"/>
      <c r="AO346" s="12"/>
      <c r="AP346" s="12"/>
      <c r="AQ346" s="13"/>
      <c r="AR346" s="14"/>
    </row>
    <row r="347" spans="1:44" s="16" customFormat="1" ht="30.95" hidden="1" customHeight="1" x14ac:dyDescent="0.2">
      <c r="A347" s="35"/>
      <c r="B347" s="36"/>
      <c r="C347" s="43"/>
      <c r="D347" s="29"/>
      <c r="E347" s="29"/>
      <c r="F347" s="255" t="str">
        <f>IF(D347="","",VLOOKUP(D347,契約台帳!$A$3:$K$4986,6,FALSE)&amp;VLOOKUP(D347,契約台帳!$A$3:$K$4986,7,FALSE)&amp;VLOOKUP(D347,契約台帳!$A$3:$K$4986,8,FALSE)&amp;VLOOKUP(D347,契約台帳!$A$3:$K$4986,9,FALSE)&amp;VLOOKUP(D347,契約台帳!$A$3:$K$4986,11,FALSE))</f>
        <v/>
      </c>
      <c r="G347" s="256" t="str">
        <f>IF(D347="","",VLOOKUP(F347,製品マスタ!$G$5:$H$4999,2,FALSE))</f>
        <v/>
      </c>
      <c r="H347" s="256" t="str">
        <f>IF(D347="","",VLOOKUP(F347,製品マスタ!$G$5:$K$4999,5,FALSE))</f>
        <v/>
      </c>
      <c r="I347" s="200" t="str">
        <f>IF(D347="","",VLOOKUP(F347,製品マスタ!$G$5:$L$4999,6,FALSE))</f>
        <v/>
      </c>
      <c r="J347" s="30"/>
      <c r="K347" s="200" t="str">
        <f>IF(D347="","",VLOOKUP(D347,契約台帳!$A$3:$L$4986,12,FALSE))</f>
        <v/>
      </c>
      <c r="L347" s="200" t="str">
        <f>IF(D347="","",INDEX(製品マスタ!$Q$5:$Q$4999,MATCH(F347&amp;K347,製品マスタ!$AO$5:$AO$4999,0)))</f>
        <v/>
      </c>
      <c r="M347" s="37"/>
      <c r="N347" s="37"/>
      <c r="O347" s="45"/>
      <c r="P347" s="54"/>
      <c r="Q347" s="260" t="str">
        <f>IF(D347="","",IF(J347="リード付け",M347,VLOOKUP(D347,契約台帳!$A$3:$N$4986,14,FALSE)))</f>
        <v/>
      </c>
      <c r="R347" s="261" t="str">
        <f>IF(D347="","",IF(J347="リード付け",M347,VLOOKUP(D347,契約台帳!$A$3:$O$4986,15,FALSE)))</f>
        <v/>
      </c>
      <c r="S347" s="261" t="str">
        <f>IF(D347="","",IF(J347="リード付け",N347,VLOOKUP(D347,契約台帳!$A$3:$P$4986,16,FALSE)))</f>
        <v/>
      </c>
      <c r="T347" s="38"/>
      <c r="U347" s="261" t="str">
        <f ca="1">IF(D347="","",IF(OFFSET(D347,-2,0)=D347,"",VLOOKUP(D347,契約台帳!$A$3:$R$4986,18,FALSE)))</f>
        <v/>
      </c>
      <c r="V347" s="256" t="str">
        <f>IF(J347="巻返し",VLOOKUP(F347&amp;K347&amp;M347,製品マスタ!$M$5:$AD$4999,18,FALSE),IF(J347="リード付け","原反コア",IF(J347="スリット",VLOOKUP(F347&amp;K347&amp;Q347,製品マスタ!$N$5:$AD$4999,17,FALSE),"")))</f>
        <v/>
      </c>
      <c r="W347" s="256" t="str">
        <f>IF(J347="巻返し",VLOOKUP(F347&amp;K347&amp;M347,製品マスタ!$M$5:$AE$4999,19,FALSE),IF(J347="リード付け","-",IF(J347="スリット",VLOOKUP(F347&amp;K347&amp;Q347,製品マスタ!$N$5:$AE$4999,18,FALSE),"")))</f>
        <v/>
      </c>
      <c r="X347" s="256" t="str">
        <f>IF(D347="","",VLOOKUP(D347,契約台帳!$A$3:$Q$4986,17,FALSE))</f>
        <v/>
      </c>
      <c r="Y347" s="256" t="str">
        <f>IF(D347="","",VLOOKUP(D347,契約台帳!$A$3:$E$4986,5,FALSE))</f>
        <v/>
      </c>
      <c r="Z347" s="54"/>
      <c r="AA347" s="200" t="str">
        <f>IFERROR(VLOOKUP(F347&amp;K347&amp;M347,製品マスタ!$M$5:$AM$4999,27,FALSE),"")</f>
        <v/>
      </c>
      <c r="AB347" s="31"/>
      <c r="AC347" s="184"/>
      <c r="AD347" s="51"/>
      <c r="AE347" s="52"/>
      <c r="AF347" s="41"/>
      <c r="AG347" s="45"/>
      <c r="AH347" s="28"/>
      <c r="AI347" s="28"/>
      <c r="AJ347" s="28"/>
      <c r="AK347" s="28"/>
      <c r="AL347" s="12"/>
      <c r="AM347" s="12"/>
      <c r="AN347" s="12"/>
      <c r="AO347" s="12"/>
      <c r="AP347" s="12"/>
      <c r="AQ347" s="13"/>
      <c r="AR347" s="14"/>
    </row>
    <row r="348" spans="1:44" s="16" customFormat="1" ht="30.95" hidden="1" customHeight="1" x14ac:dyDescent="0.2">
      <c r="A348" s="35"/>
      <c r="B348" s="36"/>
      <c r="C348" s="43"/>
      <c r="D348" s="29">
        <v>3706175</v>
      </c>
      <c r="E348" s="29">
        <v>4151344</v>
      </c>
      <c r="F348" s="255" t="str">
        <f>IF(D348="","",VLOOKUP(D348,契約台帳!$A$3:$K$4986,6,FALSE)&amp;VLOOKUP(D348,契約台帳!$A$3:$K$4986,7,FALSE)&amp;VLOOKUP(D348,契約台帳!$A$3:$K$4986,8,FALSE)&amp;VLOOKUP(D348,契約台帳!$A$3:$K$4986,9,FALSE)&amp;VLOOKUP(D348,契約台帳!$A$3:$K$4986,11,FALSE))</f>
        <v>3SNMLBMNNGKBF</v>
      </c>
      <c r="G348" s="256" t="str">
        <f>IF(D348="","",VLOOKUP(F348,製品マスタ!$G$5:$H$4999,2,FALSE))</f>
        <v>S</v>
      </c>
      <c r="H348" s="256" t="str">
        <f>IF(D348="","",VLOOKUP(F348,製品マスタ!$G$5:$K$4999,5,FALSE))</f>
        <v>MNNGKBF</v>
      </c>
      <c r="I348" s="200" t="str">
        <f>IF(D348="","",VLOOKUP(F348,製品マスタ!$G$5:$L$4999,6,FALSE))</f>
        <v>メタルミー　ニューネーマー銀消　Ｂ</v>
      </c>
      <c r="J348" s="30" t="s">
        <v>447</v>
      </c>
      <c r="K348" s="200">
        <f>IF(D348="","",VLOOKUP(D348,契約台帳!$A$3:$L$4986,12,FALSE))</f>
        <v>50</v>
      </c>
      <c r="L348" s="200" t="str">
        <f>IF(D348="","",INDEX(製品マスタ!$Q$5:$Q$4999,MATCH(F348&amp;K348,製品マスタ!$AO$5:$AO$4999,0)))</f>
        <v>X44</v>
      </c>
      <c r="M348" s="37">
        <v>1000</v>
      </c>
      <c r="N348" s="37">
        <v>8000</v>
      </c>
      <c r="O348" s="45">
        <v>1</v>
      </c>
      <c r="P348" s="54"/>
      <c r="Q348" s="260">
        <f>IF(D348="","",IF(J348="リード付け",M348,VLOOKUP(D348,契約台帳!$A$3:$N$4986,14,FALSE)))</f>
        <v>1000</v>
      </c>
      <c r="R348" s="261">
        <f>IF(D348="","",IF(J348="リード付け",M348,VLOOKUP(D348,契約台帳!$A$3:$O$4986,15,FALSE)))</f>
        <v>1000</v>
      </c>
      <c r="S348" s="261">
        <f>IF(D348="","",IF(J348="リード付け",N348,VLOOKUP(D348,契約台帳!$A$3:$P$4986,16,FALSE)))</f>
        <v>4000</v>
      </c>
      <c r="T348" s="38">
        <v>2</v>
      </c>
      <c r="U348" s="261" t="str">
        <f ca="1">IF(D348="","",IF(OFFSET(D348,-2,0)=D348,"",VLOOKUP(D348,契約台帳!$A$3:$R$4986,18,FALSE)))</f>
        <v/>
      </c>
      <c r="V348" s="256" t="str">
        <f>IF(J348="巻返し",VLOOKUP(F348&amp;K348&amp;M348,製品マスタ!$M$5:$AD$4999,18,FALSE),IF(J348="リード付け","原反コア",IF(J348="スリット",VLOOKUP(F348&amp;K348&amp;Q348,製品マスタ!$N$5:$AD$4999,17,FALSE),"")))</f>
        <v>6ｲﾝﾁSｺｱ</v>
      </c>
      <c r="W348" s="256">
        <f>IF(J348="巻返し",VLOOKUP(F348&amp;K348&amp;M348,製品マスタ!$M$5:$AE$4999,19,FALSE),IF(J348="リード付け","-",IF(J348="スリット",VLOOKUP(F348&amp;K348&amp;Q348,製品マスタ!$N$5:$AE$4999,18,FALSE),"")))</f>
        <v>1005</v>
      </c>
      <c r="X348" s="256">
        <f>IF(D348="","",VLOOKUP(D348,契約台帳!$A$3:$Q$4986,17,FALSE))</f>
        <v>2</v>
      </c>
      <c r="Y348" s="256" t="str">
        <f>IF(D348="","",VLOOKUP(D348,契約台帳!$A$3:$E$4986,5,FALSE))</f>
        <v>リンテック㈱</v>
      </c>
      <c r="Z348" s="54">
        <v>45043</v>
      </c>
      <c r="AA348" s="200" t="str">
        <f>IFERROR(VLOOKUP(F348&amp;K348&amp;M348,製品マスタ!$M$5:$AM$4999,27,FALSE),"")</f>
        <v>原反ケース再利用</v>
      </c>
      <c r="AB348" s="31"/>
      <c r="AC348" s="184"/>
      <c r="AD348" s="51" t="str">
        <f>IF(F348="","",+F348&amp;K348)</f>
        <v>3SNMLBMNNGKBF50</v>
      </c>
      <c r="AE348" s="52">
        <f>+M348*N348*O348/1000</f>
        <v>8000</v>
      </c>
      <c r="AF348" s="41">
        <f>IF(AD348="","",VLOOKUP(AD348,原価マスタ!$A$2:$AJ$1693,13,FALSE))</f>
        <v>99</v>
      </c>
      <c r="AG348" s="45">
        <f>IF(AF348="","",+AE348*AF348/100)</f>
        <v>7920</v>
      </c>
      <c r="AH348" s="28"/>
      <c r="AI348" s="28"/>
      <c r="AJ348" s="28"/>
      <c r="AK348" s="28"/>
      <c r="AL348" s="12"/>
      <c r="AM348" s="12"/>
      <c r="AN348" s="12"/>
      <c r="AO348" s="12"/>
      <c r="AP348" s="12"/>
      <c r="AQ348" s="13"/>
      <c r="AR348" s="14"/>
    </row>
    <row r="349" spans="1:44" s="16" customFormat="1" ht="30.95" hidden="1" customHeight="1" x14ac:dyDescent="0.2">
      <c r="A349" s="35"/>
      <c r="B349" s="36"/>
      <c r="C349" s="43"/>
      <c r="D349" s="29"/>
      <c r="E349" s="29"/>
      <c r="F349" s="255" t="str">
        <f>IF(D349="","",VLOOKUP(D349,契約台帳!$A$3:$K$4986,6,FALSE)&amp;VLOOKUP(D349,契約台帳!$A$3:$K$4986,7,FALSE)&amp;VLOOKUP(D349,契約台帳!$A$3:$K$4986,8,FALSE)&amp;VLOOKUP(D349,契約台帳!$A$3:$K$4986,9,FALSE)&amp;VLOOKUP(D349,契約台帳!$A$3:$K$4986,11,FALSE))</f>
        <v/>
      </c>
      <c r="G349" s="256" t="str">
        <f>IF(D349="","",VLOOKUP(F349,製品マスタ!$G$5:$H$4999,2,FALSE))</f>
        <v/>
      </c>
      <c r="H349" s="256" t="str">
        <f>IF(D349="","",VLOOKUP(F349,製品マスタ!$G$5:$K$4999,5,FALSE))</f>
        <v/>
      </c>
      <c r="I349" s="200" t="str">
        <f>IF(D349="","",VLOOKUP(F349,製品マスタ!$G$5:$L$4999,6,FALSE))</f>
        <v/>
      </c>
      <c r="J349" s="30"/>
      <c r="K349" s="200" t="str">
        <f>IF(D349="","",VLOOKUP(D349,契約台帳!$A$3:$L$4986,12,FALSE))</f>
        <v/>
      </c>
      <c r="L349" s="200" t="str">
        <f>IF(D349="","",INDEX(製品マスタ!$Q$5:$Q$4999,MATCH(F349&amp;K349,製品マスタ!$AO$5:$AO$4999,0)))</f>
        <v/>
      </c>
      <c r="M349" s="37"/>
      <c r="N349" s="37"/>
      <c r="O349" s="45"/>
      <c r="P349" s="54"/>
      <c r="Q349" s="260" t="str">
        <f>IF(D349="","",IF(J349="リード付け",M349,VLOOKUP(D349,契約台帳!$A$3:$N$4986,14,FALSE)))</f>
        <v/>
      </c>
      <c r="R349" s="261" t="str">
        <f>IF(D349="","",IF(J349="リード付け",M349,VLOOKUP(D349,契約台帳!$A$3:$O$4986,15,FALSE)))</f>
        <v/>
      </c>
      <c r="S349" s="261" t="str">
        <f>IF(D349="","",IF(J349="リード付け",N349,VLOOKUP(D349,契約台帳!$A$3:$P$4986,16,FALSE)))</f>
        <v/>
      </c>
      <c r="T349" s="38"/>
      <c r="U349" s="261" t="str">
        <f ca="1">IF(D349="","",IF(OFFSET(D349,-2,0)=D349,"",VLOOKUP(D349,契約台帳!$A$3:$R$4986,18,FALSE)))</f>
        <v/>
      </c>
      <c r="V349" s="256" t="str">
        <f>IF(J349="巻返し",VLOOKUP(F349&amp;K349&amp;M349,製品マスタ!$M$5:$AD$4999,18,FALSE),IF(J349="リード付け","原反コア",IF(J349="スリット",VLOOKUP(F349&amp;K349&amp;Q349,製品マスタ!$N$5:$AD$4999,17,FALSE),"")))</f>
        <v/>
      </c>
      <c r="W349" s="256" t="str">
        <f>IF(J349="巻返し",VLOOKUP(F349&amp;K349&amp;M349,製品マスタ!$M$5:$AE$4999,19,FALSE),IF(J349="リード付け","-",IF(J349="スリット",VLOOKUP(F349&amp;K349&amp;Q349,製品マスタ!$N$5:$AE$4999,18,FALSE),"")))</f>
        <v/>
      </c>
      <c r="X349" s="256" t="str">
        <f>IF(D349="","",VLOOKUP(D349,契約台帳!$A$3:$Q$4986,17,FALSE))</f>
        <v/>
      </c>
      <c r="Y349" s="256" t="str">
        <f>IF(D349="","",VLOOKUP(D349,契約台帳!$A$3:$E$4986,5,FALSE))</f>
        <v/>
      </c>
      <c r="Z349" s="54"/>
      <c r="AA349" s="200" t="str">
        <f>IFERROR(VLOOKUP(F349&amp;K349&amp;M349,製品マスタ!$M$5:$AM$4999,27,FALSE),"")</f>
        <v/>
      </c>
      <c r="AB349" s="31"/>
      <c r="AC349" s="184"/>
      <c r="AD349" s="51"/>
      <c r="AE349" s="52"/>
      <c r="AF349" s="41"/>
      <c r="AG349" s="45"/>
      <c r="AH349" s="28"/>
      <c r="AI349" s="28"/>
      <c r="AJ349" s="28"/>
      <c r="AK349" s="28"/>
      <c r="AL349" s="12"/>
      <c r="AM349" s="12"/>
      <c r="AN349" s="12"/>
      <c r="AO349" s="12"/>
      <c r="AP349" s="12"/>
      <c r="AQ349" s="13"/>
      <c r="AR349" s="14"/>
    </row>
    <row r="350" spans="1:44" s="16" customFormat="1" ht="30.95" hidden="1" customHeight="1" x14ac:dyDescent="0.2">
      <c r="A350" s="35"/>
      <c r="B350" s="36"/>
      <c r="C350" s="43"/>
      <c r="D350" s="29">
        <v>3704005</v>
      </c>
      <c r="E350" s="29">
        <v>4151340</v>
      </c>
      <c r="F350" s="255" t="str">
        <f>IF(D350="","",VLOOKUP(D350,契約台帳!$A$3:$K$4986,6,FALSE)&amp;VLOOKUP(D350,契約台帳!$A$3:$K$4986,7,FALSE)&amp;VLOOKUP(D350,契約台帳!$A$3:$K$4986,8,FALSE)&amp;VLOOKUP(D350,契約台帳!$A$3:$K$4986,9,FALSE)&amp;VLOOKUP(D350,契約台帳!$A$3:$K$4986,11,FALSE))</f>
        <v>3TNDMSX42GPC</v>
      </c>
      <c r="G350" s="256" t="str">
        <f>IF(D350="","",VLOOKUP(F350,製品マスタ!$G$5:$H$4999,2,FALSE))</f>
        <v>T</v>
      </c>
      <c r="H350" s="256" t="str">
        <f>IF(D350="","",VLOOKUP(F350,製品マスタ!$G$5:$K$4999,5,FALSE))</f>
        <v>X42GPC</v>
      </c>
      <c r="I350" s="200" t="str">
        <f>IF(D350="","",VLOOKUP(F350,製品マスタ!$G$5:$L$4999,6,FALSE))</f>
        <v>ＤＭＳ（Ｘ４２Ｇ）ＰＣ</v>
      </c>
      <c r="J350" s="30" t="s">
        <v>1072</v>
      </c>
      <c r="K350" s="200">
        <f>IF(D350="","",VLOOKUP(D350,契約台帳!$A$3:$L$4986,12,FALSE))</f>
        <v>50</v>
      </c>
      <c r="L350" s="200" t="str">
        <f>IF(D350="","",INDEX(製品マスタ!$Q$5:$Q$4999,MATCH(F350&amp;K350,製品マスタ!$AO$5:$AO$4999,0)))</f>
        <v>X42G</v>
      </c>
      <c r="M350" s="37">
        <v>1360</v>
      </c>
      <c r="N350" s="37">
        <v>4100</v>
      </c>
      <c r="O350" s="45">
        <v>1</v>
      </c>
      <c r="P350" s="54"/>
      <c r="Q350" s="260">
        <f>IF(D350="","",IF(J350="リード付け",M350,VLOOKUP(D350,契約台帳!$A$3:$N$4986,14,FALSE)))</f>
        <v>680</v>
      </c>
      <c r="R350" s="261">
        <f>IF(D350="","",IF(J350="リード付け",M350,VLOOKUP(D350,契約台帳!$A$3:$O$4986,15,FALSE)))</f>
        <v>680</v>
      </c>
      <c r="S350" s="261">
        <f>IF(D350="","",IF(J350="リード付け",N350,VLOOKUP(D350,契約台帳!$A$3:$P$4986,16,FALSE)))</f>
        <v>2000</v>
      </c>
      <c r="T350" s="38">
        <v>4</v>
      </c>
      <c r="U350" s="261">
        <f ca="1">IF(D350="","",IF(OFFSET(D350,-2,0)=D350,"",VLOOKUP(D350,契約台帳!$A$3:$R$4986,18,FALSE)))</f>
        <v>4</v>
      </c>
      <c r="V350" s="256" t="str">
        <f>IF(J350="巻返し",VLOOKUP(F350&amp;K350&amp;M350,製品マスタ!$M$5:$AD$4999,18,FALSE),IF(J350="リード付け","原反コア",IF(J350="スリット",VLOOKUP(F350&amp;K350&amp;Q350,製品マスタ!$N$5:$AD$4999,17,FALSE),"")))</f>
        <v>3ｲﾝﾁMｺｱ</v>
      </c>
      <c r="W350" s="256">
        <f>IF(J350="巻返し",VLOOKUP(F350&amp;K350&amp;M350,製品マスタ!$M$5:$AE$4999,19,FALSE),IF(J350="リード付け","-",IF(J350="スリット",VLOOKUP(F350&amp;K350&amp;Q350,製品マスタ!$N$5:$AE$4999,18,FALSE),"")))</f>
        <v>690</v>
      </c>
      <c r="X350" s="256">
        <f>IF(D350="","",VLOOKUP(D350,契約台帳!$A$3:$Q$4986,17,FALSE))</f>
        <v>2</v>
      </c>
      <c r="Y350" s="256" t="str">
        <f>IF(D350="","",VLOOKUP(D350,契約台帳!$A$3:$E$4986,5,FALSE))</f>
        <v>㈱ポラテクノ</v>
      </c>
      <c r="Z350" s="54">
        <v>45043</v>
      </c>
      <c r="AA350" s="200" t="s">
        <v>774</v>
      </c>
      <c r="AB350" s="31"/>
      <c r="AC350" s="184"/>
      <c r="AD350" s="51"/>
      <c r="AE350" s="52"/>
      <c r="AF350" s="41"/>
      <c r="AG350" s="45"/>
      <c r="AH350" s="28"/>
      <c r="AI350" s="28"/>
      <c r="AJ350" s="28"/>
      <c r="AK350" s="28"/>
      <c r="AL350" s="12"/>
      <c r="AM350" s="12"/>
      <c r="AN350" s="12"/>
      <c r="AO350" s="12"/>
      <c r="AP350" s="12"/>
      <c r="AQ350" s="13"/>
      <c r="AR350" s="14"/>
    </row>
    <row r="351" spans="1:44" s="16" customFormat="1" ht="30.95" hidden="1" customHeight="1" x14ac:dyDescent="0.2">
      <c r="A351" s="35"/>
      <c r="B351" s="36"/>
      <c r="C351" s="43"/>
      <c r="D351" s="29"/>
      <c r="E351" s="29"/>
      <c r="F351" s="255" t="str">
        <f>IF(D351="","",VLOOKUP(D351,契約台帳!$A$3:$K$4986,6,FALSE)&amp;VLOOKUP(D351,契約台帳!$A$3:$K$4986,7,FALSE)&amp;VLOOKUP(D351,契約台帳!$A$3:$K$4986,8,FALSE)&amp;VLOOKUP(D351,契約台帳!$A$3:$K$4986,9,FALSE)&amp;VLOOKUP(D351,契約台帳!$A$3:$K$4986,11,FALSE))</f>
        <v/>
      </c>
      <c r="G351" s="256" t="str">
        <f>IF(D351="","",VLOOKUP(F351,製品マスタ!$G$5:$H$4999,2,FALSE))</f>
        <v/>
      </c>
      <c r="H351" s="256" t="str">
        <f>IF(D351="","",VLOOKUP(F351,製品マスタ!$G$5:$K$4999,5,FALSE))</f>
        <v/>
      </c>
      <c r="I351" s="200" t="str">
        <f>IF(D351="","",VLOOKUP(F351,製品マスタ!$G$5:$L$4999,6,FALSE))</f>
        <v/>
      </c>
      <c r="J351" s="30"/>
      <c r="K351" s="200" t="str">
        <f>IF(D351="","",VLOOKUP(D351,契約台帳!$A$3:$L$4986,12,FALSE))</f>
        <v/>
      </c>
      <c r="L351" s="200" t="str">
        <f>IF(D351="","",INDEX(製品マスタ!$Q$5:$Q$4999,MATCH(F351&amp;K351,製品マスタ!$AO$5:$AO$4999,0)))</f>
        <v/>
      </c>
      <c r="M351" s="37"/>
      <c r="N351" s="37"/>
      <c r="O351" s="45"/>
      <c r="P351" s="54"/>
      <c r="Q351" s="260" t="str">
        <f>IF(D351="","",IF(J351="リード付け",M351,VLOOKUP(D351,契約台帳!$A$3:$N$4986,14,FALSE)))</f>
        <v/>
      </c>
      <c r="R351" s="261" t="str">
        <f>IF(D351="","",IF(J351="リード付け",M351,VLOOKUP(D351,契約台帳!$A$3:$O$4986,15,FALSE)))</f>
        <v/>
      </c>
      <c r="S351" s="261" t="str">
        <f>IF(D351="","",IF(J351="リード付け",N351,VLOOKUP(D351,契約台帳!$A$3:$P$4986,16,FALSE)))</f>
        <v/>
      </c>
      <c r="T351" s="38"/>
      <c r="U351" s="261" t="str">
        <f ca="1">IF(D351="","",IF(OFFSET(D351,-2,0)=D351,"",VLOOKUP(D351,契約台帳!$A$3:$R$4986,18,FALSE)))</f>
        <v/>
      </c>
      <c r="V351" s="256" t="str">
        <f>IF(J351="巻返し",VLOOKUP(F351&amp;K351&amp;M351,製品マスタ!$M$5:$AD$4999,18,FALSE),IF(J351="リード付け","原反コア",IF(J351="スリット",VLOOKUP(F351&amp;K351&amp;Q351,製品マスタ!$N$5:$AD$4999,17,FALSE),"")))</f>
        <v/>
      </c>
      <c r="W351" s="256" t="str">
        <f>IF(J351="巻返し",VLOOKUP(F351&amp;K351&amp;M351,製品マスタ!$M$5:$AE$4999,19,FALSE),IF(J351="リード付け","-",IF(J351="スリット",VLOOKUP(F351&amp;K351&amp;Q351,製品マスタ!$N$5:$AE$4999,18,FALSE),"")))</f>
        <v/>
      </c>
      <c r="X351" s="256" t="str">
        <f>IF(D351="","",VLOOKUP(D351,契約台帳!$A$3:$Q$4986,17,FALSE))</f>
        <v/>
      </c>
      <c r="Y351" s="256" t="str">
        <f>IF(D351="","",VLOOKUP(D351,契約台帳!$A$3:$E$4986,5,FALSE))</f>
        <v/>
      </c>
      <c r="Z351" s="54"/>
      <c r="AA351" s="200" t="str">
        <f>IFERROR(VLOOKUP(F351&amp;K351&amp;M351,製品マスタ!$M$5:$AM$4999,27,FALSE),"")</f>
        <v/>
      </c>
      <c r="AB351" s="31"/>
      <c r="AC351" s="184"/>
      <c r="AD351" s="51"/>
      <c r="AE351" s="52"/>
      <c r="AF351" s="41"/>
      <c r="AG351" s="45"/>
      <c r="AH351" s="28"/>
      <c r="AI351" s="28"/>
      <c r="AJ351" s="28"/>
      <c r="AK351" s="28"/>
      <c r="AL351" s="12"/>
      <c r="AM351" s="12"/>
      <c r="AN351" s="12"/>
      <c r="AO351" s="12"/>
      <c r="AP351" s="12"/>
      <c r="AQ351" s="13"/>
      <c r="AR351" s="14"/>
    </row>
    <row r="352" spans="1:44" s="16" customFormat="1" ht="30.95" hidden="1" customHeight="1" x14ac:dyDescent="0.2">
      <c r="A352" s="35" t="s">
        <v>1066</v>
      </c>
      <c r="B352" s="36" t="s">
        <v>688</v>
      </c>
      <c r="C352" s="43"/>
      <c r="D352" s="29"/>
      <c r="E352" s="29"/>
      <c r="F352" s="255" t="str">
        <f>IF(D352="","",VLOOKUP(D352,契約台帳!$A$3:$K$4986,6,FALSE)&amp;VLOOKUP(D352,契約台帳!$A$3:$K$4986,7,FALSE)&amp;VLOOKUP(D352,契約台帳!$A$3:$K$4986,8,FALSE)&amp;VLOOKUP(D352,契約台帳!$A$3:$K$4986,9,FALSE)&amp;VLOOKUP(D352,契約台帳!$A$3:$K$4986,11,FALSE))</f>
        <v/>
      </c>
      <c r="G352" s="256" t="str">
        <f>IF(D352="","",VLOOKUP(F352,製品マスタ!$G$5:$H$4999,2,FALSE))</f>
        <v/>
      </c>
      <c r="H352" s="256" t="str">
        <f>IF(D352="","",VLOOKUP(F352,製品マスタ!$G$5:$K$4999,5,FALSE))</f>
        <v/>
      </c>
      <c r="I352" s="200" t="str">
        <f>IF(D352="","",VLOOKUP(F352,製品マスタ!$G$5:$L$4999,6,FALSE))</f>
        <v/>
      </c>
      <c r="J352" s="30" t="s">
        <v>1075</v>
      </c>
      <c r="K352" s="200" t="str">
        <f>IF(D352="","",VLOOKUP(D352,契約台帳!$A$3:$L$4986,12,FALSE))</f>
        <v/>
      </c>
      <c r="L352" s="200" t="str">
        <f>IF(D352="","",INDEX(製品マスタ!$Q$5:$Q$4999,MATCH(F352&amp;K352,製品マスタ!$AO$5:$AO$4999,0)))</f>
        <v/>
      </c>
      <c r="M352" s="37"/>
      <c r="N352" s="37"/>
      <c r="O352" s="45"/>
      <c r="P352" s="54"/>
      <c r="Q352" s="260" t="str">
        <f>IF(D352="","",IF(J352="リード付け",M352,VLOOKUP(D352,契約台帳!$A$3:$N$4986,14,FALSE)))</f>
        <v/>
      </c>
      <c r="R352" s="261" t="str">
        <f>IF(D352="","",IF(J352="リード付け",M352,VLOOKUP(D352,契約台帳!$A$3:$O$4986,15,FALSE)))</f>
        <v/>
      </c>
      <c r="S352" s="261" t="str">
        <f>IF(D352="","",IF(J352="リード付け",N352,VLOOKUP(D352,契約台帳!$A$3:$P$4986,16,FALSE)))</f>
        <v/>
      </c>
      <c r="T352" s="38"/>
      <c r="U352" s="261" t="str">
        <f ca="1">IF(D352="","",IF(OFFSET(D352,-2,0)=D352,"",VLOOKUP(D352,契約台帳!$A$3:$R$4986,18,FALSE)))</f>
        <v/>
      </c>
      <c r="V352" s="256" t="str">
        <f>IF(J352="巻返し",VLOOKUP(F352&amp;K352&amp;M352,製品マスタ!$M$5:$AD$4999,18,FALSE),IF(J352="リード付け","原反コア",IF(J352="スリット",VLOOKUP(F352&amp;K352&amp;Q352,製品マスタ!$N$5:$AD$4999,17,FALSE),"")))</f>
        <v/>
      </c>
      <c r="W352" s="256" t="str">
        <f>IF(J352="巻返し",VLOOKUP(F352&amp;K352&amp;M352,製品マスタ!$M$5:$AE$4999,19,FALSE),IF(J352="リード付け","-",IF(J352="スリット",VLOOKUP(F352&amp;K352&amp;Q352,製品マスタ!$N$5:$AE$4999,18,FALSE),"")))</f>
        <v/>
      </c>
      <c r="X352" s="256" t="str">
        <f>IF(D352="","",VLOOKUP(D352,契約台帳!$A$3:$Q$4986,17,FALSE))</f>
        <v/>
      </c>
      <c r="Y352" s="256" t="str">
        <f>IF(D352="","",VLOOKUP(D352,契約台帳!$A$3:$E$4986,5,FALSE))</f>
        <v/>
      </c>
      <c r="Z352" s="54"/>
      <c r="AA352" s="200" t="str">
        <f>IFERROR(VLOOKUP(F352&amp;K352&amp;M352,製品マスタ!$M$5:$AM$4999,27,FALSE),"")</f>
        <v/>
      </c>
      <c r="AB352" s="31"/>
      <c r="AC352" s="184"/>
      <c r="AD352" s="51"/>
      <c r="AE352" s="52"/>
      <c r="AF352" s="41"/>
      <c r="AG352" s="45"/>
      <c r="AH352" s="28"/>
      <c r="AI352" s="28"/>
      <c r="AJ352" s="28"/>
      <c r="AK352" s="28"/>
      <c r="AL352" s="12"/>
      <c r="AM352" s="12"/>
      <c r="AN352" s="12"/>
      <c r="AO352" s="12"/>
      <c r="AP352" s="12"/>
      <c r="AQ352" s="13"/>
      <c r="AR352" s="14"/>
    </row>
    <row r="353" spans="1:44" s="16" customFormat="1" ht="30.95" hidden="1" customHeight="1" x14ac:dyDescent="0.2">
      <c r="A353" s="35"/>
      <c r="B353" s="36"/>
      <c r="C353" s="43"/>
      <c r="D353" s="29"/>
      <c r="E353" s="29"/>
      <c r="F353" s="255" t="str">
        <f>IF(D353="","",VLOOKUP(D353,契約台帳!$A$3:$K$4986,6,FALSE)&amp;VLOOKUP(D353,契約台帳!$A$3:$K$4986,7,FALSE)&amp;VLOOKUP(D353,契約台帳!$A$3:$K$4986,8,FALSE)&amp;VLOOKUP(D353,契約台帳!$A$3:$K$4986,9,FALSE)&amp;VLOOKUP(D353,契約台帳!$A$3:$K$4986,11,FALSE))</f>
        <v/>
      </c>
      <c r="G353" s="256" t="str">
        <f>IF(D353="","",VLOOKUP(F353,製品マスタ!$G$5:$H$4999,2,FALSE))</f>
        <v/>
      </c>
      <c r="H353" s="256" t="str">
        <f>IF(D353="","",VLOOKUP(F353,製品マスタ!$G$5:$K$4999,5,FALSE))</f>
        <v/>
      </c>
      <c r="I353" s="200" t="str">
        <f>IF(D353="","",VLOOKUP(F353,製品マスタ!$G$5:$L$4999,6,FALSE))</f>
        <v/>
      </c>
      <c r="J353" s="30"/>
      <c r="K353" s="200" t="str">
        <f>IF(D353="","",VLOOKUP(D353,契約台帳!$A$3:$L$4986,12,FALSE))</f>
        <v/>
      </c>
      <c r="L353" s="200" t="str">
        <f>IF(D353="","",INDEX(製品マスタ!$Q$5:$Q$4999,MATCH(F353&amp;K353,製品マスタ!$AO$5:$AO$4999,0)))</f>
        <v/>
      </c>
      <c r="M353" s="37"/>
      <c r="N353" s="37"/>
      <c r="O353" s="45"/>
      <c r="P353" s="54"/>
      <c r="Q353" s="260" t="str">
        <f>IF(D353="","",IF(J353="リード付け",M353,VLOOKUP(D353,契約台帳!$A$3:$N$4986,14,FALSE)))</f>
        <v/>
      </c>
      <c r="R353" s="261" t="str">
        <f>IF(D353="","",IF(J353="リード付け",M353,VLOOKUP(D353,契約台帳!$A$3:$O$4986,15,FALSE)))</f>
        <v/>
      </c>
      <c r="S353" s="261" t="str">
        <f>IF(D353="","",IF(J353="リード付け",N353,VLOOKUP(D353,契約台帳!$A$3:$P$4986,16,FALSE)))</f>
        <v/>
      </c>
      <c r="T353" s="38"/>
      <c r="U353" s="261" t="str">
        <f ca="1">IF(D353="","",IF(OFFSET(D353,-2,0)=D353,"",VLOOKUP(D353,契約台帳!$A$3:$R$4986,18,FALSE)))</f>
        <v/>
      </c>
      <c r="V353" s="256" t="str">
        <f>IF(J353="巻返し",VLOOKUP(F353&amp;K353&amp;M353,製品マスタ!$M$5:$AD$4999,18,FALSE),IF(J353="リード付け","原反コア",IF(J353="スリット",VLOOKUP(F353&amp;K353&amp;Q353,製品マスタ!$N$5:$AD$4999,17,FALSE),"")))</f>
        <v/>
      </c>
      <c r="W353" s="256" t="str">
        <f>IF(J353="巻返し",VLOOKUP(F353&amp;K353&amp;M353,製品マスタ!$M$5:$AE$4999,19,FALSE),IF(J353="リード付け","-",IF(J353="スリット",VLOOKUP(F353&amp;K353&amp;Q353,製品マスタ!$N$5:$AE$4999,18,FALSE),"")))</f>
        <v/>
      </c>
      <c r="X353" s="256" t="str">
        <f>IF(D353="","",VLOOKUP(D353,契約台帳!$A$3:$Q$4986,17,FALSE))</f>
        <v/>
      </c>
      <c r="Y353" s="256" t="str">
        <f>IF(D353="","",VLOOKUP(D353,契約台帳!$A$3:$E$4986,5,FALSE))</f>
        <v/>
      </c>
      <c r="Z353" s="54"/>
      <c r="AA353" s="200" t="str">
        <f>IFERROR(VLOOKUP(F353&amp;K353&amp;M353,製品マスタ!$M$5:$AM$4999,27,FALSE),"")</f>
        <v/>
      </c>
      <c r="AB353" s="31"/>
      <c r="AC353" s="184"/>
      <c r="AD353" s="51"/>
      <c r="AE353" s="52"/>
      <c r="AF353" s="41"/>
      <c r="AG353" s="45"/>
      <c r="AH353" s="28"/>
      <c r="AI353" s="28"/>
      <c r="AJ353" s="28"/>
      <c r="AK353" s="28"/>
      <c r="AL353" s="12"/>
      <c r="AM353" s="12"/>
      <c r="AN353" s="12"/>
      <c r="AO353" s="12"/>
      <c r="AP353" s="12"/>
      <c r="AQ353" s="13"/>
      <c r="AR353" s="14"/>
    </row>
    <row r="354" spans="1:44" s="16" customFormat="1" ht="30.95" hidden="1" customHeight="1" x14ac:dyDescent="0.2">
      <c r="A354" s="35" t="s">
        <v>1067</v>
      </c>
      <c r="B354" s="36" t="s">
        <v>442</v>
      </c>
      <c r="C354" s="43"/>
      <c r="D354" s="29"/>
      <c r="E354" s="29"/>
      <c r="F354" s="255" t="str">
        <f>IF(D354="","",VLOOKUP(D354,契約台帳!$A$3:$K$4986,6,FALSE)&amp;VLOOKUP(D354,契約台帳!$A$3:$K$4986,7,FALSE)&amp;VLOOKUP(D354,契約台帳!$A$3:$K$4986,8,FALSE)&amp;VLOOKUP(D354,契約台帳!$A$3:$K$4986,9,FALSE)&amp;VLOOKUP(D354,契約台帳!$A$3:$K$4986,11,FALSE))</f>
        <v/>
      </c>
      <c r="G354" s="256" t="str">
        <f>IF(D354="","",VLOOKUP(F354,製品マスタ!$G$5:$H$4999,2,FALSE))</f>
        <v/>
      </c>
      <c r="H354" s="256" t="str">
        <f>IF(D354="","",VLOOKUP(F354,製品マスタ!$G$5:$K$4999,5,FALSE))</f>
        <v/>
      </c>
      <c r="I354" s="200" t="str">
        <f>IF(D354="","",VLOOKUP(F354,製品マスタ!$G$5:$L$4999,6,FALSE))</f>
        <v/>
      </c>
      <c r="J354" s="30" t="s">
        <v>1076</v>
      </c>
      <c r="K354" s="200" t="str">
        <f>IF(D354="","",VLOOKUP(D354,契約台帳!$A$3:$L$4986,12,FALSE))</f>
        <v/>
      </c>
      <c r="L354" s="200" t="str">
        <f>IF(D354="","",INDEX(製品マスタ!$Q$5:$Q$4999,MATCH(F354&amp;K354,製品マスタ!$AO$5:$AO$4999,0)))</f>
        <v/>
      </c>
      <c r="M354" s="37"/>
      <c r="N354" s="37"/>
      <c r="O354" s="45"/>
      <c r="P354" s="54"/>
      <c r="Q354" s="260" t="str">
        <f>IF(D354="","",IF(J354="リード付け",M354,VLOOKUP(D354,契約台帳!$A$3:$N$4986,14,FALSE)))</f>
        <v/>
      </c>
      <c r="R354" s="261" t="str">
        <f>IF(D354="","",IF(J354="リード付け",M354,VLOOKUP(D354,契約台帳!$A$3:$O$4986,15,FALSE)))</f>
        <v/>
      </c>
      <c r="S354" s="261" t="str">
        <f>IF(D354="","",IF(J354="リード付け",N354,VLOOKUP(D354,契約台帳!$A$3:$P$4986,16,FALSE)))</f>
        <v/>
      </c>
      <c r="T354" s="38"/>
      <c r="U354" s="261" t="str">
        <f ca="1">IF(D354="","",IF(OFFSET(D354,-2,0)=D354,"",VLOOKUP(D354,契約台帳!$A$3:$R$4986,18,FALSE)))</f>
        <v/>
      </c>
      <c r="V354" s="256" t="str">
        <f>IF(J354="巻返し",VLOOKUP(F354&amp;K354&amp;M354,製品マスタ!$M$5:$AD$4999,18,FALSE),IF(J354="リード付け","原反コア",IF(J354="スリット",VLOOKUP(F354&amp;K354&amp;Q354,製品マスタ!$N$5:$AD$4999,17,FALSE),"")))</f>
        <v/>
      </c>
      <c r="W354" s="256" t="str">
        <f>IF(J354="巻返し",VLOOKUP(F354&amp;K354&amp;M354,製品マスタ!$M$5:$AE$4999,19,FALSE),IF(J354="リード付け","-",IF(J354="スリット",VLOOKUP(F354&amp;K354&amp;Q354,製品マスタ!$N$5:$AE$4999,18,FALSE),"")))</f>
        <v/>
      </c>
      <c r="X354" s="256" t="str">
        <f>IF(D354="","",VLOOKUP(D354,契約台帳!$A$3:$Q$4986,17,FALSE))</f>
        <v/>
      </c>
      <c r="Y354" s="256" t="str">
        <f>IF(D354="","",VLOOKUP(D354,契約台帳!$A$3:$E$4986,5,FALSE))</f>
        <v/>
      </c>
      <c r="Z354" s="54"/>
      <c r="AA354" s="200" t="str">
        <f>IFERROR(VLOOKUP(F354&amp;K354&amp;M354,製品マスタ!$M$5:$AM$4999,27,FALSE),"")</f>
        <v/>
      </c>
      <c r="AB354" s="31"/>
      <c r="AC354" s="184"/>
      <c r="AD354" s="51"/>
      <c r="AE354" s="52"/>
      <c r="AF354" s="41"/>
      <c r="AG354" s="45"/>
      <c r="AH354" s="28"/>
      <c r="AI354" s="28"/>
      <c r="AJ354" s="28"/>
      <c r="AK354" s="28"/>
      <c r="AL354" s="12"/>
      <c r="AM354" s="12"/>
      <c r="AN354" s="12"/>
      <c r="AO354" s="12"/>
      <c r="AP354" s="12"/>
      <c r="AQ354" s="13"/>
      <c r="AR354" s="14"/>
    </row>
    <row r="355" spans="1:44" s="16" customFormat="1" ht="30.95" hidden="1" customHeight="1" x14ac:dyDescent="0.2">
      <c r="A355" s="35"/>
      <c r="B355" s="36"/>
      <c r="C355" s="43"/>
      <c r="D355" s="29"/>
      <c r="E355" s="29"/>
      <c r="F355" s="255" t="str">
        <f>IF(D355="","",VLOOKUP(D355,契約台帳!$A$3:$K$4986,6,FALSE)&amp;VLOOKUP(D355,契約台帳!$A$3:$K$4986,7,FALSE)&amp;VLOOKUP(D355,契約台帳!$A$3:$K$4986,8,FALSE)&amp;VLOOKUP(D355,契約台帳!$A$3:$K$4986,9,FALSE)&amp;VLOOKUP(D355,契約台帳!$A$3:$K$4986,11,FALSE))</f>
        <v/>
      </c>
      <c r="G355" s="256" t="str">
        <f>IF(D355="","",VLOOKUP(F355,製品マスタ!$G$5:$H$4999,2,FALSE))</f>
        <v/>
      </c>
      <c r="H355" s="256" t="str">
        <f>IF(D355="","",VLOOKUP(F355,製品マスタ!$G$5:$K$4999,5,FALSE))</f>
        <v/>
      </c>
      <c r="I355" s="200" t="str">
        <f>IF(D355="","",VLOOKUP(F355,製品マスタ!$G$5:$L$4999,6,FALSE))</f>
        <v/>
      </c>
      <c r="J355" s="30"/>
      <c r="K355" s="200" t="str">
        <f>IF(D355="","",VLOOKUP(D355,契約台帳!$A$3:$L$4986,12,FALSE))</f>
        <v/>
      </c>
      <c r="L355" s="200" t="str">
        <f>IF(D355="","",INDEX(製品マスタ!$Q$5:$Q$4999,MATCH(F355&amp;K355,製品マスタ!$AO$5:$AO$4999,0)))</f>
        <v/>
      </c>
      <c r="M355" s="37"/>
      <c r="N355" s="37"/>
      <c r="O355" s="45"/>
      <c r="P355" s="54"/>
      <c r="Q355" s="260" t="str">
        <f>IF(D355="","",IF(J355="リード付け",M355,VLOOKUP(D355,契約台帳!$A$3:$N$4986,14,FALSE)))</f>
        <v/>
      </c>
      <c r="R355" s="261" t="str">
        <f>IF(D355="","",IF(J355="リード付け",M355,VLOOKUP(D355,契約台帳!$A$3:$O$4986,15,FALSE)))</f>
        <v/>
      </c>
      <c r="S355" s="261" t="str">
        <f>IF(D355="","",IF(J355="リード付け",N355,VLOOKUP(D355,契約台帳!$A$3:$P$4986,16,FALSE)))</f>
        <v/>
      </c>
      <c r="T355" s="38"/>
      <c r="U355" s="261" t="str">
        <f ca="1">IF(D355="","",IF(OFFSET(D355,-2,0)=D355,"",VLOOKUP(D355,契約台帳!$A$3:$R$4986,18,FALSE)))</f>
        <v/>
      </c>
      <c r="V355" s="256" t="str">
        <f>IF(J355="巻返し",VLOOKUP(F355&amp;K355&amp;M355,製品マスタ!$M$5:$AD$4999,18,FALSE),IF(J355="リード付け","原反コア",IF(J355="スリット",VLOOKUP(F355&amp;K355&amp;Q355,製品マスタ!$N$5:$AD$4999,17,FALSE),"")))</f>
        <v/>
      </c>
      <c r="W355" s="256" t="str">
        <f>IF(J355="巻返し",VLOOKUP(F355&amp;K355&amp;M355,製品マスタ!$M$5:$AE$4999,19,FALSE),IF(J355="リード付け","-",IF(J355="スリット",VLOOKUP(F355&amp;K355&amp;Q355,製品マスタ!$N$5:$AE$4999,18,FALSE),"")))</f>
        <v/>
      </c>
      <c r="X355" s="256" t="str">
        <f>IF(D355="","",VLOOKUP(D355,契約台帳!$A$3:$Q$4986,17,FALSE))</f>
        <v/>
      </c>
      <c r="Y355" s="256" t="str">
        <f>IF(D355="","",VLOOKUP(D355,契約台帳!$A$3:$E$4986,5,FALSE))</f>
        <v/>
      </c>
      <c r="Z355" s="54"/>
      <c r="AA355" s="200" t="str">
        <f>IFERROR(VLOOKUP(F355&amp;K355&amp;M355,製品マスタ!$M$5:$AM$4999,27,FALSE),"")</f>
        <v/>
      </c>
      <c r="AB355" s="31"/>
      <c r="AC355" s="184"/>
      <c r="AD355" s="51"/>
      <c r="AE355" s="52"/>
      <c r="AF355" s="41"/>
      <c r="AG355" s="45"/>
      <c r="AH355" s="28"/>
      <c r="AI355" s="28"/>
      <c r="AJ355" s="28"/>
      <c r="AK355" s="28"/>
      <c r="AL355" s="12"/>
      <c r="AM355" s="12"/>
      <c r="AN355" s="12"/>
      <c r="AO355" s="12"/>
      <c r="AP355" s="12"/>
      <c r="AQ355" s="13"/>
      <c r="AR355" s="14"/>
    </row>
    <row r="356" spans="1:44" s="225" customFormat="1" ht="30.95" hidden="1" customHeight="1" x14ac:dyDescent="0.2">
      <c r="A356" s="209"/>
      <c r="B356" s="210"/>
      <c r="C356" s="262"/>
      <c r="D356" s="211"/>
      <c r="E356" s="211"/>
      <c r="F356" s="263"/>
      <c r="G356" s="264"/>
      <c r="H356" s="264"/>
      <c r="I356" s="265"/>
      <c r="J356" s="212"/>
      <c r="K356" s="265"/>
      <c r="L356" s="265"/>
      <c r="M356" s="213"/>
      <c r="N356" s="213"/>
      <c r="O356" s="214"/>
      <c r="P356" s="206"/>
      <c r="Q356" s="266"/>
      <c r="R356" s="267"/>
      <c r="S356" s="267"/>
      <c r="T356" s="216"/>
      <c r="U356" s="267"/>
      <c r="V356" s="264"/>
      <c r="W356" s="264"/>
      <c r="X356" s="264"/>
      <c r="Y356" s="264"/>
      <c r="Z356" s="206"/>
      <c r="AA356" s="265"/>
      <c r="AB356" s="217"/>
      <c r="AC356" s="218"/>
      <c r="AD356" s="219"/>
      <c r="AE356" s="220"/>
      <c r="AF356" s="215"/>
      <c r="AG356" s="226">
        <f>SUM(AG282:AG355)</f>
        <v>466448.56050000002</v>
      </c>
      <c r="AH356" s="221"/>
      <c r="AI356" s="221"/>
      <c r="AJ356" s="221"/>
      <c r="AK356" s="221"/>
      <c r="AL356" s="222"/>
      <c r="AM356" s="222"/>
      <c r="AN356" s="222"/>
      <c r="AO356" s="222"/>
      <c r="AP356" s="222"/>
      <c r="AQ356" s="223"/>
      <c r="AR356" s="224"/>
    </row>
    <row r="357" spans="1:44" s="16" customFormat="1" ht="30.95" hidden="1" customHeight="1" x14ac:dyDescent="0.2">
      <c r="A357" s="35"/>
      <c r="B357" s="36"/>
      <c r="C357" s="43"/>
      <c r="D357" s="29"/>
      <c r="E357" s="29"/>
      <c r="F357" s="255"/>
      <c r="G357" s="256"/>
      <c r="H357" s="256"/>
      <c r="I357" s="200"/>
      <c r="J357" s="30"/>
      <c r="K357" s="200"/>
      <c r="L357" s="200"/>
      <c r="M357" s="37"/>
      <c r="N357" s="37"/>
      <c r="O357" s="45"/>
      <c r="P357" s="54"/>
      <c r="Q357" s="260"/>
      <c r="R357" s="261"/>
      <c r="S357" s="261"/>
      <c r="T357" s="38"/>
      <c r="U357" s="261"/>
      <c r="V357" s="256"/>
      <c r="W357" s="256"/>
      <c r="X357" s="256"/>
      <c r="Y357" s="256"/>
      <c r="Z357" s="54"/>
      <c r="AA357" s="200"/>
      <c r="AB357" s="31"/>
      <c r="AC357" s="184"/>
      <c r="AD357" s="51"/>
      <c r="AE357" s="52"/>
      <c r="AF357" s="41"/>
      <c r="AG357" s="45"/>
      <c r="AH357" s="28"/>
      <c r="AI357" s="28"/>
      <c r="AJ357" s="28"/>
      <c r="AK357" s="28"/>
      <c r="AL357" s="12"/>
      <c r="AM357" s="12"/>
      <c r="AN357" s="12"/>
      <c r="AO357" s="12"/>
      <c r="AP357" s="12"/>
      <c r="AQ357" s="13"/>
      <c r="AR357" s="14"/>
    </row>
    <row r="358" spans="1:44" s="16" customFormat="1" ht="30.95" hidden="1" customHeight="1" x14ac:dyDescent="0.2">
      <c r="A358" s="35" t="s">
        <v>1068</v>
      </c>
      <c r="B358" s="36" t="s">
        <v>443</v>
      </c>
      <c r="C358" s="43"/>
      <c r="D358" s="29">
        <v>3708696</v>
      </c>
      <c r="E358" s="29">
        <v>4170107</v>
      </c>
      <c r="F358" s="255" t="str">
        <f>IF(D358="","",VLOOKUP(D358,契約台帳!$A$3:$K$4986,6,FALSE)&amp;VLOOKUP(D358,契約台帳!$A$3:$K$4986,7,FALSE)&amp;VLOOKUP(D358,契約台帳!$A$3:$K$4986,8,FALSE)&amp;VLOOKUP(D358,契約台帳!$A$3:$K$4986,9,FALSE)&amp;VLOOKUP(D358,契約台帳!$A$3:$K$4986,11,FALSE))</f>
        <v>3SNMLBMSF</v>
      </c>
      <c r="G358" s="256" t="str">
        <f>IF(D358="","",VLOOKUP(F358,製品マスタ!$G$5:$H$4999,2,FALSE))</f>
        <v>S</v>
      </c>
      <c r="H358" s="256" t="str">
        <f>IF(D358="","",VLOOKUP(F358,製品マスタ!$G$5:$K$4999,5,FALSE))</f>
        <v>MSF</v>
      </c>
      <c r="I358" s="200" t="str">
        <f>IF(D358="","",VLOOKUP(F358,製品マスタ!$G$5:$L$4999,6,FALSE))</f>
        <v>メタルミー　Ｓ</v>
      </c>
      <c r="J358" s="30" t="s">
        <v>1122</v>
      </c>
      <c r="K358" s="200">
        <f>IF(D358="","",VLOOKUP(D358,契約台帳!$A$3:$L$4986,12,FALSE))</f>
        <v>25</v>
      </c>
      <c r="L358" s="200" t="str">
        <f>IF(D358="","",INDEX(製品マスタ!$Q$5:$Q$4999,MATCH(F358&amp;K358,製品マスタ!$AO$5:$AO$4999,0)))</f>
        <v>T62M</v>
      </c>
      <c r="M358" s="37">
        <v>1020</v>
      </c>
      <c r="N358" s="37">
        <v>12100</v>
      </c>
      <c r="O358" s="45">
        <v>1</v>
      </c>
      <c r="P358" s="206">
        <v>45043</v>
      </c>
      <c r="Q358" s="260">
        <f>IF(D358="","",IF(J358="リード付け",M358,VLOOKUP(D358,契約台帳!$A$3:$N$4986,14,FALSE)))</f>
        <v>1020</v>
      </c>
      <c r="R358" s="261">
        <f>IF(D358="","",IF(J358="リード付け",M358,VLOOKUP(D358,契約台帳!$A$3:$O$4986,15,FALSE)))</f>
        <v>1020</v>
      </c>
      <c r="S358" s="261">
        <f>IF(D358="","",IF(J358="リード付け",N358,VLOOKUP(D358,契約台帳!$A$3:$P$4986,16,FALSE)))</f>
        <v>12100</v>
      </c>
      <c r="T358" s="38">
        <v>1</v>
      </c>
      <c r="U358" s="261">
        <f ca="1">IF(D358="","",IF(OFFSET(D358,-2,0)=D358,"",VLOOKUP(D358,契約台帳!$A$3:$R$4986,18,FALSE)))</f>
        <v>6</v>
      </c>
      <c r="V358" s="256" t="str">
        <f>IF(J358="巻返し",VLOOKUP(F358&amp;K358&amp;M358,製品マスタ!$M$5:$AD$4999,18,FALSE),IF(J358="リード付け","原反コア",IF(J358="スリット",VLOOKUP(F358&amp;K358&amp;Q358,製品マスタ!$N$5:$AD$4999,17,FALSE),"")))</f>
        <v>原反コア</v>
      </c>
      <c r="W358" s="256" t="str">
        <f>IF(J358="巻返し",VLOOKUP(F358&amp;K358&amp;M358,製品マスタ!$M$5:$AE$4999,19,FALSE),IF(J358="リード付け","-",IF(J358="スリット",VLOOKUP(F358&amp;K358&amp;Q358,製品マスタ!$N$5:$AE$4999,18,FALSE),"")))</f>
        <v>-</v>
      </c>
      <c r="X358" s="256">
        <f>IF(D358="","",VLOOKUP(D358,契約台帳!$A$3:$Q$4986,17,FALSE))</f>
        <v>2</v>
      </c>
      <c r="Y358" s="256" t="str">
        <f>IF(D358="","",VLOOKUP(D358,契約台帳!$A$3:$E$4986,5,FALSE))</f>
        <v>寺岡製作所　大宮工場</v>
      </c>
      <c r="Z358" s="54"/>
      <c r="AA358" s="200">
        <f>IFERROR(VLOOKUP(F358&amp;K358&amp;M358,製品マスタ!$M$5:$AM$4999,27,FALSE),"")</f>
        <v>0</v>
      </c>
      <c r="AB358" s="31"/>
      <c r="AC358" s="184"/>
      <c r="AD358" s="51"/>
      <c r="AE358" s="52"/>
      <c r="AF358" s="41"/>
      <c r="AG358" s="45"/>
      <c r="AH358" s="28"/>
      <c r="AI358" s="28"/>
      <c r="AJ358" s="28"/>
      <c r="AK358" s="28"/>
      <c r="AL358" s="12"/>
      <c r="AM358" s="12"/>
      <c r="AN358" s="12"/>
      <c r="AO358" s="12"/>
      <c r="AP358" s="12"/>
      <c r="AQ358" s="13"/>
      <c r="AR358" s="14"/>
    </row>
    <row r="359" spans="1:44" s="16" customFormat="1" ht="30.95" hidden="1" customHeight="1" x14ac:dyDescent="0.2">
      <c r="A359" s="35"/>
      <c r="B359" s="36"/>
      <c r="C359" s="43"/>
      <c r="D359" s="29"/>
      <c r="E359" s="29"/>
      <c r="F359" s="255" t="str">
        <f>IF(D359="","",VLOOKUP(D359,契約台帳!$A$3:$K$4986,6,FALSE)&amp;VLOOKUP(D359,契約台帳!$A$3:$K$4986,7,FALSE)&amp;VLOOKUP(D359,契約台帳!$A$3:$K$4986,8,FALSE)&amp;VLOOKUP(D359,契約台帳!$A$3:$K$4986,9,FALSE)&amp;VLOOKUP(D359,契約台帳!$A$3:$K$4986,11,FALSE))</f>
        <v/>
      </c>
      <c r="G359" s="256" t="str">
        <f>IF(D359="","",VLOOKUP(F359,製品マスタ!$G$5:$H$4999,2,FALSE))</f>
        <v/>
      </c>
      <c r="H359" s="256" t="str">
        <f>IF(D359="","",VLOOKUP(F359,製品マスタ!$G$5:$K$4999,5,FALSE))</f>
        <v/>
      </c>
      <c r="I359" s="200" t="str">
        <f>IF(D359="","",VLOOKUP(F359,製品マスタ!$G$5:$L$4999,6,FALSE))</f>
        <v/>
      </c>
      <c r="J359" s="30"/>
      <c r="K359" s="200" t="str">
        <f>IF(D359="","",VLOOKUP(D359,契約台帳!$A$3:$L$4986,12,FALSE))</f>
        <v/>
      </c>
      <c r="L359" s="200" t="str">
        <f>IF(D359="","",INDEX(製品マスタ!$Q$5:$Q$4999,MATCH(F359&amp;K359,製品マスタ!$AO$5:$AO$4999,0)))</f>
        <v/>
      </c>
      <c r="M359" s="37"/>
      <c r="N359" s="37"/>
      <c r="O359" s="45"/>
      <c r="P359" s="54"/>
      <c r="Q359" s="260" t="str">
        <f>IF(D359="","",IF(J359="リード付け",M359,VLOOKUP(D359,契約台帳!$A$3:$N$4986,14,FALSE)))</f>
        <v/>
      </c>
      <c r="R359" s="261" t="str">
        <f>IF(D359="","",IF(J359="リード付け",M359,VLOOKUP(D359,契約台帳!$A$3:$O$4986,15,FALSE)))</f>
        <v/>
      </c>
      <c r="S359" s="261" t="str">
        <f>IF(D359="","",IF(J359="リード付け",N359,VLOOKUP(D359,契約台帳!$A$3:$P$4986,16,FALSE)))</f>
        <v/>
      </c>
      <c r="T359" s="38"/>
      <c r="U359" s="261" t="str">
        <f ca="1">IF(D359="","",IF(OFFSET(D359,-2,0)=D359,"",VLOOKUP(D359,契約台帳!$A$3:$R$4986,18,FALSE)))</f>
        <v/>
      </c>
      <c r="V359" s="256" t="str">
        <f>IF(J359="巻返し",VLOOKUP(F359&amp;K359&amp;M359,製品マスタ!$M$5:$AD$4999,18,FALSE),IF(J359="リード付け","原反コア",IF(J359="スリット",VLOOKUP(F359&amp;K359&amp;Q359,製品マスタ!$N$5:$AD$4999,17,FALSE),"")))</f>
        <v/>
      </c>
      <c r="W359" s="256" t="str">
        <f>IF(J359="巻返し",VLOOKUP(F359&amp;K359&amp;M359,製品マスタ!$M$5:$AE$4999,19,FALSE),IF(J359="リード付け","-",IF(J359="スリット",VLOOKUP(F359&amp;K359&amp;Q359,製品マスタ!$N$5:$AE$4999,18,FALSE),"")))</f>
        <v/>
      </c>
      <c r="X359" s="256" t="str">
        <f>IF(D359="","",VLOOKUP(D359,契約台帳!$A$3:$Q$4986,17,FALSE))</f>
        <v/>
      </c>
      <c r="Y359" s="256" t="str">
        <f>IF(D359="","",VLOOKUP(D359,契約台帳!$A$3:$E$4986,5,FALSE))</f>
        <v/>
      </c>
      <c r="Z359" s="54"/>
      <c r="AA359" s="200" t="str">
        <f>IFERROR(VLOOKUP(F359&amp;K359&amp;M359,製品マスタ!$M$5:$AM$4999,27,FALSE),"")</f>
        <v/>
      </c>
      <c r="AB359" s="31"/>
      <c r="AC359" s="184"/>
      <c r="AD359" s="51"/>
      <c r="AE359" s="52"/>
      <c r="AF359" s="41"/>
      <c r="AG359" s="45"/>
      <c r="AH359" s="28"/>
      <c r="AI359" s="28"/>
      <c r="AJ359" s="28"/>
      <c r="AK359" s="28"/>
      <c r="AL359" s="12"/>
      <c r="AM359" s="12"/>
      <c r="AN359" s="12"/>
      <c r="AO359" s="12"/>
      <c r="AP359" s="12"/>
      <c r="AQ359" s="13"/>
      <c r="AR359" s="14"/>
    </row>
    <row r="360" spans="1:44" s="16" customFormat="1" ht="30.95" hidden="1" customHeight="1" x14ac:dyDescent="0.2">
      <c r="A360" s="35" t="s">
        <v>1069</v>
      </c>
      <c r="B360" s="36" t="s">
        <v>1053</v>
      </c>
      <c r="C360" s="43"/>
      <c r="D360" s="29">
        <v>3708709</v>
      </c>
      <c r="E360" s="29">
        <v>4170105</v>
      </c>
      <c r="F360" s="255" t="str">
        <f>IF(D360="","",VLOOKUP(D360,契約台帳!$A$3:$K$4986,6,FALSE)&amp;VLOOKUP(D360,契約台帳!$A$3:$K$4986,7,FALSE)&amp;VLOOKUP(D360,契約台帳!$A$3:$K$4986,8,FALSE)&amp;VLOOKUP(D360,契約台帳!$A$3:$K$4986,9,FALSE)&amp;VLOOKUP(D360,契約台帳!$A$3:$K$4986,11,FALSE))</f>
        <v>3SNMLBMNGTBF</v>
      </c>
      <c r="G360" s="256" t="str">
        <f>IF(D360="","",VLOOKUP(F360,製品マスタ!$G$5:$H$4999,2,FALSE))</f>
        <v>S</v>
      </c>
      <c r="H360" s="256" t="str">
        <f>IF(D360="","",VLOOKUP(F360,製品マスタ!$G$5:$K$4999,5,FALSE))</f>
        <v>MNGTBF</v>
      </c>
      <c r="I360" s="200" t="str">
        <f>IF(D360="","",VLOOKUP(F360,製品マスタ!$G$5:$L$4999,6,FALSE))</f>
        <v>メタルミー　ネーマー　銀艶　Ｂ</v>
      </c>
      <c r="J360" s="30" t="s">
        <v>1122</v>
      </c>
      <c r="K360" s="200">
        <f>IF(D360="","",VLOOKUP(D360,契約台帳!$A$3:$L$4986,12,FALSE))</f>
        <v>25</v>
      </c>
      <c r="L360" s="200" t="str">
        <f>IF(D360="","",INDEX(製品マスタ!$Q$5:$Q$4999,MATCH(F360&amp;K360,製品マスタ!$AO$5:$AO$4999,0)))</f>
        <v>T62M</v>
      </c>
      <c r="M360" s="37">
        <v>1005</v>
      </c>
      <c r="N360" s="37">
        <v>12100</v>
      </c>
      <c r="O360" s="45">
        <v>4</v>
      </c>
      <c r="P360" s="206">
        <v>45043</v>
      </c>
      <c r="Q360" s="260">
        <f>IF(D360="","",IF(J360="リード付け",M360,VLOOKUP(D360,契約台帳!$A$3:$N$4986,14,FALSE)))</f>
        <v>1005</v>
      </c>
      <c r="R360" s="261">
        <f>IF(D360="","",IF(J360="リード付け",M360,VLOOKUP(D360,契約台帳!$A$3:$O$4986,15,FALSE)))</f>
        <v>1005</v>
      </c>
      <c r="S360" s="261">
        <f>IF(D360="","",IF(J360="リード付け",N360,VLOOKUP(D360,契約台帳!$A$3:$P$4986,16,FALSE)))</f>
        <v>12100</v>
      </c>
      <c r="T360" s="38">
        <v>4</v>
      </c>
      <c r="U360" s="261">
        <f ca="1">IF(D360="","",IF(OFFSET(D360,-2,0)=D360,"",VLOOKUP(D360,契約台帳!$A$3:$R$4986,18,FALSE)))</f>
        <v>12</v>
      </c>
      <c r="V360" s="256" t="str">
        <f>IF(J360="巻返し",VLOOKUP(F360&amp;K360&amp;M360,製品マスタ!$M$5:$AD$4999,18,FALSE),IF(J360="リード付け","原反コア",IF(J360="スリット",VLOOKUP(F360&amp;K360&amp;Q360,製品マスタ!$N$5:$AD$4999,17,FALSE),"")))</f>
        <v>原反コア</v>
      </c>
      <c r="W360" s="256" t="str">
        <f>IF(J360="巻返し",VLOOKUP(F360&amp;K360&amp;M360,製品マスタ!$M$5:$AE$4999,19,FALSE),IF(J360="リード付け","-",IF(J360="スリット",VLOOKUP(F360&amp;K360&amp;Q360,製品マスタ!$N$5:$AE$4999,18,FALSE),"")))</f>
        <v>-</v>
      </c>
      <c r="X360" s="256">
        <f>IF(D360="","",VLOOKUP(D360,契約台帳!$A$3:$Q$4986,17,FALSE))</f>
        <v>2</v>
      </c>
      <c r="Y360" s="256" t="str">
        <f>IF(D360="","",VLOOKUP(D360,契約台帳!$A$3:$E$4986,5,FALSE))</f>
        <v>リンテック㈱</v>
      </c>
      <c r="Z360" s="54"/>
      <c r="AA360" s="200">
        <f>IFERROR(VLOOKUP(F360&amp;K360&amp;M360,製品マスタ!$M$5:$AM$4999,27,FALSE),"")</f>
        <v>0</v>
      </c>
      <c r="AB360" s="31"/>
      <c r="AC360" s="184"/>
      <c r="AD360" s="51"/>
      <c r="AE360" s="52"/>
      <c r="AF360" s="41"/>
      <c r="AG360" s="45"/>
      <c r="AH360" s="28"/>
      <c r="AI360" s="28"/>
      <c r="AJ360" s="28"/>
      <c r="AK360" s="28"/>
      <c r="AL360" s="12"/>
      <c r="AM360" s="12"/>
      <c r="AN360" s="12"/>
      <c r="AO360" s="12"/>
      <c r="AP360" s="12"/>
      <c r="AQ360" s="13"/>
      <c r="AR360" s="14"/>
    </row>
    <row r="361" spans="1:44" s="16" customFormat="1" ht="30.95" hidden="1" customHeight="1" x14ac:dyDescent="0.2">
      <c r="A361" s="35"/>
      <c r="B361" s="36"/>
      <c r="C361" s="43"/>
      <c r="D361" s="29"/>
      <c r="E361" s="29"/>
      <c r="F361" s="255" t="str">
        <f>IF(D361="","",VLOOKUP(D361,契約台帳!$A$3:$K$4986,6,FALSE)&amp;VLOOKUP(D361,契約台帳!$A$3:$K$4986,7,FALSE)&amp;VLOOKUP(D361,契約台帳!$A$3:$K$4986,8,FALSE)&amp;VLOOKUP(D361,契約台帳!$A$3:$K$4986,9,FALSE)&amp;VLOOKUP(D361,契約台帳!$A$3:$K$4986,11,FALSE))</f>
        <v/>
      </c>
      <c r="G361" s="256" t="str">
        <f>IF(D361="","",VLOOKUP(F361,製品マスタ!$G$5:$H$4999,2,FALSE))</f>
        <v/>
      </c>
      <c r="H361" s="256" t="str">
        <f>IF(D361="","",VLOOKUP(F361,製品マスタ!$G$5:$K$4999,5,FALSE))</f>
        <v/>
      </c>
      <c r="I361" s="200" t="str">
        <f>IF(D361="","",VLOOKUP(F361,製品マスタ!$G$5:$L$4999,6,FALSE))</f>
        <v/>
      </c>
      <c r="J361" s="30"/>
      <c r="K361" s="200" t="str">
        <f>IF(D361="","",VLOOKUP(D361,契約台帳!$A$3:$L$4986,12,FALSE))</f>
        <v/>
      </c>
      <c r="L361" s="200" t="str">
        <f>IF(D361="","",INDEX(製品マスタ!$Q$5:$Q$4999,MATCH(F361&amp;K361,製品マスタ!$AO$5:$AO$4999,0)))</f>
        <v/>
      </c>
      <c r="M361" s="37"/>
      <c r="N361" s="37"/>
      <c r="O361" s="45"/>
      <c r="P361" s="54"/>
      <c r="Q361" s="260" t="str">
        <f>IF(D361="","",IF(J361="リード付け",M361,VLOOKUP(D361,契約台帳!$A$3:$N$4986,14,FALSE)))</f>
        <v/>
      </c>
      <c r="R361" s="261" t="str">
        <f>IF(D361="","",IF(J361="リード付け",M361,VLOOKUP(D361,契約台帳!$A$3:$O$4986,15,FALSE)))</f>
        <v/>
      </c>
      <c r="S361" s="261" t="str">
        <f>IF(D361="","",IF(J361="リード付け",N361,VLOOKUP(D361,契約台帳!$A$3:$P$4986,16,FALSE)))</f>
        <v/>
      </c>
      <c r="T361" s="38"/>
      <c r="U361" s="261" t="str">
        <f ca="1">IF(D361="","",IF(OFFSET(D361,-2,0)=D361,"",VLOOKUP(D361,契約台帳!$A$3:$R$4986,18,FALSE)))</f>
        <v/>
      </c>
      <c r="V361" s="256" t="str">
        <f>IF(J361="巻返し",VLOOKUP(F361&amp;K361&amp;M361,製品マスタ!$M$5:$AD$4999,18,FALSE),IF(J361="リード付け","原反コア",IF(J361="スリット",VLOOKUP(F361&amp;K361&amp;Q361,製品マスタ!$N$5:$AD$4999,17,FALSE),"")))</f>
        <v/>
      </c>
      <c r="W361" s="256" t="str">
        <f>IF(J361="巻返し",VLOOKUP(F361&amp;K361&amp;M361,製品マスタ!$M$5:$AE$4999,19,FALSE),IF(J361="リード付け","-",IF(J361="スリット",VLOOKUP(F361&amp;K361&amp;Q361,製品マスタ!$N$5:$AE$4999,18,FALSE),"")))</f>
        <v/>
      </c>
      <c r="X361" s="256" t="str">
        <f>IF(D361="","",VLOOKUP(D361,契約台帳!$A$3:$Q$4986,17,FALSE))</f>
        <v/>
      </c>
      <c r="Y361" s="256" t="str">
        <f>IF(D361="","",VLOOKUP(D361,契約台帳!$A$3:$E$4986,5,FALSE))</f>
        <v/>
      </c>
      <c r="Z361" s="54"/>
      <c r="AA361" s="200" t="str">
        <f>IFERROR(VLOOKUP(F361&amp;K361&amp;M361,製品マスタ!$M$5:$AM$4999,27,FALSE),"")</f>
        <v/>
      </c>
      <c r="AB361" s="31"/>
      <c r="AC361" s="184"/>
      <c r="AD361" s="51"/>
      <c r="AE361" s="52"/>
      <c r="AF361" s="41"/>
      <c r="AG361" s="45"/>
      <c r="AH361" s="28"/>
      <c r="AI361" s="28"/>
      <c r="AJ361" s="28"/>
      <c r="AK361" s="28"/>
      <c r="AL361" s="12"/>
      <c r="AM361" s="12"/>
      <c r="AN361" s="12"/>
      <c r="AO361" s="12"/>
      <c r="AP361" s="12"/>
      <c r="AQ361" s="13"/>
      <c r="AR361" s="14"/>
    </row>
    <row r="362" spans="1:44" s="16" customFormat="1" ht="30.95" hidden="1" customHeight="1" x14ac:dyDescent="0.2">
      <c r="A362" s="35"/>
      <c r="B362" s="36"/>
      <c r="C362" s="43"/>
      <c r="D362" s="29">
        <v>3708714</v>
      </c>
      <c r="E362" s="29">
        <v>4170108</v>
      </c>
      <c r="F362" s="255" t="str">
        <f>IF(D362="","",VLOOKUP(D362,契約台帳!$A$3:$K$4986,6,FALSE)&amp;VLOOKUP(D362,契約台帳!$A$3:$K$4986,7,FALSE)&amp;VLOOKUP(D362,契約台帳!$A$3:$K$4986,8,FALSE)&amp;VLOOKUP(D362,契約台帳!$A$3:$K$4986,9,FALSE)&amp;VLOOKUP(D362,契約台帳!$A$3:$K$4986,11,FALSE))</f>
        <v>3SNMLBMNNGKBF</v>
      </c>
      <c r="G362" s="256" t="str">
        <f>IF(D362="","",VLOOKUP(F362,製品マスタ!$G$5:$H$4999,2,FALSE))</f>
        <v>S</v>
      </c>
      <c r="H362" s="256" t="str">
        <f>IF(D362="","",VLOOKUP(F362,製品マスタ!$G$5:$K$4999,5,FALSE))</f>
        <v>MNNGKBF</v>
      </c>
      <c r="I362" s="200" t="str">
        <f>IF(D362="","",VLOOKUP(F362,製品マスタ!$G$5:$L$4999,6,FALSE))</f>
        <v>メタルミー　ニューネーマー銀消　Ｂ</v>
      </c>
      <c r="J362" s="30" t="s">
        <v>464</v>
      </c>
      <c r="K362" s="200">
        <f>IF(D362="","",VLOOKUP(D362,契約台帳!$A$3:$L$4986,12,FALSE))</f>
        <v>25</v>
      </c>
      <c r="L362" s="200" t="str">
        <f>IF(D362="","",INDEX(製品マスタ!$Q$5:$Q$4999,MATCH(F362&amp;K362,製品マスタ!$AO$5:$AO$4999,0)))</f>
        <v>X44C</v>
      </c>
      <c r="M362" s="37">
        <v>1005</v>
      </c>
      <c r="N362" s="37">
        <v>8000</v>
      </c>
      <c r="O362" s="45">
        <v>2</v>
      </c>
      <c r="P362" s="54">
        <v>45043</v>
      </c>
      <c r="Q362" s="260">
        <f>IF(D362="","",IF(J362="リード付け",M362,VLOOKUP(D362,契約台帳!$A$3:$N$4986,14,FALSE)))</f>
        <v>1005</v>
      </c>
      <c r="R362" s="261">
        <f>IF(D362="","",IF(J362="リード付け",M362,VLOOKUP(D362,契約台帳!$A$3:$O$4986,15,FALSE)))</f>
        <v>1005</v>
      </c>
      <c r="S362" s="261">
        <f>IF(D362="","",IF(J362="リード付け",N362,VLOOKUP(D362,契約台帳!$A$3:$P$4986,16,FALSE)))</f>
        <v>8000</v>
      </c>
      <c r="T362" s="38">
        <v>2</v>
      </c>
      <c r="U362" s="261">
        <f ca="1">IF(D362="","",IF(OFFSET(D362,-2,0)=D362,"",VLOOKUP(D362,契約台帳!$A$3:$R$4986,18,FALSE)))</f>
        <v>4</v>
      </c>
      <c r="V362" s="256" t="str">
        <f>IF(J362="巻返し",VLOOKUP(F362&amp;K362&amp;M362,製品マスタ!$M$5:$AD$4999,18,FALSE),IF(J362="リード付け","原反コア",IF(J362="スリット",VLOOKUP(F362&amp;K362&amp;Q362,製品マスタ!$N$5:$AD$4999,17,FALSE),"")))</f>
        <v>原反コア</v>
      </c>
      <c r="W362" s="256" t="str">
        <f>IF(J362="巻返し",VLOOKUP(F362&amp;K362&amp;M362,製品マスタ!$M$5:$AE$4999,19,FALSE),IF(J362="リード付け","-",IF(J362="スリット",VLOOKUP(F362&amp;K362&amp;Q362,製品マスタ!$N$5:$AE$4999,18,FALSE),"")))</f>
        <v>-</v>
      </c>
      <c r="X362" s="256">
        <f>IF(D362="","",VLOOKUP(D362,契約台帳!$A$3:$Q$4986,17,FALSE))</f>
        <v>2</v>
      </c>
      <c r="Y362" s="256" t="str">
        <f>IF(D362="","",VLOOKUP(D362,契約台帳!$A$3:$E$4986,5,FALSE))</f>
        <v>リンテック㈱</v>
      </c>
      <c r="Z362" s="54"/>
      <c r="AA362" s="200">
        <f>IFERROR(VLOOKUP(F362&amp;K362&amp;M362,製品マスタ!$M$5:$AM$4999,27,FALSE),"")</f>
        <v>0</v>
      </c>
      <c r="AB362" s="31"/>
      <c r="AC362" s="184"/>
      <c r="AD362" s="51"/>
      <c r="AE362" s="52"/>
      <c r="AF362" s="41"/>
      <c r="AG362" s="45"/>
      <c r="AH362" s="28"/>
      <c r="AI362" s="28"/>
      <c r="AJ362" s="28"/>
      <c r="AK362" s="28"/>
      <c r="AL362" s="12"/>
      <c r="AM362" s="12"/>
      <c r="AN362" s="12"/>
      <c r="AO362" s="12"/>
      <c r="AP362" s="12"/>
      <c r="AQ362" s="13"/>
      <c r="AR362" s="14"/>
    </row>
    <row r="363" spans="1:44" s="16" customFormat="1" ht="30.95" hidden="1" customHeight="1" x14ac:dyDescent="0.2">
      <c r="A363" s="35"/>
      <c r="B363" s="36"/>
      <c r="C363" s="43"/>
      <c r="D363" s="29"/>
      <c r="E363" s="29"/>
      <c r="F363" s="255"/>
      <c r="G363" s="256"/>
      <c r="H363" s="256"/>
      <c r="I363" s="200"/>
      <c r="J363" s="30"/>
      <c r="K363" s="200"/>
      <c r="L363" s="200"/>
      <c r="M363" s="37"/>
      <c r="N363" s="37"/>
      <c r="O363" s="45"/>
      <c r="P363" s="54"/>
      <c r="Q363" s="260"/>
      <c r="R363" s="261"/>
      <c r="S363" s="261"/>
      <c r="T363" s="38"/>
      <c r="U363" s="261"/>
      <c r="V363" s="256"/>
      <c r="W363" s="256"/>
      <c r="X363" s="256"/>
      <c r="Y363" s="256"/>
      <c r="Z363" s="54"/>
      <c r="AA363" s="200"/>
      <c r="AB363" s="31"/>
      <c r="AC363" s="184"/>
      <c r="AD363" s="51"/>
      <c r="AE363" s="52"/>
      <c r="AF363" s="41"/>
      <c r="AG363" s="45"/>
      <c r="AH363" s="28"/>
      <c r="AI363" s="28"/>
      <c r="AJ363" s="28"/>
      <c r="AK363" s="28"/>
      <c r="AL363" s="12"/>
      <c r="AM363" s="12"/>
      <c r="AN363" s="12"/>
      <c r="AO363" s="12"/>
      <c r="AP363" s="12"/>
      <c r="AQ363" s="13"/>
      <c r="AR363" s="14"/>
    </row>
    <row r="364" spans="1:44" s="16" customFormat="1" ht="30.95" hidden="1" customHeight="1" x14ac:dyDescent="0.2">
      <c r="A364" s="35" t="s">
        <v>1070</v>
      </c>
      <c r="B364" s="36" t="s">
        <v>1054</v>
      </c>
      <c r="C364" s="43"/>
      <c r="D364" s="29"/>
      <c r="E364" s="29"/>
      <c r="F364" s="255" t="str">
        <f>IF(D364="","",VLOOKUP(D364,契約台帳!$A$3:$K$4986,6,FALSE)&amp;VLOOKUP(D364,契約台帳!$A$3:$K$4986,7,FALSE)&amp;VLOOKUP(D364,契約台帳!$A$3:$K$4986,8,FALSE)&amp;VLOOKUP(D364,契約台帳!$A$3:$K$4986,9,FALSE)&amp;VLOOKUP(D364,契約台帳!$A$3:$K$4986,11,FALSE))</f>
        <v/>
      </c>
      <c r="G364" s="256" t="str">
        <f>IF(D364="","",VLOOKUP(F364,製品マスタ!$G$5:$H$4999,2,FALSE))</f>
        <v/>
      </c>
      <c r="H364" s="256" t="str">
        <f>IF(D364="","",VLOOKUP(F364,製品マスタ!$G$5:$K$4999,5,FALSE))</f>
        <v/>
      </c>
      <c r="I364" s="200" t="str">
        <f>IF(D364="","",VLOOKUP(F364,製品マスタ!$G$5:$L$4999,6,FALSE))</f>
        <v/>
      </c>
      <c r="J364" s="30" t="s">
        <v>448</v>
      </c>
      <c r="K364" s="200" t="str">
        <f>IF(D364="","",VLOOKUP(D364,契約台帳!$A$3:$L$4986,12,FALSE))</f>
        <v/>
      </c>
      <c r="L364" s="200" t="str">
        <f>IF(D364="","",INDEX(製品マスタ!$Q$5:$Q$4999,MATCH(F364&amp;K364,製品マスタ!$AO$5:$AO$4999,0)))</f>
        <v/>
      </c>
      <c r="M364" s="37"/>
      <c r="N364" s="37"/>
      <c r="O364" s="45"/>
      <c r="P364" s="54"/>
      <c r="Q364" s="260" t="str">
        <f>IF(D364="","",IF(J364="リード付け",M364,VLOOKUP(D364,契約台帳!$A$3:$N$4986,14,FALSE)))</f>
        <v/>
      </c>
      <c r="R364" s="261" t="str">
        <f>IF(D364="","",IF(J364="リード付け",M364,VLOOKUP(D364,契約台帳!$A$3:$O$4986,15,FALSE)))</f>
        <v/>
      </c>
      <c r="S364" s="261" t="str">
        <f>IF(D364="","",IF(J364="リード付け",N364,VLOOKUP(D364,契約台帳!$A$3:$P$4986,16,FALSE)))</f>
        <v/>
      </c>
      <c r="T364" s="38"/>
      <c r="U364" s="261" t="str">
        <f ca="1">IF(D364="","",IF(OFFSET(D364,-2,0)=D364,"",VLOOKUP(D364,契約台帳!$A$3:$R$4986,18,FALSE)))</f>
        <v/>
      </c>
      <c r="V364" s="256" t="str">
        <f>IF(J364="巻返し",VLOOKUP(F364&amp;K364&amp;M364,製品マスタ!$M$5:$AD$4999,18,FALSE),IF(J364="リード付け","原反コア",IF(J364="スリット",VLOOKUP(F364&amp;K364&amp;Q364,製品マスタ!$N$5:$AD$4999,17,FALSE),"")))</f>
        <v/>
      </c>
      <c r="W364" s="256" t="str">
        <f>IF(J364="巻返し",VLOOKUP(F364&amp;K364&amp;M364,製品マスタ!$M$5:$AE$4999,19,FALSE),IF(J364="リード付け","-",IF(J364="スリット",VLOOKUP(F364&amp;K364&amp;Q364,製品マスタ!$N$5:$AE$4999,18,FALSE),"")))</f>
        <v/>
      </c>
      <c r="X364" s="256" t="str">
        <f>IF(D364="","",VLOOKUP(D364,契約台帳!$A$3:$Q$4986,17,FALSE))</f>
        <v/>
      </c>
      <c r="Y364" s="256" t="str">
        <f>IF(D364="","",VLOOKUP(D364,契約台帳!$A$3:$E$4986,5,FALSE))</f>
        <v/>
      </c>
      <c r="Z364" s="54"/>
      <c r="AA364" s="200" t="str">
        <f>IFERROR(VLOOKUP(F364&amp;K364&amp;M364,製品マスタ!$M$5:$AM$4999,27,FALSE),"")</f>
        <v/>
      </c>
      <c r="AB364" s="31"/>
      <c r="AC364" s="184"/>
      <c r="AD364" s="51"/>
      <c r="AE364" s="52"/>
      <c r="AF364" s="41"/>
      <c r="AG364" s="45"/>
      <c r="AH364" s="28"/>
      <c r="AI364" s="28"/>
      <c r="AJ364" s="28"/>
      <c r="AK364" s="28"/>
      <c r="AL364" s="12"/>
      <c r="AM364" s="12"/>
      <c r="AN364" s="12"/>
      <c r="AO364" s="12"/>
      <c r="AP364" s="12"/>
      <c r="AQ364" s="13"/>
      <c r="AR364" s="14"/>
    </row>
    <row r="365" spans="1:44" s="16" customFormat="1" ht="30.95" hidden="1" customHeight="1" x14ac:dyDescent="0.2">
      <c r="A365" s="35"/>
      <c r="B365" s="36"/>
      <c r="C365" s="43"/>
      <c r="D365" s="29"/>
      <c r="E365" s="29"/>
      <c r="F365" s="255" t="str">
        <f>IF(D365="","",VLOOKUP(D365,契約台帳!$A$3:$K$4986,6,FALSE)&amp;VLOOKUP(D365,契約台帳!$A$3:$K$4986,7,FALSE)&amp;VLOOKUP(D365,契約台帳!$A$3:$K$4986,8,FALSE)&amp;VLOOKUP(D365,契約台帳!$A$3:$K$4986,9,FALSE)&amp;VLOOKUP(D365,契約台帳!$A$3:$K$4986,11,FALSE))</f>
        <v/>
      </c>
      <c r="G365" s="256" t="str">
        <f>IF(D365="","",VLOOKUP(F365,製品マスタ!$G$5:$H$4999,2,FALSE))</f>
        <v/>
      </c>
      <c r="H365" s="256" t="str">
        <f>IF(D365="","",VLOOKUP(F365,製品マスタ!$G$5:$K$4999,5,FALSE))</f>
        <v/>
      </c>
      <c r="I365" s="200" t="str">
        <f>IF(D365="","",VLOOKUP(F365,製品マスタ!$G$5:$L$4999,6,FALSE))</f>
        <v/>
      </c>
      <c r="J365" s="30"/>
      <c r="K365" s="200" t="str">
        <f>IF(D365="","",VLOOKUP(D365,契約台帳!$A$3:$L$4986,12,FALSE))</f>
        <v/>
      </c>
      <c r="L365" s="200" t="str">
        <f>IF(D365="","",INDEX(製品マスタ!$Q$5:$Q$4999,MATCH(F365&amp;K365,製品マスタ!$AO$5:$AO$4999,0)))</f>
        <v/>
      </c>
      <c r="M365" s="37"/>
      <c r="N365" s="37"/>
      <c r="O365" s="45"/>
      <c r="P365" s="54"/>
      <c r="Q365" s="260" t="str">
        <f>IF(D365="","",IF(J365="リード付け",M365,VLOOKUP(D365,契約台帳!$A$3:$N$4986,14,FALSE)))</f>
        <v/>
      </c>
      <c r="R365" s="261" t="str">
        <f>IF(D365="","",IF(J365="リード付け",M365,VLOOKUP(D365,契約台帳!$A$3:$O$4986,15,FALSE)))</f>
        <v/>
      </c>
      <c r="S365" s="261" t="str">
        <f>IF(D365="","",IF(J365="リード付け",N365,VLOOKUP(D365,契約台帳!$A$3:$P$4986,16,FALSE)))</f>
        <v/>
      </c>
      <c r="T365" s="38"/>
      <c r="U365" s="261" t="str">
        <f ca="1">IF(D365="","",IF(OFFSET(D365,-2,0)=D365,"",VLOOKUP(D365,契約台帳!$A$3:$R$4986,18,FALSE)))</f>
        <v/>
      </c>
      <c r="V365" s="256" t="str">
        <f>IF(J365="巻返し",VLOOKUP(F365&amp;K365&amp;M365,製品マスタ!$M$5:$AD$4999,18,FALSE),IF(J365="リード付け","原反コア",IF(J365="スリット",VLOOKUP(F365&amp;K365&amp;Q365,製品マスタ!$N$5:$AD$4999,17,FALSE),"")))</f>
        <v/>
      </c>
      <c r="W365" s="256" t="str">
        <f>IF(J365="巻返し",VLOOKUP(F365&amp;K365&amp;M365,製品マスタ!$M$5:$AE$4999,19,FALSE),IF(J365="リード付け","-",IF(J365="スリット",VLOOKUP(F365&amp;K365&amp;Q365,製品マスタ!$N$5:$AE$4999,18,FALSE),"")))</f>
        <v/>
      </c>
      <c r="X365" s="256" t="str">
        <f>IF(D365="","",VLOOKUP(D365,契約台帳!$A$3:$Q$4986,17,FALSE))</f>
        <v/>
      </c>
      <c r="Y365" s="256" t="str">
        <f>IF(D365="","",VLOOKUP(D365,契約台帳!$A$3:$E$4986,5,FALSE))</f>
        <v/>
      </c>
      <c r="Z365" s="54"/>
      <c r="AA365" s="200" t="str">
        <f>IFERROR(VLOOKUP(F365&amp;K365&amp;M365,製品マスタ!$M$5:$AM$4999,27,FALSE),"")</f>
        <v/>
      </c>
      <c r="AB365" s="31"/>
      <c r="AC365" s="184"/>
      <c r="AD365" s="51"/>
      <c r="AE365" s="52"/>
      <c r="AF365" s="41"/>
      <c r="AG365" s="45"/>
      <c r="AH365" s="28"/>
      <c r="AI365" s="28"/>
      <c r="AJ365" s="28"/>
      <c r="AK365" s="28"/>
      <c r="AL365" s="12"/>
      <c r="AM365" s="12"/>
      <c r="AN365" s="12"/>
      <c r="AO365" s="12"/>
      <c r="AP365" s="12"/>
      <c r="AQ365" s="13"/>
      <c r="AR365" s="14"/>
    </row>
    <row r="366" spans="1:44" s="16" customFormat="1" ht="30.95" hidden="1" customHeight="1" x14ac:dyDescent="0.2">
      <c r="A366" s="35" t="s">
        <v>1071</v>
      </c>
      <c r="B366" s="36" t="s">
        <v>1055</v>
      </c>
      <c r="C366" s="43"/>
      <c r="D366" s="29"/>
      <c r="E366" s="29"/>
      <c r="F366" s="255" t="str">
        <f>IF(D366="","",VLOOKUP(D366,契約台帳!$A$3:$K$4986,6,FALSE)&amp;VLOOKUP(D366,契約台帳!$A$3:$K$4986,7,FALSE)&amp;VLOOKUP(D366,契約台帳!$A$3:$K$4986,8,FALSE)&amp;VLOOKUP(D366,契約台帳!$A$3:$K$4986,9,FALSE)&amp;VLOOKUP(D366,契約台帳!$A$3:$K$4986,11,FALSE))</f>
        <v/>
      </c>
      <c r="G366" s="256" t="str">
        <f>IF(D366="","",VLOOKUP(F366,製品マスタ!$G$5:$H$4999,2,FALSE))</f>
        <v/>
      </c>
      <c r="H366" s="256" t="str">
        <f>IF(D366="","",VLOOKUP(F366,製品マスタ!$G$5:$K$4999,5,FALSE))</f>
        <v/>
      </c>
      <c r="I366" s="200" t="str">
        <f>IF(D366="","",VLOOKUP(F366,製品マスタ!$G$5:$L$4999,6,FALSE))</f>
        <v/>
      </c>
      <c r="J366" s="30" t="s">
        <v>448</v>
      </c>
      <c r="K366" s="200" t="str">
        <f>IF(D366="","",VLOOKUP(D366,契約台帳!$A$3:$L$4986,12,FALSE))</f>
        <v/>
      </c>
      <c r="L366" s="200" t="str">
        <f>IF(D366="","",INDEX(製品マスタ!$Q$5:$Q$4999,MATCH(F366&amp;K366,製品マスタ!$AO$5:$AO$4999,0)))</f>
        <v/>
      </c>
      <c r="M366" s="37"/>
      <c r="N366" s="37"/>
      <c r="O366" s="45"/>
      <c r="P366" s="54"/>
      <c r="Q366" s="260" t="str">
        <f>IF(D366="","",IF(J366="リード付け",M366,VLOOKUP(D366,契約台帳!$A$3:$N$4986,14,FALSE)))</f>
        <v/>
      </c>
      <c r="R366" s="261" t="str">
        <f>IF(D366="","",IF(J366="リード付け",M366,VLOOKUP(D366,契約台帳!$A$3:$O$4986,15,FALSE)))</f>
        <v/>
      </c>
      <c r="S366" s="261" t="str">
        <f>IF(D366="","",IF(J366="リード付け",N366,VLOOKUP(D366,契約台帳!$A$3:$P$4986,16,FALSE)))</f>
        <v/>
      </c>
      <c r="T366" s="38"/>
      <c r="U366" s="261" t="str">
        <f ca="1">IF(D366="","",IF(OFFSET(D366,-2,0)=D366,"",VLOOKUP(D366,契約台帳!$A$3:$R$4986,18,FALSE)))</f>
        <v/>
      </c>
      <c r="V366" s="256" t="str">
        <f>IF(J366="巻返し",VLOOKUP(F366&amp;K366&amp;M366,製品マスタ!$M$5:$AD$4999,18,FALSE),IF(J366="リード付け","原反コア",IF(J366="スリット",VLOOKUP(F366&amp;K366&amp;Q366,製品マスタ!$N$5:$AD$4999,17,FALSE),"")))</f>
        <v/>
      </c>
      <c r="W366" s="256" t="str">
        <f>IF(J366="巻返し",VLOOKUP(F366&amp;K366&amp;M366,製品マスタ!$M$5:$AE$4999,19,FALSE),IF(J366="リード付け","-",IF(J366="スリット",VLOOKUP(F366&amp;K366&amp;Q366,製品マスタ!$N$5:$AE$4999,18,FALSE),"")))</f>
        <v/>
      </c>
      <c r="X366" s="256" t="str">
        <f>IF(D366="","",VLOOKUP(D366,契約台帳!$A$3:$Q$4986,17,FALSE))</f>
        <v/>
      </c>
      <c r="Y366" s="256" t="str">
        <f>IF(D366="","",VLOOKUP(D366,契約台帳!$A$3:$E$4986,5,FALSE))</f>
        <v/>
      </c>
      <c r="Z366" s="54"/>
      <c r="AA366" s="200" t="str">
        <f>IFERROR(VLOOKUP(F366&amp;K366&amp;M366,製品マスタ!$M$5:$AM$4999,27,FALSE),"")</f>
        <v/>
      </c>
      <c r="AB366" s="31"/>
      <c r="AC366" s="184"/>
      <c r="AD366" s="51"/>
      <c r="AE366" s="52"/>
      <c r="AF366" s="41"/>
      <c r="AG366" s="45"/>
      <c r="AH366" s="28"/>
      <c r="AI366" s="28"/>
      <c r="AJ366" s="28"/>
      <c r="AK366" s="28"/>
      <c r="AL366" s="12"/>
      <c r="AM366" s="12"/>
      <c r="AN366" s="12"/>
      <c r="AO366" s="12"/>
      <c r="AP366" s="12"/>
      <c r="AQ366" s="13"/>
      <c r="AR366" s="14"/>
    </row>
    <row r="367" spans="1:44" s="16" customFormat="1" ht="30.95" hidden="1" customHeight="1" x14ac:dyDescent="0.2">
      <c r="A367" s="35"/>
      <c r="B367" s="36"/>
      <c r="C367" s="43"/>
      <c r="D367" s="29"/>
      <c r="E367" s="29"/>
      <c r="F367" s="255" t="str">
        <f>IF(D367="","",VLOOKUP(D367,契約台帳!$A$3:$K$4986,6,FALSE)&amp;VLOOKUP(D367,契約台帳!$A$3:$K$4986,7,FALSE)&amp;VLOOKUP(D367,契約台帳!$A$3:$K$4986,8,FALSE)&amp;VLOOKUP(D367,契約台帳!$A$3:$K$4986,9,FALSE)&amp;VLOOKUP(D367,契約台帳!$A$3:$K$4986,11,FALSE))</f>
        <v/>
      </c>
      <c r="G367" s="256" t="str">
        <f>IF(D367="","",VLOOKUP(F367,製品マスタ!$G$5:$H$4999,2,FALSE))</f>
        <v/>
      </c>
      <c r="H367" s="256" t="str">
        <f>IF(D367="","",VLOOKUP(F367,製品マスタ!$G$5:$K$4999,5,FALSE))</f>
        <v/>
      </c>
      <c r="I367" s="200" t="str">
        <f>IF(D367="","",VLOOKUP(F367,製品マスタ!$G$5:$L$4999,6,FALSE))</f>
        <v/>
      </c>
      <c r="J367" s="30"/>
      <c r="K367" s="200" t="str">
        <f>IF(D367="","",VLOOKUP(D367,契約台帳!$A$3:$L$4986,12,FALSE))</f>
        <v/>
      </c>
      <c r="L367" s="200" t="str">
        <f>IF(D367="","",INDEX(製品マスタ!$Q$5:$Q$4999,MATCH(F367&amp;K367,製品マスタ!$AO$5:$AO$4999,0)))</f>
        <v/>
      </c>
      <c r="M367" s="37"/>
      <c r="N367" s="37"/>
      <c r="O367" s="45"/>
      <c r="P367" s="54"/>
      <c r="Q367" s="260" t="str">
        <f>IF(D367="","",IF(J367="リード付け",M367,VLOOKUP(D367,契約台帳!$A$3:$N$4986,14,FALSE)))</f>
        <v/>
      </c>
      <c r="R367" s="261" t="str">
        <f>IF(D367="","",IF(J367="リード付け",M367,VLOOKUP(D367,契約台帳!$A$3:$O$4986,15,FALSE)))</f>
        <v/>
      </c>
      <c r="S367" s="261" t="str">
        <f>IF(D367="","",IF(J367="リード付け",N367,VLOOKUP(D367,契約台帳!$A$3:$P$4986,16,FALSE)))</f>
        <v/>
      </c>
      <c r="T367" s="38"/>
      <c r="U367" s="261" t="str">
        <f ca="1">IF(D367="","",IF(OFFSET(D367,-2,0)=D367,"",VLOOKUP(D367,契約台帳!$A$3:$R$4986,18,FALSE)))</f>
        <v/>
      </c>
      <c r="V367" s="256" t="str">
        <f>IF(J367="巻返し",VLOOKUP(F367&amp;K367&amp;M367,製品マスタ!$M$5:$AD$4999,18,FALSE),IF(J367="リード付け","原反コア",IF(J367="スリット",VLOOKUP(F367&amp;K367&amp;Q367,製品マスタ!$N$5:$AD$4999,17,FALSE),"")))</f>
        <v/>
      </c>
      <c r="W367" s="256" t="str">
        <f>IF(J367="巻返し",VLOOKUP(F367&amp;K367&amp;M367,製品マスタ!$M$5:$AE$4999,19,FALSE),IF(J367="リード付け","-",IF(J367="スリット",VLOOKUP(F367&amp;K367&amp;Q367,製品マスタ!$N$5:$AE$4999,18,FALSE),"")))</f>
        <v/>
      </c>
      <c r="X367" s="256" t="str">
        <f>IF(D367="","",VLOOKUP(D367,契約台帳!$A$3:$Q$4986,17,FALSE))</f>
        <v/>
      </c>
      <c r="Y367" s="256" t="str">
        <f>IF(D367="","",VLOOKUP(D367,契約台帳!$A$3:$E$4986,5,FALSE))</f>
        <v/>
      </c>
      <c r="Z367" s="54"/>
      <c r="AA367" s="200" t="str">
        <f>IFERROR(VLOOKUP(F367&amp;K367&amp;M367,製品マスタ!$M$5:$AM$4999,27,FALSE),"")</f>
        <v/>
      </c>
      <c r="AB367" s="31"/>
      <c r="AC367" s="184"/>
      <c r="AD367" s="51"/>
      <c r="AE367" s="52"/>
      <c r="AF367" s="41"/>
      <c r="AG367" s="45"/>
      <c r="AH367" s="28"/>
      <c r="AI367" s="28"/>
      <c r="AJ367" s="28"/>
      <c r="AK367" s="28"/>
      <c r="AL367" s="12"/>
      <c r="AM367" s="12"/>
      <c r="AN367" s="12"/>
      <c r="AO367" s="12"/>
      <c r="AP367" s="12"/>
      <c r="AQ367" s="13"/>
      <c r="AR367" s="14"/>
    </row>
    <row r="368" spans="1:44" s="16" customFormat="1" ht="30.95" hidden="1" customHeight="1" x14ac:dyDescent="0.2">
      <c r="A368" s="35" t="s">
        <v>1108</v>
      </c>
      <c r="B368" s="36" t="s">
        <v>1109</v>
      </c>
      <c r="C368" s="43"/>
      <c r="D368" s="29"/>
      <c r="E368" s="29"/>
      <c r="F368" s="255" t="str">
        <f>IF(D368="","",VLOOKUP(D368,契約台帳!$A$3:$K$4986,6,FALSE)&amp;VLOOKUP(D368,契約台帳!$A$3:$K$4986,7,FALSE)&amp;VLOOKUP(D368,契約台帳!$A$3:$K$4986,8,FALSE)&amp;VLOOKUP(D368,契約台帳!$A$3:$K$4986,9,FALSE)&amp;VLOOKUP(D368,契約台帳!$A$3:$K$4986,11,FALSE))</f>
        <v/>
      </c>
      <c r="G368" s="256" t="str">
        <f>IF(D368="","",VLOOKUP(F368,製品マスタ!$G$5:$H$4999,2,FALSE))</f>
        <v/>
      </c>
      <c r="H368" s="256" t="str">
        <f>IF(D368="","",VLOOKUP(F368,製品マスタ!$G$5:$K$4999,5,FALSE))</f>
        <v/>
      </c>
      <c r="I368" s="200" t="str">
        <f>IF(D368="","",VLOOKUP(F368,製品マスタ!$G$5:$L$4999,6,FALSE))</f>
        <v/>
      </c>
      <c r="J368" s="30"/>
      <c r="K368" s="200" t="str">
        <f>IF(D368="","",VLOOKUP(D368,契約台帳!$A$3:$L$4986,12,FALSE))</f>
        <v/>
      </c>
      <c r="L368" s="200" t="str">
        <f>IF(D368="","",INDEX(製品マスタ!$Q$5:$Q$4999,MATCH(F368&amp;K368,製品マスタ!$AO$5:$AO$4999,0)))</f>
        <v/>
      </c>
      <c r="M368" s="37"/>
      <c r="N368" s="37"/>
      <c r="O368" s="45"/>
      <c r="P368" s="54"/>
      <c r="Q368" s="260" t="str">
        <f>IF(D368="","",IF(J368="リード付け",M368,VLOOKUP(D368,契約台帳!$A$3:$N$4986,14,FALSE)))</f>
        <v/>
      </c>
      <c r="R368" s="261" t="str">
        <f>IF(D368="","",IF(J368="リード付け",M368,VLOOKUP(D368,契約台帳!$A$3:$O$4986,15,FALSE)))</f>
        <v/>
      </c>
      <c r="S368" s="261" t="str">
        <f>IF(D368="","",IF(J368="リード付け",N368,VLOOKUP(D368,契約台帳!$A$3:$P$4986,16,FALSE)))</f>
        <v/>
      </c>
      <c r="T368" s="38"/>
      <c r="U368" s="261" t="str">
        <f ca="1">IF(D368="","",IF(OFFSET(D368,-2,0)=D368,"",VLOOKUP(D368,契約台帳!$A$3:$R$4986,18,FALSE)))</f>
        <v/>
      </c>
      <c r="V368" s="256" t="str">
        <f>IF(J368="巻返し",VLOOKUP(F368&amp;K368&amp;M368,製品マスタ!$M$5:$AD$4999,18,FALSE),IF(J368="リード付け","原反コア",IF(J368="スリット",VLOOKUP(F368&amp;K368&amp;Q368,製品マスタ!$N$5:$AD$4999,17,FALSE),"")))</f>
        <v/>
      </c>
      <c r="W368" s="256" t="str">
        <f>IF(J368="巻返し",VLOOKUP(F368&amp;K368&amp;M368,製品マスタ!$M$5:$AE$4999,19,FALSE),IF(J368="リード付け","-",IF(J368="スリット",VLOOKUP(F368&amp;K368&amp;Q368,製品マスタ!$N$5:$AE$4999,18,FALSE),"")))</f>
        <v/>
      </c>
      <c r="X368" s="256" t="str">
        <f>IF(D368="","",VLOOKUP(D368,契約台帳!$A$3:$Q$4986,17,FALSE))</f>
        <v/>
      </c>
      <c r="Y368" s="256" t="str">
        <f>IF(D368="","",VLOOKUP(D368,契約台帳!$A$3:$E$4986,5,FALSE))</f>
        <v/>
      </c>
      <c r="Z368" s="54"/>
      <c r="AA368" s="200" t="str">
        <f>IFERROR(VLOOKUP(F368&amp;K368&amp;M368,製品マスタ!$M$5:$AM$4999,27,FALSE),"")</f>
        <v/>
      </c>
      <c r="AB368" s="31"/>
      <c r="AC368" s="184"/>
      <c r="AD368" s="51"/>
      <c r="AE368" s="52"/>
      <c r="AF368" s="41"/>
      <c r="AG368" s="45"/>
      <c r="AH368" s="28"/>
      <c r="AI368" s="28"/>
      <c r="AJ368" s="28"/>
      <c r="AK368" s="28"/>
      <c r="AL368" s="12"/>
      <c r="AM368" s="12"/>
      <c r="AN368" s="12"/>
      <c r="AO368" s="12"/>
      <c r="AP368" s="12"/>
      <c r="AQ368" s="13"/>
      <c r="AR368" s="14"/>
    </row>
    <row r="369" spans="1:44" s="16" customFormat="1" ht="30.95" hidden="1" customHeight="1" x14ac:dyDescent="0.2">
      <c r="A369" s="35"/>
      <c r="B369" s="36"/>
      <c r="C369" s="43"/>
      <c r="D369" s="29"/>
      <c r="E369" s="29"/>
      <c r="F369" s="255" t="str">
        <f>IF(D369="","",VLOOKUP(D369,契約台帳!$A$3:$K$4986,6,FALSE)&amp;VLOOKUP(D369,契約台帳!$A$3:$K$4986,7,FALSE)&amp;VLOOKUP(D369,契約台帳!$A$3:$K$4986,8,FALSE)&amp;VLOOKUP(D369,契約台帳!$A$3:$K$4986,9,FALSE)&amp;VLOOKUP(D369,契約台帳!$A$3:$K$4986,11,FALSE))</f>
        <v/>
      </c>
      <c r="G369" s="256" t="str">
        <f>IF(D369="","",VLOOKUP(F369,製品マスタ!$G$5:$H$4999,2,FALSE))</f>
        <v/>
      </c>
      <c r="H369" s="256" t="str">
        <f>IF(D369="","",VLOOKUP(F369,製品マスタ!$G$5:$K$4999,5,FALSE))</f>
        <v/>
      </c>
      <c r="I369" s="200" t="str">
        <f>IF(D369="","",VLOOKUP(F369,製品マスタ!$G$5:$L$4999,6,FALSE))</f>
        <v/>
      </c>
      <c r="J369" s="30"/>
      <c r="K369" s="200" t="str">
        <f>IF(D369="","",VLOOKUP(D369,契約台帳!$A$3:$L$4986,12,FALSE))</f>
        <v/>
      </c>
      <c r="L369" s="200" t="str">
        <f>IF(D369="","",INDEX(製品マスタ!$Q$5:$Q$4999,MATCH(F369&amp;K369,製品マスタ!$AO$5:$AO$4999,0)))</f>
        <v/>
      </c>
      <c r="M369" s="37"/>
      <c r="N369" s="37"/>
      <c r="O369" s="45"/>
      <c r="P369" s="54"/>
      <c r="Q369" s="260" t="str">
        <f>IF(D369="","",IF(J369="リード付け",M369,VLOOKUP(D369,契約台帳!$A$3:$N$4986,14,FALSE)))</f>
        <v/>
      </c>
      <c r="R369" s="261" t="str">
        <f>IF(D369="","",IF(J369="リード付け",M369,VLOOKUP(D369,契約台帳!$A$3:$O$4986,15,FALSE)))</f>
        <v/>
      </c>
      <c r="S369" s="261" t="str">
        <f>IF(D369="","",IF(J369="リード付け",N369,VLOOKUP(D369,契約台帳!$A$3:$P$4986,16,FALSE)))</f>
        <v/>
      </c>
      <c r="T369" s="38"/>
      <c r="U369" s="261" t="str">
        <f ca="1">IF(D369="","",IF(OFFSET(D369,-2,0)=D369,"",VLOOKUP(D369,契約台帳!$A$3:$R$4986,18,FALSE)))</f>
        <v/>
      </c>
      <c r="V369" s="256" t="str">
        <f>IF(J369="巻返し",VLOOKUP(F369&amp;K369&amp;M369,製品マスタ!$M$5:$AD$4999,18,FALSE),IF(J369="リード付け","原反コア",IF(J369="スリット",VLOOKUP(F369&amp;K369&amp;Q369,製品マスタ!$N$5:$AD$4999,17,FALSE),"")))</f>
        <v/>
      </c>
      <c r="W369" s="256" t="str">
        <f>IF(J369="巻返し",VLOOKUP(F369&amp;K369&amp;M369,製品マスタ!$M$5:$AE$4999,19,FALSE),IF(J369="リード付け","-",IF(J369="スリット",VLOOKUP(F369&amp;K369&amp;Q369,製品マスタ!$N$5:$AE$4999,18,FALSE),"")))</f>
        <v/>
      </c>
      <c r="X369" s="256" t="str">
        <f>IF(D369="","",VLOOKUP(D369,契約台帳!$A$3:$Q$4986,17,FALSE))</f>
        <v/>
      </c>
      <c r="Y369" s="256" t="str">
        <f>IF(D369="","",VLOOKUP(D369,契約台帳!$A$3:$E$4986,5,FALSE))</f>
        <v/>
      </c>
      <c r="Z369" s="54"/>
      <c r="AA369" s="200" t="str">
        <f>IFERROR(VLOOKUP(F369&amp;K369&amp;M369,製品マスタ!$M$5:$AM$4999,27,FALSE),"")</f>
        <v/>
      </c>
      <c r="AB369" s="31"/>
      <c r="AC369" s="184"/>
      <c r="AD369" s="51"/>
      <c r="AE369" s="52"/>
      <c r="AF369" s="41"/>
      <c r="AG369" s="45"/>
      <c r="AH369" s="28"/>
      <c r="AI369" s="28"/>
      <c r="AJ369" s="28"/>
      <c r="AK369" s="28"/>
      <c r="AL369" s="12"/>
      <c r="AM369" s="12"/>
      <c r="AN369" s="12"/>
      <c r="AO369" s="12"/>
      <c r="AP369" s="12"/>
      <c r="AQ369" s="13"/>
      <c r="AR369" s="14"/>
    </row>
    <row r="370" spans="1:44" s="16" customFormat="1" ht="30.95" hidden="1" customHeight="1" x14ac:dyDescent="0.2">
      <c r="A370" s="35" t="s">
        <v>1110</v>
      </c>
      <c r="B370" s="36" t="s">
        <v>1111</v>
      </c>
      <c r="C370" s="43"/>
      <c r="D370" s="29"/>
      <c r="E370" s="29"/>
      <c r="F370" s="255" t="str">
        <f>IF(D370="","",VLOOKUP(D370,契約台帳!$A$3:$K$4986,6,FALSE)&amp;VLOOKUP(D370,契約台帳!$A$3:$K$4986,7,FALSE)&amp;VLOOKUP(D370,契約台帳!$A$3:$K$4986,8,FALSE)&amp;VLOOKUP(D370,契約台帳!$A$3:$K$4986,9,FALSE)&amp;VLOOKUP(D370,契約台帳!$A$3:$K$4986,11,FALSE))</f>
        <v/>
      </c>
      <c r="G370" s="256" t="str">
        <f>IF(D370="","",VLOOKUP(F370,製品マスタ!$G$5:$H$4999,2,FALSE))</f>
        <v/>
      </c>
      <c r="H370" s="256" t="str">
        <f>IF(D370="","",VLOOKUP(F370,製品マスタ!$G$5:$K$4999,5,FALSE))</f>
        <v/>
      </c>
      <c r="I370" s="200" t="str">
        <f>IF(D370="","",VLOOKUP(F370,製品マスタ!$G$5:$L$4999,6,FALSE))</f>
        <v/>
      </c>
      <c r="J370" s="30"/>
      <c r="K370" s="200" t="str">
        <f>IF(D370="","",VLOOKUP(D370,契約台帳!$A$3:$L$4986,12,FALSE))</f>
        <v/>
      </c>
      <c r="L370" s="200" t="str">
        <f>IF(D370="","",INDEX(製品マスタ!$Q$5:$Q$4999,MATCH(F370&amp;K370,製品マスタ!$AO$5:$AO$4999,0)))</f>
        <v/>
      </c>
      <c r="M370" s="37"/>
      <c r="N370" s="37"/>
      <c r="O370" s="45"/>
      <c r="P370" s="54"/>
      <c r="Q370" s="260" t="str">
        <f>IF(D370="","",IF(J370="リード付け",M370,VLOOKUP(D370,契約台帳!$A$3:$N$4986,14,FALSE)))</f>
        <v/>
      </c>
      <c r="R370" s="261" t="str">
        <f>IF(D370="","",IF(J370="リード付け",M370,VLOOKUP(D370,契約台帳!$A$3:$O$4986,15,FALSE)))</f>
        <v/>
      </c>
      <c r="S370" s="261" t="str">
        <f>IF(D370="","",IF(J370="リード付け",N370,VLOOKUP(D370,契約台帳!$A$3:$P$4986,16,FALSE)))</f>
        <v/>
      </c>
      <c r="T370" s="38"/>
      <c r="U370" s="261" t="str">
        <f ca="1">IF(D370="","",IF(OFFSET(D370,-2,0)=D370,"",VLOOKUP(D370,契約台帳!$A$3:$R$4986,18,FALSE)))</f>
        <v/>
      </c>
      <c r="V370" s="256" t="str">
        <f>IF(J370="巻返し",VLOOKUP(F370&amp;K370&amp;M370,製品マスタ!$M$5:$AD$4999,18,FALSE),IF(J370="リード付け","原反コア",IF(J370="スリット",VLOOKUP(F370&amp;K370&amp;Q370,製品マスタ!$N$5:$AD$4999,17,FALSE),"")))</f>
        <v/>
      </c>
      <c r="W370" s="256" t="str">
        <f>IF(J370="巻返し",VLOOKUP(F370&amp;K370&amp;M370,製品マスタ!$M$5:$AE$4999,19,FALSE),IF(J370="リード付け","-",IF(J370="スリット",VLOOKUP(F370&amp;K370&amp;Q370,製品マスタ!$N$5:$AE$4999,18,FALSE),"")))</f>
        <v/>
      </c>
      <c r="X370" s="256" t="str">
        <f>IF(D370="","",VLOOKUP(D370,契約台帳!$A$3:$Q$4986,17,FALSE))</f>
        <v/>
      </c>
      <c r="Y370" s="256" t="str">
        <f>IF(D370="","",VLOOKUP(D370,契約台帳!$A$3:$E$4986,5,FALSE))</f>
        <v/>
      </c>
      <c r="Z370" s="54"/>
      <c r="AA370" s="200" t="str">
        <f>IFERROR(VLOOKUP(F370&amp;K370&amp;M370,製品マスタ!$M$5:$AM$4999,27,FALSE),"")</f>
        <v/>
      </c>
      <c r="AB370" s="31"/>
      <c r="AC370" s="184"/>
      <c r="AD370" s="51"/>
      <c r="AE370" s="52"/>
      <c r="AF370" s="41"/>
      <c r="AG370" s="45"/>
      <c r="AH370" s="28"/>
      <c r="AI370" s="28"/>
      <c r="AJ370" s="28"/>
      <c r="AK370" s="28"/>
      <c r="AL370" s="12"/>
      <c r="AM370" s="12"/>
      <c r="AN370" s="12"/>
      <c r="AO370" s="12"/>
      <c r="AP370" s="12"/>
      <c r="AQ370" s="13"/>
      <c r="AR370" s="14"/>
    </row>
    <row r="371" spans="1:44" s="16" customFormat="1" ht="30.95" hidden="1" customHeight="1" x14ac:dyDescent="0.2">
      <c r="A371" s="35"/>
      <c r="B371" s="36"/>
      <c r="C371" s="43"/>
      <c r="D371" s="29"/>
      <c r="E371" s="29"/>
      <c r="F371" s="255" t="str">
        <f>IF(D371="","",VLOOKUP(D371,契約台帳!$A$3:$K$4986,6,FALSE)&amp;VLOOKUP(D371,契約台帳!$A$3:$K$4986,7,FALSE)&amp;VLOOKUP(D371,契約台帳!$A$3:$K$4986,8,FALSE)&amp;VLOOKUP(D371,契約台帳!$A$3:$K$4986,9,FALSE)&amp;VLOOKUP(D371,契約台帳!$A$3:$K$4986,11,FALSE))</f>
        <v/>
      </c>
      <c r="G371" s="256" t="str">
        <f>IF(D371="","",VLOOKUP(F371,製品マスタ!$G$5:$H$4999,2,FALSE))</f>
        <v/>
      </c>
      <c r="H371" s="256" t="str">
        <f>IF(D371="","",VLOOKUP(F371,製品マスタ!$G$5:$K$4999,5,FALSE))</f>
        <v/>
      </c>
      <c r="I371" s="200" t="str">
        <f>IF(D371="","",VLOOKUP(F371,製品マスタ!$G$5:$L$4999,6,FALSE))</f>
        <v/>
      </c>
      <c r="J371" s="30"/>
      <c r="K371" s="200" t="str">
        <f>IF(D371="","",VLOOKUP(D371,契約台帳!$A$3:$L$4986,12,FALSE))</f>
        <v/>
      </c>
      <c r="L371" s="200" t="str">
        <f>IF(D371="","",INDEX(製品マスタ!$Q$5:$Q$4999,MATCH(F371&amp;K371,製品マスタ!$AO$5:$AO$4999,0)))</f>
        <v/>
      </c>
      <c r="M371" s="37"/>
      <c r="N371" s="37"/>
      <c r="O371" s="45"/>
      <c r="P371" s="54"/>
      <c r="Q371" s="260" t="str">
        <f>IF(D371="","",IF(J371="リード付け",M371,VLOOKUP(D371,契約台帳!$A$3:$N$4986,14,FALSE)))</f>
        <v/>
      </c>
      <c r="R371" s="261" t="str">
        <f>IF(D371="","",IF(J371="リード付け",M371,VLOOKUP(D371,契約台帳!$A$3:$O$4986,15,FALSE)))</f>
        <v/>
      </c>
      <c r="S371" s="261" t="str">
        <f>IF(D371="","",IF(J371="リード付け",N371,VLOOKUP(D371,契約台帳!$A$3:$P$4986,16,FALSE)))</f>
        <v/>
      </c>
      <c r="T371" s="38"/>
      <c r="U371" s="261" t="str">
        <f ca="1">IF(D371="","",IF(OFFSET(D371,-2,0)=D371,"",VLOOKUP(D371,契約台帳!$A$3:$R$4986,18,FALSE)))</f>
        <v/>
      </c>
      <c r="V371" s="256" t="str">
        <f>IF(J371="巻返し",VLOOKUP(F371&amp;K371&amp;M371,製品マスタ!$M$5:$AD$4999,18,FALSE),IF(J371="リード付け","原反コア",IF(J371="スリット",VLOOKUP(F371&amp;K371&amp;Q371,製品マスタ!$N$5:$AD$4999,17,FALSE),"")))</f>
        <v/>
      </c>
      <c r="W371" s="256" t="str">
        <f>IF(J371="巻返し",VLOOKUP(F371&amp;K371&amp;M371,製品マスタ!$M$5:$AE$4999,19,FALSE),IF(J371="リード付け","-",IF(J371="スリット",VLOOKUP(F371&amp;K371&amp;Q371,製品マスタ!$N$5:$AE$4999,18,FALSE),"")))</f>
        <v/>
      </c>
      <c r="X371" s="256" t="str">
        <f>IF(D371="","",VLOOKUP(D371,契約台帳!$A$3:$Q$4986,17,FALSE))</f>
        <v/>
      </c>
      <c r="Y371" s="256" t="str">
        <f>IF(D371="","",VLOOKUP(D371,契約台帳!$A$3:$E$4986,5,FALSE))</f>
        <v/>
      </c>
      <c r="Z371" s="54"/>
      <c r="AA371" s="200" t="str">
        <f>IFERROR(VLOOKUP(F371&amp;K371&amp;M371,製品マスタ!$M$5:$AM$4999,27,FALSE),"")</f>
        <v/>
      </c>
      <c r="AB371" s="31"/>
      <c r="AC371" s="184"/>
      <c r="AD371" s="51"/>
      <c r="AE371" s="52"/>
      <c r="AF371" s="41"/>
      <c r="AG371" s="45"/>
      <c r="AH371" s="28"/>
      <c r="AI371" s="28"/>
      <c r="AJ371" s="28"/>
      <c r="AK371" s="28"/>
      <c r="AL371" s="12"/>
      <c r="AM371" s="12"/>
      <c r="AN371" s="12"/>
      <c r="AO371" s="12"/>
      <c r="AP371" s="12"/>
      <c r="AQ371" s="13"/>
      <c r="AR371" s="14"/>
    </row>
    <row r="372" spans="1:44" s="16" customFormat="1" ht="30.95" hidden="1" customHeight="1" x14ac:dyDescent="0.2">
      <c r="A372" s="35" t="s">
        <v>1112</v>
      </c>
      <c r="B372" s="36" t="s">
        <v>1099</v>
      </c>
      <c r="C372" s="43"/>
      <c r="D372" s="29"/>
      <c r="E372" s="29"/>
      <c r="F372" s="255" t="str">
        <f>IF(D372="","",VLOOKUP(D372,契約台帳!$A$3:$K$4986,6,FALSE)&amp;VLOOKUP(D372,契約台帳!$A$3:$K$4986,7,FALSE)&amp;VLOOKUP(D372,契約台帳!$A$3:$K$4986,8,FALSE)&amp;VLOOKUP(D372,契約台帳!$A$3:$K$4986,9,FALSE)&amp;VLOOKUP(D372,契約台帳!$A$3:$K$4986,11,FALSE))</f>
        <v/>
      </c>
      <c r="G372" s="256" t="str">
        <f>IF(D372="","",VLOOKUP(F372,製品マスタ!$G$5:$H$4999,2,FALSE))</f>
        <v/>
      </c>
      <c r="H372" s="256" t="str">
        <f>IF(D372="","",VLOOKUP(F372,製品マスタ!$G$5:$K$4999,5,FALSE))</f>
        <v/>
      </c>
      <c r="I372" s="200" t="str">
        <f>IF(D372="","",VLOOKUP(F372,製品マスタ!$G$5:$L$4999,6,FALSE))</f>
        <v/>
      </c>
      <c r="J372" s="30" t="s">
        <v>448</v>
      </c>
      <c r="K372" s="200" t="str">
        <f>IF(D372="","",VLOOKUP(D372,契約台帳!$A$3:$L$4986,12,FALSE))</f>
        <v/>
      </c>
      <c r="L372" s="200" t="str">
        <f>IF(D372="","",INDEX(製品マスタ!$Q$5:$Q$4999,MATCH(F372&amp;K372,製品マスタ!$AO$5:$AO$4999,0)))</f>
        <v/>
      </c>
      <c r="M372" s="37"/>
      <c r="N372" s="37"/>
      <c r="O372" s="45"/>
      <c r="P372" s="54"/>
      <c r="Q372" s="260" t="str">
        <f>IF(D372="","",IF(J372="リード付け",M372,VLOOKUP(D372,契約台帳!$A$3:$N$4986,14,FALSE)))</f>
        <v/>
      </c>
      <c r="R372" s="261" t="str">
        <f>IF(D372="","",IF(J372="リード付け",M372,VLOOKUP(D372,契約台帳!$A$3:$O$4986,15,FALSE)))</f>
        <v/>
      </c>
      <c r="S372" s="261" t="str">
        <f>IF(D372="","",IF(J372="リード付け",N372,VLOOKUP(D372,契約台帳!$A$3:$P$4986,16,FALSE)))</f>
        <v/>
      </c>
      <c r="T372" s="38"/>
      <c r="U372" s="261" t="str">
        <f ca="1">IF(D372="","",IF(OFFSET(D372,-2,0)=D372,"",VLOOKUP(D372,契約台帳!$A$3:$R$4986,18,FALSE)))</f>
        <v/>
      </c>
      <c r="V372" s="256" t="str">
        <f>IF(J372="巻返し",VLOOKUP(F372&amp;K372&amp;M372,製品マスタ!$M$5:$AD$4999,18,FALSE),IF(J372="リード付け","原反コア",IF(J372="スリット",VLOOKUP(F372&amp;K372&amp;Q372,製品マスタ!$N$5:$AD$4999,17,FALSE),"")))</f>
        <v/>
      </c>
      <c r="W372" s="256" t="str">
        <f>IF(J372="巻返し",VLOOKUP(F372&amp;K372&amp;M372,製品マスタ!$M$5:$AE$4999,19,FALSE),IF(J372="リード付け","-",IF(J372="スリット",VLOOKUP(F372&amp;K372&amp;Q372,製品マスタ!$N$5:$AE$4999,18,FALSE),"")))</f>
        <v/>
      </c>
      <c r="X372" s="256" t="str">
        <f>IF(D372="","",VLOOKUP(D372,契約台帳!$A$3:$Q$4986,17,FALSE))</f>
        <v/>
      </c>
      <c r="Y372" s="256" t="str">
        <f>IF(D372="","",VLOOKUP(D372,契約台帳!$A$3:$E$4986,5,FALSE))</f>
        <v/>
      </c>
      <c r="Z372" s="54"/>
      <c r="AA372" s="200" t="str">
        <f>IFERROR(VLOOKUP(F372&amp;K372&amp;M372,製品マスタ!$M$5:$AM$4999,27,FALSE),"")</f>
        <v/>
      </c>
      <c r="AB372" s="31"/>
      <c r="AC372" s="184"/>
      <c r="AD372" s="51"/>
      <c r="AE372" s="52"/>
      <c r="AF372" s="41"/>
      <c r="AG372" s="45"/>
      <c r="AH372" s="28"/>
      <c r="AI372" s="28"/>
      <c r="AJ372" s="28"/>
      <c r="AK372" s="28"/>
      <c r="AL372" s="12"/>
      <c r="AM372" s="12"/>
      <c r="AN372" s="12"/>
      <c r="AO372" s="12"/>
      <c r="AP372" s="12"/>
      <c r="AQ372" s="13"/>
      <c r="AR372" s="14"/>
    </row>
    <row r="373" spans="1:44" s="16" customFormat="1" ht="30.95" hidden="1" customHeight="1" x14ac:dyDescent="0.2">
      <c r="A373" s="35"/>
      <c r="B373" s="36"/>
      <c r="C373" s="43"/>
      <c r="D373" s="29"/>
      <c r="E373" s="29"/>
      <c r="F373" s="255" t="str">
        <f>IF(D373="","",VLOOKUP(D373,契約台帳!$A$3:$K$4986,6,FALSE)&amp;VLOOKUP(D373,契約台帳!$A$3:$K$4986,7,FALSE)&amp;VLOOKUP(D373,契約台帳!$A$3:$K$4986,8,FALSE)&amp;VLOOKUP(D373,契約台帳!$A$3:$K$4986,9,FALSE)&amp;VLOOKUP(D373,契約台帳!$A$3:$K$4986,11,FALSE))</f>
        <v/>
      </c>
      <c r="G373" s="256" t="str">
        <f>IF(D373="","",VLOOKUP(F373,製品マスタ!$G$5:$H$4999,2,FALSE))</f>
        <v/>
      </c>
      <c r="H373" s="256" t="str">
        <f>IF(D373="","",VLOOKUP(F373,製品マスタ!$G$5:$K$4999,5,FALSE))</f>
        <v/>
      </c>
      <c r="I373" s="200" t="str">
        <f>IF(D373="","",VLOOKUP(F373,製品マスタ!$G$5:$L$4999,6,FALSE))</f>
        <v/>
      </c>
      <c r="J373" s="30"/>
      <c r="K373" s="200" t="str">
        <f>IF(D373="","",VLOOKUP(D373,契約台帳!$A$3:$L$4986,12,FALSE))</f>
        <v/>
      </c>
      <c r="L373" s="200" t="str">
        <f>IF(D373="","",INDEX(製品マスタ!$Q$5:$Q$4999,MATCH(F373&amp;K373,製品マスタ!$AO$5:$AO$4999,0)))</f>
        <v/>
      </c>
      <c r="M373" s="37"/>
      <c r="N373" s="37"/>
      <c r="O373" s="45"/>
      <c r="P373" s="54"/>
      <c r="Q373" s="260" t="str">
        <f>IF(D373="","",IF(J373="リード付け",M373,VLOOKUP(D373,契約台帳!$A$3:$N$4986,14,FALSE)))</f>
        <v/>
      </c>
      <c r="R373" s="261" t="str">
        <f>IF(D373="","",IF(J373="リード付け",M373,VLOOKUP(D373,契約台帳!$A$3:$O$4986,15,FALSE)))</f>
        <v/>
      </c>
      <c r="S373" s="261" t="str">
        <f>IF(D373="","",IF(J373="リード付け",N373,VLOOKUP(D373,契約台帳!$A$3:$P$4986,16,FALSE)))</f>
        <v/>
      </c>
      <c r="T373" s="38"/>
      <c r="U373" s="261" t="str">
        <f ca="1">IF(D373="","",IF(OFFSET(D373,-2,0)=D373,"",VLOOKUP(D373,契約台帳!$A$3:$R$4986,18,FALSE)))</f>
        <v/>
      </c>
      <c r="V373" s="256" t="str">
        <f>IF(J373="巻返し",VLOOKUP(F373&amp;K373&amp;M373,製品マスタ!$M$5:$AD$4999,18,FALSE),IF(J373="リード付け","原反コア",IF(J373="スリット",VLOOKUP(F373&amp;K373&amp;Q373,製品マスタ!$N$5:$AD$4999,17,FALSE),"")))</f>
        <v/>
      </c>
      <c r="W373" s="256" t="str">
        <f>IF(J373="巻返し",VLOOKUP(F373&amp;K373&amp;M373,製品マスタ!$M$5:$AE$4999,19,FALSE),IF(J373="リード付け","-",IF(J373="スリット",VLOOKUP(F373&amp;K373&amp;Q373,製品マスタ!$N$5:$AE$4999,18,FALSE),"")))</f>
        <v/>
      </c>
      <c r="X373" s="256" t="str">
        <f>IF(D373="","",VLOOKUP(D373,契約台帳!$A$3:$Q$4986,17,FALSE))</f>
        <v/>
      </c>
      <c r="Y373" s="256" t="str">
        <f>IF(D373="","",VLOOKUP(D373,契約台帳!$A$3:$E$4986,5,FALSE))</f>
        <v/>
      </c>
      <c r="Z373" s="54"/>
      <c r="AA373" s="200" t="str">
        <f>IFERROR(VLOOKUP(F373&amp;K373&amp;M373,製品マスタ!$M$5:$AM$4999,27,FALSE),"")</f>
        <v/>
      </c>
      <c r="AB373" s="31"/>
      <c r="AC373" s="184"/>
      <c r="AD373" s="51"/>
      <c r="AE373" s="52"/>
      <c r="AF373" s="41"/>
      <c r="AG373" s="45"/>
      <c r="AH373" s="28"/>
      <c r="AI373" s="28"/>
      <c r="AJ373" s="28"/>
      <c r="AK373" s="28"/>
      <c r="AL373" s="12"/>
      <c r="AM373" s="12"/>
      <c r="AN373" s="12"/>
      <c r="AO373" s="12"/>
      <c r="AP373" s="12"/>
      <c r="AQ373" s="13"/>
      <c r="AR373" s="14"/>
    </row>
    <row r="374" spans="1:44" s="16" customFormat="1" ht="30.95" hidden="1" customHeight="1" x14ac:dyDescent="0.2">
      <c r="A374" s="35" t="s">
        <v>1113</v>
      </c>
      <c r="B374" s="36" t="s">
        <v>1101</v>
      </c>
      <c r="C374" s="43"/>
      <c r="D374" s="29"/>
      <c r="E374" s="29"/>
      <c r="F374" s="255" t="str">
        <f>IF(D374="","",VLOOKUP(D374,契約台帳!$A$3:$K$4986,6,FALSE)&amp;VLOOKUP(D374,契約台帳!$A$3:$K$4986,7,FALSE)&amp;VLOOKUP(D374,契約台帳!$A$3:$K$4986,8,FALSE)&amp;VLOOKUP(D374,契約台帳!$A$3:$K$4986,9,FALSE)&amp;VLOOKUP(D374,契約台帳!$A$3:$K$4986,11,FALSE))</f>
        <v/>
      </c>
      <c r="G374" s="256" t="str">
        <f>IF(D374="","",VLOOKUP(F374,製品マスタ!$G$5:$H$4999,2,FALSE))</f>
        <v/>
      </c>
      <c r="H374" s="256" t="str">
        <f>IF(D374="","",VLOOKUP(F374,製品マスタ!$G$5:$K$4999,5,FALSE))</f>
        <v/>
      </c>
      <c r="I374" s="200" t="str">
        <f>IF(D374="","",VLOOKUP(F374,製品マスタ!$G$5:$L$4999,6,FALSE))</f>
        <v/>
      </c>
      <c r="J374" s="30" t="s">
        <v>448</v>
      </c>
      <c r="K374" s="200" t="str">
        <f>IF(D374="","",VLOOKUP(D374,契約台帳!$A$3:$L$4986,12,FALSE))</f>
        <v/>
      </c>
      <c r="L374" s="200" t="str">
        <f>IF(D374="","",INDEX(製品マスタ!$Q$5:$Q$4999,MATCH(F374&amp;K374,製品マスタ!$AO$5:$AO$4999,0)))</f>
        <v/>
      </c>
      <c r="M374" s="37"/>
      <c r="N374" s="37"/>
      <c r="O374" s="45"/>
      <c r="P374" s="54"/>
      <c r="Q374" s="260" t="str">
        <f>IF(D374="","",IF(J374="リード付け",M374,VLOOKUP(D374,契約台帳!$A$3:$N$4986,14,FALSE)))</f>
        <v/>
      </c>
      <c r="R374" s="261" t="str">
        <f>IF(D374="","",IF(J374="リード付け",M374,VLOOKUP(D374,契約台帳!$A$3:$O$4986,15,FALSE)))</f>
        <v/>
      </c>
      <c r="S374" s="261" t="str">
        <f>IF(D374="","",IF(J374="リード付け",N374,VLOOKUP(D374,契約台帳!$A$3:$P$4986,16,FALSE)))</f>
        <v/>
      </c>
      <c r="T374" s="38"/>
      <c r="U374" s="261" t="str">
        <f ca="1">IF(D374="","",IF(OFFSET(D374,-2,0)=D374,"",VLOOKUP(D374,契約台帳!$A$3:$R$4986,18,FALSE)))</f>
        <v/>
      </c>
      <c r="V374" s="256" t="str">
        <f>IF(J374="巻返し",VLOOKUP(F374&amp;K374&amp;M374,製品マスタ!$M$5:$AD$4999,18,FALSE),IF(J374="リード付け","原反コア",IF(J374="スリット",VLOOKUP(F374&amp;K374&amp;Q374,製品マスタ!$N$5:$AD$4999,17,FALSE),"")))</f>
        <v/>
      </c>
      <c r="W374" s="256" t="str">
        <f>IF(J374="巻返し",VLOOKUP(F374&amp;K374&amp;M374,製品マスタ!$M$5:$AE$4999,19,FALSE),IF(J374="リード付け","-",IF(J374="スリット",VLOOKUP(F374&amp;K374&amp;Q374,製品マスタ!$N$5:$AE$4999,18,FALSE),"")))</f>
        <v/>
      </c>
      <c r="X374" s="256" t="str">
        <f>IF(D374="","",VLOOKUP(D374,契約台帳!$A$3:$Q$4986,17,FALSE))</f>
        <v/>
      </c>
      <c r="Y374" s="256" t="str">
        <f>IF(D374="","",VLOOKUP(D374,契約台帳!$A$3:$E$4986,5,FALSE))</f>
        <v/>
      </c>
      <c r="Z374" s="54"/>
      <c r="AA374" s="200" t="str">
        <f>IFERROR(VLOOKUP(F374&amp;K374&amp;M374,製品マスタ!$M$5:$AM$4999,27,FALSE),"")</f>
        <v/>
      </c>
      <c r="AB374" s="31"/>
      <c r="AC374" s="184"/>
      <c r="AD374" s="51"/>
      <c r="AE374" s="52"/>
      <c r="AF374" s="41"/>
      <c r="AG374" s="45"/>
      <c r="AH374" s="28"/>
      <c r="AI374" s="28"/>
      <c r="AJ374" s="28"/>
      <c r="AK374" s="28"/>
      <c r="AL374" s="12"/>
      <c r="AM374" s="12"/>
      <c r="AN374" s="12"/>
      <c r="AO374" s="12"/>
      <c r="AP374" s="12"/>
      <c r="AQ374" s="13"/>
      <c r="AR374" s="14"/>
    </row>
    <row r="375" spans="1:44" s="16" customFormat="1" ht="30.95" hidden="1" customHeight="1" x14ac:dyDescent="0.2">
      <c r="A375" s="35"/>
      <c r="B375" s="36"/>
      <c r="C375" s="43"/>
      <c r="D375" s="29"/>
      <c r="E375" s="29"/>
      <c r="F375" s="255" t="str">
        <f>IF(D375="","",VLOOKUP(D375,契約台帳!$A$3:$K$4986,6,FALSE)&amp;VLOOKUP(D375,契約台帳!$A$3:$K$4986,7,FALSE)&amp;VLOOKUP(D375,契約台帳!$A$3:$K$4986,8,FALSE)&amp;VLOOKUP(D375,契約台帳!$A$3:$K$4986,9,FALSE)&amp;VLOOKUP(D375,契約台帳!$A$3:$K$4986,11,FALSE))</f>
        <v/>
      </c>
      <c r="G375" s="256" t="str">
        <f>IF(D375="","",VLOOKUP(F375,製品マスタ!$G$5:$H$4999,2,FALSE))</f>
        <v/>
      </c>
      <c r="H375" s="256" t="str">
        <f>IF(D375="","",VLOOKUP(F375,製品マスタ!$G$5:$K$4999,5,FALSE))</f>
        <v/>
      </c>
      <c r="I375" s="200" t="str">
        <f>IF(D375="","",VLOOKUP(F375,製品マスタ!$G$5:$L$4999,6,FALSE))</f>
        <v/>
      </c>
      <c r="J375" s="30"/>
      <c r="K375" s="200" t="str">
        <f>IF(D375="","",VLOOKUP(D375,契約台帳!$A$3:$L$4986,12,FALSE))</f>
        <v/>
      </c>
      <c r="L375" s="200" t="str">
        <f>IF(D375="","",INDEX(製品マスタ!$Q$5:$Q$4999,MATCH(F375&amp;K375,製品マスタ!$AO$5:$AO$4999,0)))</f>
        <v/>
      </c>
      <c r="M375" s="37"/>
      <c r="N375" s="37"/>
      <c r="O375" s="45"/>
      <c r="P375" s="54"/>
      <c r="Q375" s="260" t="str">
        <f>IF(D375="","",IF(J375="リード付け",M375,VLOOKUP(D375,契約台帳!$A$3:$N$4986,14,FALSE)))</f>
        <v/>
      </c>
      <c r="R375" s="261" t="str">
        <f>IF(D375="","",IF(J375="リード付け",M375,VLOOKUP(D375,契約台帳!$A$3:$O$4986,15,FALSE)))</f>
        <v/>
      </c>
      <c r="S375" s="261" t="str">
        <f>IF(D375="","",IF(J375="リード付け",N375,VLOOKUP(D375,契約台帳!$A$3:$P$4986,16,FALSE)))</f>
        <v/>
      </c>
      <c r="T375" s="38"/>
      <c r="U375" s="261" t="str">
        <f ca="1">IF(D375="","",IF(OFFSET(D375,-2,0)=D375,"",VLOOKUP(D375,契約台帳!$A$3:$R$4986,18,FALSE)))</f>
        <v/>
      </c>
      <c r="V375" s="256" t="str">
        <f>IF(J375="巻返し",VLOOKUP(F375&amp;K375&amp;M375,製品マスタ!$M$5:$AD$4999,18,FALSE),IF(J375="リード付け","原反コア",IF(J375="スリット",VLOOKUP(F375&amp;K375&amp;Q375,製品マスタ!$N$5:$AD$4999,17,FALSE),"")))</f>
        <v/>
      </c>
      <c r="W375" s="256" t="str">
        <f>IF(J375="巻返し",VLOOKUP(F375&amp;K375&amp;M375,製品マスタ!$M$5:$AE$4999,19,FALSE),IF(J375="リード付け","-",IF(J375="スリット",VLOOKUP(F375&amp;K375&amp;Q375,製品マスタ!$N$5:$AE$4999,18,FALSE),"")))</f>
        <v/>
      </c>
      <c r="X375" s="256" t="str">
        <f>IF(D375="","",VLOOKUP(D375,契約台帳!$A$3:$Q$4986,17,FALSE))</f>
        <v/>
      </c>
      <c r="Y375" s="256" t="str">
        <f>IF(D375="","",VLOOKUP(D375,契約台帳!$A$3:$E$4986,5,FALSE))</f>
        <v/>
      </c>
      <c r="Z375" s="54"/>
      <c r="AA375" s="200" t="str">
        <f>IFERROR(VLOOKUP(F375&amp;K375&amp;M375,製品マスタ!$M$5:$AM$4999,27,FALSE),"")</f>
        <v/>
      </c>
      <c r="AB375" s="31"/>
      <c r="AC375" s="184"/>
      <c r="AD375" s="51"/>
      <c r="AE375" s="52"/>
      <c r="AF375" s="41"/>
      <c r="AG375" s="45"/>
      <c r="AH375" s="28"/>
      <c r="AI375" s="28"/>
      <c r="AJ375" s="28"/>
      <c r="AK375" s="28"/>
      <c r="AL375" s="12"/>
      <c r="AM375" s="12"/>
      <c r="AN375" s="12"/>
      <c r="AO375" s="12"/>
      <c r="AP375" s="12"/>
      <c r="AQ375" s="13"/>
      <c r="AR375" s="14"/>
    </row>
    <row r="376" spans="1:44" s="16" customFormat="1" ht="30.95" hidden="1" customHeight="1" x14ac:dyDescent="0.2">
      <c r="A376" s="35" t="s">
        <v>1114</v>
      </c>
      <c r="B376" s="36" t="s">
        <v>1103</v>
      </c>
      <c r="C376" s="43"/>
      <c r="D376" s="29"/>
      <c r="E376" s="29"/>
      <c r="F376" s="255" t="str">
        <f>IF(D376="","",VLOOKUP(D376,契約台帳!$A$3:$K$4986,6,FALSE)&amp;VLOOKUP(D376,契約台帳!$A$3:$K$4986,7,FALSE)&amp;VLOOKUP(D376,契約台帳!$A$3:$K$4986,8,FALSE)&amp;VLOOKUP(D376,契約台帳!$A$3:$K$4986,9,FALSE)&amp;VLOOKUP(D376,契約台帳!$A$3:$K$4986,11,FALSE))</f>
        <v/>
      </c>
      <c r="G376" s="256" t="str">
        <f>IF(D376="","",VLOOKUP(F376,製品マスタ!$G$5:$H$4999,2,FALSE))</f>
        <v/>
      </c>
      <c r="H376" s="256" t="str">
        <f>IF(D376="","",VLOOKUP(F376,製品マスタ!$G$5:$K$4999,5,FALSE))</f>
        <v/>
      </c>
      <c r="I376" s="200" t="str">
        <f>IF(D376="","",VLOOKUP(F376,製品マスタ!$G$5:$L$4999,6,FALSE))</f>
        <v/>
      </c>
      <c r="J376" s="30" t="s">
        <v>448</v>
      </c>
      <c r="K376" s="200" t="str">
        <f>IF(D376="","",VLOOKUP(D376,契約台帳!$A$3:$L$4986,12,FALSE))</f>
        <v/>
      </c>
      <c r="L376" s="200" t="str">
        <f>IF(D376="","",INDEX(製品マスタ!$Q$5:$Q$4999,MATCH(F376&amp;K376,製品マスタ!$AO$5:$AO$4999,0)))</f>
        <v/>
      </c>
      <c r="M376" s="37"/>
      <c r="N376" s="37"/>
      <c r="O376" s="45"/>
      <c r="P376" s="54"/>
      <c r="Q376" s="260" t="str">
        <f>IF(D376="","",IF(J376="リード付け",M376,VLOOKUP(D376,契約台帳!$A$3:$N$4986,14,FALSE)))</f>
        <v/>
      </c>
      <c r="R376" s="261" t="str">
        <f>IF(D376="","",IF(J376="リード付け",M376,VLOOKUP(D376,契約台帳!$A$3:$O$4986,15,FALSE)))</f>
        <v/>
      </c>
      <c r="S376" s="261" t="str">
        <f>IF(D376="","",IF(J376="リード付け",N376,VLOOKUP(D376,契約台帳!$A$3:$P$4986,16,FALSE)))</f>
        <v/>
      </c>
      <c r="T376" s="38"/>
      <c r="U376" s="261" t="str">
        <f ca="1">IF(D376="","",IF(OFFSET(D376,-2,0)=D376,"",VLOOKUP(D376,契約台帳!$A$3:$R$4986,18,FALSE)))</f>
        <v/>
      </c>
      <c r="V376" s="256" t="str">
        <f>IF(J376="巻返し",VLOOKUP(F376&amp;K376&amp;M376,製品マスタ!$M$5:$AD$4999,18,FALSE),IF(J376="リード付け","原反コア",IF(J376="スリット",VLOOKUP(F376&amp;K376&amp;Q376,製品マスタ!$N$5:$AD$4999,17,FALSE),"")))</f>
        <v/>
      </c>
      <c r="W376" s="256" t="str">
        <f>IF(J376="巻返し",VLOOKUP(F376&amp;K376&amp;M376,製品マスタ!$M$5:$AE$4999,19,FALSE),IF(J376="リード付け","-",IF(J376="スリット",VLOOKUP(F376&amp;K376&amp;Q376,製品マスタ!$N$5:$AE$4999,18,FALSE),"")))</f>
        <v/>
      </c>
      <c r="X376" s="256" t="str">
        <f>IF(D376="","",VLOOKUP(D376,契約台帳!$A$3:$Q$4986,17,FALSE))</f>
        <v/>
      </c>
      <c r="Y376" s="256" t="str">
        <f>IF(D376="","",VLOOKUP(D376,契約台帳!$A$3:$E$4986,5,FALSE))</f>
        <v/>
      </c>
      <c r="Z376" s="54"/>
      <c r="AA376" s="200" t="str">
        <f>IFERROR(VLOOKUP(F376&amp;K376&amp;M376,製品マスタ!$M$5:$AM$4999,27,FALSE),"")</f>
        <v/>
      </c>
      <c r="AB376" s="31"/>
      <c r="AC376" s="184"/>
      <c r="AD376" s="51"/>
      <c r="AE376" s="52"/>
      <c r="AF376" s="41"/>
      <c r="AG376" s="45"/>
      <c r="AH376" s="28"/>
      <c r="AI376" s="28"/>
      <c r="AJ376" s="28"/>
      <c r="AK376" s="28"/>
      <c r="AL376" s="12"/>
      <c r="AM376" s="12"/>
      <c r="AN376" s="12"/>
      <c r="AO376" s="12"/>
      <c r="AP376" s="12"/>
      <c r="AQ376" s="13"/>
      <c r="AR376" s="14"/>
    </row>
    <row r="377" spans="1:44" s="16" customFormat="1" ht="30.95" hidden="1" customHeight="1" x14ac:dyDescent="0.2">
      <c r="A377" s="35"/>
      <c r="B377" s="36"/>
      <c r="C377" s="43"/>
      <c r="D377" s="29"/>
      <c r="E377" s="29"/>
      <c r="F377" s="255" t="str">
        <f>IF(D377="","",VLOOKUP(D377,契約台帳!$A$3:$K$4986,6,FALSE)&amp;VLOOKUP(D377,契約台帳!$A$3:$K$4986,7,FALSE)&amp;VLOOKUP(D377,契約台帳!$A$3:$K$4986,8,FALSE)&amp;VLOOKUP(D377,契約台帳!$A$3:$K$4986,9,FALSE)&amp;VLOOKUP(D377,契約台帳!$A$3:$K$4986,11,FALSE))</f>
        <v/>
      </c>
      <c r="G377" s="256" t="str">
        <f>IF(D377="","",VLOOKUP(F377,製品マスタ!$G$5:$H$4999,2,FALSE))</f>
        <v/>
      </c>
      <c r="H377" s="256" t="str">
        <f>IF(D377="","",VLOOKUP(F377,製品マスタ!$G$5:$K$4999,5,FALSE))</f>
        <v/>
      </c>
      <c r="I377" s="200" t="str">
        <f>IF(D377="","",VLOOKUP(F377,製品マスタ!$G$5:$L$4999,6,FALSE))</f>
        <v/>
      </c>
      <c r="J377" s="30"/>
      <c r="K377" s="200" t="str">
        <f>IF(D377="","",VLOOKUP(D377,契約台帳!$A$3:$L$4986,12,FALSE))</f>
        <v/>
      </c>
      <c r="L377" s="200" t="str">
        <f>IF(D377="","",INDEX(製品マスタ!$Q$5:$Q$4999,MATCH(F377&amp;K377,製品マスタ!$AO$5:$AO$4999,0)))</f>
        <v/>
      </c>
      <c r="M377" s="37"/>
      <c r="N377" s="37"/>
      <c r="O377" s="45"/>
      <c r="P377" s="54"/>
      <c r="Q377" s="260" t="str">
        <f>IF(D377="","",IF(J377="リード付け",M377,VLOOKUP(D377,契約台帳!$A$3:$N$4986,14,FALSE)))</f>
        <v/>
      </c>
      <c r="R377" s="261" t="str">
        <f>IF(D377="","",IF(J377="リード付け",M377,VLOOKUP(D377,契約台帳!$A$3:$O$4986,15,FALSE)))</f>
        <v/>
      </c>
      <c r="S377" s="261" t="str">
        <f>IF(D377="","",IF(J377="リード付け",N377,VLOOKUP(D377,契約台帳!$A$3:$P$4986,16,FALSE)))</f>
        <v/>
      </c>
      <c r="T377" s="38"/>
      <c r="U377" s="261" t="str">
        <f ca="1">IF(D377="","",IF(OFFSET(D377,-2,0)=D377,"",VLOOKUP(D377,契約台帳!$A$3:$R$4986,18,FALSE)))</f>
        <v/>
      </c>
      <c r="V377" s="256" t="str">
        <f>IF(J377="巻返し",VLOOKUP(F377&amp;K377&amp;M377,製品マスタ!$M$5:$AD$4999,18,FALSE),IF(J377="リード付け","原反コア",IF(J377="スリット",VLOOKUP(F377&amp;K377&amp;Q377,製品マスタ!$N$5:$AD$4999,17,FALSE),"")))</f>
        <v/>
      </c>
      <c r="W377" s="256" t="str">
        <f>IF(J377="巻返し",VLOOKUP(F377&amp;K377&amp;M377,製品マスタ!$M$5:$AE$4999,19,FALSE),IF(J377="リード付け","-",IF(J377="スリット",VLOOKUP(F377&amp;K377&amp;Q377,製品マスタ!$N$5:$AE$4999,18,FALSE),"")))</f>
        <v/>
      </c>
      <c r="X377" s="256" t="str">
        <f>IF(D377="","",VLOOKUP(D377,契約台帳!$A$3:$Q$4986,17,FALSE))</f>
        <v/>
      </c>
      <c r="Y377" s="256" t="str">
        <f>IF(D377="","",VLOOKUP(D377,契約台帳!$A$3:$E$4986,5,FALSE))</f>
        <v/>
      </c>
      <c r="Z377" s="54"/>
      <c r="AA377" s="200" t="str">
        <f>IFERROR(VLOOKUP(F377&amp;K377&amp;M377,製品マスタ!$M$5:$AM$4999,27,FALSE),"")</f>
        <v/>
      </c>
      <c r="AB377" s="31"/>
      <c r="AC377" s="184"/>
      <c r="AD377" s="51"/>
      <c r="AE377" s="52"/>
      <c r="AF377" s="41"/>
      <c r="AG377" s="45"/>
      <c r="AH377" s="28"/>
      <c r="AI377" s="28"/>
      <c r="AJ377" s="28"/>
      <c r="AK377" s="28"/>
      <c r="AL377" s="12"/>
      <c r="AM377" s="12"/>
      <c r="AN377" s="12"/>
      <c r="AO377" s="12"/>
      <c r="AP377" s="12"/>
      <c r="AQ377" s="13"/>
      <c r="AR377" s="14"/>
    </row>
    <row r="378" spans="1:44" s="16" customFormat="1" ht="30.95" hidden="1" customHeight="1" x14ac:dyDescent="0.2">
      <c r="A378" s="35" t="s">
        <v>1115</v>
      </c>
      <c r="B378" s="36" t="s">
        <v>1105</v>
      </c>
      <c r="C378" s="43"/>
      <c r="D378" s="29"/>
      <c r="E378" s="29"/>
      <c r="F378" s="255" t="str">
        <f>IF(D378="","",VLOOKUP(D378,契約台帳!$A$3:$K$4986,6,FALSE)&amp;VLOOKUP(D378,契約台帳!$A$3:$K$4986,7,FALSE)&amp;VLOOKUP(D378,契約台帳!$A$3:$K$4986,8,FALSE)&amp;VLOOKUP(D378,契約台帳!$A$3:$K$4986,9,FALSE)&amp;VLOOKUP(D378,契約台帳!$A$3:$K$4986,11,FALSE))</f>
        <v/>
      </c>
      <c r="G378" s="256" t="str">
        <f>IF(D378="","",VLOOKUP(F378,製品マスタ!$G$5:$H$4999,2,FALSE))</f>
        <v/>
      </c>
      <c r="H378" s="256" t="str">
        <f>IF(D378="","",VLOOKUP(F378,製品マスタ!$G$5:$K$4999,5,FALSE))</f>
        <v/>
      </c>
      <c r="I378" s="200" t="str">
        <f>IF(D378="","",VLOOKUP(F378,製品マスタ!$G$5:$L$4999,6,FALSE))</f>
        <v/>
      </c>
      <c r="J378" s="30" t="s">
        <v>448</v>
      </c>
      <c r="K378" s="200" t="str">
        <f>IF(D378="","",VLOOKUP(D378,契約台帳!$A$3:$L$4986,12,FALSE))</f>
        <v/>
      </c>
      <c r="L378" s="200" t="str">
        <f>IF(D378="","",INDEX(製品マスタ!$Q$5:$Q$4999,MATCH(F378&amp;K378,製品マスタ!$AO$5:$AO$4999,0)))</f>
        <v/>
      </c>
      <c r="M378" s="37"/>
      <c r="N378" s="37"/>
      <c r="O378" s="45"/>
      <c r="P378" s="54"/>
      <c r="Q378" s="260" t="str">
        <f>IF(D378="","",IF(J378="リード付け",M378,VLOOKUP(D378,契約台帳!$A$3:$N$4986,14,FALSE)))</f>
        <v/>
      </c>
      <c r="R378" s="261" t="str">
        <f>IF(D378="","",IF(J378="リード付け",M378,VLOOKUP(D378,契約台帳!$A$3:$O$4986,15,FALSE)))</f>
        <v/>
      </c>
      <c r="S378" s="261" t="str">
        <f>IF(D378="","",IF(J378="リード付け",N378,VLOOKUP(D378,契約台帳!$A$3:$P$4986,16,FALSE)))</f>
        <v/>
      </c>
      <c r="T378" s="38"/>
      <c r="U378" s="261" t="str">
        <f ca="1">IF(D378="","",IF(OFFSET(D378,-2,0)=D378,"",VLOOKUP(D378,契約台帳!$A$3:$R$4986,18,FALSE)))</f>
        <v/>
      </c>
      <c r="V378" s="256" t="str">
        <f>IF(J378="巻返し",VLOOKUP(F378&amp;K378&amp;M378,製品マスタ!$M$5:$AD$4999,18,FALSE),IF(J378="リード付け","原反コア",IF(J378="スリット",VLOOKUP(F378&amp;K378&amp;Q378,製品マスタ!$N$5:$AD$4999,17,FALSE),"")))</f>
        <v/>
      </c>
      <c r="W378" s="256" t="str">
        <f>IF(J378="巻返し",VLOOKUP(F378&amp;K378&amp;M378,製品マスタ!$M$5:$AE$4999,19,FALSE),IF(J378="リード付け","-",IF(J378="スリット",VLOOKUP(F378&amp;K378&amp;Q378,製品マスタ!$N$5:$AE$4999,18,FALSE),"")))</f>
        <v/>
      </c>
      <c r="X378" s="256" t="str">
        <f>IF(D378="","",VLOOKUP(D378,契約台帳!$A$3:$Q$4986,17,FALSE))</f>
        <v/>
      </c>
      <c r="Y378" s="256" t="str">
        <f>IF(D378="","",VLOOKUP(D378,契約台帳!$A$3:$E$4986,5,FALSE))</f>
        <v/>
      </c>
      <c r="Z378" s="54"/>
      <c r="AA378" s="200" t="str">
        <f>IFERROR(VLOOKUP(F378&amp;K378&amp;M378,製品マスタ!$M$5:$AM$4999,27,FALSE),"")</f>
        <v/>
      </c>
      <c r="AB378" s="31"/>
      <c r="AC378" s="184"/>
      <c r="AD378" s="51"/>
      <c r="AE378" s="52"/>
      <c r="AF378" s="41"/>
      <c r="AG378" s="45"/>
      <c r="AH378" s="28"/>
      <c r="AI378" s="28"/>
      <c r="AJ378" s="28"/>
      <c r="AK378" s="28"/>
      <c r="AL378" s="12"/>
      <c r="AM378" s="12"/>
      <c r="AN378" s="12"/>
      <c r="AO378" s="12"/>
      <c r="AP378" s="12"/>
      <c r="AQ378" s="13"/>
      <c r="AR378" s="14"/>
    </row>
    <row r="379" spans="1:44" s="16" customFormat="1" ht="30.95" hidden="1" customHeight="1" x14ac:dyDescent="0.2">
      <c r="A379" s="35"/>
      <c r="B379" s="36"/>
      <c r="C379" s="43"/>
      <c r="D379" s="29"/>
      <c r="E379" s="29"/>
      <c r="F379" s="255" t="str">
        <f>IF(D379="","",VLOOKUP(D379,契約台帳!$A$3:$K$4986,6,FALSE)&amp;VLOOKUP(D379,契約台帳!$A$3:$K$4986,7,FALSE)&amp;VLOOKUP(D379,契約台帳!$A$3:$K$4986,8,FALSE)&amp;VLOOKUP(D379,契約台帳!$A$3:$K$4986,9,FALSE)&amp;VLOOKUP(D379,契約台帳!$A$3:$K$4986,11,FALSE))</f>
        <v/>
      </c>
      <c r="G379" s="256" t="str">
        <f>IF(D379="","",VLOOKUP(F379,製品マスタ!$G$5:$H$4999,2,FALSE))</f>
        <v/>
      </c>
      <c r="H379" s="256" t="str">
        <f>IF(D379="","",VLOOKUP(F379,製品マスタ!$G$5:$K$4999,5,FALSE))</f>
        <v/>
      </c>
      <c r="I379" s="200" t="str">
        <f>IF(D379="","",VLOOKUP(F379,製品マスタ!$G$5:$L$4999,6,FALSE))</f>
        <v/>
      </c>
      <c r="J379" s="30"/>
      <c r="K379" s="200" t="str">
        <f>IF(D379="","",VLOOKUP(D379,契約台帳!$A$3:$L$4986,12,FALSE))</f>
        <v/>
      </c>
      <c r="L379" s="200" t="str">
        <f>IF(D379="","",INDEX(製品マスタ!$Q$5:$Q$4999,MATCH(F379&amp;K379,製品マスタ!$AO$5:$AO$4999,0)))</f>
        <v/>
      </c>
      <c r="M379" s="37"/>
      <c r="N379" s="37"/>
      <c r="O379" s="45"/>
      <c r="P379" s="54"/>
      <c r="Q379" s="260" t="str">
        <f>IF(D379="","",IF(J379="リード付け",M379,VLOOKUP(D379,契約台帳!$A$3:$N$4986,14,FALSE)))</f>
        <v/>
      </c>
      <c r="R379" s="261" t="str">
        <f>IF(D379="","",IF(J379="リード付け",M379,VLOOKUP(D379,契約台帳!$A$3:$O$4986,15,FALSE)))</f>
        <v/>
      </c>
      <c r="S379" s="261" t="str">
        <f>IF(D379="","",IF(J379="リード付け",N379,VLOOKUP(D379,契約台帳!$A$3:$P$4986,16,FALSE)))</f>
        <v/>
      </c>
      <c r="T379" s="38"/>
      <c r="U379" s="261" t="str">
        <f ca="1">IF(D379="","",IF(OFFSET(D379,-2,0)=D379,"",VLOOKUP(D379,契約台帳!$A$3:$R$4986,18,FALSE)))</f>
        <v/>
      </c>
      <c r="V379" s="256" t="str">
        <f>IF(J379="巻返し",VLOOKUP(F379&amp;K379&amp;M379,製品マスタ!$M$5:$AD$4999,18,FALSE),IF(J379="リード付け","原反コア",IF(J379="スリット",VLOOKUP(F379&amp;K379&amp;Q379,製品マスタ!$N$5:$AD$4999,17,FALSE),"")))</f>
        <v/>
      </c>
      <c r="W379" s="256" t="str">
        <f>IF(J379="巻返し",VLOOKUP(F379&amp;K379&amp;M379,製品マスタ!$M$5:$AE$4999,19,FALSE),IF(J379="リード付け","-",IF(J379="スリット",VLOOKUP(F379&amp;K379&amp;Q379,製品マスタ!$N$5:$AE$4999,18,FALSE),"")))</f>
        <v/>
      </c>
      <c r="X379" s="256" t="str">
        <f>IF(D379="","",VLOOKUP(D379,契約台帳!$A$3:$Q$4986,17,FALSE))</f>
        <v/>
      </c>
      <c r="Y379" s="256" t="str">
        <f>IF(D379="","",VLOOKUP(D379,契約台帳!$A$3:$E$4986,5,FALSE))</f>
        <v/>
      </c>
      <c r="Z379" s="54"/>
      <c r="AA379" s="200" t="str">
        <f>IFERROR(VLOOKUP(F379&amp;K379&amp;M379,製品マスタ!$M$5:$AM$4999,27,FALSE),"")</f>
        <v/>
      </c>
      <c r="AB379" s="31"/>
      <c r="AC379" s="184"/>
      <c r="AD379" s="51"/>
      <c r="AE379" s="52"/>
      <c r="AF379" s="41"/>
      <c r="AG379" s="45"/>
      <c r="AH379" s="28"/>
      <c r="AI379" s="28"/>
      <c r="AJ379" s="28"/>
      <c r="AK379" s="28"/>
      <c r="AL379" s="12"/>
      <c r="AM379" s="12"/>
      <c r="AN379" s="12"/>
      <c r="AO379" s="12"/>
      <c r="AP379" s="12"/>
      <c r="AQ379" s="13"/>
      <c r="AR379" s="14"/>
    </row>
    <row r="380" spans="1:44" s="16" customFormat="1" ht="30.95" hidden="1" customHeight="1" x14ac:dyDescent="0.2">
      <c r="A380" s="35" t="s">
        <v>1116</v>
      </c>
      <c r="B380" s="36" t="s">
        <v>1107</v>
      </c>
      <c r="C380" s="43"/>
      <c r="D380" s="29"/>
      <c r="E380" s="29"/>
      <c r="F380" s="255" t="str">
        <f>IF(D380="","",VLOOKUP(D380,契約台帳!$A$3:$K$4986,6,FALSE)&amp;VLOOKUP(D380,契約台帳!$A$3:$K$4986,7,FALSE)&amp;VLOOKUP(D380,契約台帳!$A$3:$K$4986,8,FALSE)&amp;VLOOKUP(D380,契約台帳!$A$3:$K$4986,9,FALSE)&amp;VLOOKUP(D380,契約台帳!$A$3:$K$4986,11,FALSE))</f>
        <v/>
      </c>
      <c r="G380" s="256" t="str">
        <f>IF(D380="","",VLOOKUP(F380,製品マスタ!$G$5:$H$4999,2,FALSE))</f>
        <v/>
      </c>
      <c r="H380" s="256" t="str">
        <f>IF(D380="","",VLOOKUP(F380,製品マスタ!$G$5:$K$4999,5,FALSE))</f>
        <v/>
      </c>
      <c r="I380" s="200" t="str">
        <f>IF(D380="","",VLOOKUP(F380,製品マスタ!$G$5:$L$4999,6,FALSE))</f>
        <v/>
      </c>
      <c r="J380" s="30" t="s">
        <v>448</v>
      </c>
      <c r="K380" s="200" t="str">
        <f>IF(D380="","",VLOOKUP(D380,契約台帳!$A$3:$L$4986,12,FALSE))</f>
        <v/>
      </c>
      <c r="L380" s="200" t="str">
        <f>IF(D380="","",INDEX(製品マスタ!$Q$5:$Q$4999,MATCH(F380&amp;K380,製品マスタ!$AO$5:$AO$4999,0)))</f>
        <v/>
      </c>
      <c r="M380" s="37"/>
      <c r="N380" s="37"/>
      <c r="O380" s="45"/>
      <c r="P380" s="54"/>
      <c r="Q380" s="260" t="str">
        <f>IF(D380="","",IF(J380="リード付け",M380,VLOOKUP(D380,契約台帳!$A$3:$N$4986,14,FALSE)))</f>
        <v/>
      </c>
      <c r="R380" s="261" t="str">
        <f>IF(D380="","",IF(J380="リード付け",M380,VLOOKUP(D380,契約台帳!$A$3:$O$4986,15,FALSE)))</f>
        <v/>
      </c>
      <c r="S380" s="261" t="str">
        <f>IF(D380="","",IF(J380="リード付け",N380,VLOOKUP(D380,契約台帳!$A$3:$P$4986,16,FALSE)))</f>
        <v/>
      </c>
      <c r="T380" s="38"/>
      <c r="U380" s="261" t="str">
        <f ca="1">IF(D380="","",IF(OFFSET(D380,-2,0)=D380,"",VLOOKUP(D380,契約台帳!$A$3:$R$4986,18,FALSE)))</f>
        <v/>
      </c>
      <c r="V380" s="256" t="str">
        <f>IF(J380="巻返し",VLOOKUP(F380&amp;K380&amp;M380,製品マスタ!$M$5:$AD$4999,18,FALSE),IF(J380="リード付け","原反コア",IF(J380="スリット",VLOOKUP(F380&amp;K380&amp;Q380,製品マスタ!$N$5:$AD$4999,17,FALSE),"")))</f>
        <v/>
      </c>
      <c r="W380" s="256" t="str">
        <f>IF(J380="巻返し",VLOOKUP(F380&amp;K380&amp;M380,製品マスタ!$M$5:$AE$4999,19,FALSE),IF(J380="リード付け","-",IF(J380="スリット",VLOOKUP(F380&amp;K380&amp;Q380,製品マスタ!$N$5:$AE$4999,18,FALSE),"")))</f>
        <v/>
      </c>
      <c r="X380" s="256" t="str">
        <f>IF(D380="","",VLOOKUP(D380,契約台帳!$A$3:$Q$4986,17,FALSE))</f>
        <v/>
      </c>
      <c r="Y380" s="256" t="str">
        <f>IF(D380="","",VLOOKUP(D380,契約台帳!$A$3:$E$4986,5,FALSE))</f>
        <v/>
      </c>
      <c r="Z380" s="54"/>
      <c r="AA380" s="200" t="str">
        <f>IFERROR(VLOOKUP(F380&amp;K380&amp;M380,製品マスタ!$M$5:$AM$4999,27,FALSE),"")</f>
        <v/>
      </c>
      <c r="AB380" s="31"/>
      <c r="AC380" s="184"/>
      <c r="AD380" s="51"/>
      <c r="AE380" s="52"/>
      <c r="AF380" s="41"/>
      <c r="AG380" s="45"/>
      <c r="AH380" s="28"/>
      <c r="AI380" s="28"/>
      <c r="AJ380" s="28"/>
      <c r="AK380" s="28"/>
      <c r="AL380" s="12"/>
      <c r="AM380" s="12"/>
      <c r="AN380" s="12"/>
      <c r="AO380" s="12"/>
      <c r="AP380" s="12"/>
      <c r="AQ380" s="13"/>
      <c r="AR380" s="14"/>
    </row>
    <row r="381" spans="1:44" s="16" customFormat="1" ht="30.95" hidden="1" customHeight="1" x14ac:dyDescent="0.2">
      <c r="A381" s="35"/>
      <c r="B381" s="36"/>
      <c r="C381" s="43"/>
      <c r="D381" s="29"/>
      <c r="E381" s="29"/>
      <c r="F381" s="255" t="str">
        <f>IF(D381="","",VLOOKUP(D381,契約台帳!$A$3:$K$4986,6,FALSE)&amp;VLOOKUP(D381,契約台帳!$A$3:$K$4986,7,FALSE)&amp;VLOOKUP(D381,契約台帳!$A$3:$K$4986,8,FALSE)&amp;VLOOKUP(D381,契約台帳!$A$3:$K$4986,9,FALSE)&amp;VLOOKUP(D381,契約台帳!$A$3:$K$4986,11,FALSE))</f>
        <v/>
      </c>
      <c r="G381" s="256" t="str">
        <f>IF(D381="","",VLOOKUP(F381,製品マスタ!$G$5:$H$4999,2,FALSE))</f>
        <v/>
      </c>
      <c r="H381" s="256" t="str">
        <f>IF(D381="","",VLOOKUP(F381,製品マスタ!$G$5:$K$4999,5,FALSE))</f>
        <v/>
      </c>
      <c r="I381" s="200" t="str">
        <f>IF(D381="","",VLOOKUP(F381,製品マスタ!$G$5:$L$4999,6,FALSE))</f>
        <v/>
      </c>
      <c r="J381" s="30"/>
      <c r="K381" s="200" t="str">
        <f>IF(D381="","",VLOOKUP(D381,契約台帳!$A$3:$L$4986,12,FALSE))</f>
        <v/>
      </c>
      <c r="L381" s="200" t="str">
        <f>IF(D381="","",INDEX(製品マスタ!$Q$5:$Q$4999,MATCH(F381&amp;K381,製品マスタ!$AO$5:$AO$4999,0)))</f>
        <v/>
      </c>
      <c r="M381" s="37"/>
      <c r="N381" s="37"/>
      <c r="O381" s="45"/>
      <c r="P381" s="54"/>
      <c r="Q381" s="260" t="str">
        <f>IF(D381="","",IF(J381="リード付け",M381,VLOOKUP(D381,契約台帳!$A$3:$N$4986,14,FALSE)))</f>
        <v/>
      </c>
      <c r="R381" s="261" t="str">
        <f>IF(D381="","",IF(J381="リード付け",M381,VLOOKUP(D381,契約台帳!$A$3:$O$4986,15,FALSE)))</f>
        <v/>
      </c>
      <c r="S381" s="261" t="str">
        <f>IF(D381="","",IF(J381="リード付け",N381,VLOOKUP(D381,契約台帳!$A$3:$P$4986,16,FALSE)))</f>
        <v/>
      </c>
      <c r="T381" s="38"/>
      <c r="U381" s="261" t="str">
        <f ca="1">IF(D381="","",IF(OFFSET(D381,-2,0)=D381,"",VLOOKUP(D381,契約台帳!$A$3:$R$4986,18,FALSE)))</f>
        <v/>
      </c>
      <c r="V381" s="256" t="str">
        <f>IF(J381="巻返し",VLOOKUP(F381&amp;K381&amp;M381,製品マスタ!$M$5:$AD$4999,18,FALSE),IF(J381="リード付け","原反コア",IF(J381="スリット",VLOOKUP(F381&amp;K381&amp;Q381,製品マスタ!$N$5:$AD$4999,17,FALSE),"")))</f>
        <v/>
      </c>
      <c r="W381" s="256" t="str">
        <f>IF(J381="巻返し",VLOOKUP(F381&amp;K381&amp;M381,製品マスタ!$M$5:$AE$4999,19,FALSE),IF(J381="リード付け","-",IF(J381="スリット",VLOOKUP(F381&amp;K381&amp;Q381,製品マスタ!$N$5:$AE$4999,18,FALSE),"")))</f>
        <v/>
      </c>
      <c r="X381" s="256" t="str">
        <f>IF(D381="","",VLOOKUP(D381,契約台帳!$A$3:$Q$4986,17,FALSE))</f>
        <v/>
      </c>
      <c r="Y381" s="256" t="str">
        <f>IF(D381="","",VLOOKUP(D381,契約台帳!$A$3:$E$4986,5,FALSE))</f>
        <v/>
      </c>
      <c r="Z381" s="54"/>
      <c r="AA381" s="200" t="str">
        <f>IFERROR(VLOOKUP(F381&amp;K381&amp;M381,製品マスタ!$M$5:$AM$4999,27,FALSE),"")</f>
        <v/>
      </c>
      <c r="AB381" s="31"/>
      <c r="AC381" s="184"/>
      <c r="AD381" s="51"/>
      <c r="AE381" s="52"/>
      <c r="AF381" s="41"/>
      <c r="AG381" s="45"/>
      <c r="AH381" s="28"/>
      <c r="AI381" s="28"/>
      <c r="AJ381" s="28"/>
      <c r="AK381" s="28"/>
      <c r="AL381" s="12"/>
      <c r="AM381" s="12"/>
      <c r="AN381" s="12"/>
      <c r="AO381" s="12"/>
      <c r="AP381" s="12"/>
      <c r="AQ381" s="13"/>
      <c r="AR381" s="14"/>
    </row>
    <row r="382" spans="1:44" s="16" customFormat="1" ht="30.95" hidden="1" customHeight="1" x14ac:dyDescent="0.2">
      <c r="A382" s="35" t="s">
        <v>1117</v>
      </c>
      <c r="B382" s="36" t="s">
        <v>1109</v>
      </c>
      <c r="C382" s="43"/>
      <c r="D382" s="29"/>
      <c r="E382" s="29"/>
      <c r="F382" s="255" t="str">
        <f>IF(D382="","",VLOOKUP(D382,契約台帳!$A$3:$K$4986,6,FALSE)&amp;VLOOKUP(D382,契約台帳!$A$3:$K$4986,7,FALSE)&amp;VLOOKUP(D382,契約台帳!$A$3:$K$4986,8,FALSE)&amp;VLOOKUP(D382,契約台帳!$A$3:$K$4986,9,FALSE)&amp;VLOOKUP(D382,契約台帳!$A$3:$K$4986,11,FALSE))</f>
        <v/>
      </c>
      <c r="G382" s="256" t="str">
        <f>IF(D382="","",VLOOKUP(F382,製品マスタ!$G$5:$H$4999,2,FALSE))</f>
        <v/>
      </c>
      <c r="H382" s="256" t="str">
        <f>IF(D382="","",VLOOKUP(F382,製品マスタ!$G$5:$K$4999,5,FALSE))</f>
        <v/>
      </c>
      <c r="I382" s="200" t="str">
        <f>IF(D382="","",VLOOKUP(F382,製品マスタ!$G$5:$L$4999,6,FALSE))</f>
        <v/>
      </c>
      <c r="J382" s="30"/>
      <c r="K382" s="200" t="str">
        <f>IF(D382="","",VLOOKUP(D382,契約台帳!$A$3:$L$4986,12,FALSE))</f>
        <v/>
      </c>
      <c r="L382" s="200" t="str">
        <f>IF(D382="","",INDEX(製品マスタ!$Q$5:$Q$4999,MATCH(F382&amp;K382,製品マスタ!$AO$5:$AO$4999,0)))</f>
        <v/>
      </c>
      <c r="M382" s="37"/>
      <c r="N382" s="37"/>
      <c r="O382" s="45"/>
      <c r="P382" s="54"/>
      <c r="Q382" s="260" t="str">
        <f>IF(D382="","",IF(J382="リード付け",M382,VLOOKUP(D382,契約台帳!$A$3:$N$4986,14,FALSE)))</f>
        <v/>
      </c>
      <c r="R382" s="261" t="str">
        <f>IF(D382="","",IF(J382="リード付け",M382,VLOOKUP(D382,契約台帳!$A$3:$O$4986,15,FALSE)))</f>
        <v/>
      </c>
      <c r="S382" s="261" t="str">
        <f>IF(D382="","",IF(J382="リード付け",N382,VLOOKUP(D382,契約台帳!$A$3:$P$4986,16,FALSE)))</f>
        <v/>
      </c>
      <c r="T382" s="38"/>
      <c r="U382" s="261" t="str">
        <f ca="1">IF(D382="","",IF(OFFSET(D382,-2,0)=D382,"",VLOOKUP(D382,契約台帳!$A$3:$R$4986,18,FALSE)))</f>
        <v/>
      </c>
      <c r="V382" s="256" t="str">
        <f>IF(J382="巻返し",VLOOKUP(F382&amp;K382&amp;M382,製品マスタ!$M$5:$AD$4999,18,FALSE),IF(J382="リード付け","原反コア",IF(J382="スリット",VLOOKUP(F382&amp;K382&amp;Q382,製品マスタ!$N$5:$AD$4999,17,FALSE),"")))</f>
        <v/>
      </c>
      <c r="W382" s="256" t="str">
        <f>IF(J382="巻返し",VLOOKUP(F382&amp;K382&amp;M382,製品マスタ!$M$5:$AE$4999,19,FALSE),IF(J382="リード付け","-",IF(J382="スリット",VLOOKUP(F382&amp;K382&amp;Q382,製品マスタ!$N$5:$AE$4999,18,FALSE),"")))</f>
        <v/>
      </c>
      <c r="X382" s="256" t="str">
        <f>IF(D382="","",VLOOKUP(D382,契約台帳!$A$3:$Q$4986,17,FALSE))</f>
        <v/>
      </c>
      <c r="Y382" s="256" t="str">
        <f>IF(D382="","",VLOOKUP(D382,契約台帳!$A$3:$E$4986,5,FALSE))</f>
        <v/>
      </c>
      <c r="Z382" s="54"/>
      <c r="AA382" s="200" t="str">
        <f>IFERROR(VLOOKUP(F382&amp;K382&amp;M382,製品マスタ!$M$5:$AM$4999,27,FALSE),"")</f>
        <v/>
      </c>
      <c r="AB382" s="31"/>
      <c r="AC382" s="184"/>
      <c r="AD382" s="51"/>
      <c r="AE382" s="52"/>
      <c r="AF382" s="41"/>
      <c r="AG382" s="45"/>
      <c r="AH382" s="28"/>
      <c r="AI382" s="28"/>
      <c r="AJ382" s="28"/>
      <c r="AK382" s="28"/>
      <c r="AL382" s="12"/>
      <c r="AM382" s="12"/>
      <c r="AN382" s="12"/>
      <c r="AO382" s="12"/>
      <c r="AP382" s="12"/>
      <c r="AQ382" s="13"/>
      <c r="AR382" s="14"/>
    </row>
    <row r="383" spans="1:44" s="16" customFormat="1" ht="30.95" hidden="1" customHeight="1" x14ac:dyDescent="0.2">
      <c r="A383" s="35"/>
      <c r="B383" s="36"/>
      <c r="C383" s="43"/>
      <c r="D383" s="29"/>
      <c r="E383" s="29"/>
      <c r="F383" s="255" t="str">
        <f>IF(D383="","",VLOOKUP(D383,契約台帳!$A$3:$K$4986,6,FALSE)&amp;VLOOKUP(D383,契約台帳!$A$3:$K$4986,7,FALSE)&amp;VLOOKUP(D383,契約台帳!$A$3:$K$4986,8,FALSE)&amp;VLOOKUP(D383,契約台帳!$A$3:$K$4986,9,FALSE)&amp;VLOOKUP(D383,契約台帳!$A$3:$K$4986,11,FALSE))</f>
        <v/>
      </c>
      <c r="G383" s="256" t="str">
        <f>IF(D383="","",VLOOKUP(F383,製品マスタ!$G$5:$H$4999,2,FALSE))</f>
        <v/>
      </c>
      <c r="H383" s="256" t="str">
        <f>IF(D383="","",VLOOKUP(F383,製品マスタ!$G$5:$K$4999,5,FALSE))</f>
        <v/>
      </c>
      <c r="I383" s="200" t="str">
        <f>IF(D383="","",VLOOKUP(F383,製品マスタ!$G$5:$L$4999,6,FALSE))</f>
        <v/>
      </c>
      <c r="J383" s="30"/>
      <c r="K383" s="200" t="str">
        <f>IF(D383="","",VLOOKUP(D383,契約台帳!$A$3:$L$4986,12,FALSE))</f>
        <v/>
      </c>
      <c r="L383" s="200" t="str">
        <f>IF(D383="","",INDEX(製品マスタ!$Q$5:$Q$4999,MATCH(F383&amp;K383,製品マスタ!$AO$5:$AO$4999,0)))</f>
        <v/>
      </c>
      <c r="M383" s="37"/>
      <c r="N383" s="37"/>
      <c r="O383" s="45"/>
      <c r="P383" s="54"/>
      <c r="Q383" s="260" t="str">
        <f>IF(D383="","",IF(J383="リード付け",M383,VLOOKUP(D383,契約台帳!$A$3:$N$4986,14,FALSE)))</f>
        <v/>
      </c>
      <c r="R383" s="261" t="str">
        <f>IF(D383="","",IF(J383="リード付け",M383,VLOOKUP(D383,契約台帳!$A$3:$O$4986,15,FALSE)))</f>
        <v/>
      </c>
      <c r="S383" s="261" t="str">
        <f>IF(D383="","",IF(J383="リード付け",N383,VLOOKUP(D383,契約台帳!$A$3:$P$4986,16,FALSE)))</f>
        <v/>
      </c>
      <c r="T383" s="38"/>
      <c r="U383" s="261" t="str">
        <f ca="1">IF(D383="","",IF(OFFSET(D383,-2,0)=D383,"",VLOOKUP(D383,契約台帳!$A$3:$R$4986,18,FALSE)))</f>
        <v/>
      </c>
      <c r="V383" s="256" t="str">
        <f>IF(J383="巻返し",VLOOKUP(F383&amp;K383&amp;M383,製品マスタ!$M$5:$AD$4999,18,FALSE),IF(J383="リード付け","原反コア",IF(J383="スリット",VLOOKUP(F383&amp;K383&amp;Q383,製品マスタ!$N$5:$AD$4999,17,FALSE),"")))</f>
        <v/>
      </c>
      <c r="W383" s="256" t="str">
        <f>IF(J383="巻返し",VLOOKUP(F383&amp;K383&amp;M383,製品マスタ!$M$5:$AE$4999,19,FALSE),IF(J383="リード付け","-",IF(J383="スリット",VLOOKUP(F383&amp;K383&amp;Q383,製品マスタ!$N$5:$AE$4999,18,FALSE),"")))</f>
        <v/>
      </c>
      <c r="X383" s="256" t="str">
        <f>IF(D383="","",VLOOKUP(D383,契約台帳!$A$3:$Q$4986,17,FALSE))</f>
        <v/>
      </c>
      <c r="Y383" s="256" t="str">
        <f>IF(D383="","",VLOOKUP(D383,契約台帳!$A$3:$E$4986,5,FALSE))</f>
        <v/>
      </c>
      <c r="Z383" s="54"/>
      <c r="AA383" s="200" t="str">
        <f>IFERROR(VLOOKUP(F383&amp;K383&amp;M383,製品マスタ!$M$5:$AM$4999,27,FALSE),"")</f>
        <v/>
      </c>
      <c r="AB383" s="31"/>
      <c r="AC383" s="184"/>
      <c r="AD383" s="51"/>
      <c r="AE383" s="52"/>
      <c r="AF383" s="41"/>
      <c r="AG383" s="45"/>
      <c r="AH383" s="28"/>
      <c r="AI383" s="28"/>
      <c r="AJ383" s="28"/>
      <c r="AK383" s="28"/>
      <c r="AL383" s="12"/>
      <c r="AM383" s="12"/>
      <c r="AN383" s="12"/>
      <c r="AO383" s="12"/>
      <c r="AP383" s="12"/>
      <c r="AQ383" s="13"/>
      <c r="AR383" s="14"/>
    </row>
    <row r="384" spans="1:44" s="16" customFormat="1" ht="30.95" hidden="1" customHeight="1" x14ac:dyDescent="0.2">
      <c r="A384" s="35" t="s">
        <v>1118</v>
      </c>
      <c r="B384" s="36" t="s">
        <v>1111</v>
      </c>
      <c r="C384" s="43"/>
      <c r="D384" s="29"/>
      <c r="E384" s="29"/>
      <c r="F384" s="255" t="str">
        <f>IF(D384="","",VLOOKUP(D384,契約台帳!$A$3:$K$4986,6,FALSE)&amp;VLOOKUP(D384,契約台帳!$A$3:$K$4986,7,FALSE)&amp;VLOOKUP(D384,契約台帳!$A$3:$K$4986,8,FALSE)&amp;VLOOKUP(D384,契約台帳!$A$3:$K$4986,9,FALSE)&amp;VLOOKUP(D384,契約台帳!$A$3:$K$4986,11,FALSE))</f>
        <v/>
      </c>
      <c r="G384" s="256" t="str">
        <f>IF(D384="","",VLOOKUP(F384,製品マスタ!$G$5:$H$4999,2,FALSE))</f>
        <v/>
      </c>
      <c r="H384" s="256" t="str">
        <f>IF(D384="","",VLOOKUP(F384,製品マスタ!$G$5:$K$4999,5,FALSE))</f>
        <v/>
      </c>
      <c r="I384" s="200" t="str">
        <f>IF(D384="","",VLOOKUP(F384,製品マスタ!$G$5:$L$4999,6,FALSE))</f>
        <v/>
      </c>
      <c r="J384" s="30"/>
      <c r="K384" s="200" t="str">
        <f>IF(D384="","",VLOOKUP(D384,契約台帳!$A$3:$L$4986,12,FALSE))</f>
        <v/>
      </c>
      <c r="L384" s="200" t="str">
        <f>IF(D384="","",INDEX(製品マスタ!$Q$5:$Q$4999,MATCH(F384&amp;K384,製品マスタ!$AO$5:$AO$4999,0)))</f>
        <v/>
      </c>
      <c r="M384" s="37"/>
      <c r="N384" s="37"/>
      <c r="O384" s="45"/>
      <c r="P384" s="54"/>
      <c r="Q384" s="260" t="str">
        <f>IF(D384="","",IF(J384="リード付け",M384,VLOOKUP(D384,契約台帳!$A$3:$N$4986,14,FALSE)))</f>
        <v/>
      </c>
      <c r="R384" s="261" t="str">
        <f>IF(D384="","",IF(J384="リード付け",M384,VLOOKUP(D384,契約台帳!$A$3:$O$4986,15,FALSE)))</f>
        <v/>
      </c>
      <c r="S384" s="261" t="str">
        <f>IF(D384="","",IF(J384="リード付け",N384,VLOOKUP(D384,契約台帳!$A$3:$P$4986,16,FALSE)))</f>
        <v/>
      </c>
      <c r="T384" s="38"/>
      <c r="U384" s="261" t="str">
        <f ca="1">IF(D384="","",IF(OFFSET(D384,-2,0)=D384,"",VLOOKUP(D384,契約台帳!$A$3:$R$4986,18,FALSE)))</f>
        <v/>
      </c>
      <c r="V384" s="256" t="str">
        <f>IF(J384="巻返し",VLOOKUP(F384&amp;K384&amp;M384,製品マスタ!$M$5:$AD$4999,18,FALSE),IF(J384="リード付け","原反コア",IF(J384="スリット",VLOOKUP(F384&amp;K384&amp;Q384,製品マスタ!$N$5:$AD$4999,17,FALSE),"")))</f>
        <v/>
      </c>
      <c r="W384" s="256" t="str">
        <f>IF(J384="巻返し",VLOOKUP(F384&amp;K384&amp;M384,製品マスタ!$M$5:$AE$4999,19,FALSE),IF(J384="リード付け","-",IF(J384="スリット",VLOOKUP(F384&amp;K384&amp;Q384,製品マスタ!$N$5:$AE$4999,18,FALSE),"")))</f>
        <v/>
      </c>
      <c r="X384" s="256" t="str">
        <f>IF(D384="","",VLOOKUP(D384,契約台帳!$A$3:$Q$4986,17,FALSE))</f>
        <v/>
      </c>
      <c r="Y384" s="256" t="str">
        <f>IF(D384="","",VLOOKUP(D384,契約台帳!$A$3:$E$4986,5,FALSE))</f>
        <v/>
      </c>
      <c r="Z384" s="54"/>
      <c r="AA384" s="200" t="str">
        <f>IFERROR(VLOOKUP(F384&amp;K384&amp;M384,製品マスタ!$M$5:$AM$4999,27,FALSE),"")</f>
        <v/>
      </c>
      <c r="AB384" s="31"/>
      <c r="AC384" s="184"/>
      <c r="AD384" s="51"/>
      <c r="AE384" s="52"/>
      <c r="AF384" s="41"/>
      <c r="AG384" s="45"/>
      <c r="AH384" s="28"/>
      <c r="AI384" s="28"/>
      <c r="AJ384" s="28"/>
      <c r="AK384" s="28"/>
      <c r="AL384" s="12"/>
      <c r="AM384" s="12"/>
      <c r="AN384" s="12"/>
      <c r="AO384" s="12"/>
      <c r="AP384" s="12"/>
      <c r="AQ384" s="13"/>
      <c r="AR384" s="14"/>
    </row>
    <row r="385" spans="1:44" s="16" customFormat="1" ht="30.95" hidden="1" customHeight="1" x14ac:dyDescent="0.2">
      <c r="A385" s="35"/>
      <c r="B385" s="36"/>
      <c r="C385" s="43"/>
      <c r="D385" s="29"/>
      <c r="E385" s="29"/>
      <c r="F385" s="255" t="str">
        <f>IF(D385="","",VLOOKUP(D385,契約台帳!$A$3:$K$4986,6,FALSE)&amp;VLOOKUP(D385,契約台帳!$A$3:$K$4986,7,FALSE)&amp;VLOOKUP(D385,契約台帳!$A$3:$K$4986,8,FALSE)&amp;VLOOKUP(D385,契約台帳!$A$3:$K$4986,9,FALSE)&amp;VLOOKUP(D385,契約台帳!$A$3:$K$4986,11,FALSE))</f>
        <v/>
      </c>
      <c r="G385" s="256" t="str">
        <f>IF(D385="","",VLOOKUP(F385,製品マスタ!$G$5:$H$4999,2,FALSE))</f>
        <v/>
      </c>
      <c r="H385" s="256" t="str">
        <f>IF(D385="","",VLOOKUP(F385,製品マスタ!$G$5:$K$4999,5,FALSE))</f>
        <v/>
      </c>
      <c r="I385" s="200" t="str">
        <f>IF(D385="","",VLOOKUP(F385,製品マスタ!$G$5:$L$4999,6,FALSE))</f>
        <v/>
      </c>
      <c r="J385" s="30"/>
      <c r="K385" s="200" t="str">
        <f>IF(D385="","",VLOOKUP(D385,契約台帳!$A$3:$L$4986,12,FALSE))</f>
        <v/>
      </c>
      <c r="L385" s="200" t="str">
        <f>IF(D385="","",INDEX(製品マスタ!$Q$5:$Q$4999,MATCH(F385&amp;K385,製品マスタ!$AO$5:$AO$4999,0)))</f>
        <v/>
      </c>
      <c r="M385" s="37"/>
      <c r="N385" s="37"/>
      <c r="O385" s="45"/>
      <c r="P385" s="54"/>
      <c r="Q385" s="260" t="str">
        <f>IF(D385="","",IF(J385="リード付け",M385,VLOOKUP(D385,契約台帳!$A$3:$N$4986,14,FALSE)))</f>
        <v/>
      </c>
      <c r="R385" s="261" t="str">
        <f>IF(D385="","",IF(J385="リード付け",M385,VLOOKUP(D385,契約台帳!$A$3:$O$4986,15,FALSE)))</f>
        <v/>
      </c>
      <c r="S385" s="261" t="str">
        <f>IF(D385="","",IF(J385="リード付け",N385,VLOOKUP(D385,契約台帳!$A$3:$P$4986,16,FALSE)))</f>
        <v/>
      </c>
      <c r="T385" s="38"/>
      <c r="U385" s="261" t="str">
        <f ca="1">IF(D385="","",IF(OFFSET(D385,-2,0)=D385,"",VLOOKUP(D385,契約台帳!$A$3:$R$4986,18,FALSE)))</f>
        <v/>
      </c>
      <c r="V385" s="256" t="str">
        <f>IF(J385="巻返し",VLOOKUP(F385&amp;K385&amp;M385,製品マスタ!$M$5:$AD$4999,18,FALSE),IF(J385="リード付け","原反コア",IF(J385="スリット",VLOOKUP(F385&amp;K385&amp;Q385,製品マスタ!$N$5:$AD$4999,17,FALSE),"")))</f>
        <v/>
      </c>
      <c r="W385" s="256" t="str">
        <f>IF(J385="巻返し",VLOOKUP(F385&amp;K385&amp;M385,製品マスタ!$M$5:$AE$4999,19,FALSE),IF(J385="リード付け","-",IF(J385="スリット",VLOOKUP(F385&amp;K385&amp;Q385,製品マスタ!$N$5:$AE$4999,18,FALSE),"")))</f>
        <v/>
      </c>
      <c r="X385" s="256" t="str">
        <f>IF(D385="","",VLOOKUP(D385,契約台帳!$A$3:$Q$4986,17,FALSE))</f>
        <v/>
      </c>
      <c r="Y385" s="256" t="str">
        <f>IF(D385="","",VLOOKUP(D385,契約台帳!$A$3:$E$4986,5,FALSE))</f>
        <v/>
      </c>
      <c r="Z385" s="54"/>
      <c r="AA385" s="200" t="str">
        <f>IFERROR(VLOOKUP(F385&amp;K385&amp;M385,製品マスタ!$M$5:$AM$4999,27,FALSE),"")</f>
        <v/>
      </c>
      <c r="AB385" s="31"/>
      <c r="AC385" s="184"/>
      <c r="AD385" s="51"/>
      <c r="AE385" s="52"/>
      <c r="AF385" s="41"/>
      <c r="AG385" s="45"/>
      <c r="AH385" s="28"/>
      <c r="AI385" s="28"/>
      <c r="AJ385" s="28"/>
      <c r="AK385" s="28"/>
      <c r="AL385" s="12"/>
      <c r="AM385" s="12"/>
      <c r="AN385" s="12"/>
      <c r="AO385" s="12"/>
      <c r="AP385" s="12"/>
      <c r="AQ385" s="13"/>
      <c r="AR385" s="14"/>
    </row>
    <row r="386" spans="1:44" s="16" customFormat="1" ht="30.95" hidden="1" customHeight="1" x14ac:dyDescent="0.2">
      <c r="A386" s="35" t="s">
        <v>1119</v>
      </c>
      <c r="B386" s="36" t="s">
        <v>442</v>
      </c>
      <c r="C386" s="43"/>
      <c r="D386" s="29">
        <v>3708710</v>
      </c>
      <c r="E386" s="29">
        <v>4170106</v>
      </c>
      <c r="F386" s="255" t="str">
        <f>IF(D386="","",VLOOKUP(D386,契約台帳!$A$3:$K$4986,6,FALSE)&amp;VLOOKUP(D386,契約台帳!$A$3:$K$4986,7,FALSE)&amp;VLOOKUP(D386,契約台帳!$A$3:$K$4986,8,FALSE)&amp;VLOOKUP(D386,契約台帳!$A$3:$K$4986,9,FALSE)&amp;VLOOKUP(D386,契約台帳!$A$3:$K$4986,11,FALSE))</f>
        <v>3SNMLBMNGTBF</v>
      </c>
      <c r="G386" s="256" t="str">
        <f>IF(D386="","",VLOOKUP(F386,製品マスタ!$G$5:$H$4999,2,FALSE))</f>
        <v>S</v>
      </c>
      <c r="H386" s="256" t="str">
        <f>IF(D386="","",VLOOKUP(F386,製品マスタ!$G$5:$K$4999,5,FALSE))</f>
        <v>MNGTBF</v>
      </c>
      <c r="I386" s="200" t="str">
        <f>IF(D386="","",VLOOKUP(F386,製品マスタ!$G$5:$L$4999,6,FALSE))</f>
        <v>メタルミー　ネーマー　銀艶　Ｂ</v>
      </c>
      <c r="J386" s="30" t="s">
        <v>464</v>
      </c>
      <c r="K386" s="200">
        <f>IF(D386="","",VLOOKUP(D386,契約台帳!$A$3:$L$4986,12,FALSE))</f>
        <v>25</v>
      </c>
      <c r="L386" s="200" t="str">
        <f>IF(D386="","",INDEX(製品マスタ!$Q$5:$Q$4999,MATCH(F386&amp;K386,製品マスタ!$AO$5:$AO$4999,0)))</f>
        <v>T62M</v>
      </c>
      <c r="M386" s="37">
        <v>1125</v>
      </c>
      <c r="N386" s="37">
        <v>12100</v>
      </c>
      <c r="O386" s="45">
        <v>1</v>
      </c>
      <c r="P386" s="206">
        <v>45056</v>
      </c>
      <c r="Q386" s="260">
        <f>IF(D386="","",IF(J386="リード付け",M386,VLOOKUP(D386,契約台帳!$A$3:$N$4986,14,FALSE)))</f>
        <v>1125</v>
      </c>
      <c r="R386" s="261">
        <f>IF(D386="","",IF(J386="リード付け",M386,VLOOKUP(D386,契約台帳!$A$3:$O$4986,15,FALSE)))</f>
        <v>1125</v>
      </c>
      <c r="S386" s="261">
        <f>IF(D386="","",IF(J386="リード付け",N386,VLOOKUP(D386,契約台帳!$A$3:$P$4986,16,FALSE)))</f>
        <v>12100</v>
      </c>
      <c r="T386" s="38">
        <v>1</v>
      </c>
      <c r="U386" s="261">
        <f ca="1">IF(D386="","",IF(OFFSET(D386,-2,0)=D386,"",VLOOKUP(D386,契約台帳!$A$3:$R$4986,18,FALSE)))</f>
        <v>3</v>
      </c>
      <c r="V386" s="256" t="str">
        <f>IF(J386="巻返し",VLOOKUP(F386&amp;K386&amp;M386,製品マスタ!$M$5:$AD$4999,18,FALSE),IF(J386="リード付け","原反コア",IF(J386="スリット",VLOOKUP(F386&amp;K386&amp;Q386,製品マスタ!$N$5:$AD$4999,17,FALSE),"")))</f>
        <v>原反コア</v>
      </c>
      <c r="W386" s="256" t="str">
        <f>IF(J386="巻返し",VLOOKUP(F386&amp;K386&amp;M386,製品マスタ!$M$5:$AE$4999,19,FALSE),IF(J386="リード付け","-",IF(J386="スリット",VLOOKUP(F386&amp;K386&amp;Q386,製品マスタ!$N$5:$AE$4999,18,FALSE),"")))</f>
        <v>-</v>
      </c>
      <c r="X386" s="256">
        <f>IF(D386="","",VLOOKUP(D386,契約台帳!$A$3:$Q$4986,17,FALSE))</f>
        <v>2</v>
      </c>
      <c r="Y386" s="256" t="str">
        <f>IF(D386="","",VLOOKUP(D386,契約台帳!$A$3:$E$4986,5,FALSE))</f>
        <v>リンテック㈱</v>
      </c>
      <c r="Z386" s="54"/>
      <c r="AA386" s="200">
        <f>IFERROR(VLOOKUP(F386&amp;K386&amp;M386,製品マスタ!$M$5:$AM$4999,27,FALSE),"")</f>
        <v>0</v>
      </c>
      <c r="AB386" s="31"/>
      <c r="AC386" s="184"/>
      <c r="AD386" s="51"/>
      <c r="AE386" s="52"/>
      <c r="AF386" s="41"/>
      <c r="AG386" s="45"/>
      <c r="AH386" s="28"/>
      <c r="AI386" s="28"/>
      <c r="AJ386" s="28"/>
      <c r="AK386" s="28"/>
      <c r="AL386" s="12"/>
      <c r="AM386" s="12"/>
      <c r="AN386" s="12"/>
      <c r="AO386" s="12"/>
      <c r="AP386" s="12"/>
      <c r="AQ386" s="13"/>
      <c r="AR386" s="14"/>
    </row>
    <row r="387" spans="1:44" s="16" customFormat="1" ht="30.95" hidden="1" customHeight="1" x14ac:dyDescent="0.2">
      <c r="A387" s="35"/>
      <c r="B387" s="36"/>
      <c r="C387" s="43"/>
      <c r="D387" s="29"/>
      <c r="E387" s="29"/>
      <c r="F387" s="255" t="str">
        <f>IF(D387="","",VLOOKUP(D387,契約台帳!$A$3:$K$4986,6,FALSE)&amp;VLOOKUP(D387,契約台帳!$A$3:$K$4986,7,FALSE)&amp;VLOOKUP(D387,契約台帳!$A$3:$K$4986,8,FALSE)&amp;VLOOKUP(D387,契約台帳!$A$3:$K$4986,9,FALSE)&amp;VLOOKUP(D387,契約台帳!$A$3:$K$4986,11,FALSE))</f>
        <v/>
      </c>
      <c r="G387" s="256" t="str">
        <f>IF(D387="","",VLOOKUP(F387,製品マスタ!$G$5:$H$4999,2,FALSE))</f>
        <v/>
      </c>
      <c r="H387" s="256" t="str">
        <f>IF(D387="","",VLOOKUP(F387,製品マスタ!$G$5:$K$4999,5,FALSE))</f>
        <v/>
      </c>
      <c r="I387" s="200" t="str">
        <f>IF(D387="","",VLOOKUP(F387,製品マスタ!$G$5:$L$4999,6,FALSE))</f>
        <v/>
      </c>
      <c r="J387" s="30"/>
      <c r="K387" s="200" t="str">
        <f>IF(D387="","",VLOOKUP(D387,契約台帳!$A$3:$L$4986,12,FALSE))</f>
        <v/>
      </c>
      <c r="L387" s="200" t="str">
        <f>IF(D387="","",INDEX(製品マスタ!$Q$5:$Q$4999,MATCH(F387&amp;K387,製品マスタ!$AO$5:$AO$4999,0)))</f>
        <v/>
      </c>
      <c r="M387" s="37"/>
      <c r="N387" s="37"/>
      <c r="O387" s="45"/>
      <c r="P387" s="54"/>
      <c r="Q387" s="260" t="str">
        <f>IF(D387="","",IF(J387="リード付け",M387,VLOOKUP(D387,契約台帳!$A$3:$N$4986,14,FALSE)))</f>
        <v/>
      </c>
      <c r="R387" s="261" t="str">
        <f>IF(D387="","",IF(J387="リード付け",M387,VLOOKUP(D387,契約台帳!$A$3:$O$4986,15,FALSE)))</f>
        <v/>
      </c>
      <c r="S387" s="261" t="str">
        <f>IF(D387="","",IF(J387="リード付け",N387,VLOOKUP(D387,契約台帳!$A$3:$P$4986,16,FALSE)))</f>
        <v/>
      </c>
      <c r="T387" s="38"/>
      <c r="U387" s="261" t="str">
        <f ca="1">IF(D387="","",IF(OFFSET(D387,-2,0)=D387,"",VLOOKUP(D387,契約台帳!$A$3:$R$4986,18,FALSE)))</f>
        <v/>
      </c>
      <c r="V387" s="256" t="str">
        <f>IF(J387="巻返し",VLOOKUP(F387&amp;K387&amp;M387,製品マスタ!$M$5:$AD$4999,18,FALSE),IF(J387="リード付け","原反コア",IF(J387="スリット",VLOOKUP(F387&amp;K387&amp;Q387,製品マスタ!$N$5:$AD$4999,17,FALSE),"")))</f>
        <v/>
      </c>
      <c r="W387" s="256" t="str">
        <f>IF(J387="巻返し",VLOOKUP(F387&amp;K387&amp;M387,製品マスタ!$M$5:$AE$4999,19,FALSE),IF(J387="リード付け","-",IF(J387="スリット",VLOOKUP(F387&amp;K387&amp;Q387,製品マスタ!$N$5:$AE$4999,18,FALSE),"")))</f>
        <v/>
      </c>
      <c r="X387" s="256" t="str">
        <f>IF(D387="","",VLOOKUP(D387,契約台帳!$A$3:$Q$4986,17,FALSE))</f>
        <v/>
      </c>
      <c r="Y387" s="256" t="str">
        <f>IF(D387="","",VLOOKUP(D387,契約台帳!$A$3:$E$4986,5,FALSE))</f>
        <v/>
      </c>
      <c r="Z387" s="54"/>
      <c r="AA387" s="200" t="str">
        <f>IFERROR(VLOOKUP(F387&amp;K387&amp;M387,製品マスタ!$M$5:$AM$4999,27,FALSE),"")</f>
        <v/>
      </c>
      <c r="AB387" s="31"/>
      <c r="AC387" s="184"/>
      <c r="AD387" s="51"/>
      <c r="AE387" s="52"/>
      <c r="AF387" s="41"/>
      <c r="AG387" s="45"/>
      <c r="AH387" s="28"/>
      <c r="AI387" s="28"/>
      <c r="AJ387" s="28"/>
      <c r="AK387" s="28"/>
      <c r="AL387" s="12"/>
      <c r="AM387" s="12"/>
      <c r="AN387" s="12"/>
      <c r="AO387" s="12"/>
      <c r="AP387" s="12"/>
      <c r="AQ387" s="13"/>
      <c r="AR387" s="14"/>
    </row>
    <row r="388" spans="1:44" s="16" customFormat="1" ht="30.95" hidden="1" customHeight="1" x14ac:dyDescent="0.2">
      <c r="A388" s="35" t="s">
        <v>1120</v>
      </c>
      <c r="B388" s="36" t="s">
        <v>443</v>
      </c>
      <c r="C388" s="43"/>
      <c r="D388" s="29"/>
      <c r="E388" s="29"/>
      <c r="F388" s="255"/>
      <c r="G388" s="256"/>
      <c r="H388" s="256"/>
      <c r="I388" s="200"/>
      <c r="J388" s="30"/>
      <c r="K388" s="200"/>
      <c r="L388" s="200"/>
      <c r="M388" s="37"/>
      <c r="N388" s="37"/>
      <c r="O388" s="45"/>
      <c r="P388" s="54"/>
      <c r="Q388" s="260"/>
      <c r="R388" s="261"/>
      <c r="S388" s="261"/>
      <c r="T388" s="38"/>
      <c r="U388" s="261"/>
      <c r="V388" s="256"/>
      <c r="W388" s="256"/>
      <c r="X388" s="256"/>
      <c r="Y388" s="256"/>
      <c r="Z388" s="54"/>
      <c r="AA388" s="200"/>
      <c r="AB388" s="31"/>
      <c r="AC388" s="184"/>
      <c r="AD388" s="51"/>
      <c r="AE388" s="52"/>
      <c r="AF388" s="41"/>
      <c r="AG388" s="45"/>
      <c r="AH388" s="28"/>
      <c r="AI388" s="28"/>
      <c r="AJ388" s="28"/>
      <c r="AK388" s="28"/>
      <c r="AL388" s="12"/>
      <c r="AM388" s="12"/>
      <c r="AN388" s="12"/>
      <c r="AO388" s="12"/>
      <c r="AP388" s="12"/>
      <c r="AQ388" s="13"/>
      <c r="AR388" s="14"/>
    </row>
    <row r="389" spans="1:44" s="16" customFormat="1" ht="30.95" hidden="1" customHeight="1" x14ac:dyDescent="0.2">
      <c r="A389" s="35"/>
      <c r="B389" s="36"/>
      <c r="C389" s="43"/>
      <c r="D389" s="29"/>
      <c r="E389" s="29"/>
      <c r="F389" s="255"/>
      <c r="G389" s="256"/>
      <c r="H389" s="256"/>
      <c r="I389" s="200"/>
      <c r="J389" s="30"/>
      <c r="K389" s="200"/>
      <c r="L389" s="200"/>
      <c r="M389" s="37"/>
      <c r="N389" s="37"/>
      <c r="O389" s="45"/>
      <c r="P389" s="54"/>
      <c r="Q389" s="260"/>
      <c r="R389" s="261"/>
      <c r="S389" s="261"/>
      <c r="T389" s="38"/>
      <c r="U389" s="261"/>
      <c r="V389" s="256"/>
      <c r="W389" s="256"/>
      <c r="X389" s="256"/>
      <c r="Y389" s="256"/>
      <c r="Z389" s="54"/>
      <c r="AA389" s="200"/>
      <c r="AB389" s="31"/>
      <c r="AC389" s="184"/>
      <c r="AD389" s="51"/>
      <c r="AE389" s="52"/>
      <c r="AF389" s="41"/>
      <c r="AG389" s="45"/>
      <c r="AH389" s="28"/>
      <c r="AI389" s="28"/>
      <c r="AJ389" s="28"/>
      <c r="AK389" s="28"/>
      <c r="AL389" s="12"/>
      <c r="AM389" s="12"/>
      <c r="AN389" s="12"/>
      <c r="AO389" s="12"/>
      <c r="AP389" s="12"/>
      <c r="AQ389" s="13"/>
      <c r="AR389" s="14"/>
    </row>
    <row r="390" spans="1:44" s="16" customFormat="1" ht="30.95" hidden="1" customHeight="1" x14ac:dyDescent="0.2">
      <c r="A390" s="35" t="s">
        <v>1121</v>
      </c>
      <c r="B390" s="36" t="s">
        <v>444</v>
      </c>
      <c r="C390" s="43"/>
      <c r="D390" s="29">
        <v>3708724</v>
      </c>
      <c r="E390" s="29">
        <v>4151362</v>
      </c>
      <c r="F390" s="255" t="str">
        <f>IF(D390="","",VLOOKUP(D390,契約台帳!$A$3:$K$4986,6,FALSE)&amp;VLOOKUP(D390,契約台帳!$A$3:$K$4986,7,FALSE)&amp;VLOOKUP(D390,契約台帳!$A$3:$K$4986,8,FALSE)&amp;VLOOKUP(D390,契約台帳!$A$3:$K$4986,9,FALSE)&amp;VLOOKUP(D390,契約台帳!$A$3:$K$4986,11,FALSE))</f>
        <v>3SYMLBMSNMBZF</v>
      </c>
      <c r="G390" s="256" t="str">
        <f>IF(D390="","",VLOOKUP(F390,製品マスタ!$G$5:$H$4999,2,FALSE))</f>
        <v>S</v>
      </c>
      <c r="H390" s="256" t="str">
        <f>IF(D390="","",VLOOKUP(F390,製品マスタ!$G$5:$K$4999,5,FALSE))</f>
        <v>MSNMBZF</v>
      </c>
      <c r="I390" s="200" t="str">
        <f>IF(D390="","",VLOOKUP(F390,製品マスタ!$G$5:$L$4999,6,FALSE))</f>
        <v>ＭＥＴＡＬＵＭＹ　ＳＩＬＶＥＲ　Ｎ－ＭＡＴＴＥ　Ｂ</v>
      </c>
      <c r="J390" s="30" t="s">
        <v>1123</v>
      </c>
      <c r="K390" s="200">
        <f>IF(D390="","",VLOOKUP(D390,契約台帳!$A$3:$L$4986,12,FALSE))</f>
        <v>50</v>
      </c>
      <c r="L390" s="200" t="str">
        <f>IF(D390="","",INDEX(製品マスタ!$Q$5:$Q$4999,MATCH(F390&amp;K390,製品マスタ!$AO$5:$AO$4999,0)))</f>
        <v>X44</v>
      </c>
      <c r="M390" s="37">
        <v>1120</v>
      </c>
      <c r="N390" s="37">
        <v>12000</v>
      </c>
      <c r="O390" s="45">
        <v>4</v>
      </c>
      <c r="P390" s="54">
        <v>45057</v>
      </c>
      <c r="Q390" s="260">
        <f>IF(D390="","",IF(J390="リード付け",M390,VLOOKUP(D390,契約台帳!$A$3:$N$4986,14,FALSE)))</f>
        <v>1120</v>
      </c>
      <c r="R390" s="261">
        <f>IF(D390="","",IF(J390="リード付け",M390,VLOOKUP(D390,契約台帳!$A$3:$O$4986,15,FALSE)))</f>
        <v>1120</v>
      </c>
      <c r="S390" s="261">
        <f>IF(D390="","",IF(J390="リード付け",N390,VLOOKUP(D390,契約台帳!$A$3:$P$4986,16,FALSE)))</f>
        <v>4000</v>
      </c>
      <c r="T390" s="38">
        <v>12</v>
      </c>
      <c r="U390" s="261">
        <f ca="1">IF(D390="","",IF(OFFSET(D390,-2,0)=D390,"",VLOOKUP(D390,契約台帳!$A$3:$R$4986,18,FALSE)))</f>
        <v>16</v>
      </c>
      <c r="V390" s="256" t="str">
        <f>IF(J390="巻返し",VLOOKUP(F390&amp;K390&amp;M390,製品マスタ!$M$5:$AD$4999,18,FALSE),IF(J390="リード付け","原反コア",IF(J390="スリット",VLOOKUP(F390&amp;K390&amp;Q390,製品マスタ!$N$5:$AD$4999,17,FALSE),"")))</f>
        <v>6ｲﾝﾁMｺｱ</v>
      </c>
      <c r="W390" s="256">
        <f>IF(J390="巻返し",VLOOKUP(F390&amp;K390&amp;M390,製品マスタ!$M$5:$AE$4999,19,FALSE),IF(J390="リード付け","-",IF(J390="スリット",VLOOKUP(F390&amp;K390&amp;Q390,製品マスタ!$N$5:$AE$4999,18,FALSE),"")))</f>
        <v>1125</v>
      </c>
      <c r="X390" s="256">
        <f>IF(D390="","",VLOOKUP(D390,契約台帳!$A$3:$Q$4986,17,FALSE))</f>
        <v>2</v>
      </c>
      <c r="Y390" s="256" t="str">
        <f>IF(D390="","",VLOOKUP(D390,契約台帳!$A$3:$E$4986,5,FALSE))</f>
        <v>リンテック㈱</v>
      </c>
      <c r="Z390" s="54">
        <v>45062</v>
      </c>
      <c r="AA390" s="200">
        <f>IFERROR(VLOOKUP(F390&amp;K390&amp;M390,製品マスタ!$M$5:$AM$4999,27,FALSE),"")</f>
        <v>0</v>
      </c>
      <c r="AB390" s="31"/>
      <c r="AC390" s="184"/>
      <c r="AD390" s="51" t="str">
        <f>IF(F390="","",+F390&amp;K390)</f>
        <v>3SYMLBMSNMBZF50</v>
      </c>
      <c r="AE390" s="52">
        <f>+M390*N390*O390/1000</f>
        <v>53760</v>
      </c>
      <c r="AF390" s="41">
        <f>IF(AD390="","",VLOOKUP(AD390,原価マスタ!$A$2:$AJ$1693,13,FALSE))</f>
        <v>99</v>
      </c>
      <c r="AG390" s="45">
        <f>IF(AF390="","",+AE390*AF390/100)</f>
        <v>53222.400000000001</v>
      </c>
      <c r="AH390" s="28"/>
      <c r="AI390" s="28"/>
      <c r="AJ390" s="28"/>
      <c r="AK390" s="28"/>
      <c r="AL390" s="12"/>
      <c r="AM390" s="12"/>
      <c r="AN390" s="12"/>
      <c r="AO390" s="12"/>
      <c r="AP390" s="12"/>
      <c r="AQ390" s="13"/>
      <c r="AR390" s="14"/>
    </row>
    <row r="391" spans="1:44" s="16" customFormat="1" ht="30.95" hidden="1" customHeight="1" x14ac:dyDescent="0.2">
      <c r="A391" s="35"/>
      <c r="B391" s="36"/>
      <c r="C391" s="43"/>
      <c r="D391" s="29"/>
      <c r="E391" s="29"/>
      <c r="F391" s="255" t="str">
        <f>IF(D391="","",VLOOKUP(D391,契約台帳!$A$3:$K$4986,6,FALSE)&amp;VLOOKUP(D391,契約台帳!$A$3:$K$4986,7,FALSE)&amp;VLOOKUP(D391,契約台帳!$A$3:$K$4986,8,FALSE)&amp;VLOOKUP(D391,契約台帳!$A$3:$K$4986,9,FALSE)&amp;VLOOKUP(D391,契約台帳!$A$3:$K$4986,11,FALSE))</f>
        <v/>
      </c>
      <c r="G391" s="256" t="str">
        <f>IF(D391="","",VLOOKUP(F391,製品マスタ!$G$5:$H$4999,2,FALSE))</f>
        <v/>
      </c>
      <c r="H391" s="256" t="str">
        <f>IF(D391="","",VLOOKUP(F391,製品マスタ!$G$5:$K$4999,5,FALSE))</f>
        <v/>
      </c>
      <c r="I391" s="200" t="str">
        <f>IF(D391="","",VLOOKUP(F391,製品マスタ!$G$5:$L$4999,6,FALSE))</f>
        <v/>
      </c>
      <c r="J391" s="30"/>
      <c r="K391" s="200" t="str">
        <f>IF(D391="","",VLOOKUP(D391,契約台帳!$A$3:$L$4986,12,FALSE))</f>
        <v/>
      </c>
      <c r="L391" s="200" t="str">
        <f>IF(D391="","",INDEX(製品マスタ!$Q$5:$Q$4999,MATCH(F391&amp;K391,製品マスタ!$AO$5:$AO$4999,0)))</f>
        <v/>
      </c>
      <c r="M391" s="37"/>
      <c r="N391" s="37"/>
      <c r="O391" s="45"/>
      <c r="P391" s="54"/>
      <c r="Q391" s="260" t="str">
        <f>IF(D391="","",IF(J391="リード付け",M391,VLOOKUP(D391,契約台帳!$A$3:$N$4986,14,FALSE)))</f>
        <v/>
      </c>
      <c r="R391" s="261" t="str">
        <f>IF(D391="","",IF(J391="リード付け",M391,VLOOKUP(D391,契約台帳!$A$3:$O$4986,15,FALSE)))</f>
        <v/>
      </c>
      <c r="S391" s="261" t="str">
        <f>IF(D391="","",IF(J391="リード付け",N391,VLOOKUP(D391,契約台帳!$A$3:$P$4986,16,FALSE)))</f>
        <v/>
      </c>
      <c r="T391" s="38"/>
      <c r="U391" s="261" t="str">
        <f ca="1">IF(D391="","",IF(OFFSET(D391,-2,0)=D391,"",VLOOKUP(D391,契約台帳!$A$3:$R$4986,18,FALSE)))</f>
        <v/>
      </c>
      <c r="V391" s="256" t="str">
        <f>IF(J391="巻返し",VLOOKUP(F391&amp;K391&amp;M391,製品マスタ!$M$5:$AD$4999,18,FALSE),IF(J391="リード付け","原反コア",IF(J391="スリット",VLOOKUP(F391&amp;K391&amp;Q391,製品マスタ!$N$5:$AD$4999,17,FALSE),"")))</f>
        <v/>
      </c>
      <c r="W391" s="256" t="str">
        <f>IF(J391="巻返し",VLOOKUP(F391&amp;K391&amp;M391,製品マスタ!$M$5:$AE$4999,19,FALSE),IF(J391="リード付け","-",IF(J391="スリット",VLOOKUP(F391&amp;K391&amp;Q391,製品マスタ!$N$5:$AE$4999,18,FALSE),"")))</f>
        <v/>
      </c>
      <c r="X391" s="256" t="str">
        <f>IF(D391="","",VLOOKUP(D391,契約台帳!$A$3:$Q$4986,17,FALSE))</f>
        <v/>
      </c>
      <c r="Y391" s="256" t="str">
        <f>IF(D391="","",VLOOKUP(D391,契約台帳!$A$3:$E$4986,5,FALSE))</f>
        <v/>
      </c>
      <c r="Z391" s="54"/>
      <c r="AA391" s="200" t="str">
        <f>IFERROR(VLOOKUP(F391&amp;K391&amp;M391,製品マスタ!$M$5:$AM$4999,27,FALSE),"")</f>
        <v/>
      </c>
      <c r="AB391" s="31"/>
      <c r="AC391" s="184"/>
      <c r="AD391" s="51"/>
      <c r="AE391" s="52"/>
      <c r="AF391" s="41"/>
      <c r="AG391" s="45"/>
      <c r="AH391" s="28"/>
      <c r="AI391" s="28"/>
      <c r="AJ391" s="28"/>
      <c r="AK391" s="28"/>
      <c r="AL391" s="12"/>
      <c r="AM391" s="12"/>
      <c r="AN391" s="12"/>
      <c r="AO391" s="12"/>
      <c r="AP391" s="12"/>
      <c r="AQ391" s="13"/>
      <c r="AR391" s="14"/>
    </row>
    <row r="392" spans="1:44" s="16" customFormat="1" ht="30.95" hidden="1" customHeight="1" x14ac:dyDescent="0.2">
      <c r="A392" s="35" t="s">
        <v>1124</v>
      </c>
      <c r="B392" s="36" t="s">
        <v>445</v>
      </c>
      <c r="C392" s="43"/>
      <c r="D392" s="29">
        <v>3708724</v>
      </c>
      <c r="E392" s="29">
        <v>4151362</v>
      </c>
      <c r="F392" s="255" t="str">
        <f>IF(D392="","",VLOOKUP(D392,契約台帳!$A$3:$K$4986,6,FALSE)&amp;VLOOKUP(D392,契約台帳!$A$3:$K$4986,7,FALSE)&amp;VLOOKUP(D392,契約台帳!$A$3:$K$4986,8,FALSE)&amp;VLOOKUP(D392,契約台帳!$A$3:$K$4986,9,FALSE)&amp;VLOOKUP(D392,契約台帳!$A$3:$K$4986,11,FALSE))</f>
        <v>3SYMLBMSNMBZF</v>
      </c>
      <c r="G392" s="256" t="str">
        <f>IF(D392="","",VLOOKUP(F392,製品マスタ!$G$5:$H$4999,2,FALSE))</f>
        <v>S</v>
      </c>
      <c r="H392" s="256" t="str">
        <f>IF(D392="","",VLOOKUP(F392,製品マスタ!$G$5:$K$4999,5,FALSE))</f>
        <v>MSNMBZF</v>
      </c>
      <c r="I392" s="200" t="str">
        <f>IF(D392="","",VLOOKUP(F392,製品マスタ!$G$5:$L$4999,6,FALSE))</f>
        <v>ＭＥＴＡＬＵＭＹ　ＳＩＬＶＥＲ　Ｎ－ＭＡＴＴＥ　Ｂ</v>
      </c>
      <c r="J392" s="30" t="s">
        <v>1123</v>
      </c>
      <c r="K392" s="200">
        <f>IF(D392="","",VLOOKUP(D392,契約台帳!$A$3:$L$4986,12,FALSE))</f>
        <v>50</v>
      </c>
      <c r="L392" s="200" t="str">
        <f>IF(D392="","",INDEX(製品マスタ!$Q$5:$Q$4999,MATCH(F392&amp;K392,製品マスタ!$AO$5:$AO$4999,0)))</f>
        <v>X44</v>
      </c>
      <c r="M392" s="37">
        <v>1120</v>
      </c>
      <c r="N392" s="37">
        <v>8000</v>
      </c>
      <c r="O392" s="45">
        <v>2</v>
      </c>
      <c r="P392" s="54">
        <v>45057</v>
      </c>
      <c r="Q392" s="260">
        <f>IF(D392="","",IF(J392="リード付け",M392,VLOOKUP(D392,契約台帳!$A$3:$N$4986,14,FALSE)))</f>
        <v>1120</v>
      </c>
      <c r="R392" s="261">
        <f>IF(D392="","",IF(J392="リード付け",M392,VLOOKUP(D392,契約台帳!$A$3:$O$4986,15,FALSE)))</f>
        <v>1120</v>
      </c>
      <c r="S392" s="261">
        <f>IF(D392="","",IF(J392="リード付け",N392,VLOOKUP(D392,契約台帳!$A$3:$P$4986,16,FALSE)))</f>
        <v>4000</v>
      </c>
      <c r="T392" s="38">
        <v>4</v>
      </c>
      <c r="U392" s="261" t="str">
        <f ca="1">IF(D392="","",IF(OFFSET(D392,-2,0)=D392,"",VLOOKUP(D392,契約台帳!$A$3:$R$4986,18,FALSE)))</f>
        <v/>
      </c>
      <c r="V392" s="256" t="str">
        <f>IF(J392="巻返し",VLOOKUP(F392&amp;K392&amp;M392,製品マスタ!$M$5:$AD$4999,18,FALSE),IF(J392="リード付け","原反コア",IF(J392="スリット",VLOOKUP(F392&amp;K392&amp;Q392,製品マスタ!$N$5:$AD$4999,17,FALSE),"")))</f>
        <v>6ｲﾝﾁMｺｱ</v>
      </c>
      <c r="W392" s="256">
        <f>IF(J392="巻返し",VLOOKUP(F392&amp;K392&amp;M392,製品マスタ!$M$5:$AE$4999,19,FALSE),IF(J392="リード付け","-",IF(J392="スリット",VLOOKUP(F392&amp;K392&amp;Q392,製品マスタ!$N$5:$AE$4999,18,FALSE),"")))</f>
        <v>1125</v>
      </c>
      <c r="X392" s="256">
        <f>IF(D392="","",VLOOKUP(D392,契約台帳!$A$3:$Q$4986,17,FALSE))</f>
        <v>2</v>
      </c>
      <c r="Y392" s="256" t="str">
        <f>IF(D392="","",VLOOKUP(D392,契約台帳!$A$3:$E$4986,5,FALSE))</f>
        <v>リンテック㈱</v>
      </c>
      <c r="Z392" s="54">
        <v>45062</v>
      </c>
      <c r="AA392" s="200">
        <f>IFERROR(VLOOKUP(F392&amp;K392&amp;M392,製品マスタ!$M$5:$AM$4999,27,FALSE),"")</f>
        <v>0</v>
      </c>
      <c r="AB392" s="31"/>
      <c r="AC392" s="184"/>
      <c r="AD392" s="51" t="str">
        <f>IF(F392="","",+F392&amp;K392)</f>
        <v>3SYMLBMSNMBZF50</v>
      </c>
      <c r="AE392" s="52">
        <f>+M392*N392*O392/1000</f>
        <v>17920</v>
      </c>
      <c r="AF392" s="41">
        <f>IF(AD392="","",VLOOKUP(AD392,原価マスタ!$A$2:$AJ$1693,13,FALSE))</f>
        <v>99</v>
      </c>
      <c r="AG392" s="45">
        <f>IF(AF392="","",+AE392*AF392/100)</f>
        <v>17740.8</v>
      </c>
      <c r="AH392" s="28"/>
      <c r="AI392" s="28"/>
      <c r="AJ392" s="28"/>
      <c r="AK392" s="28"/>
      <c r="AL392" s="12"/>
      <c r="AM392" s="12"/>
      <c r="AN392" s="12"/>
      <c r="AO392" s="12"/>
      <c r="AP392" s="12"/>
      <c r="AQ392" s="13"/>
      <c r="AR392" s="14"/>
    </row>
    <row r="393" spans="1:44" s="16" customFormat="1" ht="30.95" hidden="1" customHeight="1" x14ac:dyDescent="0.2">
      <c r="A393" s="35"/>
      <c r="B393" s="36"/>
      <c r="C393" s="43"/>
      <c r="D393" s="29"/>
      <c r="E393" s="29"/>
      <c r="F393" s="255" t="str">
        <f>IF(D393="","",VLOOKUP(D393,契約台帳!$A$3:$K$4986,6,FALSE)&amp;VLOOKUP(D393,契約台帳!$A$3:$K$4986,7,FALSE)&amp;VLOOKUP(D393,契約台帳!$A$3:$K$4986,8,FALSE)&amp;VLOOKUP(D393,契約台帳!$A$3:$K$4986,9,FALSE)&amp;VLOOKUP(D393,契約台帳!$A$3:$K$4986,11,FALSE))</f>
        <v/>
      </c>
      <c r="G393" s="256" t="str">
        <f>IF(D393="","",VLOOKUP(F393,製品マスタ!$G$5:$H$4999,2,FALSE))</f>
        <v/>
      </c>
      <c r="H393" s="256" t="str">
        <f>IF(D393="","",VLOOKUP(F393,製品マスタ!$G$5:$K$4999,5,FALSE))</f>
        <v/>
      </c>
      <c r="I393" s="200" t="str">
        <f>IF(D393="","",VLOOKUP(F393,製品マスタ!$G$5:$L$4999,6,FALSE))</f>
        <v/>
      </c>
      <c r="J393" s="30"/>
      <c r="K393" s="200" t="str">
        <f>IF(D393="","",VLOOKUP(D393,契約台帳!$A$3:$L$4986,12,FALSE))</f>
        <v/>
      </c>
      <c r="L393" s="200" t="str">
        <f>IF(D393="","",INDEX(製品マスタ!$Q$5:$Q$4999,MATCH(F393&amp;K393,製品マスタ!$AO$5:$AO$4999,0)))</f>
        <v/>
      </c>
      <c r="M393" s="37"/>
      <c r="N393" s="37"/>
      <c r="O393" s="45"/>
      <c r="P393" s="54"/>
      <c r="Q393" s="260" t="str">
        <f>IF(D393="","",IF(J393="リード付け",M393,VLOOKUP(D393,契約台帳!$A$3:$N$4986,14,FALSE)))</f>
        <v/>
      </c>
      <c r="R393" s="261" t="str">
        <f>IF(D393="","",IF(J393="リード付け",M393,VLOOKUP(D393,契約台帳!$A$3:$O$4986,15,FALSE)))</f>
        <v/>
      </c>
      <c r="S393" s="261" t="str">
        <f>IF(D393="","",IF(J393="リード付け",N393,VLOOKUP(D393,契約台帳!$A$3:$P$4986,16,FALSE)))</f>
        <v/>
      </c>
      <c r="T393" s="38"/>
      <c r="U393" s="261" t="str">
        <f ca="1">IF(D393="","",IF(OFFSET(D393,-2,0)=D393,"",VLOOKUP(D393,契約台帳!$A$3:$R$4986,18,FALSE)))</f>
        <v/>
      </c>
      <c r="V393" s="256" t="str">
        <f>IF(J393="巻返し",VLOOKUP(F393&amp;K393&amp;M393,製品マスタ!$M$5:$AD$4999,18,FALSE),IF(J393="リード付け","原反コア",IF(J393="スリット",VLOOKUP(F393&amp;K393&amp;Q393,製品マスタ!$N$5:$AD$4999,17,FALSE),"")))</f>
        <v/>
      </c>
      <c r="W393" s="256" t="str">
        <f>IF(J393="巻返し",VLOOKUP(F393&amp;K393&amp;M393,製品マスタ!$M$5:$AE$4999,19,FALSE),IF(J393="リード付け","-",IF(J393="スリット",VLOOKUP(F393&amp;K393&amp;Q393,製品マスタ!$N$5:$AE$4999,18,FALSE),"")))</f>
        <v/>
      </c>
      <c r="X393" s="256" t="str">
        <f>IF(D393="","",VLOOKUP(D393,契約台帳!$A$3:$Q$4986,17,FALSE))</f>
        <v/>
      </c>
      <c r="Y393" s="256" t="str">
        <f>IF(D393="","",VLOOKUP(D393,契約台帳!$A$3:$E$4986,5,FALSE))</f>
        <v/>
      </c>
      <c r="Z393" s="54"/>
      <c r="AA393" s="200" t="str">
        <f>IFERROR(VLOOKUP(F393&amp;K393&amp;M393,製品マスタ!$M$5:$AM$4999,27,FALSE),"")</f>
        <v/>
      </c>
      <c r="AB393" s="31"/>
      <c r="AC393" s="184"/>
      <c r="AD393" s="51"/>
      <c r="AE393" s="52"/>
      <c r="AF393" s="41"/>
      <c r="AG393" s="45"/>
      <c r="AH393" s="28"/>
      <c r="AI393" s="28"/>
      <c r="AJ393" s="28"/>
      <c r="AK393" s="28"/>
      <c r="AL393" s="12"/>
      <c r="AM393" s="12"/>
      <c r="AN393" s="12"/>
      <c r="AO393" s="12"/>
      <c r="AP393" s="12"/>
      <c r="AQ393" s="13"/>
      <c r="AR393" s="14"/>
    </row>
    <row r="394" spans="1:44" s="16" customFormat="1" ht="30.95" hidden="1" customHeight="1" x14ac:dyDescent="0.2">
      <c r="A394" s="35"/>
      <c r="B394" s="36"/>
      <c r="C394" s="43"/>
      <c r="D394" s="29">
        <v>3708705</v>
      </c>
      <c r="E394" s="29">
        <v>4151349</v>
      </c>
      <c r="F394" s="255" t="str">
        <f>IF(D394="","",VLOOKUP(D394,契約台帳!$A$3:$K$4986,6,FALSE)&amp;VLOOKUP(D394,契約台帳!$A$3:$K$4986,7,FALSE)&amp;VLOOKUP(D394,契約台帳!$A$3:$K$4986,8,FALSE)&amp;VLOOKUP(D394,契約台帳!$A$3:$K$4986,9,FALSE)&amp;VLOOKUP(D394,契約台帳!$A$3:$K$4986,11,FALSE))</f>
        <v>3SNMLBMNGKKBF</v>
      </c>
      <c r="G394" s="256" t="str">
        <f>IF(D394="","",VLOOKUP(F394,製品マスタ!$G$5:$H$4999,2,FALSE))</f>
        <v>S</v>
      </c>
      <c r="H394" s="256" t="str">
        <f>IF(D394="","",VLOOKUP(F394,製品マスタ!$G$5:$K$4999,5,FALSE))</f>
        <v>MNGKKBF</v>
      </c>
      <c r="I394" s="200" t="str">
        <f>IF(D394="","",VLOOKUP(F394,製品マスタ!$G$5:$L$4999,6,FALSE))</f>
        <v>メタルミー　ネーマー銀消改　Ｂ</v>
      </c>
      <c r="J394" s="30" t="s">
        <v>1123</v>
      </c>
      <c r="K394" s="200">
        <f>IF(D394="","",VLOOKUP(D394,契約台帳!$A$3:$L$4986,12,FALSE))</f>
        <v>25</v>
      </c>
      <c r="L394" s="200" t="str">
        <f>IF(D394="","",INDEX(製品マスタ!$Q$5:$Q$4999,MATCH(F394&amp;K394,製品マスタ!$AO$5:$AO$4999,0)))</f>
        <v>FMATS99</v>
      </c>
      <c r="M394" s="37">
        <v>1120</v>
      </c>
      <c r="N394" s="37">
        <v>11400</v>
      </c>
      <c r="O394" s="45">
        <v>3</v>
      </c>
      <c r="P394" s="54">
        <v>45058</v>
      </c>
      <c r="Q394" s="260">
        <f>IF(D394="","",IF(J394="リード付け",M394,VLOOKUP(D394,契約台帳!$A$3:$N$4986,14,FALSE)))</f>
        <v>1120</v>
      </c>
      <c r="R394" s="261">
        <f>IF(D394="","",IF(J394="リード付け",M394,VLOOKUP(D394,契約台帳!$A$3:$O$4986,15,FALSE)))</f>
        <v>1120</v>
      </c>
      <c r="S394" s="261">
        <f>IF(D394="","",IF(J394="リード付け",N394,VLOOKUP(D394,契約台帳!$A$3:$P$4986,16,FALSE)))</f>
        <v>4000</v>
      </c>
      <c r="T394" s="38">
        <v>9</v>
      </c>
      <c r="U394" s="261">
        <f ca="1">IF(D394="","",IF(OFFSET(D394,-2,0)=D394,"",VLOOKUP(D394,契約台帳!$A$3:$R$4986,18,FALSE)))</f>
        <v>9</v>
      </c>
      <c r="V394" s="256" t="str">
        <f>IF(J394="巻返し",VLOOKUP(F394&amp;K394&amp;M394,製品マスタ!$M$5:$AD$4999,18,FALSE),IF(J394="リード付け","原反コア",IF(J394="スリット",VLOOKUP(F394&amp;K394&amp;Q394,製品マスタ!$N$5:$AD$4999,17,FALSE),"")))</f>
        <v>6ｲﾝﾁSｺｱ</v>
      </c>
      <c r="W394" s="256">
        <f>IF(J394="巻返し",VLOOKUP(F394&amp;K394&amp;M394,製品マスタ!$M$5:$AE$4999,19,FALSE),IF(J394="リード付け","-",IF(J394="スリット",VLOOKUP(F394&amp;K394&amp;Q394,製品マスタ!$N$5:$AE$4999,18,FALSE),"")))</f>
        <v>1125</v>
      </c>
      <c r="X394" s="256">
        <f>IF(D394="","",VLOOKUP(D394,契約台帳!$A$3:$Q$4986,17,FALSE))</f>
        <v>2</v>
      </c>
      <c r="Y394" s="256" t="str">
        <f>IF(D394="","",VLOOKUP(D394,契約台帳!$A$3:$E$4986,5,FALSE))</f>
        <v>リンテック㈱</v>
      </c>
      <c r="Z394" s="54">
        <v>45062</v>
      </c>
      <c r="AA394" s="200">
        <f>IFERROR(VLOOKUP(F394&amp;K394&amp;M394,製品マスタ!$M$5:$AM$4999,27,FALSE),"")</f>
        <v>0</v>
      </c>
      <c r="AB394" s="31"/>
      <c r="AC394" s="184"/>
      <c r="AD394" s="51" t="str">
        <f>IF(F394="","",+F394&amp;K394)</f>
        <v>3SNMLBMNGKKBF25</v>
      </c>
      <c r="AE394" s="52">
        <f>+M394*N394*O394/1000</f>
        <v>38304</v>
      </c>
      <c r="AF394" s="41">
        <f>IF(AD394="","",VLOOKUP(AD394,原価マスタ!$A$2:$AJ$1693,13,FALSE))</f>
        <v>96</v>
      </c>
      <c r="AG394" s="45">
        <f>IF(AF394="","",+AE394*AF394/100)</f>
        <v>36771.839999999997</v>
      </c>
      <c r="AH394" s="28"/>
      <c r="AI394" s="28"/>
      <c r="AJ394" s="28"/>
      <c r="AK394" s="28"/>
      <c r="AL394" s="12"/>
      <c r="AM394" s="12"/>
      <c r="AN394" s="12"/>
      <c r="AO394" s="12"/>
      <c r="AP394" s="12"/>
      <c r="AQ394" s="13"/>
      <c r="AR394" s="14"/>
    </row>
    <row r="395" spans="1:44" s="16" customFormat="1" ht="30.95" hidden="1" customHeight="1" x14ac:dyDescent="0.2">
      <c r="A395" s="35"/>
      <c r="B395" s="36"/>
      <c r="C395" s="43"/>
      <c r="D395" s="29"/>
      <c r="E395" s="29"/>
      <c r="F395" s="255" t="str">
        <f>IF(D395="","",VLOOKUP(D395,契約台帳!$A$3:$K$4986,6,FALSE)&amp;VLOOKUP(D395,契約台帳!$A$3:$K$4986,7,FALSE)&amp;VLOOKUP(D395,契約台帳!$A$3:$K$4986,8,FALSE)&amp;VLOOKUP(D395,契約台帳!$A$3:$K$4986,9,FALSE)&amp;VLOOKUP(D395,契約台帳!$A$3:$K$4986,11,FALSE))</f>
        <v/>
      </c>
      <c r="G395" s="256" t="str">
        <f>IF(D395="","",VLOOKUP(F395,製品マスタ!$G$5:$H$4999,2,FALSE))</f>
        <v/>
      </c>
      <c r="H395" s="256" t="str">
        <f>IF(D395="","",VLOOKUP(F395,製品マスタ!$G$5:$K$4999,5,FALSE))</f>
        <v/>
      </c>
      <c r="I395" s="200" t="str">
        <f>IF(D395="","",VLOOKUP(F395,製品マスタ!$G$5:$L$4999,6,FALSE))</f>
        <v/>
      </c>
      <c r="J395" s="30"/>
      <c r="K395" s="200" t="str">
        <f>IF(D395="","",VLOOKUP(D395,契約台帳!$A$3:$L$4986,12,FALSE))</f>
        <v/>
      </c>
      <c r="L395" s="200" t="str">
        <f>IF(D395="","",INDEX(製品マスタ!$Q$5:$Q$4999,MATCH(F395&amp;K395,製品マスタ!$AO$5:$AO$4999,0)))</f>
        <v/>
      </c>
      <c r="M395" s="37"/>
      <c r="N395" s="37"/>
      <c r="O395" s="45"/>
      <c r="P395" s="54"/>
      <c r="Q395" s="260" t="str">
        <f>IF(D395="","",IF(J395="リード付け",M395,VLOOKUP(D395,契約台帳!$A$3:$N$4986,14,FALSE)))</f>
        <v/>
      </c>
      <c r="R395" s="261" t="str">
        <f>IF(D395="","",IF(J395="リード付け",M395,VLOOKUP(D395,契約台帳!$A$3:$O$4986,15,FALSE)))</f>
        <v/>
      </c>
      <c r="S395" s="261" t="str">
        <f>IF(D395="","",IF(J395="リード付け",N395,VLOOKUP(D395,契約台帳!$A$3:$P$4986,16,FALSE)))</f>
        <v/>
      </c>
      <c r="T395" s="38"/>
      <c r="U395" s="261" t="str">
        <f ca="1">IF(D395="","",IF(OFFSET(D395,-2,0)=D395,"",VLOOKUP(D395,契約台帳!$A$3:$R$4986,18,FALSE)))</f>
        <v/>
      </c>
      <c r="V395" s="256" t="str">
        <f>IF(J395="巻返し",VLOOKUP(F395&amp;K395&amp;M395,製品マスタ!$M$5:$AD$4999,18,FALSE),IF(J395="リード付け","原反コア",IF(J395="スリット",VLOOKUP(F395&amp;K395&amp;Q395,製品マスタ!$N$5:$AD$4999,17,FALSE),"")))</f>
        <v/>
      </c>
      <c r="W395" s="256" t="str">
        <f>IF(J395="巻返し",VLOOKUP(F395&amp;K395&amp;M395,製品マスタ!$M$5:$AE$4999,19,FALSE),IF(J395="リード付け","-",IF(J395="スリット",VLOOKUP(F395&amp;K395&amp;Q395,製品マスタ!$N$5:$AE$4999,18,FALSE),"")))</f>
        <v/>
      </c>
      <c r="X395" s="256" t="str">
        <f>IF(D395="","",VLOOKUP(D395,契約台帳!$A$3:$Q$4986,17,FALSE))</f>
        <v/>
      </c>
      <c r="Y395" s="256" t="str">
        <f>IF(D395="","",VLOOKUP(D395,契約台帳!$A$3:$E$4986,5,FALSE))</f>
        <v/>
      </c>
      <c r="Z395" s="54"/>
      <c r="AA395" s="200" t="str">
        <f>IFERROR(VLOOKUP(F395&amp;K395&amp;M395,製品マスタ!$M$5:$AM$4999,27,FALSE),"")</f>
        <v/>
      </c>
      <c r="AB395" s="31"/>
      <c r="AC395" s="184"/>
      <c r="AD395" s="51"/>
      <c r="AE395" s="52"/>
      <c r="AF395" s="41"/>
      <c r="AG395" s="45"/>
      <c r="AH395" s="28"/>
      <c r="AI395" s="28"/>
      <c r="AJ395" s="28"/>
      <c r="AK395" s="28"/>
      <c r="AL395" s="12"/>
      <c r="AM395" s="12"/>
      <c r="AN395" s="12"/>
      <c r="AO395" s="12"/>
      <c r="AP395" s="12"/>
      <c r="AQ395" s="13"/>
      <c r="AR395" s="14"/>
    </row>
    <row r="396" spans="1:44" s="16" customFormat="1" ht="30.95" hidden="1" customHeight="1" x14ac:dyDescent="0.2">
      <c r="A396" s="35" t="s">
        <v>1125</v>
      </c>
      <c r="B396" s="36" t="s">
        <v>1107</v>
      </c>
      <c r="C396" s="43"/>
      <c r="D396" s="29"/>
      <c r="E396" s="29"/>
      <c r="F396" s="255" t="str">
        <f>IF(D396="","",VLOOKUP(D396,契約台帳!$A$3:$K$4986,6,FALSE)&amp;VLOOKUP(D396,契約台帳!$A$3:$K$4986,7,FALSE)&amp;VLOOKUP(D396,契約台帳!$A$3:$K$4986,8,FALSE)&amp;VLOOKUP(D396,契約台帳!$A$3:$K$4986,9,FALSE)&amp;VLOOKUP(D396,契約台帳!$A$3:$K$4986,11,FALSE))</f>
        <v/>
      </c>
      <c r="G396" s="256" t="str">
        <f>IF(D396="","",VLOOKUP(F396,製品マスタ!$G$5:$H$4999,2,FALSE))</f>
        <v/>
      </c>
      <c r="H396" s="256" t="str">
        <f>IF(D396="","",VLOOKUP(F396,製品マスタ!$G$5:$K$4999,5,FALSE))</f>
        <v/>
      </c>
      <c r="I396" s="200" t="str">
        <f>IF(D396="","",VLOOKUP(F396,製品マスタ!$G$5:$L$4999,6,FALSE))</f>
        <v/>
      </c>
      <c r="J396" s="30" t="s">
        <v>1126</v>
      </c>
      <c r="K396" s="200" t="str">
        <f>IF(D396="","",VLOOKUP(D396,契約台帳!$A$3:$L$4986,12,FALSE))</f>
        <v/>
      </c>
      <c r="L396" s="200" t="str">
        <f>IF(D396="","",INDEX(製品マスタ!$Q$5:$Q$4999,MATCH(F396&amp;K396,製品マスタ!$AO$5:$AO$4999,0)))</f>
        <v/>
      </c>
      <c r="M396" s="37"/>
      <c r="N396" s="37"/>
      <c r="O396" s="45"/>
      <c r="P396" s="54"/>
      <c r="Q396" s="260" t="str">
        <f>IF(D396="","",IF(J396="リード付け",M396,VLOOKUP(D396,契約台帳!$A$3:$N$4986,14,FALSE)))</f>
        <v/>
      </c>
      <c r="R396" s="261" t="str">
        <f>IF(D396="","",IF(J396="リード付け",M396,VLOOKUP(D396,契約台帳!$A$3:$O$4986,15,FALSE)))</f>
        <v/>
      </c>
      <c r="S396" s="261" t="str">
        <f>IF(D396="","",IF(J396="リード付け",N396,VLOOKUP(D396,契約台帳!$A$3:$P$4986,16,FALSE)))</f>
        <v/>
      </c>
      <c r="T396" s="38"/>
      <c r="U396" s="261" t="str">
        <f ca="1">IF(D396="","",IF(OFFSET(D396,-2,0)=D396,"",VLOOKUP(D396,契約台帳!$A$3:$R$4986,18,FALSE)))</f>
        <v/>
      </c>
      <c r="V396" s="256" t="str">
        <f>IF(J396="巻返し",VLOOKUP(F396&amp;K396&amp;M396,製品マスタ!$M$5:$AD$4999,18,FALSE),IF(J396="リード付け","原反コア",IF(J396="スリット",VLOOKUP(F396&amp;K396&amp;Q396,製品マスタ!$N$5:$AD$4999,17,FALSE),"")))</f>
        <v/>
      </c>
      <c r="W396" s="256" t="str">
        <f>IF(J396="巻返し",VLOOKUP(F396&amp;K396&amp;M396,製品マスタ!$M$5:$AE$4999,19,FALSE),IF(J396="リード付け","-",IF(J396="スリット",VLOOKUP(F396&amp;K396&amp;Q396,製品マスタ!$N$5:$AE$4999,18,FALSE),"")))</f>
        <v/>
      </c>
      <c r="X396" s="256" t="str">
        <f>IF(D396="","",VLOOKUP(D396,契約台帳!$A$3:$Q$4986,17,FALSE))</f>
        <v/>
      </c>
      <c r="Y396" s="256" t="str">
        <f>IF(D396="","",VLOOKUP(D396,契約台帳!$A$3:$E$4986,5,FALSE))</f>
        <v/>
      </c>
      <c r="Z396" s="54"/>
      <c r="AA396" s="200" t="str">
        <f>IFERROR(VLOOKUP(F396&amp;K396&amp;M396,製品マスタ!$M$5:$AM$4999,27,FALSE),"")</f>
        <v/>
      </c>
      <c r="AB396" s="31"/>
      <c r="AC396" s="184"/>
      <c r="AD396" s="51"/>
      <c r="AE396" s="52"/>
      <c r="AF396" s="41"/>
      <c r="AG396" s="45"/>
      <c r="AH396" s="28"/>
      <c r="AI396" s="28"/>
      <c r="AJ396" s="28"/>
      <c r="AK396" s="28"/>
      <c r="AL396" s="12"/>
      <c r="AM396" s="12"/>
      <c r="AN396" s="12"/>
      <c r="AO396" s="12"/>
      <c r="AP396" s="12"/>
      <c r="AQ396" s="13"/>
      <c r="AR396" s="14"/>
    </row>
    <row r="397" spans="1:44" s="16" customFormat="1" ht="30.95" hidden="1" customHeight="1" x14ac:dyDescent="0.2">
      <c r="A397" s="35"/>
      <c r="B397" s="36"/>
      <c r="C397" s="43"/>
      <c r="D397" s="29"/>
      <c r="E397" s="29"/>
      <c r="F397" s="255" t="str">
        <f>IF(D397="","",VLOOKUP(D397,契約台帳!$A$3:$K$4986,6,FALSE)&amp;VLOOKUP(D397,契約台帳!$A$3:$K$4986,7,FALSE)&amp;VLOOKUP(D397,契約台帳!$A$3:$K$4986,8,FALSE)&amp;VLOOKUP(D397,契約台帳!$A$3:$K$4986,9,FALSE)&amp;VLOOKUP(D397,契約台帳!$A$3:$K$4986,11,FALSE))</f>
        <v/>
      </c>
      <c r="G397" s="256" t="str">
        <f>IF(D397="","",VLOOKUP(F397,製品マスタ!$G$5:$H$4999,2,FALSE))</f>
        <v/>
      </c>
      <c r="H397" s="256" t="str">
        <f>IF(D397="","",VLOOKUP(F397,製品マスタ!$G$5:$K$4999,5,FALSE))</f>
        <v/>
      </c>
      <c r="I397" s="200" t="str">
        <f>IF(D397="","",VLOOKUP(F397,製品マスタ!$G$5:$L$4999,6,FALSE))</f>
        <v/>
      </c>
      <c r="J397" s="30"/>
      <c r="K397" s="200" t="str">
        <f>IF(D397="","",VLOOKUP(D397,契約台帳!$A$3:$L$4986,12,FALSE))</f>
        <v/>
      </c>
      <c r="L397" s="200" t="str">
        <f>IF(D397="","",INDEX(製品マスタ!$Q$5:$Q$4999,MATCH(F397&amp;K397,製品マスタ!$AO$5:$AO$4999,0)))</f>
        <v/>
      </c>
      <c r="M397" s="37"/>
      <c r="N397" s="37"/>
      <c r="O397" s="45"/>
      <c r="P397" s="54"/>
      <c r="Q397" s="260" t="str">
        <f>IF(D397="","",IF(J397="リード付け",M397,VLOOKUP(D397,契約台帳!$A$3:$N$4986,14,FALSE)))</f>
        <v/>
      </c>
      <c r="R397" s="261" t="str">
        <f>IF(D397="","",IF(J397="リード付け",M397,VLOOKUP(D397,契約台帳!$A$3:$O$4986,15,FALSE)))</f>
        <v/>
      </c>
      <c r="S397" s="261" t="str">
        <f>IF(D397="","",IF(J397="リード付け",N397,VLOOKUP(D397,契約台帳!$A$3:$P$4986,16,FALSE)))</f>
        <v/>
      </c>
      <c r="T397" s="38"/>
      <c r="U397" s="261" t="str">
        <f ca="1">IF(D397="","",IF(OFFSET(D397,-2,0)=D397,"",VLOOKUP(D397,契約台帳!$A$3:$R$4986,18,FALSE)))</f>
        <v/>
      </c>
      <c r="V397" s="256" t="str">
        <f>IF(J397="巻返し",VLOOKUP(F397&amp;K397&amp;M397,製品マスタ!$M$5:$AD$4999,18,FALSE),IF(J397="リード付け","原反コア",IF(J397="スリット",VLOOKUP(F397&amp;K397&amp;Q397,製品マスタ!$N$5:$AD$4999,17,FALSE),"")))</f>
        <v/>
      </c>
      <c r="W397" s="256" t="str">
        <f>IF(J397="巻返し",VLOOKUP(F397&amp;K397&amp;M397,製品マスタ!$M$5:$AE$4999,19,FALSE),IF(J397="リード付け","-",IF(J397="スリット",VLOOKUP(F397&amp;K397&amp;Q397,製品マスタ!$N$5:$AE$4999,18,FALSE),"")))</f>
        <v/>
      </c>
      <c r="X397" s="256" t="str">
        <f>IF(D397="","",VLOOKUP(D397,契約台帳!$A$3:$Q$4986,17,FALSE))</f>
        <v/>
      </c>
      <c r="Y397" s="256" t="str">
        <f>IF(D397="","",VLOOKUP(D397,契約台帳!$A$3:$E$4986,5,FALSE))</f>
        <v/>
      </c>
      <c r="Z397" s="54"/>
      <c r="AA397" s="200" t="str">
        <f>IFERROR(VLOOKUP(F397&amp;K397&amp;M397,製品マスタ!$M$5:$AM$4999,27,FALSE),"")</f>
        <v/>
      </c>
      <c r="AB397" s="31"/>
      <c r="AC397" s="184"/>
      <c r="AD397" s="51"/>
      <c r="AE397" s="52"/>
      <c r="AF397" s="41"/>
      <c r="AG397" s="45"/>
      <c r="AH397" s="28"/>
      <c r="AI397" s="28"/>
      <c r="AJ397" s="28"/>
      <c r="AK397" s="28"/>
      <c r="AL397" s="12"/>
      <c r="AM397" s="12"/>
      <c r="AN397" s="12"/>
      <c r="AO397" s="12"/>
      <c r="AP397" s="12"/>
      <c r="AQ397" s="13"/>
      <c r="AR397" s="14"/>
    </row>
    <row r="398" spans="1:44" s="16" customFormat="1" ht="30.95" hidden="1" customHeight="1" x14ac:dyDescent="0.2">
      <c r="A398" s="35" t="s">
        <v>1152</v>
      </c>
      <c r="B398" s="36" t="s">
        <v>1153</v>
      </c>
      <c r="C398" s="43"/>
      <c r="D398" s="29">
        <v>3708725</v>
      </c>
      <c r="E398" s="29">
        <v>4151357</v>
      </c>
      <c r="F398" s="255" t="str">
        <f>IF(D398="","",VLOOKUP(D398,契約台帳!$A$3:$K$4986,6,FALSE)&amp;VLOOKUP(D398,契約台帳!$A$3:$K$4986,7,FALSE)&amp;VLOOKUP(D398,契約台帳!$A$3:$K$4986,8,FALSE)&amp;VLOOKUP(D398,契約台帳!$A$3:$K$4986,9,FALSE)&amp;VLOOKUP(D398,契約台帳!$A$3:$K$4986,11,FALSE))</f>
        <v>3SYMLBMSBBZF</v>
      </c>
      <c r="G398" s="256" t="str">
        <f>IF(D398="","",VLOOKUP(F398,製品マスタ!$G$5:$H$4999,2,FALSE))</f>
        <v>S</v>
      </c>
      <c r="H398" s="256" t="str">
        <f>IF(D398="","",VLOOKUP(F398,製品マスタ!$G$5:$K$4999,5,FALSE))</f>
        <v>MSBBZF</v>
      </c>
      <c r="I398" s="200" t="str">
        <f>IF(D398="","",VLOOKUP(F398,製品マスタ!$G$5:$L$4999,6,FALSE))</f>
        <v>ＭＥＴＡＬＵＭＹ　ＳＩＬＶＥＲ　ＢＲＩＧＨＴ　Ｂ</v>
      </c>
      <c r="J398" s="30" t="s">
        <v>447</v>
      </c>
      <c r="K398" s="200">
        <f>IF(D398="","",VLOOKUP(D398,契約台帳!$A$3:$L$4986,12,FALSE))</f>
        <v>50</v>
      </c>
      <c r="L398" s="200" t="str">
        <f>IF(D398="","",INDEX(製品マスタ!$Q$5:$Q$4999,MATCH(F398&amp;K398,製品マスタ!$AO$5:$AO$4999,0)))</f>
        <v>T62</v>
      </c>
      <c r="M398" s="37">
        <v>1120</v>
      </c>
      <c r="N398" s="37">
        <v>10000</v>
      </c>
      <c r="O398" s="45">
        <v>1</v>
      </c>
      <c r="P398" s="54">
        <v>45058</v>
      </c>
      <c r="Q398" s="260">
        <f>IF(D398="","",IF(J398="リード付け",M398,VLOOKUP(D398,契約台帳!$A$3:$N$4986,14,FALSE)))</f>
        <v>1120</v>
      </c>
      <c r="R398" s="261">
        <f>IF(D398="","",IF(J398="リード付け",M398,VLOOKUP(D398,契約台帳!$A$3:$O$4986,15,FALSE)))</f>
        <v>1120</v>
      </c>
      <c r="S398" s="261">
        <f>IF(D398="","",IF(J398="リード付け",N398,VLOOKUP(D398,契約台帳!$A$3:$P$4986,16,FALSE)))</f>
        <v>5000</v>
      </c>
      <c r="T398" s="38">
        <v>2</v>
      </c>
      <c r="U398" s="261">
        <f ca="1">IF(D398="","",IF(OFFSET(D398,-2,0)=D398,"",VLOOKUP(D398,契約台帳!$A$3:$R$4986,18,FALSE)))</f>
        <v>2</v>
      </c>
      <c r="V398" s="256" t="str">
        <f>IF(J398="巻返し",VLOOKUP(F398&amp;K398&amp;M398,製品マスタ!$M$5:$AD$4999,18,FALSE),IF(J398="リード付け","原反コア",IF(J398="スリット",VLOOKUP(F398&amp;K398&amp;Q398,製品マスタ!$N$5:$AD$4999,17,FALSE),"")))</f>
        <v>6ｲﾝﾁSｺｱ</v>
      </c>
      <c r="W398" s="256">
        <f>IF(J398="巻返し",VLOOKUP(F398&amp;K398&amp;M398,製品マスタ!$M$5:$AE$4999,19,FALSE),IF(J398="リード付け","-",IF(J398="スリット",VLOOKUP(F398&amp;K398&amp;Q398,製品マスタ!$N$5:$AE$4999,18,FALSE),"")))</f>
        <v>1125</v>
      </c>
      <c r="X398" s="256">
        <f>IF(D398="","",VLOOKUP(D398,契約台帳!$A$3:$Q$4986,17,FALSE))</f>
        <v>2</v>
      </c>
      <c r="Y398" s="256" t="str">
        <f>IF(D398="","",VLOOKUP(D398,契約台帳!$A$3:$E$4986,5,FALSE))</f>
        <v>リンテック㈱</v>
      </c>
      <c r="Z398" s="54">
        <v>45063</v>
      </c>
      <c r="AA398" s="200" t="str">
        <f>IFERROR(VLOOKUP(F398&amp;K398&amp;M398,製品マスタ!$M$5:$AM$4999,27,FALSE),"")</f>
        <v>原反ケース再利用</v>
      </c>
      <c r="AB398" s="31"/>
      <c r="AC398" s="184"/>
      <c r="AD398" s="51" t="str">
        <f>IF(F398="","",+F398&amp;K398)</f>
        <v>3SYMLBMSBBZF50</v>
      </c>
      <c r="AE398" s="52">
        <f>+M398*N398*O398/1000</f>
        <v>11200</v>
      </c>
      <c r="AF398" s="41">
        <f>IF(AD398="","",VLOOKUP(AD398,原価マスタ!$A$2:$AJ$1693,13,FALSE))</f>
        <v>99</v>
      </c>
      <c r="AG398" s="45">
        <f>IF(AF398="","",+AE398*AF398/100)</f>
        <v>11088</v>
      </c>
      <c r="AH398" s="28"/>
      <c r="AI398" s="28"/>
      <c r="AJ398" s="28"/>
      <c r="AK398" s="28"/>
      <c r="AL398" s="12"/>
      <c r="AM398" s="12"/>
      <c r="AN398" s="12"/>
      <c r="AO398" s="12"/>
      <c r="AP398" s="12"/>
      <c r="AQ398" s="13"/>
      <c r="AR398" s="14"/>
    </row>
    <row r="399" spans="1:44" s="16" customFormat="1" ht="30.95" hidden="1" customHeight="1" x14ac:dyDescent="0.2">
      <c r="A399" s="35"/>
      <c r="B399" s="36"/>
      <c r="C399" s="43"/>
      <c r="D399" s="29"/>
      <c r="E399" s="29"/>
      <c r="F399" s="255" t="str">
        <f>IF(D399="","",VLOOKUP(D399,契約台帳!$A$3:$K$4986,6,FALSE)&amp;VLOOKUP(D399,契約台帳!$A$3:$K$4986,7,FALSE)&amp;VLOOKUP(D399,契約台帳!$A$3:$K$4986,8,FALSE)&amp;VLOOKUP(D399,契約台帳!$A$3:$K$4986,9,FALSE)&amp;VLOOKUP(D399,契約台帳!$A$3:$K$4986,11,FALSE))</f>
        <v/>
      </c>
      <c r="G399" s="256" t="str">
        <f>IF(D399="","",VLOOKUP(F399,製品マスタ!$G$5:$H$4999,2,FALSE))</f>
        <v/>
      </c>
      <c r="H399" s="256" t="str">
        <f>IF(D399="","",VLOOKUP(F399,製品マスタ!$G$5:$K$4999,5,FALSE))</f>
        <v/>
      </c>
      <c r="I399" s="200" t="str">
        <f>IF(D399="","",VLOOKUP(F399,製品マスタ!$G$5:$L$4999,6,FALSE))</f>
        <v/>
      </c>
      <c r="J399" s="30"/>
      <c r="K399" s="200" t="str">
        <f>IF(D399="","",VLOOKUP(D399,契約台帳!$A$3:$L$4986,12,FALSE))</f>
        <v/>
      </c>
      <c r="L399" s="200" t="str">
        <f>IF(D399="","",INDEX(製品マスタ!$Q$5:$Q$4999,MATCH(F399&amp;K399,製品マスタ!$AO$5:$AO$4999,0)))</f>
        <v/>
      </c>
      <c r="M399" s="37"/>
      <c r="N399" s="37"/>
      <c r="O399" s="45"/>
      <c r="P399" s="54"/>
      <c r="Q399" s="260" t="str">
        <f>IF(D399="","",IF(J399="リード付け",M399,VLOOKUP(D399,契約台帳!$A$3:$N$4986,14,FALSE)))</f>
        <v/>
      </c>
      <c r="R399" s="261" t="str">
        <f>IF(D399="","",IF(J399="リード付け",M399,VLOOKUP(D399,契約台帳!$A$3:$O$4986,15,FALSE)))</f>
        <v/>
      </c>
      <c r="S399" s="261" t="str">
        <f>IF(D399="","",IF(J399="リード付け",N399,VLOOKUP(D399,契約台帳!$A$3:$P$4986,16,FALSE)))</f>
        <v/>
      </c>
      <c r="T399" s="38"/>
      <c r="U399" s="261" t="str">
        <f ca="1">IF(D399="","",IF(OFFSET(D399,-2,0)=D399,"",VLOOKUP(D399,契約台帳!$A$3:$R$4986,18,FALSE)))</f>
        <v/>
      </c>
      <c r="V399" s="256" t="str">
        <f>IF(J399="巻返し",VLOOKUP(F399&amp;K399&amp;M399,製品マスタ!$M$5:$AD$4999,18,FALSE),IF(J399="リード付け","原反コア",IF(J399="スリット",VLOOKUP(F399&amp;K399&amp;Q399,製品マスタ!$N$5:$AD$4999,17,FALSE),"")))</f>
        <v/>
      </c>
      <c r="W399" s="256" t="str">
        <f>IF(J399="巻返し",VLOOKUP(F399&amp;K399&amp;M399,製品マスタ!$M$5:$AE$4999,19,FALSE),IF(J399="リード付け","-",IF(J399="スリット",VLOOKUP(F399&amp;K399&amp;Q399,製品マスタ!$N$5:$AE$4999,18,FALSE),"")))</f>
        <v/>
      </c>
      <c r="X399" s="256" t="str">
        <f>IF(D399="","",VLOOKUP(D399,契約台帳!$A$3:$Q$4986,17,FALSE))</f>
        <v/>
      </c>
      <c r="Y399" s="256" t="str">
        <f>IF(D399="","",VLOOKUP(D399,契約台帳!$A$3:$E$4986,5,FALSE))</f>
        <v/>
      </c>
      <c r="Z399" s="54"/>
      <c r="AA399" s="200" t="str">
        <f>IFERROR(VLOOKUP(F399&amp;K399&amp;M399,製品マスタ!$M$5:$AM$4999,27,FALSE),"")</f>
        <v/>
      </c>
      <c r="AB399" s="31"/>
      <c r="AC399" s="184"/>
      <c r="AD399" s="51"/>
      <c r="AE399" s="52"/>
      <c r="AF399" s="41"/>
      <c r="AG399" s="45"/>
      <c r="AH399" s="28"/>
      <c r="AI399" s="28"/>
      <c r="AJ399" s="28"/>
      <c r="AK399" s="28"/>
      <c r="AL399" s="12"/>
      <c r="AM399" s="12"/>
      <c r="AN399" s="12"/>
      <c r="AO399" s="12"/>
      <c r="AP399" s="12"/>
      <c r="AQ399" s="13"/>
      <c r="AR399" s="14"/>
    </row>
    <row r="400" spans="1:44" s="16" customFormat="1" ht="30.95" hidden="1" customHeight="1" x14ac:dyDescent="0.2">
      <c r="A400" s="35"/>
      <c r="B400" s="36"/>
      <c r="C400" s="43"/>
      <c r="D400" s="29">
        <v>3708707</v>
      </c>
      <c r="E400" s="29">
        <v>4151347</v>
      </c>
      <c r="F400" s="255" t="str">
        <f>IF(D400="","",VLOOKUP(D400,契約台帳!$A$3:$K$4986,6,FALSE)&amp;VLOOKUP(D400,契約台帳!$A$3:$K$4986,7,FALSE)&amp;VLOOKUP(D400,契約台帳!$A$3:$K$4986,8,FALSE)&amp;VLOOKUP(D400,契約台帳!$A$3:$K$4986,9,FALSE)&amp;VLOOKUP(D400,契約台帳!$A$3:$K$4986,11,FALSE))</f>
        <v>3SNMLBMNGKBF</v>
      </c>
      <c r="G400" s="256" t="str">
        <f>IF(D400="","",VLOOKUP(F400,製品マスタ!$G$5:$H$4999,2,FALSE))</f>
        <v>S</v>
      </c>
      <c r="H400" s="256" t="str">
        <f>IF(D400="","",VLOOKUP(F400,製品マスタ!$G$5:$K$4999,5,FALSE))</f>
        <v>MNGKBF</v>
      </c>
      <c r="I400" s="200" t="str">
        <f>IF(D400="","",VLOOKUP(F400,製品マスタ!$G$5:$L$4999,6,FALSE))</f>
        <v>メタルミー　ネーマー銀消　Ｂ</v>
      </c>
      <c r="J400" s="30" t="s">
        <v>447</v>
      </c>
      <c r="K400" s="200">
        <f>IF(D400="","",VLOOKUP(D400,契約台帳!$A$3:$L$4986,12,FALSE))</f>
        <v>50</v>
      </c>
      <c r="L400" s="200" t="str">
        <f>IF(D400="","",INDEX(製品マスタ!$Q$5:$Q$4999,MATCH(F400&amp;K400,製品マスタ!$AO$5:$AO$4999,0)))</f>
        <v>MAT</v>
      </c>
      <c r="M400" s="37">
        <v>1050</v>
      </c>
      <c r="N400" s="37">
        <v>8200</v>
      </c>
      <c r="O400" s="45">
        <v>2</v>
      </c>
      <c r="P400" s="54">
        <v>45058</v>
      </c>
      <c r="Q400" s="260">
        <f>IF(D400="","",IF(J400="リード付け",M400,VLOOKUP(D400,契約台帳!$A$3:$N$4986,14,FALSE)))</f>
        <v>1050</v>
      </c>
      <c r="R400" s="261">
        <f>IF(D400="","",IF(J400="リード付け",M400,VLOOKUP(D400,契約台帳!$A$3:$O$4986,15,FALSE)))</f>
        <v>1050</v>
      </c>
      <c r="S400" s="261">
        <f>IF(D400="","",IF(J400="リード付け",N400,VLOOKUP(D400,契約台帳!$A$3:$P$4986,16,FALSE)))</f>
        <v>4100</v>
      </c>
      <c r="T400" s="38">
        <v>4</v>
      </c>
      <c r="U400" s="261">
        <f ca="1">IF(D400="","",IF(OFFSET(D400,-2,0)=D400,"",VLOOKUP(D400,契約台帳!$A$3:$R$4986,18,FALSE)))</f>
        <v>4</v>
      </c>
      <c r="V400" s="256" t="str">
        <f>IF(J400="巻返し",VLOOKUP(F400&amp;K400&amp;M400,製品マスタ!$M$5:$AD$4999,18,FALSE),IF(J400="リード付け","原反コア",IF(J400="スリット",VLOOKUP(F400&amp;K400&amp;Q400,製品マスタ!$N$5:$AD$4999,17,FALSE),"")))</f>
        <v>6ｲﾝﾁSｺｱ</v>
      </c>
      <c r="W400" s="256">
        <f>IF(J400="巻返し",VLOOKUP(F400&amp;K400&amp;M400,製品マスタ!$M$5:$AE$4999,19,FALSE),IF(J400="リード付け","-",IF(J400="スリット",VLOOKUP(F400&amp;K400&amp;Q400,製品マスタ!$N$5:$AE$4999,18,FALSE),"")))</f>
        <v>1055</v>
      </c>
      <c r="X400" s="256">
        <f>IF(D400="","",VLOOKUP(D400,契約台帳!$A$3:$Q$4986,17,FALSE))</f>
        <v>2</v>
      </c>
      <c r="Y400" s="256" t="str">
        <f>IF(D400="","",VLOOKUP(D400,契約台帳!$A$3:$E$4986,5,FALSE))</f>
        <v>リンテック㈱</v>
      </c>
      <c r="Z400" s="54">
        <v>45063</v>
      </c>
      <c r="AA400" s="200">
        <f>IFERROR(VLOOKUP(F400&amp;K400&amp;M400,製品マスタ!$M$5:$AM$4999,27,FALSE),"")</f>
        <v>0</v>
      </c>
      <c r="AB400" s="31"/>
      <c r="AC400" s="184"/>
      <c r="AD400" s="51" t="str">
        <f>IF(F400="","",+F400&amp;K400)</f>
        <v>3SNMLBMNGKBF50</v>
      </c>
      <c r="AE400" s="52">
        <f>+M400*N400*O400/1000</f>
        <v>17220</v>
      </c>
      <c r="AF400" s="41">
        <f>IF(AD400="","",VLOOKUP(AD400,原価マスタ!$A$2:$AJ$1693,13,FALSE))</f>
        <v>98</v>
      </c>
      <c r="AG400" s="45">
        <f>IF(AF400="","",+AE400*AF400/100)</f>
        <v>16875.599999999999</v>
      </c>
      <c r="AH400" s="28"/>
      <c r="AI400" s="28"/>
      <c r="AJ400" s="28"/>
      <c r="AK400" s="28"/>
      <c r="AL400" s="12"/>
      <c r="AM400" s="12"/>
      <c r="AN400" s="12"/>
      <c r="AO400" s="12"/>
      <c r="AP400" s="12"/>
      <c r="AQ400" s="13"/>
      <c r="AR400" s="14"/>
    </row>
    <row r="401" spans="1:44" s="16" customFormat="1" ht="30.95" hidden="1" customHeight="1" x14ac:dyDescent="0.2">
      <c r="A401" s="35"/>
      <c r="B401" s="36"/>
      <c r="C401" s="43"/>
      <c r="D401" s="29"/>
      <c r="E401" s="29"/>
      <c r="F401" s="255" t="str">
        <f>IF(D401="","",VLOOKUP(D401,契約台帳!$A$3:$K$4986,6,FALSE)&amp;VLOOKUP(D401,契約台帳!$A$3:$K$4986,7,FALSE)&amp;VLOOKUP(D401,契約台帳!$A$3:$K$4986,8,FALSE)&amp;VLOOKUP(D401,契約台帳!$A$3:$K$4986,9,FALSE)&amp;VLOOKUP(D401,契約台帳!$A$3:$K$4986,11,FALSE))</f>
        <v/>
      </c>
      <c r="G401" s="256" t="str">
        <f>IF(D401="","",VLOOKUP(F401,製品マスタ!$G$5:$H$4999,2,FALSE))</f>
        <v/>
      </c>
      <c r="H401" s="256" t="str">
        <f>IF(D401="","",VLOOKUP(F401,製品マスタ!$G$5:$K$4999,5,FALSE))</f>
        <v/>
      </c>
      <c r="I401" s="200" t="str">
        <f>IF(D401="","",VLOOKUP(F401,製品マスタ!$G$5:$L$4999,6,FALSE))</f>
        <v/>
      </c>
      <c r="J401" s="30"/>
      <c r="K401" s="200" t="str">
        <f>IF(D401="","",VLOOKUP(D401,契約台帳!$A$3:$L$4986,12,FALSE))</f>
        <v/>
      </c>
      <c r="L401" s="200" t="str">
        <f>IF(D401="","",INDEX(製品マスタ!$Q$5:$Q$4999,MATCH(F401&amp;K401,製品マスタ!$AO$5:$AO$4999,0)))</f>
        <v/>
      </c>
      <c r="M401" s="37"/>
      <c r="N401" s="37"/>
      <c r="O401" s="45"/>
      <c r="P401" s="54"/>
      <c r="Q401" s="260" t="str">
        <f>IF(D401="","",IF(J401="リード付け",M401,VLOOKUP(D401,契約台帳!$A$3:$N$4986,14,FALSE)))</f>
        <v/>
      </c>
      <c r="R401" s="261" t="str">
        <f>IF(D401="","",IF(J401="リード付け",M401,VLOOKUP(D401,契約台帳!$A$3:$O$4986,15,FALSE)))</f>
        <v/>
      </c>
      <c r="S401" s="261" t="str">
        <f>IF(D401="","",IF(J401="リード付け",N401,VLOOKUP(D401,契約台帳!$A$3:$P$4986,16,FALSE)))</f>
        <v/>
      </c>
      <c r="T401" s="38"/>
      <c r="U401" s="261" t="str">
        <f ca="1">IF(D401="","",IF(OFFSET(D401,-2,0)=D401,"",VLOOKUP(D401,契約台帳!$A$3:$R$4986,18,FALSE)))</f>
        <v/>
      </c>
      <c r="V401" s="256" t="str">
        <f>IF(J401="巻返し",VLOOKUP(F401&amp;K401&amp;M401,製品マスタ!$M$5:$AD$4999,18,FALSE),IF(J401="リード付け","原反コア",IF(J401="スリット",VLOOKUP(F401&amp;K401&amp;Q401,製品マスタ!$N$5:$AD$4999,17,FALSE),"")))</f>
        <v/>
      </c>
      <c r="W401" s="256" t="str">
        <f>IF(J401="巻返し",VLOOKUP(F401&amp;K401&amp;M401,製品マスタ!$M$5:$AE$4999,19,FALSE),IF(J401="リード付け","-",IF(J401="スリット",VLOOKUP(F401&amp;K401&amp;Q401,製品マスタ!$N$5:$AE$4999,18,FALSE),"")))</f>
        <v/>
      </c>
      <c r="X401" s="256" t="str">
        <f>IF(D401="","",VLOOKUP(D401,契約台帳!$A$3:$Q$4986,17,FALSE))</f>
        <v/>
      </c>
      <c r="Y401" s="256" t="str">
        <f>IF(D401="","",VLOOKUP(D401,契約台帳!$A$3:$E$4986,5,FALSE))</f>
        <v/>
      </c>
      <c r="Z401" s="54"/>
      <c r="AA401" s="200" t="str">
        <f>IFERROR(VLOOKUP(F401&amp;K401&amp;M401,製品マスタ!$M$5:$AM$4999,27,FALSE),"")</f>
        <v/>
      </c>
      <c r="AB401" s="31"/>
      <c r="AC401" s="184"/>
      <c r="AD401" s="51"/>
      <c r="AE401" s="52"/>
      <c r="AF401" s="41"/>
      <c r="AG401" s="45"/>
      <c r="AH401" s="28"/>
      <c r="AI401" s="28"/>
      <c r="AJ401" s="28"/>
      <c r="AK401" s="28"/>
      <c r="AL401" s="12"/>
      <c r="AM401" s="12"/>
      <c r="AN401" s="12"/>
      <c r="AO401" s="12"/>
      <c r="AP401" s="12"/>
      <c r="AQ401" s="13"/>
      <c r="AR401" s="14"/>
    </row>
    <row r="402" spans="1:44" s="16" customFormat="1" ht="30.95" hidden="1" customHeight="1" x14ac:dyDescent="0.2">
      <c r="A402" s="35"/>
      <c r="B402" s="36"/>
      <c r="C402" s="43"/>
      <c r="D402" s="29">
        <v>3708708</v>
      </c>
      <c r="E402" s="29">
        <v>4151348</v>
      </c>
      <c r="F402" s="255" t="str">
        <f>IF(D402="","",VLOOKUP(D402,契約台帳!$A$3:$K$4986,6,FALSE)&amp;VLOOKUP(D402,契約台帳!$A$3:$K$4986,7,FALSE)&amp;VLOOKUP(D402,契約台帳!$A$3:$K$4986,8,FALSE)&amp;VLOOKUP(D402,契約台帳!$A$3:$K$4986,9,FALSE)&amp;VLOOKUP(D402,契約台帳!$A$3:$K$4986,11,FALSE))</f>
        <v>3SNMLBMNGKBF</v>
      </c>
      <c r="G402" s="256" t="str">
        <f>IF(D402="","",VLOOKUP(F402,製品マスタ!$G$5:$H$4999,2,FALSE))</f>
        <v>S</v>
      </c>
      <c r="H402" s="256" t="str">
        <f>IF(D402="","",VLOOKUP(F402,製品マスタ!$G$5:$K$4999,5,FALSE))</f>
        <v>MNGKBF</v>
      </c>
      <c r="I402" s="200" t="str">
        <f>IF(D402="","",VLOOKUP(F402,製品マスタ!$G$5:$L$4999,6,FALSE))</f>
        <v>メタルミー　ネーマー銀消　Ｂ</v>
      </c>
      <c r="J402" s="30" t="s">
        <v>447</v>
      </c>
      <c r="K402" s="200">
        <f>IF(D402="","",VLOOKUP(D402,契約台帳!$A$3:$L$4986,12,FALSE))</f>
        <v>75</v>
      </c>
      <c r="L402" s="200" t="str">
        <f>IF(D402="","",INDEX(製品マスタ!$Q$5:$Q$4999,MATCH(F402&amp;K402,製品マスタ!$AO$5:$AO$4999,0)))</f>
        <v>MAT</v>
      </c>
      <c r="M402" s="37">
        <v>1050</v>
      </c>
      <c r="N402" s="37">
        <v>6000</v>
      </c>
      <c r="O402" s="45">
        <v>1</v>
      </c>
      <c r="P402" s="54">
        <v>45058</v>
      </c>
      <c r="Q402" s="260">
        <f>IF(D402="","",IF(J402="リード付け",M402,VLOOKUP(D402,契約台帳!$A$3:$N$4986,14,FALSE)))</f>
        <v>1050</v>
      </c>
      <c r="R402" s="261">
        <f>IF(D402="","",IF(J402="リード付け",M402,VLOOKUP(D402,契約台帳!$A$3:$O$4986,15,FALSE)))</f>
        <v>1050</v>
      </c>
      <c r="S402" s="261">
        <f>IF(D402="","",IF(J402="リード付け",N402,VLOOKUP(D402,契約台帳!$A$3:$P$4986,16,FALSE)))</f>
        <v>2000</v>
      </c>
      <c r="T402" s="38">
        <v>3</v>
      </c>
      <c r="U402" s="261">
        <f ca="1">IF(D402="","",IF(OFFSET(D402,-2,0)=D402,"",VLOOKUP(D402,契約台帳!$A$3:$R$4986,18,FALSE)))</f>
        <v>3</v>
      </c>
      <c r="V402" s="256" t="str">
        <f>IF(J402="巻返し",VLOOKUP(F402&amp;K402&amp;M402,製品マスタ!$M$5:$AD$4999,18,FALSE),IF(J402="リード付け","原反コア",IF(J402="スリット",VLOOKUP(F402&amp;K402&amp;Q402,製品マスタ!$N$5:$AD$4999,17,FALSE),"")))</f>
        <v>6ｲﾝﾁSｺｱ</v>
      </c>
      <c r="W402" s="256">
        <f>IF(J402="巻返し",VLOOKUP(F402&amp;K402&amp;M402,製品マスタ!$M$5:$AE$4999,19,FALSE),IF(J402="リード付け","-",IF(J402="スリット",VLOOKUP(F402&amp;K402&amp;Q402,製品マスタ!$N$5:$AE$4999,18,FALSE),"")))</f>
        <v>1055</v>
      </c>
      <c r="X402" s="256">
        <f>IF(D402="","",VLOOKUP(D402,契約台帳!$A$3:$Q$4986,17,FALSE))</f>
        <v>2</v>
      </c>
      <c r="Y402" s="256" t="str">
        <f>IF(D402="","",VLOOKUP(D402,契約台帳!$A$3:$E$4986,5,FALSE))</f>
        <v>リンテック㈱</v>
      </c>
      <c r="Z402" s="54">
        <v>45063</v>
      </c>
      <c r="AA402" s="200">
        <f>IFERROR(VLOOKUP(F402&amp;K402&amp;M402,製品マスタ!$M$5:$AM$4999,27,FALSE),"")</f>
        <v>0</v>
      </c>
      <c r="AB402" s="31"/>
      <c r="AC402" s="184"/>
      <c r="AD402" s="51" t="str">
        <f>IF(F402="","",+F402&amp;K402)</f>
        <v>3SNMLBMNGKBF75</v>
      </c>
      <c r="AE402" s="52">
        <f>+M402*N402*O402/1000</f>
        <v>6300</v>
      </c>
      <c r="AF402" s="41">
        <f>IF(AD402="","",VLOOKUP(AD402,原価マスタ!$A$2:$AJ$1693,13,FALSE))</f>
        <v>97</v>
      </c>
      <c r="AG402" s="45">
        <f>IF(AF402="","",+AE402*AF402/100)</f>
        <v>6111</v>
      </c>
      <c r="AH402" s="28"/>
      <c r="AI402" s="28"/>
      <c r="AJ402" s="28"/>
      <c r="AK402" s="28"/>
      <c r="AL402" s="12"/>
      <c r="AM402" s="12"/>
      <c r="AN402" s="12"/>
      <c r="AO402" s="12"/>
      <c r="AP402" s="12"/>
      <c r="AQ402" s="13"/>
      <c r="AR402" s="14"/>
    </row>
    <row r="403" spans="1:44" s="16" customFormat="1" ht="30.95" hidden="1" customHeight="1" x14ac:dyDescent="0.2">
      <c r="A403" s="35"/>
      <c r="B403" s="36"/>
      <c r="C403" s="43"/>
      <c r="D403" s="29"/>
      <c r="E403" s="29"/>
      <c r="F403" s="255"/>
      <c r="G403" s="256"/>
      <c r="H403" s="256"/>
      <c r="I403" s="200"/>
      <c r="J403" s="30"/>
      <c r="K403" s="200"/>
      <c r="L403" s="200"/>
      <c r="M403" s="37"/>
      <c r="N403" s="37"/>
      <c r="O403" s="45"/>
      <c r="P403" s="54"/>
      <c r="Q403" s="260"/>
      <c r="R403" s="261"/>
      <c r="S403" s="261"/>
      <c r="T403" s="38"/>
      <c r="U403" s="261"/>
      <c r="V403" s="256"/>
      <c r="W403" s="256"/>
      <c r="X403" s="256"/>
      <c r="Y403" s="256"/>
      <c r="Z403" s="54"/>
      <c r="AA403" s="200"/>
      <c r="AB403" s="31"/>
      <c r="AC403" s="184"/>
      <c r="AD403" s="51"/>
      <c r="AE403" s="52"/>
      <c r="AF403" s="41"/>
      <c r="AG403" s="45"/>
      <c r="AH403" s="28"/>
      <c r="AI403" s="28"/>
      <c r="AJ403" s="28"/>
      <c r="AK403" s="28"/>
      <c r="AL403" s="12"/>
      <c r="AM403" s="12"/>
      <c r="AN403" s="12"/>
      <c r="AO403" s="12"/>
      <c r="AP403" s="12"/>
      <c r="AQ403" s="13"/>
      <c r="AR403" s="14"/>
    </row>
    <row r="404" spans="1:44" s="16" customFormat="1" ht="30.95" hidden="1" customHeight="1" x14ac:dyDescent="0.2">
      <c r="A404" s="35" t="s">
        <v>1128</v>
      </c>
      <c r="B404" s="36" t="s">
        <v>688</v>
      </c>
      <c r="C404" s="43"/>
      <c r="D404" s="29">
        <v>3708715</v>
      </c>
      <c r="E404" s="29">
        <v>4151356</v>
      </c>
      <c r="F404" s="255" t="str">
        <f>IF(D404="","",VLOOKUP(D404,契約台帳!$A$3:$K$4986,6,FALSE)&amp;VLOOKUP(D404,契約台帳!$A$3:$K$4986,7,FALSE)&amp;VLOOKUP(D404,契約台帳!$A$3:$K$4986,8,FALSE)&amp;VLOOKUP(D404,契約台帳!$A$3:$K$4986,9,FALSE)&amp;VLOOKUP(D404,契約台帳!$A$3:$K$4986,11,FALSE))</f>
        <v>3SNMLBMNNGKBF</v>
      </c>
      <c r="G404" s="256" t="str">
        <f>IF(D404="","",VLOOKUP(F404,製品マスタ!$G$5:$H$4999,2,FALSE))</f>
        <v>S</v>
      </c>
      <c r="H404" s="256" t="str">
        <f>IF(D404="","",VLOOKUP(F404,製品マスタ!$G$5:$K$4999,5,FALSE))</f>
        <v>MNNGKBF</v>
      </c>
      <c r="I404" s="200" t="str">
        <f>IF(D404="","",VLOOKUP(F404,製品マスタ!$G$5:$L$4999,6,FALSE))</f>
        <v>メタルミー　ニューネーマー銀消　Ｂ</v>
      </c>
      <c r="J404" s="30" t="s">
        <v>447</v>
      </c>
      <c r="K404" s="200">
        <f>IF(D404="","",VLOOKUP(D404,契約台帳!$A$3:$L$4986,12,FALSE))</f>
        <v>50</v>
      </c>
      <c r="L404" s="200" t="str">
        <f>IF(D404="","",INDEX(製品マスタ!$Q$5:$Q$4999,MATCH(F404&amp;K404,製品マスタ!$AO$5:$AO$4999,0)))</f>
        <v>X44</v>
      </c>
      <c r="M404" s="37">
        <v>1000</v>
      </c>
      <c r="N404" s="37">
        <v>12000</v>
      </c>
      <c r="O404" s="45">
        <v>5</v>
      </c>
      <c r="P404" s="54">
        <v>45059</v>
      </c>
      <c r="Q404" s="260">
        <f>IF(D404="","",IF(J404="リード付け",M404,VLOOKUP(D404,契約台帳!$A$3:$N$4986,14,FALSE)))</f>
        <v>1000</v>
      </c>
      <c r="R404" s="261">
        <f>IF(D404="","",IF(J404="リード付け",M404,VLOOKUP(D404,契約台帳!$A$3:$O$4986,15,FALSE)))</f>
        <v>1000</v>
      </c>
      <c r="S404" s="261">
        <f>IF(D404="","",IF(J404="リード付け",N404,VLOOKUP(D404,契約台帳!$A$3:$P$4986,16,FALSE)))</f>
        <v>4000</v>
      </c>
      <c r="T404" s="38">
        <v>15</v>
      </c>
      <c r="U404" s="261">
        <f ca="1">IF(D404="","",IF(OFFSET(D404,-2,0)=D404,"",VLOOKUP(D404,契約台帳!$A$3:$R$4986,18,FALSE)))</f>
        <v>15</v>
      </c>
      <c r="V404" s="256" t="str">
        <f>IF(J404="巻返し",VLOOKUP(F404&amp;K404&amp;M404,製品マスタ!$M$5:$AD$4999,18,FALSE),IF(J404="リード付け","原反コア",IF(J404="スリット",VLOOKUP(F404&amp;K404&amp;Q404,製品マスタ!$N$5:$AD$4999,17,FALSE),"")))</f>
        <v>6ｲﾝﾁSｺｱ</v>
      </c>
      <c r="W404" s="256">
        <f>IF(J404="巻返し",VLOOKUP(F404&amp;K404&amp;M404,製品マスタ!$M$5:$AE$4999,19,FALSE),IF(J404="リード付け","-",IF(J404="スリット",VLOOKUP(F404&amp;K404&amp;Q404,製品マスタ!$N$5:$AE$4999,18,FALSE),"")))</f>
        <v>1005</v>
      </c>
      <c r="X404" s="256">
        <f>IF(D404="","",VLOOKUP(D404,契約台帳!$A$3:$Q$4986,17,FALSE))</f>
        <v>2</v>
      </c>
      <c r="Y404" s="256" t="str">
        <f>IF(D404="","",VLOOKUP(D404,契約台帳!$A$3:$E$4986,5,FALSE))</f>
        <v>リンテック㈱</v>
      </c>
      <c r="Z404" s="54">
        <v>45064</v>
      </c>
      <c r="AA404" s="200" t="str">
        <f>IFERROR(VLOOKUP(F404&amp;K404&amp;M404,製品マスタ!$M$5:$AM$4999,27,FALSE),"")</f>
        <v>原反ケース再利用</v>
      </c>
      <c r="AB404" s="31"/>
      <c r="AC404" s="184"/>
      <c r="AD404" s="51" t="str">
        <f>IF(F404="","",+F404&amp;K404)</f>
        <v>3SNMLBMNNGKBF50</v>
      </c>
      <c r="AE404" s="52">
        <f>+M404*N404*O404/1000</f>
        <v>60000</v>
      </c>
      <c r="AF404" s="41">
        <f>IF(AD404="","",VLOOKUP(AD404,原価マスタ!$A$2:$AJ$1693,13,FALSE))</f>
        <v>99</v>
      </c>
      <c r="AG404" s="45">
        <f>IF(AF404="","",+AE404*AF404/100)</f>
        <v>59400</v>
      </c>
      <c r="AH404" s="28"/>
      <c r="AI404" s="28"/>
      <c r="AJ404" s="28"/>
      <c r="AK404" s="28"/>
      <c r="AL404" s="12"/>
      <c r="AM404" s="12"/>
      <c r="AN404" s="12"/>
      <c r="AO404" s="12"/>
      <c r="AP404" s="12"/>
      <c r="AQ404" s="13"/>
      <c r="AR404" s="14"/>
    </row>
    <row r="405" spans="1:44" s="16" customFormat="1" ht="30.95" hidden="1" customHeight="1" x14ac:dyDescent="0.2">
      <c r="A405" s="35"/>
      <c r="B405" s="36"/>
      <c r="C405" s="43"/>
      <c r="D405" s="29"/>
      <c r="E405" s="29"/>
      <c r="F405" s="255" t="str">
        <f>IF(D405="","",VLOOKUP(D405,契約台帳!$A$3:$K$4986,6,FALSE)&amp;VLOOKUP(D405,契約台帳!$A$3:$K$4986,7,FALSE)&amp;VLOOKUP(D405,契約台帳!$A$3:$K$4986,8,FALSE)&amp;VLOOKUP(D405,契約台帳!$A$3:$K$4986,9,FALSE)&amp;VLOOKUP(D405,契約台帳!$A$3:$K$4986,11,FALSE))</f>
        <v/>
      </c>
      <c r="G405" s="256" t="str">
        <f>IF(D405="","",VLOOKUP(F405,製品マスタ!$G$5:$H$4999,2,FALSE))</f>
        <v/>
      </c>
      <c r="H405" s="256" t="str">
        <f>IF(D405="","",VLOOKUP(F405,製品マスタ!$G$5:$K$4999,5,FALSE))</f>
        <v/>
      </c>
      <c r="I405" s="200" t="str">
        <f>IF(D405="","",VLOOKUP(F405,製品マスタ!$G$5:$L$4999,6,FALSE))</f>
        <v/>
      </c>
      <c r="J405" s="30"/>
      <c r="K405" s="200" t="str">
        <f>IF(D405="","",VLOOKUP(D405,契約台帳!$A$3:$L$4986,12,FALSE))</f>
        <v/>
      </c>
      <c r="L405" s="200" t="str">
        <f>IF(D405="","",INDEX(製品マスタ!$Q$5:$Q$4999,MATCH(F405&amp;K405,製品マスタ!$AO$5:$AO$4999,0)))</f>
        <v/>
      </c>
      <c r="M405" s="37"/>
      <c r="N405" s="37"/>
      <c r="O405" s="45"/>
      <c r="P405" s="54"/>
      <c r="Q405" s="260" t="str">
        <f>IF(D405="","",IF(J405="リード付け",M405,VLOOKUP(D405,契約台帳!$A$3:$N$4986,14,FALSE)))</f>
        <v/>
      </c>
      <c r="R405" s="261" t="str">
        <f>IF(D405="","",IF(J405="リード付け",M405,VLOOKUP(D405,契約台帳!$A$3:$O$4986,15,FALSE)))</f>
        <v/>
      </c>
      <c r="S405" s="261" t="str">
        <f>IF(D405="","",IF(J405="リード付け",N405,VLOOKUP(D405,契約台帳!$A$3:$P$4986,16,FALSE)))</f>
        <v/>
      </c>
      <c r="T405" s="38"/>
      <c r="U405" s="261" t="str">
        <f ca="1">IF(D405="","",IF(OFFSET(D405,-2,0)=D405,"",VLOOKUP(D405,契約台帳!$A$3:$R$4986,18,FALSE)))</f>
        <v/>
      </c>
      <c r="V405" s="256" t="str">
        <f>IF(J405="巻返し",VLOOKUP(F405&amp;K405&amp;M405,製品マスタ!$M$5:$AD$4999,18,FALSE),IF(J405="リード付け","原反コア",IF(J405="スリット",VLOOKUP(F405&amp;K405&amp;Q405,製品マスタ!$N$5:$AD$4999,17,FALSE),"")))</f>
        <v/>
      </c>
      <c r="W405" s="256" t="str">
        <f>IF(J405="巻返し",VLOOKUP(F405&amp;K405&amp;M405,製品マスタ!$M$5:$AE$4999,19,FALSE),IF(J405="リード付け","-",IF(J405="スリット",VLOOKUP(F405&amp;K405&amp;Q405,製品マスタ!$N$5:$AE$4999,18,FALSE),"")))</f>
        <v/>
      </c>
      <c r="X405" s="256" t="str">
        <f>IF(D405="","",VLOOKUP(D405,契約台帳!$A$3:$Q$4986,17,FALSE))</f>
        <v/>
      </c>
      <c r="Y405" s="256" t="str">
        <f>IF(D405="","",VLOOKUP(D405,契約台帳!$A$3:$E$4986,5,FALSE))</f>
        <v/>
      </c>
      <c r="Z405" s="54"/>
      <c r="AA405" s="200" t="str">
        <f>IFERROR(VLOOKUP(F405&amp;K405&amp;M405,製品マスタ!$M$5:$AM$4999,27,FALSE),"")</f>
        <v/>
      </c>
      <c r="AB405" s="31"/>
      <c r="AC405" s="184"/>
      <c r="AD405" s="51"/>
      <c r="AE405" s="52"/>
      <c r="AF405" s="41"/>
      <c r="AG405" s="45"/>
      <c r="AH405" s="28"/>
      <c r="AI405" s="28"/>
      <c r="AJ405" s="28"/>
      <c r="AK405" s="28"/>
      <c r="AL405" s="12"/>
      <c r="AM405" s="12"/>
      <c r="AN405" s="12"/>
      <c r="AO405" s="12"/>
      <c r="AP405" s="12"/>
      <c r="AQ405" s="13"/>
      <c r="AR405" s="14"/>
    </row>
    <row r="406" spans="1:44" s="16" customFormat="1" ht="30.95" hidden="1" customHeight="1" x14ac:dyDescent="0.2">
      <c r="A406" s="35" t="s">
        <v>1129</v>
      </c>
      <c r="B406" s="36" t="s">
        <v>442</v>
      </c>
      <c r="C406" s="43"/>
      <c r="D406" s="29">
        <v>3708709</v>
      </c>
      <c r="E406" s="29">
        <v>4151363</v>
      </c>
      <c r="F406" s="255" t="str">
        <f>IF(D406="","",VLOOKUP(D406,契約台帳!$A$3:$K$4986,6,FALSE)&amp;VLOOKUP(D406,契約台帳!$A$3:$K$4986,7,FALSE)&amp;VLOOKUP(D406,契約台帳!$A$3:$K$4986,8,FALSE)&amp;VLOOKUP(D406,契約台帳!$A$3:$K$4986,9,FALSE)&amp;VLOOKUP(D406,契約台帳!$A$3:$K$4986,11,FALSE))</f>
        <v>3SNMLBMNGTBF</v>
      </c>
      <c r="G406" s="256" t="str">
        <f>IF(D406="","",VLOOKUP(F406,製品マスタ!$G$5:$H$4999,2,FALSE))</f>
        <v>S</v>
      </c>
      <c r="H406" s="256" t="str">
        <f>IF(D406="","",VLOOKUP(F406,製品マスタ!$G$5:$K$4999,5,FALSE))</f>
        <v>MNGTBF</v>
      </c>
      <c r="I406" s="200" t="str">
        <f>IF(D406="","",VLOOKUP(F406,製品マスタ!$G$5:$L$4999,6,FALSE))</f>
        <v>メタルミー　ネーマー　銀艶　Ｂ</v>
      </c>
      <c r="J406" s="30" t="s">
        <v>1123</v>
      </c>
      <c r="K406" s="200">
        <f>IF(D406="","",VLOOKUP(D406,契約台帳!$A$3:$L$4986,12,FALSE))</f>
        <v>25</v>
      </c>
      <c r="L406" s="200" t="str">
        <f>IF(D406="","",INDEX(製品マスタ!$Q$5:$Q$4999,MATCH(F406&amp;K406,製品マスタ!$AO$5:$AO$4999,0)))</f>
        <v>T62M</v>
      </c>
      <c r="M406" s="37">
        <v>1005</v>
      </c>
      <c r="N406" s="37">
        <v>12100</v>
      </c>
      <c r="O406" s="45">
        <v>4</v>
      </c>
      <c r="P406" s="54">
        <v>45060</v>
      </c>
      <c r="Q406" s="260">
        <f>IF(D406="","",IF(J406="リード付け",M406,VLOOKUP(D406,契約台帳!$A$3:$N$4986,14,FALSE)))</f>
        <v>1005</v>
      </c>
      <c r="R406" s="261">
        <f>IF(D406="","",IF(J406="リード付け",M406,VLOOKUP(D406,契約台帳!$A$3:$O$4986,15,FALSE)))</f>
        <v>1000</v>
      </c>
      <c r="S406" s="261">
        <f>IF(D406="","",IF(J406="リード付け",N406,VLOOKUP(D406,契約台帳!$A$3:$P$4986,16,FALSE)))</f>
        <v>4000</v>
      </c>
      <c r="T406" s="38">
        <v>12</v>
      </c>
      <c r="U406" s="261">
        <f ca="1">IF(D406="","",IF(OFFSET(D406,-2,0)=D406,"",VLOOKUP(D406,契約台帳!$A$3:$R$4986,18,FALSE)))</f>
        <v>12</v>
      </c>
      <c r="V406" s="256" t="str">
        <f>IF(J406="巻返し",VLOOKUP(F406&amp;K406&amp;M406,製品マスタ!$M$5:$AD$4999,18,FALSE),IF(J406="リード付け","原反コア",IF(J406="スリット",VLOOKUP(F406&amp;K406&amp;Q406,製品マスタ!$N$5:$AD$4999,17,FALSE),"")))</f>
        <v>6ｲﾝﾁSｺｱ</v>
      </c>
      <c r="W406" s="256">
        <f>IF(J406="巻返し",VLOOKUP(F406&amp;K406&amp;M406,製品マスタ!$M$5:$AE$4999,19,FALSE),IF(J406="リード付け","-",IF(J406="スリット",VLOOKUP(F406&amp;K406&amp;Q406,製品マスタ!$N$5:$AE$4999,18,FALSE),"")))</f>
        <v>1015</v>
      </c>
      <c r="X406" s="256">
        <f>IF(D406="","",VLOOKUP(D406,契約台帳!$A$3:$Q$4986,17,FALSE))</f>
        <v>2</v>
      </c>
      <c r="Y406" s="256" t="str">
        <f>IF(D406="","",VLOOKUP(D406,契約台帳!$A$3:$E$4986,5,FALSE))</f>
        <v>リンテック㈱</v>
      </c>
      <c r="Z406" s="54">
        <v>45065</v>
      </c>
      <c r="AA406" s="200">
        <f>IFERROR(VLOOKUP(F406&amp;K406&amp;M406,製品マスタ!$M$5:$AM$4999,27,FALSE),"")</f>
        <v>0</v>
      </c>
      <c r="AB406" s="31"/>
      <c r="AC406" s="184"/>
      <c r="AD406" s="51" t="str">
        <f>IF(F406="","",+F406&amp;K406)</f>
        <v>3SNMLBMNGTBF25</v>
      </c>
      <c r="AE406" s="52">
        <f>+M406*N406*O406/1000</f>
        <v>48642</v>
      </c>
      <c r="AF406" s="41">
        <f>IF(AD406="","",VLOOKUP(AD406,原価マスタ!$A$2:$AJ$1693,13,FALSE))</f>
        <v>97.5</v>
      </c>
      <c r="AG406" s="45">
        <f>IF(AF406="","",+AE406*AF406/100)</f>
        <v>47425.95</v>
      </c>
      <c r="AH406" s="28"/>
      <c r="AI406" s="28"/>
      <c r="AJ406" s="28"/>
      <c r="AK406" s="28"/>
      <c r="AL406" s="12"/>
      <c r="AM406" s="12"/>
      <c r="AN406" s="12"/>
      <c r="AO406" s="12"/>
      <c r="AP406" s="12"/>
      <c r="AQ406" s="13"/>
      <c r="AR406" s="14"/>
    </row>
    <row r="407" spans="1:44" s="16" customFormat="1" ht="30.95" hidden="1" customHeight="1" x14ac:dyDescent="0.2">
      <c r="A407" s="35"/>
      <c r="B407" s="36"/>
      <c r="C407" s="43"/>
      <c r="D407" s="29"/>
      <c r="E407" s="29"/>
      <c r="F407" s="255" t="str">
        <f>IF(D407="","",VLOOKUP(D407,契約台帳!$A$3:$K$4986,6,FALSE)&amp;VLOOKUP(D407,契約台帳!$A$3:$K$4986,7,FALSE)&amp;VLOOKUP(D407,契約台帳!$A$3:$K$4986,8,FALSE)&amp;VLOOKUP(D407,契約台帳!$A$3:$K$4986,9,FALSE)&amp;VLOOKUP(D407,契約台帳!$A$3:$K$4986,11,FALSE))</f>
        <v/>
      </c>
      <c r="G407" s="256" t="str">
        <f>IF(D407="","",VLOOKUP(F407,製品マスタ!$G$5:$H$4999,2,FALSE))</f>
        <v/>
      </c>
      <c r="H407" s="256" t="str">
        <f>IF(D407="","",VLOOKUP(F407,製品マスタ!$G$5:$K$4999,5,FALSE))</f>
        <v/>
      </c>
      <c r="I407" s="200" t="str">
        <f>IF(D407="","",VLOOKUP(F407,製品マスタ!$G$5:$L$4999,6,FALSE))</f>
        <v/>
      </c>
      <c r="J407" s="30"/>
      <c r="K407" s="200" t="str">
        <f>IF(D407="","",VLOOKUP(D407,契約台帳!$A$3:$L$4986,12,FALSE))</f>
        <v/>
      </c>
      <c r="L407" s="200" t="str">
        <f>IF(D407="","",INDEX(製品マスタ!$Q$5:$Q$4999,MATCH(F407&amp;K407,製品マスタ!$AO$5:$AO$4999,0)))</f>
        <v/>
      </c>
      <c r="M407" s="37"/>
      <c r="N407" s="37"/>
      <c r="O407" s="45"/>
      <c r="P407" s="54"/>
      <c r="Q407" s="260" t="str">
        <f>IF(D407="","",IF(J407="リード付け",M407,VLOOKUP(D407,契約台帳!$A$3:$N$4986,14,FALSE)))</f>
        <v/>
      </c>
      <c r="R407" s="261" t="str">
        <f>IF(D407="","",IF(J407="リード付け",M407,VLOOKUP(D407,契約台帳!$A$3:$O$4986,15,FALSE)))</f>
        <v/>
      </c>
      <c r="S407" s="261" t="str">
        <f>IF(D407="","",IF(J407="リード付け",N407,VLOOKUP(D407,契約台帳!$A$3:$P$4986,16,FALSE)))</f>
        <v/>
      </c>
      <c r="T407" s="38"/>
      <c r="U407" s="261" t="str">
        <f ca="1">IF(D407="","",IF(OFFSET(D407,-2,0)=D407,"",VLOOKUP(D407,契約台帳!$A$3:$R$4986,18,FALSE)))</f>
        <v/>
      </c>
      <c r="V407" s="256" t="str">
        <f>IF(J407="巻返し",VLOOKUP(F407&amp;K407&amp;M407,製品マスタ!$M$5:$AD$4999,18,FALSE),IF(J407="リード付け","原反コア",IF(J407="スリット",VLOOKUP(F407&amp;K407&amp;Q407,製品マスタ!$N$5:$AD$4999,17,FALSE),"")))</f>
        <v/>
      </c>
      <c r="W407" s="256" t="str">
        <f>IF(J407="巻返し",VLOOKUP(F407&amp;K407&amp;M407,製品マスタ!$M$5:$AE$4999,19,FALSE),IF(J407="リード付け","-",IF(J407="スリット",VLOOKUP(F407&amp;K407&amp;Q407,製品マスタ!$N$5:$AE$4999,18,FALSE),"")))</f>
        <v/>
      </c>
      <c r="X407" s="256" t="str">
        <f>IF(D407="","",VLOOKUP(D407,契約台帳!$A$3:$Q$4986,17,FALSE))</f>
        <v/>
      </c>
      <c r="Y407" s="256" t="str">
        <f>IF(D407="","",VLOOKUP(D407,契約台帳!$A$3:$E$4986,5,FALSE))</f>
        <v/>
      </c>
      <c r="Z407" s="54"/>
      <c r="AA407" s="200" t="str">
        <f>IFERROR(VLOOKUP(F407&amp;K407&amp;M407,製品マスタ!$M$5:$AM$4999,27,FALSE),"")</f>
        <v/>
      </c>
      <c r="AB407" s="31"/>
      <c r="AC407" s="184"/>
      <c r="AD407" s="51"/>
      <c r="AE407" s="52"/>
      <c r="AF407" s="41"/>
      <c r="AG407" s="45"/>
      <c r="AH407" s="28"/>
      <c r="AI407" s="28"/>
      <c r="AJ407" s="28"/>
      <c r="AK407" s="28"/>
      <c r="AL407" s="12"/>
      <c r="AM407" s="12"/>
      <c r="AN407" s="12"/>
      <c r="AO407" s="12"/>
      <c r="AP407" s="12"/>
      <c r="AQ407" s="13"/>
      <c r="AR407" s="14"/>
    </row>
    <row r="408" spans="1:44" s="16" customFormat="1" ht="30.95" hidden="1" customHeight="1" x14ac:dyDescent="0.2">
      <c r="A408" s="35" t="s">
        <v>1154</v>
      </c>
      <c r="B408" s="36" t="s">
        <v>1155</v>
      </c>
      <c r="C408" s="43"/>
      <c r="D408" s="29">
        <v>3708714</v>
      </c>
      <c r="E408" s="29">
        <v>4151370</v>
      </c>
      <c r="F408" s="255" t="str">
        <f>IF(D408="","",VLOOKUP(D408,契約台帳!$A$3:$K$4986,6,FALSE)&amp;VLOOKUP(D408,契約台帳!$A$3:$K$4986,7,FALSE)&amp;VLOOKUP(D408,契約台帳!$A$3:$K$4986,8,FALSE)&amp;VLOOKUP(D408,契約台帳!$A$3:$K$4986,9,FALSE)&amp;VLOOKUP(D408,契約台帳!$A$3:$K$4986,11,FALSE))</f>
        <v>3SNMLBMNNGKBF</v>
      </c>
      <c r="G408" s="256" t="str">
        <f>IF(D408="","",VLOOKUP(F408,製品マスタ!$G$5:$H$4999,2,FALSE))</f>
        <v>S</v>
      </c>
      <c r="H408" s="256" t="str">
        <f>IF(D408="","",VLOOKUP(F408,製品マスタ!$G$5:$K$4999,5,FALSE))</f>
        <v>MNNGKBF</v>
      </c>
      <c r="I408" s="200" t="str">
        <f>IF(D408="","",VLOOKUP(F408,製品マスタ!$G$5:$L$4999,6,FALSE))</f>
        <v>メタルミー　ニューネーマー銀消　Ｂ</v>
      </c>
      <c r="J408" s="30" t="s">
        <v>447</v>
      </c>
      <c r="K408" s="200">
        <f>IF(D408="","",VLOOKUP(D408,契約台帳!$A$3:$L$4986,12,FALSE))</f>
        <v>25</v>
      </c>
      <c r="L408" s="200" t="str">
        <f>IF(D408="","",INDEX(製品マスタ!$Q$5:$Q$4999,MATCH(F408&amp;K408,製品マスタ!$AO$5:$AO$4999,0)))</f>
        <v>X44C</v>
      </c>
      <c r="M408" s="37">
        <v>1005</v>
      </c>
      <c r="N408" s="37">
        <v>8000</v>
      </c>
      <c r="O408" s="45">
        <v>2</v>
      </c>
      <c r="P408" s="54">
        <v>45061</v>
      </c>
      <c r="Q408" s="260">
        <f>IF(D408="","",IF(J408="リード付け",M408,VLOOKUP(D408,契約台帳!$A$3:$N$4986,14,FALSE)))</f>
        <v>1005</v>
      </c>
      <c r="R408" s="261">
        <f>IF(D408="","",IF(J408="リード付け",M408,VLOOKUP(D408,契約台帳!$A$3:$O$4986,15,FALSE)))</f>
        <v>1000</v>
      </c>
      <c r="S408" s="261">
        <f>IF(D408="","",IF(J408="リード付け",N408,VLOOKUP(D408,契約台帳!$A$3:$P$4986,16,FALSE)))</f>
        <v>4000</v>
      </c>
      <c r="T408" s="38">
        <v>4</v>
      </c>
      <c r="U408" s="261">
        <f ca="1">IF(D408="","",IF(OFFSET(D408,-2,0)=D408,"",VLOOKUP(D408,契約台帳!$A$3:$R$4986,18,FALSE)))</f>
        <v>4</v>
      </c>
      <c r="V408" s="256" t="str">
        <f>IF(J408="巻返し",VLOOKUP(F408&amp;K408&amp;M408,製品マスタ!$M$5:$AD$4999,18,FALSE),IF(J408="リード付け","原反コア",IF(J408="スリット",VLOOKUP(F408&amp;K408&amp;Q408,製品マスタ!$N$5:$AD$4999,17,FALSE),"")))</f>
        <v>6ｲﾝﾁSｺｱ</v>
      </c>
      <c r="W408" s="256">
        <f>IF(J408="巻返し",VLOOKUP(F408&amp;K408&amp;M408,製品マスタ!$M$5:$AE$4999,19,FALSE),IF(J408="リード付け","-",IF(J408="スリット",VLOOKUP(F408&amp;K408&amp;Q408,製品マスタ!$N$5:$AE$4999,18,FALSE),"")))</f>
        <v>1015</v>
      </c>
      <c r="X408" s="256">
        <f>IF(D408="","",VLOOKUP(D408,契約台帳!$A$3:$Q$4986,17,FALSE))</f>
        <v>2</v>
      </c>
      <c r="Y408" s="256" t="str">
        <f>IF(D408="","",VLOOKUP(D408,契約台帳!$A$3:$E$4986,5,FALSE))</f>
        <v>リンテック㈱</v>
      </c>
      <c r="Z408" s="54">
        <v>45069</v>
      </c>
      <c r="AA408" s="200">
        <f>IFERROR(VLOOKUP(F408&amp;K408&amp;M408,製品マスタ!$M$5:$AM$4999,27,FALSE),"")</f>
        <v>0</v>
      </c>
      <c r="AB408" s="31"/>
      <c r="AC408" s="184"/>
      <c r="AD408" s="51" t="str">
        <f>IF(F408="","",+F408&amp;K408)</f>
        <v>3SNMLBMNNGKBF25</v>
      </c>
      <c r="AE408" s="52">
        <f>+M408*N408*O408/1000</f>
        <v>16080</v>
      </c>
      <c r="AF408" s="41">
        <f>IF(AD408="","",VLOOKUP(AD408,原価マスタ!$A$2:$AJ$1693,13,FALSE))</f>
        <v>98.3</v>
      </c>
      <c r="AG408" s="45">
        <f>IF(AF408="","",+AE408*AF408/100)</f>
        <v>15806.64</v>
      </c>
      <c r="AH408" s="28"/>
      <c r="AI408" s="28"/>
      <c r="AJ408" s="28"/>
      <c r="AK408" s="28"/>
      <c r="AL408" s="12"/>
      <c r="AM408" s="12"/>
      <c r="AN408" s="12"/>
      <c r="AO408" s="12"/>
      <c r="AP408" s="12"/>
      <c r="AQ408" s="13"/>
      <c r="AR408" s="14"/>
    </row>
    <row r="409" spans="1:44" s="16" customFormat="1" ht="30.95" hidden="1" customHeight="1" x14ac:dyDescent="0.2">
      <c r="A409" s="35"/>
      <c r="B409" s="36"/>
      <c r="C409" s="43"/>
      <c r="D409" s="29"/>
      <c r="E409" s="29"/>
      <c r="F409" s="255" t="str">
        <f>IF(D409="","",VLOOKUP(D409,契約台帳!$A$3:$K$4986,6,FALSE)&amp;VLOOKUP(D409,契約台帳!$A$3:$K$4986,7,FALSE)&amp;VLOOKUP(D409,契約台帳!$A$3:$K$4986,8,FALSE)&amp;VLOOKUP(D409,契約台帳!$A$3:$K$4986,9,FALSE)&amp;VLOOKUP(D409,契約台帳!$A$3:$K$4986,11,FALSE))</f>
        <v/>
      </c>
      <c r="G409" s="256" t="str">
        <f>IF(D409="","",VLOOKUP(F409,製品マスタ!$G$5:$H$4999,2,FALSE))</f>
        <v/>
      </c>
      <c r="H409" s="256" t="str">
        <f>IF(D409="","",VLOOKUP(F409,製品マスタ!$G$5:$K$4999,5,FALSE))</f>
        <v/>
      </c>
      <c r="I409" s="200" t="str">
        <f>IF(D409="","",VLOOKUP(F409,製品マスタ!$G$5:$L$4999,6,FALSE))</f>
        <v/>
      </c>
      <c r="J409" s="30"/>
      <c r="K409" s="200" t="str">
        <f>IF(D409="","",VLOOKUP(D409,契約台帳!$A$3:$L$4986,12,FALSE))</f>
        <v/>
      </c>
      <c r="L409" s="200" t="str">
        <f>IF(D409="","",INDEX(製品マスタ!$Q$5:$Q$4999,MATCH(F409&amp;K409,製品マスタ!$AO$5:$AO$4999,0)))</f>
        <v/>
      </c>
      <c r="M409" s="37"/>
      <c r="N409" s="37"/>
      <c r="O409" s="45"/>
      <c r="P409" s="54"/>
      <c r="Q409" s="260" t="str">
        <f>IF(D409="","",IF(J409="リード付け",M409,VLOOKUP(D409,契約台帳!$A$3:$N$4986,14,FALSE)))</f>
        <v/>
      </c>
      <c r="R409" s="261" t="str">
        <f>IF(D409="","",IF(J409="リード付け",M409,VLOOKUP(D409,契約台帳!$A$3:$O$4986,15,FALSE)))</f>
        <v/>
      </c>
      <c r="S409" s="261" t="str">
        <f>IF(D409="","",IF(J409="リード付け",N409,VLOOKUP(D409,契約台帳!$A$3:$P$4986,16,FALSE)))</f>
        <v/>
      </c>
      <c r="T409" s="38"/>
      <c r="U409" s="261" t="str">
        <f ca="1">IF(D409="","",IF(OFFSET(D409,-2,0)=D409,"",VLOOKUP(D409,契約台帳!$A$3:$R$4986,18,FALSE)))</f>
        <v/>
      </c>
      <c r="V409" s="256" t="str">
        <f>IF(J409="巻返し",VLOOKUP(F409&amp;K409&amp;M409,製品マスタ!$M$5:$AD$4999,18,FALSE),IF(J409="リード付け","原反コア",IF(J409="スリット",VLOOKUP(F409&amp;K409&amp;Q409,製品マスタ!$N$5:$AD$4999,17,FALSE),"")))</f>
        <v/>
      </c>
      <c r="W409" s="256" t="str">
        <f>IF(J409="巻返し",VLOOKUP(F409&amp;K409&amp;M409,製品マスタ!$M$5:$AE$4999,19,FALSE),IF(J409="リード付け","-",IF(J409="スリット",VLOOKUP(F409&amp;K409&amp;Q409,製品マスタ!$N$5:$AE$4999,18,FALSE),"")))</f>
        <v/>
      </c>
      <c r="X409" s="256" t="str">
        <f>IF(D409="","",VLOOKUP(D409,契約台帳!$A$3:$Q$4986,17,FALSE))</f>
        <v/>
      </c>
      <c r="Y409" s="256" t="str">
        <f>IF(D409="","",VLOOKUP(D409,契約台帳!$A$3:$E$4986,5,FALSE))</f>
        <v/>
      </c>
      <c r="Z409" s="54"/>
      <c r="AA409" s="200" t="str">
        <f>IFERROR(VLOOKUP(F409&amp;K409&amp;M409,製品マスタ!$M$5:$AM$4999,27,FALSE),"")</f>
        <v/>
      </c>
      <c r="AB409" s="31"/>
      <c r="AC409" s="184"/>
      <c r="AD409" s="51"/>
      <c r="AE409" s="52"/>
      <c r="AF409" s="41"/>
      <c r="AG409" s="45"/>
      <c r="AH409" s="28"/>
      <c r="AI409" s="28"/>
      <c r="AJ409" s="28"/>
      <c r="AK409" s="28"/>
      <c r="AL409" s="12"/>
      <c r="AM409" s="12"/>
      <c r="AN409" s="12"/>
      <c r="AO409" s="12"/>
      <c r="AP409" s="12"/>
      <c r="AQ409" s="13"/>
      <c r="AR409" s="14"/>
    </row>
    <row r="410" spans="1:44" s="16" customFormat="1" ht="30.95" hidden="1" customHeight="1" x14ac:dyDescent="0.2">
      <c r="A410" s="35"/>
      <c r="B410" s="36"/>
      <c r="C410" s="43"/>
      <c r="D410" s="29">
        <v>3708710</v>
      </c>
      <c r="E410" s="29">
        <v>4151364</v>
      </c>
      <c r="F410" s="255" t="str">
        <f>IF(D410="","",VLOOKUP(D410,契約台帳!$A$3:$K$4986,6,FALSE)&amp;VLOOKUP(D410,契約台帳!$A$3:$K$4986,7,FALSE)&amp;VLOOKUP(D410,契約台帳!$A$3:$K$4986,8,FALSE)&amp;VLOOKUP(D410,契約台帳!$A$3:$K$4986,9,FALSE)&amp;VLOOKUP(D410,契約台帳!$A$3:$K$4986,11,FALSE))</f>
        <v>3SNMLBMNGTBF</v>
      </c>
      <c r="G410" s="256" t="str">
        <f>IF(D410="","",VLOOKUP(F410,製品マスタ!$G$5:$H$4999,2,FALSE))</f>
        <v>S</v>
      </c>
      <c r="H410" s="256" t="str">
        <f>IF(D410="","",VLOOKUP(F410,製品マスタ!$G$5:$K$4999,5,FALSE))</f>
        <v>MNGTBF</v>
      </c>
      <c r="I410" s="200" t="str">
        <f>IF(D410="","",VLOOKUP(F410,製品マスタ!$G$5:$L$4999,6,FALSE))</f>
        <v>メタルミー　ネーマー　銀艶　Ｂ</v>
      </c>
      <c r="J410" s="30" t="s">
        <v>447</v>
      </c>
      <c r="K410" s="200">
        <f>IF(D410="","",VLOOKUP(D410,契約台帳!$A$3:$L$4986,12,FALSE))</f>
        <v>25</v>
      </c>
      <c r="L410" s="200" t="str">
        <f>IF(D410="","",INDEX(製品マスタ!$Q$5:$Q$4999,MATCH(F410&amp;K410,製品マスタ!$AO$5:$AO$4999,0)))</f>
        <v>T62M</v>
      </c>
      <c r="M410" s="37">
        <v>1125</v>
      </c>
      <c r="N410" s="37">
        <v>12100</v>
      </c>
      <c r="O410" s="45">
        <v>1</v>
      </c>
      <c r="P410" s="54">
        <v>45061</v>
      </c>
      <c r="Q410" s="260">
        <f>IF(D410="","",IF(J410="リード付け",M410,VLOOKUP(D410,契約台帳!$A$3:$N$4986,14,FALSE)))</f>
        <v>1125</v>
      </c>
      <c r="R410" s="261">
        <f>IF(D410="","",IF(J410="リード付け",M410,VLOOKUP(D410,契約台帳!$A$3:$O$4986,15,FALSE)))</f>
        <v>1120</v>
      </c>
      <c r="S410" s="261">
        <f>IF(D410="","",IF(J410="リード付け",N410,VLOOKUP(D410,契約台帳!$A$3:$P$4986,16,FALSE)))</f>
        <v>4000</v>
      </c>
      <c r="T410" s="38">
        <v>3</v>
      </c>
      <c r="U410" s="261">
        <f ca="1">IF(D410="","",IF(OFFSET(D410,-2,0)=D410,"",VLOOKUP(D410,契約台帳!$A$3:$R$4986,18,FALSE)))</f>
        <v>3</v>
      </c>
      <c r="V410" s="256" t="str">
        <f>IF(J410="巻返し",VLOOKUP(F410&amp;K410&amp;M410,製品マスタ!$M$5:$AD$4999,18,FALSE),IF(J410="リード付け","原反コア",IF(J410="スリット",VLOOKUP(F410&amp;K410&amp;Q410,製品マスタ!$N$5:$AD$4999,17,FALSE),"")))</f>
        <v>6ｲﾝﾁSｺｱ</v>
      </c>
      <c r="W410" s="256">
        <f>IF(J410="巻返し",VLOOKUP(F410&amp;K410&amp;M410,製品マスタ!$M$5:$AE$4999,19,FALSE),IF(J410="リード付け","-",IF(J410="スリット",VLOOKUP(F410&amp;K410&amp;Q410,製品マスタ!$N$5:$AE$4999,18,FALSE),"")))</f>
        <v>1130</v>
      </c>
      <c r="X410" s="256">
        <f>IF(D410="","",VLOOKUP(D410,契約台帳!$A$3:$Q$4986,17,FALSE))</f>
        <v>2</v>
      </c>
      <c r="Y410" s="256" t="str">
        <f>IF(D410="","",VLOOKUP(D410,契約台帳!$A$3:$E$4986,5,FALSE))</f>
        <v>リンテック㈱</v>
      </c>
      <c r="Z410" s="54">
        <v>45069</v>
      </c>
      <c r="AA410" s="200">
        <f>IFERROR(VLOOKUP(F410&amp;K410&amp;M410,製品マスタ!$M$5:$AM$4999,27,FALSE),"")</f>
        <v>0</v>
      </c>
      <c r="AB410" s="31"/>
      <c r="AC410" s="184"/>
      <c r="AD410" s="51" t="str">
        <f>IF(F410="","",+F410&amp;K410)</f>
        <v>3SNMLBMNGTBF25</v>
      </c>
      <c r="AE410" s="52">
        <f>+M410*N410*O410/1000</f>
        <v>13612.5</v>
      </c>
      <c r="AF410" s="41">
        <f>IF(AD410="","",VLOOKUP(AD410,原価マスタ!$A$2:$AJ$1693,13,FALSE))</f>
        <v>97.5</v>
      </c>
      <c r="AG410" s="45">
        <f>IF(AF410="","",+AE410*AF410/100)</f>
        <v>13272.1875</v>
      </c>
      <c r="AH410" s="28"/>
      <c r="AI410" s="28"/>
      <c r="AJ410" s="28"/>
      <c r="AK410" s="28"/>
      <c r="AL410" s="12"/>
      <c r="AM410" s="12"/>
      <c r="AN410" s="12"/>
      <c r="AO410" s="12"/>
      <c r="AP410" s="12"/>
      <c r="AQ410" s="13"/>
      <c r="AR410" s="14"/>
    </row>
    <row r="411" spans="1:44" s="16" customFormat="1" ht="30.95" hidden="1" customHeight="1" x14ac:dyDescent="0.2">
      <c r="A411" s="35"/>
      <c r="B411" s="36"/>
      <c r="C411" s="43"/>
      <c r="D411" s="29"/>
      <c r="E411" s="29"/>
      <c r="F411" s="255" t="str">
        <f>IF(D411="","",VLOOKUP(D411,契約台帳!$A$3:$K$4986,6,FALSE)&amp;VLOOKUP(D411,契約台帳!$A$3:$K$4986,7,FALSE)&amp;VLOOKUP(D411,契約台帳!$A$3:$K$4986,8,FALSE)&amp;VLOOKUP(D411,契約台帳!$A$3:$K$4986,9,FALSE)&amp;VLOOKUP(D411,契約台帳!$A$3:$K$4986,11,FALSE))</f>
        <v/>
      </c>
      <c r="G411" s="256" t="str">
        <f>IF(D411="","",VLOOKUP(F411,製品マスタ!$G$5:$H$4999,2,FALSE))</f>
        <v/>
      </c>
      <c r="H411" s="256" t="str">
        <f>IF(D411="","",VLOOKUP(F411,製品マスタ!$G$5:$K$4999,5,FALSE))</f>
        <v/>
      </c>
      <c r="I411" s="279"/>
      <c r="J411" s="30"/>
      <c r="K411" s="200" t="str">
        <f>IF(D411="","",VLOOKUP(D411,契約台帳!$A$3:$L$4986,12,FALSE))</f>
        <v/>
      </c>
      <c r="L411" s="200" t="str">
        <f>IF(D411="","",INDEX(製品マスタ!$Q$5:$Q$4999,MATCH(F411&amp;K411,製品マスタ!$AO$5:$AO$4999,0)))</f>
        <v/>
      </c>
      <c r="M411" s="37"/>
      <c r="N411" s="37"/>
      <c r="O411" s="45"/>
      <c r="P411" s="54"/>
      <c r="Q411" s="260" t="str">
        <f>IF(D411="","",IF(J411="リード付け",M411,VLOOKUP(D411,契約台帳!$A$3:$N$4986,14,FALSE)))</f>
        <v/>
      </c>
      <c r="R411" s="261" t="str">
        <f>IF(D411="","",IF(J411="リード付け",M411,VLOOKUP(D411,契約台帳!$A$3:$O$4986,15,FALSE)))</f>
        <v/>
      </c>
      <c r="S411" s="261" t="str">
        <f>IF(D411="","",IF(J411="リード付け",N411,VLOOKUP(D411,契約台帳!$A$3:$P$4986,16,FALSE)))</f>
        <v/>
      </c>
      <c r="T411" s="38"/>
      <c r="U411" s="261" t="str">
        <f ca="1">IF(D411="","",IF(OFFSET(D411,-2,0)=D411,"",VLOOKUP(D411,契約台帳!$A$3:$R$4986,18,FALSE)))</f>
        <v/>
      </c>
      <c r="V411" s="256" t="str">
        <f>IF(J411="巻返し",VLOOKUP(F411&amp;K411&amp;M411,製品マスタ!$M$5:$AD$4999,18,FALSE),IF(J411="リード付け","原反コア",IF(J411="スリット",VLOOKUP(F411&amp;K411&amp;Q411,製品マスタ!$N$5:$AD$4999,17,FALSE),"")))</f>
        <v/>
      </c>
      <c r="W411" s="256" t="str">
        <f>IF(J411="巻返し",VLOOKUP(F411&amp;K411&amp;M411,製品マスタ!$M$5:$AE$4999,19,FALSE),IF(J411="リード付け","-",IF(J411="スリット",VLOOKUP(F411&amp;K411&amp;Q411,製品マスタ!$N$5:$AE$4999,18,FALSE),"")))</f>
        <v/>
      </c>
      <c r="X411" s="256" t="str">
        <f>IF(D411="","",VLOOKUP(D411,契約台帳!$A$3:$Q$4986,17,FALSE))</f>
        <v/>
      </c>
      <c r="Y411" s="256" t="str">
        <f>IF(D411="","",VLOOKUP(D411,契約台帳!$A$3:$E$4986,5,FALSE))</f>
        <v/>
      </c>
      <c r="Z411" s="54"/>
      <c r="AA411" s="200" t="str">
        <f>IFERROR(VLOOKUP(F411&amp;K411&amp;M411,製品マスタ!$M$5:$AM$4999,27,FALSE),"")</f>
        <v/>
      </c>
      <c r="AB411" s="31"/>
      <c r="AC411" s="184"/>
      <c r="AD411" s="51"/>
      <c r="AE411" s="52"/>
      <c r="AF411" s="41"/>
      <c r="AG411" s="45"/>
      <c r="AH411" s="28"/>
      <c r="AI411" s="28"/>
      <c r="AJ411" s="28"/>
      <c r="AK411" s="28"/>
      <c r="AL411" s="12"/>
      <c r="AM411" s="12"/>
      <c r="AN411" s="12"/>
      <c r="AO411" s="12"/>
      <c r="AP411" s="12"/>
      <c r="AQ411" s="13"/>
      <c r="AR411" s="14"/>
    </row>
    <row r="412" spans="1:44" s="16" customFormat="1" ht="30.95" hidden="1" customHeight="1" x14ac:dyDescent="0.2">
      <c r="A412" s="35" t="s">
        <v>1156</v>
      </c>
      <c r="B412" s="36" t="s">
        <v>1157</v>
      </c>
      <c r="C412" s="43"/>
      <c r="D412" s="29">
        <v>3708706</v>
      </c>
      <c r="E412" s="29">
        <v>4151350</v>
      </c>
      <c r="F412" s="255" t="str">
        <f>IF(D412="","",VLOOKUP(D412,契約台帳!$A$3:$K$4986,6,FALSE)&amp;VLOOKUP(D412,契約台帳!$A$3:$K$4986,7,FALSE)&amp;VLOOKUP(D412,契約台帳!$A$3:$K$4986,8,FALSE)&amp;VLOOKUP(D412,契約台帳!$A$3:$K$4986,9,FALSE)&amp;VLOOKUP(D412,契約台帳!$A$3:$K$4986,11,FALSE))</f>
        <v>3SNMLBMNGKKBF</v>
      </c>
      <c r="G412" s="256" t="str">
        <f>IF(D412="","",VLOOKUP(F412,製品マスタ!$G$5:$H$4999,2,FALSE))</f>
        <v>S</v>
      </c>
      <c r="H412" s="256" t="str">
        <f>IF(D412="","",VLOOKUP(F412,製品マスタ!$G$5:$K$4999,5,FALSE))</f>
        <v>MNGKKBF</v>
      </c>
      <c r="I412" s="200" t="str">
        <f>IF(D412="","",VLOOKUP(F412,製品マスタ!$G$5:$L$4999,6,FALSE))</f>
        <v>メタルミー　ネーマー銀消改　Ｂ</v>
      </c>
      <c r="J412" s="30" t="s">
        <v>1123</v>
      </c>
      <c r="K412" s="200">
        <f>IF(D412="","",VLOOKUP(D412,契約台帳!$A$3:$L$4986,12,FALSE))</f>
        <v>50</v>
      </c>
      <c r="L412" s="200" t="str">
        <f>IF(D412="","",INDEX(製品マスタ!$Q$5:$Q$4999,MATCH(F412&amp;K412,製品マスタ!$AO$5:$AO$4999,0)))</f>
        <v>S99-MAT</v>
      </c>
      <c r="M412" s="37">
        <v>1120</v>
      </c>
      <c r="N412" s="37">
        <v>12000</v>
      </c>
      <c r="O412" s="45">
        <v>4</v>
      </c>
      <c r="P412" s="54">
        <v>45062</v>
      </c>
      <c r="Q412" s="260">
        <f>IF(D412="","",IF(J412="リード付け",M412,VLOOKUP(D412,契約台帳!$A$3:$N$4986,14,FALSE)))</f>
        <v>1120</v>
      </c>
      <c r="R412" s="261">
        <f>IF(D412="","",IF(J412="リード付け",M412,VLOOKUP(D412,契約台帳!$A$3:$O$4986,15,FALSE)))</f>
        <v>1120</v>
      </c>
      <c r="S412" s="261">
        <f>IF(D412="","",IF(J412="リード付け",N412,VLOOKUP(D412,契約台帳!$A$3:$P$4986,16,FALSE)))</f>
        <v>4000</v>
      </c>
      <c r="T412" s="38">
        <v>12</v>
      </c>
      <c r="U412" s="261">
        <f ca="1">IF(D412="","",IF(OFFSET(D412,-2,0)=D412,"",VLOOKUP(D412,契約台帳!$A$3:$R$4986,18,FALSE)))</f>
        <v>16</v>
      </c>
      <c r="V412" s="256" t="str">
        <f>IF(J412="巻返し",VLOOKUP(F412&amp;K412&amp;M412,製品マスタ!$M$5:$AD$4999,18,FALSE),IF(J412="リード付け","原反コア",IF(J412="スリット",VLOOKUP(F412&amp;K412&amp;Q412,製品マスタ!$N$5:$AD$4999,17,FALSE),"")))</f>
        <v>6ｲﾝﾁSｺｱ</v>
      </c>
      <c r="W412" s="256">
        <f>IF(J412="巻返し",VLOOKUP(F412&amp;K412&amp;M412,製品マスタ!$M$5:$AE$4999,19,FALSE),IF(J412="リード付け","-",IF(J412="スリット",VLOOKUP(F412&amp;K412&amp;Q412,製品マスタ!$N$5:$AE$4999,18,FALSE),"")))</f>
        <v>1125</v>
      </c>
      <c r="X412" s="256">
        <f>IF(D412="","",VLOOKUP(D412,契約台帳!$A$3:$Q$4986,17,FALSE))</f>
        <v>2</v>
      </c>
      <c r="Y412" s="256" t="str">
        <f>IF(D412="","",VLOOKUP(D412,契約台帳!$A$3:$E$4986,5,FALSE))</f>
        <v>リンテック㈱</v>
      </c>
      <c r="Z412" s="54">
        <v>45069</v>
      </c>
      <c r="AA412" s="200">
        <f>IFERROR(VLOOKUP(F412&amp;K412&amp;M412,製品マスタ!$M$5:$AM$4999,27,FALSE),"")</f>
        <v>0</v>
      </c>
      <c r="AB412" s="31"/>
      <c r="AC412" s="184"/>
      <c r="AD412" s="51" t="str">
        <f>IF(F412="","",+F412&amp;K412)</f>
        <v>3SNMLBMNGKKBF50</v>
      </c>
      <c r="AE412" s="52">
        <f>+M412*N412*O412/1000</f>
        <v>53760</v>
      </c>
      <c r="AF412" s="41">
        <f>IF(AD412="","",VLOOKUP(AD412,原価マスタ!$A$2:$AJ$1693,13,FALSE))</f>
        <v>99</v>
      </c>
      <c r="AG412" s="45">
        <f>IF(AF412="","",+AE412*AF412/100)</f>
        <v>53222.400000000001</v>
      </c>
      <c r="AH412" s="28"/>
      <c r="AI412" s="28"/>
      <c r="AJ412" s="28"/>
      <c r="AK412" s="28"/>
      <c r="AL412" s="12"/>
      <c r="AM412" s="12"/>
      <c r="AN412" s="12"/>
      <c r="AO412" s="12"/>
      <c r="AP412" s="12"/>
      <c r="AQ412" s="13"/>
      <c r="AR412" s="14"/>
    </row>
    <row r="413" spans="1:44" s="16" customFormat="1" ht="30.95" hidden="1" customHeight="1" x14ac:dyDescent="0.2">
      <c r="A413" s="35"/>
      <c r="B413" s="36"/>
      <c r="C413" s="43"/>
      <c r="D413" s="29"/>
      <c r="E413" s="29"/>
      <c r="F413" s="255" t="str">
        <f>IF(D413="","",VLOOKUP(D413,契約台帳!$A$3:$K$4986,6,FALSE)&amp;VLOOKUP(D413,契約台帳!$A$3:$K$4986,7,FALSE)&amp;VLOOKUP(D413,契約台帳!$A$3:$K$4986,8,FALSE)&amp;VLOOKUP(D413,契約台帳!$A$3:$K$4986,9,FALSE)&amp;VLOOKUP(D413,契約台帳!$A$3:$K$4986,11,FALSE))</f>
        <v/>
      </c>
      <c r="G413" s="256" t="str">
        <f>IF(D413="","",VLOOKUP(F413,製品マスタ!$G$5:$H$4999,2,FALSE))</f>
        <v/>
      </c>
      <c r="H413" s="256" t="str">
        <f>IF(D413="","",VLOOKUP(F413,製品マスタ!$G$5:$K$4999,5,FALSE))</f>
        <v/>
      </c>
      <c r="I413" s="200" t="str">
        <f>IF(D413="","",VLOOKUP(F413,製品マスタ!$G$5:$L$4999,6,FALSE))</f>
        <v/>
      </c>
      <c r="J413" s="30"/>
      <c r="K413" s="200" t="str">
        <f>IF(D413="","",VLOOKUP(D413,契約台帳!$A$3:$L$4986,12,FALSE))</f>
        <v/>
      </c>
      <c r="L413" s="200" t="str">
        <f>IF(D413="","",INDEX(製品マスタ!$Q$5:$Q$4999,MATCH(F413&amp;K413,製品マスタ!$AO$5:$AO$4999,0)))</f>
        <v/>
      </c>
      <c r="M413" s="37"/>
      <c r="N413" s="37"/>
      <c r="O413" s="45"/>
      <c r="P413" s="54"/>
      <c r="Q413" s="260" t="str">
        <f>IF(D413="","",IF(J413="リード付け",M413,VLOOKUP(D413,契約台帳!$A$3:$N$4986,14,FALSE)))</f>
        <v/>
      </c>
      <c r="R413" s="261" t="str">
        <f>IF(D413="","",IF(J413="リード付け",M413,VLOOKUP(D413,契約台帳!$A$3:$O$4986,15,FALSE)))</f>
        <v/>
      </c>
      <c r="S413" s="261" t="str">
        <f>IF(D413="","",IF(J413="リード付け",N413,VLOOKUP(D413,契約台帳!$A$3:$P$4986,16,FALSE)))</f>
        <v/>
      </c>
      <c r="T413" s="38"/>
      <c r="U413" s="261" t="str">
        <f ca="1">IF(D413="","",IF(OFFSET(D413,-2,0)=D413,"",VLOOKUP(D413,契約台帳!$A$3:$R$4986,18,FALSE)))</f>
        <v/>
      </c>
      <c r="V413" s="256" t="str">
        <f>IF(J413="巻返し",VLOOKUP(F413&amp;K413&amp;M413,製品マスタ!$M$5:$AD$4999,18,FALSE),IF(J413="リード付け","原反コア",IF(J413="スリット",VLOOKUP(F413&amp;K413&amp;Q413,製品マスタ!$N$5:$AD$4999,17,FALSE),"")))</f>
        <v/>
      </c>
      <c r="W413" s="256" t="str">
        <f>IF(J413="巻返し",VLOOKUP(F413&amp;K413&amp;M413,製品マスタ!$M$5:$AE$4999,19,FALSE),IF(J413="リード付け","-",IF(J413="スリット",VLOOKUP(F413&amp;K413&amp;Q413,製品マスタ!$N$5:$AE$4999,18,FALSE),"")))</f>
        <v/>
      </c>
      <c r="X413" s="256" t="str">
        <f>IF(D413="","",VLOOKUP(D413,契約台帳!$A$3:$Q$4986,17,FALSE))</f>
        <v/>
      </c>
      <c r="Y413" s="256" t="str">
        <f>IF(D413="","",VLOOKUP(D413,契約台帳!$A$3:$E$4986,5,FALSE))</f>
        <v/>
      </c>
      <c r="Z413" s="54"/>
      <c r="AA413" s="200" t="str">
        <f>IFERROR(VLOOKUP(F413&amp;K413&amp;M413,製品マスタ!$M$5:$AM$4999,27,FALSE),"")</f>
        <v/>
      </c>
      <c r="AB413" s="31"/>
      <c r="AC413" s="184"/>
      <c r="AD413" s="51"/>
      <c r="AE413" s="52"/>
      <c r="AF413" s="41"/>
      <c r="AG413" s="45"/>
      <c r="AH413" s="28"/>
      <c r="AI413" s="28"/>
      <c r="AJ413" s="28"/>
      <c r="AK413" s="28"/>
      <c r="AL413" s="12"/>
      <c r="AM413" s="12"/>
      <c r="AN413" s="12"/>
      <c r="AO413" s="12"/>
      <c r="AP413" s="12"/>
      <c r="AQ413" s="13"/>
      <c r="AR413" s="14"/>
    </row>
    <row r="414" spans="1:44" s="16" customFormat="1" ht="30.95" hidden="1" customHeight="1" x14ac:dyDescent="0.2">
      <c r="A414" s="35" t="s">
        <v>1132</v>
      </c>
      <c r="B414" s="36" t="s">
        <v>1105</v>
      </c>
      <c r="C414" s="43"/>
      <c r="D414" s="29"/>
      <c r="E414" s="29"/>
      <c r="F414" s="255"/>
      <c r="G414" s="256"/>
      <c r="H414" s="256"/>
      <c r="I414" s="200"/>
      <c r="J414" s="30" t="s">
        <v>1126</v>
      </c>
      <c r="K414" s="200"/>
      <c r="L414" s="200"/>
      <c r="M414" s="37"/>
      <c r="N414" s="37"/>
      <c r="O414" s="45"/>
      <c r="P414" s="54"/>
      <c r="Q414" s="260"/>
      <c r="R414" s="261"/>
      <c r="S414" s="261"/>
      <c r="T414" s="38"/>
      <c r="U414" s="261"/>
      <c r="V414" s="256"/>
      <c r="W414" s="256"/>
      <c r="X414" s="256"/>
      <c r="Y414" s="256"/>
      <c r="Z414" s="54"/>
      <c r="AA414" s="200"/>
      <c r="AB414" s="31"/>
      <c r="AC414" s="184"/>
      <c r="AD414" s="51"/>
      <c r="AE414" s="52"/>
      <c r="AF414" s="41"/>
      <c r="AG414" s="45"/>
      <c r="AH414" s="28"/>
      <c r="AI414" s="28"/>
      <c r="AJ414" s="28"/>
      <c r="AK414" s="28"/>
      <c r="AL414" s="12"/>
      <c r="AM414" s="12"/>
      <c r="AN414" s="12"/>
      <c r="AO414" s="12"/>
      <c r="AP414" s="12"/>
      <c r="AQ414" s="13"/>
      <c r="AR414" s="14"/>
    </row>
    <row r="415" spans="1:44" s="16" customFormat="1" ht="30.95" hidden="1" customHeight="1" x14ac:dyDescent="0.2">
      <c r="A415" s="35"/>
      <c r="B415" s="36"/>
      <c r="C415" s="43"/>
      <c r="D415" s="29"/>
      <c r="E415" s="29"/>
      <c r="F415" s="255"/>
      <c r="G415" s="256"/>
      <c r="H415" s="256"/>
      <c r="I415" s="200"/>
      <c r="J415" s="30"/>
      <c r="K415" s="200"/>
      <c r="L415" s="200"/>
      <c r="M415" s="37"/>
      <c r="N415" s="37"/>
      <c r="O415" s="45"/>
      <c r="P415" s="54"/>
      <c r="Q415" s="260"/>
      <c r="R415" s="261"/>
      <c r="S415" s="261"/>
      <c r="T415" s="38"/>
      <c r="U415" s="261"/>
      <c r="V415" s="256"/>
      <c r="W415" s="256"/>
      <c r="X415" s="256"/>
      <c r="Y415" s="256"/>
      <c r="Z415" s="54"/>
      <c r="AA415" s="200"/>
      <c r="AB415" s="31"/>
      <c r="AC415" s="184"/>
      <c r="AD415" s="51"/>
      <c r="AE415" s="52"/>
      <c r="AF415" s="41"/>
      <c r="AG415" s="45"/>
      <c r="AH415" s="28"/>
      <c r="AI415" s="28"/>
      <c r="AJ415" s="28"/>
      <c r="AK415" s="28"/>
      <c r="AL415" s="12"/>
      <c r="AM415" s="12"/>
      <c r="AN415" s="12"/>
      <c r="AO415" s="12"/>
      <c r="AP415" s="12"/>
      <c r="AQ415" s="13"/>
      <c r="AR415" s="14"/>
    </row>
    <row r="416" spans="1:44" s="16" customFormat="1" ht="30.95" hidden="1" customHeight="1" x14ac:dyDescent="0.2">
      <c r="A416" s="35" t="s">
        <v>1133</v>
      </c>
      <c r="B416" s="36" t="s">
        <v>1107</v>
      </c>
      <c r="C416" s="43"/>
      <c r="D416" s="29"/>
      <c r="E416" s="29"/>
      <c r="F416" s="255"/>
      <c r="G416" s="256"/>
      <c r="H416" s="256"/>
      <c r="I416" s="200"/>
      <c r="J416" s="30" t="s">
        <v>1126</v>
      </c>
      <c r="K416" s="200"/>
      <c r="L416" s="200"/>
      <c r="M416" s="37"/>
      <c r="N416" s="37"/>
      <c r="O416" s="45"/>
      <c r="P416" s="54"/>
      <c r="Q416" s="260"/>
      <c r="R416" s="261"/>
      <c r="S416" s="261"/>
      <c r="T416" s="38"/>
      <c r="U416" s="261"/>
      <c r="V416" s="256"/>
      <c r="W416" s="256"/>
      <c r="X416" s="256"/>
      <c r="Y416" s="256"/>
      <c r="Z416" s="54"/>
      <c r="AA416" s="200"/>
      <c r="AB416" s="31"/>
      <c r="AC416" s="184"/>
      <c r="AD416" s="51"/>
      <c r="AE416" s="52"/>
      <c r="AF416" s="41"/>
      <c r="AG416" s="45"/>
      <c r="AH416" s="28"/>
      <c r="AI416" s="28"/>
      <c r="AJ416" s="28"/>
      <c r="AK416" s="28"/>
      <c r="AL416" s="12"/>
      <c r="AM416" s="12"/>
      <c r="AN416" s="12"/>
      <c r="AO416" s="12"/>
      <c r="AP416" s="12"/>
      <c r="AQ416" s="13"/>
      <c r="AR416" s="14"/>
    </row>
    <row r="417" spans="1:44" s="16" customFormat="1" ht="30.95" hidden="1" customHeight="1" x14ac:dyDescent="0.2">
      <c r="A417" s="35"/>
      <c r="B417" s="36"/>
      <c r="C417" s="43"/>
      <c r="D417" s="29"/>
      <c r="E417" s="29"/>
      <c r="F417" s="255"/>
      <c r="G417" s="256"/>
      <c r="H417" s="256"/>
      <c r="I417" s="200"/>
      <c r="J417" s="30"/>
      <c r="K417" s="200"/>
      <c r="L417" s="200"/>
      <c r="M417" s="37"/>
      <c r="N417" s="37"/>
      <c r="O417" s="45"/>
      <c r="P417" s="54"/>
      <c r="Q417" s="260"/>
      <c r="R417" s="261"/>
      <c r="S417" s="261"/>
      <c r="T417" s="38"/>
      <c r="U417" s="261"/>
      <c r="V417" s="256"/>
      <c r="W417" s="256"/>
      <c r="X417" s="256"/>
      <c r="Y417" s="256"/>
      <c r="Z417" s="54"/>
      <c r="AA417" s="200"/>
      <c r="AB417" s="31"/>
      <c r="AC417" s="184"/>
      <c r="AD417" s="51"/>
      <c r="AE417" s="52"/>
      <c r="AF417" s="41"/>
      <c r="AG417" s="45"/>
      <c r="AH417" s="28"/>
      <c r="AI417" s="28"/>
      <c r="AJ417" s="28"/>
      <c r="AK417" s="28"/>
      <c r="AL417" s="12"/>
      <c r="AM417" s="12"/>
      <c r="AN417" s="12"/>
      <c r="AO417" s="12"/>
      <c r="AP417" s="12"/>
      <c r="AQ417" s="13"/>
      <c r="AR417" s="14"/>
    </row>
    <row r="418" spans="1:44" s="16" customFormat="1" ht="30.95" hidden="1" customHeight="1" x14ac:dyDescent="0.2">
      <c r="A418" s="35" t="s">
        <v>1158</v>
      </c>
      <c r="B418" s="36" t="s">
        <v>1153</v>
      </c>
      <c r="C418" s="43"/>
      <c r="D418" s="29">
        <v>3708706</v>
      </c>
      <c r="E418" s="29">
        <v>4151350</v>
      </c>
      <c r="F418" s="255" t="str">
        <f>IF(D418="","",VLOOKUP(D418,契約台帳!$A$3:$K$4986,6,FALSE)&amp;VLOOKUP(D418,契約台帳!$A$3:$K$4986,7,FALSE)&amp;VLOOKUP(D418,契約台帳!$A$3:$K$4986,8,FALSE)&amp;VLOOKUP(D418,契約台帳!$A$3:$K$4986,9,FALSE)&amp;VLOOKUP(D418,契約台帳!$A$3:$K$4986,11,FALSE))</f>
        <v>3SNMLBMNGKKBF</v>
      </c>
      <c r="G418" s="256" t="str">
        <f>IF(D418="","",VLOOKUP(F418,製品マスタ!$G$5:$H$4999,2,FALSE))</f>
        <v>S</v>
      </c>
      <c r="H418" s="256" t="str">
        <f>IF(D418="","",VLOOKUP(F418,製品マスタ!$G$5:$K$4999,5,FALSE))</f>
        <v>MNGKKBF</v>
      </c>
      <c r="I418" s="200" t="str">
        <f>IF(D418="","",VLOOKUP(F418,製品マスタ!$G$5:$L$4999,6,FALSE))</f>
        <v>メタルミー　ネーマー銀消改　Ｂ</v>
      </c>
      <c r="J418" s="30" t="s">
        <v>447</v>
      </c>
      <c r="K418" s="200">
        <f>IF(D418="","",VLOOKUP(D418,契約台帳!$A$3:$L$4986,12,FALSE))</f>
        <v>50</v>
      </c>
      <c r="L418" s="200" t="str">
        <f>IF(D418="","",INDEX(製品マスタ!$Q$5:$Q$4999,MATCH(F418&amp;K418,製品マスタ!$AO$5:$AO$4999,0)))</f>
        <v>S99-MAT</v>
      </c>
      <c r="M418" s="37">
        <v>1120</v>
      </c>
      <c r="N418" s="37">
        <v>8000</v>
      </c>
      <c r="O418" s="45">
        <v>2</v>
      </c>
      <c r="P418" s="54">
        <v>45062</v>
      </c>
      <c r="Q418" s="260">
        <f>IF(D418="","",IF(J418="リード付け",M418,VLOOKUP(D418,契約台帳!$A$3:$N$4986,14,FALSE)))</f>
        <v>1120</v>
      </c>
      <c r="R418" s="261">
        <f>IF(D418="","",IF(J418="リード付け",M418,VLOOKUP(D418,契約台帳!$A$3:$O$4986,15,FALSE)))</f>
        <v>1120</v>
      </c>
      <c r="S418" s="261">
        <f>IF(D418="","",IF(J418="リード付け",N418,VLOOKUP(D418,契約台帳!$A$3:$P$4986,16,FALSE)))</f>
        <v>4000</v>
      </c>
      <c r="T418" s="38">
        <v>4</v>
      </c>
      <c r="U418" s="261">
        <f ca="1">IF(D418="","",IF(OFFSET(D418,-2,0)=D418,"",VLOOKUP(D418,契約台帳!$A$3:$R$4986,18,FALSE)))</f>
        <v>16</v>
      </c>
      <c r="V418" s="256" t="str">
        <f>IF(J418="巻返し",VLOOKUP(F418&amp;K418&amp;M418,製品マスタ!$M$5:$AD$4999,18,FALSE),IF(J418="リード付け","原反コア",IF(J418="スリット",VLOOKUP(F418&amp;K418&amp;Q418,製品マスタ!$N$5:$AD$4999,17,FALSE),"")))</f>
        <v>6ｲﾝﾁSｺｱ</v>
      </c>
      <c r="W418" s="256">
        <f>IF(J418="巻返し",VLOOKUP(F418&amp;K418&amp;M418,製品マスタ!$M$5:$AE$4999,19,FALSE),IF(J418="リード付け","-",IF(J418="スリット",VLOOKUP(F418&amp;K418&amp;Q418,製品マスタ!$N$5:$AE$4999,18,FALSE),"")))</f>
        <v>1125</v>
      </c>
      <c r="X418" s="256">
        <f>IF(D418="","",VLOOKUP(D418,契約台帳!$A$3:$Q$4986,17,FALSE))</f>
        <v>2</v>
      </c>
      <c r="Y418" s="256" t="str">
        <f>IF(D418="","",VLOOKUP(D418,契約台帳!$A$3:$E$4986,5,FALSE))</f>
        <v>リンテック㈱</v>
      </c>
      <c r="Z418" s="54">
        <v>45070</v>
      </c>
      <c r="AA418" s="200">
        <f>IFERROR(VLOOKUP(F418&amp;K418&amp;M418,製品マスタ!$M$5:$AM$4999,27,FALSE),"")</f>
        <v>0</v>
      </c>
      <c r="AB418" s="31"/>
      <c r="AC418" s="184"/>
      <c r="AD418" s="51" t="str">
        <f>IF(F418="","",+F418&amp;K418)</f>
        <v>3SNMLBMNGKKBF50</v>
      </c>
      <c r="AE418" s="52">
        <f>+M418*N418*O418/1000</f>
        <v>17920</v>
      </c>
      <c r="AF418" s="41">
        <f>IF(AD418="","",VLOOKUP(AD418,原価マスタ!$A$2:$AJ$1693,13,FALSE))</f>
        <v>99</v>
      </c>
      <c r="AG418" s="45">
        <f>IF(AF418="","",+AE418*AF418/100)</f>
        <v>17740.8</v>
      </c>
      <c r="AH418" s="28"/>
      <c r="AI418" s="28"/>
      <c r="AJ418" s="28"/>
      <c r="AK418" s="28"/>
      <c r="AL418" s="12"/>
      <c r="AM418" s="12"/>
      <c r="AN418" s="12"/>
      <c r="AO418" s="12"/>
      <c r="AP418" s="12"/>
      <c r="AQ418" s="13"/>
      <c r="AR418" s="14"/>
    </row>
    <row r="419" spans="1:44" s="16" customFormat="1" ht="30.95" hidden="1" customHeight="1" x14ac:dyDescent="0.2">
      <c r="A419" s="35"/>
      <c r="B419" s="36"/>
      <c r="C419" s="43"/>
      <c r="D419" s="29"/>
      <c r="E419" s="29"/>
      <c r="F419" s="255" t="str">
        <f>IF(D419="","",VLOOKUP(D419,契約台帳!$A$3:$K$4986,6,FALSE)&amp;VLOOKUP(D419,契約台帳!$A$3:$K$4986,7,FALSE)&amp;VLOOKUP(D419,契約台帳!$A$3:$K$4986,8,FALSE)&amp;VLOOKUP(D419,契約台帳!$A$3:$K$4986,9,FALSE)&amp;VLOOKUP(D419,契約台帳!$A$3:$K$4986,11,FALSE))</f>
        <v/>
      </c>
      <c r="G419" s="256" t="str">
        <f>IF(D419="","",VLOOKUP(F419,製品マスタ!$G$5:$H$4999,2,FALSE))</f>
        <v/>
      </c>
      <c r="H419" s="256" t="str">
        <f>IF(D419="","",VLOOKUP(F419,製品マスタ!$G$5:$K$4999,5,FALSE))</f>
        <v/>
      </c>
      <c r="I419" s="200" t="str">
        <f>IF(D419="","",VLOOKUP(F419,製品マスタ!$G$5:$L$4999,6,FALSE))</f>
        <v/>
      </c>
      <c r="J419" s="30"/>
      <c r="K419" s="200" t="str">
        <f>IF(D419="","",VLOOKUP(D419,契約台帳!$A$3:$L$4986,12,FALSE))</f>
        <v/>
      </c>
      <c r="L419" s="200" t="str">
        <f>IF(D419="","",INDEX(製品マスタ!$Q$5:$Q$4999,MATCH(F419&amp;K419,製品マスタ!$AO$5:$AO$4999,0)))</f>
        <v/>
      </c>
      <c r="M419" s="37"/>
      <c r="N419" s="37"/>
      <c r="O419" s="45"/>
      <c r="P419" s="54"/>
      <c r="Q419" s="260" t="str">
        <f>IF(D419="","",IF(J419="リード付け",M419,VLOOKUP(D419,契約台帳!$A$3:$N$4986,14,FALSE)))</f>
        <v/>
      </c>
      <c r="R419" s="261" t="str">
        <f>IF(D419="","",IF(J419="リード付け",M419,VLOOKUP(D419,契約台帳!$A$3:$O$4986,15,FALSE)))</f>
        <v/>
      </c>
      <c r="S419" s="261" t="str">
        <f>IF(D419="","",IF(J419="リード付け",N419,VLOOKUP(D419,契約台帳!$A$3:$P$4986,16,FALSE)))</f>
        <v/>
      </c>
      <c r="T419" s="38"/>
      <c r="U419" s="261" t="str">
        <f ca="1">IF(D419="","",IF(OFFSET(D419,-2,0)=D419,"",VLOOKUP(D419,契約台帳!$A$3:$R$4986,18,FALSE)))</f>
        <v/>
      </c>
      <c r="V419" s="256" t="str">
        <f>IF(J419="巻返し",VLOOKUP(F419&amp;K419&amp;M419,製品マスタ!$M$5:$AD$4999,18,FALSE),IF(J419="リード付け","原反コア",IF(J419="スリット",VLOOKUP(F419&amp;K419&amp;Q419,製品マスタ!$N$5:$AD$4999,17,FALSE),"")))</f>
        <v/>
      </c>
      <c r="W419" s="256" t="str">
        <f>IF(J419="巻返し",VLOOKUP(F419&amp;K419&amp;M419,製品マスタ!$M$5:$AE$4999,19,FALSE),IF(J419="リード付け","-",IF(J419="スリット",VLOOKUP(F419&amp;K419&amp;Q419,製品マスタ!$N$5:$AE$4999,18,FALSE),"")))</f>
        <v/>
      </c>
      <c r="X419" s="256" t="str">
        <f>IF(D419="","",VLOOKUP(D419,契約台帳!$A$3:$Q$4986,17,FALSE))</f>
        <v/>
      </c>
      <c r="Y419" s="256" t="str">
        <f>IF(D419="","",VLOOKUP(D419,契約台帳!$A$3:$E$4986,5,FALSE))</f>
        <v/>
      </c>
      <c r="Z419" s="54"/>
      <c r="AA419" s="200" t="str">
        <f>IFERROR(VLOOKUP(F419&amp;K419&amp;M419,製品マスタ!$M$5:$AM$4999,27,FALSE),"")</f>
        <v/>
      </c>
      <c r="AB419" s="31"/>
      <c r="AC419" s="184"/>
      <c r="AD419" s="51"/>
      <c r="AE419" s="52"/>
      <c r="AF419" s="41"/>
      <c r="AG419" s="45"/>
      <c r="AH419" s="28"/>
      <c r="AI419" s="28"/>
      <c r="AJ419" s="28"/>
      <c r="AK419" s="28"/>
      <c r="AL419" s="12"/>
      <c r="AM419" s="12"/>
      <c r="AN419" s="12"/>
      <c r="AO419" s="12"/>
      <c r="AP419" s="12"/>
      <c r="AQ419" s="13"/>
      <c r="AR419" s="14"/>
    </row>
    <row r="420" spans="1:44" s="16" customFormat="1" ht="30.95" hidden="1" customHeight="1" x14ac:dyDescent="0.2">
      <c r="A420" s="35"/>
      <c r="B420" s="36"/>
      <c r="C420" s="43"/>
      <c r="D420" s="29">
        <v>3708726</v>
      </c>
      <c r="E420" s="29">
        <v>4151360</v>
      </c>
      <c r="F420" s="255" t="str">
        <f>IF(D420="","",VLOOKUP(D420,契約台帳!$A$3:$K$4986,6,FALSE)&amp;VLOOKUP(D420,契約台帳!$A$3:$K$4986,7,FALSE)&amp;VLOOKUP(D420,契約台帳!$A$3:$K$4986,8,FALSE)&amp;VLOOKUP(D420,契約台帳!$A$3:$K$4986,9,FALSE)&amp;VLOOKUP(D420,契約台帳!$A$3:$K$4986,11,FALSE))</f>
        <v>3SNMLBMTSF</v>
      </c>
      <c r="G420" s="256" t="str">
        <f>IF(D420="","",VLOOKUP(F420,製品マスタ!$G$5:$H$4999,2,FALSE))</f>
        <v>S</v>
      </c>
      <c r="H420" s="256" t="str">
        <f>IF(D420="","",VLOOKUP(F420,製品マスタ!$G$5:$K$4999,5,FALSE))</f>
        <v>MTSF</v>
      </c>
      <c r="I420" s="200" t="str">
        <f>IF(D420="","",VLOOKUP(F420,製品マスタ!$G$5:$L$4999,6,FALSE))</f>
        <v>メタルミー　ＴＳ</v>
      </c>
      <c r="J420" s="30" t="s">
        <v>447</v>
      </c>
      <c r="K420" s="200">
        <f>IF(D420="","",VLOOKUP(D420,契約台帳!$A$3:$L$4986,12,FALSE))</f>
        <v>50</v>
      </c>
      <c r="L420" s="200" t="str">
        <f>IF(D420="","",INDEX(製品マスタ!$Q$5:$Q$4999,MATCH(F420&amp;K420,製品マスタ!$AO$5:$AO$4999,0)))</f>
        <v>T62M</v>
      </c>
      <c r="M420" s="37">
        <v>1255</v>
      </c>
      <c r="N420" s="37">
        <v>12200</v>
      </c>
      <c r="O420" s="45">
        <v>1</v>
      </c>
      <c r="P420" s="54">
        <v>45063</v>
      </c>
      <c r="Q420" s="260">
        <f>IF(D420="","",IF(J420="リード付け",M420,VLOOKUP(D420,契約台帳!$A$3:$N$4986,14,FALSE)))</f>
        <v>1255</v>
      </c>
      <c r="R420" s="261">
        <f>IF(D420="","",IF(J420="リード付け",M420,VLOOKUP(D420,契約台帳!$A$3:$O$4986,15,FALSE)))</f>
        <v>1250</v>
      </c>
      <c r="S420" s="261">
        <f>IF(D420="","",IF(J420="リード付け",N420,VLOOKUP(D420,契約台帳!$A$3:$P$4986,16,FALSE)))</f>
        <v>2000</v>
      </c>
      <c r="T420" s="38">
        <v>3</v>
      </c>
      <c r="U420" s="261">
        <f ca="1">IF(D420="","",IF(OFFSET(D420,-2,0)=D420,"",VLOOKUP(D420,契約台帳!$A$3:$R$4986,18,FALSE)))</f>
        <v>3</v>
      </c>
      <c r="V420" s="256" t="str">
        <f>IF(J420="巻返し",VLOOKUP(F420&amp;K420&amp;M420,製品マスタ!$M$5:$AD$4999,18,FALSE),IF(J420="リード付け","原反コア",IF(J420="スリット",VLOOKUP(F420&amp;K420&amp;Q420,製品マスタ!$N$5:$AD$4999,17,FALSE),"")))</f>
        <v>3ｲﾝﾁSｺｱ</v>
      </c>
      <c r="W420" s="256">
        <f>IF(J420="巻返し",VLOOKUP(F420&amp;K420&amp;M420,製品マスタ!$M$5:$AE$4999,19,FALSE),IF(J420="リード付け","-",IF(J420="スリット",VLOOKUP(F420&amp;K420&amp;Q420,製品マスタ!$N$5:$AE$4999,18,FALSE),"")))</f>
        <v>1260</v>
      </c>
      <c r="X420" s="256">
        <f>IF(D420="","",VLOOKUP(D420,契約台帳!$A$3:$Q$4986,17,FALSE))</f>
        <v>2</v>
      </c>
      <c r="Y420" s="256" t="str">
        <f>IF(D420="","",VLOOKUP(D420,契約台帳!$A$3:$E$4986,5,FALSE))</f>
        <v>日東電工㈱豊橋工場</v>
      </c>
      <c r="Z420" s="54">
        <v>45070</v>
      </c>
      <c r="AA420" s="200">
        <f>IFERROR(VLOOKUP(F420&amp;K420&amp;M420,製品マスタ!$M$5:$AM$4999,27,FALSE),"")</f>
        <v>0</v>
      </c>
      <c r="AB420" s="31"/>
      <c r="AC420" s="184"/>
      <c r="AD420" s="51" t="str">
        <f>IF(F420="","",+F420&amp;K420)</f>
        <v>3SNMLBMTSF50</v>
      </c>
      <c r="AE420" s="52">
        <f>+M420*N420*O420/1000</f>
        <v>15311</v>
      </c>
      <c r="AF420" s="41">
        <f>IF(AD420="","",VLOOKUP(AD420,原価マスタ!$A$2:$AJ$1693,13,FALSE))</f>
        <v>95</v>
      </c>
      <c r="AG420" s="45">
        <f>IF(AF420="","",+AE420*AF420/100)</f>
        <v>14545.45</v>
      </c>
      <c r="AH420" s="28"/>
      <c r="AI420" s="28"/>
      <c r="AJ420" s="28"/>
      <c r="AK420" s="28"/>
      <c r="AL420" s="12"/>
      <c r="AM420" s="12"/>
      <c r="AN420" s="12"/>
      <c r="AO420" s="12"/>
      <c r="AP420" s="12"/>
      <c r="AQ420" s="13"/>
      <c r="AR420" s="14"/>
    </row>
    <row r="421" spans="1:44" s="16" customFormat="1" ht="30.95" hidden="1" customHeight="1" x14ac:dyDescent="0.2">
      <c r="A421" s="35"/>
      <c r="B421" s="36"/>
      <c r="C421" s="43"/>
      <c r="D421" s="29">
        <v>3709496</v>
      </c>
      <c r="E421" s="29"/>
      <c r="F421" s="255" t="str">
        <f>IF(D421="","",VLOOKUP(D421,契約台帳!$A$3:$K$4986,6,FALSE)&amp;VLOOKUP(D421,契約台帳!$A$3:$K$4986,7,FALSE)&amp;VLOOKUP(D421,契約台帳!$A$3:$K$4986,8,FALSE)&amp;VLOOKUP(D421,契約台帳!$A$3:$K$4986,9,FALSE)&amp;VLOOKUP(D421,契約台帳!$A$3:$K$4986,11,FALSE))</f>
        <v>3TNMLBMTSF</v>
      </c>
      <c r="G421" s="256" t="str">
        <f>IF(D421="","",VLOOKUP(F421,製品マスタ!$G$5:$H$4999,2,FALSE))</f>
        <v>T</v>
      </c>
      <c r="H421" s="256" t="str">
        <f>IF(D421="","",VLOOKUP(F421,製品マスタ!$G$5:$K$4999,5,FALSE))</f>
        <v>MTSF</v>
      </c>
      <c r="I421" s="200" t="str">
        <f>IF(D421="","",VLOOKUP(F421,製品マスタ!$G$5:$L$4999,6,FALSE))</f>
        <v>メタルミー　ＴＳ</v>
      </c>
      <c r="J421" s="30" t="s">
        <v>447</v>
      </c>
      <c r="K421" s="200">
        <f>IF(D421="","",VLOOKUP(D421,契約台帳!$A$3:$L$4986,12,FALSE))</f>
        <v>50</v>
      </c>
      <c r="L421" s="200" t="str">
        <f>IF(D421="","",INDEX(製品マスタ!$Q$5:$Q$4999,MATCH(F421&amp;K421,製品マスタ!$AO$5:$AO$4999,0)))</f>
        <v>T62M</v>
      </c>
      <c r="M421" s="37"/>
      <c r="N421" s="37"/>
      <c r="O421" s="45"/>
      <c r="P421" s="54"/>
      <c r="Q421" s="260">
        <f>IF(D421="","",IF(J421="リード付け",M421,VLOOKUP(D421,契約台帳!$A$3:$N$4986,14,FALSE)))</f>
        <v>1255</v>
      </c>
      <c r="R421" s="261">
        <f>IF(D421="","",IF(J421="リード付け",M421,VLOOKUP(D421,契約台帳!$A$3:$O$4986,15,FALSE)))</f>
        <v>1250</v>
      </c>
      <c r="S421" s="261">
        <f>IF(D421="","",IF(J421="リード付け",N421,VLOOKUP(D421,契約台帳!$A$3:$P$4986,16,FALSE)))</f>
        <v>3000</v>
      </c>
      <c r="T421" s="38">
        <v>2</v>
      </c>
      <c r="U421" s="261">
        <f ca="1">IF(D421="","",IF(OFFSET(D421,-2,0)=D421,"",VLOOKUP(D421,契約台帳!$A$3:$R$4986,18,FALSE)))</f>
        <v>2</v>
      </c>
      <c r="V421" s="256" t="s">
        <v>903</v>
      </c>
      <c r="W421" s="256">
        <v>1260</v>
      </c>
      <c r="X421" s="256">
        <f>IF(D421="","",VLOOKUP(D421,契約台帳!$A$3:$Q$4986,17,FALSE))</f>
        <v>2</v>
      </c>
      <c r="Y421" s="256" t="str">
        <f>IF(D421="","",VLOOKUP(D421,契約台帳!$A$3:$E$4986,5,FALSE))</f>
        <v>日東電工㈱豊橋工場</v>
      </c>
      <c r="Z421" s="54">
        <v>45068</v>
      </c>
      <c r="AA421" s="200" t="str">
        <f>IFERROR(VLOOKUP(F421&amp;K421&amp;M421,製品マスタ!$M$5:$AM$4999,27,FALSE),"")</f>
        <v/>
      </c>
      <c r="AB421" s="31"/>
      <c r="AC421" s="184"/>
      <c r="AD421" s="51"/>
      <c r="AE421" s="52"/>
      <c r="AF421" s="41"/>
      <c r="AG421" s="45"/>
      <c r="AH421" s="28"/>
      <c r="AI421" s="28"/>
      <c r="AJ421" s="28"/>
      <c r="AK421" s="28"/>
      <c r="AL421" s="12"/>
      <c r="AM421" s="12"/>
      <c r="AN421" s="12"/>
      <c r="AO421" s="12"/>
      <c r="AP421" s="12"/>
      <c r="AQ421" s="13"/>
      <c r="AR421" s="14"/>
    </row>
    <row r="422" spans="1:44" s="16" customFormat="1" ht="30.95" hidden="1" customHeight="1" x14ac:dyDescent="0.2">
      <c r="A422" s="35"/>
      <c r="B422" s="36"/>
      <c r="C422" s="43"/>
      <c r="D422" s="29"/>
      <c r="E422" s="29"/>
      <c r="F422" s="255"/>
      <c r="G422" s="256"/>
      <c r="H422" s="256"/>
      <c r="I422" s="200"/>
      <c r="J422" s="30"/>
      <c r="K422" s="200"/>
      <c r="L422" s="200"/>
      <c r="M422" s="37"/>
      <c r="N422" s="37"/>
      <c r="O422" s="45"/>
      <c r="P422" s="54"/>
      <c r="Q422" s="260"/>
      <c r="R422" s="261"/>
      <c r="S422" s="261"/>
      <c r="T422" s="38"/>
      <c r="U422" s="261"/>
      <c r="V422" s="256"/>
      <c r="W422" s="256"/>
      <c r="X422" s="256"/>
      <c r="Y422" s="256"/>
      <c r="Z422" s="54"/>
      <c r="AA422" s="200"/>
      <c r="AB422" s="31"/>
      <c r="AC422" s="184"/>
      <c r="AD422" s="51"/>
      <c r="AE422" s="52"/>
      <c r="AF422" s="41"/>
      <c r="AG422" s="45"/>
      <c r="AH422" s="28"/>
      <c r="AI422" s="28"/>
      <c r="AJ422" s="28"/>
      <c r="AK422" s="28"/>
      <c r="AL422" s="12"/>
      <c r="AM422" s="12"/>
      <c r="AN422" s="12"/>
      <c r="AO422" s="12"/>
      <c r="AP422" s="12"/>
      <c r="AQ422" s="13"/>
      <c r="AR422" s="14"/>
    </row>
    <row r="423" spans="1:44" s="16" customFormat="1" ht="30.95" hidden="1" customHeight="1" x14ac:dyDescent="0.2">
      <c r="A423" s="35"/>
      <c r="B423" s="36"/>
      <c r="C423" s="43"/>
      <c r="D423" s="29">
        <v>3711137</v>
      </c>
      <c r="E423" s="29">
        <v>4151371</v>
      </c>
      <c r="F423" s="255" t="str">
        <f>IF(D423="","",VLOOKUP(D423,契約台帳!$A$3:$K$4986,6,FALSE)&amp;VLOOKUP(D423,契約台帳!$A$3:$K$4986,7,FALSE)&amp;VLOOKUP(D423,契約台帳!$A$3:$K$4986,8,FALSE)&amp;VLOOKUP(D423,契約台帳!$A$3:$K$4986,9,FALSE)&amp;VLOOKUP(D423,契約台帳!$A$3:$K$4986,11,FALSE))</f>
        <v>3SNMLBMTSF</v>
      </c>
      <c r="G423" s="256" t="str">
        <f>IF(D423="","",VLOOKUP(F423,製品マスタ!$G$5:$H$4999,2,FALSE))</f>
        <v>S</v>
      </c>
      <c r="H423" s="256" t="str">
        <f>IF(D423="","",VLOOKUP(F423,製品マスタ!$G$5:$K$4999,5,FALSE))</f>
        <v>MTSF</v>
      </c>
      <c r="I423" s="200" t="str">
        <f>IF(D423="","",VLOOKUP(F423,製品マスタ!$G$5:$L$4999,6,FALSE))</f>
        <v>メタルミー　ＴＳ</v>
      </c>
      <c r="J423" s="30" t="s">
        <v>447</v>
      </c>
      <c r="K423" s="200">
        <f>IF(D423="","",VLOOKUP(D423,契約台帳!$A$3:$L$4986,12,FALSE))</f>
        <v>75</v>
      </c>
      <c r="L423" s="200" t="str">
        <f>IF(D423="","",INDEX(製品マスタ!$Q$5:$Q$4999,MATCH(F423&amp;K423,製品マスタ!$AO$5:$AO$4999,0)))</f>
        <v>T60</v>
      </c>
      <c r="M423" s="37">
        <v>1100</v>
      </c>
      <c r="N423" s="37">
        <v>2000</v>
      </c>
      <c r="O423" s="45">
        <v>1</v>
      </c>
      <c r="P423" s="54">
        <v>45063</v>
      </c>
      <c r="Q423" s="260">
        <f>IF(D423="","",IF(J423="リード付け",M423,VLOOKUP(D423,契約台帳!$A$3:$N$4986,14,FALSE)))</f>
        <v>1000</v>
      </c>
      <c r="R423" s="261">
        <f>IF(D423="","",IF(J423="リード付け",M423,VLOOKUP(D423,契約台帳!$A$3:$O$4986,15,FALSE)))</f>
        <v>1000</v>
      </c>
      <c r="S423" s="261">
        <f>IF(D423="","",IF(J423="リード付け",N423,VLOOKUP(D423,契約台帳!$A$3:$P$4986,16,FALSE)))</f>
        <v>1000</v>
      </c>
      <c r="T423" s="38">
        <v>2</v>
      </c>
      <c r="U423" s="261">
        <f ca="1">IF(D423="","",IF(OFFSET(D423,-2,0)=D423,"",VLOOKUP(D423,契約台帳!$A$3:$R$4986,18,FALSE)))</f>
        <v>2</v>
      </c>
      <c r="V423" s="256" t="str">
        <f>IF(J423="巻返し",VLOOKUP(F423&amp;K423&amp;M423,製品マスタ!$M$5:$AD$4999,18,FALSE),IF(J423="リード付け","原反コア",IF(J423="スリット",VLOOKUP(F423&amp;K423&amp;Q423,製品マスタ!$N$5:$AD$4999,17,FALSE),"")))</f>
        <v>3ｲﾝﾁSｺｱ</v>
      </c>
      <c r="W423" s="256">
        <f>IF(J423="巻返し",VLOOKUP(F423&amp;K423&amp;M423,製品マスタ!$M$5:$AE$4999,19,FALSE),IF(J423="リード付け","-",IF(J423="スリット",VLOOKUP(F423&amp;K423&amp;Q423,製品マスタ!$N$5:$AE$4999,18,FALSE),"")))</f>
        <v>1005</v>
      </c>
      <c r="X423" s="256">
        <f>IF(D423="","",VLOOKUP(D423,契約台帳!$A$3:$Q$4986,17,FALSE))</f>
        <v>2</v>
      </c>
      <c r="Y423" s="256" t="str">
        <f>IF(D423="","",VLOOKUP(D423,契約台帳!$A$3:$E$4986,5,FALSE))</f>
        <v>パナック㈱亀山工場</v>
      </c>
      <c r="Z423" s="54">
        <v>45070</v>
      </c>
      <c r="AA423" s="200">
        <f>IFERROR(VLOOKUP(F423&amp;K423&amp;M423,製品マスタ!$M$5:$AM$4999,27,FALSE),"")</f>
        <v>0</v>
      </c>
      <c r="AB423" s="31"/>
      <c r="AC423" s="184"/>
      <c r="AD423" s="51" t="str">
        <f>IF(F423="","",+F423&amp;K423)</f>
        <v>3SNMLBMTSF75</v>
      </c>
      <c r="AE423" s="52">
        <f>+M423*N423*O423/1000</f>
        <v>2200</v>
      </c>
      <c r="AF423" s="41">
        <f>IF(AD423="","",VLOOKUP(AD423,原価マスタ!$A$2:$AJ$1693,13,FALSE))</f>
        <v>86</v>
      </c>
      <c r="AG423" s="45">
        <f>IF(AF423="","",+AE423*AF423/100)</f>
        <v>1892</v>
      </c>
      <c r="AH423" s="28"/>
      <c r="AI423" s="28"/>
      <c r="AJ423" s="28"/>
      <c r="AK423" s="28"/>
      <c r="AL423" s="12"/>
      <c r="AM423" s="12"/>
      <c r="AN423" s="12"/>
      <c r="AO423" s="12"/>
      <c r="AP423" s="12"/>
      <c r="AQ423" s="13"/>
      <c r="AR423" s="14"/>
    </row>
    <row r="424" spans="1:44" s="16" customFormat="1" ht="30.95" hidden="1" customHeight="1" x14ac:dyDescent="0.2">
      <c r="A424" s="35"/>
      <c r="B424" s="36"/>
      <c r="C424" s="43"/>
      <c r="D424" s="29"/>
      <c r="E424" s="29"/>
      <c r="F424" s="255" t="str">
        <f>IF(D424="","",VLOOKUP(D424,契約台帳!$A$3:$K$4986,6,FALSE)&amp;VLOOKUP(D424,契約台帳!$A$3:$K$4986,7,FALSE)&amp;VLOOKUP(D424,契約台帳!$A$3:$K$4986,8,FALSE)&amp;VLOOKUP(D424,契約台帳!$A$3:$K$4986,9,FALSE)&amp;VLOOKUP(D424,契約台帳!$A$3:$K$4986,11,FALSE))</f>
        <v/>
      </c>
      <c r="G424" s="256" t="str">
        <f>IF(D424="","",VLOOKUP(F424,製品マスタ!$G$5:$H$4999,2,FALSE))</f>
        <v/>
      </c>
      <c r="H424" s="256" t="str">
        <f>IF(D424="","",VLOOKUP(F424,製品マスタ!$G$5:$K$4999,5,FALSE))</f>
        <v/>
      </c>
      <c r="I424" s="279"/>
      <c r="J424" s="30"/>
      <c r="K424" s="200" t="str">
        <f>IF(D424="","",VLOOKUP(D424,契約台帳!$A$3:$L$4986,12,FALSE))</f>
        <v/>
      </c>
      <c r="L424" s="200" t="str">
        <f>IF(D424="","",INDEX(製品マスタ!$Q$5:$Q$4999,MATCH(F424&amp;K424,製品マスタ!$AO$5:$AO$4999,0)))</f>
        <v/>
      </c>
      <c r="M424" s="37"/>
      <c r="N424" s="37"/>
      <c r="O424" s="45"/>
      <c r="P424" s="54"/>
      <c r="Q424" s="260" t="str">
        <f>IF(D424="","",IF(J424="リード付け",M424,VLOOKUP(D424,契約台帳!$A$3:$N$4986,14,FALSE)))</f>
        <v/>
      </c>
      <c r="R424" s="261" t="str">
        <f>IF(D424="","",IF(J424="リード付け",M424,VLOOKUP(D424,契約台帳!$A$3:$O$4986,15,FALSE)))</f>
        <v/>
      </c>
      <c r="S424" s="261" t="str">
        <f>IF(D424="","",IF(J424="リード付け",N424,VLOOKUP(D424,契約台帳!$A$3:$P$4986,16,FALSE)))</f>
        <v/>
      </c>
      <c r="T424" s="38"/>
      <c r="U424" s="261" t="str">
        <f ca="1">IF(D424="","",IF(OFFSET(D424,-2,0)=D424,"",VLOOKUP(D424,契約台帳!$A$3:$R$4986,18,FALSE)))</f>
        <v/>
      </c>
      <c r="V424" s="256" t="str">
        <f>IF(J424="巻返し",VLOOKUP(F424&amp;K424&amp;M424,製品マスタ!$M$5:$AD$4999,18,FALSE),IF(J424="リード付け","原反コア",IF(J424="スリット",VLOOKUP(F424&amp;K424&amp;Q424,製品マスタ!$N$5:$AD$4999,17,FALSE),"")))</f>
        <v/>
      </c>
      <c r="W424" s="256" t="str">
        <f>IF(J424="巻返し",VLOOKUP(F424&amp;K424&amp;M424,製品マスタ!$M$5:$AE$4999,19,FALSE),IF(J424="リード付け","-",IF(J424="スリット",VLOOKUP(F424&amp;K424&amp;Q424,製品マスタ!$N$5:$AE$4999,18,FALSE),"")))</f>
        <v/>
      </c>
      <c r="X424" s="256" t="str">
        <f>IF(D424="","",VLOOKUP(D424,契約台帳!$A$3:$Q$4986,17,FALSE))</f>
        <v/>
      </c>
      <c r="Y424" s="256" t="str">
        <f>IF(D424="","",VLOOKUP(D424,契約台帳!$A$3:$E$4986,5,FALSE))</f>
        <v/>
      </c>
      <c r="Z424" s="54"/>
      <c r="AA424" s="200" t="str">
        <f>IFERROR(VLOOKUP(F424&amp;K424&amp;M424,製品マスタ!$M$5:$AM$4999,27,FALSE),"")</f>
        <v/>
      </c>
      <c r="AB424" s="31"/>
      <c r="AC424" s="184"/>
      <c r="AD424" s="51"/>
      <c r="AE424" s="52"/>
      <c r="AF424" s="41"/>
      <c r="AG424" s="45"/>
      <c r="AH424" s="28"/>
      <c r="AI424" s="28"/>
      <c r="AJ424" s="28"/>
      <c r="AK424" s="28"/>
      <c r="AL424" s="12"/>
      <c r="AM424" s="12"/>
      <c r="AN424" s="12"/>
      <c r="AO424" s="12"/>
      <c r="AP424" s="12"/>
      <c r="AQ424" s="13"/>
      <c r="AR424" s="14"/>
    </row>
    <row r="425" spans="1:44" s="16" customFormat="1" ht="30.95" hidden="1" customHeight="1" x14ac:dyDescent="0.2">
      <c r="A425" s="35"/>
      <c r="B425" s="36"/>
      <c r="C425" s="43"/>
      <c r="D425" s="29">
        <v>3708696</v>
      </c>
      <c r="E425" s="29">
        <v>4151369</v>
      </c>
      <c r="F425" s="255" t="str">
        <f>IF(D425="","",VLOOKUP(D425,契約台帳!$A$3:$K$4986,6,FALSE)&amp;VLOOKUP(D425,契約台帳!$A$3:$K$4986,7,FALSE)&amp;VLOOKUP(D425,契約台帳!$A$3:$K$4986,8,FALSE)&amp;VLOOKUP(D425,契約台帳!$A$3:$K$4986,9,FALSE)&amp;VLOOKUP(D425,契約台帳!$A$3:$K$4986,11,FALSE))</f>
        <v>3SNMLBMSF</v>
      </c>
      <c r="G425" s="256" t="str">
        <f>IF(D425="","",VLOOKUP(F425,製品マスタ!$G$5:$H$4999,2,FALSE))</f>
        <v>S</v>
      </c>
      <c r="H425" s="256" t="str">
        <f>IF(D425="","",VLOOKUP(F425,製品マスタ!$G$5:$K$4999,5,FALSE))</f>
        <v>MSF</v>
      </c>
      <c r="I425" s="200" t="str">
        <f>IF(D425="","",VLOOKUP(F425,製品マスタ!$G$5:$L$4999,6,FALSE))</f>
        <v>メタルミー　Ｓ</v>
      </c>
      <c r="J425" s="30" t="s">
        <v>447</v>
      </c>
      <c r="K425" s="200">
        <f>IF(D425="","",VLOOKUP(D425,契約台帳!$A$3:$L$4986,12,FALSE))</f>
        <v>25</v>
      </c>
      <c r="L425" s="200" t="str">
        <f>IF(D425="","",INDEX(製品マスタ!$Q$5:$Q$4999,MATCH(F425&amp;K425,製品マスタ!$AO$5:$AO$4999,0)))</f>
        <v>T62M</v>
      </c>
      <c r="M425" s="37">
        <v>1020</v>
      </c>
      <c r="N425" s="37">
        <v>12100</v>
      </c>
      <c r="O425" s="45">
        <v>1</v>
      </c>
      <c r="P425" s="54">
        <v>45059</v>
      </c>
      <c r="Q425" s="260">
        <f>IF(D425="","",IF(J425="リード付け",M425,VLOOKUP(D425,契約台帳!$A$3:$N$4986,14,FALSE)))</f>
        <v>1000</v>
      </c>
      <c r="R425" s="261">
        <f>IF(D425="","",IF(J425="リード付け",M425,VLOOKUP(D425,契約台帳!$A$3:$O$4986,15,FALSE)))</f>
        <v>1000</v>
      </c>
      <c r="S425" s="261">
        <f>IF(D425="","",IF(J425="リード付け",N425,VLOOKUP(D425,契約台帳!$A$3:$P$4986,16,FALSE)))</f>
        <v>2000</v>
      </c>
      <c r="T425" s="38">
        <v>6</v>
      </c>
      <c r="U425" s="261">
        <f ca="1">IF(D425="","",IF(OFFSET(D425,-2,0)=D425,"",VLOOKUP(D425,契約台帳!$A$3:$R$4986,18,FALSE)))</f>
        <v>6</v>
      </c>
      <c r="V425" s="256" t="str">
        <f>IF(J425="巻返し",VLOOKUP(F425&amp;K425&amp;M425,製品マスタ!$M$5:$AD$4999,18,FALSE),IF(J425="リード付け","原反コア",IF(J425="スリット",VLOOKUP(F425&amp;K425&amp;Q425,製品マスタ!$N$5:$AD$4999,17,FALSE),"")))</f>
        <v>3ｲﾝﾁSｺｱ</v>
      </c>
      <c r="W425" s="256">
        <f>IF(J425="巻返し",VLOOKUP(F425&amp;K425&amp;M425,製品マスタ!$M$5:$AE$4999,19,FALSE),IF(J425="リード付け","-",IF(J425="スリット",VLOOKUP(F425&amp;K425&amp;Q425,製品マスタ!$N$5:$AE$4999,18,FALSE),"")))</f>
        <v>1005</v>
      </c>
      <c r="X425" s="256">
        <f>IF(D425="","",VLOOKUP(D425,契約台帳!$A$3:$Q$4986,17,FALSE))</f>
        <v>2</v>
      </c>
      <c r="Y425" s="256" t="str">
        <f>IF(D425="","",VLOOKUP(D425,契約台帳!$A$3:$E$4986,5,FALSE))</f>
        <v>寺岡製作所　大宮工場</v>
      </c>
      <c r="Z425" s="54">
        <v>45070</v>
      </c>
      <c r="AA425" s="200">
        <f>IFERROR(VLOOKUP(F425&amp;K425&amp;M425,製品マスタ!$M$5:$AM$4999,27,FALSE),"")</f>
        <v>0</v>
      </c>
      <c r="AB425" s="31"/>
      <c r="AC425" s="184"/>
      <c r="AD425" s="51" t="str">
        <f>IF(F425="","",+F425&amp;K425)</f>
        <v>3SNMLBMSF25</v>
      </c>
      <c r="AE425" s="52">
        <f>+M425*N425*O425/1000</f>
        <v>12342</v>
      </c>
      <c r="AF425" s="41">
        <f>IF(AD425="","",VLOOKUP(AD425,原価マスタ!$A$2:$AJ$1693,13,FALSE))</f>
        <v>97</v>
      </c>
      <c r="AG425" s="45">
        <f>IF(AF425="","",+AE425*AF425/100)</f>
        <v>11971.74</v>
      </c>
      <c r="AH425" s="28"/>
      <c r="AI425" s="28"/>
      <c r="AJ425" s="28"/>
      <c r="AK425" s="28"/>
      <c r="AL425" s="12"/>
      <c r="AM425" s="12"/>
      <c r="AN425" s="12"/>
      <c r="AO425" s="12"/>
      <c r="AP425" s="12"/>
      <c r="AQ425" s="13"/>
      <c r="AR425" s="14"/>
    </row>
    <row r="426" spans="1:44" s="16" customFormat="1" ht="30.95" hidden="1" customHeight="1" x14ac:dyDescent="0.2">
      <c r="A426" s="35"/>
      <c r="B426" s="36"/>
      <c r="C426" s="43"/>
      <c r="D426" s="29"/>
      <c r="E426" s="29"/>
      <c r="F426" s="255" t="str">
        <f>IF(D426="","",VLOOKUP(D426,契約台帳!$A$3:$K$4986,6,FALSE)&amp;VLOOKUP(D426,契約台帳!$A$3:$K$4986,7,FALSE)&amp;VLOOKUP(D426,契約台帳!$A$3:$K$4986,8,FALSE)&amp;VLOOKUP(D426,契約台帳!$A$3:$K$4986,9,FALSE)&amp;VLOOKUP(D426,契約台帳!$A$3:$K$4986,11,FALSE))</f>
        <v/>
      </c>
      <c r="G426" s="256" t="str">
        <f>IF(D426="","",VLOOKUP(F426,製品マスタ!$G$5:$H$4999,2,FALSE))</f>
        <v/>
      </c>
      <c r="H426" s="256" t="str">
        <f>IF(D426="","",VLOOKUP(F426,製品マスタ!$G$5:$K$4999,5,FALSE))</f>
        <v/>
      </c>
      <c r="I426" s="200" t="str">
        <f>IF(D426="","",VLOOKUP(F426,製品マスタ!$G$5:$L$4999,6,FALSE))</f>
        <v/>
      </c>
      <c r="J426" s="30"/>
      <c r="K426" s="200" t="str">
        <f>IF(D426="","",VLOOKUP(D426,契約台帳!$A$3:$L$4986,12,FALSE))</f>
        <v/>
      </c>
      <c r="L426" s="200" t="str">
        <f>IF(D426="","",INDEX(製品マスタ!$Q$5:$Q$4999,MATCH(F426&amp;K426,製品マスタ!$AO$5:$AO$4999,0)))</f>
        <v/>
      </c>
      <c r="M426" s="37"/>
      <c r="N426" s="37"/>
      <c r="O426" s="45"/>
      <c r="P426" s="54"/>
      <c r="Q426" s="260" t="str">
        <f>IF(D426="","",IF(J426="リード付け",M426,VLOOKUP(D426,契約台帳!$A$3:$N$4986,14,FALSE)))</f>
        <v/>
      </c>
      <c r="R426" s="261" t="str">
        <f>IF(D426="","",IF(J426="リード付け",M426,VLOOKUP(D426,契約台帳!$A$3:$O$4986,15,FALSE)))</f>
        <v/>
      </c>
      <c r="S426" s="261" t="str">
        <f>IF(D426="","",IF(J426="リード付け",N426,VLOOKUP(D426,契約台帳!$A$3:$P$4986,16,FALSE)))</f>
        <v/>
      </c>
      <c r="T426" s="38"/>
      <c r="U426" s="261" t="str">
        <f ca="1">IF(D426="","",IF(OFFSET(D426,-2,0)=D426,"",VLOOKUP(D426,契約台帳!$A$3:$R$4986,18,FALSE)))</f>
        <v/>
      </c>
      <c r="V426" s="256" t="str">
        <f>IF(J426="巻返し",VLOOKUP(F426&amp;K426&amp;M426,製品マスタ!$M$5:$AD$4999,18,FALSE),IF(J426="リード付け","原反コア",IF(J426="スリット",VLOOKUP(F426&amp;K426&amp;Q426,製品マスタ!$N$5:$AD$4999,17,FALSE),"")))</f>
        <v/>
      </c>
      <c r="W426" s="256" t="str">
        <f>IF(J426="巻返し",VLOOKUP(F426&amp;K426&amp;M426,製品マスタ!$M$5:$AE$4999,19,FALSE),IF(J426="リード付け","-",IF(J426="スリット",VLOOKUP(F426&amp;K426&amp;Q426,製品マスタ!$N$5:$AE$4999,18,FALSE),"")))</f>
        <v/>
      </c>
      <c r="X426" s="256" t="str">
        <f>IF(D426="","",VLOOKUP(D426,契約台帳!$A$3:$Q$4986,17,FALSE))</f>
        <v/>
      </c>
      <c r="Y426" s="256" t="str">
        <f>IF(D426="","",VLOOKUP(D426,契約台帳!$A$3:$E$4986,5,FALSE))</f>
        <v/>
      </c>
      <c r="Z426" s="54"/>
      <c r="AA426" s="200" t="str">
        <f>IFERROR(VLOOKUP(F426&amp;K426&amp;M426,製品マスタ!$M$5:$AM$4999,27,FALSE),"")</f>
        <v/>
      </c>
      <c r="AB426" s="31"/>
      <c r="AC426" s="184"/>
      <c r="AD426" s="51"/>
      <c r="AE426" s="52"/>
      <c r="AF426" s="41"/>
      <c r="AG426" s="45"/>
      <c r="AH426" s="28"/>
      <c r="AI426" s="28"/>
      <c r="AJ426" s="28"/>
      <c r="AK426" s="28"/>
      <c r="AL426" s="12"/>
      <c r="AM426" s="12"/>
      <c r="AN426" s="12"/>
      <c r="AO426" s="12"/>
      <c r="AP426" s="12"/>
      <c r="AQ426" s="13"/>
      <c r="AR426" s="14"/>
    </row>
    <row r="427" spans="1:44" s="16" customFormat="1" ht="30.95" hidden="1" customHeight="1" x14ac:dyDescent="0.2">
      <c r="A427" s="35" t="s">
        <v>1137</v>
      </c>
      <c r="B427" s="36" t="s">
        <v>688</v>
      </c>
      <c r="C427" s="43"/>
      <c r="D427" s="29">
        <v>3708694</v>
      </c>
      <c r="E427" s="29">
        <v>4151346</v>
      </c>
      <c r="F427" s="255" t="str">
        <f>IF(D427="","",VLOOKUP(D427,契約台帳!$A$3:$K$4986,6,FALSE)&amp;VLOOKUP(D427,契約台帳!$A$3:$K$4986,7,FALSE)&amp;VLOOKUP(D427,契約台帳!$A$3:$K$4986,8,FALSE)&amp;VLOOKUP(D427,契約台帳!$A$3:$K$4986,9,FALSE)&amp;VLOOKUP(D427,契約台帳!$A$3:$K$4986,11,FALSE))</f>
        <v>3HSNMLBMSF</v>
      </c>
      <c r="G427" s="256" t="str">
        <f>IF(D427="","",VLOOKUP(F427,製品マスタ!$G$5:$H$4999,2,FALSE))</f>
        <v>S</v>
      </c>
      <c r="H427" s="256" t="str">
        <f>IF(D427="","",VLOOKUP(F427,製品マスタ!$G$5:$K$4999,5,FALSE))</f>
        <v>MSF</v>
      </c>
      <c r="I427" s="200" t="str">
        <f>IF(D427="","",VLOOKUP(F427,製品マスタ!$G$5:$L$4999,6,FALSE))</f>
        <v>メタルミー　Ｓ</v>
      </c>
      <c r="J427" s="30" t="s">
        <v>447</v>
      </c>
      <c r="K427" s="200">
        <f>IF(D427="","",VLOOKUP(D427,契約台帳!$A$3:$L$4986,12,FALSE))</f>
        <v>38</v>
      </c>
      <c r="L427" s="200" t="str">
        <f>IF(D427="","",INDEX(製品マスタ!$Q$5:$Q$4999,MATCH(F427&amp;K427,製品マスタ!$AO$5:$AO$4999,0)))</f>
        <v>S10</v>
      </c>
      <c r="M427" s="37">
        <v>1000</v>
      </c>
      <c r="N427" s="37">
        <v>12000</v>
      </c>
      <c r="O427" s="45">
        <v>5</v>
      </c>
      <c r="P427" s="54">
        <v>45061</v>
      </c>
      <c r="Q427" s="260">
        <f>IF(D427="","",IF(J427="リード付け",M427,VLOOKUP(D427,契約台帳!$A$3:$N$4986,14,FALSE)))</f>
        <v>865</v>
      </c>
      <c r="R427" s="261">
        <f>IF(D427="","",IF(J427="リード付け",M427,VLOOKUP(D427,契約台帳!$A$3:$O$4986,15,FALSE)))</f>
        <v>865</v>
      </c>
      <c r="S427" s="261">
        <f>IF(D427="","",IF(J427="リード付け",N427,VLOOKUP(D427,契約台帳!$A$3:$P$4986,16,FALSE)))</f>
        <v>2800</v>
      </c>
      <c r="T427" s="38">
        <v>20</v>
      </c>
      <c r="U427" s="261">
        <f ca="1">IF(D427="","",IF(OFFSET(D427,-2,0)=D427,"",VLOOKUP(D427,契約台帳!$A$3:$R$4986,18,FALSE)))</f>
        <v>20</v>
      </c>
      <c r="V427" s="256" t="str">
        <f>IF(J427="巻返し",VLOOKUP(F427&amp;K427&amp;M427,製品マスタ!$M$5:$AD$4999,18,FALSE),IF(J427="リード付け","原反コア",IF(J427="スリット",VLOOKUP(F427&amp;K427&amp;Q427,製品マスタ!$N$5:$AD$4999,17,FALSE),"")))</f>
        <v>3ｲﾝﾁSｺｱ</v>
      </c>
      <c r="W427" s="256">
        <f>IF(J427="巻返し",VLOOKUP(F427&amp;K427&amp;M427,製品マスタ!$M$5:$AE$4999,19,FALSE),IF(J427="リード付け","-",IF(J427="スリット",VLOOKUP(F427&amp;K427&amp;Q427,製品マスタ!$N$5:$AE$4999,18,FALSE),"")))</f>
        <v>870</v>
      </c>
      <c r="X427" s="256">
        <f>IF(D427="","",VLOOKUP(D427,契約台帳!$A$3:$Q$4986,17,FALSE))</f>
        <v>2</v>
      </c>
      <c r="Y427" s="256" t="str">
        <f>IF(D427="","",VLOOKUP(D427,契約台帳!$A$3:$E$4986,5,FALSE))</f>
        <v>特種東海製紙㈱</v>
      </c>
      <c r="Z427" s="54">
        <v>45071</v>
      </c>
      <c r="AA427" s="200">
        <f>IFERROR(VLOOKUP(F427&amp;K427&amp;M427,製品マスタ!$M$5:$AM$4999,27,FALSE),"")</f>
        <v>0</v>
      </c>
      <c r="AB427" s="31"/>
      <c r="AC427" s="184"/>
      <c r="AD427" s="51" t="str">
        <f>IF(F427="","",+F427&amp;K427)</f>
        <v>3HSNMLBMSF38</v>
      </c>
      <c r="AE427" s="52">
        <f>+M427*N427*O427/1000</f>
        <v>60000</v>
      </c>
      <c r="AF427" s="41" t="e">
        <f>IF(AD427="","",VLOOKUP(AD427,原価マスタ!$A$2:$AJ$1693,13,FALSE))</f>
        <v>#N/A</v>
      </c>
      <c r="AG427" s="45" t="e">
        <f>IF(AF427="","",+AE427*AF427/100)</f>
        <v>#N/A</v>
      </c>
      <c r="AH427" s="28"/>
      <c r="AI427" s="28"/>
      <c r="AJ427" s="28"/>
      <c r="AK427" s="28"/>
      <c r="AL427" s="12"/>
      <c r="AM427" s="12"/>
      <c r="AN427" s="12"/>
      <c r="AO427" s="12"/>
      <c r="AP427" s="12"/>
      <c r="AQ427" s="13"/>
      <c r="AR427" s="14"/>
    </row>
    <row r="428" spans="1:44" s="16" customFormat="1" ht="30.95" hidden="1" customHeight="1" x14ac:dyDescent="0.2">
      <c r="A428" s="35"/>
      <c r="B428" s="36"/>
      <c r="C428" s="43"/>
      <c r="D428" s="29"/>
      <c r="E428" s="29"/>
      <c r="F428" s="255" t="str">
        <f>IF(D428="","",VLOOKUP(D428,契約台帳!$A$3:$K$4986,6,FALSE)&amp;VLOOKUP(D428,契約台帳!$A$3:$K$4986,7,FALSE)&amp;VLOOKUP(D428,契約台帳!$A$3:$K$4986,8,FALSE)&amp;VLOOKUP(D428,契約台帳!$A$3:$K$4986,9,FALSE)&amp;VLOOKUP(D428,契約台帳!$A$3:$K$4986,11,FALSE))</f>
        <v/>
      </c>
      <c r="G428" s="256" t="str">
        <f>IF(D428="","",VLOOKUP(F428,製品マスタ!$G$5:$H$4999,2,FALSE))</f>
        <v/>
      </c>
      <c r="H428" s="256" t="str">
        <f>IF(D428="","",VLOOKUP(F428,製品マスタ!$G$5:$K$4999,5,FALSE))</f>
        <v/>
      </c>
      <c r="I428" s="200" t="str">
        <f>IF(D428="","",VLOOKUP(F428,製品マスタ!$G$5:$L$4999,6,FALSE))</f>
        <v/>
      </c>
      <c r="J428" s="30"/>
      <c r="K428" s="200" t="str">
        <f>IF(D428="","",VLOOKUP(D428,契約台帳!$A$3:$L$4986,12,FALSE))</f>
        <v/>
      </c>
      <c r="L428" s="200" t="str">
        <f>IF(D428="","",INDEX(製品マスタ!$Q$5:$Q$4999,MATCH(F428&amp;K428,製品マスタ!$AO$5:$AO$4999,0)))</f>
        <v/>
      </c>
      <c r="M428" s="37"/>
      <c r="N428" s="37"/>
      <c r="O428" s="45"/>
      <c r="P428" s="54"/>
      <c r="Q428" s="260" t="str">
        <f>IF(D428="","",IF(J428="リード付け",M428,VLOOKUP(D428,契約台帳!$A$3:$N$4986,14,FALSE)))</f>
        <v/>
      </c>
      <c r="R428" s="261" t="str">
        <f>IF(D428="","",IF(J428="リード付け",M428,VLOOKUP(D428,契約台帳!$A$3:$O$4986,15,FALSE)))</f>
        <v/>
      </c>
      <c r="S428" s="261" t="str">
        <f>IF(D428="","",IF(J428="リード付け",N428,VLOOKUP(D428,契約台帳!$A$3:$P$4986,16,FALSE)))</f>
        <v/>
      </c>
      <c r="T428" s="38"/>
      <c r="U428" s="261" t="str">
        <f ca="1">IF(D428="","",IF(OFFSET(D428,-2,0)=D428,"",VLOOKUP(D428,契約台帳!$A$3:$R$4986,18,FALSE)))</f>
        <v/>
      </c>
      <c r="V428" s="256" t="str">
        <f>IF(J428="巻返し",VLOOKUP(F428&amp;K428&amp;M428,製品マスタ!$M$5:$AD$4999,18,FALSE),IF(J428="リード付け","原反コア",IF(J428="スリット",VLOOKUP(F428&amp;K428&amp;Q428,製品マスタ!$N$5:$AD$4999,17,FALSE),"")))</f>
        <v/>
      </c>
      <c r="W428" s="256" t="str">
        <f>IF(J428="巻返し",VLOOKUP(F428&amp;K428&amp;M428,製品マスタ!$M$5:$AE$4999,19,FALSE),IF(J428="リード付け","-",IF(J428="スリット",VLOOKUP(F428&amp;K428&amp;Q428,製品マスタ!$N$5:$AE$4999,18,FALSE),"")))</f>
        <v/>
      </c>
      <c r="X428" s="256" t="str">
        <f>IF(D428="","",VLOOKUP(D428,契約台帳!$A$3:$Q$4986,17,FALSE))</f>
        <v/>
      </c>
      <c r="Y428" s="256" t="str">
        <f>IF(D428="","",VLOOKUP(D428,契約台帳!$A$3:$E$4986,5,FALSE))</f>
        <v/>
      </c>
      <c r="Z428" s="54"/>
      <c r="AA428" s="200" t="str">
        <f>IFERROR(VLOOKUP(F428&amp;K428&amp;M428,製品マスタ!$M$5:$AM$4999,27,FALSE),"")</f>
        <v/>
      </c>
      <c r="AB428" s="31"/>
      <c r="AC428" s="184"/>
      <c r="AD428" s="51"/>
      <c r="AE428" s="52"/>
      <c r="AF428" s="41"/>
      <c r="AG428" s="45"/>
      <c r="AH428" s="28"/>
      <c r="AI428" s="28"/>
      <c r="AJ428" s="28"/>
      <c r="AK428" s="28"/>
      <c r="AL428" s="12"/>
      <c r="AM428" s="12"/>
      <c r="AN428" s="12"/>
      <c r="AO428" s="12"/>
      <c r="AP428" s="12"/>
      <c r="AQ428" s="13"/>
      <c r="AR428" s="14"/>
    </row>
    <row r="429" spans="1:44" s="16" customFormat="1" ht="30.95" hidden="1" customHeight="1" x14ac:dyDescent="0.2">
      <c r="A429" s="35" t="s">
        <v>1138</v>
      </c>
      <c r="B429" s="36" t="s">
        <v>442</v>
      </c>
      <c r="C429" s="43"/>
      <c r="D429" s="29"/>
      <c r="E429" s="29"/>
      <c r="F429" s="255"/>
      <c r="G429" s="256"/>
      <c r="H429" s="256"/>
      <c r="I429" s="200"/>
      <c r="J429" s="30" t="s">
        <v>1136</v>
      </c>
      <c r="K429" s="200"/>
      <c r="L429" s="200"/>
      <c r="M429" s="37"/>
      <c r="N429" s="37"/>
      <c r="O429" s="45"/>
      <c r="P429" s="54"/>
      <c r="Q429" s="260"/>
      <c r="R429" s="261"/>
      <c r="S429" s="261"/>
      <c r="T429" s="38"/>
      <c r="U429" s="261"/>
      <c r="V429" s="256"/>
      <c r="W429" s="256"/>
      <c r="X429" s="256"/>
      <c r="Y429" s="256"/>
      <c r="Z429" s="54"/>
      <c r="AA429" s="200"/>
      <c r="AB429" s="31"/>
      <c r="AC429" s="184"/>
      <c r="AD429" s="51"/>
      <c r="AE429" s="52"/>
      <c r="AF429" s="41"/>
      <c r="AG429" s="45"/>
      <c r="AH429" s="28"/>
      <c r="AI429" s="28"/>
      <c r="AJ429" s="28"/>
      <c r="AK429" s="28"/>
      <c r="AL429" s="12"/>
      <c r="AM429" s="12"/>
      <c r="AN429" s="12"/>
      <c r="AO429" s="12"/>
      <c r="AP429" s="12"/>
      <c r="AQ429" s="13"/>
      <c r="AR429" s="14"/>
    </row>
    <row r="430" spans="1:44" s="16" customFormat="1" ht="30.95" hidden="1" customHeight="1" x14ac:dyDescent="0.2">
      <c r="A430" s="35"/>
      <c r="B430" s="36"/>
      <c r="C430" s="43"/>
      <c r="D430" s="29"/>
      <c r="E430" s="29"/>
      <c r="F430" s="255"/>
      <c r="G430" s="256"/>
      <c r="H430" s="256"/>
      <c r="I430" s="200"/>
      <c r="J430" s="30"/>
      <c r="K430" s="200"/>
      <c r="L430" s="200"/>
      <c r="M430" s="37"/>
      <c r="N430" s="37"/>
      <c r="O430" s="45"/>
      <c r="P430" s="54"/>
      <c r="Q430" s="260"/>
      <c r="R430" s="261"/>
      <c r="S430" s="261"/>
      <c r="T430" s="38"/>
      <c r="U430" s="261"/>
      <c r="V430" s="256"/>
      <c r="W430" s="256"/>
      <c r="X430" s="256"/>
      <c r="Y430" s="256"/>
      <c r="Z430" s="54"/>
      <c r="AA430" s="200"/>
      <c r="AB430" s="31"/>
      <c r="AC430" s="184"/>
      <c r="AD430" s="51"/>
      <c r="AE430" s="52"/>
      <c r="AF430" s="41"/>
      <c r="AG430" s="45"/>
      <c r="AH430" s="28"/>
      <c r="AI430" s="28"/>
      <c r="AJ430" s="28"/>
      <c r="AK430" s="28"/>
      <c r="AL430" s="12"/>
      <c r="AM430" s="12"/>
      <c r="AN430" s="12"/>
      <c r="AO430" s="12"/>
      <c r="AP430" s="12"/>
      <c r="AQ430" s="13"/>
      <c r="AR430" s="14"/>
    </row>
    <row r="431" spans="1:44" s="16" customFormat="1" ht="30.95" hidden="1" customHeight="1" x14ac:dyDescent="0.2">
      <c r="A431" s="35" t="s">
        <v>1139</v>
      </c>
      <c r="B431" s="36" t="s">
        <v>443</v>
      </c>
      <c r="C431" s="43"/>
      <c r="D431" s="29"/>
      <c r="E431" s="29"/>
      <c r="F431" s="255"/>
      <c r="G431" s="256"/>
      <c r="H431" s="256"/>
      <c r="I431" s="200"/>
      <c r="J431" s="30" t="s">
        <v>1134</v>
      </c>
      <c r="K431" s="200"/>
      <c r="L431" s="200"/>
      <c r="M431" s="37"/>
      <c r="N431" s="37"/>
      <c r="O431" s="45"/>
      <c r="P431" s="54"/>
      <c r="Q431" s="260"/>
      <c r="R431" s="261"/>
      <c r="S431" s="261"/>
      <c r="T431" s="38"/>
      <c r="U431" s="261"/>
      <c r="V431" s="256"/>
      <c r="W431" s="256"/>
      <c r="X431" s="256"/>
      <c r="Y431" s="256"/>
      <c r="Z431" s="54"/>
      <c r="AA431" s="200"/>
      <c r="AB431" s="31"/>
      <c r="AC431" s="184"/>
      <c r="AD431" s="51"/>
      <c r="AE431" s="52"/>
      <c r="AF431" s="41"/>
      <c r="AG431" s="45"/>
      <c r="AH431" s="28"/>
      <c r="AI431" s="28"/>
      <c r="AJ431" s="28"/>
      <c r="AK431" s="28"/>
      <c r="AL431" s="12"/>
      <c r="AM431" s="12"/>
      <c r="AN431" s="12"/>
      <c r="AO431" s="12"/>
      <c r="AP431" s="12"/>
      <c r="AQ431" s="13"/>
      <c r="AR431" s="14"/>
    </row>
    <row r="432" spans="1:44" s="16" customFormat="1" ht="30.95" hidden="1" customHeight="1" x14ac:dyDescent="0.2">
      <c r="A432" s="35"/>
      <c r="B432" s="36"/>
      <c r="C432" s="43"/>
      <c r="D432" s="29"/>
      <c r="E432" s="29"/>
      <c r="F432" s="255"/>
      <c r="G432" s="256"/>
      <c r="H432" s="256"/>
      <c r="I432" s="200"/>
      <c r="J432" s="30"/>
      <c r="K432" s="200"/>
      <c r="L432" s="200"/>
      <c r="M432" s="37"/>
      <c r="N432" s="37"/>
      <c r="O432" s="45"/>
      <c r="P432" s="54"/>
      <c r="Q432" s="260"/>
      <c r="R432" s="261"/>
      <c r="S432" s="261"/>
      <c r="T432" s="38"/>
      <c r="U432" s="261"/>
      <c r="V432" s="256"/>
      <c r="W432" s="256"/>
      <c r="X432" s="256"/>
      <c r="Y432" s="256"/>
      <c r="Z432" s="54"/>
      <c r="AA432" s="200"/>
      <c r="AB432" s="31"/>
      <c r="AC432" s="184"/>
      <c r="AD432" s="51"/>
      <c r="AE432" s="52"/>
      <c r="AF432" s="41"/>
      <c r="AG432" s="45"/>
      <c r="AH432" s="28"/>
      <c r="AI432" s="28"/>
      <c r="AJ432" s="28"/>
      <c r="AK432" s="28"/>
      <c r="AL432" s="12"/>
      <c r="AM432" s="12"/>
      <c r="AN432" s="12"/>
      <c r="AO432" s="12"/>
      <c r="AP432" s="12"/>
      <c r="AQ432" s="13"/>
      <c r="AR432" s="14"/>
    </row>
    <row r="433" spans="1:44" s="16" customFormat="1" ht="30.95" hidden="1" customHeight="1" x14ac:dyDescent="0.2">
      <c r="A433" s="35" t="s">
        <v>1140</v>
      </c>
      <c r="B433" s="36" t="s">
        <v>1103</v>
      </c>
      <c r="C433" s="43"/>
      <c r="D433" s="29"/>
      <c r="E433" s="29"/>
      <c r="F433" s="255"/>
      <c r="G433" s="256"/>
      <c r="H433" s="256"/>
      <c r="I433" s="200"/>
      <c r="J433" s="30"/>
      <c r="K433" s="200"/>
      <c r="L433" s="200"/>
      <c r="M433" s="37"/>
      <c r="N433" s="37"/>
      <c r="O433" s="45"/>
      <c r="P433" s="54"/>
      <c r="Q433" s="260"/>
      <c r="R433" s="261"/>
      <c r="S433" s="261"/>
      <c r="T433" s="38"/>
      <c r="U433" s="261"/>
      <c r="V433" s="256"/>
      <c r="W433" s="256"/>
      <c r="X433" s="256"/>
      <c r="Y433" s="256"/>
      <c r="Z433" s="54"/>
      <c r="AA433" s="200"/>
      <c r="AB433" s="31"/>
      <c r="AC433" s="184"/>
      <c r="AD433" s="51"/>
      <c r="AE433" s="52"/>
      <c r="AF433" s="41"/>
      <c r="AG433" s="45"/>
      <c r="AH433" s="28"/>
      <c r="AI433" s="28"/>
      <c r="AJ433" s="28"/>
      <c r="AK433" s="28"/>
      <c r="AL433" s="12"/>
      <c r="AM433" s="12"/>
      <c r="AN433" s="12"/>
      <c r="AO433" s="12"/>
      <c r="AP433" s="12"/>
      <c r="AQ433" s="13"/>
      <c r="AR433" s="14"/>
    </row>
    <row r="434" spans="1:44" s="16" customFormat="1" ht="30.95" hidden="1" customHeight="1" x14ac:dyDescent="0.2">
      <c r="A434" s="35"/>
      <c r="B434" s="36"/>
      <c r="C434" s="43"/>
      <c r="D434" s="29"/>
      <c r="E434" s="29"/>
      <c r="F434" s="255"/>
      <c r="G434" s="256"/>
      <c r="H434" s="256"/>
      <c r="I434" s="200"/>
      <c r="J434" s="30"/>
      <c r="K434" s="200"/>
      <c r="L434" s="200"/>
      <c r="M434" s="37"/>
      <c r="N434" s="37"/>
      <c r="O434" s="45"/>
      <c r="P434" s="54"/>
      <c r="Q434" s="260"/>
      <c r="R434" s="261"/>
      <c r="S434" s="261"/>
      <c r="T434" s="38"/>
      <c r="U434" s="261"/>
      <c r="V434" s="256"/>
      <c r="W434" s="256"/>
      <c r="X434" s="256"/>
      <c r="Y434" s="256"/>
      <c r="Z434" s="54"/>
      <c r="AA434" s="200"/>
      <c r="AB434" s="31"/>
      <c r="AC434" s="184"/>
      <c r="AD434" s="51"/>
      <c r="AE434" s="52"/>
      <c r="AF434" s="41"/>
      <c r="AG434" s="45"/>
      <c r="AH434" s="28"/>
      <c r="AI434" s="28"/>
      <c r="AJ434" s="28"/>
      <c r="AK434" s="28"/>
      <c r="AL434" s="12"/>
      <c r="AM434" s="12"/>
      <c r="AN434" s="12"/>
      <c r="AO434" s="12"/>
      <c r="AP434" s="12"/>
      <c r="AQ434" s="13"/>
      <c r="AR434" s="14"/>
    </row>
    <row r="435" spans="1:44" s="16" customFormat="1" ht="30.95" hidden="1" customHeight="1" x14ac:dyDescent="0.2">
      <c r="A435" s="35" t="s">
        <v>1141</v>
      </c>
      <c r="B435" s="36" t="s">
        <v>1105</v>
      </c>
      <c r="C435" s="43"/>
      <c r="D435" s="29"/>
      <c r="E435" s="29"/>
      <c r="F435" s="255"/>
      <c r="G435" s="256"/>
      <c r="H435" s="256"/>
      <c r="I435" s="200"/>
      <c r="J435" s="30"/>
      <c r="K435" s="200"/>
      <c r="L435" s="200"/>
      <c r="M435" s="37"/>
      <c r="N435" s="37"/>
      <c r="O435" s="45"/>
      <c r="P435" s="54"/>
      <c r="Q435" s="260"/>
      <c r="R435" s="261"/>
      <c r="S435" s="261"/>
      <c r="T435" s="38"/>
      <c r="U435" s="261"/>
      <c r="V435" s="256"/>
      <c r="W435" s="256"/>
      <c r="X435" s="256"/>
      <c r="Y435" s="256"/>
      <c r="Z435" s="54"/>
      <c r="AA435" s="200"/>
      <c r="AB435" s="31"/>
      <c r="AC435" s="184"/>
      <c r="AD435" s="51"/>
      <c r="AE435" s="52"/>
      <c r="AF435" s="41"/>
      <c r="AG435" s="45"/>
      <c r="AH435" s="28"/>
      <c r="AI435" s="28"/>
      <c r="AJ435" s="28"/>
      <c r="AK435" s="28"/>
      <c r="AL435" s="12"/>
      <c r="AM435" s="12"/>
      <c r="AN435" s="12"/>
      <c r="AO435" s="12"/>
      <c r="AP435" s="12"/>
      <c r="AQ435" s="13"/>
      <c r="AR435" s="14"/>
    </row>
    <row r="436" spans="1:44" s="16" customFormat="1" ht="30.95" hidden="1" customHeight="1" x14ac:dyDescent="0.2">
      <c r="A436" s="35"/>
      <c r="B436" s="36"/>
      <c r="C436" s="43"/>
      <c r="D436" s="29"/>
      <c r="E436" s="29"/>
      <c r="F436" s="255"/>
      <c r="G436" s="256"/>
      <c r="H436" s="256"/>
      <c r="I436" s="200"/>
      <c r="J436" s="30"/>
      <c r="K436" s="200"/>
      <c r="L436" s="200"/>
      <c r="M436" s="37"/>
      <c r="N436" s="37"/>
      <c r="O436" s="45"/>
      <c r="P436" s="54"/>
      <c r="Q436" s="260"/>
      <c r="R436" s="261"/>
      <c r="S436" s="261"/>
      <c r="T436" s="38"/>
      <c r="U436" s="261"/>
      <c r="V436" s="256"/>
      <c r="W436" s="256"/>
      <c r="X436" s="256"/>
      <c r="Y436" s="256"/>
      <c r="Z436" s="54"/>
      <c r="AA436" s="200"/>
      <c r="AB436" s="31"/>
      <c r="AC436" s="184"/>
      <c r="AD436" s="51"/>
      <c r="AE436" s="52"/>
      <c r="AF436" s="41"/>
      <c r="AG436" s="45"/>
      <c r="AH436" s="28"/>
      <c r="AI436" s="28"/>
      <c r="AJ436" s="28"/>
      <c r="AK436" s="28"/>
      <c r="AL436" s="12"/>
      <c r="AM436" s="12"/>
      <c r="AN436" s="12"/>
      <c r="AO436" s="12"/>
      <c r="AP436" s="12"/>
      <c r="AQ436" s="13"/>
      <c r="AR436" s="14"/>
    </row>
    <row r="437" spans="1:44" s="16" customFormat="1" ht="30.95" hidden="1" customHeight="1" x14ac:dyDescent="0.2">
      <c r="A437" s="35" t="s">
        <v>1142</v>
      </c>
      <c r="B437" s="36" t="s">
        <v>1107</v>
      </c>
      <c r="C437" s="43"/>
      <c r="D437" s="29"/>
      <c r="E437" s="29"/>
      <c r="F437" s="255"/>
      <c r="G437" s="256"/>
      <c r="H437" s="256"/>
      <c r="I437" s="200"/>
      <c r="J437" s="30" t="s">
        <v>1126</v>
      </c>
      <c r="K437" s="200"/>
      <c r="L437" s="200"/>
      <c r="M437" s="37"/>
      <c r="N437" s="37"/>
      <c r="O437" s="45"/>
      <c r="P437" s="54"/>
      <c r="Q437" s="260"/>
      <c r="R437" s="261"/>
      <c r="S437" s="261"/>
      <c r="T437" s="38"/>
      <c r="U437" s="261"/>
      <c r="V437" s="256"/>
      <c r="W437" s="256"/>
      <c r="X437" s="256"/>
      <c r="Y437" s="256"/>
      <c r="Z437" s="54"/>
      <c r="AA437" s="200"/>
      <c r="AB437" s="31"/>
      <c r="AC437" s="184"/>
      <c r="AD437" s="51"/>
      <c r="AE437" s="52"/>
      <c r="AF437" s="41"/>
      <c r="AG437" s="45"/>
      <c r="AH437" s="28"/>
      <c r="AI437" s="28"/>
      <c r="AJ437" s="28"/>
      <c r="AK437" s="28"/>
      <c r="AL437" s="12"/>
      <c r="AM437" s="12"/>
      <c r="AN437" s="12"/>
      <c r="AO437" s="12"/>
      <c r="AP437" s="12"/>
      <c r="AQ437" s="13"/>
      <c r="AR437" s="14"/>
    </row>
    <row r="438" spans="1:44" s="16" customFormat="1" ht="30.95" hidden="1" customHeight="1" x14ac:dyDescent="0.2">
      <c r="A438" s="35"/>
      <c r="B438" s="36"/>
      <c r="C438" s="43"/>
      <c r="D438" s="29"/>
      <c r="E438" s="29"/>
      <c r="F438" s="255"/>
      <c r="G438" s="256"/>
      <c r="H438" s="256"/>
      <c r="I438" s="200"/>
      <c r="J438" s="30"/>
      <c r="K438" s="200"/>
      <c r="L438" s="200"/>
      <c r="M438" s="37"/>
      <c r="N438" s="37"/>
      <c r="O438" s="45"/>
      <c r="P438" s="54"/>
      <c r="Q438" s="260"/>
      <c r="R438" s="261"/>
      <c r="S438" s="261"/>
      <c r="T438" s="38"/>
      <c r="U438" s="261"/>
      <c r="V438" s="256"/>
      <c r="W438" s="256"/>
      <c r="X438" s="256"/>
      <c r="Y438" s="256"/>
      <c r="Z438" s="54"/>
      <c r="AA438" s="200"/>
      <c r="AB438" s="31"/>
      <c r="AC438" s="184"/>
      <c r="AD438" s="51"/>
      <c r="AE438" s="52"/>
      <c r="AF438" s="41"/>
      <c r="AG438" s="45"/>
      <c r="AH438" s="28"/>
      <c r="AI438" s="28"/>
      <c r="AJ438" s="28"/>
      <c r="AK438" s="28"/>
      <c r="AL438" s="12"/>
      <c r="AM438" s="12"/>
      <c r="AN438" s="12"/>
      <c r="AO438" s="12"/>
      <c r="AP438" s="12"/>
      <c r="AQ438" s="13"/>
      <c r="AR438" s="14"/>
    </row>
    <row r="439" spans="1:44" s="225" customFormat="1" ht="30.95" hidden="1" customHeight="1" x14ac:dyDescent="0.2">
      <c r="A439" s="209"/>
      <c r="B439" s="210"/>
      <c r="C439" s="262"/>
      <c r="D439" s="211"/>
      <c r="E439" s="211"/>
      <c r="F439" s="263"/>
      <c r="G439" s="264"/>
      <c r="H439" s="264"/>
      <c r="I439" s="265"/>
      <c r="J439" s="212"/>
      <c r="K439" s="265"/>
      <c r="L439" s="265"/>
      <c r="M439" s="213"/>
      <c r="N439" s="213"/>
      <c r="O439" s="214"/>
      <c r="P439" s="206"/>
      <c r="Q439" s="266"/>
      <c r="R439" s="267"/>
      <c r="S439" s="267"/>
      <c r="T439" s="216"/>
      <c r="U439" s="267"/>
      <c r="V439" s="264"/>
      <c r="W439" s="264"/>
      <c r="X439" s="264"/>
      <c r="Y439" s="264"/>
      <c r="Z439" s="206"/>
      <c r="AA439" s="265"/>
      <c r="AB439" s="217"/>
      <c r="AC439" s="218"/>
      <c r="AD439" s="219"/>
      <c r="AE439" s="220"/>
      <c r="AF439" s="215"/>
      <c r="AG439" s="226" t="e">
        <f>SUM(AG358:AG437)</f>
        <v>#N/A</v>
      </c>
      <c r="AH439" s="221"/>
      <c r="AI439" s="221"/>
      <c r="AJ439" s="221"/>
      <c r="AK439" s="221"/>
      <c r="AL439" s="222"/>
      <c r="AM439" s="222"/>
      <c r="AN439" s="222"/>
      <c r="AO439" s="222"/>
      <c r="AP439" s="222"/>
      <c r="AQ439" s="223"/>
      <c r="AR439" s="224"/>
    </row>
    <row r="440" spans="1:44" s="16" customFormat="1" ht="30.95" hidden="1" customHeight="1" x14ac:dyDescent="0.2">
      <c r="A440" s="35"/>
      <c r="B440" s="36"/>
      <c r="C440" s="43"/>
      <c r="D440" s="29"/>
      <c r="E440" s="29"/>
      <c r="F440" s="255"/>
      <c r="G440" s="256"/>
      <c r="H440" s="256"/>
      <c r="I440" s="200"/>
      <c r="J440" s="30"/>
      <c r="K440" s="200"/>
      <c r="L440" s="200"/>
      <c r="M440" s="37"/>
      <c r="N440" s="37"/>
      <c r="O440" s="45"/>
      <c r="P440" s="54"/>
      <c r="Q440" s="260"/>
      <c r="R440" s="261"/>
      <c r="S440" s="261"/>
      <c r="T440" s="38"/>
      <c r="U440" s="261"/>
      <c r="V440" s="256"/>
      <c r="W440" s="256"/>
      <c r="X440" s="256"/>
      <c r="Y440" s="256"/>
      <c r="Z440" s="54"/>
      <c r="AA440" s="200"/>
      <c r="AB440" s="31"/>
      <c r="AC440" s="184"/>
      <c r="AD440" s="51"/>
      <c r="AE440" s="52"/>
      <c r="AF440" s="41"/>
      <c r="AG440" s="45"/>
      <c r="AH440" s="28"/>
      <c r="AI440" s="28"/>
      <c r="AJ440" s="28"/>
      <c r="AK440" s="28"/>
      <c r="AL440" s="12"/>
      <c r="AM440" s="12"/>
      <c r="AN440" s="12"/>
      <c r="AO440" s="12"/>
      <c r="AP440" s="12"/>
      <c r="AQ440" s="13"/>
      <c r="AR440" s="14"/>
    </row>
    <row r="441" spans="1:44" s="16" customFormat="1" ht="30.95" hidden="1" customHeight="1" x14ac:dyDescent="0.2">
      <c r="A441" s="35" t="s">
        <v>1186</v>
      </c>
      <c r="B441" s="36" t="s">
        <v>1187</v>
      </c>
      <c r="C441" s="43"/>
      <c r="D441" s="29"/>
      <c r="E441" s="29"/>
      <c r="F441" s="255"/>
      <c r="G441" s="256"/>
      <c r="H441" s="256"/>
      <c r="I441" s="200"/>
      <c r="J441" s="30"/>
      <c r="K441" s="200"/>
      <c r="L441" s="200"/>
      <c r="M441" s="37"/>
      <c r="N441" s="37"/>
      <c r="O441" s="45"/>
      <c r="P441" s="54"/>
      <c r="Q441" s="260"/>
      <c r="R441" s="261"/>
      <c r="S441" s="261"/>
      <c r="T441" s="38"/>
      <c r="U441" s="261"/>
      <c r="V441" s="256"/>
      <c r="W441" s="256"/>
      <c r="X441" s="256"/>
      <c r="Y441" s="256"/>
      <c r="Z441" s="54"/>
      <c r="AA441" s="200"/>
      <c r="AB441" s="31"/>
      <c r="AC441" s="184"/>
      <c r="AD441" s="51"/>
      <c r="AE441" s="52"/>
      <c r="AF441" s="41"/>
      <c r="AG441" s="45"/>
      <c r="AH441" s="28"/>
      <c r="AI441" s="28"/>
      <c r="AJ441" s="28"/>
      <c r="AK441" s="28"/>
      <c r="AL441" s="12"/>
      <c r="AM441" s="12"/>
      <c r="AN441" s="12"/>
      <c r="AO441" s="12"/>
      <c r="AP441" s="12"/>
      <c r="AQ441" s="13"/>
      <c r="AR441" s="14"/>
    </row>
    <row r="442" spans="1:44" s="16" customFormat="1" ht="30.95" hidden="1" customHeight="1" x14ac:dyDescent="0.2">
      <c r="A442" s="35"/>
      <c r="B442" s="36"/>
      <c r="C442" s="43"/>
      <c r="D442" s="29"/>
      <c r="E442" s="29"/>
      <c r="F442" s="255"/>
      <c r="G442" s="256"/>
      <c r="H442" s="256"/>
      <c r="I442" s="200"/>
      <c r="J442" s="30"/>
      <c r="K442" s="200"/>
      <c r="L442" s="200"/>
      <c r="M442" s="37"/>
      <c r="N442" s="37"/>
      <c r="O442" s="45"/>
      <c r="P442" s="54"/>
      <c r="Q442" s="260"/>
      <c r="R442" s="261"/>
      <c r="S442" s="261"/>
      <c r="T442" s="38"/>
      <c r="U442" s="261"/>
      <c r="V442" s="256"/>
      <c r="W442" s="256"/>
      <c r="X442" s="256"/>
      <c r="Y442" s="256"/>
      <c r="Z442" s="54"/>
      <c r="AA442" s="200"/>
      <c r="AB442" s="31"/>
      <c r="AC442" s="184"/>
      <c r="AD442" s="51"/>
      <c r="AE442" s="52"/>
      <c r="AF442" s="41"/>
      <c r="AG442" s="45"/>
      <c r="AH442" s="28"/>
      <c r="AI442" s="28"/>
      <c r="AJ442" s="28"/>
      <c r="AK442" s="28"/>
      <c r="AL442" s="12"/>
      <c r="AM442" s="12"/>
      <c r="AN442" s="12"/>
      <c r="AO442" s="12"/>
      <c r="AP442" s="12"/>
      <c r="AQ442" s="13"/>
      <c r="AR442" s="14"/>
    </row>
    <row r="443" spans="1:44" s="16" customFormat="1" ht="30.95" hidden="1" customHeight="1" x14ac:dyDescent="0.2">
      <c r="A443" s="35" t="s">
        <v>1143</v>
      </c>
      <c r="B443" s="36" t="s">
        <v>688</v>
      </c>
      <c r="C443" s="43"/>
      <c r="D443" s="29">
        <v>3712089</v>
      </c>
      <c r="E443" s="29">
        <v>4170109</v>
      </c>
      <c r="F443" s="255" t="str">
        <f>IF(D443="","",VLOOKUP(D443,契約台帳!$A$3:$K$4986,6,FALSE)&amp;VLOOKUP(D443,契約台帳!$A$3:$K$4986,7,FALSE)&amp;VLOOKUP(D443,契約台帳!$A$3:$K$4986,8,FALSE)&amp;VLOOKUP(D443,契約台帳!$A$3:$K$4986,9,FALSE)&amp;VLOOKUP(D443,契約台帳!$A$3:$K$4986,11,FALSE))</f>
        <v>3SNMLBMSF</v>
      </c>
      <c r="G443" s="256" t="str">
        <f>IF(D443="","",VLOOKUP(F443,製品マスタ!$G$5:$H$4999,2,FALSE))</f>
        <v>S</v>
      </c>
      <c r="H443" s="256" t="str">
        <f>IF(D443="","",VLOOKUP(F443,製品マスタ!$G$5:$K$4999,5,FALSE))</f>
        <v>MSF</v>
      </c>
      <c r="I443" s="200" t="str">
        <f>IF(D443="","",VLOOKUP(F443,製品マスタ!$G$5:$L$4999,6,FALSE))</f>
        <v>メタルミー　Ｓ</v>
      </c>
      <c r="J443" s="30" t="s">
        <v>464</v>
      </c>
      <c r="K443" s="200">
        <f>IF(D443="","",VLOOKUP(D443,契約台帳!$A$3:$L$4986,12,FALSE))</f>
        <v>25</v>
      </c>
      <c r="L443" s="200" t="str">
        <f>IF(D443="","",INDEX(製品マスタ!$Q$5:$Q$4999,MATCH(F443&amp;K443,製品マスタ!$AO$5:$AO$4999,0)))</f>
        <v>T62M</v>
      </c>
      <c r="M443" s="37">
        <v>1020</v>
      </c>
      <c r="N443" s="37">
        <v>12100</v>
      </c>
      <c r="O443" s="45">
        <v>1</v>
      </c>
      <c r="P443" s="206">
        <v>45076</v>
      </c>
      <c r="Q443" s="260">
        <f>IF(D443="","",IF(J443="リード付け",M443,VLOOKUP(D443,契約台帳!$A$3:$N$4986,14,FALSE)))</f>
        <v>1020</v>
      </c>
      <c r="R443" s="261">
        <f>IF(D443="","",IF(J443="リード付け",M443,VLOOKUP(D443,契約台帳!$A$3:$O$4986,15,FALSE)))</f>
        <v>1020</v>
      </c>
      <c r="S443" s="261">
        <f>IF(D443="","",IF(J443="リード付け",N443,VLOOKUP(D443,契約台帳!$A$3:$P$4986,16,FALSE)))</f>
        <v>12100</v>
      </c>
      <c r="T443" s="38">
        <v>1</v>
      </c>
      <c r="U443" s="261">
        <f ca="1">IF(D443="","",IF(OFFSET(D443,-2,0)=D443,"",VLOOKUP(D443,契約台帳!$A$3:$R$4986,18,FALSE)))</f>
        <v>6</v>
      </c>
      <c r="V443" s="256" t="str">
        <f>IF(J443="巻返し",VLOOKUP(F443&amp;K443&amp;M443,製品マスタ!$M$5:$AD$4999,18,FALSE),IF(J443="リード付け","原反コア",IF(J443="スリット",VLOOKUP(F443&amp;K443&amp;Q443,製品マスタ!$N$5:$AD$4999,17,FALSE),"")))</f>
        <v>原反コア</v>
      </c>
      <c r="W443" s="256" t="str">
        <f>IF(J443="巻返し",VLOOKUP(F443&amp;K443&amp;M443,製品マスタ!$M$5:$AE$4999,19,FALSE),IF(J443="リード付け","-",IF(J443="スリット",VLOOKUP(F443&amp;K443&amp;Q443,製品マスタ!$N$5:$AE$4999,18,FALSE),"")))</f>
        <v>-</v>
      </c>
      <c r="X443" s="256">
        <f>IF(D443="","",VLOOKUP(D443,契約台帳!$A$3:$Q$4986,17,FALSE))</f>
        <v>1</v>
      </c>
      <c r="Y443" s="256" t="str">
        <f>IF(D443="","",VLOOKUP(D443,契約台帳!$A$3:$E$4986,5,FALSE))</f>
        <v>日精㈱東京支店</v>
      </c>
      <c r="Z443" s="54"/>
      <c r="AA443" s="200">
        <f>IFERROR(VLOOKUP(F443&amp;K443&amp;M443,製品マスタ!$M$5:$AM$4999,27,FALSE),"")</f>
        <v>0</v>
      </c>
      <c r="AB443" s="31"/>
      <c r="AC443" s="184"/>
      <c r="AD443" s="51"/>
      <c r="AE443" s="52"/>
      <c r="AF443" s="41"/>
      <c r="AG443" s="45"/>
      <c r="AH443" s="28"/>
      <c r="AI443" s="28"/>
      <c r="AJ443" s="28"/>
      <c r="AK443" s="28"/>
      <c r="AL443" s="12"/>
      <c r="AM443" s="12"/>
      <c r="AN443" s="12"/>
      <c r="AO443" s="12"/>
      <c r="AP443" s="12"/>
      <c r="AQ443" s="13"/>
      <c r="AR443" s="14"/>
    </row>
    <row r="444" spans="1:44" s="16" customFormat="1" ht="30.95" hidden="1" customHeight="1" x14ac:dyDescent="0.2">
      <c r="A444" s="35"/>
      <c r="B444" s="36"/>
      <c r="C444" s="43"/>
      <c r="D444" s="29"/>
      <c r="E444" s="29"/>
      <c r="F444" s="255"/>
      <c r="G444" s="256"/>
      <c r="H444" s="256"/>
      <c r="I444" s="200"/>
      <c r="J444" s="30"/>
      <c r="K444" s="200"/>
      <c r="L444" s="200"/>
      <c r="M444" s="37"/>
      <c r="N444" s="37"/>
      <c r="O444" s="45"/>
      <c r="P444" s="54"/>
      <c r="Q444" s="260"/>
      <c r="R444" s="261"/>
      <c r="S444" s="261"/>
      <c r="T444" s="38"/>
      <c r="U444" s="261"/>
      <c r="V444" s="256"/>
      <c r="W444" s="256"/>
      <c r="X444" s="256"/>
      <c r="Y444" s="256"/>
      <c r="Z444" s="54"/>
      <c r="AA444" s="200"/>
      <c r="AB444" s="31"/>
      <c r="AC444" s="184"/>
      <c r="AD444" s="51"/>
      <c r="AE444" s="52"/>
      <c r="AF444" s="41"/>
      <c r="AG444" s="45"/>
      <c r="AH444" s="28"/>
      <c r="AI444" s="28"/>
      <c r="AJ444" s="28"/>
      <c r="AK444" s="28"/>
      <c r="AL444" s="12"/>
      <c r="AM444" s="12"/>
      <c r="AN444" s="12"/>
      <c r="AO444" s="12"/>
      <c r="AP444" s="12"/>
      <c r="AQ444" s="13"/>
      <c r="AR444" s="14"/>
    </row>
    <row r="445" spans="1:44" s="16" customFormat="1" ht="30.95" hidden="1" customHeight="1" x14ac:dyDescent="0.2">
      <c r="A445" s="35"/>
      <c r="B445" s="36"/>
      <c r="C445" s="43"/>
      <c r="D445" s="29">
        <v>3712107</v>
      </c>
      <c r="E445" s="29">
        <v>4170110</v>
      </c>
      <c r="F445" s="255" t="str">
        <f>IF(D445="","",VLOOKUP(D445,契約台帳!$A$3:$K$4986,6,FALSE)&amp;VLOOKUP(D445,契約台帳!$A$3:$K$4986,7,FALSE)&amp;VLOOKUP(D445,契約台帳!$A$3:$K$4986,8,FALSE)&amp;VLOOKUP(D445,契約台帳!$A$3:$K$4986,9,FALSE)&amp;VLOOKUP(D445,契約台帳!$A$3:$K$4986,11,FALSE))</f>
        <v>3SNMLBMNNGKBF</v>
      </c>
      <c r="G445" s="256" t="str">
        <f>IF(D445="","",VLOOKUP(F445,製品マスタ!$G$5:$H$4999,2,FALSE))</f>
        <v>S</v>
      </c>
      <c r="H445" s="256" t="str">
        <f>IF(D445="","",VLOOKUP(F445,製品マスタ!$G$5:$K$4999,5,FALSE))</f>
        <v>MNNGKBF</v>
      </c>
      <c r="I445" s="200" t="str">
        <f>IF(D445="","",VLOOKUP(F445,製品マスタ!$G$5:$L$4999,6,FALSE))</f>
        <v>メタルミー　ニューネーマー銀消　Ｂ</v>
      </c>
      <c r="J445" s="30" t="s">
        <v>464</v>
      </c>
      <c r="K445" s="200">
        <f>IF(D445="","",VLOOKUP(D445,契約台帳!$A$3:$L$4986,12,FALSE))</f>
        <v>25</v>
      </c>
      <c r="L445" s="200" t="str">
        <f>IF(D445="","",INDEX(製品マスタ!$Q$5:$Q$4999,MATCH(F445&amp;K445,製品マスタ!$AO$5:$AO$4999,0)))</f>
        <v>X44C</v>
      </c>
      <c r="M445" s="37">
        <v>1005</v>
      </c>
      <c r="N445" s="37">
        <v>8000</v>
      </c>
      <c r="O445" s="45">
        <v>2</v>
      </c>
      <c r="P445" s="206">
        <v>45076</v>
      </c>
      <c r="Q445" s="260">
        <f>IF(D445="","",IF(J445="リード付け",M445,VLOOKUP(D445,契約台帳!$A$3:$N$4986,14,FALSE)))</f>
        <v>1005</v>
      </c>
      <c r="R445" s="261">
        <f>IF(D445="","",IF(J445="リード付け",M445,VLOOKUP(D445,契約台帳!$A$3:$O$4986,15,FALSE)))</f>
        <v>1005</v>
      </c>
      <c r="S445" s="261">
        <f>IF(D445="","",IF(J445="リード付け",N445,VLOOKUP(D445,契約台帳!$A$3:$P$4986,16,FALSE)))</f>
        <v>8000</v>
      </c>
      <c r="T445" s="38">
        <v>2</v>
      </c>
      <c r="U445" s="261">
        <f ca="1">IF(D445="","",IF(OFFSET(D445,-2,0)=D445,"",VLOOKUP(D445,契約台帳!$A$3:$R$4986,18,FALSE)))</f>
        <v>4</v>
      </c>
      <c r="V445" s="256" t="str">
        <f>IF(J445="巻返し",VLOOKUP(F445&amp;K445&amp;M445,製品マスタ!$M$5:$AD$4999,18,FALSE),IF(J445="リード付け","原反コア",IF(J445="スリット",VLOOKUP(F445&amp;K445&amp;Q445,製品マスタ!$N$5:$AD$4999,17,FALSE),"")))</f>
        <v>原反コア</v>
      </c>
      <c r="W445" s="256" t="str">
        <f>IF(J445="巻返し",VLOOKUP(F445&amp;K445&amp;M445,製品マスタ!$M$5:$AE$4999,19,FALSE),IF(J445="リード付け","-",IF(J445="スリット",VLOOKUP(F445&amp;K445&amp;Q445,製品マスタ!$N$5:$AE$4999,18,FALSE),"")))</f>
        <v>-</v>
      </c>
      <c r="X445" s="256">
        <f>IF(D445="","",VLOOKUP(D445,契約台帳!$A$3:$Q$4986,17,FALSE))</f>
        <v>2</v>
      </c>
      <c r="Y445" s="256" t="str">
        <f>IF(D445="","",VLOOKUP(D445,契約台帳!$A$3:$E$4986,5,FALSE))</f>
        <v>リンテック㈱</v>
      </c>
      <c r="Z445" s="54"/>
      <c r="AA445" s="200">
        <f>IFERROR(VLOOKUP(F445&amp;K445&amp;M445,製品マスタ!$M$5:$AM$4999,27,FALSE),"")</f>
        <v>0</v>
      </c>
      <c r="AB445" s="31"/>
      <c r="AC445" s="184"/>
      <c r="AD445" s="51"/>
      <c r="AE445" s="52"/>
      <c r="AF445" s="41"/>
      <c r="AG445" s="45"/>
      <c r="AH445" s="28"/>
      <c r="AI445" s="28"/>
      <c r="AJ445" s="28"/>
      <c r="AK445" s="28"/>
      <c r="AL445" s="12"/>
      <c r="AM445" s="12"/>
      <c r="AN445" s="12"/>
      <c r="AO445" s="12"/>
      <c r="AP445" s="12"/>
      <c r="AQ445" s="13"/>
      <c r="AR445" s="14"/>
    </row>
    <row r="446" spans="1:44" s="16" customFormat="1" ht="30.95" hidden="1" customHeight="1" x14ac:dyDescent="0.2">
      <c r="A446" s="35"/>
      <c r="B446" s="36"/>
      <c r="C446" s="43"/>
      <c r="D446" s="29"/>
      <c r="E446" s="29"/>
      <c r="F446" s="255"/>
      <c r="G446" s="256"/>
      <c r="H446" s="256"/>
      <c r="I446" s="200"/>
      <c r="J446" s="30"/>
      <c r="K446" s="200"/>
      <c r="L446" s="200"/>
      <c r="M446" s="37"/>
      <c r="N446" s="37"/>
      <c r="O446" s="45"/>
      <c r="P446" s="54"/>
      <c r="Q446" s="260"/>
      <c r="R446" s="261"/>
      <c r="S446" s="261"/>
      <c r="T446" s="38"/>
      <c r="U446" s="261"/>
      <c r="V446" s="256"/>
      <c r="W446" s="256"/>
      <c r="X446" s="256"/>
      <c r="Y446" s="256"/>
      <c r="Z446" s="54"/>
      <c r="AA446" s="200"/>
      <c r="AB446" s="31"/>
      <c r="AC446" s="184"/>
      <c r="AD446" s="51"/>
      <c r="AE446" s="52"/>
      <c r="AF446" s="41"/>
      <c r="AG446" s="45"/>
      <c r="AH446" s="28"/>
      <c r="AI446" s="28"/>
      <c r="AJ446" s="28"/>
      <c r="AK446" s="28"/>
      <c r="AL446" s="12"/>
      <c r="AM446" s="12"/>
      <c r="AN446" s="12"/>
      <c r="AO446" s="12"/>
      <c r="AP446" s="12"/>
      <c r="AQ446" s="13"/>
      <c r="AR446" s="14"/>
    </row>
    <row r="447" spans="1:44" s="16" customFormat="1" ht="30.95" hidden="1" customHeight="1" x14ac:dyDescent="0.2">
      <c r="A447" s="35" t="s">
        <v>1144</v>
      </c>
      <c r="B447" s="36" t="s">
        <v>1099</v>
      </c>
      <c r="C447" s="43"/>
      <c r="D447" s="29">
        <v>3712096</v>
      </c>
      <c r="E447" s="29">
        <v>4170111</v>
      </c>
      <c r="F447" s="255" t="str">
        <f>IF(D447="","",VLOOKUP(D447,契約台帳!$A$3:$K$4986,6,FALSE)&amp;VLOOKUP(D447,契約台帳!$A$3:$K$4986,7,FALSE)&amp;VLOOKUP(D447,契約台帳!$A$3:$K$4986,8,FALSE)&amp;VLOOKUP(D447,契約台帳!$A$3:$K$4986,9,FALSE)&amp;VLOOKUP(D447,契約台帳!$A$3:$K$4986,11,FALSE))</f>
        <v>3SNMCLBSCB</v>
      </c>
      <c r="G447" s="256" t="str">
        <f>IF(D447="","",VLOOKUP(F447,製品マスタ!$G$5:$H$4999,2,FALSE))</f>
        <v>S</v>
      </c>
      <c r="H447" s="256" t="str">
        <f>IF(D447="","",VLOOKUP(F447,製品マスタ!$G$5:$K$4999,5,FALSE))</f>
        <v>SCB</v>
      </c>
      <c r="I447" s="200" t="str">
        <f>IF(D447="","",VLOOKUP(F447,製品マスタ!$G$5:$L$4999,6,FALSE))</f>
        <v>メタルミー　シロコート（Ｂ）</v>
      </c>
      <c r="J447" s="30" t="s">
        <v>464</v>
      </c>
      <c r="K447" s="200">
        <f>IF(D447="","",VLOOKUP(D447,契約台帳!$A$3:$L$4986,12,FALSE))</f>
        <v>25</v>
      </c>
      <c r="L447" s="200" t="str">
        <f>IF(D447="","",INDEX(製品マスタ!$Q$5:$Q$4999,MATCH(F447&amp;K447,製品マスタ!$AO$5:$AO$4999,0)))</f>
        <v>T70A</v>
      </c>
      <c r="M447" s="37">
        <v>1060</v>
      </c>
      <c r="N447" s="37">
        <v>12200</v>
      </c>
      <c r="O447" s="45">
        <v>3</v>
      </c>
      <c r="P447" s="206">
        <v>45077</v>
      </c>
      <c r="Q447" s="260">
        <f>IF(D447="","",IF(J447="リード付け",M447,VLOOKUP(D447,契約台帳!$A$3:$N$4986,14,FALSE)))</f>
        <v>1060</v>
      </c>
      <c r="R447" s="261">
        <f>IF(D447="","",IF(J447="リード付け",M447,VLOOKUP(D447,契約台帳!$A$3:$O$4986,15,FALSE)))</f>
        <v>1060</v>
      </c>
      <c r="S447" s="261">
        <f>IF(D447="","",IF(J447="リード付け",N447,VLOOKUP(D447,契約台帳!$A$3:$P$4986,16,FALSE)))</f>
        <v>12200</v>
      </c>
      <c r="T447" s="38">
        <v>3</v>
      </c>
      <c r="U447" s="261">
        <f ca="1">IF(D447="","",IF(OFFSET(D447,-2,0)=D447,"",VLOOKUP(D447,契約台帳!$A$3:$R$4986,18,FALSE)))</f>
        <v>6</v>
      </c>
      <c r="V447" s="256" t="str">
        <f>IF(J447="巻返し",VLOOKUP(F447&amp;K447&amp;M447,製品マスタ!$M$5:$AD$4999,18,FALSE),IF(J447="リード付け","原反コア",IF(J447="スリット",VLOOKUP(F447&amp;K447&amp;Q447,製品マスタ!$N$5:$AD$4999,17,FALSE),"")))</f>
        <v>原反コア</v>
      </c>
      <c r="W447" s="256" t="str">
        <f>IF(J447="巻返し",VLOOKUP(F447&amp;K447&amp;M447,製品マスタ!$M$5:$AE$4999,19,FALSE),IF(J447="リード付け","-",IF(J447="スリット",VLOOKUP(F447&amp;K447&amp;Q447,製品マスタ!$N$5:$AE$4999,18,FALSE),"")))</f>
        <v>-</v>
      </c>
      <c r="X447" s="256">
        <f>IF(D447="","",VLOOKUP(D447,契約台帳!$A$3:$Q$4986,17,FALSE))</f>
        <v>2</v>
      </c>
      <c r="Y447" s="256" t="str">
        <f>IF(D447="","",VLOOKUP(D447,契約台帳!$A$3:$E$4986,5,FALSE))</f>
        <v>新タック化成㈱</v>
      </c>
      <c r="Z447" s="54"/>
      <c r="AA447" s="200" t="s">
        <v>1185</v>
      </c>
      <c r="AB447" s="31"/>
      <c r="AC447" s="184"/>
      <c r="AD447" s="51"/>
      <c r="AE447" s="52"/>
      <c r="AF447" s="41"/>
      <c r="AG447" s="45"/>
      <c r="AH447" s="28"/>
      <c r="AI447" s="28"/>
      <c r="AJ447" s="28"/>
      <c r="AK447" s="28"/>
      <c r="AL447" s="12"/>
      <c r="AM447" s="12"/>
      <c r="AN447" s="12"/>
      <c r="AO447" s="12"/>
      <c r="AP447" s="12"/>
      <c r="AQ447" s="13"/>
      <c r="AR447" s="14"/>
    </row>
    <row r="448" spans="1:44" s="16" customFormat="1" ht="30.95" hidden="1" customHeight="1" x14ac:dyDescent="0.2">
      <c r="A448" s="35"/>
      <c r="B448" s="36"/>
      <c r="C448" s="43"/>
      <c r="D448" s="29"/>
      <c r="E448" s="29"/>
      <c r="F448" s="255"/>
      <c r="G448" s="256"/>
      <c r="H448" s="256"/>
      <c r="I448" s="200"/>
      <c r="J448" s="30"/>
      <c r="K448" s="200"/>
      <c r="L448" s="200"/>
      <c r="M448" s="37"/>
      <c r="N448" s="37"/>
      <c r="O448" s="45"/>
      <c r="P448" s="54"/>
      <c r="Q448" s="260"/>
      <c r="R448" s="261"/>
      <c r="S448" s="261"/>
      <c r="T448" s="38"/>
      <c r="U448" s="261"/>
      <c r="V448" s="256"/>
      <c r="W448" s="256"/>
      <c r="X448" s="256"/>
      <c r="Y448" s="256"/>
      <c r="Z448" s="54"/>
      <c r="AA448" s="200"/>
      <c r="AB448" s="31"/>
      <c r="AC448" s="184"/>
      <c r="AD448" s="51"/>
      <c r="AE448" s="52"/>
      <c r="AF448" s="41"/>
      <c r="AG448" s="45"/>
      <c r="AH448" s="28"/>
      <c r="AI448" s="28"/>
      <c r="AJ448" s="28"/>
      <c r="AK448" s="28"/>
      <c r="AL448" s="12"/>
      <c r="AM448" s="12"/>
      <c r="AN448" s="12"/>
      <c r="AO448" s="12"/>
      <c r="AP448" s="12"/>
      <c r="AQ448" s="13"/>
      <c r="AR448" s="14"/>
    </row>
    <row r="449" spans="1:44" s="16" customFormat="1" ht="30.95" hidden="1" customHeight="1" x14ac:dyDescent="0.2">
      <c r="A449" s="35" t="s">
        <v>1189</v>
      </c>
      <c r="B449" s="36" t="s">
        <v>1190</v>
      </c>
      <c r="C449" s="43"/>
      <c r="D449" s="29"/>
      <c r="E449" s="29"/>
      <c r="F449" s="255"/>
      <c r="G449" s="256"/>
      <c r="H449" s="256"/>
      <c r="I449" s="200"/>
      <c r="J449" s="30"/>
      <c r="K449" s="200"/>
      <c r="L449" s="200"/>
      <c r="M449" s="37"/>
      <c r="N449" s="37"/>
      <c r="O449" s="45"/>
      <c r="P449" s="54"/>
      <c r="Q449" s="260"/>
      <c r="R449" s="261"/>
      <c r="S449" s="261"/>
      <c r="T449" s="38"/>
      <c r="U449" s="261"/>
      <c r="V449" s="256"/>
      <c r="W449" s="256"/>
      <c r="X449" s="256"/>
      <c r="Y449" s="256"/>
      <c r="Z449" s="54"/>
      <c r="AA449" s="200"/>
      <c r="AB449" s="31"/>
      <c r="AC449" s="184"/>
      <c r="AD449" s="51"/>
      <c r="AE449" s="52"/>
      <c r="AF449" s="41"/>
      <c r="AG449" s="45"/>
      <c r="AH449" s="28"/>
      <c r="AI449" s="28"/>
      <c r="AJ449" s="28"/>
      <c r="AK449" s="28"/>
      <c r="AL449" s="12"/>
      <c r="AM449" s="12"/>
      <c r="AN449" s="12"/>
      <c r="AO449" s="12"/>
      <c r="AP449" s="12"/>
      <c r="AQ449" s="13"/>
      <c r="AR449" s="14"/>
    </row>
    <row r="450" spans="1:44" s="16" customFormat="1" ht="30.95" hidden="1" customHeight="1" x14ac:dyDescent="0.2">
      <c r="A450" s="35"/>
      <c r="B450" s="36"/>
      <c r="C450" s="43"/>
      <c r="D450" s="29"/>
      <c r="E450" s="29"/>
      <c r="F450" s="255"/>
      <c r="G450" s="256"/>
      <c r="H450" s="256"/>
      <c r="I450" s="200"/>
      <c r="J450" s="30"/>
      <c r="K450" s="200"/>
      <c r="L450" s="200"/>
      <c r="M450" s="37"/>
      <c r="N450" s="37"/>
      <c r="O450" s="45"/>
      <c r="P450" s="54"/>
      <c r="Q450" s="260"/>
      <c r="R450" s="261"/>
      <c r="S450" s="261"/>
      <c r="T450" s="38"/>
      <c r="U450" s="261"/>
      <c r="V450" s="256"/>
      <c r="W450" s="256"/>
      <c r="X450" s="256"/>
      <c r="Y450" s="256"/>
      <c r="Z450" s="54"/>
      <c r="AA450" s="200"/>
      <c r="AB450" s="31"/>
      <c r="AC450" s="184"/>
      <c r="AD450" s="51"/>
      <c r="AE450" s="52"/>
      <c r="AF450" s="41"/>
      <c r="AG450" s="45"/>
      <c r="AH450" s="28"/>
      <c r="AI450" s="28"/>
      <c r="AJ450" s="28"/>
      <c r="AK450" s="28"/>
      <c r="AL450" s="12"/>
      <c r="AM450" s="12"/>
      <c r="AN450" s="12"/>
      <c r="AO450" s="12"/>
      <c r="AP450" s="12"/>
      <c r="AQ450" s="13"/>
      <c r="AR450" s="14"/>
    </row>
    <row r="451" spans="1:44" s="16" customFormat="1" ht="30.95" hidden="1" customHeight="1" x14ac:dyDescent="0.2">
      <c r="A451" s="35" t="s">
        <v>1191</v>
      </c>
      <c r="B451" s="36" t="s">
        <v>1192</v>
      </c>
      <c r="C451" s="43"/>
      <c r="D451" s="29"/>
      <c r="E451" s="29"/>
      <c r="F451" s="255"/>
      <c r="G451" s="256"/>
      <c r="H451" s="256"/>
      <c r="I451" s="200"/>
      <c r="J451" s="30"/>
      <c r="K451" s="200"/>
      <c r="L451" s="200"/>
      <c r="M451" s="37"/>
      <c r="N451" s="37"/>
      <c r="O451" s="45"/>
      <c r="P451" s="54"/>
      <c r="Q451" s="260"/>
      <c r="R451" s="261"/>
      <c r="S451" s="261"/>
      <c r="T451" s="38"/>
      <c r="U451" s="261"/>
      <c r="V451" s="256"/>
      <c r="W451" s="256"/>
      <c r="X451" s="256"/>
      <c r="Y451" s="256"/>
      <c r="Z451" s="54"/>
      <c r="AA451" s="200"/>
      <c r="AB451" s="31"/>
      <c r="AC451" s="184"/>
      <c r="AD451" s="51"/>
      <c r="AE451" s="52"/>
      <c r="AF451" s="41"/>
      <c r="AG451" s="45"/>
      <c r="AH451" s="28"/>
      <c r="AI451" s="28"/>
      <c r="AJ451" s="28"/>
      <c r="AK451" s="28"/>
      <c r="AL451" s="12"/>
      <c r="AM451" s="12"/>
      <c r="AN451" s="12"/>
      <c r="AO451" s="12"/>
      <c r="AP451" s="12"/>
      <c r="AQ451" s="13"/>
      <c r="AR451" s="14"/>
    </row>
    <row r="452" spans="1:44" s="16" customFormat="1" ht="30.95" hidden="1" customHeight="1" x14ac:dyDescent="0.2">
      <c r="A452" s="35"/>
      <c r="B452" s="36"/>
      <c r="C452" s="43"/>
      <c r="D452" s="29"/>
      <c r="E452" s="29"/>
      <c r="F452" s="255"/>
      <c r="G452" s="256"/>
      <c r="H452" s="256"/>
      <c r="I452" s="200"/>
      <c r="J452" s="30"/>
      <c r="K452" s="200"/>
      <c r="L452" s="200"/>
      <c r="M452" s="37"/>
      <c r="N452" s="37"/>
      <c r="O452" s="45"/>
      <c r="P452" s="54"/>
      <c r="Q452" s="260"/>
      <c r="R452" s="261"/>
      <c r="S452" s="261"/>
      <c r="T452" s="38"/>
      <c r="U452" s="261"/>
      <c r="V452" s="256"/>
      <c r="W452" s="256"/>
      <c r="X452" s="256"/>
      <c r="Y452" s="256"/>
      <c r="Z452" s="54"/>
      <c r="AA452" s="200"/>
      <c r="AB452" s="31"/>
      <c r="AC452" s="184"/>
      <c r="AD452" s="51"/>
      <c r="AE452" s="52"/>
      <c r="AF452" s="41"/>
      <c r="AG452" s="45"/>
      <c r="AH452" s="28"/>
      <c r="AI452" s="28"/>
      <c r="AJ452" s="28"/>
      <c r="AK452" s="28"/>
      <c r="AL452" s="12"/>
      <c r="AM452" s="12"/>
      <c r="AN452" s="12"/>
      <c r="AO452" s="12"/>
      <c r="AP452" s="12"/>
      <c r="AQ452" s="13"/>
      <c r="AR452" s="14"/>
    </row>
    <row r="453" spans="1:44" s="16" customFormat="1" ht="30.95" hidden="1" customHeight="1" x14ac:dyDescent="0.2">
      <c r="A453" s="35" t="s">
        <v>1193</v>
      </c>
      <c r="B453" s="36" t="s">
        <v>1194</v>
      </c>
      <c r="C453" s="43"/>
      <c r="D453" s="29"/>
      <c r="E453" s="29"/>
      <c r="F453" s="255"/>
      <c r="G453" s="256"/>
      <c r="H453" s="256"/>
      <c r="I453" s="200"/>
      <c r="J453" s="30" t="s">
        <v>448</v>
      </c>
      <c r="K453" s="200"/>
      <c r="L453" s="200"/>
      <c r="M453" s="37"/>
      <c r="N453" s="37"/>
      <c r="O453" s="45"/>
      <c r="P453" s="54"/>
      <c r="Q453" s="260"/>
      <c r="R453" s="261"/>
      <c r="S453" s="261"/>
      <c r="T453" s="38"/>
      <c r="U453" s="261"/>
      <c r="V453" s="256"/>
      <c r="W453" s="256"/>
      <c r="X453" s="256"/>
      <c r="Y453" s="256"/>
      <c r="Z453" s="54"/>
      <c r="AA453" s="200"/>
      <c r="AB453" s="31"/>
      <c r="AC453" s="184"/>
      <c r="AD453" s="51"/>
      <c r="AE453" s="52"/>
      <c r="AF453" s="41"/>
      <c r="AG453" s="45"/>
      <c r="AH453" s="28"/>
      <c r="AI453" s="28"/>
      <c r="AJ453" s="28"/>
      <c r="AK453" s="28"/>
      <c r="AL453" s="12"/>
      <c r="AM453" s="12"/>
      <c r="AN453" s="12"/>
      <c r="AO453" s="12"/>
      <c r="AP453" s="12"/>
      <c r="AQ453" s="13"/>
      <c r="AR453" s="14"/>
    </row>
    <row r="454" spans="1:44" s="16" customFormat="1" ht="30.95" hidden="1" customHeight="1" x14ac:dyDescent="0.2">
      <c r="A454" s="35"/>
      <c r="B454" s="36"/>
      <c r="C454" s="43"/>
      <c r="D454" s="29"/>
      <c r="E454" s="29"/>
      <c r="F454" s="255"/>
      <c r="G454" s="256"/>
      <c r="H454" s="256"/>
      <c r="I454" s="200"/>
      <c r="J454" s="30"/>
      <c r="K454" s="200"/>
      <c r="L454" s="200"/>
      <c r="M454" s="37"/>
      <c r="N454" s="37"/>
      <c r="O454" s="45"/>
      <c r="P454" s="54"/>
      <c r="Q454" s="260"/>
      <c r="R454" s="261"/>
      <c r="S454" s="261"/>
      <c r="T454" s="38"/>
      <c r="U454" s="261"/>
      <c r="V454" s="256"/>
      <c r="W454" s="256"/>
      <c r="X454" s="256"/>
      <c r="Y454" s="256"/>
      <c r="Z454" s="54"/>
      <c r="AA454" s="200"/>
      <c r="AB454" s="31"/>
      <c r="AC454" s="184"/>
      <c r="AD454" s="51"/>
      <c r="AE454" s="52"/>
      <c r="AF454" s="41"/>
      <c r="AG454" s="45"/>
      <c r="AH454" s="28"/>
      <c r="AI454" s="28"/>
      <c r="AJ454" s="28"/>
      <c r="AK454" s="28"/>
      <c r="AL454" s="12"/>
      <c r="AM454" s="12"/>
      <c r="AN454" s="12"/>
      <c r="AO454" s="12"/>
      <c r="AP454" s="12"/>
      <c r="AQ454" s="13"/>
      <c r="AR454" s="14"/>
    </row>
    <row r="455" spans="1:44" s="16" customFormat="1" ht="30.95" hidden="1" customHeight="1" x14ac:dyDescent="0.2">
      <c r="A455" s="35" t="s">
        <v>1195</v>
      </c>
      <c r="B455" s="36" t="s">
        <v>1196</v>
      </c>
      <c r="C455" s="43"/>
      <c r="D455" s="29"/>
      <c r="E455" s="29"/>
      <c r="F455" s="255"/>
      <c r="G455" s="256"/>
      <c r="H455" s="256"/>
      <c r="I455" s="200"/>
      <c r="J455" s="30" t="s">
        <v>448</v>
      </c>
      <c r="K455" s="200"/>
      <c r="L455" s="200"/>
      <c r="M455" s="37"/>
      <c r="N455" s="37"/>
      <c r="O455" s="45"/>
      <c r="P455" s="54"/>
      <c r="Q455" s="260"/>
      <c r="R455" s="261"/>
      <c r="S455" s="261"/>
      <c r="T455" s="38"/>
      <c r="U455" s="261"/>
      <c r="V455" s="256"/>
      <c r="W455" s="256"/>
      <c r="X455" s="256"/>
      <c r="Y455" s="256"/>
      <c r="Z455" s="54"/>
      <c r="AA455" s="200"/>
      <c r="AB455" s="31"/>
      <c r="AC455" s="184"/>
      <c r="AD455" s="51"/>
      <c r="AE455" s="52"/>
      <c r="AF455" s="41"/>
      <c r="AG455" s="45"/>
      <c r="AH455" s="28"/>
      <c r="AI455" s="28"/>
      <c r="AJ455" s="28"/>
      <c r="AK455" s="28"/>
      <c r="AL455" s="12"/>
      <c r="AM455" s="12"/>
      <c r="AN455" s="12"/>
      <c r="AO455" s="12"/>
      <c r="AP455" s="12"/>
      <c r="AQ455" s="13"/>
      <c r="AR455" s="14"/>
    </row>
    <row r="456" spans="1:44" s="16" customFormat="1" ht="30.95" hidden="1" customHeight="1" x14ac:dyDescent="0.2">
      <c r="A456" s="35"/>
      <c r="B456" s="36"/>
      <c r="C456" s="43"/>
      <c r="D456" s="29"/>
      <c r="E456" s="29"/>
      <c r="F456" s="255"/>
      <c r="G456" s="256"/>
      <c r="H456" s="256"/>
      <c r="I456" s="200"/>
      <c r="J456" s="30"/>
      <c r="K456" s="200"/>
      <c r="L456" s="200"/>
      <c r="M456" s="37"/>
      <c r="N456" s="37"/>
      <c r="O456" s="45"/>
      <c r="P456" s="54"/>
      <c r="Q456" s="260"/>
      <c r="R456" s="261"/>
      <c r="S456" s="261"/>
      <c r="T456" s="38"/>
      <c r="U456" s="261"/>
      <c r="V456" s="256"/>
      <c r="W456" s="256"/>
      <c r="X456" s="256"/>
      <c r="Y456" s="256"/>
      <c r="Z456" s="54"/>
      <c r="AA456" s="200"/>
      <c r="AB456" s="31"/>
      <c r="AC456" s="184"/>
      <c r="AD456" s="51"/>
      <c r="AE456" s="52"/>
      <c r="AF456" s="41"/>
      <c r="AG456" s="45"/>
      <c r="AH456" s="28"/>
      <c r="AI456" s="28"/>
      <c r="AJ456" s="28"/>
      <c r="AK456" s="28"/>
      <c r="AL456" s="12"/>
      <c r="AM456" s="12"/>
      <c r="AN456" s="12"/>
      <c r="AO456" s="12"/>
      <c r="AP456" s="12"/>
      <c r="AQ456" s="13"/>
      <c r="AR456" s="14"/>
    </row>
    <row r="457" spans="1:44" s="16" customFormat="1" ht="30.95" hidden="1" customHeight="1" x14ac:dyDescent="0.2">
      <c r="A457" s="35" t="s">
        <v>1197</v>
      </c>
      <c r="B457" s="36" t="s">
        <v>1198</v>
      </c>
      <c r="C457" s="43"/>
      <c r="D457" s="29"/>
      <c r="E457" s="29"/>
      <c r="F457" s="255"/>
      <c r="G457" s="256"/>
      <c r="H457" s="256"/>
      <c r="I457" s="200"/>
      <c r="J457" s="30"/>
      <c r="K457" s="200"/>
      <c r="L457" s="200"/>
      <c r="M457" s="37"/>
      <c r="N457" s="37"/>
      <c r="O457" s="45"/>
      <c r="P457" s="54"/>
      <c r="Q457" s="260"/>
      <c r="R457" s="261"/>
      <c r="S457" s="261"/>
      <c r="T457" s="38"/>
      <c r="U457" s="261"/>
      <c r="V457" s="256"/>
      <c r="W457" s="256"/>
      <c r="X457" s="256"/>
      <c r="Y457" s="256"/>
      <c r="Z457" s="54"/>
      <c r="AA457" s="200"/>
      <c r="AB457" s="31"/>
      <c r="AC457" s="184"/>
      <c r="AD457" s="51"/>
      <c r="AE457" s="52"/>
      <c r="AF457" s="41"/>
      <c r="AG457" s="45"/>
      <c r="AH457" s="28"/>
      <c r="AI457" s="28"/>
      <c r="AJ457" s="28"/>
      <c r="AK457" s="28"/>
      <c r="AL457" s="12"/>
      <c r="AM457" s="12"/>
      <c r="AN457" s="12"/>
      <c r="AO457" s="12"/>
      <c r="AP457" s="12"/>
      <c r="AQ457" s="13"/>
      <c r="AR457" s="14"/>
    </row>
    <row r="458" spans="1:44" s="16" customFormat="1" ht="30.95" hidden="1" customHeight="1" x14ac:dyDescent="0.2">
      <c r="A458" s="35"/>
      <c r="B458" s="36"/>
      <c r="C458" s="43"/>
      <c r="D458" s="29"/>
      <c r="E458" s="29"/>
      <c r="F458" s="255"/>
      <c r="G458" s="256"/>
      <c r="H458" s="256"/>
      <c r="I458" s="200"/>
      <c r="J458" s="30"/>
      <c r="K458" s="200"/>
      <c r="L458" s="200"/>
      <c r="M458" s="37"/>
      <c r="N458" s="37"/>
      <c r="O458" s="45"/>
      <c r="P458" s="54"/>
      <c r="Q458" s="260"/>
      <c r="R458" s="261"/>
      <c r="S458" s="261"/>
      <c r="T458" s="38"/>
      <c r="U458" s="261"/>
      <c r="V458" s="256"/>
      <c r="W458" s="256"/>
      <c r="X458" s="256"/>
      <c r="Y458" s="256"/>
      <c r="Z458" s="54"/>
      <c r="AA458" s="200"/>
      <c r="AB458" s="31"/>
      <c r="AC458" s="184"/>
      <c r="AD458" s="51"/>
      <c r="AE458" s="52"/>
      <c r="AF458" s="41"/>
      <c r="AG458" s="45"/>
      <c r="AH458" s="28"/>
      <c r="AI458" s="28"/>
      <c r="AJ458" s="28"/>
      <c r="AK458" s="28"/>
      <c r="AL458" s="12"/>
      <c r="AM458" s="12"/>
      <c r="AN458" s="12"/>
      <c r="AO458" s="12"/>
      <c r="AP458" s="12"/>
      <c r="AQ458" s="13"/>
      <c r="AR458" s="14"/>
    </row>
    <row r="459" spans="1:44" s="16" customFormat="1" ht="30.95" hidden="1" customHeight="1" x14ac:dyDescent="0.2">
      <c r="A459" s="35" t="s">
        <v>1199</v>
      </c>
      <c r="B459" s="36" t="s">
        <v>1200</v>
      </c>
      <c r="C459" s="43"/>
      <c r="D459" s="29"/>
      <c r="E459" s="29"/>
      <c r="F459" s="255"/>
      <c r="G459" s="256"/>
      <c r="H459" s="256"/>
      <c r="I459" s="200"/>
      <c r="J459" s="30"/>
      <c r="K459" s="200"/>
      <c r="L459" s="200"/>
      <c r="M459" s="37"/>
      <c r="N459" s="37"/>
      <c r="O459" s="45"/>
      <c r="P459" s="54"/>
      <c r="Q459" s="260"/>
      <c r="R459" s="261"/>
      <c r="S459" s="261"/>
      <c r="T459" s="38"/>
      <c r="U459" s="261"/>
      <c r="V459" s="256"/>
      <c r="W459" s="256"/>
      <c r="X459" s="256"/>
      <c r="Y459" s="256"/>
      <c r="Z459" s="54"/>
      <c r="AA459" s="200"/>
      <c r="AB459" s="31"/>
      <c r="AC459" s="184"/>
      <c r="AD459" s="51"/>
      <c r="AE459" s="52"/>
      <c r="AF459" s="41"/>
      <c r="AG459" s="45"/>
      <c r="AH459" s="28"/>
      <c r="AI459" s="28"/>
      <c r="AJ459" s="28"/>
      <c r="AK459" s="28"/>
      <c r="AL459" s="12"/>
      <c r="AM459" s="12"/>
      <c r="AN459" s="12"/>
      <c r="AO459" s="12"/>
      <c r="AP459" s="12"/>
      <c r="AQ459" s="13"/>
      <c r="AR459" s="14"/>
    </row>
    <row r="460" spans="1:44" s="16" customFormat="1" ht="30.95" hidden="1" customHeight="1" x14ac:dyDescent="0.2">
      <c r="A460" s="35"/>
      <c r="B460" s="36"/>
      <c r="C460" s="43"/>
      <c r="D460" s="29"/>
      <c r="E460" s="29"/>
      <c r="F460" s="255"/>
      <c r="G460" s="256"/>
      <c r="H460" s="256"/>
      <c r="I460" s="200"/>
      <c r="J460" s="30"/>
      <c r="K460" s="200"/>
      <c r="L460" s="200"/>
      <c r="M460" s="37"/>
      <c r="N460" s="37"/>
      <c r="O460" s="45"/>
      <c r="P460" s="54"/>
      <c r="Q460" s="260"/>
      <c r="R460" s="261"/>
      <c r="S460" s="261"/>
      <c r="T460" s="38"/>
      <c r="U460" s="261"/>
      <c r="V460" s="256"/>
      <c r="W460" s="256"/>
      <c r="X460" s="256"/>
      <c r="Y460" s="256"/>
      <c r="Z460" s="54"/>
      <c r="AA460" s="200"/>
      <c r="AB460" s="31"/>
      <c r="AC460" s="184"/>
      <c r="AD460" s="51"/>
      <c r="AE460" s="52"/>
      <c r="AF460" s="41"/>
      <c r="AG460" s="45"/>
      <c r="AH460" s="28"/>
      <c r="AI460" s="28"/>
      <c r="AJ460" s="28"/>
      <c r="AK460" s="28"/>
      <c r="AL460" s="12"/>
      <c r="AM460" s="12"/>
      <c r="AN460" s="12"/>
      <c r="AO460" s="12"/>
      <c r="AP460" s="12"/>
      <c r="AQ460" s="13"/>
      <c r="AR460" s="14"/>
    </row>
    <row r="461" spans="1:44" s="16" customFormat="1" ht="30.95" hidden="1" customHeight="1" x14ac:dyDescent="0.2">
      <c r="A461" s="35" t="s">
        <v>1201</v>
      </c>
      <c r="B461" s="36" t="s">
        <v>1202</v>
      </c>
      <c r="C461" s="43"/>
      <c r="D461" s="29"/>
      <c r="E461" s="29"/>
      <c r="F461" s="255"/>
      <c r="G461" s="256"/>
      <c r="H461" s="256"/>
      <c r="I461" s="200"/>
      <c r="J461" s="30"/>
      <c r="K461" s="200"/>
      <c r="L461" s="200"/>
      <c r="M461" s="37"/>
      <c r="N461" s="37"/>
      <c r="O461" s="45"/>
      <c r="P461" s="54"/>
      <c r="Q461" s="260"/>
      <c r="R461" s="261"/>
      <c r="S461" s="261"/>
      <c r="T461" s="38"/>
      <c r="U461" s="261"/>
      <c r="V461" s="256"/>
      <c r="W461" s="256"/>
      <c r="X461" s="256"/>
      <c r="Y461" s="256"/>
      <c r="Z461" s="54"/>
      <c r="AA461" s="200"/>
      <c r="AB461" s="31"/>
      <c r="AC461" s="184"/>
      <c r="AD461" s="51"/>
      <c r="AE461" s="52"/>
      <c r="AF461" s="41"/>
      <c r="AG461" s="45"/>
      <c r="AH461" s="28"/>
      <c r="AI461" s="28"/>
      <c r="AJ461" s="28"/>
      <c r="AK461" s="28"/>
      <c r="AL461" s="12"/>
      <c r="AM461" s="12"/>
      <c r="AN461" s="12"/>
      <c r="AO461" s="12"/>
      <c r="AP461" s="12"/>
      <c r="AQ461" s="13"/>
      <c r="AR461" s="14"/>
    </row>
    <row r="462" spans="1:44" s="16" customFormat="1" ht="30.95" hidden="1" customHeight="1" x14ac:dyDescent="0.2">
      <c r="A462" s="35"/>
      <c r="B462" s="36"/>
      <c r="C462" s="43"/>
      <c r="D462" s="29"/>
      <c r="E462" s="29"/>
      <c r="F462" s="255"/>
      <c r="G462" s="256"/>
      <c r="H462" s="256"/>
      <c r="I462" s="200"/>
      <c r="J462" s="30"/>
      <c r="K462" s="200"/>
      <c r="L462" s="200"/>
      <c r="M462" s="37"/>
      <c r="N462" s="37"/>
      <c r="O462" s="45"/>
      <c r="P462" s="54"/>
      <c r="Q462" s="260"/>
      <c r="R462" s="261"/>
      <c r="S462" s="261"/>
      <c r="T462" s="38"/>
      <c r="U462" s="261"/>
      <c r="V462" s="256"/>
      <c r="W462" s="256"/>
      <c r="X462" s="256"/>
      <c r="Y462" s="256"/>
      <c r="Z462" s="54"/>
      <c r="AA462" s="200"/>
      <c r="AB462" s="31"/>
      <c r="AC462" s="184"/>
      <c r="AD462" s="51"/>
      <c r="AE462" s="52"/>
      <c r="AF462" s="41"/>
      <c r="AG462" s="45"/>
      <c r="AH462" s="28"/>
      <c r="AI462" s="28"/>
      <c r="AJ462" s="28"/>
      <c r="AK462" s="28"/>
      <c r="AL462" s="12"/>
      <c r="AM462" s="12"/>
      <c r="AN462" s="12"/>
      <c r="AO462" s="12"/>
      <c r="AP462" s="12"/>
      <c r="AQ462" s="13"/>
      <c r="AR462" s="14"/>
    </row>
    <row r="463" spans="1:44" s="16" customFormat="1" ht="30.95" hidden="1" customHeight="1" x14ac:dyDescent="0.2">
      <c r="A463" s="35" t="s">
        <v>1180</v>
      </c>
      <c r="B463" s="36" t="s">
        <v>443</v>
      </c>
      <c r="C463" s="43"/>
      <c r="D463" s="29">
        <v>3708711</v>
      </c>
      <c r="E463" s="29">
        <v>4151353</v>
      </c>
      <c r="F463" s="255" t="str">
        <f>IF(D463="","",VLOOKUP(D463,契約台帳!$A$3:$K$4986,6,FALSE)&amp;VLOOKUP(D463,契約台帳!$A$3:$K$4986,7,FALSE)&amp;VLOOKUP(D463,契約台帳!$A$3:$K$4986,8,FALSE)&amp;VLOOKUP(D463,契約台帳!$A$3:$K$4986,9,FALSE)&amp;VLOOKUP(D463,契約台帳!$A$3:$K$4986,11,FALSE))</f>
        <v>3SNMLBMNGTBF</v>
      </c>
      <c r="G463" s="256" t="str">
        <f>IF(D463="","",VLOOKUP(F463,製品マスタ!$G$5:$H$4999,2,FALSE))</f>
        <v>S</v>
      </c>
      <c r="H463" s="256" t="str">
        <f>IF(D463="","",VLOOKUP(F463,製品マスタ!$G$5:$K$4999,5,FALSE))</f>
        <v>MNGTBF</v>
      </c>
      <c r="I463" s="200" t="str">
        <f>IF(D463="","",VLOOKUP(F463,製品マスタ!$G$5:$L$4999,6,FALSE))</f>
        <v>メタルミー　ネーマー　銀艶　Ｂ</v>
      </c>
      <c r="J463" s="30" t="s">
        <v>447</v>
      </c>
      <c r="K463" s="200">
        <f>IF(D463="","",VLOOKUP(D463,契約台帳!$A$3:$L$4986,12,FALSE))</f>
        <v>50</v>
      </c>
      <c r="L463" s="200" t="str">
        <f>IF(D463="","",INDEX(製品マスタ!$Q$5:$Q$4999,MATCH(F463&amp;K463,製品マスタ!$AO$5:$AO$4999,0)))</f>
        <v>T62</v>
      </c>
      <c r="M463" s="37">
        <v>1120</v>
      </c>
      <c r="N463" s="37">
        <v>10000</v>
      </c>
      <c r="O463" s="45">
        <v>4</v>
      </c>
      <c r="P463" s="54"/>
      <c r="Q463" s="260">
        <f>IF(D463="","",IF(J463="リード付け",M463,VLOOKUP(D463,契約台帳!$A$3:$N$4986,14,FALSE)))</f>
        <v>1120</v>
      </c>
      <c r="R463" s="261">
        <f>IF(D463="","",IF(J463="リード付け",M463,VLOOKUP(D463,契約台帳!$A$3:$O$4986,15,FALSE)))</f>
        <v>1120</v>
      </c>
      <c r="S463" s="261">
        <f>IF(D463="","",IF(J463="リード付け",N463,VLOOKUP(D463,契約台帳!$A$3:$P$4986,16,FALSE)))</f>
        <v>5000</v>
      </c>
      <c r="T463" s="38">
        <v>8</v>
      </c>
      <c r="U463" s="261">
        <f ca="1">IF(D463="","",IF(OFFSET(D463,-2,0)=D463,"",VLOOKUP(D463,契約台帳!$A$3:$R$4986,18,FALSE)))</f>
        <v>15</v>
      </c>
      <c r="V463" s="256" t="str">
        <f>IF(J463="巻返し",VLOOKUP(F463&amp;K463&amp;M463,製品マスタ!$M$5:$AD$4999,18,FALSE),IF(J463="リード付け","原反コア",IF(J463="スリット",VLOOKUP(F463&amp;K463&amp;Q463,製品マスタ!$N$5:$AD$4999,17,FALSE),"")))</f>
        <v>6ｲﾝﾁSｺｱ</v>
      </c>
      <c r="W463" s="256">
        <f>IF(J463="巻返し",VLOOKUP(F463&amp;K463&amp;M463,製品マスタ!$M$5:$AE$4999,19,FALSE),IF(J463="リード付け","-",IF(J463="スリット",VLOOKUP(F463&amp;K463&amp;Q463,製品マスタ!$N$5:$AE$4999,18,FALSE),"")))</f>
        <v>1125</v>
      </c>
      <c r="X463" s="256">
        <f>IF(D463="","",VLOOKUP(D463,契約台帳!$A$3:$Q$4986,17,FALSE))</f>
        <v>2</v>
      </c>
      <c r="Y463" s="256" t="str">
        <f>IF(D463="","",VLOOKUP(D463,契約台帳!$A$3:$E$4986,5,FALSE))</f>
        <v>リンテック㈱</v>
      </c>
      <c r="Z463" s="54">
        <v>45090</v>
      </c>
      <c r="AA463" s="200" t="str">
        <f>IFERROR(VLOOKUP(F463&amp;K463&amp;M463,製品マスタ!$M$5:$AM$4999,27,FALSE),"")</f>
        <v>原反ケース再利用</v>
      </c>
      <c r="AB463" s="31"/>
      <c r="AC463" s="184"/>
      <c r="AD463" s="51" t="str">
        <f>IF(F463="","",+F463&amp;K463)</f>
        <v>3SNMLBMNGTBF50</v>
      </c>
      <c r="AE463" s="52">
        <f>+M463*N463*O463/1000</f>
        <v>44800</v>
      </c>
      <c r="AF463" s="41">
        <f>IF(AD463="","",VLOOKUP(AD463,原価マスタ!$A$2:$AJ$1693,13,FALSE))</f>
        <v>99</v>
      </c>
      <c r="AG463" s="45">
        <f>IF(AF463="","",+AE463*AF463/100)</f>
        <v>44352</v>
      </c>
      <c r="AH463" s="28"/>
      <c r="AI463" s="28"/>
      <c r="AJ463" s="28"/>
      <c r="AK463" s="28"/>
      <c r="AL463" s="12"/>
      <c r="AM463" s="12"/>
      <c r="AN463" s="12"/>
      <c r="AO463" s="12"/>
      <c r="AP463" s="12"/>
      <c r="AQ463" s="13"/>
      <c r="AR463" s="14"/>
    </row>
    <row r="464" spans="1:44" s="16" customFormat="1" ht="30.95" hidden="1" customHeight="1" x14ac:dyDescent="0.2">
      <c r="A464" s="35"/>
      <c r="B464" s="36"/>
      <c r="C464" s="43"/>
      <c r="D464" s="29"/>
      <c r="E464" s="29"/>
      <c r="F464" s="255"/>
      <c r="G464" s="256"/>
      <c r="H464" s="256"/>
      <c r="I464" s="200"/>
      <c r="J464" s="30"/>
      <c r="K464" s="200"/>
      <c r="L464" s="200"/>
      <c r="M464" s="37"/>
      <c r="N464" s="37"/>
      <c r="O464" s="45"/>
      <c r="P464" s="54"/>
      <c r="Q464" s="260"/>
      <c r="R464" s="261"/>
      <c r="S464" s="261"/>
      <c r="T464" s="38"/>
      <c r="U464" s="261"/>
      <c r="V464" s="256"/>
      <c r="W464" s="256"/>
      <c r="X464" s="256"/>
      <c r="Y464" s="256"/>
      <c r="Z464" s="54"/>
      <c r="AA464" s="200"/>
      <c r="AB464" s="31"/>
      <c r="AC464" s="184"/>
      <c r="AD464" s="51"/>
      <c r="AE464" s="52"/>
      <c r="AF464" s="41"/>
      <c r="AG464" s="45"/>
      <c r="AH464" s="28"/>
      <c r="AI464" s="28"/>
      <c r="AJ464" s="28"/>
      <c r="AK464" s="28"/>
      <c r="AL464" s="12"/>
      <c r="AM464" s="12"/>
      <c r="AN464" s="12"/>
      <c r="AO464" s="12"/>
      <c r="AP464" s="12"/>
      <c r="AQ464" s="13"/>
      <c r="AR464" s="14"/>
    </row>
    <row r="465" spans="1:44" s="16" customFormat="1" ht="30.95" hidden="1" customHeight="1" x14ac:dyDescent="0.2">
      <c r="A465" s="35" t="s">
        <v>1203</v>
      </c>
      <c r="B465" s="36" t="s">
        <v>1192</v>
      </c>
      <c r="C465" s="43"/>
      <c r="D465" s="29">
        <v>3708711</v>
      </c>
      <c r="E465" s="29">
        <v>4151353</v>
      </c>
      <c r="F465" s="255" t="str">
        <f>IF(D465="","",VLOOKUP(D465,契約台帳!$A$3:$K$4986,6,FALSE)&amp;VLOOKUP(D465,契約台帳!$A$3:$K$4986,7,FALSE)&amp;VLOOKUP(D465,契約台帳!$A$3:$K$4986,8,FALSE)&amp;VLOOKUP(D465,契約台帳!$A$3:$K$4986,9,FALSE)&amp;VLOOKUP(D465,契約台帳!$A$3:$K$4986,11,FALSE))</f>
        <v>3SNMLBMNGTBF</v>
      </c>
      <c r="G465" s="256" t="str">
        <f>IF(D465="","",VLOOKUP(F465,製品マスタ!$G$5:$H$4999,2,FALSE))</f>
        <v>S</v>
      </c>
      <c r="H465" s="256" t="str">
        <f>IF(D465="","",VLOOKUP(F465,製品マスタ!$G$5:$K$4999,5,FALSE))</f>
        <v>MNGTBF</v>
      </c>
      <c r="I465" s="200" t="str">
        <f>IF(D465="","",VLOOKUP(F465,製品マスタ!$G$5:$L$4999,6,FALSE))</f>
        <v>メタルミー　ネーマー　銀艶　Ｂ</v>
      </c>
      <c r="J465" s="30" t="s">
        <v>447</v>
      </c>
      <c r="K465" s="200">
        <f>IF(D465="","",VLOOKUP(D465,契約台帳!$A$3:$L$4986,12,FALSE))</f>
        <v>50</v>
      </c>
      <c r="L465" s="200" t="str">
        <f>IF(D465="","",INDEX(製品マスタ!$Q$5:$Q$4999,MATCH(F465&amp;K465,製品マスタ!$AO$5:$AO$4999,0)))</f>
        <v>T62</v>
      </c>
      <c r="M465" s="37">
        <v>1120</v>
      </c>
      <c r="N465" s="37">
        <v>10000</v>
      </c>
      <c r="O465" s="45">
        <v>3</v>
      </c>
      <c r="P465" s="54"/>
      <c r="Q465" s="260">
        <f>IF(D465="","",IF(J465="リード付け",M465,VLOOKUP(D465,契約台帳!$A$3:$N$4986,14,FALSE)))</f>
        <v>1120</v>
      </c>
      <c r="R465" s="261">
        <f>IF(D465="","",IF(J465="リード付け",M465,VLOOKUP(D465,契約台帳!$A$3:$O$4986,15,FALSE)))</f>
        <v>1120</v>
      </c>
      <c r="S465" s="261">
        <f>IF(D465="","",IF(J465="リード付け",N465,VLOOKUP(D465,契約台帳!$A$3:$P$4986,16,FALSE)))</f>
        <v>5000</v>
      </c>
      <c r="T465" s="38">
        <v>6</v>
      </c>
      <c r="U465" s="261" t="str">
        <f ca="1">IF(D465="","",IF(OFFSET(D465,-2,0)=D465,"",VLOOKUP(D465,契約台帳!$A$3:$R$4986,18,FALSE)))</f>
        <v/>
      </c>
      <c r="V465" s="256" t="str">
        <f>IF(J465="巻返し",VLOOKUP(F465&amp;K465&amp;M465,製品マスタ!$M$5:$AD$4999,18,FALSE),IF(J465="リード付け","原反コア",IF(J465="スリット",VLOOKUP(F465&amp;K465&amp;Q465,製品マスタ!$N$5:$AD$4999,17,FALSE),"")))</f>
        <v>6ｲﾝﾁSｺｱ</v>
      </c>
      <c r="W465" s="256">
        <f>IF(J465="巻返し",VLOOKUP(F465&amp;K465&amp;M465,製品マスタ!$M$5:$AE$4999,19,FALSE),IF(J465="リード付け","-",IF(J465="スリット",VLOOKUP(F465&amp;K465&amp;Q465,製品マスタ!$N$5:$AE$4999,18,FALSE),"")))</f>
        <v>1125</v>
      </c>
      <c r="X465" s="256">
        <f>IF(D465="","",VLOOKUP(D465,契約台帳!$A$3:$Q$4986,17,FALSE))</f>
        <v>2</v>
      </c>
      <c r="Y465" s="256" t="str">
        <f>IF(D465="","",VLOOKUP(D465,契約台帳!$A$3:$E$4986,5,FALSE))</f>
        <v>リンテック㈱</v>
      </c>
      <c r="Z465" s="54">
        <v>45090</v>
      </c>
      <c r="AA465" s="200" t="str">
        <f>IFERROR(VLOOKUP(F465&amp;K465&amp;M465,製品マスタ!$M$5:$AM$4999,27,FALSE),"")</f>
        <v>原反ケース再利用</v>
      </c>
      <c r="AB465" s="31"/>
      <c r="AC465" s="184"/>
      <c r="AD465" s="51" t="str">
        <f>IF(F465="","",+F465&amp;K465)</f>
        <v>3SNMLBMNGTBF50</v>
      </c>
      <c r="AE465" s="52">
        <f>+M465*N465*O465/1000</f>
        <v>33600</v>
      </c>
      <c r="AF465" s="41">
        <f>IF(AD465="","",VLOOKUP(AD465,原価マスタ!$A$2:$AJ$1693,13,FALSE))</f>
        <v>99</v>
      </c>
      <c r="AG465" s="45">
        <f>IF(AF465="","",+AE465*AF465/100)</f>
        <v>33264</v>
      </c>
      <c r="AH465" s="28"/>
      <c r="AI465" s="28"/>
      <c r="AJ465" s="28"/>
      <c r="AK465" s="28"/>
      <c r="AL465" s="12"/>
      <c r="AM465" s="12"/>
      <c r="AN465" s="12"/>
      <c r="AO465" s="12"/>
      <c r="AP465" s="12"/>
      <c r="AQ465" s="13"/>
      <c r="AR465" s="14"/>
    </row>
    <row r="466" spans="1:44" s="16" customFormat="1" ht="30.95" hidden="1" customHeight="1" x14ac:dyDescent="0.2">
      <c r="A466" s="35"/>
      <c r="B466" s="36"/>
      <c r="C466" s="43"/>
      <c r="D466" s="29"/>
      <c r="E466" s="29"/>
      <c r="F466" s="255"/>
      <c r="G466" s="256"/>
      <c r="H466" s="256"/>
      <c r="I466" s="200"/>
      <c r="J466" s="30"/>
      <c r="K466" s="200"/>
      <c r="L466" s="200"/>
      <c r="M466" s="37"/>
      <c r="N466" s="37"/>
      <c r="O466" s="45"/>
      <c r="P466" s="54"/>
      <c r="Q466" s="260"/>
      <c r="R466" s="261"/>
      <c r="S466" s="261"/>
      <c r="T466" s="38"/>
      <c r="U466" s="261"/>
      <c r="V466" s="256"/>
      <c r="W466" s="256"/>
      <c r="X466" s="256"/>
      <c r="Y466" s="256"/>
      <c r="Z466" s="54"/>
      <c r="AA466" s="200"/>
      <c r="AB466" s="31"/>
      <c r="AC466" s="184"/>
      <c r="AD466" s="51"/>
      <c r="AE466" s="52"/>
      <c r="AF466" s="41"/>
      <c r="AG466" s="45"/>
      <c r="AH466" s="28"/>
      <c r="AI466" s="28"/>
      <c r="AJ466" s="28"/>
      <c r="AK466" s="28"/>
      <c r="AL466" s="12"/>
      <c r="AM466" s="12"/>
      <c r="AN466" s="12"/>
      <c r="AO466" s="12"/>
      <c r="AP466" s="12"/>
      <c r="AQ466" s="13"/>
      <c r="AR466" s="14"/>
    </row>
    <row r="467" spans="1:44" s="16" customFormat="1" ht="30.95" hidden="1" customHeight="1" x14ac:dyDescent="0.2">
      <c r="A467" s="35"/>
      <c r="B467" s="36"/>
      <c r="C467" s="43"/>
      <c r="D467" s="29">
        <v>3708711</v>
      </c>
      <c r="E467" s="29">
        <v>4151353</v>
      </c>
      <c r="F467" s="255" t="str">
        <f>IF(D467="","",VLOOKUP(D467,契約台帳!$A$3:$K$4986,6,FALSE)&amp;VLOOKUP(D467,契約台帳!$A$3:$K$4986,7,FALSE)&amp;VLOOKUP(D467,契約台帳!$A$3:$K$4986,8,FALSE)&amp;VLOOKUP(D467,契約台帳!$A$3:$K$4986,9,FALSE)&amp;VLOOKUP(D467,契約台帳!$A$3:$K$4986,11,FALSE))</f>
        <v>3SNMLBMNGTBF</v>
      </c>
      <c r="G467" s="256" t="str">
        <f>IF(D467="","",VLOOKUP(F467,製品マスタ!$G$5:$H$4999,2,FALSE))</f>
        <v>S</v>
      </c>
      <c r="H467" s="256" t="str">
        <f>IF(D467="","",VLOOKUP(F467,製品マスタ!$G$5:$K$4999,5,FALSE))</f>
        <v>MNGTBF</v>
      </c>
      <c r="I467" s="200" t="str">
        <f>IF(D467="","",VLOOKUP(F467,製品マスタ!$G$5:$L$4999,6,FALSE))</f>
        <v>メタルミー　ネーマー　銀艶　Ｂ</v>
      </c>
      <c r="J467" s="30" t="s">
        <v>447</v>
      </c>
      <c r="K467" s="200">
        <f>IF(D467="","",VLOOKUP(D467,契約台帳!$A$3:$L$4986,12,FALSE))</f>
        <v>50</v>
      </c>
      <c r="L467" s="200" t="str">
        <f>IF(D467="","",INDEX(製品マスタ!$Q$5:$Q$4999,MATCH(F467&amp;K467,製品マスタ!$AO$5:$AO$4999,0)))</f>
        <v>T62</v>
      </c>
      <c r="M467" s="37">
        <v>1120</v>
      </c>
      <c r="N467" s="37">
        <v>10000</v>
      </c>
      <c r="O467" s="45">
        <v>1</v>
      </c>
      <c r="P467" s="54"/>
      <c r="Q467" s="260">
        <f>IF(D467="","",IF(J467="リード付け",M467,VLOOKUP(D467,契約台帳!$A$3:$N$4986,14,FALSE)))</f>
        <v>1120</v>
      </c>
      <c r="R467" s="261">
        <f>IF(D467="","",IF(J467="リード付け",M467,VLOOKUP(D467,契約台帳!$A$3:$O$4986,15,FALSE)))</f>
        <v>1120</v>
      </c>
      <c r="S467" s="261">
        <f>IF(D467="","",IF(J467="リード付け",N467,VLOOKUP(D467,契約台帳!$A$3:$P$4986,16,FALSE)))</f>
        <v>5000</v>
      </c>
      <c r="T467" s="38">
        <v>1</v>
      </c>
      <c r="U467" s="261" t="str">
        <f ca="1">IF(D467="","",IF(OFFSET(D467,-2,0)=D467,"",VLOOKUP(D467,契約台帳!$A$3:$R$4986,18,FALSE)))</f>
        <v/>
      </c>
      <c r="V467" s="256" t="str">
        <f>IF(J467="巻返し",VLOOKUP(F467&amp;K467&amp;M467,製品マスタ!$M$5:$AD$4999,18,FALSE),IF(J467="リード付け","原反コア",IF(J467="スリット",VLOOKUP(F467&amp;K467&amp;Q467,製品マスタ!$N$5:$AD$4999,17,FALSE),"")))</f>
        <v>6ｲﾝﾁSｺｱ</v>
      </c>
      <c r="W467" s="256">
        <f>IF(J467="巻返し",VLOOKUP(F467&amp;K467&amp;M467,製品マスタ!$M$5:$AE$4999,19,FALSE),IF(J467="リード付け","-",IF(J467="スリット",VLOOKUP(F467&amp;K467&amp;Q467,製品マスタ!$N$5:$AE$4999,18,FALSE),"")))</f>
        <v>1125</v>
      </c>
      <c r="X467" s="256">
        <f>IF(D467="","",VLOOKUP(D467,契約台帳!$A$3:$Q$4986,17,FALSE))</f>
        <v>2</v>
      </c>
      <c r="Y467" s="256" t="str">
        <f>IF(D467="","",VLOOKUP(D467,契約台帳!$A$3:$E$4986,5,FALSE))</f>
        <v>リンテック㈱</v>
      </c>
      <c r="Z467" s="54">
        <v>45090</v>
      </c>
      <c r="AA467" s="200" t="str">
        <f>IFERROR(VLOOKUP(F467&amp;K467&amp;M467,製品マスタ!$M$5:$AM$4999,27,FALSE),"")</f>
        <v>原反ケース再利用</v>
      </c>
      <c r="AB467" s="31"/>
      <c r="AC467" s="184"/>
      <c r="AD467" s="51" t="str">
        <f>IF(F467="","",+F467&amp;K467)</f>
        <v>3SNMLBMNGTBF50</v>
      </c>
      <c r="AE467" s="52">
        <f>+M467*N467*O467/1000</f>
        <v>11200</v>
      </c>
      <c r="AF467" s="41">
        <f>IF(AD467="","",VLOOKUP(AD467,原価マスタ!$A$2:$AJ$1693,13,FALSE))</f>
        <v>99</v>
      </c>
      <c r="AG467" s="45">
        <f>IF(AF467="","",+AE467*AF467/100)</f>
        <v>11088</v>
      </c>
      <c r="AH467" s="28"/>
      <c r="AI467" s="28"/>
      <c r="AJ467" s="28"/>
      <c r="AK467" s="28"/>
      <c r="AL467" s="12"/>
      <c r="AM467" s="12"/>
      <c r="AN467" s="12"/>
      <c r="AO467" s="12"/>
      <c r="AP467" s="12"/>
      <c r="AQ467" s="13"/>
      <c r="AR467" s="14"/>
    </row>
    <row r="468" spans="1:44" s="16" customFormat="1" ht="30.95" hidden="1" customHeight="1" x14ac:dyDescent="0.2">
      <c r="A468" s="35"/>
      <c r="B468" s="36"/>
      <c r="C468" s="43"/>
      <c r="D468" s="29">
        <v>3708713</v>
      </c>
      <c r="E468" s="29"/>
      <c r="F468" s="255" t="str">
        <f>IF(D468="","",VLOOKUP(D468,契約台帳!$A$3:$K$4986,6,FALSE)&amp;VLOOKUP(D468,契約台帳!$A$3:$K$4986,7,FALSE)&amp;VLOOKUP(D468,契約台帳!$A$3:$K$4986,8,FALSE)&amp;VLOOKUP(D468,契約台帳!$A$3:$K$4986,9,FALSE)&amp;VLOOKUP(D468,契約台帳!$A$3:$K$4986,11,FALSE))</f>
        <v>3SNMLBMNGTBF</v>
      </c>
      <c r="G468" s="256" t="str">
        <f>IF(D468="","",VLOOKUP(F468,製品マスタ!$G$5:$H$4999,2,FALSE))</f>
        <v>S</v>
      </c>
      <c r="H468" s="256" t="str">
        <f>IF(D468="","",VLOOKUP(F468,製品マスタ!$G$5:$K$4999,5,FALSE))</f>
        <v>MNGTBF</v>
      </c>
      <c r="I468" s="200" t="str">
        <f>IF(D468="","",VLOOKUP(F468,製品マスタ!$G$5:$L$4999,6,FALSE))</f>
        <v>メタルミー　ネーマー　銀艶　Ｂ</v>
      </c>
      <c r="J468" s="30" t="s">
        <v>447</v>
      </c>
      <c r="K468" s="200">
        <f>IF(D468="","",VLOOKUP(D468,契約台帳!$A$3:$L$4986,12,FALSE))</f>
        <v>50</v>
      </c>
      <c r="L468" s="200" t="str">
        <f>IF(D468="","",INDEX(製品マスタ!$Q$5:$Q$4999,MATCH(F468&amp;K468,製品マスタ!$AO$5:$AO$4999,0)))</f>
        <v>T62</v>
      </c>
      <c r="M468" s="37">
        <v>1120</v>
      </c>
      <c r="N468" s="37"/>
      <c r="O468" s="45"/>
      <c r="P468" s="54"/>
      <c r="Q468" s="260">
        <f>IF(D468="","",IF(J468="リード付け",M468,VLOOKUP(D468,契約台帳!$A$3:$N$4986,14,FALSE)))</f>
        <v>1120</v>
      </c>
      <c r="R468" s="261">
        <f>IF(D468="","",IF(J468="リード付け",M468,VLOOKUP(D468,契約台帳!$A$3:$O$4986,15,FALSE)))</f>
        <v>1120</v>
      </c>
      <c r="S468" s="261">
        <f>IF(D468="","",IF(J468="リード付け",N468,VLOOKUP(D468,契約台帳!$A$3:$P$4986,16,FALSE)))</f>
        <v>5000</v>
      </c>
      <c r="T468" s="38">
        <v>1</v>
      </c>
      <c r="U468" s="261">
        <f ca="1">IF(D468="","",IF(OFFSET(D468,-2,0)=D468,"",VLOOKUP(D468,契約台帳!$A$3:$R$4986,18,FALSE)))</f>
        <v>1</v>
      </c>
      <c r="V468" s="256" t="str">
        <f>IF(J468="巻返し",VLOOKUP(F468&amp;K468&amp;M468,製品マスタ!$M$5:$AD$4999,18,FALSE),IF(J468="リード付け","原反コア",IF(J468="スリット",VLOOKUP(F468&amp;K468&amp;Q468,製品マスタ!$N$5:$AD$4999,17,FALSE),"")))</f>
        <v>6ｲﾝﾁSｺｱ</v>
      </c>
      <c r="W468" s="256">
        <f>IF(J468="巻返し",VLOOKUP(F468&amp;K468&amp;M468,製品マスタ!$M$5:$AE$4999,19,FALSE),IF(J468="リード付け","-",IF(J468="スリット",VLOOKUP(F468&amp;K468&amp;Q468,製品マスタ!$N$5:$AE$4999,18,FALSE),"")))</f>
        <v>1125</v>
      </c>
      <c r="X468" s="256">
        <f>IF(D468="","",VLOOKUP(D468,契約台帳!$A$3:$Q$4986,17,FALSE))</f>
        <v>2</v>
      </c>
      <c r="Y468" s="256" t="str">
        <f>IF(D468="","",VLOOKUP(D468,契約台帳!$A$3:$E$4986,5,FALSE))</f>
        <v>リンテック㈱</v>
      </c>
      <c r="Z468" s="54"/>
      <c r="AA468" s="200" t="str">
        <f>IFERROR(VLOOKUP(F468&amp;K468&amp;M468,製品マスタ!$M$5:$AM$4999,27,FALSE),"")</f>
        <v>原反ケース再利用</v>
      </c>
      <c r="AB468" s="31"/>
      <c r="AC468" s="184"/>
      <c r="AD468" s="51" t="str">
        <f>IF(F468="","",+F468&amp;K468)</f>
        <v>3SNMLBMNGTBF50</v>
      </c>
      <c r="AE468" s="52">
        <f>+M468*N468*O468/1000</f>
        <v>0</v>
      </c>
      <c r="AF468" s="41">
        <f>IF(AD468="","",VLOOKUP(AD468,原価マスタ!$A$2:$AJ$1693,13,FALSE))</f>
        <v>99</v>
      </c>
      <c r="AG468" s="45">
        <f>IF(AF468="","",+AE468*AF468/100)</f>
        <v>0</v>
      </c>
      <c r="AH468" s="28"/>
      <c r="AI468" s="28"/>
      <c r="AJ468" s="28"/>
      <c r="AK468" s="28"/>
      <c r="AL468" s="12"/>
      <c r="AM468" s="12"/>
      <c r="AN468" s="12"/>
      <c r="AO468" s="12"/>
      <c r="AP468" s="12"/>
      <c r="AQ468" s="13"/>
      <c r="AR468" s="14"/>
    </row>
    <row r="469" spans="1:44" s="16" customFormat="1" ht="30.95" hidden="1" customHeight="1" x14ac:dyDescent="0.2">
      <c r="A469" s="35" t="s">
        <v>1204</v>
      </c>
      <c r="B469" s="36" t="s">
        <v>1194</v>
      </c>
      <c r="C469" s="43"/>
      <c r="D469" s="29"/>
      <c r="E469" s="29"/>
      <c r="F469" s="255"/>
      <c r="G469" s="256"/>
      <c r="H469" s="256"/>
      <c r="I469" s="200"/>
      <c r="J469" s="30" t="s">
        <v>448</v>
      </c>
      <c r="K469" s="200"/>
      <c r="L469" s="200"/>
      <c r="M469" s="37"/>
      <c r="N469" s="37"/>
      <c r="O469" s="45"/>
      <c r="P469" s="54"/>
      <c r="Q469" s="260"/>
      <c r="R469" s="261"/>
      <c r="S469" s="261"/>
      <c r="T469" s="38"/>
      <c r="U469" s="261"/>
      <c r="V469" s="256"/>
      <c r="W469" s="256"/>
      <c r="X469" s="256"/>
      <c r="Y469" s="256"/>
      <c r="Z469" s="54"/>
      <c r="AA469" s="200"/>
      <c r="AB469" s="31"/>
      <c r="AC469" s="184"/>
      <c r="AD469" s="51"/>
      <c r="AE469" s="52"/>
      <c r="AF469" s="41"/>
      <c r="AG469" s="45"/>
      <c r="AH469" s="28"/>
      <c r="AI469" s="28"/>
      <c r="AJ469" s="28"/>
      <c r="AK469" s="28"/>
      <c r="AL469" s="12"/>
      <c r="AM469" s="12"/>
      <c r="AN469" s="12"/>
      <c r="AO469" s="12"/>
      <c r="AP469" s="12"/>
      <c r="AQ469" s="13"/>
      <c r="AR469" s="14"/>
    </row>
    <row r="470" spans="1:44" s="16" customFormat="1" ht="30.95" hidden="1" customHeight="1" x14ac:dyDescent="0.2">
      <c r="A470" s="35"/>
      <c r="B470" s="36"/>
      <c r="C470" s="43"/>
      <c r="D470" s="29"/>
      <c r="E470" s="29"/>
      <c r="F470" s="255"/>
      <c r="G470" s="256"/>
      <c r="H470" s="256"/>
      <c r="I470" s="200"/>
      <c r="J470" s="30"/>
      <c r="K470" s="200"/>
      <c r="L470" s="200"/>
      <c r="M470" s="37"/>
      <c r="N470" s="37"/>
      <c r="O470" s="45"/>
      <c r="P470" s="54"/>
      <c r="Q470" s="260"/>
      <c r="R470" s="261"/>
      <c r="S470" s="261"/>
      <c r="T470" s="38"/>
      <c r="U470" s="261"/>
      <c r="V470" s="256"/>
      <c r="W470" s="256"/>
      <c r="X470" s="256"/>
      <c r="Y470" s="256"/>
      <c r="Z470" s="54"/>
      <c r="AA470" s="200"/>
      <c r="AB470" s="31"/>
      <c r="AC470" s="184"/>
      <c r="AD470" s="51"/>
      <c r="AE470" s="52"/>
      <c r="AF470" s="41"/>
      <c r="AG470" s="45"/>
      <c r="AH470" s="28"/>
      <c r="AI470" s="28"/>
      <c r="AJ470" s="28"/>
      <c r="AK470" s="28"/>
      <c r="AL470" s="12"/>
      <c r="AM470" s="12"/>
      <c r="AN470" s="12"/>
      <c r="AO470" s="12"/>
      <c r="AP470" s="12"/>
      <c r="AQ470" s="13"/>
      <c r="AR470" s="14"/>
    </row>
    <row r="471" spans="1:44" s="16" customFormat="1" ht="30.95" hidden="1" customHeight="1" x14ac:dyDescent="0.2">
      <c r="A471" s="35" t="s">
        <v>1205</v>
      </c>
      <c r="B471" s="36" t="s">
        <v>1196</v>
      </c>
      <c r="C471" s="43"/>
      <c r="D471" s="29"/>
      <c r="E471" s="29"/>
      <c r="F471" s="255"/>
      <c r="G471" s="256"/>
      <c r="H471" s="256"/>
      <c r="I471" s="200"/>
      <c r="J471" s="30" t="s">
        <v>448</v>
      </c>
      <c r="K471" s="200"/>
      <c r="L471" s="200"/>
      <c r="M471" s="37"/>
      <c r="N471" s="37"/>
      <c r="O471" s="45"/>
      <c r="P471" s="54"/>
      <c r="Q471" s="260"/>
      <c r="R471" s="261"/>
      <c r="S471" s="261"/>
      <c r="T471" s="38"/>
      <c r="U471" s="261"/>
      <c r="V471" s="256"/>
      <c r="W471" s="256"/>
      <c r="X471" s="256"/>
      <c r="Y471" s="256"/>
      <c r="Z471" s="54"/>
      <c r="AA471" s="200"/>
      <c r="AB471" s="31"/>
      <c r="AC471" s="184"/>
      <c r="AD471" s="51"/>
      <c r="AE471" s="52"/>
      <c r="AF471" s="41"/>
      <c r="AG471" s="45"/>
      <c r="AH471" s="28"/>
      <c r="AI471" s="28"/>
      <c r="AJ471" s="28"/>
      <c r="AK471" s="28"/>
      <c r="AL471" s="12"/>
      <c r="AM471" s="12"/>
      <c r="AN471" s="12"/>
      <c r="AO471" s="12"/>
      <c r="AP471" s="12"/>
      <c r="AQ471" s="13"/>
      <c r="AR471" s="14"/>
    </row>
    <row r="472" spans="1:44" s="16" customFormat="1" ht="30.95" hidden="1" customHeight="1" x14ac:dyDescent="0.2">
      <c r="A472" s="35"/>
      <c r="B472" s="36"/>
      <c r="C472" s="43"/>
      <c r="D472" s="29"/>
      <c r="E472" s="29"/>
      <c r="F472" s="255"/>
      <c r="G472" s="256"/>
      <c r="H472" s="256"/>
      <c r="I472" s="200"/>
      <c r="J472" s="30"/>
      <c r="K472" s="200"/>
      <c r="L472" s="200"/>
      <c r="M472" s="37"/>
      <c r="N472" s="37"/>
      <c r="O472" s="45"/>
      <c r="P472" s="54"/>
      <c r="Q472" s="260"/>
      <c r="R472" s="261"/>
      <c r="S472" s="261"/>
      <c r="T472" s="38"/>
      <c r="U472" s="261"/>
      <c r="V472" s="256"/>
      <c r="W472" s="256"/>
      <c r="X472" s="256"/>
      <c r="Y472" s="256"/>
      <c r="Z472" s="54"/>
      <c r="AA472" s="200"/>
      <c r="AB472" s="31"/>
      <c r="AC472" s="184"/>
      <c r="AD472" s="51"/>
      <c r="AE472" s="52"/>
      <c r="AF472" s="41"/>
      <c r="AG472" s="45"/>
      <c r="AH472" s="28"/>
      <c r="AI472" s="28"/>
      <c r="AJ472" s="28"/>
      <c r="AK472" s="28"/>
      <c r="AL472" s="12"/>
      <c r="AM472" s="12"/>
      <c r="AN472" s="12"/>
      <c r="AO472" s="12"/>
      <c r="AP472" s="12"/>
      <c r="AQ472" s="13"/>
      <c r="AR472" s="14"/>
    </row>
    <row r="473" spans="1:44" s="16" customFormat="1" ht="30.95" hidden="1" customHeight="1" x14ac:dyDescent="0.2">
      <c r="A473" s="35" t="s">
        <v>1184</v>
      </c>
      <c r="B473" s="36" t="s">
        <v>462</v>
      </c>
      <c r="C473" s="43"/>
      <c r="D473" s="29">
        <v>3708712</v>
      </c>
      <c r="E473" s="29">
        <v>4151354</v>
      </c>
      <c r="F473" s="255" t="str">
        <f>IF(D473="","",VLOOKUP(D473,契約台帳!$A$3:$K$4986,6,FALSE)&amp;VLOOKUP(D473,契約台帳!$A$3:$K$4986,7,FALSE)&amp;VLOOKUP(D473,契約台帳!$A$3:$K$4986,8,FALSE)&amp;VLOOKUP(D473,契約台帳!$A$3:$K$4986,9,FALSE)&amp;VLOOKUP(D473,契約台帳!$A$3:$K$4986,11,FALSE))</f>
        <v>3SNMLBMNGTBF</v>
      </c>
      <c r="G473" s="256" t="str">
        <f>IF(D473="","",VLOOKUP(F473,製品マスタ!$G$5:$H$4999,2,FALSE))</f>
        <v>S</v>
      </c>
      <c r="H473" s="256" t="str">
        <f>IF(D473="","",VLOOKUP(F473,製品マスタ!$G$5:$K$4999,5,FALSE))</f>
        <v>MNGTBF</v>
      </c>
      <c r="I473" s="200" t="str">
        <f>IF(D473="","",VLOOKUP(F473,製品マスタ!$G$5:$L$4999,6,FALSE))</f>
        <v>メタルミー　ネーマー　銀艶　Ｂ</v>
      </c>
      <c r="J473" s="30" t="s">
        <v>447</v>
      </c>
      <c r="K473" s="200">
        <f>IF(D473="","",VLOOKUP(D473,契約台帳!$A$3:$L$4986,12,FALSE))</f>
        <v>50</v>
      </c>
      <c r="L473" s="200" t="str">
        <f>IF(D473="","",INDEX(製品マスタ!$Q$5:$Q$4999,MATCH(F473&amp;K473,製品マスタ!$AO$5:$AO$4999,0)))</f>
        <v>T62</v>
      </c>
      <c r="M473" s="37">
        <v>1120</v>
      </c>
      <c r="N473" s="37">
        <v>10000</v>
      </c>
      <c r="O473" s="45">
        <v>4</v>
      </c>
      <c r="P473" s="54"/>
      <c r="Q473" s="260">
        <f>IF(D473="","",IF(J473="リード付け",M473,VLOOKUP(D473,契約台帳!$A$3:$N$4986,14,FALSE)))</f>
        <v>1120</v>
      </c>
      <c r="R473" s="261">
        <f>IF(D473="","",IF(J473="リード付け",M473,VLOOKUP(D473,契約台帳!$A$3:$O$4986,15,FALSE)))</f>
        <v>1120</v>
      </c>
      <c r="S473" s="261">
        <f>IF(D473="","",IF(J473="リード付け",N473,VLOOKUP(D473,契約台帳!$A$3:$P$4986,16,FALSE)))</f>
        <v>5000</v>
      </c>
      <c r="T473" s="38">
        <v>8</v>
      </c>
      <c r="U473" s="261">
        <f ca="1">IF(D473="","",IF(OFFSET(D473,-2,0)=D473,"",VLOOKUP(D473,契約台帳!$A$3:$R$4986,18,FALSE)))</f>
        <v>14</v>
      </c>
      <c r="V473" s="256" t="str">
        <f>IF(J473="巻返し",VLOOKUP(F473&amp;K473&amp;M473,製品マスタ!$M$5:$AD$4999,18,FALSE),IF(J473="リード付け","原反コア",IF(J473="スリット",VLOOKUP(F473&amp;K473&amp;Q473,製品マスタ!$N$5:$AD$4999,17,FALSE),"")))</f>
        <v>6ｲﾝﾁSｺｱ</v>
      </c>
      <c r="W473" s="256">
        <f>IF(J473="巻返し",VLOOKUP(F473&amp;K473&amp;M473,製品マスタ!$M$5:$AE$4999,19,FALSE),IF(J473="リード付け","-",IF(J473="スリット",VLOOKUP(F473&amp;K473&amp;Q473,製品マスタ!$N$5:$AE$4999,18,FALSE),"")))</f>
        <v>1125</v>
      </c>
      <c r="X473" s="256">
        <f>IF(D473="","",VLOOKUP(D473,契約台帳!$A$3:$Q$4986,17,FALSE))</f>
        <v>2</v>
      </c>
      <c r="Y473" s="256" t="str">
        <f>IF(D473="","",VLOOKUP(D473,契約台帳!$A$3:$E$4986,5,FALSE))</f>
        <v>リンテック㈱</v>
      </c>
      <c r="Z473" s="54">
        <v>45091</v>
      </c>
      <c r="AA473" s="200" t="str">
        <f>IFERROR(VLOOKUP(F473&amp;K473&amp;M473,製品マスタ!$M$5:$AM$4999,27,FALSE),"")</f>
        <v>原反ケース再利用</v>
      </c>
      <c r="AB473" s="31"/>
      <c r="AC473" s="184"/>
      <c r="AD473" s="51" t="str">
        <f>IF(F473="","",+F473&amp;K473)</f>
        <v>3SNMLBMNGTBF50</v>
      </c>
      <c r="AE473" s="52">
        <f>+M473*N473*O473/1000</f>
        <v>44800</v>
      </c>
      <c r="AF473" s="41">
        <f>IF(AD473="","",VLOOKUP(AD473,原価マスタ!$A$2:$AJ$1693,13,FALSE))</f>
        <v>99</v>
      </c>
      <c r="AG473" s="45">
        <f>IF(AF473="","",+AE473*AF473/100)</f>
        <v>44352</v>
      </c>
      <c r="AH473" s="28"/>
      <c r="AI473" s="28"/>
      <c r="AJ473" s="28"/>
      <c r="AK473" s="28"/>
      <c r="AL473" s="12"/>
      <c r="AM473" s="12"/>
      <c r="AN473" s="12"/>
      <c r="AO473" s="12"/>
      <c r="AP473" s="12"/>
      <c r="AQ473" s="13"/>
      <c r="AR473" s="14"/>
    </row>
    <row r="474" spans="1:44" s="16" customFormat="1" ht="30.95" hidden="1" customHeight="1" x14ac:dyDescent="0.2">
      <c r="A474" s="35"/>
      <c r="B474" s="36"/>
      <c r="C474" s="43"/>
      <c r="D474" s="29"/>
      <c r="E474" s="29"/>
      <c r="F474" s="255"/>
      <c r="G474" s="256"/>
      <c r="H474" s="256"/>
      <c r="I474" s="200"/>
      <c r="J474" s="30"/>
      <c r="K474" s="200"/>
      <c r="L474" s="200"/>
      <c r="M474" s="37"/>
      <c r="N474" s="37"/>
      <c r="O474" s="45"/>
      <c r="P474" s="54"/>
      <c r="Q474" s="260"/>
      <c r="R474" s="261"/>
      <c r="S474" s="261"/>
      <c r="T474" s="38"/>
      <c r="U474" s="261"/>
      <c r="V474" s="256"/>
      <c r="W474" s="256"/>
      <c r="X474" s="256"/>
      <c r="Y474" s="256"/>
      <c r="Z474" s="54"/>
      <c r="AA474" s="200"/>
      <c r="AB474" s="31"/>
      <c r="AC474" s="184"/>
      <c r="AD474" s="51"/>
      <c r="AE474" s="52"/>
      <c r="AF474" s="41"/>
      <c r="AG474" s="45"/>
      <c r="AH474" s="28"/>
      <c r="AI474" s="28"/>
      <c r="AJ474" s="28"/>
      <c r="AK474" s="28"/>
      <c r="AL474" s="12"/>
      <c r="AM474" s="12"/>
      <c r="AN474" s="12"/>
      <c r="AO474" s="12"/>
      <c r="AP474" s="12"/>
      <c r="AQ474" s="13"/>
      <c r="AR474" s="14"/>
    </row>
    <row r="475" spans="1:44" s="16" customFormat="1" ht="30.95" hidden="1" customHeight="1" x14ac:dyDescent="0.2">
      <c r="A475" s="35" t="s">
        <v>1206</v>
      </c>
      <c r="B475" s="36" t="s">
        <v>688</v>
      </c>
      <c r="C475" s="43"/>
      <c r="D475" s="29">
        <v>3708712</v>
      </c>
      <c r="E475" s="29">
        <v>4151354</v>
      </c>
      <c r="F475" s="255" t="str">
        <f>IF(D475="","",VLOOKUP(D475,契約台帳!$A$3:$K$4986,6,FALSE)&amp;VLOOKUP(D475,契約台帳!$A$3:$K$4986,7,FALSE)&amp;VLOOKUP(D475,契約台帳!$A$3:$K$4986,8,FALSE)&amp;VLOOKUP(D475,契約台帳!$A$3:$K$4986,9,FALSE)&amp;VLOOKUP(D475,契約台帳!$A$3:$K$4986,11,FALSE))</f>
        <v>3SNMLBMNGTBF</v>
      </c>
      <c r="G475" s="256" t="str">
        <f>IF(D475="","",VLOOKUP(F475,製品マスタ!$G$5:$H$4999,2,FALSE))</f>
        <v>S</v>
      </c>
      <c r="H475" s="256" t="str">
        <f>IF(D475="","",VLOOKUP(F475,製品マスタ!$G$5:$K$4999,5,FALSE))</f>
        <v>MNGTBF</v>
      </c>
      <c r="I475" s="200" t="str">
        <f>IF(D475="","",VLOOKUP(F475,製品マスタ!$G$5:$L$4999,6,FALSE))</f>
        <v>メタルミー　ネーマー　銀艶　Ｂ</v>
      </c>
      <c r="J475" s="30" t="s">
        <v>447</v>
      </c>
      <c r="K475" s="200">
        <f>IF(D475="","",VLOOKUP(D475,契約台帳!$A$3:$L$4986,12,FALSE))</f>
        <v>50</v>
      </c>
      <c r="L475" s="200" t="str">
        <f>IF(D475="","",INDEX(製品マスタ!$Q$5:$Q$4999,MATCH(F475&amp;K475,製品マスタ!$AO$5:$AO$4999,0)))</f>
        <v>T62</v>
      </c>
      <c r="M475" s="37">
        <v>1120</v>
      </c>
      <c r="N475" s="37">
        <v>10000</v>
      </c>
      <c r="O475" s="45">
        <v>3</v>
      </c>
      <c r="P475" s="54"/>
      <c r="Q475" s="260">
        <f>IF(D475="","",IF(J475="リード付け",M475,VLOOKUP(D475,契約台帳!$A$3:$N$4986,14,FALSE)))</f>
        <v>1120</v>
      </c>
      <c r="R475" s="261">
        <f>IF(D475="","",IF(J475="リード付け",M475,VLOOKUP(D475,契約台帳!$A$3:$O$4986,15,FALSE)))</f>
        <v>1120</v>
      </c>
      <c r="S475" s="261">
        <f>IF(D475="","",IF(J475="リード付け",N475,VLOOKUP(D475,契約台帳!$A$3:$P$4986,16,FALSE)))</f>
        <v>5000</v>
      </c>
      <c r="T475" s="38">
        <v>6</v>
      </c>
      <c r="U475" s="261" t="str">
        <f ca="1">IF(D475="","",IF(OFFSET(D475,-2,0)=D475,"",VLOOKUP(D475,契約台帳!$A$3:$R$4986,18,FALSE)))</f>
        <v/>
      </c>
      <c r="V475" s="256" t="str">
        <f>IF(J475="巻返し",VLOOKUP(F475&amp;K475&amp;M475,製品マスタ!$M$5:$AD$4999,18,FALSE),IF(J475="リード付け","原反コア",IF(J475="スリット",VLOOKUP(F475&amp;K475&amp;Q475,製品マスタ!$N$5:$AD$4999,17,FALSE),"")))</f>
        <v>6ｲﾝﾁSｺｱ</v>
      </c>
      <c r="W475" s="256">
        <f>IF(J475="巻返し",VLOOKUP(F475&amp;K475&amp;M475,製品マスタ!$M$5:$AE$4999,19,FALSE),IF(J475="リード付け","-",IF(J475="スリット",VLOOKUP(F475&amp;K475&amp;Q475,製品マスタ!$N$5:$AE$4999,18,FALSE),"")))</f>
        <v>1125</v>
      </c>
      <c r="X475" s="256">
        <f>IF(D475="","",VLOOKUP(D475,契約台帳!$A$3:$Q$4986,17,FALSE))</f>
        <v>2</v>
      </c>
      <c r="Y475" s="256" t="str">
        <f>IF(D475="","",VLOOKUP(D475,契約台帳!$A$3:$E$4986,5,FALSE))</f>
        <v>リンテック㈱</v>
      </c>
      <c r="Z475" s="54">
        <v>45092</v>
      </c>
      <c r="AA475" s="200" t="str">
        <f>IFERROR(VLOOKUP(F475&amp;K475&amp;M475,製品マスタ!$M$5:$AM$4999,27,FALSE),"")</f>
        <v>原反ケース再利用</v>
      </c>
      <c r="AB475" s="31"/>
      <c r="AC475" s="184"/>
      <c r="AD475" s="51" t="str">
        <f>IF(F475="","",+F475&amp;K475)</f>
        <v>3SNMLBMNGTBF50</v>
      </c>
      <c r="AE475" s="52">
        <f>+M475*N475*O475/1000</f>
        <v>33600</v>
      </c>
      <c r="AF475" s="41">
        <f>IF(AD475="","",VLOOKUP(AD475,原価マスタ!$A$2:$AJ$1693,13,FALSE))</f>
        <v>99</v>
      </c>
      <c r="AG475" s="45">
        <f>IF(AF475="","",+AE475*AF475/100)</f>
        <v>33264</v>
      </c>
      <c r="AH475" s="28"/>
      <c r="AI475" s="28"/>
      <c r="AJ475" s="28"/>
      <c r="AK475" s="28"/>
      <c r="AL475" s="12"/>
      <c r="AM475" s="12"/>
      <c r="AN475" s="12"/>
      <c r="AO475" s="12"/>
      <c r="AP475" s="12"/>
      <c r="AQ475" s="13"/>
      <c r="AR475" s="14"/>
    </row>
    <row r="476" spans="1:44" s="16" customFormat="1" ht="30.95" hidden="1" customHeight="1" x14ac:dyDescent="0.2">
      <c r="A476" s="35"/>
      <c r="B476" s="36"/>
      <c r="C476" s="43"/>
      <c r="D476" s="29"/>
      <c r="E476" s="29"/>
      <c r="F476" s="255"/>
      <c r="G476" s="256"/>
      <c r="H476" s="256"/>
      <c r="I476" s="200"/>
      <c r="J476" s="30"/>
      <c r="K476" s="200"/>
      <c r="L476" s="200"/>
      <c r="M476" s="37"/>
      <c r="N476" s="37"/>
      <c r="O476" s="45"/>
      <c r="P476" s="54"/>
      <c r="Q476" s="260"/>
      <c r="R476" s="261"/>
      <c r="S476" s="261"/>
      <c r="T476" s="38"/>
      <c r="U476" s="261"/>
      <c r="V476" s="256"/>
      <c r="W476" s="256"/>
      <c r="X476" s="256"/>
      <c r="Y476" s="256"/>
      <c r="Z476" s="54"/>
      <c r="AA476" s="200"/>
      <c r="AB476" s="31"/>
      <c r="AC476" s="184"/>
      <c r="AD476" s="51"/>
      <c r="AE476" s="52"/>
      <c r="AF476" s="41"/>
      <c r="AG476" s="45"/>
      <c r="AH476" s="28"/>
      <c r="AI476" s="28"/>
      <c r="AJ476" s="28"/>
      <c r="AK476" s="28"/>
      <c r="AL476" s="12"/>
      <c r="AM476" s="12"/>
      <c r="AN476" s="12"/>
      <c r="AO476" s="12"/>
      <c r="AP476" s="12"/>
      <c r="AQ476" s="13"/>
      <c r="AR476" s="14"/>
    </row>
    <row r="477" spans="1:44" s="16" customFormat="1" ht="30.95" hidden="1" customHeight="1" x14ac:dyDescent="0.2">
      <c r="A477" s="35"/>
      <c r="B477" s="36"/>
      <c r="C477" s="43"/>
      <c r="D477" s="29">
        <v>3712105</v>
      </c>
      <c r="E477" s="29">
        <v>4151379</v>
      </c>
      <c r="F477" s="255" t="str">
        <f>IF(D477="","",VLOOKUP(D477,契約台帳!$A$3:$K$4986,6,FALSE)&amp;VLOOKUP(D477,契約台帳!$A$3:$K$4986,7,FALSE)&amp;VLOOKUP(D477,契約台帳!$A$3:$K$4986,8,FALSE)&amp;VLOOKUP(D477,契約台帳!$A$3:$K$4986,9,FALSE)&amp;VLOOKUP(D477,契約台帳!$A$3:$K$4986,11,FALSE))</f>
        <v>3SNMLBMNGTBF</v>
      </c>
      <c r="G477" s="256" t="str">
        <f>IF(D477="","",VLOOKUP(F477,製品マスタ!$G$5:$H$4999,2,FALSE))</f>
        <v>S</v>
      </c>
      <c r="H477" s="256" t="str">
        <f>IF(D477="","",VLOOKUP(F477,製品マスタ!$G$5:$K$4999,5,FALSE))</f>
        <v>MNGTBF</v>
      </c>
      <c r="I477" s="200" t="str">
        <f>IF(D477="","",VLOOKUP(F477,製品マスタ!$G$5:$L$4999,6,FALSE))</f>
        <v>メタルミー　ネーマー　銀艶　Ｂ</v>
      </c>
      <c r="J477" s="30" t="s">
        <v>447</v>
      </c>
      <c r="K477" s="200">
        <f>IF(D477="","",VLOOKUP(D477,契約台帳!$A$3:$L$4986,12,FALSE))</f>
        <v>50</v>
      </c>
      <c r="L477" s="200" t="str">
        <f>IF(D477="","",INDEX(製品マスタ!$Q$5:$Q$4999,MATCH(F477&amp;K477,製品マスタ!$AO$5:$AO$4999,0)))</f>
        <v>T62</v>
      </c>
      <c r="M477" s="37">
        <v>1120</v>
      </c>
      <c r="N477" s="37">
        <v>10000</v>
      </c>
      <c r="O477" s="45">
        <v>3</v>
      </c>
      <c r="P477" s="54"/>
      <c r="Q477" s="260">
        <f>IF(D477="","",IF(J477="リード付け",M477,VLOOKUP(D477,契約台帳!$A$3:$N$4986,14,FALSE)))</f>
        <v>1120</v>
      </c>
      <c r="R477" s="261">
        <f>IF(D477="","",IF(J477="リード付け",M477,VLOOKUP(D477,契約台帳!$A$3:$O$4986,15,FALSE)))</f>
        <v>1120</v>
      </c>
      <c r="S477" s="261">
        <f>IF(D477="","",IF(J477="リード付け",N477,VLOOKUP(D477,契約台帳!$A$3:$P$4986,16,FALSE)))</f>
        <v>5000</v>
      </c>
      <c r="T477" s="38">
        <v>6</v>
      </c>
      <c r="U477" s="261">
        <f ca="1">IF(D477="","",IF(OFFSET(D477,-2,0)=D477,"",VLOOKUP(D477,契約台帳!$A$3:$R$4986,18,FALSE)))</f>
        <v>15</v>
      </c>
      <c r="V477" s="256" t="str">
        <f>IF(J477="巻返し",VLOOKUP(F477&amp;K477&amp;M477,製品マスタ!$M$5:$AD$4999,18,FALSE),IF(J477="リード付け","原反コア",IF(J477="スリット",VLOOKUP(F477&amp;K477&amp;Q477,製品マスタ!$N$5:$AD$4999,17,FALSE),"")))</f>
        <v>6ｲﾝﾁSｺｱ</v>
      </c>
      <c r="W477" s="256">
        <f>IF(J477="巻返し",VLOOKUP(F477&amp;K477&amp;M477,製品マスタ!$M$5:$AE$4999,19,FALSE),IF(J477="リード付け","-",IF(J477="スリット",VLOOKUP(F477&amp;K477&amp;Q477,製品マスタ!$N$5:$AE$4999,18,FALSE),"")))</f>
        <v>1125</v>
      </c>
      <c r="X477" s="256">
        <f>IF(D477="","",VLOOKUP(D477,契約台帳!$A$3:$Q$4986,17,FALSE))</f>
        <v>2</v>
      </c>
      <c r="Y477" s="256" t="str">
        <f>IF(D477="","",VLOOKUP(D477,契約台帳!$A$3:$E$4986,5,FALSE))</f>
        <v>リンテック㈱</v>
      </c>
      <c r="Z477" s="54">
        <v>45092</v>
      </c>
      <c r="AA477" s="200" t="str">
        <f>IFERROR(VLOOKUP(F477&amp;K477&amp;M477,製品マスタ!$M$5:$AM$4999,27,FALSE),"")</f>
        <v>原反ケース再利用</v>
      </c>
      <c r="AB477" s="31"/>
      <c r="AC477" s="184"/>
      <c r="AD477" s="51" t="str">
        <f>IF(F477="","",+F477&amp;K477)</f>
        <v>3SNMLBMNGTBF50</v>
      </c>
      <c r="AE477" s="52">
        <f>+M477*N477*O477/1000</f>
        <v>33600</v>
      </c>
      <c r="AF477" s="41">
        <f>IF(AD477="","",VLOOKUP(AD477,原価マスタ!$A$2:$AJ$1693,13,FALSE))</f>
        <v>99</v>
      </c>
      <c r="AG477" s="45">
        <f>IF(AF477="","",+AE477*AF477/100)</f>
        <v>33264</v>
      </c>
      <c r="AH477" s="28"/>
      <c r="AI477" s="28"/>
      <c r="AJ477" s="28"/>
      <c r="AK477" s="28"/>
      <c r="AL477" s="12"/>
      <c r="AM477" s="12"/>
      <c r="AN477" s="12"/>
      <c r="AO477" s="12"/>
      <c r="AP477" s="12"/>
      <c r="AQ477" s="13"/>
      <c r="AR477" s="14"/>
    </row>
    <row r="478" spans="1:44" s="16" customFormat="1" ht="30.95" hidden="1" customHeight="1" x14ac:dyDescent="0.2">
      <c r="A478" s="35"/>
      <c r="B478" s="36"/>
      <c r="C478" s="43"/>
      <c r="D478" s="29"/>
      <c r="E478" s="29"/>
      <c r="F478" s="255" t="str">
        <f>IF(D478="","",VLOOKUP(D478,契約台帳!$A$3:$K$4986,6,FALSE)&amp;VLOOKUP(D478,契約台帳!$A$3:$K$4986,7,FALSE)&amp;VLOOKUP(D478,契約台帳!$A$3:$K$4986,8,FALSE)&amp;VLOOKUP(D478,契約台帳!$A$3:$K$4986,9,FALSE)&amp;VLOOKUP(D478,契約台帳!$A$3:$K$4986,11,FALSE))</f>
        <v/>
      </c>
      <c r="G478" s="256" t="str">
        <f>IF(D478="","",VLOOKUP(F478,製品マスタ!$G$5:$H$4999,2,FALSE))</f>
        <v/>
      </c>
      <c r="H478" s="256" t="str">
        <f>IF(D478="","",VLOOKUP(F478,製品マスタ!$G$5:$K$4999,5,FALSE))</f>
        <v/>
      </c>
      <c r="I478" s="200" t="str">
        <f>IF(D478="","",VLOOKUP(F478,製品マスタ!$G$5:$L$4999,6,FALSE))</f>
        <v/>
      </c>
      <c r="J478" s="30"/>
      <c r="K478" s="200" t="str">
        <f>IF(D478="","",VLOOKUP(D478,契約台帳!$A$3:$L$4986,12,FALSE))</f>
        <v/>
      </c>
      <c r="L478" s="200" t="str">
        <f>IF(D478="","",INDEX(製品マスタ!$Q$5:$Q$4999,MATCH(F478&amp;K478,製品マスタ!$AO$5:$AO$4999,0)))</f>
        <v/>
      </c>
      <c r="M478" s="37"/>
      <c r="N478" s="37"/>
      <c r="O478" s="45"/>
      <c r="P478" s="54"/>
      <c r="Q478" s="260" t="str">
        <f>IF(D478="","",IF(J478="リード付け",M478,VLOOKUP(D478,契約台帳!$A$3:$N$4986,14,FALSE)))</f>
        <v/>
      </c>
      <c r="R478" s="261" t="str">
        <f>IF(D478="","",IF(J478="リード付け",M478,VLOOKUP(D478,契約台帳!$A$3:$O$4986,15,FALSE)))</f>
        <v/>
      </c>
      <c r="S478" s="261" t="str">
        <f>IF(D478="","",IF(J478="リード付け",N478,VLOOKUP(D478,契約台帳!$A$3:$P$4986,16,FALSE)))</f>
        <v/>
      </c>
      <c r="T478" s="38"/>
      <c r="U478" s="261" t="str">
        <f ca="1">IF(D478="","",IF(OFFSET(D478,-2,0)=D478,"",VLOOKUP(D478,契約台帳!$A$3:$R$4986,18,FALSE)))</f>
        <v/>
      </c>
      <c r="V478" s="256" t="str">
        <f>IF(J478="巻返し",VLOOKUP(F478&amp;K478&amp;M478,製品マスタ!$M$5:$AD$4999,18,FALSE),IF(J478="リード付け","原反コア",IF(J478="スリット",VLOOKUP(F478&amp;K478&amp;Q478,製品マスタ!$N$5:$AD$4999,17,FALSE),"")))</f>
        <v/>
      </c>
      <c r="W478" s="256" t="str">
        <f>IF(J478="巻返し",VLOOKUP(F478&amp;K478&amp;M478,製品マスタ!$M$5:$AE$4999,19,FALSE),IF(J478="リード付け","-",IF(J478="スリット",VLOOKUP(F478&amp;K478&amp;Q478,製品マスタ!$N$5:$AE$4999,18,FALSE),"")))</f>
        <v/>
      </c>
      <c r="X478" s="256" t="str">
        <f>IF(D478="","",VLOOKUP(D478,契約台帳!$A$3:$Q$4986,17,FALSE))</f>
        <v/>
      </c>
      <c r="Y478" s="256" t="str">
        <f>IF(D478="","",VLOOKUP(D478,契約台帳!$A$3:$E$4986,5,FALSE))</f>
        <v/>
      </c>
      <c r="Z478" s="54"/>
      <c r="AA478" s="200" t="str">
        <f>IFERROR(VLOOKUP(F478&amp;K478&amp;M478,製品マスタ!$M$5:$AM$4999,27,FALSE),"")</f>
        <v/>
      </c>
      <c r="AB478" s="31"/>
      <c r="AC478" s="184"/>
      <c r="AD478" s="51"/>
      <c r="AE478" s="52"/>
      <c r="AF478" s="41"/>
      <c r="AG478" s="45"/>
      <c r="AH478" s="28"/>
      <c r="AI478" s="28"/>
      <c r="AJ478" s="28"/>
      <c r="AK478" s="28"/>
      <c r="AL478" s="12"/>
      <c r="AM478" s="12"/>
      <c r="AN478" s="12"/>
      <c r="AO478" s="12"/>
      <c r="AP478" s="12"/>
      <c r="AQ478" s="13"/>
      <c r="AR478" s="14"/>
    </row>
    <row r="479" spans="1:44" s="16" customFormat="1" ht="30.95" hidden="1" customHeight="1" x14ac:dyDescent="0.2">
      <c r="A479" s="35" t="s">
        <v>1207</v>
      </c>
      <c r="B479" s="36" t="s">
        <v>442</v>
      </c>
      <c r="C479" s="43"/>
      <c r="D479" s="29">
        <v>3712105</v>
      </c>
      <c r="E479" s="29">
        <v>4151379</v>
      </c>
      <c r="F479" s="255" t="str">
        <f>IF(D479="","",VLOOKUP(D479,契約台帳!$A$3:$K$4986,6,FALSE)&amp;VLOOKUP(D479,契約台帳!$A$3:$K$4986,7,FALSE)&amp;VLOOKUP(D479,契約台帳!$A$3:$K$4986,8,FALSE)&amp;VLOOKUP(D479,契約台帳!$A$3:$K$4986,9,FALSE)&amp;VLOOKUP(D479,契約台帳!$A$3:$K$4986,11,FALSE))</f>
        <v>3SNMLBMNGTBF</v>
      </c>
      <c r="G479" s="256" t="str">
        <f>IF(D479="","",VLOOKUP(F479,製品マスタ!$G$5:$H$4999,2,FALSE))</f>
        <v>S</v>
      </c>
      <c r="H479" s="256" t="str">
        <f>IF(D479="","",VLOOKUP(F479,製品マスタ!$G$5:$K$4999,5,FALSE))</f>
        <v>MNGTBF</v>
      </c>
      <c r="I479" s="200" t="str">
        <f>IF(D479="","",VLOOKUP(F479,製品マスタ!$G$5:$L$4999,6,FALSE))</f>
        <v>メタルミー　ネーマー　銀艶　Ｂ</v>
      </c>
      <c r="J479" s="30" t="s">
        <v>447</v>
      </c>
      <c r="K479" s="200">
        <f>IF(D479="","",VLOOKUP(D479,契約台帳!$A$3:$L$4986,12,FALSE))</f>
        <v>50</v>
      </c>
      <c r="L479" s="200" t="str">
        <f>IF(D479="","",INDEX(製品マスタ!$Q$5:$Q$4999,MATCH(F479&amp;K479,製品マスタ!$AO$5:$AO$4999,0)))</f>
        <v>T62</v>
      </c>
      <c r="M479" s="37">
        <v>1120</v>
      </c>
      <c r="N479" s="37">
        <v>10000</v>
      </c>
      <c r="O479" s="45">
        <v>4</v>
      </c>
      <c r="P479" s="54"/>
      <c r="Q479" s="260">
        <f>IF(D479="","",IF(J479="リード付け",M479,VLOOKUP(D479,契約台帳!$A$3:$N$4986,14,FALSE)))</f>
        <v>1120</v>
      </c>
      <c r="R479" s="261">
        <f>IF(D479="","",IF(J479="リード付け",M479,VLOOKUP(D479,契約台帳!$A$3:$O$4986,15,FALSE)))</f>
        <v>1120</v>
      </c>
      <c r="S479" s="261">
        <f>IF(D479="","",IF(J479="リード付け",N479,VLOOKUP(D479,契約台帳!$A$3:$P$4986,16,FALSE)))</f>
        <v>5000</v>
      </c>
      <c r="T479" s="38">
        <v>8</v>
      </c>
      <c r="U479" s="261" t="str">
        <f ca="1">IF(D479="","",IF(OFFSET(D479,-2,0)=D479,"",VLOOKUP(D479,契約台帳!$A$3:$R$4986,18,FALSE)))</f>
        <v/>
      </c>
      <c r="V479" s="256" t="str">
        <f>IF(J479="巻返し",VLOOKUP(F479&amp;K479&amp;M479,製品マスタ!$M$5:$AD$4999,18,FALSE),IF(J479="リード付け","原反コア",IF(J479="スリット",VLOOKUP(F479&amp;K479&amp;Q479,製品マスタ!$N$5:$AD$4999,17,FALSE),"")))</f>
        <v>6ｲﾝﾁSｺｱ</v>
      </c>
      <c r="W479" s="256">
        <f>IF(J479="巻返し",VLOOKUP(F479&amp;K479&amp;M479,製品マスタ!$M$5:$AE$4999,19,FALSE),IF(J479="リード付け","-",IF(J479="スリット",VLOOKUP(F479&amp;K479&amp;Q479,製品マスタ!$N$5:$AE$4999,18,FALSE),"")))</f>
        <v>1125</v>
      </c>
      <c r="X479" s="256">
        <f>IF(D479="","",VLOOKUP(D479,契約台帳!$A$3:$Q$4986,17,FALSE))</f>
        <v>2</v>
      </c>
      <c r="Y479" s="256" t="str">
        <f>IF(D479="","",VLOOKUP(D479,契約台帳!$A$3:$E$4986,5,FALSE))</f>
        <v>リンテック㈱</v>
      </c>
      <c r="Z479" s="54">
        <v>45093</v>
      </c>
      <c r="AA479" s="200" t="str">
        <f>IFERROR(VLOOKUP(F479&amp;K479&amp;M479,製品マスタ!$M$5:$AM$4999,27,FALSE),"")</f>
        <v>原反ケース再利用</v>
      </c>
      <c r="AB479" s="31"/>
      <c r="AC479" s="184"/>
      <c r="AD479" s="51" t="str">
        <f>IF(F479="","",+F479&amp;K479)</f>
        <v>3SNMLBMNGTBF50</v>
      </c>
      <c r="AE479" s="52">
        <f>+M479*N479*O479/1000</f>
        <v>44800</v>
      </c>
      <c r="AF479" s="41">
        <f>IF(AD479="","",VLOOKUP(AD479,原価マスタ!$A$2:$AJ$1693,13,FALSE))</f>
        <v>99</v>
      </c>
      <c r="AG479" s="45">
        <f>IF(AF479="","",+AE479*AF479/100)</f>
        <v>44352</v>
      </c>
      <c r="AH479" s="28"/>
      <c r="AI479" s="28"/>
      <c r="AJ479" s="28"/>
      <c r="AK479" s="28"/>
      <c r="AL479" s="12"/>
      <c r="AM479" s="12"/>
      <c r="AN479" s="12"/>
      <c r="AO479" s="12"/>
      <c r="AP479" s="12"/>
      <c r="AQ479" s="13"/>
      <c r="AR479" s="14"/>
    </row>
    <row r="480" spans="1:44" s="16" customFormat="1" ht="30.95" hidden="1" customHeight="1" x14ac:dyDescent="0.2">
      <c r="A480" s="35"/>
      <c r="B480" s="36"/>
      <c r="C480" s="43"/>
      <c r="D480" s="29"/>
      <c r="E480" s="29"/>
      <c r="F480" s="255"/>
      <c r="G480" s="256"/>
      <c r="H480" s="256"/>
      <c r="I480" s="200"/>
      <c r="J480" s="30"/>
      <c r="K480" s="200"/>
      <c r="L480" s="200"/>
      <c r="M480" s="37"/>
      <c r="N480" s="37"/>
      <c r="O480" s="45"/>
      <c r="P480" s="54"/>
      <c r="Q480" s="260"/>
      <c r="R480" s="261"/>
      <c r="S480" s="261"/>
      <c r="T480" s="38"/>
      <c r="U480" s="261"/>
      <c r="V480" s="256"/>
      <c r="W480" s="256"/>
      <c r="X480" s="256"/>
      <c r="Y480" s="256"/>
      <c r="Z480" s="54"/>
      <c r="AA480" s="200"/>
      <c r="AB480" s="31"/>
      <c r="AC480" s="184"/>
      <c r="AD480" s="51"/>
      <c r="AE480" s="52"/>
      <c r="AF480" s="41"/>
      <c r="AG480" s="45"/>
      <c r="AH480" s="28"/>
      <c r="AI480" s="28"/>
      <c r="AJ480" s="28"/>
      <c r="AK480" s="28"/>
      <c r="AL480" s="12"/>
      <c r="AM480" s="12"/>
      <c r="AN480" s="12"/>
      <c r="AO480" s="12"/>
      <c r="AP480" s="12"/>
      <c r="AQ480" s="13"/>
      <c r="AR480" s="14"/>
    </row>
    <row r="481" spans="1:44" s="16" customFormat="1" ht="30.95" hidden="1" customHeight="1" x14ac:dyDescent="0.2">
      <c r="A481" s="35"/>
      <c r="B481" s="36"/>
      <c r="C481" s="43"/>
      <c r="D481" s="29">
        <v>3712105</v>
      </c>
      <c r="E481" s="29">
        <v>4151379</v>
      </c>
      <c r="F481" s="255" t="str">
        <f>IF(D481="","",VLOOKUP(D481,契約台帳!$A$3:$K$4986,6,FALSE)&amp;VLOOKUP(D481,契約台帳!$A$3:$K$4986,7,FALSE)&amp;VLOOKUP(D481,契約台帳!$A$3:$K$4986,8,FALSE)&amp;VLOOKUP(D481,契約台帳!$A$3:$K$4986,9,FALSE)&amp;VLOOKUP(D481,契約台帳!$A$3:$K$4986,11,FALSE))</f>
        <v>3SNMLBMNGTBF</v>
      </c>
      <c r="G481" s="256" t="str">
        <f>IF(D481="","",VLOOKUP(F481,製品マスタ!$G$5:$H$4999,2,FALSE))</f>
        <v>S</v>
      </c>
      <c r="H481" s="256" t="str">
        <f>IF(D481="","",VLOOKUP(F481,製品マスタ!$G$5:$K$4999,5,FALSE))</f>
        <v>MNGTBF</v>
      </c>
      <c r="I481" s="200" t="str">
        <f>IF(D481="","",VLOOKUP(F481,製品マスタ!$G$5:$L$4999,6,FALSE))</f>
        <v>メタルミー　ネーマー　銀艶　Ｂ</v>
      </c>
      <c r="J481" s="30" t="s">
        <v>447</v>
      </c>
      <c r="K481" s="200">
        <f>IF(D481="","",VLOOKUP(D481,契約台帳!$A$3:$L$4986,12,FALSE))</f>
        <v>50</v>
      </c>
      <c r="L481" s="200" t="str">
        <f>IF(D481="","",INDEX(製品マスタ!$Q$5:$Q$4999,MATCH(F481&amp;K481,製品マスタ!$AO$5:$AO$4999,0)))</f>
        <v>T62</v>
      </c>
      <c r="M481" s="37">
        <v>1120</v>
      </c>
      <c r="N481" s="37">
        <v>10000</v>
      </c>
      <c r="O481" s="45">
        <v>1</v>
      </c>
      <c r="P481" s="54"/>
      <c r="Q481" s="260">
        <f>IF(D481="","",IF(J481="リード付け",M481,VLOOKUP(D481,契約台帳!$A$3:$N$4986,14,FALSE)))</f>
        <v>1120</v>
      </c>
      <c r="R481" s="261">
        <f>IF(D481="","",IF(J481="リード付け",M481,VLOOKUP(D481,契約台帳!$A$3:$O$4986,15,FALSE)))</f>
        <v>1120</v>
      </c>
      <c r="S481" s="261">
        <f>IF(D481="","",IF(J481="リード付け",N481,VLOOKUP(D481,契約台帳!$A$3:$P$4986,16,FALSE)))</f>
        <v>5000</v>
      </c>
      <c r="T481" s="38">
        <v>1</v>
      </c>
      <c r="U481" s="261" t="str">
        <f ca="1">IF(D481="","",IF(OFFSET(D481,-2,0)=D481,"",VLOOKUP(D481,契約台帳!$A$3:$R$4986,18,FALSE)))</f>
        <v/>
      </c>
      <c r="V481" s="256" t="str">
        <f>IF(J481="巻返し",VLOOKUP(F481&amp;K481&amp;M481,製品マスタ!$M$5:$AD$4999,18,FALSE),IF(J481="リード付け","原反コア",IF(J481="スリット",VLOOKUP(F481&amp;K481&amp;Q481,製品マスタ!$N$5:$AD$4999,17,FALSE),"")))</f>
        <v>6ｲﾝﾁSｺｱ</v>
      </c>
      <c r="W481" s="256">
        <f>IF(J481="巻返し",VLOOKUP(F481&amp;K481&amp;M481,製品マスタ!$M$5:$AE$4999,19,FALSE),IF(J481="リード付け","-",IF(J481="スリット",VLOOKUP(F481&amp;K481&amp;Q481,製品マスタ!$N$5:$AE$4999,18,FALSE),"")))</f>
        <v>1125</v>
      </c>
      <c r="X481" s="256">
        <f>IF(D481="","",VLOOKUP(D481,契約台帳!$A$3:$Q$4986,17,FALSE))</f>
        <v>2</v>
      </c>
      <c r="Y481" s="256" t="str">
        <f>IF(D481="","",VLOOKUP(D481,契約台帳!$A$3:$E$4986,5,FALSE))</f>
        <v>リンテック㈱</v>
      </c>
      <c r="Z481" s="54">
        <v>45093</v>
      </c>
      <c r="AA481" s="200" t="str">
        <f>IFERROR(VLOOKUP(F481&amp;K481&amp;M481,製品マスタ!$M$5:$AM$4999,27,FALSE),"")</f>
        <v>原反ケース再利用</v>
      </c>
      <c r="AB481" s="31"/>
      <c r="AC481" s="184"/>
      <c r="AD481" s="51" t="str">
        <f>IF(F481="","",+F481&amp;K481)</f>
        <v>3SNMLBMNGTBF50</v>
      </c>
      <c r="AE481" s="52">
        <f>+M481*N481*O481/1000</f>
        <v>11200</v>
      </c>
      <c r="AF481" s="41">
        <f>IF(AD481="","",VLOOKUP(AD481,原価マスタ!$A$2:$AJ$1693,13,FALSE))</f>
        <v>99</v>
      </c>
      <c r="AG481" s="45">
        <f>IF(AF481="","",+AE481*AF481/100)</f>
        <v>11088</v>
      </c>
      <c r="AH481" s="28"/>
      <c r="AI481" s="28"/>
      <c r="AJ481" s="28"/>
      <c r="AK481" s="28"/>
      <c r="AL481" s="12"/>
      <c r="AM481" s="12"/>
      <c r="AN481" s="12"/>
      <c r="AO481" s="12"/>
      <c r="AP481" s="12"/>
      <c r="AQ481" s="13"/>
      <c r="AR481" s="14"/>
    </row>
    <row r="482" spans="1:44" s="16" customFormat="1" ht="30.95" hidden="1" customHeight="1" x14ac:dyDescent="0.2">
      <c r="A482" s="35"/>
      <c r="B482" s="36"/>
      <c r="C482" s="43"/>
      <c r="D482" s="29">
        <v>3712106</v>
      </c>
      <c r="E482" s="29"/>
      <c r="F482" s="255" t="str">
        <f>IF(D482="","",VLOOKUP(D482,契約台帳!$A$3:$K$4986,6,FALSE)&amp;VLOOKUP(D482,契約台帳!$A$3:$K$4986,7,FALSE)&amp;VLOOKUP(D482,契約台帳!$A$3:$K$4986,8,FALSE)&amp;VLOOKUP(D482,契約台帳!$A$3:$K$4986,9,FALSE)&amp;VLOOKUP(D482,契約台帳!$A$3:$K$4986,11,FALSE))</f>
        <v>3SNMLBMNGTBF</v>
      </c>
      <c r="G482" s="256" t="str">
        <f>IF(D482="","",VLOOKUP(F482,製品マスタ!$G$5:$H$4999,2,FALSE))</f>
        <v>S</v>
      </c>
      <c r="H482" s="256" t="str">
        <f>IF(D482="","",VLOOKUP(F482,製品マスタ!$G$5:$K$4999,5,FALSE))</f>
        <v>MNGTBF</v>
      </c>
      <c r="I482" s="200" t="str">
        <f>IF(D482="","",VLOOKUP(F482,製品マスタ!$G$5:$L$4999,6,FALSE))</f>
        <v>メタルミー　ネーマー　銀艶　Ｂ</v>
      </c>
      <c r="J482" s="30" t="s">
        <v>447</v>
      </c>
      <c r="K482" s="200">
        <f>IF(D482="","",VLOOKUP(D482,契約台帳!$A$3:$L$4986,12,FALSE))</f>
        <v>50</v>
      </c>
      <c r="L482" s="200" t="str">
        <f>IF(D482="","",INDEX(製品マスタ!$Q$5:$Q$4999,MATCH(F482&amp;K482,製品マスタ!$AO$5:$AO$4999,0)))</f>
        <v>T62</v>
      </c>
      <c r="M482" s="37">
        <v>1120</v>
      </c>
      <c r="N482" s="37">
        <v>10000</v>
      </c>
      <c r="O482" s="45"/>
      <c r="P482" s="54"/>
      <c r="Q482" s="260">
        <f>IF(D482="","",IF(J482="リード付け",M482,VLOOKUP(D482,契約台帳!$A$3:$N$4986,14,FALSE)))</f>
        <v>1120</v>
      </c>
      <c r="R482" s="261">
        <f>IF(D482="","",IF(J482="リード付け",M482,VLOOKUP(D482,契約台帳!$A$3:$O$4986,15,FALSE)))</f>
        <v>1120</v>
      </c>
      <c r="S482" s="261">
        <f>IF(D482="","",IF(J482="リード付け",N482,VLOOKUP(D482,契約台帳!$A$3:$P$4986,16,FALSE)))</f>
        <v>5000</v>
      </c>
      <c r="T482" s="38">
        <v>1</v>
      </c>
      <c r="U482" s="261">
        <f ca="1">IF(D482="","",IF(OFFSET(D482,-2,0)=D482,"",VLOOKUP(D482,契約台帳!$A$3:$R$4986,18,FALSE)))</f>
        <v>15</v>
      </c>
      <c r="V482" s="256" t="str">
        <f>IF(J482="巻返し",VLOOKUP(F482&amp;K482&amp;M482,製品マスタ!$M$5:$AD$4999,18,FALSE),IF(J482="リード付け","原反コア",IF(J482="スリット",VLOOKUP(F482&amp;K482&amp;Q482,製品マスタ!$N$5:$AD$4999,17,FALSE),"")))</f>
        <v>6ｲﾝﾁSｺｱ</v>
      </c>
      <c r="W482" s="256">
        <f>IF(J482="巻返し",VLOOKUP(F482&amp;K482&amp;M482,製品マスタ!$M$5:$AE$4999,19,FALSE),IF(J482="リード付け","-",IF(J482="スリット",VLOOKUP(F482&amp;K482&amp;Q482,製品マスタ!$N$5:$AE$4999,18,FALSE),"")))</f>
        <v>1125</v>
      </c>
      <c r="X482" s="256">
        <f>IF(D482="","",VLOOKUP(D482,契約台帳!$A$3:$Q$4986,17,FALSE))</f>
        <v>2</v>
      </c>
      <c r="Y482" s="256" t="str">
        <f>IF(D482="","",VLOOKUP(D482,契約台帳!$A$3:$E$4986,5,FALSE))</f>
        <v>リンテック㈱</v>
      </c>
      <c r="Z482" s="54"/>
      <c r="AA482" s="200" t="str">
        <f>IFERROR(VLOOKUP(F482&amp;K482&amp;M482,製品マスタ!$M$5:$AM$4999,27,FALSE),"")</f>
        <v>原反ケース再利用</v>
      </c>
      <c r="AB482" s="31"/>
      <c r="AC482" s="184"/>
      <c r="AD482" s="51" t="str">
        <f>IF(F482="","",+F482&amp;K482)</f>
        <v>3SNMLBMNGTBF50</v>
      </c>
      <c r="AE482" s="52">
        <f>+M482*N482*O482/1000</f>
        <v>0</v>
      </c>
      <c r="AF482" s="41">
        <f>IF(AD482="","",VLOOKUP(AD482,原価マスタ!$A$2:$AJ$1693,13,FALSE))</f>
        <v>99</v>
      </c>
      <c r="AG482" s="45">
        <f>IF(AF482="","",+AE482*AF482/100)</f>
        <v>0</v>
      </c>
      <c r="AH482" s="28"/>
      <c r="AI482" s="28"/>
      <c r="AJ482" s="28"/>
      <c r="AK482" s="28"/>
      <c r="AL482" s="12"/>
      <c r="AM482" s="12"/>
      <c r="AN482" s="12"/>
      <c r="AO482" s="12"/>
      <c r="AP482" s="12"/>
      <c r="AQ482" s="13"/>
      <c r="AR482" s="14"/>
    </row>
    <row r="483" spans="1:44" s="16" customFormat="1" ht="30.95" hidden="1" customHeight="1" x14ac:dyDescent="0.2">
      <c r="A483" s="35"/>
      <c r="B483" s="36"/>
      <c r="C483" s="43"/>
      <c r="D483" s="29"/>
      <c r="E483" s="29"/>
      <c r="F483" s="255"/>
      <c r="G483" s="256"/>
      <c r="H483" s="256"/>
      <c r="I483" s="200"/>
      <c r="J483" s="30"/>
      <c r="K483" s="200"/>
      <c r="L483" s="200"/>
      <c r="M483" s="37"/>
      <c r="N483" s="37"/>
      <c r="O483" s="45"/>
      <c r="P483" s="54"/>
      <c r="Q483" s="260"/>
      <c r="R483" s="261"/>
      <c r="S483" s="261"/>
      <c r="T483" s="38"/>
      <c r="U483" s="261"/>
      <c r="V483" s="256"/>
      <c r="W483" s="256"/>
      <c r="X483" s="256"/>
      <c r="Y483" s="256"/>
      <c r="Z483" s="54"/>
      <c r="AA483" s="200"/>
      <c r="AB483" s="31"/>
      <c r="AC483" s="184"/>
      <c r="AD483" s="51"/>
      <c r="AE483" s="52"/>
      <c r="AF483" s="41"/>
      <c r="AG483" s="45"/>
      <c r="AH483" s="28"/>
      <c r="AI483" s="28"/>
      <c r="AJ483" s="28"/>
      <c r="AK483" s="28"/>
      <c r="AL483" s="12"/>
      <c r="AM483" s="12"/>
      <c r="AN483" s="12"/>
      <c r="AO483" s="12"/>
      <c r="AP483" s="12"/>
      <c r="AQ483" s="13"/>
      <c r="AR483" s="14"/>
    </row>
    <row r="484" spans="1:44" s="16" customFormat="1" ht="30.95" hidden="1" customHeight="1" x14ac:dyDescent="0.2">
      <c r="A484" s="35" t="s">
        <v>1208</v>
      </c>
      <c r="B484" s="36" t="s">
        <v>443</v>
      </c>
      <c r="C484" s="43"/>
      <c r="D484" s="29">
        <v>3712106</v>
      </c>
      <c r="E484" s="29">
        <v>4151380</v>
      </c>
      <c r="F484" s="255" t="str">
        <f>IF(D484="","",VLOOKUP(D484,契約台帳!$A$3:$K$4986,6,FALSE)&amp;VLOOKUP(D484,契約台帳!$A$3:$K$4986,7,FALSE)&amp;VLOOKUP(D484,契約台帳!$A$3:$K$4986,8,FALSE)&amp;VLOOKUP(D484,契約台帳!$A$3:$K$4986,9,FALSE)&amp;VLOOKUP(D484,契約台帳!$A$3:$K$4986,11,FALSE))</f>
        <v>3SNMLBMNGTBF</v>
      </c>
      <c r="G484" s="256" t="str">
        <f>IF(D484="","",VLOOKUP(F484,製品マスタ!$G$5:$H$4999,2,FALSE))</f>
        <v>S</v>
      </c>
      <c r="H484" s="256" t="str">
        <f>IF(D484="","",VLOOKUP(F484,製品マスタ!$G$5:$K$4999,5,FALSE))</f>
        <v>MNGTBF</v>
      </c>
      <c r="I484" s="200" t="str">
        <f>IF(D484="","",VLOOKUP(F484,製品マスタ!$G$5:$L$4999,6,FALSE))</f>
        <v>メタルミー　ネーマー　銀艶　Ｂ</v>
      </c>
      <c r="J484" s="30" t="s">
        <v>447</v>
      </c>
      <c r="K484" s="200">
        <f>IF(D484="","",VLOOKUP(D484,契約台帳!$A$3:$L$4986,12,FALSE))</f>
        <v>50</v>
      </c>
      <c r="L484" s="200" t="str">
        <f>IF(D484="","",INDEX(製品マスタ!$Q$5:$Q$4999,MATCH(F484&amp;K484,製品マスタ!$AO$5:$AO$4999,0)))</f>
        <v>T62</v>
      </c>
      <c r="M484" s="37">
        <v>1120</v>
      </c>
      <c r="N484" s="37">
        <v>10000</v>
      </c>
      <c r="O484" s="45">
        <v>4</v>
      </c>
      <c r="P484" s="54"/>
      <c r="Q484" s="260">
        <f>IF(D484="","",IF(J484="リード付け",M484,VLOOKUP(D484,契約台帳!$A$3:$N$4986,14,FALSE)))</f>
        <v>1120</v>
      </c>
      <c r="R484" s="261">
        <f>IF(D484="","",IF(J484="リード付け",M484,VLOOKUP(D484,契約台帳!$A$3:$O$4986,15,FALSE)))</f>
        <v>1120</v>
      </c>
      <c r="S484" s="261">
        <f>IF(D484="","",IF(J484="リード付け",N484,VLOOKUP(D484,契約台帳!$A$3:$P$4986,16,FALSE)))</f>
        <v>5000</v>
      </c>
      <c r="T484" s="38">
        <v>8</v>
      </c>
      <c r="U484" s="261" t="str">
        <f ca="1">IF(D484="","",IF(OFFSET(D484,-2,0)=D484,"",VLOOKUP(D484,契約台帳!$A$3:$R$4986,18,FALSE)))</f>
        <v/>
      </c>
      <c r="V484" s="256" t="str">
        <f>IF(J484="巻返し",VLOOKUP(F484&amp;K484&amp;M484,製品マスタ!$M$5:$AD$4999,18,FALSE),IF(J484="リード付け","原反コア",IF(J484="スリット",VLOOKUP(F484&amp;K484&amp;Q484,製品マスタ!$N$5:$AD$4999,17,FALSE),"")))</f>
        <v>6ｲﾝﾁSｺｱ</v>
      </c>
      <c r="W484" s="256">
        <f>IF(J484="巻返し",VLOOKUP(F484&amp;K484&amp;M484,製品マスタ!$M$5:$AE$4999,19,FALSE),IF(J484="リード付け","-",IF(J484="スリット",VLOOKUP(F484&amp;K484&amp;Q484,製品マスタ!$N$5:$AE$4999,18,FALSE),"")))</f>
        <v>1125</v>
      </c>
      <c r="X484" s="256">
        <f>IF(D484="","",VLOOKUP(D484,契約台帳!$A$3:$Q$4986,17,FALSE))</f>
        <v>2</v>
      </c>
      <c r="Y484" s="256" t="str">
        <f>IF(D484="","",VLOOKUP(D484,契約台帳!$A$3:$E$4986,5,FALSE))</f>
        <v>リンテック㈱</v>
      </c>
      <c r="Z484" s="54">
        <v>45097</v>
      </c>
      <c r="AA484" s="200" t="str">
        <f>IFERROR(VLOOKUP(F484&amp;K484&amp;M484,製品マスタ!$M$5:$AM$4999,27,FALSE),"")</f>
        <v>原反ケース再利用</v>
      </c>
      <c r="AB484" s="31"/>
      <c r="AC484" s="184"/>
      <c r="AD484" s="51" t="str">
        <f>IF(F484="","",+F484&amp;K484)</f>
        <v>3SNMLBMNGTBF50</v>
      </c>
      <c r="AE484" s="52">
        <f>+M484*N484*O484/1000</f>
        <v>44800</v>
      </c>
      <c r="AF484" s="41">
        <f>IF(AD484="","",VLOOKUP(AD484,原価マスタ!$A$2:$AJ$1693,13,FALSE))</f>
        <v>99</v>
      </c>
      <c r="AG484" s="45">
        <f>IF(AF484="","",+AE484*AF484/100)</f>
        <v>44352</v>
      </c>
      <c r="AH484" s="28"/>
      <c r="AI484" s="28"/>
      <c r="AJ484" s="28"/>
      <c r="AK484" s="28"/>
      <c r="AL484" s="12"/>
      <c r="AM484" s="12"/>
      <c r="AN484" s="12"/>
      <c r="AO484" s="12"/>
      <c r="AP484" s="12"/>
      <c r="AQ484" s="13"/>
      <c r="AR484" s="14"/>
    </row>
    <row r="485" spans="1:44" s="16" customFormat="1" ht="30.95" hidden="1" customHeight="1" x14ac:dyDescent="0.2">
      <c r="A485" s="35"/>
      <c r="B485" s="36"/>
      <c r="C485" s="43"/>
      <c r="D485" s="29"/>
      <c r="E485" s="29"/>
      <c r="F485" s="255"/>
      <c r="G485" s="256"/>
      <c r="H485" s="256"/>
      <c r="I485" s="200"/>
      <c r="J485" s="30"/>
      <c r="K485" s="200"/>
      <c r="L485" s="200"/>
      <c r="M485" s="37"/>
      <c r="N485" s="37"/>
      <c r="O485" s="45"/>
      <c r="P485" s="54"/>
      <c r="Q485" s="260"/>
      <c r="R485" s="261"/>
      <c r="S485" s="261"/>
      <c r="T485" s="38"/>
      <c r="U485" s="261"/>
      <c r="V485" s="256"/>
      <c r="W485" s="256"/>
      <c r="X485" s="256"/>
      <c r="Y485" s="256"/>
      <c r="Z485" s="54"/>
      <c r="AA485" s="200"/>
      <c r="AB485" s="31"/>
      <c r="AC485" s="184"/>
      <c r="AD485" s="51"/>
      <c r="AE485" s="52"/>
      <c r="AF485" s="41"/>
      <c r="AG485" s="45"/>
      <c r="AH485" s="28"/>
      <c r="AI485" s="28"/>
      <c r="AJ485" s="28"/>
      <c r="AK485" s="28"/>
      <c r="AL485" s="12"/>
      <c r="AM485" s="12"/>
      <c r="AN485" s="12"/>
      <c r="AO485" s="12"/>
      <c r="AP485" s="12"/>
      <c r="AQ485" s="13"/>
      <c r="AR485" s="14"/>
    </row>
    <row r="486" spans="1:44" s="16" customFormat="1" ht="30.95" hidden="1" customHeight="1" x14ac:dyDescent="0.2">
      <c r="A486" s="35" t="s">
        <v>1222</v>
      </c>
      <c r="B486" s="36" t="s">
        <v>444</v>
      </c>
      <c r="C486" s="43"/>
      <c r="D486" s="29">
        <v>3712106</v>
      </c>
      <c r="E486" s="29">
        <v>4151380</v>
      </c>
      <c r="F486" s="255" t="str">
        <f>IF(D486="","",VLOOKUP(D486,契約台帳!$A$3:$K$4986,6,FALSE)&amp;VLOOKUP(D486,契約台帳!$A$3:$K$4986,7,FALSE)&amp;VLOOKUP(D486,契約台帳!$A$3:$K$4986,8,FALSE)&amp;VLOOKUP(D486,契約台帳!$A$3:$K$4986,9,FALSE)&amp;VLOOKUP(D486,契約台帳!$A$3:$K$4986,11,FALSE))</f>
        <v>3SNMLBMNGTBF</v>
      </c>
      <c r="G486" s="256" t="str">
        <f>IF(D486="","",VLOOKUP(F486,製品マスタ!$G$5:$H$4999,2,FALSE))</f>
        <v>S</v>
      </c>
      <c r="H486" s="256" t="str">
        <f>IF(D486="","",VLOOKUP(F486,製品マスタ!$G$5:$K$4999,5,FALSE))</f>
        <v>MNGTBF</v>
      </c>
      <c r="I486" s="200" t="str">
        <f>IF(D486="","",VLOOKUP(F486,製品マスタ!$G$5:$L$4999,6,FALSE))</f>
        <v>メタルミー　ネーマー　銀艶　Ｂ</v>
      </c>
      <c r="J486" s="30" t="s">
        <v>447</v>
      </c>
      <c r="K486" s="200">
        <f>IF(D486="","",VLOOKUP(D486,契約台帳!$A$3:$L$4986,12,FALSE))</f>
        <v>50</v>
      </c>
      <c r="L486" s="200" t="str">
        <f>IF(D486="","",INDEX(製品マスタ!$Q$5:$Q$4999,MATCH(F486&amp;K486,製品マスタ!$AO$5:$AO$4999,0)))</f>
        <v>T62</v>
      </c>
      <c r="M486" s="37">
        <v>1120</v>
      </c>
      <c r="N486" s="37">
        <v>10000</v>
      </c>
      <c r="O486" s="45">
        <v>3</v>
      </c>
      <c r="P486" s="54"/>
      <c r="Q486" s="260">
        <f>IF(D486="","",IF(J486="リード付け",M486,VLOOKUP(D486,契約台帳!$A$3:$N$4986,14,FALSE)))</f>
        <v>1120</v>
      </c>
      <c r="R486" s="261">
        <f>IF(D486="","",IF(J486="リード付け",M486,VLOOKUP(D486,契約台帳!$A$3:$O$4986,15,FALSE)))</f>
        <v>1120</v>
      </c>
      <c r="S486" s="261">
        <f>IF(D486="","",IF(J486="リード付け",N486,VLOOKUP(D486,契約台帳!$A$3:$P$4986,16,FALSE)))</f>
        <v>5000</v>
      </c>
      <c r="T486" s="38">
        <v>6</v>
      </c>
      <c r="U486" s="261" t="str">
        <f ca="1">IF(D486="","",IF(OFFSET(D486,-2,0)=D486,"",VLOOKUP(D486,契約台帳!$A$3:$R$4986,18,FALSE)))</f>
        <v/>
      </c>
      <c r="V486" s="256" t="str">
        <f>IF(J486="巻返し",VLOOKUP(F486&amp;K486&amp;M486,製品マスタ!$M$5:$AD$4999,18,FALSE),IF(J486="リード付け","原反コア",IF(J486="スリット",VLOOKUP(F486&amp;K486&amp;Q486,製品マスタ!$N$5:$AD$4999,17,FALSE),"")))</f>
        <v>6ｲﾝﾁSｺｱ</v>
      </c>
      <c r="W486" s="256">
        <f>IF(J486="巻返し",VLOOKUP(F486&amp;K486&amp;M486,製品マスタ!$M$5:$AE$4999,19,FALSE),IF(J486="リード付け","-",IF(J486="スリット",VLOOKUP(F486&amp;K486&amp;Q486,製品マスタ!$N$5:$AE$4999,18,FALSE),"")))</f>
        <v>1125</v>
      </c>
      <c r="X486" s="256">
        <f>IF(D486="","",VLOOKUP(D486,契約台帳!$A$3:$Q$4986,17,FALSE))</f>
        <v>2</v>
      </c>
      <c r="Y486" s="256" t="str">
        <f>IF(D486="","",VLOOKUP(D486,契約台帳!$A$3:$E$4986,5,FALSE))</f>
        <v>リンテック㈱</v>
      </c>
      <c r="Z486" s="54">
        <v>45097</v>
      </c>
      <c r="AA486" s="200" t="str">
        <f>IFERROR(VLOOKUP(F486&amp;K486&amp;M486,製品マスタ!$M$5:$AM$4999,27,FALSE),"")</f>
        <v>原反ケース再利用</v>
      </c>
      <c r="AB486" s="31"/>
      <c r="AC486" s="184"/>
      <c r="AD486" s="51" t="str">
        <f>IF(F486="","",+F486&amp;K486)</f>
        <v>3SNMLBMNGTBF50</v>
      </c>
      <c r="AE486" s="52">
        <f>+M486*N486*O486/1000</f>
        <v>33600</v>
      </c>
      <c r="AF486" s="41">
        <f>IF(AD486="","",VLOOKUP(AD486,原価マスタ!$A$2:$AJ$1693,13,FALSE))</f>
        <v>99</v>
      </c>
      <c r="AG486" s="45">
        <f>IF(AF486="","",+AE486*AF486/100)</f>
        <v>33264</v>
      </c>
      <c r="AH486" s="28"/>
      <c r="AI486" s="28"/>
      <c r="AJ486" s="28"/>
      <c r="AK486" s="28"/>
      <c r="AL486" s="12"/>
      <c r="AM486" s="12"/>
      <c r="AN486" s="12"/>
      <c r="AO486" s="12"/>
      <c r="AP486" s="12"/>
      <c r="AQ486" s="13"/>
      <c r="AR486" s="14"/>
    </row>
    <row r="487" spans="1:44" s="16" customFormat="1" ht="30.95" hidden="1" customHeight="1" x14ac:dyDescent="0.2">
      <c r="A487" s="35"/>
      <c r="B487" s="36"/>
      <c r="C487" s="43"/>
      <c r="D487" s="29"/>
      <c r="E487" s="29"/>
      <c r="F487" s="255"/>
      <c r="G487" s="256"/>
      <c r="H487" s="256"/>
      <c r="I487" s="200"/>
      <c r="J487" s="30"/>
      <c r="K487" s="200"/>
      <c r="L487" s="200"/>
      <c r="M487" s="37"/>
      <c r="N487" s="37"/>
      <c r="O487" s="45"/>
      <c r="P487" s="54"/>
      <c r="Q487" s="260"/>
      <c r="R487" s="261"/>
      <c r="S487" s="261"/>
      <c r="T487" s="38"/>
      <c r="U487" s="261"/>
      <c r="V487" s="256"/>
      <c r="W487" s="256"/>
      <c r="X487" s="256"/>
      <c r="Y487" s="256"/>
      <c r="Z487" s="54"/>
      <c r="AA487" s="200"/>
      <c r="AB487" s="31"/>
      <c r="AC487" s="184"/>
      <c r="AD487" s="51"/>
      <c r="AE487" s="52"/>
      <c r="AF487" s="41"/>
      <c r="AG487" s="45"/>
      <c r="AH487" s="28"/>
      <c r="AI487" s="28"/>
      <c r="AJ487" s="28"/>
      <c r="AK487" s="28"/>
      <c r="AL487" s="12"/>
      <c r="AM487" s="12"/>
      <c r="AN487" s="12"/>
      <c r="AO487" s="12"/>
      <c r="AP487" s="12"/>
      <c r="AQ487" s="13"/>
      <c r="AR487" s="14"/>
    </row>
    <row r="488" spans="1:44" s="16" customFormat="1" ht="30.95" hidden="1" customHeight="1" x14ac:dyDescent="0.2">
      <c r="A488" s="35" t="s">
        <v>1209</v>
      </c>
      <c r="B488" s="36" t="s">
        <v>1194</v>
      </c>
      <c r="C488" s="43"/>
      <c r="D488" s="29"/>
      <c r="E488" s="29"/>
      <c r="F488" s="255"/>
      <c r="G488" s="256"/>
      <c r="H488" s="256"/>
      <c r="I488" s="200"/>
      <c r="J488" s="30" t="s">
        <v>448</v>
      </c>
      <c r="K488" s="200"/>
      <c r="L488" s="200"/>
      <c r="M488" s="37"/>
      <c r="N488" s="37"/>
      <c r="O488" s="45"/>
      <c r="P488" s="54"/>
      <c r="Q488" s="260"/>
      <c r="R488" s="261"/>
      <c r="S488" s="261"/>
      <c r="T488" s="38"/>
      <c r="U488" s="261"/>
      <c r="V488" s="256"/>
      <c r="W488" s="256"/>
      <c r="X488" s="256"/>
      <c r="Y488" s="256"/>
      <c r="Z488" s="54"/>
      <c r="AA488" s="200"/>
      <c r="AB488" s="31"/>
      <c r="AC488" s="184"/>
      <c r="AD488" s="51"/>
      <c r="AE488" s="52"/>
      <c r="AF488" s="41"/>
      <c r="AG488" s="45"/>
      <c r="AH488" s="28"/>
      <c r="AI488" s="28"/>
      <c r="AJ488" s="28"/>
      <c r="AK488" s="28"/>
      <c r="AL488" s="12"/>
      <c r="AM488" s="12"/>
      <c r="AN488" s="12"/>
      <c r="AO488" s="12"/>
      <c r="AP488" s="12"/>
      <c r="AQ488" s="13"/>
      <c r="AR488" s="14"/>
    </row>
    <row r="489" spans="1:44" s="16" customFormat="1" ht="30.95" hidden="1" customHeight="1" x14ac:dyDescent="0.2">
      <c r="A489" s="35"/>
      <c r="B489" s="36"/>
      <c r="C489" s="43"/>
      <c r="D489" s="29"/>
      <c r="E489" s="29"/>
      <c r="F489" s="255"/>
      <c r="G489" s="256"/>
      <c r="H489" s="256"/>
      <c r="I489" s="200"/>
      <c r="J489" s="30"/>
      <c r="K489" s="200"/>
      <c r="L489" s="200"/>
      <c r="M489" s="37"/>
      <c r="N489" s="37"/>
      <c r="O489" s="45"/>
      <c r="P489" s="54"/>
      <c r="Q489" s="260"/>
      <c r="R489" s="261"/>
      <c r="S489" s="261"/>
      <c r="T489" s="38"/>
      <c r="U489" s="261"/>
      <c r="V489" s="256"/>
      <c r="W489" s="256"/>
      <c r="X489" s="256"/>
      <c r="Y489" s="256"/>
      <c r="Z489" s="54"/>
      <c r="AA489" s="200"/>
      <c r="AB489" s="31"/>
      <c r="AC489" s="184"/>
      <c r="AD489" s="51"/>
      <c r="AE489" s="52"/>
      <c r="AF489" s="41"/>
      <c r="AG489" s="45"/>
      <c r="AH489" s="28"/>
      <c r="AI489" s="28"/>
      <c r="AJ489" s="28"/>
      <c r="AK489" s="28"/>
      <c r="AL489" s="12"/>
      <c r="AM489" s="12"/>
      <c r="AN489" s="12"/>
      <c r="AO489" s="12"/>
      <c r="AP489" s="12"/>
      <c r="AQ489" s="13"/>
      <c r="AR489" s="14"/>
    </row>
    <row r="490" spans="1:44" s="16" customFormat="1" ht="30.95" hidden="1" customHeight="1" x14ac:dyDescent="0.2">
      <c r="A490" s="35" t="s">
        <v>1210</v>
      </c>
      <c r="B490" s="36" t="s">
        <v>1196</v>
      </c>
      <c r="C490" s="43"/>
      <c r="D490" s="29"/>
      <c r="E490" s="29"/>
      <c r="F490" s="255"/>
      <c r="G490" s="256"/>
      <c r="H490" s="256"/>
      <c r="I490" s="200"/>
      <c r="J490" s="30" t="s">
        <v>448</v>
      </c>
      <c r="K490" s="200"/>
      <c r="L490" s="200"/>
      <c r="M490" s="37"/>
      <c r="N490" s="37"/>
      <c r="O490" s="45"/>
      <c r="P490" s="54"/>
      <c r="Q490" s="260"/>
      <c r="R490" s="261"/>
      <c r="S490" s="261"/>
      <c r="T490" s="38"/>
      <c r="U490" s="261"/>
      <c r="V490" s="256"/>
      <c r="W490" s="256"/>
      <c r="X490" s="256"/>
      <c r="Y490" s="256"/>
      <c r="Z490" s="54"/>
      <c r="AA490" s="200"/>
      <c r="AB490" s="31"/>
      <c r="AC490" s="184"/>
      <c r="AD490" s="51"/>
      <c r="AE490" s="52"/>
      <c r="AF490" s="41"/>
      <c r="AG490" s="45"/>
      <c r="AH490" s="28"/>
      <c r="AI490" s="28"/>
      <c r="AJ490" s="28"/>
      <c r="AK490" s="28"/>
      <c r="AL490" s="12"/>
      <c r="AM490" s="12"/>
      <c r="AN490" s="12"/>
      <c r="AO490" s="12"/>
      <c r="AP490" s="12"/>
      <c r="AQ490" s="13"/>
      <c r="AR490" s="14"/>
    </row>
    <row r="491" spans="1:44" s="16" customFormat="1" ht="30.95" hidden="1" customHeight="1" x14ac:dyDescent="0.2">
      <c r="A491" s="35"/>
      <c r="B491" s="36"/>
      <c r="C491" s="43"/>
      <c r="D491" s="29"/>
      <c r="E491" s="29"/>
      <c r="F491" s="255"/>
      <c r="G491" s="256"/>
      <c r="H491" s="256"/>
      <c r="I491" s="200"/>
      <c r="J491" s="30"/>
      <c r="K491" s="200"/>
      <c r="L491" s="200"/>
      <c r="M491" s="37"/>
      <c r="N491" s="37"/>
      <c r="O491" s="45"/>
      <c r="P491" s="54"/>
      <c r="Q491" s="260"/>
      <c r="R491" s="261"/>
      <c r="S491" s="261"/>
      <c r="T491" s="38"/>
      <c r="U491" s="261"/>
      <c r="V491" s="256"/>
      <c r="W491" s="256"/>
      <c r="X491" s="256"/>
      <c r="Y491" s="256"/>
      <c r="Z491" s="54"/>
      <c r="AA491" s="200"/>
      <c r="AB491" s="31"/>
      <c r="AC491" s="184"/>
      <c r="AD491" s="51"/>
      <c r="AE491" s="52"/>
      <c r="AF491" s="41"/>
      <c r="AG491" s="45"/>
      <c r="AH491" s="28"/>
      <c r="AI491" s="28"/>
      <c r="AJ491" s="28"/>
      <c r="AK491" s="28"/>
      <c r="AL491" s="12"/>
      <c r="AM491" s="12"/>
      <c r="AN491" s="12"/>
      <c r="AO491" s="12"/>
      <c r="AP491" s="12"/>
      <c r="AQ491" s="13"/>
      <c r="AR491" s="14"/>
    </row>
    <row r="492" spans="1:44" s="16" customFormat="1" ht="30.95" hidden="1" customHeight="1" x14ac:dyDescent="0.2">
      <c r="A492" s="35" t="s">
        <v>1223</v>
      </c>
      <c r="B492" s="36" t="s">
        <v>462</v>
      </c>
      <c r="C492" s="43"/>
      <c r="D492" s="29">
        <v>3712101</v>
      </c>
      <c r="E492" s="29">
        <v>4151377</v>
      </c>
      <c r="F492" s="255" t="str">
        <f>IF(D492="","",VLOOKUP(D492,契約台帳!$A$3:$K$4986,6,FALSE)&amp;VLOOKUP(D492,契約台帳!$A$3:$K$4986,7,FALSE)&amp;VLOOKUP(D492,契約台帳!$A$3:$K$4986,8,FALSE)&amp;VLOOKUP(D492,契約台帳!$A$3:$K$4986,9,FALSE)&amp;VLOOKUP(D492,契約台帳!$A$3:$K$4986,11,FALSE))</f>
        <v>3SNMLBMNGKKBF</v>
      </c>
      <c r="G492" s="256" t="str">
        <f>IF(D492="","",VLOOKUP(F492,製品マスタ!$G$5:$H$4999,2,FALSE))</f>
        <v>S</v>
      </c>
      <c r="H492" s="256" t="str">
        <f>IF(D492="","",VLOOKUP(F492,製品マスタ!$G$5:$K$4999,5,FALSE))</f>
        <v>MNGKKBF</v>
      </c>
      <c r="I492" s="200" t="str">
        <f>IF(D492="","",VLOOKUP(F492,製品マスタ!$G$5:$L$4999,6,FALSE))</f>
        <v>メタルミー　ネーマー銀消改　Ｂ</v>
      </c>
      <c r="J492" s="30" t="s">
        <v>447</v>
      </c>
      <c r="K492" s="200">
        <f>IF(D492="","",VLOOKUP(D492,契約台帳!$A$3:$L$4986,12,FALSE))</f>
        <v>50</v>
      </c>
      <c r="L492" s="200" t="str">
        <f>IF(D492="","",INDEX(製品マスタ!$Q$5:$Q$4999,MATCH(F492&amp;K492,製品マスタ!$AO$5:$AO$4999,0)))</f>
        <v>S99-MAT</v>
      </c>
      <c r="M492" s="37">
        <v>1120</v>
      </c>
      <c r="N492" s="37">
        <v>12000</v>
      </c>
      <c r="O492" s="45">
        <v>6</v>
      </c>
      <c r="P492" s="54"/>
      <c r="Q492" s="260">
        <f>IF(D492="","",IF(J492="リード付け",M492,VLOOKUP(D492,契約台帳!$A$3:$N$4986,14,FALSE)))</f>
        <v>1120</v>
      </c>
      <c r="R492" s="261">
        <f>IF(D492="","",IF(J492="リード付け",M492,VLOOKUP(D492,契約台帳!$A$3:$O$4986,15,FALSE)))</f>
        <v>1120</v>
      </c>
      <c r="S492" s="261">
        <f>IF(D492="","",IF(J492="リード付け",N492,VLOOKUP(D492,契約台帳!$A$3:$P$4986,16,FALSE)))</f>
        <v>4000</v>
      </c>
      <c r="T492" s="38">
        <v>18</v>
      </c>
      <c r="U492" s="261">
        <f ca="1">IF(D492="","",IF(OFFSET(D492,-2,0)=D492,"",VLOOKUP(D492,契約台帳!$A$3:$R$4986,18,FALSE)))</f>
        <v>18</v>
      </c>
      <c r="V492" s="256" t="str">
        <f>IF(J492="巻返し",VLOOKUP(F492&amp;K492&amp;M492,製品マスタ!$M$5:$AD$4999,18,FALSE),IF(J492="リード付け","原反コア",IF(J492="スリット",VLOOKUP(F492&amp;K492&amp;Q492,製品マスタ!$N$5:$AD$4999,17,FALSE),"")))</f>
        <v>6ｲﾝﾁSｺｱ</v>
      </c>
      <c r="W492" s="256">
        <f>IF(J492="巻返し",VLOOKUP(F492&amp;K492&amp;M492,製品マスタ!$M$5:$AE$4999,19,FALSE),IF(J492="リード付け","-",IF(J492="スリット",VLOOKUP(F492&amp;K492&amp;Q492,製品マスタ!$N$5:$AE$4999,18,FALSE),"")))</f>
        <v>1125</v>
      </c>
      <c r="X492" s="256">
        <f>IF(D492="","",VLOOKUP(D492,契約台帳!$A$3:$Q$4986,17,FALSE))</f>
        <v>2</v>
      </c>
      <c r="Y492" s="256" t="str">
        <f>IF(D492="","",VLOOKUP(D492,契約台帳!$A$3:$E$4986,5,FALSE))</f>
        <v>リンテック㈱</v>
      </c>
      <c r="Z492" s="54">
        <v>45098</v>
      </c>
      <c r="AA492" s="200">
        <f>IFERROR(VLOOKUP(F492&amp;K492&amp;M492,製品マスタ!$M$5:$AM$4999,27,FALSE),"")</f>
        <v>0</v>
      </c>
      <c r="AB492" s="31"/>
      <c r="AC492" s="184"/>
      <c r="AD492" s="51" t="str">
        <f>IF(F492="","",+F492&amp;K492)</f>
        <v>3SNMLBMNGKKBF50</v>
      </c>
      <c r="AE492" s="52">
        <f>+M492*N492*O492/1000</f>
        <v>80640</v>
      </c>
      <c r="AF492" s="41">
        <f>IF(AD492="","",VLOOKUP(AD492,原価マスタ!$A$2:$AJ$1693,13,FALSE))</f>
        <v>99</v>
      </c>
      <c r="AG492" s="45">
        <f>IF(AF492="","",+AE492*AF492/100)</f>
        <v>79833.600000000006</v>
      </c>
      <c r="AH492" s="28"/>
      <c r="AI492" s="28"/>
      <c r="AJ492" s="28"/>
      <c r="AK492" s="28"/>
      <c r="AL492" s="12"/>
      <c r="AM492" s="12"/>
      <c r="AN492" s="12"/>
      <c r="AO492" s="12"/>
      <c r="AP492" s="12"/>
      <c r="AQ492" s="13"/>
      <c r="AR492" s="14"/>
    </row>
    <row r="493" spans="1:44" s="16" customFormat="1" ht="30.95" hidden="1" customHeight="1" x14ac:dyDescent="0.2">
      <c r="A493" s="35"/>
      <c r="B493" s="36"/>
      <c r="C493" s="43"/>
      <c r="D493" s="29"/>
      <c r="E493" s="29"/>
      <c r="F493" s="255"/>
      <c r="G493" s="256"/>
      <c r="H493" s="256"/>
      <c r="I493" s="200"/>
      <c r="J493" s="30"/>
      <c r="K493" s="200"/>
      <c r="L493" s="200"/>
      <c r="M493" s="37"/>
      <c r="N493" s="37"/>
      <c r="O493" s="45"/>
      <c r="P493" s="54"/>
      <c r="Q493" s="260"/>
      <c r="R493" s="261"/>
      <c r="S493" s="261"/>
      <c r="T493" s="38"/>
      <c r="U493" s="261"/>
      <c r="V493" s="256"/>
      <c r="W493" s="256"/>
      <c r="X493" s="256"/>
      <c r="Y493" s="256"/>
      <c r="Z493" s="54"/>
      <c r="AA493" s="200"/>
      <c r="AB493" s="31"/>
      <c r="AC493" s="184"/>
      <c r="AD493" s="51"/>
      <c r="AE493" s="52"/>
      <c r="AF493" s="41"/>
      <c r="AG493" s="45"/>
      <c r="AH493" s="28"/>
      <c r="AI493" s="28"/>
      <c r="AJ493" s="28"/>
      <c r="AK493" s="28"/>
      <c r="AL493" s="12"/>
      <c r="AM493" s="12"/>
      <c r="AN493" s="12"/>
      <c r="AO493" s="12"/>
      <c r="AP493" s="12"/>
      <c r="AQ493" s="13"/>
      <c r="AR493" s="14"/>
    </row>
    <row r="494" spans="1:44" s="16" customFormat="1" ht="30.95" hidden="1" customHeight="1" x14ac:dyDescent="0.2">
      <c r="A494" s="35" t="s">
        <v>1224</v>
      </c>
      <c r="B494" s="36" t="s">
        <v>688</v>
      </c>
      <c r="C494" s="43"/>
      <c r="D494" s="29">
        <v>3712102</v>
      </c>
      <c r="E494" s="29">
        <v>4151378</v>
      </c>
      <c r="F494" s="255" t="str">
        <f>IF(D494="","",VLOOKUP(D494,契約台帳!$A$3:$K$4986,6,FALSE)&amp;VLOOKUP(D494,契約台帳!$A$3:$K$4986,7,FALSE)&amp;VLOOKUP(D494,契約台帳!$A$3:$K$4986,8,FALSE)&amp;VLOOKUP(D494,契約台帳!$A$3:$K$4986,9,FALSE)&amp;VLOOKUP(D494,契約台帳!$A$3:$K$4986,11,FALSE))</f>
        <v>3SNMLBMNGKKBF</v>
      </c>
      <c r="G494" s="256" t="str">
        <f>IF(D494="","",VLOOKUP(F494,製品マスタ!$G$5:$H$4999,2,FALSE))</f>
        <v>S</v>
      </c>
      <c r="H494" s="256" t="str">
        <f>IF(D494="","",VLOOKUP(F494,製品マスタ!$G$5:$K$4999,5,FALSE))</f>
        <v>MNGKKBF</v>
      </c>
      <c r="I494" s="200" t="str">
        <f>IF(D494="","",VLOOKUP(F494,製品マスタ!$G$5:$L$4999,6,FALSE))</f>
        <v>メタルミー　ネーマー銀消改　Ｂ</v>
      </c>
      <c r="J494" s="30" t="s">
        <v>447</v>
      </c>
      <c r="K494" s="200">
        <f>IF(D494="","",VLOOKUP(D494,契約台帳!$A$3:$L$4986,12,FALSE))</f>
        <v>50</v>
      </c>
      <c r="L494" s="200" t="str">
        <f>IF(D494="","",INDEX(製品マスタ!$Q$5:$Q$4999,MATCH(F494&amp;K494,製品マスタ!$AO$5:$AO$4999,0)))</f>
        <v>S99-MAT</v>
      </c>
      <c r="M494" s="37">
        <v>1120</v>
      </c>
      <c r="N494" s="37">
        <v>12000</v>
      </c>
      <c r="O494" s="45">
        <v>3</v>
      </c>
      <c r="P494" s="54"/>
      <c r="Q494" s="260">
        <f>IF(D494="","",IF(J494="リード付け",M494,VLOOKUP(D494,契約台帳!$A$3:$N$4986,14,FALSE)))</f>
        <v>1120</v>
      </c>
      <c r="R494" s="261">
        <f>IF(D494="","",IF(J494="リード付け",M494,VLOOKUP(D494,契約台帳!$A$3:$O$4986,15,FALSE)))</f>
        <v>1120</v>
      </c>
      <c r="S494" s="261">
        <f>IF(D494="","",IF(J494="リード付け",N494,VLOOKUP(D494,契約台帳!$A$3:$P$4986,16,FALSE)))</f>
        <v>4000</v>
      </c>
      <c r="T494" s="38">
        <v>9</v>
      </c>
      <c r="U494" s="261">
        <f ca="1">IF(D494="","",IF(OFFSET(D494,-2,0)=D494,"",VLOOKUP(D494,契約台帳!$A$3:$R$4986,18,FALSE)))</f>
        <v>9</v>
      </c>
      <c r="V494" s="256" t="str">
        <f>IF(J494="巻返し",VLOOKUP(F494&amp;K494&amp;M494,製品マスタ!$M$5:$AD$4999,18,FALSE),IF(J494="リード付け","原反コア",IF(J494="スリット",VLOOKUP(F494&amp;K494&amp;Q494,製品マスタ!$N$5:$AD$4999,17,FALSE),"")))</f>
        <v>6ｲﾝﾁSｺｱ</v>
      </c>
      <c r="W494" s="256">
        <f>IF(J494="巻返し",VLOOKUP(F494&amp;K494&amp;M494,製品マスタ!$M$5:$AE$4999,19,FALSE),IF(J494="リード付け","-",IF(J494="スリット",VLOOKUP(F494&amp;K494&amp;Q494,製品マスタ!$N$5:$AE$4999,18,FALSE),"")))</f>
        <v>1125</v>
      </c>
      <c r="X494" s="256">
        <f>IF(D494="","",VLOOKUP(D494,契約台帳!$A$3:$Q$4986,17,FALSE))</f>
        <v>2</v>
      </c>
      <c r="Y494" s="256" t="str">
        <f>IF(D494="","",VLOOKUP(D494,契約台帳!$A$3:$E$4986,5,FALSE))</f>
        <v>リンテック㈱</v>
      </c>
      <c r="Z494" s="54">
        <v>45099</v>
      </c>
      <c r="AA494" s="200">
        <f>IFERROR(VLOOKUP(F494&amp;K494&amp;M494,製品マスタ!$M$5:$AM$4999,27,FALSE),"")</f>
        <v>0</v>
      </c>
      <c r="AB494" s="31"/>
      <c r="AC494" s="184"/>
      <c r="AD494" s="51" t="str">
        <f>IF(F494="","",+F494&amp;K494)</f>
        <v>3SNMLBMNGKKBF50</v>
      </c>
      <c r="AE494" s="52">
        <f>+M494*N494*O494/1000</f>
        <v>40320</v>
      </c>
      <c r="AF494" s="41">
        <f>IF(AD494="","",VLOOKUP(AD494,原価マスタ!$A$2:$AJ$1693,13,FALSE))</f>
        <v>99</v>
      </c>
      <c r="AG494" s="45">
        <f>IF(AF494="","",+AE494*AF494/100)</f>
        <v>39916.800000000003</v>
      </c>
      <c r="AH494" s="28"/>
      <c r="AI494" s="28"/>
      <c r="AJ494" s="28"/>
      <c r="AK494" s="28"/>
      <c r="AL494" s="12"/>
      <c r="AM494" s="12"/>
      <c r="AN494" s="12"/>
      <c r="AO494" s="12"/>
      <c r="AP494" s="12"/>
      <c r="AQ494" s="13"/>
      <c r="AR494" s="14"/>
    </row>
    <row r="495" spans="1:44" s="16" customFormat="1" ht="30.95" hidden="1" customHeight="1" x14ac:dyDescent="0.2">
      <c r="A495" s="35"/>
      <c r="B495" s="36"/>
      <c r="C495" s="43"/>
      <c r="D495" s="29"/>
      <c r="E495" s="29"/>
      <c r="F495" s="255"/>
      <c r="G495" s="256"/>
      <c r="H495" s="256"/>
      <c r="I495" s="200"/>
      <c r="J495" s="30"/>
      <c r="K495" s="200"/>
      <c r="L495" s="200"/>
      <c r="M495" s="37"/>
      <c r="N495" s="37"/>
      <c r="O495" s="45"/>
      <c r="P495" s="54"/>
      <c r="Q495" s="260"/>
      <c r="R495" s="261"/>
      <c r="S495" s="261"/>
      <c r="T495" s="38"/>
      <c r="U495" s="261"/>
      <c r="V495" s="256"/>
      <c r="W495" s="256"/>
      <c r="X495" s="256"/>
      <c r="Y495" s="256"/>
      <c r="Z495" s="54"/>
      <c r="AA495" s="200"/>
      <c r="AB495" s="31"/>
      <c r="AC495" s="184"/>
      <c r="AD495" s="51"/>
      <c r="AE495" s="52"/>
      <c r="AF495" s="41"/>
      <c r="AG495" s="45"/>
      <c r="AH495" s="28"/>
      <c r="AI495" s="28"/>
      <c r="AJ495" s="28"/>
      <c r="AK495" s="28"/>
      <c r="AL495" s="12"/>
      <c r="AM495" s="12"/>
      <c r="AN495" s="12"/>
      <c r="AO495" s="12"/>
      <c r="AP495" s="12"/>
      <c r="AQ495" s="13"/>
      <c r="AR495" s="14"/>
    </row>
    <row r="496" spans="1:44" s="16" customFormat="1" ht="30.95" hidden="1" customHeight="1" x14ac:dyDescent="0.2">
      <c r="A496" s="35"/>
      <c r="B496" s="36"/>
      <c r="C496" s="43"/>
      <c r="D496" s="29">
        <v>3712100</v>
      </c>
      <c r="E496" s="29">
        <v>4151376</v>
      </c>
      <c r="F496" s="255" t="str">
        <f>IF(D496="","",VLOOKUP(D496,契約台帳!$A$3:$K$4986,6,FALSE)&amp;VLOOKUP(D496,契約台帳!$A$3:$K$4986,7,FALSE)&amp;VLOOKUP(D496,契約台帳!$A$3:$K$4986,8,FALSE)&amp;VLOOKUP(D496,契約台帳!$A$3:$K$4986,9,FALSE)&amp;VLOOKUP(D496,契約台帳!$A$3:$K$4986,11,FALSE))</f>
        <v>3SNMLBMNGKKBF</v>
      </c>
      <c r="G496" s="256" t="str">
        <f>IF(D496="","",VLOOKUP(F496,製品マスタ!$G$5:$H$4999,2,FALSE))</f>
        <v>S</v>
      </c>
      <c r="H496" s="256" t="str">
        <f>IF(D496="","",VLOOKUP(F496,製品マスタ!$G$5:$K$4999,5,FALSE))</f>
        <v>MNGKKBF</v>
      </c>
      <c r="I496" s="200" t="str">
        <f>IF(D496="","",VLOOKUP(F496,製品マスタ!$G$5:$L$4999,6,FALSE))</f>
        <v>メタルミー　ネーマー銀消改　Ｂ</v>
      </c>
      <c r="J496" s="30" t="s">
        <v>447</v>
      </c>
      <c r="K496" s="200">
        <f>IF(D496="","",VLOOKUP(D496,契約台帳!$A$3:$L$4986,12,FALSE))</f>
        <v>25</v>
      </c>
      <c r="L496" s="200" t="str">
        <f>IF(D496="","",INDEX(製品マスタ!$Q$5:$Q$4999,MATCH(F496&amp;K496,製品マスタ!$AO$5:$AO$4999,0)))</f>
        <v>FMATS99</v>
      </c>
      <c r="M496" s="37">
        <v>1120</v>
      </c>
      <c r="N496" s="37">
        <v>12000</v>
      </c>
      <c r="O496" s="45">
        <v>1</v>
      </c>
      <c r="P496" s="54"/>
      <c r="Q496" s="260">
        <f>IF(D496="","",IF(J496="リード付け",M496,VLOOKUP(D496,契約台帳!$A$3:$N$4986,14,FALSE)))</f>
        <v>1120</v>
      </c>
      <c r="R496" s="261">
        <f>IF(D496="","",IF(J496="リード付け",M496,VLOOKUP(D496,契約台帳!$A$3:$O$4986,15,FALSE)))</f>
        <v>1120</v>
      </c>
      <c r="S496" s="261">
        <f>IF(D496="","",IF(J496="リード付け",N496,VLOOKUP(D496,契約台帳!$A$3:$P$4986,16,FALSE)))</f>
        <v>4000</v>
      </c>
      <c r="T496" s="38">
        <v>3</v>
      </c>
      <c r="U496" s="261">
        <f ca="1">IF(D496="","",IF(OFFSET(D496,-2,0)=D496,"",VLOOKUP(D496,契約台帳!$A$3:$R$4986,18,FALSE)))</f>
        <v>3</v>
      </c>
      <c r="V496" s="256" t="str">
        <f>IF(J496="巻返し",VLOOKUP(F496&amp;K496&amp;M496,製品マスタ!$M$5:$AD$4999,18,FALSE),IF(J496="リード付け","原反コア",IF(J496="スリット",VLOOKUP(F496&amp;K496&amp;Q496,製品マスタ!$N$5:$AD$4999,17,FALSE),"")))</f>
        <v>6ｲﾝﾁSｺｱ</v>
      </c>
      <c r="W496" s="256">
        <f>IF(J496="巻返し",VLOOKUP(F496&amp;K496&amp;M496,製品マスタ!$M$5:$AE$4999,19,FALSE),IF(J496="リード付け","-",IF(J496="スリット",VLOOKUP(F496&amp;K496&amp;Q496,製品マスタ!$N$5:$AE$4999,18,FALSE),"")))</f>
        <v>1125</v>
      </c>
      <c r="X496" s="256">
        <f>IF(D496="","",VLOOKUP(D496,契約台帳!$A$3:$Q$4986,17,FALSE))</f>
        <v>2</v>
      </c>
      <c r="Y496" s="256" t="str">
        <f>IF(D496="","",VLOOKUP(D496,契約台帳!$A$3:$E$4986,5,FALSE))</f>
        <v>リンテック㈱</v>
      </c>
      <c r="Z496" s="54">
        <v>45099</v>
      </c>
      <c r="AA496" s="200">
        <f>IFERROR(VLOOKUP(F496&amp;K496&amp;M496,製品マスタ!$M$5:$AM$4999,27,FALSE),"")</f>
        <v>0</v>
      </c>
      <c r="AB496" s="31"/>
      <c r="AC496" s="184"/>
      <c r="AD496" s="51" t="str">
        <f>IF(F496="","",+F496&amp;K496)</f>
        <v>3SNMLBMNGKKBF25</v>
      </c>
      <c r="AE496" s="52">
        <f>+M496*N496*O496/1000</f>
        <v>13440</v>
      </c>
      <c r="AF496" s="41">
        <f>IF(AD496="","",VLOOKUP(AD496,原価マスタ!$A$2:$AJ$1693,13,FALSE))</f>
        <v>96</v>
      </c>
      <c r="AG496" s="45">
        <f>IF(AF496="","",+AE496*AF496/100)</f>
        <v>12902.4</v>
      </c>
      <c r="AH496" s="28"/>
      <c r="AI496" s="28"/>
      <c r="AJ496" s="28"/>
      <c r="AK496" s="28"/>
      <c r="AL496" s="12"/>
      <c r="AM496" s="12"/>
      <c r="AN496" s="12"/>
      <c r="AO496" s="12"/>
      <c r="AP496" s="12"/>
      <c r="AQ496" s="13"/>
      <c r="AR496" s="14"/>
    </row>
    <row r="497" spans="1:44" s="16" customFormat="1" ht="30.95" hidden="1" customHeight="1" x14ac:dyDescent="0.2">
      <c r="A497" s="35"/>
      <c r="B497" s="36"/>
      <c r="C497" s="43"/>
      <c r="D497" s="29"/>
      <c r="E497" s="29"/>
      <c r="F497" s="255"/>
      <c r="G497" s="256"/>
      <c r="H497" s="256"/>
      <c r="I497" s="200"/>
      <c r="J497" s="30"/>
      <c r="K497" s="200"/>
      <c r="L497" s="200"/>
      <c r="M497" s="37"/>
      <c r="N497" s="37"/>
      <c r="O497" s="45"/>
      <c r="P497" s="54"/>
      <c r="Q497" s="260"/>
      <c r="R497" s="261"/>
      <c r="S497" s="261"/>
      <c r="T497" s="38"/>
      <c r="U497" s="261"/>
      <c r="V497" s="256"/>
      <c r="W497" s="256"/>
      <c r="X497" s="256"/>
      <c r="Y497" s="256"/>
      <c r="Z497" s="54"/>
      <c r="AA497" s="200"/>
      <c r="AB497" s="31"/>
      <c r="AC497" s="184"/>
      <c r="AD497" s="51"/>
      <c r="AE497" s="52"/>
      <c r="AF497" s="41"/>
      <c r="AG497" s="45"/>
      <c r="AH497" s="28"/>
      <c r="AI497" s="28"/>
      <c r="AJ497" s="28"/>
      <c r="AK497" s="28"/>
      <c r="AL497" s="12"/>
      <c r="AM497" s="12"/>
      <c r="AN497" s="12"/>
      <c r="AO497" s="12"/>
      <c r="AP497" s="12"/>
      <c r="AQ497" s="13"/>
      <c r="AR497" s="14"/>
    </row>
    <row r="498" spans="1:44" s="16" customFormat="1" ht="30.95" hidden="1" customHeight="1" x14ac:dyDescent="0.2">
      <c r="A498" s="35" t="s">
        <v>1250</v>
      </c>
      <c r="B498" s="36" t="s">
        <v>1251</v>
      </c>
      <c r="C498" s="43"/>
      <c r="D498" s="29">
        <v>3712104</v>
      </c>
      <c r="E498" s="29">
        <v>4151374</v>
      </c>
      <c r="F498" s="255" t="str">
        <f>IF(D498="","",VLOOKUP(D498,契約台帳!$A$3:$K$4986,6,FALSE)&amp;VLOOKUP(D498,契約台帳!$A$3:$K$4986,7,FALSE)&amp;VLOOKUP(D498,契約台帳!$A$3:$K$4986,8,FALSE)&amp;VLOOKUP(D498,契約台帳!$A$3:$K$4986,9,FALSE)&amp;VLOOKUP(D498,契約台帳!$A$3:$K$4986,11,FALSE))</f>
        <v>3SNMLBMNGKBF</v>
      </c>
      <c r="G498" s="256" t="str">
        <f>IF(D498="","",VLOOKUP(F498,製品マスタ!$G$5:$H$4999,2,FALSE))</f>
        <v>S</v>
      </c>
      <c r="H498" s="256" t="str">
        <f>IF(D498="","",VLOOKUP(F498,製品マスタ!$G$5:$K$4999,5,FALSE))</f>
        <v>MNGKBF</v>
      </c>
      <c r="I498" s="200" t="str">
        <f>IF(D498="","",VLOOKUP(F498,製品マスタ!$G$5:$L$4999,6,FALSE))</f>
        <v>メタルミー　ネーマー銀消　Ｂ</v>
      </c>
      <c r="J498" s="30" t="s">
        <v>447</v>
      </c>
      <c r="K498" s="200">
        <f>IF(D498="","",VLOOKUP(D498,契約台帳!$A$3:$L$4986,12,FALSE))</f>
        <v>75</v>
      </c>
      <c r="L498" s="200" t="str">
        <f>IF(D498="","",INDEX(製品マスタ!$Q$5:$Q$4999,MATCH(F498&amp;K498,製品マスタ!$AO$5:$AO$4999,0)))</f>
        <v>MAT</v>
      </c>
      <c r="M498" s="37">
        <v>1050</v>
      </c>
      <c r="N498" s="37">
        <v>4000</v>
      </c>
      <c r="O498" s="45">
        <v>1</v>
      </c>
      <c r="P498" s="54"/>
      <c r="Q498" s="260">
        <f>IF(D498="","",IF(J498="リード付け",M498,VLOOKUP(D498,契約台帳!$A$3:$N$4986,14,FALSE)))</f>
        <v>1050</v>
      </c>
      <c r="R498" s="261">
        <f>IF(D498="","",IF(J498="リード付け",M498,VLOOKUP(D498,契約台帳!$A$3:$O$4986,15,FALSE)))</f>
        <v>1050</v>
      </c>
      <c r="S498" s="261">
        <f>IF(D498="","",IF(J498="リード付け",N498,VLOOKUP(D498,契約台帳!$A$3:$P$4986,16,FALSE)))</f>
        <v>2000</v>
      </c>
      <c r="T498" s="38">
        <v>2</v>
      </c>
      <c r="U498" s="261">
        <f ca="1">IF(D498="","",IF(OFFSET(D498,-2,0)=D498,"",VLOOKUP(D498,契約台帳!$A$3:$R$4986,18,FALSE)))</f>
        <v>2</v>
      </c>
      <c r="V498" s="256" t="str">
        <f>IF(J498="巻返し",VLOOKUP(F498&amp;K498&amp;M498,製品マスタ!$M$5:$AD$4999,18,FALSE),IF(J498="リード付け","原反コア",IF(J498="スリット",VLOOKUP(F498&amp;K498&amp;Q498,製品マスタ!$N$5:$AD$4999,17,FALSE),"")))</f>
        <v>6ｲﾝﾁSｺｱ</v>
      </c>
      <c r="W498" s="256">
        <f>IF(J498="巻返し",VLOOKUP(F498&amp;K498&amp;M498,製品マスタ!$M$5:$AE$4999,19,FALSE),IF(J498="リード付け","-",IF(J498="スリット",VLOOKUP(F498&amp;K498&amp;Q498,製品マスタ!$N$5:$AE$4999,18,FALSE),"")))</f>
        <v>1055</v>
      </c>
      <c r="X498" s="256">
        <f>IF(D498="","",VLOOKUP(D498,契約台帳!$A$3:$Q$4986,17,FALSE))</f>
        <v>2</v>
      </c>
      <c r="Y498" s="256" t="str">
        <f>IF(D498="","",VLOOKUP(D498,契約台帳!$A$3:$E$4986,5,FALSE))</f>
        <v>リンテック㈱</v>
      </c>
      <c r="Z498" s="54">
        <v>45100</v>
      </c>
      <c r="AA498" s="200">
        <f>IFERROR(VLOOKUP(F498&amp;K498&amp;M498,製品マスタ!$M$5:$AM$4999,27,FALSE),"")</f>
        <v>0</v>
      </c>
      <c r="AB498" s="31"/>
      <c r="AC498" s="184"/>
      <c r="AD498" s="51" t="str">
        <f>IF(F498="","",+F498&amp;K498)</f>
        <v>3SNMLBMNGKBF75</v>
      </c>
      <c r="AE498" s="52">
        <f>+M498*N498*O498/1000</f>
        <v>4200</v>
      </c>
      <c r="AF498" s="41">
        <f>IF(AD498="","",VLOOKUP(AD498,原価マスタ!$A$2:$AJ$1693,13,FALSE))</f>
        <v>97</v>
      </c>
      <c r="AG498" s="45">
        <f>IF(AF498="","",+AE498*AF498/100)</f>
        <v>4074</v>
      </c>
      <c r="AH498" s="28"/>
      <c r="AI498" s="28"/>
      <c r="AJ498" s="28"/>
      <c r="AK498" s="28"/>
      <c r="AL498" s="12"/>
      <c r="AM498" s="12"/>
      <c r="AN498" s="12"/>
      <c r="AO498" s="12"/>
      <c r="AP498" s="12"/>
      <c r="AQ498" s="13"/>
      <c r="AR498" s="14"/>
    </row>
    <row r="499" spans="1:44" s="16" customFormat="1" ht="30.95" hidden="1" customHeight="1" x14ac:dyDescent="0.2">
      <c r="A499" s="35"/>
      <c r="B499" s="36"/>
      <c r="C499" s="43"/>
      <c r="D499" s="29"/>
      <c r="E499" s="29"/>
      <c r="F499" s="255"/>
      <c r="G499" s="256"/>
      <c r="H499" s="256"/>
      <c r="I499" s="200"/>
      <c r="J499" s="30"/>
      <c r="K499" s="200"/>
      <c r="L499" s="200"/>
      <c r="M499" s="37"/>
      <c r="N499" s="37"/>
      <c r="O499" s="45"/>
      <c r="P499" s="54"/>
      <c r="Q499" s="260"/>
      <c r="R499" s="261"/>
      <c r="S499" s="261"/>
      <c r="T499" s="38"/>
      <c r="U499" s="261"/>
      <c r="V499" s="256"/>
      <c r="W499" s="256"/>
      <c r="X499" s="256"/>
      <c r="Y499" s="256"/>
      <c r="Z499" s="54"/>
      <c r="AA499" s="200"/>
      <c r="AB499" s="31"/>
      <c r="AC499" s="184"/>
      <c r="AD499" s="51"/>
      <c r="AE499" s="52"/>
      <c r="AF499" s="41"/>
      <c r="AG499" s="45"/>
      <c r="AH499" s="28"/>
      <c r="AI499" s="28"/>
      <c r="AJ499" s="28"/>
      <c r="AK499" s="28"/>
      <c r="AL499" s="12"/>
      <c r="AM499" s="12"/>
      <c r="AN499" s="12"/>
      <c r="AO499" s="12"/>
      <c r="AP499" s="12"/>
      <c r="AQ499" s="13"/>
      <c r="AR499" s="14"/>
    </row>
    <row r="500" spans="1:44" s="16" customFormat="1" ht="30.95" hidden="1" customHeight="1" x14ac:dyDescent="0.2">
      <c r="A500" s="35"/>
      <c r="B500" s="36"/>
      <c r="C500" s="43"/>
      <c r="D500" s="29">
        <v>3712103</v>
      </c>
      <c r="E500" s="29">
        <v>4151373</v>
      </c>
      <c r="F500" s="255" t="str">
        <f>IF(D500="","",VLOOKUP(D500,契約台帳!$A$3:$K$4986,6,FALSE)&amp;VLOOKUP(D500,契約台帳!$A$3:$K$4986,7,FALSE)&amp;VLOOKUP(D500,契約台帳!$A$3:$K$4986,8,FALSE)&amp;VLOOKUP(D500,契約台帳!$A$3:$K$4986,9,FALSE)&amp;VLOOKUP(D500,契約台帳!$A$3:$K$4986,11,FALSE))</f>
        <v>3SNMLBMNGKBF</v>
      </c>
      <c r="G500" s="256" t="str">
        <f>IF(D500="","",VLOOKUP(F500,製品マスタ!$G$5:$H$4999,2,FALSE))</f>
        <v>S</v>
      </c>
      <c r="H500" s="256" t="str">
        <f>IF(D500="","",VLOOKUP(F500,製品マスタ!$G$5:$K$4999,5,FALSE))</f>
        <v>MNGKBF</v>
      </c>
      <c r="I500" s="200" t="str">
        <f>IF(D500="","",VLOOKUP(F500,製品マスタ!$G$5:$L$4999,6,FALSE))</f>
        <v>メタルミー　ネーマー銀消　Ｂ</v>
      </c>
      <c r="J500" s="30" t="s">
        <v>447</v>
      </c>
      <c r="K500" s="200">
        <f>IF(D500="","",VLOOKUP(D500,契約台帳!$A$3:$L$4986,12,FALSE))</f>
        <v>50</v>
      </c>
      <c r="L500" s="200" t="str">
        <f>IF(D500="","",INDEX(製品マスタ!$Q$5:$Q$4999,MATCH(F500&amp;K500,製品マスタ!$AO$5:$AO$4999,0)))</f>
        <v>MAT</v>
      </c>
      <c r="M500" s="37">
        <v>1050</v>
      </c>
      <c r="N500" s="37">
        <v>8200</v>
      </c>
      <c r="O500" s="45">
        <v>2</v>
      </c>
      <c r="P500" s="54"/>
      <c r="Q500" s="260">
        <f>IF(D500="","",IF(J500="リード付け",M500,VLOOKUP(D500,契約台帳!$A$3:$N$4986,14,FALSE)))</f>
        <v>1050</v>
      </c>
      <c r="R500" s="261">
        <f>IF(D500="","",IF(J500="リード付け",M500,VLOOKUP(D500,契約台帳!$A$3:$O$4986,15,FALSE)))</f>
        <v>1050</v>
      </c>
      <c r="S500" s="261">
        <f>IF(D500="","",IF(J500="リード付け",N500,VLOOKUP(D500,契約台帳!$A$3:$P$4986,16,FALSE)))</f>
        <v>4100</v>
      </c>
      <c r="T500" s="38">
        <v>4</v>
      </c>
      <c r="U500" s="261">
        <f ca="1">IF(D500="","",IF(OFFSET(D500,-2,0)=D500,"",VLOOKUP(D500,契約台帳!$A$3:$R$4986,18,FALSE)))</f>
        <v>4</v>
      </c>
      <c r="V500" s="256" t="str">
        <f>IF(J500="巻返し",VLOOKUP(F500&amp;K500&amp;M500,製品マスタ!$M$5:$AD$4999,18,FALSE),IF(J500="リード付け","原反コア",IF(J500="スリット",VLOOKUP(F500&amp;K500&amp;Q500,製品マスタ!$N$5:$AD$4999,17,FALSE),"")))</f>
        <v>6ｲﾝﾁSｺｱ</v>
      </c>
      <c r="W500" s="256">
        <f>IF(J500="巻返し",VLOOKUP(F500&amp;K500&amp;M500,製品マスタ!$M$5:$AE$4999,19,FALSE),IF(J500="リード付け","-",IF(J500="スリット",VLOOKUP(F500&amp;K500&amp;Q500,製品マスタ!$N$5:$AE$4999,18,FALSE),"")))</f>
        <v>1055</v>
      </c>
      <c r="X500" s="256">
        <f>IF(D500="","",VLOOKUP(D500,契約台帳!$A$3:$Q$4986,17,FALSE))</f>
        <v>2</v>
      </c>
      <c r="Y500" s="256" t="str">
        <f>IF(D500="","",VLOOKUP(D500,契約台帳!$A$3:$E$4986,5,FALSE))</f>
        <v>リンテック㈱</v>
      </c>
      <c r="Z500" s="54">
        <v>45100</v>
      </c>
      <c r="AA500" s="200">
        <f>IFERROR(VLOOKUP(F500&amp;K500&amp;M500,製品マスタ!$M$5:$AM$4999,27,FALSE),"")</f>
        <v>0</v>
      </c>
      <c r="AB500" s="31"/>
      <c r="AC500" s="184"/>
      <c r="AD500" s="51" t="str">
        <f>IF(F500="","",+F500&amp;K500)</f>
        <v>3SNMLBMNGKBF50</v>
      </c>
      <c r="AE500" s="52">
        <f>+M500*N500*O500/1000</f>
        <v>17220</v>
      </c>
      <c r="AF500" s="41">
        <f>IF(AD500="","",VLOOKUP(AD500,原価マスタ!$A$2:$AJ$1693,13,FALSE))</f>
        <v>98</v>
      </c>
      <c r="AG500" s="45">
        <f>IF(AF500="","",+AE500*AF500/100)</f>
        <v>16875.599999999999</v>
      </c>
      <c r="AH500" s="28"/>
      <c r="AI500" s="28"/>
      <c r="AJ500" s="28"/>
      <c r="AK500" s="28"/>
      <c r="AL500" s="12"/>
      <c r="AM500" s="12"/>
      <c r="AN500" s="12"/>
      <c r="AO500" s="12"/>
      <c r="AP500" s="12"/>
      <c r="AQ500" s="13"/>
      <c r="AR500" s="14"/>
    </row>
    <row r="501" spans="1:44" s="16" customFormat="1" ht="30.95" hidden="1" customHeight="1" x14ac:dyDescent="0.2">
      <c r="A501" s="35"/>
      <c r="B501" s="36"/>
      <c r="C501" s="43"/>
      <c r="D501" s="29"/>
      <c r="E501" s="29"/>
      <c r="F501" s="255"/>
      <c r="G501" s="256"/>
      <c r="H501" s="256"/>
      <c r="I501" s="200"/>
      <c r="J501" s="30"/>
      <c r="K501" s="200"/>
      <c r="L501" s="200"/>
      <c r="M501" s="37"/>
      <c r="N501" s="37"/>
      <c r="O501" s="45"/>
      <c r="P501" s="54"/>
      <c r="Q501" s="260"/>
      <c r="R501" s="261"/>
      <c r="S501" s="261"/>
      <c r="T501" s="38"/>
      <c r="U501" s="261"/>
      <c r="V501" s="256"/>
      <c r="W501" s="256"/>
      <c r="X501" s="256"/>
      <c r="Y501" s="256"/>
      <c r="Z501" s="54"/>
      <c r="AA501" s="200"/>
      <c r="AB501" s="31"/>
      <c r="AC501" s="184"/>
      <c r="AD501" s="51"/>
      <c r="AE501" s="52"/>
      <c r="AF501" s="41"/>
      <c r="AG501" s="45"/>
      <c r="AH501" s="28"/>
      <c r="AI501" s="28"/>
      <c r="AJ501" s="28"/>
      <c r="AK501" s="28"/>
      <c r="AL501" s="12"/>
      <c r="AM501" s="12"/>
      <c r="AN501" s="12"/>
      <c r="AO501" s="12"/>
      <c r="AP501" s="12"/>
      <c r="AQ501" s="13"/>
      <c r="AR501" s="14"/>
    </row>
    <row r="502" spans="1:44" s="16" customFormat="1" ht="30.95" hidden="1" customHeight="1" x14ac:dyDescent="0.2">
      <c r="A502" s="35" t="s">
        <v>1252</v>
      </c>
      <c r="B502" s="36" t="s">
        <v>1253</v>
      </c>
      <c r="C502" s="43"/>
      <c r="D502" s="29">
        <v>3712108</v>
      </c>
      <c r="E502" s="29">
        <v>4151381</v>
      </c>
      <c r="F502" s="255" t="str">
        <f>IF(D502="","",VLOOKUP(D502,契約台帳!$A$3:$K$4986,6,FALSE)&amp;VLOOKUP(D502,契約台帳!$A$3:$K$4986,7,FALSE)&amp;VLOOKUP(D502,契約台帳!$A$3:$K$4986,8,FALSE)&amp;VLOOKUP(D502,契約台帳!$A$3:$K$4986,9,FALSE)&amp;VLOOKUP(D502,契約台帳!$A$3:$K$4986,11,FALSE))</f>
        <v>3SNMLBMNNGKBF</v>
      </c>
      <c r="G502" s="256" t="str">
        <f>IF(D502="","",VLOOKUP(F502,製品マスタ!$G$5:$H$4999,2,FALSE))</f>
        <v>S</v>
      </c>
      <c r="H502" s="256" t="str">
        <f>IF(D502="","",VLOOKUP(F502,製品マスタ!$G$5:$K$4999,5,FALSE))</f>
        <v>MNNGKBF</v>
      </c>
      <c r="I502" s="200" t="str">
        <f>IF(D502="","",VLOOKUP(F502,製品マスタ!$G$5:$L$4999,6,FALSE))</f>
        <v>メタルミー　ニューネーマー銀消　Ｂ</v>
      </c>
      <c r="J502" s="30" t="s">
        <v>447</v>
      </c>
      <c r="K502" s="200">
        <f>IF(D502="","",VLOOKUP(D502,契約台帳!$A$3:$L$4986,12,FALSE))</f>
        <v>50</v>
      </c>
      <c r="L502" s="200" t="str">
        <f>IF(D502="","",INDEX(製品マスタ!$Q$5:$Q$4999,MATCH(F502&amp;K502,製品マスタ!$AO$5:$AO$4999,0)))</f>
        <v>X44</v>
      </c>
      <c r="M502" s="37">
        <v>1000</v>
      </c>
      <c r="N502" s="37">
        <v>12000</v>
      </c>
      <c r="O502" s="45">
        <v>5</v>
      </c>
      <c r="P502" s="54"/>
      <c r="Q502" s="260">
        <f>IF(D502="","",IF(J502="リード付け",M502,VLOOKUP(D502,契約台帳!$A$3:$N$4986,14,FALSE)))</f>
        <v>1000</v>
      </c>
      <c r="R502" s="261">
        <f>IF(D502="","",IF(J502="リード付け",M502,VLOOKUP(D502,契約台帳!$A$3:$O$4986,15,FALSE)))</f>
        <v>1000</v>
      </c>
      <c r="S502" s="261">
        <f>IF(D502="","",IF(J502="リード付け",N502,VLOOKUP(D502,契約台帳!$A$3:$P$4986,16,FALSE)))</f>
        <v>4000</v>
      </c>
      <c r="T502" s="38">
        <v>15</v>
      </c>
      <c r="U502" s="261">
        <f ca="1">IF(D502="","",IF(OFFSET(D502,-2,0)=D502,"",VLOOKUP(D502,契約台帳!$A$3:$R$4986,18,FALSE)))</f>
        <v>15</v>
      </c>
      <c r="V502" s="256" t="str">
        <f>IF(J502="巻返し",VLOOKUP(F502&amp;K502&amp;M502,製品マスタ!$M$5:$AD$4999,18,FALSE),IF(J502="リード付け","原反コア",IF(J502="スリット",VLOOKUP(F502&amp;K502&amp;Q502,製品マスタ!$N$5:$AD$4999,17,FALSE),"")))</f>
        <v>6ｲﾝﾁSｺｱ</v>
      </c>
      <c r="W502" s="256">
        <f>IF(J502="巻返し",VLOOKUP(F502&amp;K502&amp;M502,製品マスタ!$M$5:$AE$4999,19,FALSE),IF(J502="リード付け","-",IF(J502="スリット",VLOOKUP(F502&amp;K502&amp;Q502,製品マスタ!$N$5:$AE$4999,18,FALSE),"")))</f>
        <v>1005</v>
      </c>
      <c r="X502" s="256">
        <f>IF(D502="","",VLOOKUP(D502,契約台帳!$A$3:$Q$4986,17,FALSE))</f>
        <v>2</v>
      </c>
      <c r="Y502" s="256" t="str">
        <f>IF(D502="","",VLOOKUP(D502,契約台帳!$A$3:$E$4986,5,FALSE))</f>
        <v>リンテック㈱</v>
      </c>
      <c r="Z502" s="54">
        <v>45103</v>
      </c>
      <c r="AA502" s="200" t="str">
        <f>IFERROR(VLOOKUP(F502&amp;K502&amp;M502,製品マスタ!$M$5:$AM$4999,27,FALSE),"")</f>
        <v>原反ケース再利用</v>
      </c>
      <c r="AB502" s="31"/>
      <c r="AC502" s="184"/>
      <c r="AD502" s="51" t="str">
        <f>IF(F502="","",+F502&amp;K502)</f>
        <v>3SNMLBMNNGKBF50</v>
      </c>
      <c r="AE502" s="52">
        <f>+M502*N502*O502/1000</f>
        <v>60000</v>
      </c>
      <c r="AF502" s="41">
        <f>IF(AD502="","",VLOOKUP(AD502,原価マスタ!$A$2:$AJ$1693,13,FALSE))</f>
        <v>99</v>
      </c>
      <c r="AG502" s="45">
        <f>IF(AF502="","",+AE502*AF502/100)</f>
        <v>59400</v>
      </c>
      <c r="AH502" s="28"/>
      <c r="AI502" s="28"/>
      <c r="AJ502" s="28"/>
      <c r="AK502" s="28"/>
      <c r="AL502" s="12"/>
      <c r="AM502" s="12"/>
      <c r="AN502" s="12"/>
      <c r="AO502" s="12"/>
      <c r="AP502" s="12"/>
      <c r="AQ502" s="13"/>
      <c r="AR502" s="14"/>
    </row>
    <row r="503" spans="1:44" s="16" customFormat="1" ht="30.95" hidden="1" customHeight="1" x14ac:dyDescent="0.2">
      <c r="A503" s="35"/>
      <c r="B503" s="36"/>
      <c r="C503" s="43"/>
      <c r="D503" s="29"/>
      <c r="E503" s="29"/>
      <c r="F503" s="255"/>
      <c r="G503" s="256"/>
      <c r="H503" s="256"/>
      <c r="I503" s="200"/>
      <c r="J503" s="30"/>
      <c r="K503" s="200"/>
      <c r="L503" s="200"/>
      <c r="M503" s="37"/>
      <c r="N503" s="37"/>
      <c r="O503" s="45"/>
      <c r="P503" s="54"/>
      <c r="Q503" s="260"/>
      <c r="R503" s="261"/>
      <c r="S503" s="261"/>
      <c r="T503" s="38"/>
      <c r="U503" s="261"/>
      <c r="V503" s="256"/>
      <c r="W503" s="256"/>
      <c r="X503" s="256"/>
      <c r="Y503" s="256"/>
      <c r="Z503" s="54"/>
      <c r="AA503" s="200"/>
      <c r="AB503" s="31"/>
      <c r="AC503" s="184"/>
      <c r="AD503" s="51"/>
      <c r="AE503" s="52"/>
      <c r="AF503" s="41"/>
      <c r="AG503" s="45"/>
      <c r="AH503" s="28"/>
      <c r="AI503" s="28"/>
      <c r="AJ503" s="28"/>
      <c r="AK503" s="28"/>
      <c r="AL503" s="12"/>
      <c r="AM503" s="12"/>
      <c r="AN503" s="12"/>
      <c r="AO503" s="12"/>
      <c r="AP503" s="12"/>
      <c r="AQ503" s="13"/>
      <c r="AR503" s="14"/>
    </row>
    <row r="504" spans="1:44" s="16" customFormat="1" ht="30.95" hidden="1" customHeight="1" x14ac:dyDescent="0.2">
      <c r="A504" s="35"/>
      <c r="B504" s="36"/>
      <c r="C504" s="43"/>
      <c r="D504" s="29">
        <v>3712099</v>
      </c>
      <c r="E504" s="29">
        <v>4151375</v>
      </c>
      <c r="F504" s="255" t="str">
        <f>IF(D504="","",VLOOKUP(D504,契約台帳!$A$3:$K$4986,6,FALSE)&amp;VLOOKUP(D504,契約台帳!$A$3:$K$4986,7,FALSE)&amp;VLOOKUP(D504,契約台帳!$A$3:$K$4986,8,FALSE)&amp;VLOOKUP(D504,契約台帳!$A$3:$K$4986,9,FALSE)&amp;VLOOKUP(D504,契約台帳!$A$3:$K$4986,11,FALSE))</f>
        <v>3SNMLBMNGKKBF</v>
      </c>
      <c r="G504" s="256" t="str">
        <f>IF(D504="","",VLOOKUP(F504,製品マスタ!$G$5:$H$4999,2,FALSE))</f>
        <v>S</v>
      </c>
      <c r="H504" s="256" t="str">
        <f>IF(D504="","",VLOOKUP(F504,製品マスタ!$G$5:$K$4999,5,FALSE))</f>
        <v>MNGKKBF</v>
      </c>
      <c r="I504" s="200" t="str">
        <f>IF(D504="","",VLOOKUP(F504,製品マスタ!$G$5:$L$4999,6,FALSE))</f>
        <v>メタルミー　ネーマー銀消改　Ｂ</v>
      </c>
      <c r="J504" s="30" t="s">
        <v>447</v>
      </c>
      <c r="K504" s="200">
        <f>IF(D504="","",VLOOKUP(D504,契約台帳!$A$3:$L$4986,12,FALSE))</f>
        <v>25</v>
      </c>
      <c r="L504" s="200" t="str">
        <f>IF(D504="","",INDEX(製品マスタ!$Q$5:$Q$4999,MATCH(F504&amp;K504,製品マスタ!$AO$5:$AO$4999,0)))</f>
        <v>FMATS99</v>
      </c>
      <c r="M504" s="37">
        <v>1000</v>
      </c>
      <c r="N504" s="37">
        <v>12000</v>
      </c>
      <c r="O504" s="45">
        <v>1</v>
      </c>
      <c r="P504" s="54"/>
      <c r="Q504" s="260">
        <f>IF(D504="","",IF(J504="リード付け",M504,VLOOKUP(D504,契約台帳!$A$3:$N$4986,14,FALSE)))</f>
        <v>1000</v>
      </c>
      <c r="R504" s="261">
        <f>IF(D504="","",IF(J504="リード付け",M504,VLOOKUP(D504,契約台帳!$A$3:$O$4986,15,FALSE)))</f>
        <v>1000</v>
      </c>
      <c r="S504" s="261">
        <f>IF(D504="","",IF(J504="リード付け",N504,VLOOKUP(D504,契約台帳!$A$3:$P$4986,16,FALSE)))</f>
        <v>4000</v>
      </c>
      <c r="T504" s="38">
        <v>3</v>
      </c>
      <c r="U504" s="261">
        <f ca="1">IF(D504="","",IF(OFFSET(D504,-2,0)=D504,"",VLOOKUP(D504,契約台帳!$A$3:$R$4986,18,FALSE)))</f>
        <v>3</v>
      </c>
      <c r="V504" s="256" t="str">
        <f>IF(J504="巻返し",VLOOKUP(F504&amp;K504&amp;M504,製品マスタ!$M$5:$AD$4999,18,FALSE),IF(J504="リード付け","原反コア",IF(J504="スリット",VLOOKUP(F504&amp;K504&amp;Q504,製品マスタ!$N$5:$AD$4999,17,FALSE),"")))</f>
        <v>6ｲﾝﾁSｺｱ</v>
      </c>
      <c r="W504" s="256">
        <f>IF(J504="巻返し",VLOOKUP(F504&amp;K504&amp;M504,製品マスタ!$M$5:$AE$4999,19,FALSE),IF(J504="リード付け","-",IF(J504="スリット",VLOOKUP(F504&amp;K504&amp;Q504,製品マスタ!$N$5:$AE$4999,18,FALSE),"")))</f>
        <v>1005</v>
      </c>
      <c r="X504" s="256">
        <f>IF(D504="","",VLOOKUP(D504,契約台帳!$A$3:$Q$4986,17,FALSE))</f>
        <v>2</v>
      </c>
      <c r="Y504" s="256" t="str">
        <f>IF(D504="","",VLOOKUP(D504,契約台帳!$A$3:$E$4986,5,FALSE))</f>
        <v>リンテック㈱</v>
      </c>
      <c r="Z504" s="54">
        <v>45103</v>
      </c>
      <c r="AA504" s="200">
        <f>IFERROR(VLOOKUP(F504&amp;K504&amp;M504,製品マスタ!$M$5:$AM$4999,27,FALSE),"")</f>
        <v>0</v>
      </c>
      <c r="AB504" s="31"/>
      <c r="AC504" s="184"/>
      <c r="AD504" s="51" t="str">
        <f>IF(F504="","",+F504&amp;K504)</f>
        <v>3SNMLBMNGKKBF25</v>
      </c>
      <c r="AE504" s="52">
        <f>+M504*N504*O504/1000</f>
        <v>12000</v>
      </c>
      <c r="AF504" s="41">
        <f>IF(AD504="","",VLOOKUP(AD504,原価マスタ!$A$2:$AJ$1693,13,FALSE))</f>
        <v>96</v>
      </c>
      <c r="AG504" s="45">
        <f>IF(AF504="","",+AE504*AF504/100)</f>
        <v>11520</v>
      </c>
      <c r="AH504" s="28"/>
      <c r="AI504" s="28"/>
      <c r="AJ504" s="28"/>
      <c r="AK504" s="28"/>
      <c r="AL504" s="12"/>
      <c r="AM504" s="12"/>
      <c r="AN504" s="12"/>
      <c r="AO504" s="12"/>
      <c r="AP504" s="12"/>
      <c r="AQ504" s="13"/>
      <c r="AR504" s="14"/>
    </row>
    <row r="505" spans="1:44" s="16" customFormat="1" ht="30.95" hidden="1" customHeight="1" x14ac:dyDescent="0.2">
      <c r="A505" s="35"/>
      <c r="B505" s="36"/>
      <c r="C505" s="43"/>
      <c r="D505" s="29"/>
      <c r="E505" s="29"/>
      <c r="F505" s="255"/>
      <c r="G505" s="256"/>
      <c r="H505" s="256"/>
      <c r="I505" s="200"/>
      <c r="J505" s="30"/>
      <c r="K505" s="200"/>
      <c r="L505" s="200"/>
      <c r="M505" s="37"/>
      <c r="N505" s="37"/>
      <c r="O505" s="45"/>
      <c r="P505" s="54"/>
      <c r="Q505" s="260"/>
      <c r="R505" s="261"/>
      <c r="S505" s="261"/>
      <c r="T505" s="38"/>
      <c r="U505" s="261"/>
      <c r="V505" s="256"/>
      <c r="W505" s="256"/>
      <c r="X505" s="256"/>
      <c r="Y505" s="256"/>
      <c r="Z505" s="54"/>
      <c r="AA505" s="200"/>
      <c r="AB505" s="31"/>
      <c r="AC505" s="184"/>
      <c r="AD505" s="51"/>
      <c r="AE505" s="52"/>
      <c r="AF505" s="41"/>
      <c r="AG505" s="45"/>
      <c r="AH505" s="28"/>
      <c r="AI505" s="28"/>
      <c r="AJ505" s="28"/>
      <c r="AK505" s="28"/>
      <c r="AL505" s="12"/>
      <c r="AM505" s="12"/>
      <c r="AN505" s="12"/>
      <c r="AO505" s="12"/>
      <c r="AP505" s="12"/>
      <c r="AQ505" s="13"/>
      <c r="AR505" s="14"/>
    </row>
    <row r="506" spans="1:44" s="16" customFormat="1" ht="30.95" hidden="1" customHeight="1" x14ac:dyDescent="0.2">
      <c r="A506" s="35" t="s">
        <v>1211</v>
      </c>
      <c r="B506" s="36" t="s">
        <v>444</v>
      </c>
      <c r="C506" s="43"/>
      <c r="D506" s="29">
        <v>3712107</v>
      </c>
      <c r="E506" s="29">
        <v>4151383</v>
      </c>
      <c r="F506" s="255" t="str">
        <f>IF(D506="","",VLOOKUP(D506,契約台帳!$A$3:$K$4986,6,FALSE)&amp;VLOOKUP(D506,契約台帳!$A$3:$K$4986,7,FALSE)&amp;VLOOKUP(D506,契約台帳!$A$3:$K$4986,8,FALSE)&amp;VLOOKUP(D506,契約台帳!$A$3:$K$4986,9,FALSE)&amp;VLOOKUP(D506,契約台帳!$A$3:$K$4986,11,FALSE))</f>
        <v>3SNMLBMNNGKBF</v>
      </c>
      <c r="G506" s="256" t="str">
        <f>IF(D506="","",VLOOKUP(F506,製品マスタ!$G$5:$H$4999,2,FALSE))</f>
        <v>S</v>
      </c>
      <c r="H506" s="256" t="str">
        <f>IF(D506="","",VLOOKUP(F506,製品マスタ!$G$5:$K$4999,5,FALSE))</f>
        <v>MNNGKBF</v>
      </c>
      <c r="I506" s="200" t="str">
        <f>IF(D506="","",VLOOKUP(F506,製品マスタ!$G$5:$L$4999,6,FALSE))</f>
        <v>メタルミー　ニューネーマー銀消　Ｂ</v>
      </c>
      <c r="J506" s="30" t="s">
        <v>447</v>
      </c>
      <c r="K506" s="200">
        <f>IF(D506="","",VLOOKUP(D506,契約台帳!$A$3:$L$4986,12,FALSE))</f>
        <v>25</v>
      </c>
      <c r="L506" s="200" t="str">
        <f>IF(D506="","",INDEX(製品マスタ!$Q$5:$Q$4999,MATCH(F506&amp;K506,製品マスタ!$AO$5:$AO$4999,0)))</f>
        <v>X44C</v>
      </c>
      <c r="M506" s="37">
        <v>1005</v>
      </c>
      <c r="N506" s="37">
        <v>8000</v>
      </c>
      <c r="O506" s="45">
        <v>2</v>
      </c>
      <c r="P506" s="54"/>
      <c r="Q506" s="260">
        <f>IF(D506="","",IF(J506="リード付け",M506,VLOOKUP(D506,契約台帳!$A$3:$N$4986,14,FALSE)))</f>
        <v>1005</v>
      </c>
      <c r="R506" s="261">
        <f>IF(D506="","",IF(J506="リード付け",M506,VLOOKUP(D506,契約台帳!$A$3:$O$4986,15,FALSE)))</f>
        <v>1000</v>
      </c>
      <c r="S506" s="261">
        <f>IF(D506="","",IF(J506="リード付け",N506,VLOOKUP(D506,契約台帳!$A$3:$P$4986,16,FALSE)))</f>
        <v>4000</v>
      </c>
      <c r="T506" s="38">
        <v>4</v>
      </c>
      <c r="U506" s="261">
        <f ca="1">IF(D506="","",IF(OFFSET(D506,-2,0)=D506,"",VLOOKUP(D506,契約台帳!$A$3:$R$4986,18,FALSE)))</f>
        <v>4</v>
      </c>
      <c r="V506" s="256" t="str">
        <f>IF(J506="巻返し",VLOOKUP(F506&amp;K506&amp;M506,製品マスタ!$M$5:$AD$4999,18,FALSE),IF(J506="リード付け","原反コア",IF(J506="スリット",VLOOKUP(F506&amp;K506&amp;Q506,製品マスタ!$N$5:$AD$4999,17,FALSE),"")))</f>
        <v>6ｲﾝﾁSｺｱ</v>
      </c>
      <c r="W506" s="256">
        <f>IF(J506="巻返し",VLOOKUP(F506&amp;K506&amp;M506,製品マスタ!$M$5:$AE$4999,19,FALSE),IF(J506="リード付け","-",IF(J506="スリット",VLOOKUP(F506&amp;K506&amp;Q506,製品マスタ!$N$5:$AE$4999,18,FALSE),"")))</f>
        <v>1015</v>
      </c>
      <c r="X506" s="256">
        <f>IF(D506="","",VLOOKUP(D506,契約台帳!$A$3:$Q$4986,17,FALSE))</f>
        <v>2</v>
      </c>
      <c r="Y506" s="256" t="str">
        <f>IF(D506="","",VLOOKUP(D506,契約台帳!$A$3:$E$4986,5,FALSE))</f>
        <v>リンテック㈱</v>
      </c>
      <c r="Z506" s="54">
        <v>45104</v>
      </c>
      <c r="AA506" s="200">
        <f>IFERROR(VLOOKUP(F506&amp;K506&amp;M506,製品マスタ!$M$5:$AM$4999,27,FALSE),"")</f>
        <v>0</v>
      </c>
      <c r="AB506" s="31"/>
      <c r="AC506" s="184"/>
      <c r="AD506" s="51" t="str">
        <f>IF(F506="","",+F506&amp;K506)</f>
        <v>3SNMLBMNNGKBF25</v>
      </c>
      <c r="AE506" s="52">
        <f>+M506*N506*O506/1000</f>
        <v>16080</v>
      </c>
      <c r="AF506" s="41">
        <f>IF(AD506="","",VLOOKUP(AD506,原価マスタ!$A$2:$AJ$1693,13,FALSE))</f>
        <v>98.3</v>
      </c>
      <c r="AG506" s="45">
        <f>IF(AF506="","",+AE506*AF506/100)</f>
        <v>15806.64</v>
      </c>
      <c r="AH506" s="28"/>
      <c r="AI506" s="28"/>
      <c r="AJ506" s="28"/>
      <c r="AK506" s="28"/>
      <c r="AL506" s="12"/>
      <c r="AM506" s="12"/>
      <c r="AN506" s="12"/>
      <c r="AO506" s="12"/>
      <c r="AP506" s="12"/>
      <c r="AQ506" s="13"/>
      <c r="AR506" s="14"/>
    </row>
    <row r="507" spans="1:44" s="16" customFormat="1" ht="30.95" hidden="1" customHeight="1" x14ac:dyDescent="0.2">
      <c r="A507" s="35"/>
      <c r="B507" s="36"/>
      <c r="C507" s="43"/>
      <c r="D507" s="29"/>
      <c r="E507" s="29"/>
      <c r="F507" s="255"/>
      <c r="G507" s="256"/>
      <c r="H507" s="256"/>
      <c r="I507" s="200"/>
      <c r="J507" s="30"/>
      <c r="K507" s="200"/>
      <c r="L507" s="200"/>
      <c r="M507" s="37"/>
      <c r="N507" s="37"/>
      <c r="O507" s="45"/>
      <c r="P507" s="54"/>
      <c r="Q507" s="260"/>
      <c r="R507" s="261"/>
      <c r="S507" s="261"/>
      <c r="T507" s="38"/>
      <c r="U507" s="261"/>
      <c r="V507" s="256"/>
      <c r="W507" s="256"/>
      <c r="X507" s="256"/>
      <c r="Y507" s="256"/>
      <c r="Z507" s="54"/>
      <c r="AA507" s="200"/>
      <c r="AB507" s="31"/>
      <c r="AC507" s="184"/>
      <c r="AD507" s="51"/>
      <c r="AE507" s="52"/>
      <c r="AF507" s="41"/>
      <c r="AG507" s="45"/>
      <c r="AH507" s="28"/>
      <c r="AI507" s="28"/>
      <c r="AJ507" s="28"/>
      <c r="AK507" s="28"/>
      <c r="AL507" s="12"/>
      <c r="AM507" s="12"/>
      <c r="AN507" s="12"/>
      <c r="AO507" s="12"/>
      <c r="AP507" s="12"/>
      <c r="AQ507" s="13"/>
      <c r="AR507" s="14"/>
    </row>
    <row r="508" spans="1:44" s="16" customFormat="1" ht="30.95" hidden="1" customHeight="1" x14ac:dyDescent="0.2">
      <c r="A508" s="35"/>
      <c r="B508" s="36"/>
      <c r="C508" s="43"/>
      <c r="D508" s="29">
        <v>3712089</v>
      </c>
      <c r="E508" s="29">
        <v>4151382</v>
      </c>
      <c r="F508" s="255" t="str">
        <f>IF(D508="","",VLOOKUP(D508,契約台帳!$A$3:$K$4986,6,FALSE)&amp;VLOOKUP(D508,契約台帳!$A$3:$K$4986,7,FALSE)&amp;VLOOKUP(D508,契約台帳!$A$3:$K$4986,8,FALSE)&amp;VLOOKUP(D508,契約台帳!$A$3:$K$4986,9,FALSE)&amp;VLOOKUP(D508,契約台帳!$A$3:$K$4986,11,FALSE))</f>
        <v>3SNMLBMSF</v>
      </c>
      <c r="G508" s="256" t="str">
        <f>IF(D508="","",VLOOKUP(F508,製品マスタ!$G$5:$H$4999,2,FALSE))</f>
        <v>S</v>
      </c>
      <c r="H508" s="256" t="str">
        <f>IF(D508="","",VLOOKUP(F508,製品マスタ!$G$5:$K$4999,5,FALSE))</f>
        <v>MSF</v>
      </c>
      <c r="I508" s="200" t="str">
        <f>IF(D508="","",VLOOKUP(F508,製品マスタ!$G$5:$L$4999,6,FALSE))</f>
        <v>メタルミー　Ｓ</v>
      </c>
      <c r="J508" s="30" t="s">
        <v>447</v>
      </c>
      <c r="K508" s="200">
        <f>IF(D508="","",VLOOKUP(D508,契約台帳!$A$3:$L$4986,12,FALSE))</f>
        <v>25</v>
      </c>
      <c r="L508" s="200" t="str">
        <f>IF(D508="","",INDEX(製品マスタ!$Q$5:$Q$4999,MATCH(F508&amp;K508,製品マスタ!$AO$5:$AO$4999,0)))</f>
        <v>T62M</v>
      </c>
      <c r="M508" s="37">
        <v>1020</v>
      </c>
      <c r="N508" s="37">
        <v>12100</v>
      </c>
      <c r="O508" s="45">
        <v>1</v>
      </c>
      <c r="P508" s="54"/>
      <c r="Q508" s="260">
        <f>IF(D508="","",IF(J508="リード付け",M508,VLOOKUP(D508,契約台帳!$A$3:$N$4986,14,FALSE)))</f>
        <v>1020</v>
      </c>
      <c r="R508" s="261">
        <f>IF(D508="","",IF(J508="リード付け",M508,VLOOKUP(D508,契約台帳!$A$3:$O$4986,15,FALSE)))</f>
        <v>1020</v>
      </c>
      <c r="S508" s="261">
        <f>IF(D508="","",IF(J508="リード付け",N508,VLOOKUP(D508,契約台帳!$A$3:$P$4986,16,FALSE)))</f>
        <v>2000</v>
      </c>
      <c r="T508" s="38">
        <v>6</v>
      </c>
      <c r="U508" s="261">
        <f ca="1">IF(D508="","",IF(OFFSET(D508,-2,0)=D508,"",VLOOKUP(D508,契約台帳!$A$3:$R$4986,18,FALSE)))</f>
        <v>6</v>
      </c>
      <c r="V508" s="256" t="str">
        <f>IF(J508="巻返し",VLOOKUP(F508&amp;K508&amp;M508,製品マスタ!$M$5:$AD$4999,18,FALSE),IF(J508="リード付け","原反コア",IF(J508="スリット",VLOOKUP(F508&amp;K508&amp;Q508,製品マスタ!$N$5:$AD$4999,17,FALSE),"")))</f>
        <v>3ｲﾝﾁSｺｱ</v>
      </c>
      <c r="W508" s="256">
        <v>1025</v>
      </c>
      <c r="X508" s="256">
        <f>IF(D508="","",VLOOKUP(D508,契約台帳!$A$3:$Q$4986,17,FALSE))</f>
        <v>1</v>
      </c>
      <c r="Y508" s="256" t="str">
        <f>IF(D508="","",VLOOKUP(D508,契約台帳!$A$3:$E$4986,5,FALSE))</f>
        <v>日精㈱東京支店</v>
      </c>
      <c r="Z508" s="54">
        <v>45104</v>
      </c>
      <c r="AA508" s="200">
        <f>IFERROR(VLOOKUP(F508&amp;K508&amp;M508,製品マスタ!$M$5:$AM$4999,27,FALSE),"")</f>
        <v>0</v>
      </c>
      <c r="AB508" s="31"/>
      <c r="AC508" s="184"/>
      <c r="AD508" s="51" t="str">
        <f>IF(F508="","",+F508&amp;K508)</f>
        <v>3SNMLBMSF25</v>
      </c>
      <c r="AE508" s="52">
        <f>+M508*N508*O508/1000</f>
        <v>12342</v>
      </c>
      <c r="AF508" s="41">
        <f>IF(AD508="","",VLOOKUP(AD508,原価マスタ!$A$2:$AJ$1693,13,FALSE))</f>
        <v>97</v>
      </c>
      <c r="AG508" s="45">
        <f>IF(AF508="","",+AE508*AF508/100)</f>
        <v>11971.74</v>
      </c>
      <c r="AH508" s="28"/>
      <c r="AI508" s="28"/>
      <c r="AJ508" s="28"/>
      <c r="AK508" s="28"/>
      <c r="AL508" s="12"/>
      <c r="AM508" s="12"/>
      <c r="AN508" s="12"/>
      <c r="AO508" s="12"/>
      <c r="AP508" s="12"/>
      <c r="AQ508" s="13"/>
      <c r="AR508" s="14"/>
    </row>
    <row r="509" spans="1:44" s="16" customFormat="1" ht="30.95" hidden="1" customHeight="1" x14ac:dyDescent="0.2">
      <c r="A509" s="35"/>
      <c r="B509" s="36"/>
      <c r="C509" s="43"/>
      <c r="D509" s="29"/>
      <c r="E509" s="29"/>
      <c r="F509" s="255"/>
      <c r="G509" s="256"/>
      <c r="H509" s="256"/>
      <c r="I509" s="200"/>
      <c r="J509" s="30"/>
      <c r="K509" s="200"/>
      <c r="L509" s="200"/>
      <c r="M509" s="37"/>
      <c r="N509" s="37"/>
      <c r="O509" s="45"/>
      <c r="P509" s="54"/>
      <c r="Q509" s="260"/>
      <c r="R509" s="261"/>
      <c r="S509" s="261"/>
      <c r="T509" s="38"/>
      <c r="U509" s="261"/>
      <c r="V509" s="256"/>
      <c r="W509" s="256"/>
      <c r="X509" s="256"/>
      <c r="Y509" s="256"/>
      <c r="Z509" s="54"/>
      <c r="AA509" s="200"/>
      <c r="AB509" s="31"/>
      <c r="AC509" s="184"/>
      <c r="AD509" s="51"/>
      <c r="AE509" s="52"/>
      <c r="AF509" s="41"/>
      <c r="AG509" s="45"/>
      <c r="AH509" s="28"/>
      <c r="AI509" s="28"/>
      <c r="AJ509" s="28"/>
      <c r="AK509" s="28"/>
      <c r="AL509" s="12"/>
      <c r="AM509" s="12"/>
      <c r="AN509" s="12"/>
      <c r="AO509" s="12"/>
      <c r="AP509" s="12"/>
      <c r="AQ509" s="13"/>
      <c r="AR509" s="14"/>
    </row>
    <row r="510" spans="1:44" s="16" customFormat="1" ht="30.95" hidden="1" customHeight="1" x14ac:dyDescent="0.2">
      <c r="A510" s="35" t="s">
        <v>1212</v>
      </c>
      <c r="B510" s="36" t="s">
        <v>1194</v>
      </c>
      <c r="C510" s="43"/>
      <c r="D510" s="29"/>
      <c r="E510" s="29"/>
      <c r="F510" s="255"/>
      <c r="G510" s="256"/>
      <c r="H510" s="256"/>
      <c r="I510" s="200"/>
      <c r="J510" s="30" t="s">
        <v>448</v>
      </c>
      <c r="K510" s="200"/>
      <c r="L510" s="200"/>
      <c r="M510" s="37"/>
      <c r="N510" s="37"/>
      <c r="O510" s="45"/>
      <c r="P510" s="54"/>
      <c r="Q510" s="260"/>
      <c r="R510" s="261"/>
      <c r="S510" s="261"/>
      <c r="T510" s="38"/>
      <c r="U510" s="261"/>
      <c r="V510" s="256"/>
      <c r="W510" s="256"/>
      <c r="X510" s="256"/>
      <c r="Y510" s="256"/>
      <c r="Z510" s="54"/>
      <c r="AA510" s="200"/>
      <c r="AB510" s="31"/>
      <c r="AC510" s="184"/>
      <c r="AD510" s="51"/>
      <c r="AE510" s="52"/>
      <c r="AF510" s="41"/>
      <c r="AG510" s="45"/>
      <c r="AH510" s="28"/>
      <c r="AI510" s="28"/>
      <c r="AJ510" s="28"/>
      <c r="AK510" s="28"/>
      <c r="AL510" s="12"/>
      <c r="AM510" s="12"/>
      <c r="AN510" s="12"/>
      <c r="AO510" s="12"/>
      <c r="AP510" s="12"/>
      <c r="AQ510" s="13"/>
      <c r="AR510" s="14"/>
    </row>
    <row r="511" spans="1:44" s="16" customFormat="1" ht="30.95" hidden="1" customHeight="1" x14ac:dyDescent="0.2">
      <c r="A511" s="35"/>
      <c r="B511" s="36"/>
      <c r="C511" s="43"/>
      <c r="D511" s="29"/>
      <c r="E511" s="29"/>
      <c r="F511" s="255"/>
      <c r="G511" s="256"/>
      <c r="H511" s="256"/>
      <c r="I511" s="200"/>
      <c r="J511" s="30"/>
      <c r="K511" s="200"/>
      <c r="L511" s="200"/>
      <c r="M511" s="37"/>
      <c r="N511" s="37"/>
      <c r="O511" s="45"/>
      <c r="P511" s="54"/>
      <c r="Q511" s="260"/>
      <c r="R511" s="261"/>
      <c r="S511" s="261"/>
      <c r="T511" s="38"/>
      <c r="U511" s="261"/>
      <c r="V511" s="256"/>
      <c r="W511" s="256"/>
      <c r="X511" s="256"/>
      <c r="Y511" s="256"/>
      <c r="Z511" s="54"/>
      <c r="AA511" s="200"/>
      <c r="AB511" s="31"/>
      <c r="AC511" s="184"/>
      <c r="AD511" s="51"/>
      <c r="AE511" s="52"/>
      <c r="AF511" s="41"/>
      <c r="AG511" s="45"/>
      <c r="AH511" s="28"/>
      <c r="AI511" s="28"/>
      <c r="AJ511" s="28"/>
      <c r="AK511" s="28"/>
      <c r="AL511" s="12"/>
      <c r="AM511" s="12"/>
      <c r="AN511" s="12"/>
      <c r="AO511" s="12"/>
      <c r="AP511" s="12"/>
      <c r="AQ511" s="13"/>
      <c r="AR511" s="14"/>
    </row>
    <row r="512" spans="1:44" s="16" customFormat="1" ht="30.95" hidden="1" customHeight="1" x14ac:dyDescent="0.2">
      <c r="A512" s="35" t="s">
        <v>1213</v>
      </c>
      <c r="B512" s="36" t="s">
        <v>1196</v>
      </c>
      <c r="C512" s="43"/>
      <c r="D512" s="29"/>
      <c r="E512" s="29"/>
      <c r="F512" s="255"/>
      <c r="G512" s="256"/>
      <c r="H512" s="256"/>
      <c r="I512" s="200"/>
      <c r="J512" s="30" t="s">
        <v>448</v>
      </c>
      <c r="K512" s="200"/>
      <c r="L512" s="200"/>
      <c r="M512" s="37"/>
      <c r="N512" s="37"/>
      <c r="O512" s="45"/>
      <c r="P512" s="54"/>
      <c r="Q512" s="260"/>
      <c r="R512" s="261"/>
      <c r="S512" s="261"/>
      <c r="T512" s="38"/>
      <c r="U512" s="261"/>
      <c r="V512" s="256"/>
      <c r="W512" s="256"/>
      <c r="X512" s="256"/>
      <c r="Y512" s="256"/>
      <c r="Z512" s="54"/>
      <c r="AA512" s="200"/>
      <c r="AB512" s="31"/>
      <c r="AC512" s="184"/>
      <c r="AD512" s="51"/>
      <c r="AE512" s="52"/>
      <c r="AF512" s="41"/>
      <c r="AG512" s="45"/>
      <c r="AH512" s="28"/>
      <c r="AI512" s="28"/>
      <c r="AJ512" s="28"/>
      <c r="AK512" s="28"/>
      <c r="AL512" s="12"/>
      <c r="AM512" s="12"/>
      <c r="AN512" s="12"/>
      <c r="AO512" s="12"/>
      <c r="AP512" s="12"/>
      <c r="AQ512" s="13"/>
      <c r="AR512" s="14"/>
    </row>
    <row r="513" spans="1:44" s="16" customFormat="1" ht="30.95" hidden="1" customHeight="1" x14ac:dyDescent="0.2">
      <c r="A513" s="35"/>
      <c r="B513" s="36"/>
      <c r="C513" s="43"/>
      <c r="D513" s="29"/>
      <c r="E513" s="29"/>
      <c r="F513" s="255"/>
      <c r="G513" s="256"/>
      <c r="H513" s="256"/>
      <c r="I513" s="200"/>
      <c r="J513" s="30"/>
      <c r="K513" s="200"/>
      <c r="L513" s="200"/>
      <c r="M513" s="37"/>
      <c r="N513" s="37"/>
      <c r="O513" s="45"/>
      <c r="P513" s="54"/>
      <c r="Q513" s="260"/>
      <c r="R513" s="261"/>
      <c r="S513" s="261"/>
      <c r="T513" s="38"/>
      <c r="U513" s="261"/>
      <c r="V513" s="256"/>
      <c r="W513" s="256"/>
      <c r="X513" s="256"/>
      <c r="Y513" s="256"/>
      <c r="Z513" s="54"/>
      <c r="AA513" s="200"/>
      <c r="AB513" s="31"/>
      <c r="AC513" s="184"/>
      <c r="AD513" s="51"/>
      <c r="AE513" s="52"/>
      <c r="AF513" s="41"/>
      <c r="AG513" s="45"/>
      <c r="AH513" s="28"/>
      <c r="AI513" s="28"/>
      <c r="AJ513" s="28"/>
      <c r="AK513" s="28"/>
      <c r="AL513" s="12"/>
      <c r="AM513" s="12"/>
      <c r="AN513" s="12"/>
      <c r="AO513" s="12"/>
      <c r="AP513" s="12"/>
      <c r="AQ513" s="13"/>
      <c r="AR513" s="14"/>
    </row>
    <row r="514" spans="1:44" s="16" customFormat="1" ht="30.95" hidden="1" customHeight="1" x14ac:dyDescent="0.2">
      <c r="A514" s="35" t="s">
        <v>1225</v>
      </c>
      <c r="B514" s="36" t="s">
        <v>462</v>
      </c>
      <c r="C514" s="43"/>
      <c r="D514" s="29">
        <v>5356332</v>
      </c>
      <c r="E514" s="29">
        <v>4151384</v>
      </c>
      <c r="F514" s="255" t="s">
        <v>927</v>
      </c>
      <c r="G514" s="256" t="s">
        <v>19</v>
      </c>
      <c r="H514" s="256" t="s">
        <v>1081</v>
      </c>
      <c r="I514" s="200" t="s">
        <v>222</v>
      </c>
      <c r="J514" s="30" t="s">
        <v>463</v>
      </c>
      <c r="K514" s="200">
        <v>25</v>
      </c>
      <c r="L514" s="200" t="s">
        <v>221</v>
      </c>
      <c r="M514" s="37">
        <v>1100</v>
      </c>
      <c r="N514" s="37">
        <v>6000</v>
      </c>
      <c r="O514" s="45">
        <v>6</v>
      </c>
      <c r="P514" s="206">
        <v>45100</v>
      </c>
      <c r="Q514" s="260">
        <v>1000</v>
      </c>
      <c r="R514" s="261">
        <v>1000</v>
      </c>
      <c r="S514" s="261">
        <v>5900</v>
      </c>
      <c r="T514" s="38">
        <v>6</v>
      </c>
      <c r="U514" s="261">
        <v>6</v>
      </c>
      <c r="V514" s="256" t="s">
        <v>773</v>
      </c>
      <c r="W514" s="256">
        <v>1010</v>
      </c>
      <c r="X514" s="256">
        <v>2</v>
      </c>
      <c r="Y514" s="256" t="s">
        <v>116</v>
      </c>
      <c r="Z514" s="54"/>
      <c r="AA514" s="200" t="s">
        <v>1083</v>
      </c>
      <c r="AB514" s="31"/>
      <c r="AC514" s="184"/>
      <c r="AD514" s="51"/>
      <c r="AE514" s="52"/>
      <c r="AF514" s="41"/>
      <c r="AG514" s="45"/>
      <c r="AH514" s="28"/>
      <c r="AI514" s="28"/>
      <c r="AJ514" s="28"/>
      <c r="AK514" s="28"/>
      <c r="AL514" s="12"/>
      <c r="AM514" s="12"/>
      <c r="AN514" s="12"/>
      <c r="AO514" s="12"/>
      <c r="AP514" s="12"/>
      <c r="AQ514" s="13"/>
      <c r="AR514" s="14"/>
    </row>
    <row r="515" spans="1:44" s="16" customFormat="1" ht="30.95" hidden="1" customHeight="1" x14ac:dyDescent="0.2">
      <c r="A515" s="35"/>
      <c r="B515" s="36"/>
      <c r="C515" s="43"/>
      <c r="D515" s="278" t="s">
        <v>932</v>
      </c>
      <c r="E515" s="29"/>
      <c r="F515" s="255"/>
      <c r="G515" s="256"/>
      <c r="H515" s="256"/>
      <c r="I515" s="200"/>
      <c r="J515" s="30"/>
      <c r="K515" s="200"/>
      <c r="L515" s="200"/>
      <c r="M515" s="37"/>
      <c r="N515" s="37"/>
      <c r="O515" s="45"/>
      <c r="P515" s="54"/>
      <c r="Q515" s="260"/>
      <c r="R515" s="261"/>
      <c r="S515" s="261"/>
      <c r="T515" s="38"/>
      <c r="U515" s="261"/>
      <c r="V515" s="256"/>
      <c r="W515" s="256"/>
      <c r="X515" s="256"/>
      <c r="Y515" s="256"/>
      <c r="Z515" s="54"/>
      <c r="AA515" s="200" t="str">
        <f>IFERROR(VLOOKUP(F515&amp;K515&amp;M515,製品マスタ!$M$5:$AM$4999,27,FALSE),"")</f>
        <v/>
      </c>
      <c r="AB515" s="31"/>
      <c r="AC515" s="184"/>
      <c r="AD515" s="51"/>
      <c r="AE515" s="52"/>
      <c r="AF515" s="41"/>
      <c r="AG515" s="45"/>
      <c r="AH515" s="28"/>
      <c r="AI515" s="28"/>
      <c r="AJ515" s="28"/>
      <c r="AK515" s="28"/>
      <c r="AL515" s="12"/>
      <c r="AM515" s="12"/>
      <c r="AN515" s="12"/>
      <c r="AO515" s="12"/>
      <c r="AP515" s="12"/>
      <c r="AQ515" s="13"/>
      <c r="AR515" s="14"/>
    </row>
    <row r="516" spans="1:44" s="16" customFormat="1" ht="30.95" hidden="1" customHeight="1" x14ac:dyDescent="0.2">
      <c r="A516" s="35" t="s">
        <v>1214</v>
      </c>
      <c r="B516" s="36" t="s">
        <v>1200</v>
      </c>
      <c r="C516" s="43"/>
      <c r="D516" s="29"/>
      <c r="E516" s="29"/>
      <c r="F516" s="255"/>
      <c r="G516" s="256"/>
      <c r="H516" s="256"/>
      <c r="I516" s="200"/>
      <c r="J516" s="30" t="s">
        <v>1220</v>
      </c>
      <c r="K516" s="200"/>
      <c r="L516" s="200"/>
      <c r="M516" s="37"/>
      <c r="N516" s="37"/>
      <c r="O516" s="45"/>
      <c r="P516" s="54"/>
      <c r="Q516" s="260"/>
      <c r="R516" s="261"/>
      <c r="S516" s="261"/>
      <c r="T516" s="38"/>
      <c r="U516" s="261"/>
      <c r="V516" s="256"/>
      <c r="W516" s="256"/>
      <c r="X516" s="256"/>
      <c r="Y516" s="256"/>
      <c r="Z516" s="54"/>
      <c r="AA516" s="200"/>
      <c r="AB516" s="31"/>
      <c r="AC516" s="184"/>
      <c r="AD516" s="51"/>
      <c r="AE516" s="52"/>
      <c r="AF516" s="41"/>
      <c r="AG516" s="45"/>
      <c r="AH516" s="28"/>
      <c r="AI516" s="28"/>
      <c r="AJ516" s="28"/>
      <c r="AK516" s="28"/>
      <c r="AL516" s="12"/>
      <c r="AM516" s="12"/>
      <c r="AN516" s="12"/>
      <c r="AO516" s="12"/>
      <c r="AP516" s="12"/>
      <c r="AQ516" s="13"/>
      <c r="AR516" s="14"/>
    </row>
    <row r="517" spans="1:44" s="16" customFormat="1" ht="30.95" hidden="1" customHeight="1" x14ac:dyDescent="0.2">
      <c r="A517" s="35"/>
      <c r="B517" s="36"/>
      <c r="C517" s="43"/>
      <c r="D517" s="29"/>
      <c r="E517" s="29"/>
      <c r="F517" s="255"/>
      <c r="G517" s="256"/>
      <c r="H517" s="256"/>
      <c r="I517" s="200"/>
      <c r="J517" s="30"/>
      <c r="K517" s="200"/>
      <c r="L517" s="200"/>
      <c r="M517" s="37"/>
      <c r="N517" s="37"/>
      <c r="O517" s="45"/>
      <c r="P517" s="54"/>
      <c r="Q517" s="260"/>
      <c r="R517" s="261"/>
      <c r="S517" s="261"/>
      <c r="T517" s="38"/>
      <c r="U517" s="261"/>
      <c r="V517" s="256"/>
      <c r="W517" s="256"/>
      <c r="X517" s="256"/>
      <c r="Y517" s="256"/>
      <c r="Z517" s="54"/>
      <c r="AA517" s="200"/>
      <c r="AB517" s="31"/>
      <c r="AC517" s="184"/>
      <c r="AD517" s="51"/>
      <c r="AE517" s="52"/>
      <c r="AF517" s="41"/>
      <c r="AG517" s="45"/>
      <c r="AH517" s="28"/>
      <c r="AI517" s="28"/>
      <c r="AJ517" s="28"/>
      <c r="AK517" s="28"/>
      <c r="AL517" s="12"/>
      <c r="AM517" s="12"/>
      <c r="AN517" s="12"/>
      <c r="AO517" s="12"/>
      <c r="AP517" s="12"/>
      <c r="AQ517" s="13"/>
      <c r="AR517" s="14"/>
    </row>
    <row r="518" spans="1:44" s="225" customFormat="1" ht="30.95" hidden="1" customHeight="1" x14ac:dyDescent="0.2">
      <c r="A518" s="209"/>
      <c r="B518" s="210"/>
      <c r="C518" s="262"/>
      <c r="D518" s="211"/>
      <c r="E518" s="211"/>
      <c r="F518" s="263"/>
      <c r="G518" s="264"/>
      <c r="H518" s="264"/>
      <c r="I518" s="265"/>
      <c r="J518" s="212"/>
      <c r="K518" s="265"/>
      <c r="L518" s="265"/>
      <c r="M518" s="213"/>
      <c r="N518" s="213"/>
      <c r="O518" s="214"/>
      <c r="P518" s="206"/>
      <c r="Q518" s="266"/>
      <c r="R518" s="267"/>
      <c r="S518" s="267"/>
      <c r="T518" s="216"/>
      <c r="U518" s="267"/>
      <c r="V518" s="264"/>
      <c r="W518" s="264"/>
      <c r="X518" s="264"/>
      <c r="Y518" s="264"/>
      <c r="Z518" s="206"/>
      <c r="AA518" s="265"/>
      <c r="AB518" s="217"/>
      <c r="AC518" s="218"/>
      <c r="AD518" s="219"/>
      <c r="AE518" s="220"/>
      <c r="AF518" s="215"/>
      <c r="AG518" s="226">
        <f>SUM(AG441:AG516)</f>
        <v>584940.77999999991</v>
      </c>
      <c r="AH518" s="221"/>
      <c r="AI518" s="221"/>
      <c r="AJ518" s="221"/>
      <c r="AK518" s="221"/>
      <c r="AL518" s="222"/>
      <c r="AM518" s="222"/>
      <c r="AN518" s="222"/>
      <c r="AO518" s="222"/>
      <c r="AP518" s="222"/>
      <c r="AQ518" s="223"/>
      <c r="AR518" s="224"/>
    </row>
    <row r="519" spans="1:44" s="16" customFormat="1" ht="30.95" hidden="1" customHeight="1" x14ac:dyDescent="0.2">
      <c r="A519" s="35"/>
      <c r="B519" s="36"/>
      <c r="C519" s="43"/>
      <c r="D519" s="29"/>
      <c r="E519" s="29"/>
      <c r="F519" s="255"/>
      <c r="G519" s="256"/>
      <c r="H519" s="256"/>
      <c r="I519" s="200"/>
      <c r="J519" s="30"/>
      <c r="K519" s="200"/>
      <c r="L519" s="200"/>
      <c r="M519" s="37"/>
      <c r="N519" s="37"/>
      <c r="O519" s="45"/>
      <c r="P519" s="54"/>
      <c r="Q519" s="260"/>
      <c r="R519" s="261"/>
      <c r="S519" s="261"/>
      <c r="T519" s="38"/>
      <c r="U519" s="261"/>
      <c r="V519" s="256"/>
      <c r="W519" s="256"/>
      <c r="X519" s="256"/>
      <c r="Y519" s="256"/>
      <c r="Z519" s="54"/>
      <c r="AA519" s="200"/>
      <c r="AB519" s="31"/>
      <c r="AC519" s="184"/>
      <c r="AD519" s="51"/>
      <c r="AE519" s="52"/>
      <c r="AF519" s="41"/>
      <c r="AG519" s="45"/>
      <c r="AH519" s="28"/>
      <c r="AI519" s="28"/>
      <c r="AJ519" s="28"/>
      <c r="AK519" s="28"/>
      <c r="AL519" s="12"/>
      <c r="AM519" s="12"/>
      <c r="AN519" s="12"/>
      <c r="AO519" s="12"/>
      <c r="AP519" s="12"/>
      <c r="AQ519" s="13"/>
      <c r="AR519" s="14"/>
    </row>
    <row r="520" spans="1:44" s="16" customFormat="1" ht="30.95" hidden="1" customHeight="1" x14ac:dyDescent="0.2">
      <c r="A520" s="35" t="s">
        <v>1215</v>
      </c>
      <c r="B520" s="36" t="s">
        <v>1202</v>
      </c>
      <c r="C520" s="43"/>
      <c r="D520" s="29"/>
      <c r="E520" s="29"/>
      <c r="F520" s="255"/>
      <c r="G520" s="256"/>
      <c r="H520" s="256"/>
      <c r="I520" s="200"/>
      <c r="J520" s="30" t="s">
        <v>489</v>
      </c>
      <c r="K520" s="200"/>
      <c r="L520" s="200"/>
      <c r="M520" s="37"/>
      <c r="N520" s="37"/>
      <c r="O520" s="45"/>
      <c r="P520" s="54"/>
      <c r="Q520" s="260"/>
      <c r="R520" s="261"/>
      <c r="S520" s="261"/>
      <c r="T520" s="38"/>
      <c r="U520" s="261"/>
      <c r="V520" s="256"/>
      <c r="W520" s="256"/>
      <c r="X520" s="256"/>
      <c r="Y520" s="256"/>
      <c r="Z520" s="54"/>
      <c r="AA520" s="200"/>
      <c r="AB520" s="31"/>
      <c r="AC520" s="184"/>
      <c r="AD520" s="51"/>
      <c r="AE520" s="52"/>
      <c r="AF520" s="41"/>
      <c r="AG520" s="45"/>
      <c r="AH520" s="28"/>
      <c r="AI520" s="28"/>
      <c r="AJ520" s="28"/>
      <c r="AK520" s="28"/>
      <c r="AL520" s="12"/>
      <c r="AM520" s="12"/>
      <c r="AN520" s="12"/>
      <c r="AO520" s="12"/>
      <c r="AP520" s="12"/>
      <c r="AQ520" s="13"/>
      <c r="AR520" s="14"/>
    </row>
    <row r="521" spans="1:44" s="16" customFormat="1" ht="30.95" hidden="1" customHeight="1" x14ac:dyDescent="0.2">
      <c r="A521" s="35"/>
      <c r="B521" s="36"/>
      <c r="C521" s="43"/>
      <c r="D521" s="29"/>
      <c r="E521" s="29"/>
      <c r="F521" s="255"/>
      <c r="G521" s="256"/>
      <c r="H521" s="256"/>
      <c r="I521" s="200"/>
      <c r="J521" s="30"/>
      <c r="K521" s="200"/>
      <c r="L521" s="200"/>
      <c r="M521" s="37"/>
      <c r="N521" s="37"/>
      <c r="O521" s="45"/>
      <c r="P521" s="54"/>
      <c r="Q521" s="260"/>
      <c r="R521" s="261"/>
      <c r="S521" s="261"/>
      <c r="T521" s="38"/>
      <c r="U521" s="261"/>
      <c r="V521" s="256"/>
      <c r="W521" s="256"/>
      <c r="X521" s="256"/>
      <c r="Y521" s="256"/>
      <c r="Z521" s="54"/>
      <c r="AA521" s="200"/>
      <c r="AB521" s="31"/>
      <c r="AC521" s="184"/>
      <c r="AD521" s="51"/>
      <c r="AE521" s="52"/>
      <c r="AF521" s="41"/>
      <c r="AG521" s="45"/>
      <c r="AH521" s="28"/>
      <c r="AI521" s="28"/>
      <c r="AJ521" s="28"/>
      <c r="AK521" s="28"/>
      <c r="AL521" s="12"/>
      <c r="AM521" s="12"/>
      <c r="AN521" s="12"/>
      <c r="AO521" s="12"/>
      <c r="AP521" s="12"/>
      <c r="AQ521" s="13"/>
      <c r="AR521" s="14"/>
    </row>
    <row r="522" spans="1:44" s="16" customFormat="1" ht="30.95" hidden="1" customHeight="1" x14ac:dyDescent="0.2">
      <c r="A522" s="35" t="s">
        <v>1216</v>
      </c>
      <c r="B522" s="36" t="s">
        <v>1190</v>
      </c>
      <c r="C522" s="43"/>
      <c r="D522" s="29">
        <v>3716256</v>
      </c>
      <c r="E522" s="29">
        <v>4170113</v>
      </c>
      <c r="F522" s="255" t="str">
        <f>IF(D522="","",VLOOKUP(D522,契約台帳!$A$3:$K$4986,6,FALSE)&amp;VLOOKUP(D522,契約台帳!$A$3:$K$4986,7,FALSE)&amp;VLOOKUP(D522,契約台帳!$A$3:$K$4986,8,FALSE)&amp;VLOOKUP(D522,契約台帳!$A$3:$K$4986,9,FALSE)&amp;VLOOKUP(D522,契約台帳!$A$3:$K$4986,11,FALSE))</f>
        <v>3SNMLBMNGTBF</v>
      </c>
      <c r="G522" s="256" t="str">
        <f>IF(D522="","",VLOOKUP(F522,製品マスタ!$G$5:$H$4999,2,FALSE))</f>
        <v>S</v>
      </c>
      <c r="H522" s="256" t="str">
        <f>IF(D522="","",VLOOKUP(F522,製品マスタ!$G$5:$K$4999,5,FALSE))</f>
        <v>MNGTBF</v>
      </c>
      <c r="I522" s="200" t="str">
        <f>IF(D522="","",VLOOKUP(F522,製品マスタ!$G$5:$L$4999,6,FALSE))</f>
        <v>メタルミー　ネーマー　銀艶　Ｂ</v>
      </c>
      <c r="J522" s="30" t="s">
        <v>464</v>
      </c>
      <c r="K522" s="200">
        <f>IF(D522="","",VLOOKUP(D522,契約台帳!$A$3:$L$4986,12,FALSE))</f>
        <v>25</v>
      </c>
      <c r="L522" s="200" t="str">
        <f>IF(D522="","",INDEX(製品マスタ!$Q$5:$Q$4999,MATCH(F522&amp;K522,製品マスタ!$AO$5:$AO$4999,0)))</f>
        <v>T62M</v>
      </c>
      <c r="M522" s="37">
        <v>1125</v>
      </c>
      <c r="N522" s="37">
        <v>12100</v>
      </c>
      <c r="O522" s="45">
        <v>1</v>
      </c>
      <c r="P522" s="206">
        <v>45106</v>
      </c>
      <c r="Q522" s="260">
        <f>IF(D522="","",IF(J522="リード付け",M522,VLOOKUP(D522,契約台帳!$A$3:$N$4986,14,FALSE)))</f>
        <v>1125</v>
      </c>
      <c r="R522" s="261">
        <f>IF(D522="","",IF(J522="リード付け",M522,VLOOKUP(D522,契約台帳!$A$3:$O$4986,15,FALSE)))</f>
        <v>1125</v>
      </c>
      <c r="S522" s="261">
        <f>IF(D522="","",IF(J522="リード付け",N522,VLOOKUP(D522,契約台帳!$A$3:$P$4986,16,FALSE)))</f>
        <v>12100</v>
      </c>
      <c r="T522" s="38">
        <v>1</v>
      </c>
      <c r="U522" s="261">
        <f ca="1">IF(D522="","",IF(OFFSET(D522,-2,0)=D522,"",VLOOKUP(D522,契約台帳!$A$3:$R$4986,18,FALSE)))</f>
        <v>3</v>
      </c>
      <c r="V522" s="256" t="str">
        <f>IF(J522="巻返し",VLOOKUP(F522&amp;K522&amp;M522,製品マスタ!$M$5:$AD$4999,18,FALSE),IF(J522="リード付け","原反コア",IF(J522="スリット",VLOOKUP(F522&amp;K522&amp;Q522,製品マスタ!$N$5:$AD$4999,17,FALSE),"")))</f>
        <v>原反コア</v>
      </c>
      <c r="W522" s="256" t="str">
        <f>IF(J522="巻返し",VLOOKUP(F522&amp;K522&amp;M522,製品マスタ!$M$5:$AE$4999,19,FALSE),IF(J522="リード付け","-",IF(J522="スリット",VLOOKUP(F522&amp;K522&amp;Q522,製品マスタ!$N$5:$AE$4999,18,FALSE),"")))</f>
        <v>-</v>
      </c>
      <c r="X522" s="256">
        <f>IF(D522="","",VLOOKUP(D522,契約台帳!$A$3:$Q$4986,17,FALSE))</f>
        <v>2</v>
      </c>
      <c r="Y522" s="256" t="str">
        <f>IF(D522="","",VLOOKUP(D522,契約台帳!$A$3:$E$4986,5,FALSE))</f>
        <v>リンテック㈱</v>
      </c>
      <c r="Z522" s="54"/>
      <c r="AA522" s="200"/>
      <c r="AB522" s="31"/>
      <c r="AC522" s="184"/>
      <c r="AD522" s="51"/>
      <c r="AE522" s="52"/>
      <c r="AF522" s="41"/>
      <c r="AG522" s="45"/>
      <c r="AH522" s="28"/>
      <c r="AI522" s="28"/>
      <c r="AJ522" s="28"/>
      <c r="AK522" s="28"/>
      <c r="AL522" s="12"/>
      <c r="AM522" s="12"/>
      <c r="AN522" s="12"/>
      <c r="AO522" s="12"/>
      <c r="AP522" s="12"/>
      <c r="AQ522" s="13"/>
      <c r="AR522" s="14"/>
    </row>
    <row r="523" spans="1:44" s="16" customFormat="1" ht="30.95" hidden="1" customHeight="1" x14ac:dyDescent="0.2">
      <c r="A523" s="35"/>
      <c r="B523" s="36"/>
      <c r="C523" s="43"/>
      <c r="D523" s="29"/>
      <c r="E523" s="29"/>
      <c r="F523" s="255"/>
      <c r="G523" s="256"/>
      <c r="H523" s="256"/>
      <c r="I523" s="200"/>
      <c r="J523" s="30"/>
      <c r="K523" s="200"/>
      <c r="L523" s="200"/>
      <c r="M523" s="37"/>
      <c r="N523" s="37"/>
      <c r="O523" s="45"/>
      <c r="P523" s="54"/>
      <c r="Q523" s="260"/>
      <c r="R523" s="261"/>
      <c r="S523" s="261"/>
      <c r="T523" s="38"/>
      <c r="U523" s="261"/>
      <c r="V523" s="256"/>
      <c r="W523" s="256"/>
      <c r="X523" s="256"/>
      <c r="Y523" s="256"/>
      <c r="Z523" s="54"/>
      <c r="AA523" s="200"/>
      <c r="AB523" s="31"/>
      <c r="AC523" s="184"/>
      <c r="AD523" s="51"/>
      <c r="AE523" s="52"/>
      <c r="AF523" s="41"/>
      <c r="AG523" s="45"/>
      <c r="AH523" s="28"/>
      <c r="AI523" s="28"/>
      <c r="AJ523" s="28"/>
      <c r="AK523" s="28"/>
      <c r="AL523" s="12"/>
      <c r="AM523" s="12"/>
      <c r="AN523" s="12"/>
      <c r="AO523" s="12"/>
      <c r="AP523" s="12"/>
      <c r="AQ523" s="13"/>
      <c r="AR523" s="14"/>
    </row>
    <row r="524" spans="1:44" s="16" customFormat="1" ht="30.95" hidden="1" customHeight="1" x14ac:dyDescent="0.2">
      <c r="A524" s="35"/>
      <c r="B524" s="36"/>
      <c r="C524" s="43"/>
      <c r="D524" s="29">
        <v>3716255</v>
      </c>
      <c r="E524" s="29">
        <v>4170112</v>
      </c>
      <c r="F524" s="255" t="str">
        <f>IF(D524="","",VLOOKUP(D524,契約台帳!$A$3:$K$4986,6,FALSE)&amp;VLOOKUP(D524,契約台帳!$A$3:$K$4986,7,FALSE)&amp;VLOOKUP(D524,契約台帳!$A$3:$K$4986,8,FALSE)&amp;VLOOKUP(D524,契約台帳!$A$3:$K$4986,9,FALSE)&amp;VLOOKUP(D524,契約台帳!$A$3:$K$4986,11,FALSE))</f>
        <v>3SNMLBMNGTBF</v>
      </c>
      <c r="G524" s="256" t="str">
        <f>IF(D524="","",VLOOKUP(F524,製品マスタ!$G$5:$H$4999,2,FALSE))</f>
        <v>S</v>
      </c>
      <c r="H524" s="256" t="str">
        <f>IF(D524="","",VLOOKUP(F524,製品マスタ!$G$5:$K$4999,5,FALSE))</f>
        <v>MNGTBF</v>
      </c>
      <c r="I524" s="200" t="str">
        <f>IF(D524="","",VLOOKUP(F524,製品マスタ!$G$5:$L$4999,6,FALSE))</f>
        <v>メタルミー　ネーマー　銀艶　Ｂ</v>
      </c>
      <c r="J524" s="30" t="s">
        <v>464</v>
      </c>
      <c r="K524" s="200">
        <f>IF(D524="","",VLOOKUP(D524,契約台帳!$A$3:$L$4986,12,FALSE))</f>
        <v>25</v>
      </c>
      <c r="L524" s="200" t="str">
        <f>IF(D524="","",INDEX(製品マスタ!$Q$5:$Q$4999,MATCH(F524&amp;K524,製品マスタ!$AO$5:$AO$4999,0)))</f>
        <v>T62M</v>
      </c>
      <c r="M524" s="37">
        <v>1005</v>
      </c>
      <c r="N524" s="37">
        <v>12100</v>
      </c>
      <c r="O524" s="45">
        <v>5</v>
      </c>
      <c r="P524" s="206">
        <v>45106</v>
      </c>
      <c r="Q524" s="260">
        <f>IF(D524="","",IF(J524="リード付け",M524,VLOOKUP(D524,契約台帳!$A$3:$N$4986,14,FALSE)))</f>
        <v>1005</v>
      </c>
      <c r="R524" s="261">
        <f>IF(D524="","",IF(J524="リード付け",M524,VLOOKUP(D524,契約台帳!$A$3:$O$4986,15,FALSE)))</f>
        <v>1005</v>
      </c>
      <c r="S524" s="261">
        <f>IF(D524="","",IF(J524="リード付け",N524,VLOOKUP(D524,契約台帳!$A$3:$P$4986,16,FALSE)))</f>
        <v>12100</v>
      </c>
      <c r="T524" s="38">
        <v>5</v>
      </c>
      <c r="U524" s="261">
        <f ca="1">IF(D524="","",IF(OFFSET(D524,-2,0)=D524,"",VLOOKUP(D524,契約台帳!$A$3:$R$4986,18,FALSE)))</f>
        <v>15</v>
      </c>
      <c r="V524" s="256" t="str">
        <f>IF(J524="巻返し",VLOOKUP(F524&amp;K524&amp;M524,製品マスタ!$M$5:$AD$4999,18,FALSE),IF(J524="リード付け","原反コア",IF(J524="スリット",VLOOKUP(F524&amp;K524&amp;Q524,製品マスタ!$N$5:$AD$4999,17,FALSE),"")))</f>
        <v>原反コア</v>
      </c>
      <c r="W524" s="256" t="str">
        <f>IF(J524="巻返し",VLOOKUP(F524&amp;K524&amp;M524,製品マスタ!$M$5:$AE$4999,19,FALSE),IF(J524="リード付け","-",IF(J524="スリット",VLOOKUP(F524&amp;K524&amp;Q524,製品マスタ!$N$5:$AE$4999,18,FALSE),"")))</f>
        <v>-</v>
      </c>
      <c r="X524" s="256">
        <f>IF(D524="","",VLOOKUP(D524,契約台帳!$A$3:$Q$4986,17,FALSE))</f>
        <v>2</v>
      </c>
      <c r="Y524" s="256" t="str">
        <f>IF(D524="","",VLOOKUP(D524,契約台帳!$A$3:$E$4986,5,FALSE))</f>
        <v>リンテック㈱</v>
      </c>
      <c r="Z524" s="54"/>
      <c r="AA524" s="200"/>
      <c r="AB524" s="31"/>
      <c r="AC524" s="184"/>
      <c r="AD524" s="51"/>
      <c r="AE524" s="52"/>
      <c r="AF524" s="41"/>
      <c r="AG524" s="45"/>
      <c r="AH524" s="28"/>
      <c r="AI524" s="28"/>
      <c r="AJ524" s="28"/>
      <c r="AK524" s="28"/>
      <c r="AL524" s="12"/>
      <c r="AM524" s="12"/>
      <c r="AN524" s="12"/>
      <c r="AO524" s="12"/>
      <c r="AP524" s="12"/>
      <c r="AQ524" s="13"/>
      <c r="AR524" s="14"/>
    </row>
    <row r="525" spans="1:44" s="16" customFormat="1" ht="30.95" hidden="1" customHeight="1" x14ac:dyDescent="0.2">
      <c r="A525" s="35"/>
      <c r="B525" s="36"/>
      <c r="C525" s="43"/>
      <c r="D525" s="29"/>
      <c r="E525" s="29"/>
      <c r="F525" s="255"/>
      <c r="G525" s="256"/>
      <c r="H525" s="256"/>
      <c r="I525" s="200"/>
      <c r="J525" s="30"/>
      <c r="K525" s="200"/>
      <c r="L525" s="200"/>
      <c r="M525" s="37"/>
      <c r="N525" s="37"/>
      <c r="O525" s="45"/>
      <c r="P525" s="54"/>
      <c r="Q525" s="260"/>
      <c r="R525" s="261"/>
      <c r="S525" s="261"/>
      <c r="T525" s="38"/>
      <c r="U525" s="261"/>
      <c r="V525" s="256"/>
      <c r="W525" s="256"/>
      <c r="X525" s="256"/>
      <c r="Y525" s="256"/>
      <c r="Z525" s="54"/>
      <c r="AA525" s="200"/>
      <c r="AB525" s="31"/>
      <c r="AC525" s="184"/>
      <c r="AD525" s="51"/>
      <c r="AE525" s="52"/>
      <c r="AF525" s="41"/>
      <c r="AG525" s="45"/>
      <c r="AH525" s="28"/>
      <c r="AI525" s="28"/>
      <c r="AJ525" s="28"/>
      <c r="AK525" s="28"/>
      <c r="AL525" s="12"/>
      <c r="AM525" s="12"/>
      <c r="AN525" s="12"/>
      <c r="AO525" s="12"/>
      <c r="AP525" s="12"/>
      <c r="AQ525" s="13"/>
      <c r="AR525" s="14"/>
    </row>
    <row r="526" spans="1:44" s="16" customFormat="1" ht="30.95" hidden="1" customHeight="1" x14ac:dyDescent="0.2">
      <c r="A526" s="35" t="s">
        <v>1217</v>
      </c>
      <c r="B526" s="36" t="s">
        <v>1192</v>
      </c>
      <c r="C526" s="43"/>
      <c r="D526" s="29"/>
      <c r="E526" s="29"/>
      <c r="F526" s="255"/>
      <c r="G526" s="256"/>
      <c r="H526" s="256"/>
      <c r="I526" s="280"/>
      <c r="J526" s="30"/>
      <c r="K526" s="200"/>
      <c r="L526" s="200"/>
      <c r="M526" s="37"/>
      <c r="N526" s="37"/>
      <c r="O526" s="45"/>
      <c r="P526" s="54"/>
      <c r="Q526" s="260"/>
      <c r="R526" s="261"/>
      <c r="S526" s="261"/>
      <c r="T526" s="38"/>
      <c r="U526" s="261"/>
      <c r="V526" s="256"/>
      <c r="W526" s="256"/>
      <c r="X526" s="256"/>
      <c r="Y526" s="256"/>
      <c r="Z526" s="54"/>
      <c r="AA526" s="200"/>
      <c r="AB526" s="31"/>
      <c r="AC526" s="184"/>
      <c r="AD526" s="51"/>
      <c r="AE526" s="52"/>
      <c r="AF526" s="41"/>
      <c r="AG526" s="45"/>
      <c r="AH526" s="28"/>
      <c r="AI526" s="28"/>
      <c r="AJ526" s="28"/>
      <c r="AK526" s="28"/>
      <c r="AL526" s="12"/>
      <c r="AM526" s="12"/>
      <c r="AN526" s="12"/>
      <c r="AO526" s="12"/>
      <c r="AP526" s="12"/>
      <c r="AQ526" s="13"/>
      <c r="AR526" s="14"/>
    </row>
    <row r="527" spans="1:44" s="16" customFormat="1" ht="30.95" hidden="1" customHeight="1" x14ac:dyDescent="0.2">
      <c r="A527" s="35"/>
      <c r="B527" s="36"/>
      <c r="C527" s="43"/>
      <c r="D527" s="29"/>
      <c r="E527" s="29"/>
      <c r="F527" s="255"/>
      <c r="G527" s="256"/>
      <c r="H527" s="256"/>
      <c r="I527" s="200"/>
      <c r="J527" s="30"/>
      <c r="K527" s="200"/>
      <c r="L527" s="200"/>
      <c r="M527" s="37"/>
      <c r="N527" s="37"/>
      <c r="O527" s="45"/>
      <c r="P527" s="54"/>
      <c r="Q527" s="260"/>
      <c r="R527" s="261"/>
      <c r="S527" s="261"/>
      <c r="T527" s="38"/>
      <c r="U527" s="261"/>
      <c r="V527" s="256"/>
      <c r="W527" s="256"/>
      <c r="X527" s="256"/>
      <c r="Y527" s="256"/>
      <c r="Z527" s="54"/>
      <c r="AA527" s="200"/>
      <c r="AB527" s="31"/>
      <c r="AC527" s="184"/>
      <c r="AD527" s="51"/>
      <c r="AE527" s="52"/>
      <c r="AF527" s="41"/>
      <c r="AG527" s="45"/>
      <c r="AH527" s="28"/>
      <c r="AI527" s="28"/>
      <c r="AJ527" s="28"/>
      <c r="AK527" s="28"/>
      <c r="AL527" s="12"/>
      <c r="AM527" s="12"/>
      <c r="AN527" s="12"/>
      <c r="AO527" s="12"/>
      <c r="AP527" s="12"/>
      <c r="AQ527" s="13"/>
      <c r="AR527" s="14"/>
    </row>
    <row r="528" spans="1:44" s="16" customFormat="1" ht="30.95" hidden="1" customHeight="1" x14ac:dyDescent="0.2">
      <c r="A528" s="35" t="s">
        <v>1218</v>
      </c>
      <c r="B528" s="36" t="s">
        <v>1194</v>
      </c>
      <c r="C528" s="43"/>
      <c r="D528" s="29"/>
      <c r="E528" s="29"/>
      <c r="F528" s="255"/>
      <c r="G528" s="256"/>
      <c r="H528" s="256"/>
      <c r="I528" s="200"/>
      <c r="J528" s="30" t="s">
        <v>448</v>
      </c>
      <c r="K528" s="200"/>
      <c r="L528" s="200"/>
      <c r="M528" s="37"/>
      <c r="N528" s="37"/>
      <c r="O528" s="45"/>
      <c r="P528" s="54"/>
      <c r="Q528" s="260"/>
      <c r="R528" s="261"/>
      <c r="S528" s="261"/>
      <c r="T528" s="38"/>
      <c r="U528" s="261"/>
      <c r="V528" s="256"/>
      <c r="W528" s="256"/>
      <c r="X528" s="256"/>
      <c r="Y528" s="256"/>
      <c r="Z528" s="54"/>
      <c r="AA528" s="200"/>
      <c r="AB528" s="31"/>
      <c r="AC528" s="184"/>
      <c r="AD528" s="51"/>
      <c r="AE528" s="52"/>
      <c r="AF528" s="41"/>
      <c r="AG528" s="45"/>
      <c r="AH528" s="28"/>
      <c r="AI528" s="28"/>
      <c r="AJ528" s="28"/>
      <c r="AK528" s="28"/>
      <c r="AL528" s="12"/>
      <c r="AM528" s="12"/>
      <c r="AN528" s="12"/>
      <c r="AO528" s="12"/>
      <c r="AP528" s="12"/>
      <c r="AQ528" s="13"/>
      <c r="AR528" s="14"/>
    </row>
    <row r="529" spans="1:44" s="16" customFormat="1" ht="30.95" hidden="1" customHeight="1" x14ac:dyDescent="0.2">
      <c r="A529" s="35"/>
      <c r="B529" s="36"/>
      <c r="C529" s="43"/>
      <c r="D529" s="29"/>
      <c r="E529" s="29"/>
      <c r="F529" s="255"/>
      <c r="G529" s="256"/>
      <c r="H529" s="256"/>
      <c r="I529" s="200"/>
      <c r="J529" s="30"/>
      <c r="K529" s="200"/>
      <c r="L529" s="200"/>
      <c r="M529" s="37"/>
      <c r="N529" s="37"/>
      <c r="O529" s="45"/>
      <c r="P529" s="54"/>
      <c r="Q529" s="260"/>
      <c r="R529" s="261"/>
      <c r="S529" s="261"/>
      <c r="T529" s="38"/>
      <c r="U529" s="261"/>
      <c r="V529" s="256"/>
      <c r="W529" s="256"/>
      <c r="X529" s="256"/>
      <c r="Y529" s="256"/>
      <c r="Z529" s="54"/>
      <c r="AA529" s="200"/>
      <c r="AB529" s="31"/>
      <c r="AC529" s="184"/>
      <c r="AD529" s="51"/>
      <c r="AE529" s="52"/>
      <c r="AF529" s="41"/>
      <c r="AG529" s="45"/>
      <c r="AH529" s="28"/>
      <c r="AI529" s="28"/>
      <c r="AJ529" s="28"/>
      <c r="AK529" s="28"/>
      <c r="AL529" s="12"/>
      <c r="AM529" s="12"/>
      <c r="AN529" s="12"/>
      <c r="AO529" s="12"/>
      <c r="AP529" s="12"/>
      <c r="AQ529" s="13"/>
      <c r="AR529" s="14"/>
    </row>
    <row r="530" spans="1:44" s="16" customFormat="1" ht="30.95" hidden="1" customHeight="1" x14ac:dyDescent="0.2">
      <c r="A530" s="35" t="s">
        <v>1219</v>
      </c>
      <c r="B530" s="36" t="s">
        <v>1196</v>
      </c>
      <c r="C530" s="43"/>
      <c r="D530" s="29"/>
      <c r="E530" s="29"/>
      <c r="F530" s="255"/>
      <c r="G530" s="256"/>
      <c r="H530" s="256"/>
      <c r="I530" s="200"/>
      <c r="J530" s="30" t="s">
        <v>448</v>
      </c>
      <c r="K530" s="200"/>
      <c r="L530" s="200"/>
      <c r="M530" s="37"/>
      <c r="N530" s="37"/>
      <c r="O530" s="45"/>
      <c r="P530" s="54"/>
      <c r="Q530" s="260"/>
      <c r="R530" s="261"/>
      <c r="S530" s="261"/>
      <c r="T530" s="38"/>
      <c r="U530" s="261"/>
      <c r="V530" s="256"/>
      <c r="W530" s="256"/>
      <c r="X530" s="256"/>
      <c r="Y530" s="256"/>
      <c r="Z530" s="54"/>
      <c r="AA530" s="200"/>
      <c r="AB530" s="31"/>
      <c r="AC530" s="184"/>
      <c r="AD530" s="51"/>
      <c r="AE530" s="52"/>
      <c r="AF530" s="41"/>
      <c r="AG530" s="45"/>
      <c r="AH530" s="28"/>
      <c r="AI530" s="28"/>
      <c r="AJ530" s="28"/>
      <c r="AK530" s="28"/>
      <c r="AL530" s="12"/>
      <c r="AM530" s="12"/>
      <c r="AN530" s="12"/>
      <c r="AO530" s="12"/>
      <c r="AP530" s="12"/>
      <c r="AQ530" s="13"/>
      <c r="AR530" s="14"/>
    </row>
    <row r="531" spans="1:44" s="16" customFormat="1" ht="30.95" hidden="1" customHeight="1" x14ac:dyDescent="0.2">
      <c r="A531" s="35"/>
      <c r="B531" s="36"/>
      <c r="C531" s="43"/>
      <c r="D531" s="29"/>
      <c r="E531" s="29"/>
      <c r="F531" s="255"/>
      <c r="G531" s="256"/>
      <c r="H531" s="256"/>
      <c r="I531" s="200"/>
      <c r="J531" s="30"/>
      <c r="K531" s="200"/>
      <c r="L531" s="200"/>
      <c r="M531" s="37"/>
      <c r="N531" s="37"/>
      <c r="O531" s="45"/>
      <c r="P531" s="54"/>
      <c r="Q531" s="260"/>
      <c r="R531" s="261"/>
      <c r="S531" s="261"/>
      <c r="T531" s="38"/>
      <c r="U531" s="261"/>
      <c r="V531" s="256"/>
      <c r="W531" s="256"/>
      <c r="X531" s="256"/>
      <c r="Y531" s="256"/>
      <c r="Z531" s="54"/>
      <c r="AA531" s="200"/>
      <c r="AB531" s="31"/>
      <c r="AC531" s="184"/>
      <c r="AD531" s="51"/>
      <c r="AE531" s="52"/>
      <c r="AF531" s="41"/>
      <c r="AG531" s="45"/>
      <c r="AH531" s="28"/>
      <c r="AI531" s="28"/>
      <c r="AJ531" s="28"/>
      <c r="AK531" s="28"/>
      <c r="AL531" s="12"/>
      <c r="AM531" s="12"/>
      <c r="AN531" s="12"/>
      <c r="AO531" s="12"/>
      <c r="AP531" s="12"/>
      <c r="AQ531" s="13"/>
      <c r="AR531" s="14"/>
    </row>
    <row r="532" spans="1:44" s="16" customFormat="1" ht="30.95" hidden="1" customHeight="1" x14ac:dyDescent="0.2">
      <c r="A532" s="35" t="s">
        <v>1261</v>
      </c>
      <c r="B532" s="36" t="s">
        <v>1262</v>
      </c>
      <c r="C532" s="43"/>
      <c r="D532" s="29">
        <v>3716270</v>
      </c>
      <c r="E532" s="29">
        <v>4170115</v>
      </c>
      <c r="F532" s="255" t="str">
        <f>IF(D532="","",VLOOKUP(D532,契約台帳!$A$3:$K$4986,6,FALSE)&amp;VLOOKUP(D532,契約台帳!$A$3:$K$4986,7,FALSE)&amp;VLOOKUP(D532,契約台帳!$A$3:$K$4986,8,FALSE)&amp;VLOOKUP(D532,契約台帳!$A$3:$K$4986,9,FALSE)&amp;VLOOKUP(D532,契約台帳!$A$3:$K$4986,11,FALSE))</f>
        <v>3SYMLBMSSMBF</v>
      </c>
      <c r="G532" s="256" t="str">
        <f>IF(D532="","",VLOOKUP(F532,製品マスタ!$G$5:$H$4999,2,FALSE))</f>
        <v>S</v>
      </c>
      <c r="H532" s="256" t="str">
        <f>IF(D532="","",VLOOKUP(F532,製品マスタ!$G$5:$K$4999,5,FALSE))</f>
        <v>MSSMBF</v>
      </c>
      <c r="I532" s="200" t="str">
        <f>IF(D532="","",VLOOKUP(F532,製品マスタ!$G$5:$L$4999,6,FALSE))</f>
        <v>ＭＥＴＡＬＵＭＹ　ＳＩＬＶＥＲ　Ｓ－ＭＡＴＴＥ　Ｓ２８ＭＭ　Ｂ</v>
      </c>
      <c r="J532" s="30" t="s">
        <v>464</v>
      </c>
      <c r="K532" s="200">
        <f>IF(D532="","",VLOOKUP(D532,契約台帳!$A$3:$L$4986,12,FALSE))</f>
        <v>25</v>
      </c>
      <c r="L532" s="200" t="str">
        <f>IF(D532="","",INDEX(製品マスタ!$Q$5:$Q$4999,MATCH(F532&amp;K532,製品マスタ!$AO$5:$AO$4999,0)))</f>
        <v>LI-MAT</v>
      </c>
      <c r="M532" s="37">
        <v>1120</v>
      </c>
      <c r="N532" s="37">
        <v>8000</v>
      </c>
      <c r="O532" s="45">
        <v>1</v>
      </c>
      <c r="P532" s="206">
        <v>45110</v>
      </c>
      <c r="Q532" s="260">
        <f>IF(D532="","",IF(J532="リード付け",M532,VLOOKUP(D532,契約台帳!$A$3:$N$4986,14,FALSE)))</f>
        <v>1120</v>
      </c>
      <c r="R532" s="261">
        <f>IF(D532="","",IF(J532="リード付け",M532,VLOOKUP(D532,契約台帳!$A$3:$O$4986,15,FALSE)))</f>
        <v>1120</v>
      </c>
      <c r="S532" s="261">
        <f>IF(D532="","",IF(J532="リード付け",N532,VLOOKUP(D532,契約台帳!$A$3:$P$4986,16,FALSE)))</f>
        <v>8000</v>
      </c>
      <c r="T532" s="38">
        <v>1</v>
      </c>
      <c r="U532" s="261">
        <f ca="1">IF(D532="","",IF(OFFSET(D532,-2,0)=D532,"",VLOOKUP(D532,契約台帳!$A$3:$R$4986,18,FALSE)))</f>
        <v>1</v>
      </c>
      <c r="V532" s="256" t="str">
        <f>IF(J532="巻返し",VLOOKUP(F532&amp;K532&amp;M532,製品マスタ!$M$5:$AD$4999,18,FALSE),IF(J532="リード付け","原反コア",IF(J532="スリット",VLOOKUP(F532&amp;K532&amp;Q532,製品マスタ!$N$5:$AD$4999,17,FALSE),"")))</f>
        <v>原反コア</v>
      </c>
      <c r="W532" s="256" t="str">
        <f>IF(J532="巻返し",VLOOKUP(F532&amp;K532&amp;M532,製品マスタ!$M$5:$AE$4999,19,FALSE),IF(J532="リード付け","-",IF(J532="スリット",VLOOKUP(F532&amp;K532&amp;Q532,製品マスタ!$N$5:$AE$4999,18,FALSE),"")))</f>
        <v>-</v>
      </c>
      <c r="X532" s="256">
        <f>IF(D532="","",VLOOKUP(D532,契約台帳!$A$3:$Q$4986,17,FALSE))</f>
        <v>2</v>
      </c>
      <c r="Y532" s="256" t="str">
        <f>IF(D532="","",VLOOKUP(D532,契約台帳!$A$3:$E$4986,5,FALSE))</f>
        <v>リンテック㈱</v>
      </c>
      <c r="Z532" s="54"/>
      <c r="AA532" s="200">
        <f>IFERROR(VLOOKUP(F532&amp;K532&amp;M532,製品マスタ!$M$5:$AM$4999,27,FALSE),"")</f>
        <v>0</v>
      </c>
      <c r="AB532" s="31"/>
      <c r="AC532" s="184"/>
      <c r="AD532" s="51"/>
      <c r="AE532" s="52"/>
      <c r="AF532" s="41"/>
      <c r="AG532" s="45"/>
      <c r="AH532" s="28"/>
      <c r="AI532" s="28"/>
      <c r="AJ532" s="28"/>
      <c r="AK532" s="28"/>
      <c r="AL532" s="12"/>
      <c r="AM532" s="12"/>
      <c r="AN532" s="12"/>
      <c r="AO532" s="12"/>
      <c r="AP532" s="12"/>
      <c r="AQ532" s="13"/>
      <c r="AR532" s="14"/>
    </row>
    <row r="533" spans="1:44" s="16" customFormat="1" ht="30.95" hidden="1" customHeight="1" x14ac:dyDescent="0.2">
      <c r="A533" s="35"/>
      <c r="B533" s="36"/>
      <c r="C533" s="43"/>
      <c r="D533" s="29"/>
      <c r="E533" s="29"/>
      <c r="F533" s="255"/>
      <c r="G533" s="256"/>
      <c r="H533" s="256"/>
      <c r="I533" s="200"/>
      <c r="J533" s="30"/>
      <c r="K533" s="200"/>
      <c r="L533" s="200"/>
      <c r="M533" s="37"/>
      <c r="N533" s="37"/>
      <c r="O533" s="45"/>
      <c r="P533" s="54"/>
      <c r="Q533" s="260"/>
      <c r="R533" s="261"/>
      <c r="S533" s="261"/>
      <c r="T533" s="38"/>
      <c r="U533" s="261"/>
      <c r="V533" s="256"/>
      <c r="W533" s="256"/>
      <c r="X533" s="256"/>
      <c r="Y533" s="256"/>
      <c r="Z533" s="54"/>
      <c r="AA533" s="200"/>
      <c r="AB533" s="31"/>
      <c r="AC533" s="184"/>
      <c r="AD533" s="51"/>
      <c r="AE533" s="52"/>
      <c r="AF533" s="41"/>
      <c r="AG533" s="45"/>
      <c r="AH533" s="28"/>
      <c r="AI533" s="28"/>
      <c r="AJ533" s="28"/>
      <c r="AK533" s="28"/>
      <c r="AL533" s="12"/>
      <c r="AM533" s="12"/>
      <c r="AN533" s="12"/>
      <c r="AO533" s="12"/>
      <c r="AP533" s="12"/>
      <c r="AQ533" s="13"/>
      <c r="AR533" s="14"/>
    </row>
    <row r="534" spans="1:44" s="16" customFormat="1" ht="30.95" hidden="1" customHeight="1" x14ac:dyDescent="0.2">
      <c r="A534" s="35"/>
      <c r="B534" s="36"/>
      <c r="C534" s="43"/>
      <c r="D534" s="29">
        <v>3716262</v>
      </c>
      <c r="E534" s="29">
        <v>4170114</v>
      </c>
      <c r="F534" s="255" t="str">
        <f>IF(D534="","",VLOOKUP(D534,契約台帳!$A$3:$K$4986,6,FALSE)&amp;VLOOKUP(D534,契約台帳!$A$3:$K$4986,7,FALSE)&amp;VLOOKUP(D534,契約台帳!$A$3:$K$4986,8,FALSE)&amp;VLOOKUP(D534,契約台帳!$A$3:$K$4986,9,FALSE)&amp;VLOOKUP(D534,契約台帳!$A$3:$K$4986,11,FALSE))</f>
        <v>3SNMLBMNNGKBF</v>
      </c>
      <c r="G534" s="256" t="str">
        <f>IF(D534="","",VLOOKUP(F534,製品マスタ!$G$5:$H$4999,2,FALSE))</f>
        <v>S</v>
      </c>
      <c r="H534" s="256" t="str">
        <f>IF(D534="","",VLOOKUP(F534,製品マスタ!$G$5:$K$4999,5,FALSE))</f>
        <v>MNNGKBF</v>
      </c>
      <c r="I534" s="200" t="str">
        <f>IF(D534="","",VLOOKUP(F534,製品マスタ!$G$5:$L$4999,6,FALSE))</f>
        <v>メタルミー　ニューネーマー銀消　Ｂ</v>
      </c>
      <c r="J534" s="30" t="s">
        <v>464</v>
      </c>
      <c r="K534" s="200">
        <f>IF(D534="","",VLOOKUP(D534,契約台帳!$A$3:$L$4986,12,FALSE))</f>
        <v>25</v>
      </c>
      <c r="L534" s="200" t="str">
        <f>IF(D534="","",INDEX(製品マスタ!$Q$5:$Q$4999,MATCH(F534&amp;K534,製品マスタ!$AO$5:$AO$4999,0)))</f>
        <v>X44C</v>
      </c>
      <c r="M534" s="37">
        <v>1005</v>
      </c>
      <c r="N534" s="37">
        <v>8000</v>
      </c>
      <c r="O534" s="45">
        <v>2</v>
      </c>
      <c r="P534" s="206">
        <v>45110</v>
      </c>
      <c r="Q534" s="260">
        <f>IF(D534="","",IF(J534="リード付け",M534,VLOOKUP(D534,契約台帳!$A$3:$N$4986,14,FALSE)))</f>
        <v>1005</v>
      </c>
      <c r="R534" s="261">
        <f>IF(D534="","",IF(J534="リード付け",M534,VLOOKUP(D534,契約台帳!$A$3:$O$4986,15,FALSE)))</f>
        <v>1005</v>
      </c>
      <c r="S534" s="261">
        <f>IF(D534="","",IF(J534="リード付け",N534,VLOOKUP(D534,契約台帳!$A$3:$P$4986,16,FALSE)))</f>
        <v>8000</v>
      </c>
      <c r="T534" s="38">
        <v>2</v>
      </c>
      <c r="U534" s="261">
        <f ca="1">IF(D534="","",IF(OFFSET(D534,-2,0)=D534,"",VLOOKUP(D534,契約台帳!$A$3:$R$4986,18,FALSE)))</f>
        <v>4</v>
      </c>
      <c r="V534" s="256" t="str">
        <f>IF(J534="巻返し",VLOOKUP(F534&amp;K534&amp;M534,製品マスタ!$M$5:$AD$4999,18,FALSE),IF(J534="リード付け","原反コア",IF(J534="スリット",VLOOKUP(F534&amp;K534&amp;Q534,製品マスタ!$N$5:$AD$4999,17,FALSE),"")))</f>
        <v>原反コア</v>
      </c>
      <c r="W534" s="256" t="str">
        <f>IF(J534="巻返し",VLOOKUP(F534&amp;K534&amp;M534,製品マスタ!$M$5:$AE$4999,19,FALSE),IF(J534="リード付け","-",IF(J534="スリット",VLOOKUP(F534&amp;K534&amp;Q534,製品マスタ!$N$5:$AE$4999,18,FALSE),"")))</f>
        <v>-</v>
      </c>
      <c r="X534" s="256">
        <f>IF(D534="","",VLOOKUP(D534,契約台帳!$A$3:$Q$4986,17,FALSE))</f>
        <v>2</v>
      </c>
      <c r="Y534" s="256" t="str">
        <f>IF(D534="","",VLOOKUP(D534,契約台帳!$A$3:$E$4986,5,FALSE))</f>
        <v>リンテック㈱</v>
      </c>
      <c r="Z534" s="54"/>
      <c r="AA534" s="200">
        <f>IFERROR(VLOOKUP(F534&amp;K534&amp;M534,製品マスタ!$M$5:$AM$4999,27,FALSE),"")</f>
        <v>0</v>
      </c>
      <c r="AB534" s="31"/>
      <c r="AC534" s="184"/>
      <c r="AD534" s="51"/>
      <c r="AE534" s="52"/>
      <c r="AF534" s="41"/>
      <c r="AG534" s="45"/>
      <c r="AH534" s="28"/>
      <c r="AI534" s="28"/>
      <c r="AJ534" s="28"/>
      <c r="AK534" s="28"/>
      <c r="AL534" s="12"/>
      <c r="AM534" s="12"/>
      <c r="AN534" s="12"/>
      <c r="AO534" s="12"/>
      <c r="AP534" s="12"/>
      <c r="AQ534" s="13"/>
      <c r="AR534" s="14"/>
    </row>
    <row r="535" spans="1:44" s="16" customFormat="1" ht="30.95" hidden="1" customHeight="1" x14ac:dyDescent="0.2">
      <c r="A535" s="35"/>
      <c r="B535" s="36"/>
      <c r="C535" s="43"/>
      <c r="D535" s="29"/>
      <c r="E535" s="29"/>
      <c r="F535" s="255"/>
      <c r="G535" s="256"/>
      <c r="H535" s="256"/>
      <c r="I535" s="200"/>
      <c r="J535" s="30"/>
      <c r="K535" s="200"/>
      <c r="L535" s="200"/>
      <c r="M535" s="37"/>
      <c r="N535" s="37"/>
      <c r="O535" s="45"/>
      <c r="P535" s="54"/>
      <c r="Q535" s="260"/>
      <c r="R535" s="261"/>
      <c r="S535" s="261"/>
      <c r="T535" s="38"/>
      <c r="U535" s="261"/>
      <c r="V535" s="256"/>
      <c r="W535" s="256"/>
      <c r="X535" s="256"/>
      <c r="Y535" s="256"/>
      <c r="Z535" s="54"/>
      <c r="AA535" s="200"/>
      <c r="AB535" s="31"/>
      <c r="AC535" s="184"/>
      <c r="AD535" s="51"/>
      <c r="AE535" s="52"/>
      <c r="AF535" s="41"/>
      <c r="AG535" s="45"/>
      <c r="AH535" s="28"/>
      <c r="AI535" s="28"/>
      <c r="AJ535" s="28"/>
      <c r="AK535" s="28"/>
      <c r="AL535" s="12"/>
      <c r="AM535" s="12"/>
      <c r="AN535" s="12"/>
      <c r="AO535" s="12"/>
      <c r="AP535" s="12"/>
      <c r="AQ535" s="13"/>
      <c r="AR535" s="14"/>
    </row>
    <row r="536" spans="1:44" s="16" customFormat="1" ht="30.95" hidden="1" customHeight="1" x14ac:dyDescent="0.2">
      <c r="A536" s="35" t="s">
        <v>1263</v>
      </c>
      <c r="B536" s="36" t="s">
        <v>1264</v>
      </c>
      <c r="C536" s="43"/>
      <c r="D536" s="29"/>
      <c r="E536" s="29"/>
      <c r="F536" s="255"/>
      <c r="G536" s="256"/>
      <c r="H536" s="256"/>
      <c r="I536" s="200"/>
      <c r="J536" s="30"/>
      <c r="K536" s="200"/>
      <c r="L536" s="200"/>
      <c r="M536" s="37"/>
      <c r="N536" s="37"/>
      <c r="O536" s="45"/>
      <c r="P536" s="54"/>
      <c r="Q536" s="260"/>
      <c r="R536" s="261"/>
      <c r="S536" s="261"/>
      <c r="T536" s="38"/>
      <c r="U536" s="261"/>
      <c r="V536" s="256"/>
      <c r="W536" s="256"/>
      <c r="X536" s="256"/>
      <c r="Y536" s="256"/>
      <c r="Z536" s="54"/>
      <c r="AA536" s="200" t="str">
        <f>IFERROR(VLOOKUP(F536&amp;K536&amp;M536,製品マスタ!$M$5:$AM$4999,27,FALSE),"")</f>
        <v/>
      </c>
      <c r="AB536" s="31"/>
      <c r="AC536" s="184"/>
      <c r="AD536" s="51"/>
      <c r="AE536" s="52"/>
      <c r="AF536" s="41"/>
      <c r="AG536" s="45"/>
      <c r="AH536" s="28"/>
      <c r="AI536" s="28"/>
      <c r="AJ536" s="28"/>
      <c r="AK536" s="28"/>
      <c r="AL536" s="12"/>
      <c r="AM536" s="12"/>
      <c r="AN536" s="12"/>
      <c r="AO536" s="12"/>
      <c r="AP536" s="12"/>
      <c r="AQ536" s="13"/>
      <c r="AR536" s="14"/>
    </row>
    <row r="537" spans="1:44" s="16" customFormat="1" ht="30.95" hidden="1" customHeight="1" x14ac:dyDescent="0.2">
      <c r="A537" s="35"/>
      <c r="B537" s="36"/>
      <c r="C537" s="43"/>
      <c r="D537" s="29"/>
      <c r="E537" s="29"/>
      <c r="F537" s="255"/>
      <c r="G537" s="256"/>
      <c r="H537" s="256"/>
      <c r="I537" s="200"/>
      <c r="J537" s="30"/>
      <c r="K537" s="200"/>
      <c r="L537" s="200"/>
      <c r="M537" s="37"/>
      <c r="N537" s="37"/>
      <c r="O537" s="45"/>
      <c r="P537" s="54"/>
      <c r="Q537" s="260"/>
      <c r="R537" s="261"/>
      <c r="S537" s="261"/>
      <c r="T537" s="38"/>
      <c r="U537" s="261"/>
      <c r="V537" s="256"/>
      <c r="W537" s="256"/>
      <c r="X537" s="256"/>
      <c r="Y537" s="256"/>
      <c r="Z537" s="54"/>
      <c r="AA537" s="200"/>
      <c r="AB537" s="31"/>
      <c r="AC537" s="184"/>
      <c r="AD537" s="51"/>
      <c r="AE537" s="52"/>
      <c r="AF537" s="41"/>
      <c r="AG537" s="45"/>
      <c r="AH537" s="28"/>
      <c r="AI537" s="28"/>
      <c r="AJ537" s="28"/>
      <c r="AK537" s="28"/>
      <c r="AL537" s="12"/>
      <c r="AM537" s="12"/>
      <c r="AN537" s="12"/>
      <c r="AO537" s="12"/>
      <c r="AP537" s="12"/>
      <c r="AQ537" s="13"/>
      <c r="AR537" s="14"/>
    </row>
    <row r="538" spans="1:44" s="16" customFormat="1" ht="30.95" hidden="1" customHeight="1" x14ac:dyDescent="0.2">
      <c r="A538" s="35" t="s">
        <v>1278</v>
      </c>
      <c r="B538" s="36" t="s">
        <v>1279</v>
      </c>
      <c r="C538" s="43"/>
      <c r="D538" s="29">
        <v>3716257</v>
      </c>
      <c r="E538" s="29">
        <v>4151417</v>
      </c>
      <c r="F538" s="255" t="str">
        <f>IF(D538="","",VLOOKUP(D538,契約台帳!$A$3:$K$4986,6,FALSE)&amp;VLOOKUP(D538,契約台帳!$A$3:$K$4986,7,FALSE)&amp;VLOOKUP(D538,契約台帳!$A$3:$K$4986,8,FALSE)&amp;VLOOKUP(D538,契約台帳!$A$3:$K$4986,9,FALSE)&amp;VLOOKUP(D538,契約台帳!$A$3:$K$4986,11,FALSE))</f>
        <v>3SNMLBMNGTBF</v>
      </c>
      <c r="G538" s="256" t="str">
        <f>IF(D538="","",VLOOKUP(F538,製品マスタ!$G$5:$H$4999,2,FALSE))</f>
        <v>S</v>
      </c>
      <c r="H538" s="256" t="str">
        <f>IF(D538="","",VLOOKUP(F538,製品マスタ!$G$5:$K$4999,5,FALSE))</f>
        <v>MNGTBF</v>
      </c>
      <c r="I538" s="200" t="str">
        <f>IF(D538="","",VLOOKUP(F538,製品マスタ!$G$5:$L$4999,6,FALSE))</f>
        <v>メタルミー　ネーマー　銀艶　Ｂ</v>
      </c>
      <c r="J538" s="30" t="s">
        <v>447</v>
      </c>
      <c r="K538" s="200">
        <f>IF(D538="","",VLOOKUP(D538,契約台帳!$A$3:$L$4986,12,FALSE))</f>
        <v>50</v>
      </c>
      <c r="L538" s="200" t="str">
        <f>IF(D538="","",INDEX(製品マスタ!$Q$5:$Q$4999,MATCH(F538&amp;K538,製品マスタ!$AO$5:$AO$4999,0)))</f>
        <v>T62</v>
      </c>
      <c r="M538" s="37">
        <v>1120</v>
      </c>
      <c r="N538" s="37">
        <v>10000</v>
      </c>
      <c r="O538" s="45">
        <v>3</v>
      </c>
      <c r="P538" s="54"/>
      <c r="Q538" s="260">
        <f>IF(D538="","",IF(J538="リード付け",M538,VLOOKUP(D538,契約台帳!$A$3:$N$4986,14,FALSE)))</f>
        <v>1120</v>
      </c>
      <c r="R538" s="261">
        <f>IF(D538="","",IF(J538="リード付け",M538,VLOOKUP(D538,契約台帳!$A$3:$O$4986,15,FALSE)))</f>
        <v>1120</v>
      </c>
      <c r="S538" s="261">
        <f>IF(D538="","",IF(J538="リード付け",N538,VLOOKUP(D538,契約台帳!$A$3:$P$4986,16,FALSE)))</f>
        <v>5000</v>
      </c>
      <c r="T538" s="38">
        <v>6</v>
      </c>
      <c r="U538" s="261">
        <f ca="1">IF(D538="","",IF(OFFSET(D538,-2,0)=D538,"",VLOOKUP(D538,契約台帳!$A$3:$R$4986,18,FALSE)))</f>
        <v>13</v>
      </c>
      <c r="V538" s="256" t="str">
        <f>IF(J538="巻返し",VLOOKUP(F538&amp;K538&amp;M538,製品マスタ!$M$5:$AD$4999,18,FALSE),IF(J538="リード付け","原反コア",IF(J538="スリット",VLOOKUP(F538&amp;K538&amp;Q538,製品マスタ!$N$5:$AD$4999,17,FALSE),"")))</f>
        <v>6ｲﾝﾁSｺｱ</v>
      </c>
      <c r="W538" s="256">
        <f>IF(J538="巻返し",VLOOKUP(F538&amp;K538&amp;M538,製品マスタ!$M$5:$AE$4999,19,FALSE),IF(J538="リード付け","-",IF(J538="スリット",VLOOKUP(F538&amp;K538&amp;Q538,製品マスタ!$N$5:$AE$4999,18,FALSE),"")))</f>
        <v>1125</v>
      </c>
      <c r="X538" s="256">
        <f>IF(D538="","",VLOOKUP(D538,契約台帳!$A$3:$Q$4986,17,FALSE))</f>
        <v>2</v>
      </c>
      <c r="Y538" s="256" t="str">
        <f>IF(D538="","",VLOOKUP(D538,契約台帳!$A$3:$E$4986,5,FALSE))</f>
        <v>リンテック㈱</v>
      </c>
      <c r="Z538" s="54">
        <v>45114</v>
      </c>
      <c r="AA538" s="200" t="str">
        <f>IFERROR(VLOOKUP(F538&amp;K538&amp;M538,製品マスタ!$M$5:$AM$4999,27,FALSE),"")</f>
        <v>原反ケース再利用</v>
      </c>
      <c r="AB538" s="31"/>
      <c r="AC538" s="184"/>
      <c r="AD538" s="51" t="str">
        <f>IF(F538="","",+F538&amp;K538)</f>
        <v>3SNMLBMNGTBF50</v>
      </c>
      <c r="AE538" s="52">
        <f>+M538*N538*O538/1000</f>
        <v>33600</v>
      </c>
      <c r="AF538" s="41">
        <f>IF(AD538="","",VLOOKUP(AD538,原価マスタ!$A$2:$AJ$1693,13,FALSE))</f>
        <v>99</v>
      </c>
      <c r="AG538" s="45">
        <f>IF(AF538="","",+AE538*AF538/100)</f>
        <v>33264</v>
      </c>
      <c r="AH538" s="28"/>
      <c r="AI538" s="28"/>
      <c r="AJ538" s="28"/>
      <c r="AK538" s="28"/>
      <c r="AL538" s="12"/>
      <c r="AM538" s="12"/>
      <c r="AN538" s="12"/>
      <c r="AO538" s="12"/>
      <c r="AP538" s="12"/>
      <c r="AQ538" s="13"/>
      <c r="AR538" s="14"/>
    </row>
    <row r="539" spans="1:44" s="16" customFormat="1" ht="30.95" hidden="1" customHeight="1" x14ac:dyDescent="0.2">
      <c r="A539" s="35"/>
      <c r="B539" s="36"/>
      <c r="C539" s="43"/>
      <c r="D539" s="29"/>
      <c r="E539" s="29"/>
      <c r="F539" s="255"/>
      <c r="G539" s="256"/>
      <c r="H539" s="256"/>
      <c r="I539" s="200"/>
      <c r="J539" s="30"/>
      <c r="K539" s="200"/>
      <c r="L539" s="200"/>
      <c r="M539" s="37"/>
      <c r="N539" s="37"/>
      <c r="O539" s="45"/>
      <c r="P539" s="54"/>
      <c r="Q539" s="260"/>
      <c r="R539" s="261"/>
      <c r="S539" s="261"/>
      <c r="T539" s="38"/>
      <c r="U539" s="261"/>
      <c r="V539" s="256"/>
      <c r="W539" s="256"/>
      <c r="X539" s="256"/>
      <c r="Y539" s="256"/>
      <c r="Z539" s="54"/>
      <c r="AA539" s="200"/>
      <c r="AB539" s="31"/>
      <c r="AC539" s="184"/>
      <c r="AD539" s="51"/>
      <c r="AE539" s="52"/>
      <c r="AF539" s="41"/>
      <c r="AG539" s="45"/>
      <c r="AH539" s="28"/>
      <c r="AI539" s="28"/>
      <c r="AJ539" s="28"/>
      <c r="AK539" s="28"/>
      <c r="AL539" s="12"/>
      <c r="AM539" s="12"/>
      <c r="AN539" s="12"/>
      <c r="AO539" s="12"/>
      <c r="AP539" s="12"/>
      <c r="AQ539" s="13"/>
      <c r="AR539" s="14"/>
    </row>
    <row r="540" spans="1:44" s="16" customFormat="1" ht="30.95" hidden="1" customHeight="1" x14ac:dyDescent="0.2">
      <c r="A540" s="35" t="s">
        <v>1280</v>
      </c>
      <c r="B540" s="36" t="s">
        <v>1281</v>
      </c>
      <c r="C540" s="43"/>
      <c r="D540" s="29">
        <v>3716257</v>
      </c>
      <c r="E540" s="29">
        <v>4151417</v>
      </c>
      <c r="F540" s="255" t="str">
        <f>IF(D540="","",VLOOKUP(D540,契約台帳!$A$3:$K$4986,6,FALSE)&amp;VLOOKUP(D540,契約台帳!$A$3:$K$4986,7,FALSE)&amp;VLOOKUP(D540,契約台帳!$A$3:$K$4986,8,FALSE)&amp;VLOOKUP(D540,契約台帳!$A$3:$K$4986,9,FALSE)&amp;VLOOKUP(D540,契約台帳!$A$3:$K$4986,11,FALSE))</f>
        <v>3SNMLBMNGTBF</v>
      </c>
      <c r="G540" s="256" t="str">
        <f>IF(D540="","",VLOOKUP(F540,製品マスタ!$G$5:$H$4999,2,FALSE))</f>
        <v>S</v>
      </c>
      <c r="H540" s="256" t="str">
        <f>IF(D540="","",VLOOKUP(F540,製品マスタ!$G$5:$K$4999,5,FALSE))</f>
        <v>MNGTBF</v>
      </c>
      <c r="I540" s="200" t="str">
        <f>IF(D540="","",VLOOKUP(F540,製品マスタ!$G$5:$L$4999,6,FALSE))</f>
        <v>メタルミー　ネーマー　銀艶　Ｂ</v>
      </c>
      <c r="J540" s="30" t="s">
        <v>447</v>
      </c>
      <c r="K540" s="200">
        <f>IF(D540="","",VLOOKUP(D540,契約台帳!$A$3:$L$4986,12,FALSE))</f>
        <v>50</v>
      </c>
      <c r="L540" s="200" t="str">
        <f>IF(D540="","",INDEX(製品マスタ!$Q$5:$Q$4999,MATCH(F540&amp;K540,製品マスタ!$AO$5:$AO$4999,0)))</f>
        <v>T62</v>
      </c>
      <c r="M540" s="37">
        <v>1120</v>
      </c>
      <c r="N540" s="37">
        <v>10000</v>
      </c>
      <c r="O540" s="45">
        <v>3</v>
      </c>
      <c r="P540" s="54"/>
      <c r="Q540" s="260">
        <f>IF(D540="","",IF(J540="リード付け",M540,VLOOKUP(D540,契約台帳!$A$3:$N$4986,14,FALSE)))</f>
        <v>1120</v>
      </c>
      <c r="R540" s="261">
        <f>IF(D540="","",IF(J540="リード付け",M540,VLOOKUP(D540,契約台帳!$A$3:$O$4986,15,FALSE)))</f>
        <v>1120</v>
      </c>
      <c r="S540" s="261">
        <f>IF(D540="","",IF(J540="リード付け",N540,VLOOKUP(D540,契約台帳!$A$3:$P$4986,16,FALSE)))</f>
        <v>5000</v>
      </c>
      <c r="T540" s="38">
        <v>6</v>
      </c>
      <c r="U540" s="261" t="str">
        <f ca="1">IF(D540="","",IF(OFFSET(D540,-2,0)=D540,"",VLOOKUP(D540,契約台帳!$A$3:$R$4986,18,FALSE)))</f>
        <v/>
      </c>
      <c r="V540" s="256" t="str">
        <f>IF(J540="巻返し",VLOOKUP(F540&amp;K540&amp;M540,製品マスタ!$M$5:$AD$4999,18,FALSE),IF(J540="リード付け","原反コア",IF(J540="スリット",VLOOKUP(F540&amp;K540&amp;Q540,製品マスタ!$N$5:$AD$4999,17,FALSE),"")))</f>
        <v>6ｲﾝﾁSｺｱ</v>
      </c>
      <c r="W540" s="256">
        <f>IF(J540="巻返し",VLOOKUP(F540&amp;K540&amp;M540,製品マスタ!$M$5:$AE$4999,19,FALSE),IF(J540="リード付け","-",IF(J540="スリット",VLOOKUP(F540&amp;K540&amp;Q540,製品マスタ!$N$5:$AE$4999,18,FALSE),"")))</f>
        <v>1125</v>
      </c>
      <c r="X540" s="256">
        <f>IF(D540="","",VLOOKUP(D540,契約台帳!$A$3:$Q$4986,17,FALSE))</f>
        <v>2</v>
      </c>
      <c r="Y540" s="256" t="str">
        <f>IF(D540="","",VLOOKUP(D540,契約台帳!$A$3:$E$4986,5,FALSE))</f>
        <v>リンテック㈱</v>
      </c>
      <c r="Z540" s="54">
        <v>45117</v>
      </c>
      <c r="AA540" s="200" t="str">
        <f>IFERROR(VLOOKUP(F540&amp;K540&amp;M540,製品マスタ!$M$5:$AM$4999,27,FALSE),"")</f>
        <v>原反ケース再利用</v>
      </c>
      <c r="AB540" s="31"/>
      <c r="AC540" s="184"/>
      <c r="AD540" s="51" t="str">
        <f>IF(F540="","",+F540&amp;K540)</f>
        <v>3SNMLBMNGTBF50</v>
      </c>
      <c r="AE540" s="52">
        <f>+M540*N540*O540/1000</f>
        <v>33600</v>
      </c>
      <c r="AF540" s="41">
        <f>IF(AD540="","",VLOOKUP(AD540,原価マスタ!$A$2:$AJ$1693,13,FALSE))</f>
        <v>99</v>
      </c>
      <c r="AG540" s="45">
        <f>IF(AF540="","",+AE540*AF540/100)</f>
        <v>33264</v>
      </c>
      <c r="AH540" s="28"/>
      <c r="AI540" s="28"/>
      <c r="AJ540" s="28"/>
      <c r="AK540" s="28"/>
      <c r="AL540" s="12"/>
      <c r="AM540" s="12"/>
      <c r="AN540" s="12"/>
      <c r="AO540" s="12"/>
      <c r="AP540" s="12"/>
      <c r="AQ540" s="13"/>
      <c r="AR540" s="14"/>
    </row>
    <row r="541" spans="1:44" s="16" customFormat="1" ht="30.95" hidden="1" customHeight="1" x14ac:dyDescent="0.2">
      <c r="A541" s="35"/>
      <c r="B541" s="36"/>
      <c r="C541" s="43"/>
      <c r="D541" s="29"/>
      <c r="E541" s="29"/>
      <c r="F541" s="255"/>
      <c r="G541" s="256"/>
      <c r="H541" s="256"/>
      <c r="I541" s="200"/>
      <c r="J541" s="30"/>
      <c r="K541" s="200"/>
      <c r="L541" s="200"/>
      <c r="M541" s="37"/>
      <c r="N541" s="37"/>
      <c r="O541" s="45"/>
      <c r="P541" s="54"/>
      <c r="Q541" s="260"/>
      <c r="R541" s="261"/>
      <c r="S541" s="261"/>
      <c r="T541" s="38"/>
      <c r="U541" s="261"/>
      <c r="V541" s="256"/>
      <c r="W541" s="256"/>
      <c r="X541" s="256"/>
      <c r="Y541" s="256"/>
      <c r="Z541" s="54"/>
      <c r="AA541" s="200"/>
      <c r="AB541" s="31"/>
      <c r="AC541" s="184"/>
      <c r="AD541" s="51"/>
      <c r="AE541" s="52"/>
      <c r="AF541" s="41"/>
      <c r="AG541" s="45"/>
      <c r="AH541" s="28"/>
      <c r="AI541" s="28"/>
      <c r="AJ541" s="28"/>
      <c r="AK541" s="28"/>
      <c r="AL541" s="12"/>
      <c r="AM541" s="12"/>
      <c r="AN541" s="12"/>
      <c r="AO541" s="12"/>
      <c r="AP541" s="12"/>
      <c r="AQ541" s="13"/>
      <c r="AR541" s="14"/>
    </row>
    <row r="542" spans="1:44" s="16" customFormat="1" ht="30.95" hidden="1" customHeight="1" x14ac:dyDescent="0.2">
      <c r="A542" s="35"/>
      <c r="B542" s="36"/>
      <c r="C542" s="43"/>
      <c r="D542" s="29">
        <v>3716257</v>
      </c>
      <c r="E542" s="29">
        <v>4151417</v>
      </c>
      <c r="F542" s="255" t="str">
        <f>IF(D542="","",VLOOKUP(D542,契約台帳!$A$3:$K$4986,6,FALSE)&amp;VLOOKUP(D542,契約台帳!$A$3:$K$4986,7,FALSE)&amp;VLOOKUP(D542,契約台帳!$A$3:$K$4986,8,FALSE)&amp;VLOOKUP(D542,契約台帳!$A$3:$K$4986,9,FALSE)&amp;VLOOKUP(D542,契約台帳!$A$3:$K$4986,11,FALSE))</f>
        <v>3SNMLBMNGTBF</v>
      </c>
      <c r="G542" s="256" t="str">
        <f>IF(D542="","",VLOOKUP(F542,製品マスタ!$G$5:$H$4999,2,FALSE))</f>
        <v>S</v>
      </c>
      <c r="H542" s="256" t="str">
        <f>IF(D542="","",VLOOKUP(F542,製品マスタ!$G$5:$K$4999,5,FALSE))</f>
        <v>MNGTBF</v>
      </c>
      <c r="I542" s="200" t="str">
        <f>IF(D542="","",VLOOKUP(F542,製品マスタ!$G$5:$L$4999,6,FALSE))</f>
        <v>メタルミー　ネーマー　銀艶　Ｂ</v>
      </c>
      <c r="J542" s="30" t="s">
        <v>447</v>
      </c>
      <c r="K542" s="200">
        <f>IF(D542="","",VLOOKUP(D542,契約台帳!$A$3:$L$4986,12,FALSE))</f>
        <v>50</v>
      </c>
      <c r="L542" s="200" t="str">
        <f>IF(D542="","",INDEX(製品マスタ!$Q$5:$Q$4999,MATCH(F542&amp;K542,製品マスタ!$AO$5:$AO$4999,0)))</f>
        <v>T62</v>
      </c>
      <c r="M542" s="37">
        <v>1120</v>
      </c>
      <c r="N542" s="37">
        <v>10000</v>
      </c>
      <c r="O542" s="45">
        <v>1</v>
      </c>
      <c r="P542" s="54"/>
      <c r="Q542" s="260">
        <f>IF(D542="","",IF(J542="リード付け",M542,VLOOKUP(D542,契約台帳!$A$3:$N$4986,14,FALSE)))</f>
        <v>1120</v>
      </c>
      <c r="R542" s="261">
        <f>IF(D542="","",IF(J542="リード付け",M542,VLOOKUP(D542,契約台帳!$A$3:$O$4986,15,FALSE)))</f>
        <v>1120</v>
      </c>
      <c r="S542" s="261">
        <f>IF(D542="","",IF(J542="リード付け",N542,VLOOKUP(D542,契約台帳!$A$3:$P$4986,16,FALSE)))</f>
        <v>5000</v>
      </c>
      <c r="T542" s="38">
        <v>1</v>
      </c>
      <c r="U542" s="261" t="str">
        <f ca="1">IF(D542="","",IF(OFFSET(D542,-2,0)=D542,"",VLOOKUP(D542,契約台帳!$A$3:$R$4986,18,FALSE)))</f>
        <v/>
      </c>
      <c r="V542" s="256" t="str">
        <f>IF(J542="巻返し",VLOOKUP(F542&amp;K542&amp;M542,製品マスタ!$M$5:$AD$4999,18,FALSE),IF(J542="リード付け","原反コア",IF(J542="スリット",VLOOKUP(F542&amp;K542&amp;Q542,製品マスタ!$N$5:$AD$4999,17,FALSE),"")))</f>
        <v>6ｲﾝﾁSｺｱ</v>
      </c>
      <c r="W542" s="256">
        <f>IF(J542="巻返し",VLOOKUP(F542&amp;K542&amp;M542,製品マスタ!$M$5:$AE$4999,19,FALSE),IF(J542="リード付け","-",IF(J542="スリット",VLOOKUP(F542&amp;K542&amp;Q542,製品マスタ!$N$5:$AE$4999,18,FALSE),"")))</f>
        <v>1125</v>
      </c>
      <c r="X542" s="256">
        <f>IF(D542="","",VLOOKUP(D542,契約台帳!$A$3:$Q$4986,17,FALSE))</f>
        <v>2</v>
      </c>
      <c r="Y542" s="256" t="str">
        <f>IF(D542="","",VLOOKUP(D542,契約台帳!$A$3:$E$4986,5,FALSE))</f>
        <v>リンテック㈱</v>
      </c>
      <c r="Z542" s="54">
        <v>45117</v>
      </c>
      <c r="AA542" s="200" t="str">
        <f>IFERROR(VLOOKUP(F542&amp;K542&amp;M542,製品マスタ!$M$5:$AM$4999,27,FALSE),"")</f>
        <v>原反ケース再利用</v>
      </c>
      <c r="AB542" s="31"/>
      <c r="AC542" s="184"/>
      <c r="AD542" s="51" t="str">
        <f>IF(F542="","",+F542&amp;K542)</f>
        <v>3SNMLBMNGTBF50</v>
      </c>
      <c r="AE542" s="52">
        <f>+M542*N542*O542/1000</f>
        <v>11200</v>
      </c>
      <c r="AF542" s="41">
        <f>IF(AD542="","",VLOOKUP(AD542,原価マスタ!$A$2:$AJ$1693,13,FALSE))</f>
        <v>99</v>
      </c>
      <c r="AG542" s="45">
        <f>IF(AF542="","",+AE542*AF542/100)</f>
        <v>11088</v>
      </c>
      <c r="AH542" s="28"/>
      <c r="AI542" s="28"/>
      <c r="AJ542" s="28"/>
      <c r="AK542" s="28"/>
      <c r="AL542" s="12"/>
      <c r="AM542" s="12"/>
      <c r="AN542" s="12"/>
      <c r="AO542" s="12"/>
      <c r="AP542" s="12"/>
      <c r="AQ542" s="13"/>
      <c r="AR542" s="14"/>
    </row>
    <row r="543" spans="1:44" s="16" customFormat="1" ht="30.95" hidden="1" customHeight="1" x14ac:dyDescent="0.2">
      <c r="A543" s="35"/>
      <c r="B543" s="36"/>
      <c r="C543" s="43"/>
      <c r="D543" s="29">
        <v>3716258</v>
      </c>
      <c r="E543" s="29"/>
      <c r="F543" s="255" t="str">
        <f>IF(D543="","",VLOOKUP(D543,契約台帳!$A$3:$K$4986,6,FALSE)&amp;VLOOKUP(D543,契約台帳!$A$3:$K$4986,7,FALSE)&amp;VLOOKUP(D543,契約台帳!$A$3:$K$4986,8,FALSE)&amp;VLOOKUP(D543,契約台帳!$A$3:$K$4986,9,FALSE)&amp;VLOOKUP(D543,契約台帳!$A$3:$K$4986,11,FALSE))</f>
        <v>3SNMLBMNGTBF</v>
      </c>
      <c r="G543" s="256" t="str">
        <f>IF(D543="","",VLOOKUP(F543,製品マスタ!$G$5:$H$4999,2,FALSE))</f>
        <v>S</v>
      </c>
      <c r="H543" s="256" t="str">
        <f>IF(D543="","",VLOOKUP(F543,製品マスタ!$G$5:$K$4999,5,FALSE))</f>
        <v>MNGTBF</v>
      </c>
      <c r="I543" s="200" t="str">
        <f>IF(D543="","",VLOOKUP(F543,製品マスタ!$G$5:$L$4999,6,FALSE))</f>
        <v>メタルミー　ネーマー　銀艶　Ｂ</v>
      </c>
      <c r="J543" s="30" t="s">
        <v>447</v>
      </c>
      <c r="K543" s="200">
        <f>IF(D543="","",VLOOKUP(D543,契約台帳!$A$3:$L$4986,12,FALSE))</f>
        <v>50</v>
      </c>
      <c r="L543" s="200" t="str">
        <f>IF(D543="","",INDEX(製品マスタ!$Q$5:$Q$4999,MATCH(F543&amp;K543,製品マスタ!$AO$5:$AO$4999,0)))</f>
        <v>T62</v>
      </c>
      <c r="M543" s="37">
        <v>1120</v>
      </c>
      <c r="N543" s="37"/>
      <c r="O543" s="45"/>
      <c r="P543" s="54"/>
      <c r="Q543" s="260">
        <f>IF(D543="","",IF(J543="リード付け",M543,VLOOKUP(D543,契約台帳!$A$3:$N$4986,14,FALSE)))</f>
        <v>1120</v>
      </c>
      <c r="R543" s="261">
        <f>IF(D543="","",IF(J543="リード付け",M543,VLOOKUP(D543,契約台帳!$A$3:$O$4986,15,FALSE)))</f>
        <v>1120</v>
      </c>
      <c r="S543" s="261">
        <f>IF(D543="","",IF(J543="リード付け",N543,VLOOKUP(D543,契約台帳!$A$3:$P$4986,16,FALSE)))</f>
        <v>5000</v>
      </c>
      <c r="T543" s="38">
        <v>1</v>
      </c>
      <c r="U543" s="261">
        <f ca="1">IF(D543="","",IF(OFFSET(D543,-2,0)=D543,"",VLOOKUP(D543,契約台帳!$A$3:$R$4986,18,FALSE)))</f>
        <v>13</v>
      </c>
      <c r="V543" s="256" t="str">
        <f>IF(J543="巻返し",VLOOKUP(F543&amp;K543&amp;M543,製品マスタ!$M$5:$AD$4999,18,FALSE),IF(J543="リード付け","原反コア",IF(J543="スリット",VLOOKUP(F543&amp;K543&amp;Q543,製品マスタ!$N$5:$AD$4999,17,FALSE),"")))</f>
        <v>6ｲﾝﾁSｺｱ</v>
      </c>
      <c r="W543" s="256">
        <f>IF(J543="巻返し",VLOOKUP(F543&amp;K543&amp;M543,製品マスタ!$M$5:$AE$4999,19,FALSE),IF(J543="リード付け","-",IF(J543="スリット",VLOOKUP(F543&amp;K543&amp;Q543,製品マスタ!$N$5:$AE$4999,18,FALSE),"")))</f>
        <v>1125</v>
      </c>
      <c r="X543" s="256">
        <f>IF(D543="","",VLOOKUP(D543,契約台帳!$A$3:$Q$4986,17,FALSE))</f>
        <v>2</v>
      </c>
      <c r="Y543" s="256" t="str">
        <f>IF(D543="","",VLOOKUP(D543,契約台帳!$A$3:$E$4986,5,FALSE))</f>
        <v>リンテック㈱</v>
      </c>
      <c r="Z543" s="54"/>
      <c r="AA543" s="200" t="str">
        <f>IFERROR(VLOOKUP(F543&amp;K543&amp;M543,製品マスタ!$M$5:$AM$4999,27,FALSE),"")</f>
        <v>原反ケース再利用</v>
      </c>
      <c r="AB543" s="31"/>
      <c r="AC543" s="184"/>
      <c r="AD543" s="51"/>
      <c r="AE543" s="52"/>
      <c r="AF543" s="41"/>
      <c r="AG543" s="45" t="str">
        <f>IF(AF543="","",+AE543*AF543/100)</f>
        <v/>
      </c>
      <c r="AH543" s="28"/>
      <c r="AI543" s="28"/>
      <c r="AJ543" s="28"/>
      <c r="AK543" s="28"/>
      <c r="AL543" s="12"/>
      <c r="AM543" s="12"/>
      <c r="AN543" s="12"/>
      <c r="AO543" s="12"/>
      <c r="AP543" s="12"/>
      <c r="AQ543" s="13"/>
      <c r="AR543" s="14"/>
    </row>
    <row r="544" spans="1:44" s="16" customFormat="1" ht="30.95" hidden="1" customHeight="1" x14ac:dyDescent="0.2">
      <c r="A544" s="35"/>
      <c r="B544" s="36"/>
      <c r="C544" s="43"/>
      <c r="D544" s="29"/>
      <c r="E544" s="29"/>
      <c r="F544" s="255"/>
      <c r="G544" s="256"/>
      <c r="H544" s="256"/>
      <c r="I544" s="200"/>
      <c r="J544" s="30"/>
      <c r="K544" s="200"/>
      <c r="L544" s="200"/>
      <c r="M544" s="37"/>
      <c r="N544" s="37"/>
      <c r="O544" s="45"/>
      <c r="P544" s="54"/>
      <c r="Q544" s="260"/>
      <c r="R544" s="261"/>
      <c r="S544" s="261"/>
      <c r="T544" s="38"/>
      <c r="U544" s="261"/>
      <c r="V544" s="256"/>
      <c r="W544" s="256"/>
      <c r="X544" s="256"/>
      <c r="Y544" s="256"/>
      <c r="Z544" s="54"/>
      <c r="AA544" s="200"/>
      <c r="AB544" s="31"/>
      <c r="AC544" s="184"/>
      <c r="AD544" s="51"/>
      <c r="AE544" s="52"/>
      <c r="AF544" s="41"/>
      <c r="AG544" s="45"/>
      <c r="AH544" s="28"/>
      <c r="AI544" s="28"/>
      <c r="AJ544" s="28"/>
      <c r="AK544" s="28"/>
      <c r="AL544" s="12"/>
      <c r="AM544" s="12"/>
      <c r="AN544" s="12"/>
      <c r="AO544" s="12"/>
      <c r="AP544" s="12"/>
      <c r="AQ544" s="13"/>
      <c r="AR544" s="14"/>
    </row>
    <row r="545" spans="1:44" s="16" customFormat="1" ht="30.95" hidden="1" customHeight="1" x14ac:dyDescent="0.2">
      <c r="A545" s="35"/>
      <c r="B545" s="36"/>
      <c r="C545" s="43"/>
      <c r="D545" s="29">
        <v>3716258</v>
      </c>
      <c r="E545" s="29">
        <v>4151418</v>
      </c>
      <c r="F545" s="255" t="str">
        <f>IF(D545="","",VLOOKUP(D545,契約台帳!$A$3:$K$4986,6,FALSE)&amp;VLOOKUP(D545,契約台帳!$A$3:$K$4986,7,FALSE)&amp;VLOOKUP(D545,契約台帳!$A$3:$K$4986,8,FALSE)&amp;VLOOKUP(D545,契約台帳!$A$3:$K$4986,9,FALSE)&amp;VLOOKUP(D545,契約台帳!$A$3:$K$4986,11,FALSE))</f>
        <v>3SNMLBMNGTBF</v>
      </c>
      <c r="G545" s="256" t="str">
        <f>IF(D545="","",VLOOKUP(F545,製品マスタ!$G$5:$H$4999,2,FALSE))</f>
        <v>S</v>
      </c>
      <c r="H545" s="256" t="str">
        <f>IF(D545="","",VLOOKUP(F545,製品マスタ!$G$5:$K$4999,5,FALSE))</f>
        <v>MNGTBF</v>
      </c>
      <c r="I545" s="200" t="str">
        <f>IF(D545="","",VLOOKUP(F545,製品マスタ!$G$5:$L$4999,6,FALSE))</f>
        <v>メタルミー　ネーマー　銀艶　Ｂ</v>
      </c>
      <c r="J545" s="30" t="s">
        <v>447</v>
      </c>
      <c r="K545" s="200">
        <f>IF(D545="","",VLOOKUP(D545,契約台帳!$A$3:$L$4986,12,FALSE))</f>
        <v>50</v>
      </c>
      <c r="L545" s="200" t="str">
        <f>IF(D545="","",INDEX(製品マスタ!$Q$5:$Q$4999,MATCH(F545&amp;K545,製品マスタ!$AO$5:$AO$4999,0)))</f>
        <v>T62</v>
      </c>
      <c r="M545" s="37">
        <v>1120</v>
      </c>
      <c r="N545" s="37">
        <v>10000</v>
      </c>
      <c r="O545" s="45">
        <v>1</v>
      </c>
      <c r="P545" s="54"/>
      <c r="Q545" s="260">
        <f>IF(D545="","",IF(J545="リード付け",M545,VLOOKUP(D545,契約台帳!$A$3:$N$4986,14,FALSE)))</f>
        <v>1120</v>
      </c>
      <c r="R545" s="261">
        <f>IF(D545="","",IF(J545="リード付け",M545,VLOOKUP(D545,契約台帳!$A$3:$O$4986,15,FALSE)))</f>
        <v>1120</v>
      </c>
      <c r="S545" s="261">
        <f>IF(D545="","",IF(J545="リード付け",N545,VLOOKUP(D545,契約台帳!$A$3:$P$4986,16,FALSE)))</f>
        <v>5000</v>
      </c>
      <c r="T545" s="38">
        <v>2</v>
      </c>
      <c r="U545" s="261" t="str">
        <f ca="1">IF(D545="","",IF(OFFSET(D545,-2,0)=D545,"",VLOOKUP(D545,契約台帳!$A$3:$R$4986,18,FALSE)))</f>
        <v/>
      </c>
      <c r="V545" s="256" t="str">
        <f>IF(J545="巻返し",VLOOKUP(F545&amp;K545&amp;M545,製品マスタ!$M$5:$AD$4999,18,FALSE),IF(J545="リード付け","原反コア",IF(J545="スリット",VLOOKUP(F545&amp;K545&amp;Q545,製品マスタ!$N$5:$AD$4999,17,FALSE),"")))</f>
        <v>6ｲﾝﾁSｺｱ</v>
      </c>
      <c r="W545" s="256">
        <f>IF(J545="巻返し",VLOOKUP(F545&amp;K545&amp;M545,製品マスタ!$M$5:$AE$4999,19,FALSE),IF(J545="リード付け","-",IF(J545="スリット",VLOOKUP(F545&amp;K545&amp;Q545,製品マスタ!$N$5:$AE$4999,18,FALSE),"")))</f>
        <v>1125</v>
      </c>
      <c r="X545" s="256">
        <f>IF(D545="","",VLOOKUP(D545,契約台帳!$A$3:$Q$4986,17,FALSE))</f>
        <v>2</v>
      </c>
      <c r="Y545" s="256" t="str">
        <f>IF(D545="","",VLOOKUP(D545,契約台帳!$A$3:$E$4986,5,FALSE))</f>
        <v>リンテック㈱</v>
      </c>
      <c r="Z545" s="54">
        <v>45117</v>
      </c>
      <c r="AA545" s="200" t="str">
        <f>IFERROR(VLOOKUP(F545&amp;K545&amp;M545,製品マスタ!$M$5:$AM$4999,27,FALSE),"")</f>
        <v>原反ケース再利用</v>
      </c>
      <c r="AB545" s="31"/>
      <c r="AC545" s="184"/>
      <c r="AD545" s="51" t="str">
        <f>IF(F545="","",+F545&amp;K545)</f>
        <v>3SNMLBMNGTBF50</v>
      </c>
      <c r="AE545" s="52">
        <f>+M545*N545*O545/1000</f>
        <v>11200</v>
      </c>
      <c r="AF545" s="41">
        <f>IF(AD545="","",VLOOKUP(AD545,原価マスタ!$A$2:$AJ$1693,13,FALSE))</f>
        <v>99</v>
      </c>
      <c r="AG545" s="45">
        <f>IF(AF545="","",+AE545*AF545/100)</f>
        <v>11088</v>
      </c>
      <c r="AH545" s="28"/>
      <c r="AI545" s="28"/>
      <c r="AJ545" s="28"/>
      <c r="AK545" s="28"/>
      <c r="AL545" s="12"/>
      <c r="AM545" s="12"/>
      <c r="AN545" s="12"/>
      <c r="AO545" s="12"/>
      <c r="AP545" s="12"/>
      <c r="AQ545" s="13"/>
      <c r="AR545" s="14"/>
    </row>
    <row r="546" spans="1:44" s="16" customFormat="1" ht="30.95" hidden="1" customHeight="1" x14ac:dyDescent="0.2">
      <c r="A546" s="35"/>
      <c r="B546" s="36"/>
      <c r="C546" s="43"/>
      <c r="D546" s="29"/>
      <c r="E546" s="29"/>
      <c r="F546" s="255"/>
      <c r="G546" s="256"/>
      <c r="H546" s="256"/>
      <c r="I546" s="200"/>
      <c r="J546" s="30"/>
      <c r="K546" s="200"/>
      <c r="L546" s="200"/>
      <c r="M546" s="37"/>
      <c r="N546" s="37"/>
      <c r="O546" s="45"/>
      <c r="P546" s="54"/>
      <c r="Q546" s="260"/>
      <c r="R546" s="261"/>
      <c r="S546" s="261"/>
      <c r="T546" s="38"/>
      <c r="U546" s="261"/>
      <c r="V546" s="256"/>
      <c r="W546" s="256"/>
      <c r="X546" s="256"/>
      <c r="Y546" s="256"/>
      <c r="Z546" s="54"/>
      <c r="AA546" s="200"/>
      <c r="AB546" s="31"/>
      <c r="AC546" s="184"/>
      <c r="AD546" s="51"/>
      <c r="AE546" s="52"/>
      <c r="AF546" s="41"/>
      <c r="AG546" s="45"/>
      <c r="AH546" s="28"/>
      <c r="AI546" s="28"/>
      <c r="AJ546" s="28"/>
      <c r="AK546" s="28"/>
      <c r="AL546" s="12"/>
      <c r="AM546" s="12"/>
      <c r="AN546" s="12"/>
      <c r="AO546" s="12"/>
      <c r="AP546" s="12"/>
      <c r="AQ546" s="13"/>
      <c r="AR546" s="14"/>
    </row>
    <row r="547" spans="1:44" s="16" customFormat="1" ht="30.95" hidden="1" customHeight="1" x14ac:dyDescent="0.2">
      <c r="A547" s="35" t="s">
        <v>1282</v>
      </c>
      <c r="B547" s="36" t="s">
        <v>1283</v>
      </c>
      <c r="C547" s="43"/>
      <c r="D547" s="29">
        <v>3716258</v>
      </c>
      <c r="E547" s="29">
        <v>4151418</v>
      </c>
      <c r="F547" s="255" t="str">
        <f>IF(D547="","",VLOOKUP(D547,契約台帳!$A$3:$K$4986,6,FALSE)&amp;VLOOKUP(D547,契約台帳!$A$3:$K$4986,7,FALSE)&amp;VLOOKUP(D547,契約台帳!$A$3:$K$4986,8,FALSE)&amp;VLOOKUP(D547,契約台帳!$A$3:$K$4986,9,FALSE)&amp;VLOOKUP(D547,契約台帳!$A$3:$K$4986,11,FALSE))</f>
        <v>3SNMLBMNGTBF</v>
      </c>
      <c r="G547" s="256" t="str">
        <f>IF(D547="","",VLOOKUP(F547,製品マスタ!$G$5:$H$4999,2,FALSE))</f>
        <v>S</v>
      </c>
      <c r="H547" s="256" t="str">
        <f>IF(D547="","",VLOOKUP(F547,製品マスタ!$G$5:$K$4999,5,FALSE))</f>
        <v>MNGTBF</v>
      </c>
      <c r="I547" s="200" t="str">
        <f>IF(D547="","",VLOOKUP(F547,製品マスタ!$G$5:$L$4999,6,FALSE))</f>
        <v>メタルミー　ネーマー　銀艶　Ｂ</v>
      </c>
      <c r="J547" s="30" t="s">
        <v>447</v>
      </c>
      <c r="K547" s="200">
        <f>IF(D547="","",VLOOKUP(D547,契約台帳!$A$3:$L$4986,12,FALSE))</f>
        <v>50</v>
      </c>
      <c r="L547" s="200" t="str">
        <f>IF(D547="","",INDEX(製品マスタ!$Q$5:$Q$4999,MATCH(F547&amp;K547,製品マスタ!$AO$5:$AO$4999,0)))</f>
        <v>T62</v>
      </c>
      <c r="M547" s="37">
        <v>1120</v>
      </c>
      <c r="N547" s="37">
        <v>10000</v>
      </c>
      <c r="O547" s="45">
        <v>5</v>
      </c>
      <c r="P547" s="54"/>
      <c r="Q547" s="260">
        <f>IF(D547="","",IF(J547="リード付け",M547,VLOOKUP(D547,契約台帳!$A$3:$N$4986,14,FALSE)))</f>
        <v>1120</v>
      </c>
      <c r="R547" s="261">
        <f>IF(D547="","",IF(J547="リード付け",M547,VLOOKUP(D547,契約台帳!$A$3:$O$4986,15,FALSE)))</f>
        <v>1120</v>
      </c>
      <c r="S547" s="261">
        <f>IF(D547="","",IF(J547="リード付け",N547,VLOOKUP(D547,契約台帳!$A$3:$P$4986,16,FALSE)))</f>
        <v>5000</v>
      </c>
      <c r="T547" s="38">
        <v>10</v>
      </c>
      <c r="U547" s="261" t="str">
        <f ca="1">IF(D547="","",IF(OFFSET(D547,-2,0)=D547,"",VLOOKUP(D547,契約台帳!$A$3:$R$4986,18,FALSE)))</f>
        <v/>
      </c>
      <c r="V547" s="256" t="str">
        <f>IF(J547="巻返し",VLOOKUP(F547&amp;K547&amp;M547,製品マスタ!$M$5:$AD$4999,18,FALSE),IF(J547="リード付け","原反コア",IF(J547="スリット",VLOOKUP(F547&amp;K547&amp;Q547,製品マスタ!$N$5:$AD$4999,17,FALSE),"")))</f>
        <v>6ｲﾝﾁSｺｱ</v>
      </c>
      <c r="W547" s="256">
        <f>IF(J547="巻返し",VLOOKUP(F547&amp;K547&amp;M547,製品マスタ!$M$5:$AE$4999,19,FALSE),IF(J547="リード付け","-",IF(J547="スリット",VLOOKUP(F547&amp;K547&amp;Q547,製品マスタ!$N$5:$AE$4999,18,FALSE),"")))</f>
        <v>1125</v>
      </c>
      <c r="X547" s="256">
        <f>IF(D547="","",VLOOKUP(D547,契約台帳!$A$3:$Q$4986,17,FALSE))</f>
        <v>2</v>
      </c>
      <c r="Y547" s="256" t="str">
        <f>IF(D547="","",VLOOKUP(D547,契約台帳!$A$3:$E$4986,5,FALSE))</f>
        <v>リンテック㈱</v>
      </c>
      <c r="Z547" s="54">
        <v>45118</v>
      </c>
      <c r="AA547" s="200" t="str">
        <f>IFERROR(VLOOKUP(F547&amp;K547&amp;M547,製品マスタ!$M$5:$AM$4999,27,FALSE),"")</f>
        <v>原反ケース再利用</v>
      </c>
      <c r="AB547" s="31"/>
      <c r="AC547" s="184"/>
      <c r="AD547" s="51" t="str">
        <f>IF(F547="","",+F547&amp;K547)</f>
        <v>3SNMLBMNGTBF50</v>
      </c>
      <c r="AE547" s="52">
        <f>+M547*N547*O547/1000</f>
        <v>56000</v>
      </c>
      <c r="AF547" s="41">
        <f>IF(AD547="","",VLOOKUP(AD547,原価マスタ!$A$2:$AJ$1693,13,FALSE))</f>
        <v>99</v>
      </c>
      <c r="AG547" s="45">
        <f>IF(AF547="","",+AE547*AF547/100)</f>
        <v>55440</v>
      </c>
      <c r="AH547" s="28"/>
      <c r="AI547" s="28"/>
      <c r="AJ547" s="28"/>
      <c r="AK547" s="28"/>
      <c r="AL547" s="12"/>
      <c r="AM547" s="12"/>
      <c r="AN547" s="12"/>
      <c r="AO547" s="12"/>
      <c r="AP547" s="12"/>
      <c r="AQ547" s="13"/>
      <c r="AR547" s="14"/>
    </row>
    <row r="548" spans="1:44" s="16" customFormat="1" ht="30.95" hidden="1" customHeight="1" x14ac:dyDescent="0.2">
      <c r="A548" s="35"/>
      <c r="B548" s="36"/>
      <c r="C548" s="43"/>
      <c r="D548" s="29"/>
      <c r="E548" s="29"/>
      <c r="F548" s="255"/>
      <c r="G548" s="256"/>
      <c r="H548" s="256"/>
      <c r="I548" s="200"/>
      <c r="J548" s="30"/>
      <c r="K548" s="200"/>
      <c r="L548" s="200"/>
      <c r="M548" s="37"/>
      <c r="N548" s="37"/>
      <c r="O548" s="45"/>
      <c r="P548" s="54"/>
      <c r="Q548" s="260"/>
      <c r="R548" s="261"/>
      <c r="S548" s="261"/>
      <c r="T548" s="38"/>
      <c r="U548" s="261"/>
      <c r="V548" s="256"/>
      <c r="W548" s="256"/>
      <c r="X548" s="256"/>
      <c r="Y548" s="256"/>
      <c r="Z548" s="54"/>
      <c r="AA548" s="200"/>
      <c r="AB548" s="31"/>
      <c r="AC548" s="184"/>
      <c r="AD548" s="51"/>
      <c r="AE548" s="52"/>
      <c r="AF548" s="41"/>
      <c r="AG548" s="45"/>
      <c r="AH548" s="28"/>
      <c r="AI548" s="28"/>
      <c r="AJ548" s="28"/>
      <c r="AK548" s="28"/>
      <c r="AL548" s="12"/>
      <c r="AM548" s="12"/>
      <c r="AN548" s="12"/>
      <c r="AO548" s="12"/>
      <c r="AP548" s="12"/>
      <c r="AQ548" s="13"/>
      <c r="AR548" s="14"/>
    </row>
    <row r="549" spans="1:44" s="16" customFormat="1" ht="30.95" hidden="1" customHeight="1" x14ac:dyDescent="0.2">
      <c r="A549" s="35" t="s">
        <v>1284</v>
      </c>
      <c r="B549" s="36" t="s">
        <v>1285</v>
      </c>
      <c r="C549" s="43"/>
      <c r="D549" s="29"/>
      <c r="E549" s="29"/>
      <c r="F549" s="255"/>
      <c r="G549" s="256"/>
      <c r="H549" s="256"/>
      <c r="I549" s="200"/>
      <c r="J549" s="30" t="s">
        <v>448</v>
      </c>
      <c r="K549" s="200"/>
      <c r="L549" s="200"/>
      <c r="M549" s="37"/>
      <c r="N549" s="37"/>
      <c r="O549" s="45"/>
      <c r="P549" s="54"/>
      <c r="Q549" s="260"/>
      <c r="R549" s="261"/>
      <c r="S549" s="261"/>
      <c r="T549" s="38"/>
      <c r="U549" s="261"/>
      <c r="V549" s="256"/>
      <c r="W549" s="256"/>
      <c r="X549" s="256"/>
      <c r="Y549" s="256"/>
      <c r="Z549" s="54"/>
      <c r="AA549" s="200"/>
      <c r="AB549" s="31"/>
      <c r="AC549" s="184"/>
      <c r="AD549" s="51"/>
      <c r="AE549" s="52"/>
      <c r="AF549" s="41"/>
      <c r="AG549" s="45"/>
      <c r="AH549" s="28"/>
      <c r="AI549" s="28"/>
      <c r="AJ549" s="28"/>
      <c r="AK549" s="28"/>
      <c r="AL549" s="12"/>
      <c r="AM549" s="12"/>
      <c r="AN549" s="12"/>
      <c r="AO549" s="12"/>
      <c r="AP549" s="12"/>
      <c r="AQ549" s="13"/>
      <c r="AR549" s="14"/>
    </row>
    <row r="550" spans="1:44" s="16" customFormat="1" ht="30.95" hidden="1" customHeight="1" x14ac:dyDescent="0.2">
      <c r="A550" s="35"/>
      <c r="B550" s="36"/>
      <c r="C550" s="43"/>
      <c r="D550" s="29"/>
      <c r="E550" s="29"/>
      <c r="F550" s="255"/>
      <c r="G550" s="256"/>
      <c r="H550" s="256"/>
      <c r="I550" s="200"/>
      <c r="J550" s="30"/>
      <c r="K550" s="200"/>
      <c r="L550" s="200"/>
      <c r="M550" s="37"/>
      <c r="N550" s="37"/>
      <c r="O550" s="45"/>
      <c r="P550" s="54"/>
      <c r="Q550" s="260"/>
      <c r="R550" s="261"/>
      <c r="S550" s="261"/>
      <c r="T550" s="38"/>
      <c r="U550" s="261"/>
      <c r="V550" s="256"/>
      <c r="W550" s="256"/>
      <c r="X550" s="256"/>
      <c r="Y550" s="256"/>
      <c r="Z550" s="54"/>
      <c r="AA550" s="200"/>
      <c r="AB550" s="31"/>
      <c r="AC550" s="184"/>
      <c r="AD550" s="51"/>
      <c r="AE550" s="52"/>
      <c r="AF550" s="41"/>
      <c r="AG550" s="45"/>
      <c r="AH550" s="28"/>
      <c r="AI550" s="28"/>
      <c r="AJ550" s="28"/>
      <c r="AK550" s="28"/>
      <c r="AL550" s="12"/>
      <c r="AM550" s="12"/>
      <c r="AN550" s="12"/>
      <c r="AO550" s="12"/>
      <c r="AP550" s="12"/>
      <c r="AQ550" s="13"/>
      <c r="AR550" s="14"/>
    </row>
    <row r="551" spans="1:44" s="16" customFormat="1" ht="30.95" hidden="1" customHeight="1" x14ac:dyDescent="0.2">
      <c r="A551" s="35" t="s">
        <v>1286</v>
      </c>
      <c r="B551" s="36" t="s">
        <v>1287</v>
      </c>
      <c r="C551" s="43"/>
      <c r="D551" s="29"/>
      <c r="E551" s="29"/>
      <c r="F551" s="255"/>
      <c r="G551" s="256"/>
      <c r="H551" s="256"/>
      <c r="I551" s="200"/>
      <c r="J551" s="30" t="s">
        <v>448</v>
      </c>
      <c r="K551" s="200"/>
      <c r="L551" s="200"/>
      <c r="M551" s="37"/>
      <c r="N551" s="37"/>
      <c r="O551" s="45"/>
      <c r="P551" s="54"/>
      <c r="Q551" s="260"/>
      <c r="R551" s="261"/>
      <c r="S551" s="261"/>
      <c r="T551" s="38"/>
      <c r="U551" s="261"/>
      <c r="V551" s="256"/>
      <c r="W551" s="256"/>
      <c r="X551" s="256"/>
      <c r="Y551" s="256"/>
      <c r="Z551" s="54"/>
      <c r="AA551" s="200"/>
      <c r="AB551" s="31"/>
      <c r="AC551" s="184"/>
      <c r="AD551" s="51"/>
      <c r="AE551" s="52"/>
      <c r="AF551" s="41"/>
      <c r="AG551" s="45"/>
      <c r="AH551" s="28"/>
      <c r="AI551" s="28"/>
      <c r="AJ551" s="28"/>
      <c r="AK551" s="28"/>
      <c r="AL551" s="12"/>
      <c r="AM551" s="12"/>
      <c r="AN551" s="12"/>
      <c r="AO551" s="12"/>
      <c r="AP551" s="12"/>
      <c r="AQ551" s="13"/>
      <c r="AR551" s="14"/>
    </row>
    <row r="552" spans="1:44" s="16" customFormat="1" ht="30.95" hidden="1" customHeight="1" x14ac:dyDescent="0.2">
      <c r="A552" s="35"/>
      <c r="B552" s="36"/>
      <c r="C552" s="43"/>
      <c r="D552" s="29"/>
      <c r="E552" s="29"/>
      <c r="F552" s="255"/>
      <c r="G552" s="256"/>
      <c r="H552" s="256"/>
      <c r="I552" s="200"/>
      <c r="J552" s="30"/>
      <c r="K552" s="200"/>
      <c r="L552" s="200"/>
      <c r="M552" s="37"/>
      <c r="N552" s="37"/>
      <c r="O552" s="45"/>
      <c r="P552" s="54"/>
      <c r="Q552" s="260"/>
      <c r="R552" s="261"/>
      <c r="S552" s="261"/>
      <c r="T552" s="38"/>
      <c r="U552" s="261"/>
      <c r="V552" s="256"/>
      <c r="W552" s="256"/>
      <c r="X552" s="256"/>
      <c r="Y552" s="256"/>
      <c r="Z552" s="54"/>
      <c r="AA552" s="200"/>
      <c r="AB552" s="31"/>
      <c r="AC552" s="184"/>
      <c r="AD552" s="51"/>
      <c r="AE552" s="52"/>
      <c r="AF552" s="41"/>
      <c r="AG552" s="45"/>
      <c r="AH552" s="28"/>
      <c r="AI552" s="28"/>
      <c r="AJ552" s="28"/>
      <c r="AK552" s="28"/>
      <c r="AL552" s="12"/>
      <c r="AM552" s="12"/>
      <c r="AN552" s="12"/>
      <c r="AO552" s="12"/>
      <c r="AP552" s="12"/>
      <c r="AQ552" s="13"/>
      <c r="AR552" s="14"/>
    </row>
    <row r="553" spans="1:44" s="16" customFormat="1" ht="30.95" hidden="1" customHeight="1" x14ac:dyDescent="0.2">
      <c r="A553" s="35" t="s">
        <v>1288</v>
      </c>
      <c r="B553" s="36" t="s">
        <v>1289</v>
      </c>
      <c r="C553" s="43"/>
      <c r="D553" s="29">
        <v>3716259</v>
      </c>
      <c r="E553" s="29">
        <v>4151419</v>
      </c>
      <c r="F553" s="255" t="str">
        <f>IF(D553="","",VLOOKUP(D553,契約台帳!$A$3:$K$4986,6,FALSE)&amp;VLOOKUP(D553,契約台帳!$A$3:$K$4986,7,FALSE)&amp;VLOOKUP(D553,契約台帳!$A$3:$K$4986,8,FALSE)&amp;VLOOKUP(D553,契約台帳!$A$3:$K$4986,9,FALSE)&amp;VLOOKUP(D553,契約台帳!$A$3:$K$4986,11,FALSE))</f>
        <v>3SNMLBMNGTBF</v>
      </c>
      <c r="G553" s="256" t="str">
        <f>IF(D553="","",VLOOKUP(F553,製品マスタ!$G$5:$H$4999,2,FALSE))</f>
        <v>S</v>
      </c>
      <c r="H553" s="256" t="str">
        <f>IF(D553="","",VLOOKUP(F553,製品マスタ!$G$5:$K$4999,5,FALSE))</f>
        <v>MNGTBF</v>
      </c>
      <c r="I553" s="200" t="str">
        <f>IF(D553="","",VLOOKUP(F553,製品マスタ!$G$5:$L$4999,6,FALSE))</f>
        <v>メタルミー　ネーマー　銀艶　Ｂ</v>
      </c>
      <c r="J553" s="30" t="s">
        <v>447</v>
      </c>
      <c r="K553" s="200">
        <f>IF(D553="","",VLOOKUP(D553,契約台帳!$A$3:$L$4986,12,FALSE))</f>
        <v>50</v>
      </c>
      <c r="L553" s="200" t="str">
        <f>IF(D553="","",INDEX(製品マスタ!$Q$5:$Q$4999,MATCH(F553&amp;K553,製品マスタ!$AO$5:$AO$4999,0)))</f>
        <v>T62</v>
      </c>
      <c r="M553" s="37">
        <v>1120</v>
      </c>
      <c r="N553" s="37">
        <v>10000</v>
      </c>
      <c r="O553" s="45">
        <v>6</v>
      </c>
      <c r="P553" s="54"/>
      <c r="Q553" s="260">
        <f>IF(D553="","",IF(J553="リード付け",M553,VLOOKUP(D553,契約台帳!$A$3:$N$4986,14,FALSE)))</f>
        <v>1120</v>
      </c>
      <c r="R553" s="261">
        <f>IF(D553="","",IF(J553="リード付け",M553,VLOOKUP(D553,契約台帳!$A$3:$O$4986,15,FALSE)))</f>
        <v>1120</v>
      </c>
      <c r="S553" s="261">
        <f>IF(D553="","",IF(J553="リード付け",N553,VLOOKUP(D553,契約台帳!$A$3:$P$4986,16,FALSE)))</f>
        <v>5000</v>
      </c>
      <c r="T553" s="38">
        <v>12</v>
      </c>
      <c r="U553" s="261">
        <f ca="1">IF(D553="","",IF(OFFSET(D553,-2,0)=D553,"",VLOOKUP(D553,契約台帳!$A$3:$R$4986,18,FALSE)))</f>
        <v>13</v>
      </c>
      <c r="V553" s="256" t="str">
        <f>IF(J553="巻返し",VLOOKUP(F553&amp;K553&amp;M553,製品マスタ!$M$5:$AD$4999,18,FALSE),IF(J553="リード付け","原反コア",IF(J553="スリット",VLOOKUP(F553&amp;K553&amp;Q553,製品マスタ!$N$5:$AD$4999,17,FALSE),"")))</f>
        <v>6ｲﾝﾁSｺｱ</v>
      </c>
      <c r="W553" s="256">
        <f>IF(J553="巻返し",VLOOKUP(F553&amp;K553&amp;M553,製品マスタ!$M$5:$AE$4999,19,FALSE),IF(J553="リード付け","-",IF(J553="スリット",VLOOKUP(F553&amp;K553&amp;Q553,製品マスタ!$N$5:$AE$4999,18,FALSE),"")))</f>
        <v>1125</v>
      </c>
      <c r="X553" s="256">
        <f>IF(D553="","",VLOOKUP(D553,契約台帳!$A$3:$Q$4986,17,FALSE))</f>
        <v>2</v>
      </c>
      <c r="Y553" s="256" t="str">
        <f>IF(D553="","",VLOOKUP(D553,契約台帳!$A$3:$E$4986,5,FALSE))</f>
        <v>リンテック㈱</v>
      </c>
      <c r="Z553" s="54">
        <v>45119</v>
      </c>
      <c r="AA553" s="200" t="str">
        <f>IFERROR(VLOOKUP(F553&amp;K553&amp;M553,製品マスタ!$M$5:$AM$4999,27,FALSE),"")</f>
        <v>原反ケース再利用</v>
      </c>
      <c r="AB553" s="31"/>
      <c r="AC553" s="184"/>
      <c r="AD553" s="51" t="str">
        <f>IF(F553="","",+F553&amp;K553)</f>
        <v>3SNMLBMNGTBF50</v>
      </c>
      <c r="AE553" s="52">
        <f>+M553*N553*O553/1000</f>
        <v>67200</v>
      </c>
      <c r="AF553" s="41">
        <f>IF(AD553="","",VLOOKUP(AD553,原価マスタ!$A$2:$AJ$1693,13,FALSE))</f>
        <v>99</v>
      </c>
      <c r="AG553" s="45">
        <f>IF(AF553="","",+AE553*AF553/100)</f>
        <v>66528</v>
      </c>
      <c r="AH553" s="28"/>
      <c r="AI553" s="28"/>
      <c r="AJ553" s="28"/>
      <c r="AK553" s="28"/>
      <c r="AL553" s="12"/>
      <c r="AM553" s="12"/>
      <c r="AN553" s="12"/>
      <c r="AO553" s="12"/>
      <c r="AP553" s="12"/>
      <c r="AQ553" s="13"/>
      <c r="AR553" s="14"/>
    </row>
    <row r="554" spans="1:44" s="16" customFormat="1" ht="30.95" hidden="1" customHeight="1" x14ac:dyDescent="0.2">
      <c r="A554" s="35"/>
      <c r="B554" s="36"/>
      <c r="C554" s="43"/>
      <c r="D554" s="29"/>
      <c r="E554" s="29"/>
      <c r="F554" s="255"/>
      <c r="G554" s="256"/>
      <c r="H554" s="256"/>
      <c r="I554" s="200"/>
      <c r="J554" s="30"/>
      <c r="K554" s="200"/>
      <c r="L554" s="200"/>
      <c r="M554" s="37"/>
      <c r="N554" s="37"/>
      <c r="O554" s="45"/>
      <c r="P554" s="54"/>
      <c r="Q554" s="260"/>
      <c r="R554" s="261"/>
      <c r="S554" s="261"/>
      <c r="T554" s="38"/>
      <c r="U554" s="261"/>
      <c r="V554" s="256"/>
      <c r="W554" s="256"/>
      <c r="X554" s="256"/>
      <c r="Y554" s="256"/>
      <c r="Z554" s="54"/>
      <c r="AA554" s="200"/>
      <c r="AB554" s="31"/>
      <c r="AC554" s="184"/>
      <c r="AD554" s="51"/>
      <c r="AE554" s="52"/>
      <c r="AF554" s="41"/>
      <c r="AG554" s="45"/>
      <c r="AH554" s="28"/>
      <c r="AI554" s="28"/>
      <c r="AJ554" s="28"/>
      <c r="AK554" s="28"/>
      <c r="AL554" s="12"/>
      <c r="AM554" s="12"/>
      <c r="AN554" s="12"/>
      <c r="AO554" s="12"/>
      <c r="AP554" s="12"/>
      <c r="AQ554" s="13"/>
      <c r="AR554" s="14"/>
    </row>
    <row r="555" spans="1:44" s="16" customFormat="1" ht="30.95" hidden="1" customHeight="1" x14ac:dyDescent="0.2">
      <c r="A555" s="35" t="s">
        <v>1290</v>
      </c>
      <c r="B555" s="36" t="s">
        <v>1291</v>
      </c>
      <c r="C555" s="43"/>
      <c r="D555" s="29">
        <v>3716259</v>
      </c>
      <c r="E555" s="29">
        <v>4151419</v>
      </c>
      <c r="F555" s="255" t="str">
        <f>IF(D555="","",VLOOKUP(D555,契約台帳!$A$3:$K$4986,6,FALSE)&amp;VLOOKUP(D555,契約台帳!$A$3:$K$4986,7,FALSE)&amp;VLOOKUP(D555,契約台帳!$A$3:$K$4986,8,FALSE)&amp;VLOOKUP(D555,契約台帳!$A$3:$K$4986,9,FALSE)&amp;VLOOKUP(D555,契約台帳!$A$3:$K$4986,11,FALSE))</f>
        <v>3SNMLBMNGTBF</v>
      </c>
      <c r="G555" s="256" t="str">
        <f>IF(D555="","",VLOOKUP(F555,製品マスタ!$G$5:$H$4999,2,FALSE))</f>
        <v>S</v>
      </c>
      <c r="H555" s="256" t="str">
        <f>IF(D555="","",VLOOKUP(F555,製品マスタ!$G$5:$K$4999,5,FALSE))</f>
        <v>MNGTBF</v>
      </c>
      <c r="I555" s="200" t="str">
        <f>IF(D555="","",VLOOKUP(F555,製品マスタ!$G$5:$L$4999,6,FALSE))</f>
        <v>メタルミー　ネーマー　銀艶　Ｂ</v>
      </c>
      <c r="J555" s="30" t="s">
        <v>447</v>
      </c>
      <c r="K555" s="200">
        <f>IF(D555="","",VLOOKUP(D555,契約台帳!$A$3:$L$4986,12,FALSE))</f>
        <v>50</v>
      </c>
      <c r="L555" s="200" t="str">
        <f>IF(D555="","",INDEX(製品マスタ!$Q$5:$Q$4999,MATCH(F555&amp;K555,製品マスタ!$AO$5:$AO$4999,0)))</f>
        <v>T62</v>
      </c>
      <c r="M555" s="37">
        <v>1120</v>
      </c>
      <c r="N555" s="37">
        <v>10000</v>
      </c>
      <c r="O555" s="45">
        <v>1</v>
      </c>
      <c r="P555" s="54"/>
      <c r="Q555" s="260">
        <f>IF(D555="","",IF(J555="リード付け",M555,VLOOKUP(D555,契約台帳!$A$3:$N$4986,14,FALSE)))</f>
        <v>1120</v>
      </c>
      <c r="R555" s="261">
        <f>IF(D555="","",IF(J555="リード付け",M555,VLOOKUP(D555,契約台帳!$A$3:$O$4986,15,FALSE)))</f>
        <v>1120</v>
      </c>
      <c r="S555" s="261">
        <f>IF(D555="","",IF(J555="リード付け",N555,VLOOKUP(D555,契約台帳!$A$3:$P$4986,16,FALSE)))</f>
        <v>5000</v>
      </c>
      <c r="T555" s="38">
        <v>1</v>
      </c>
      <c r="U555" s="261" t="str">
        <f ca="1">IF(D555="","",IF(OFFSET(D555,-2,0)=D555,"",VLOOKUP(D555,契約台帳!$A$3:$R$4986,18,FALSE)))</f>
        <v/>
      </c>
      <c r="V555" s="256" t="str">
        <f>IF(J555="巻返し",VLOOKUP(F555&amp;K555&amp;M555,製品マスタ!$M$5:$AD$4999,18,FALSE),IF(J555="リード付け","原反コア",IF(J555="スリット",VLOOKUP(F555&amp;K555&amp;Q555,製品マスタ!$N$5:$AD$4999,17,FALSE),"")))</f>
        <v>6ｲﾝﾁSｺｱ</v>
      </c>
      <c r="W555" s="256">
        <f>IF(J555="巻返し",VLOOKUP(F555&amp;K555&amp;M555,製品マスタ!$M$5:$AE$4999,19,FALSE),IF(J555="リード付け","-",IF(J555="スリット",VLOOKUP(F555&amp;K555&amp;Q555,製品マスタ!$N$5:$AE$4999,18,FALSE),"")))</f>
        <v>1125</v>
      </c>
      <c r="X555" s="256">
        <f>IF(D555="","",VLOOKUP(D555,契約台帳!$A$3:$Q$4986,17,FALSE))</f>
        <v>2</v>
      </c>
      <c r="Y555" s="256" t="str">
        <f>IF(D555="","",VLOOKUP(D555,契約台帳!$A$3:$E$4986,5,FALSE))</f>
        <v>リンテック㈱</v>
      </c>
      <c r="Z555" s="54">
        <v>45120</v>
      </c>
      <c r="AA555" s="200" t="str">
        <f>IFERROR(VLOOKUP(F555&amp;K555&amp;M555,製品マスタ!$M$5:$AM$4999,27,FALSE),"")</f>
        <v>原反ケース再利用</v>
      </c>
      <c r="AB555" s="31"/>
      <c r="AC555" s="184"/>
      <c r="AD555" s="51" t="str">
        <f>IF(F555="","",+F555&amp;K555)</f>
        <v>3SNMLBMNGTBF50</v>
      </c>
      <c r="AE555" s="52">
        <f>+M555*N555*O555/1000</f>
        <v>11200</v>
      </c>
      <c r="AF555" s="41">
        <f>IF(AD555="","",VLOOKUP(AD555,原価マスタ!$A$2:$AJ$1693,13,FALSE))</f>
        <v>99</v>
      </c>
      <c r="AG555" s="45">
        <f>IF(AF555="","",+AE555*AF555/100)</f>
        <v>11088</v>
      </c>
      <c r="AH555" s="28"/>
      <c r="AI555" s="28"/>
      <c r="AJ555" s="28"/>
      <c r="AK555" s="28"/>
      <c r="AL555" s="12"/>
      <c r="AM555" s="12"/>
      <c r="AN555" s="12"/>
      <c r="AO555" s="12"/>
      <c r="AP555" s="12"/>
      <c r="AQ555" s="13"/>
      <c r="AR555" s="14"/>
    </row>
    <row r="556" spans="1:44" s="16" customFormat="1" ht="30.95" hidden="1" customHeight="1" x14ac:dyDescent="0.2">
      <c r="A556" s="35"/>
      <c r="B556" s="36"/>
      <c r="C556" s="43"/>
      <c r="D556" s="29">
        <v>3716260</v>
      </c>
      <c r="E556" s="29"/>
      <c r="F556" s="255" t="str">
        <f>IF(D556="","",VLOOKUP(D556,契約台帳!$A$3:$K$4986,6,FALSE)&amp;VLOOKUP(D556,契約台帳!$A$3:$K$4986,7,FALSE)&amp;VLOOKUP(D556,契約台帳!$A$3:$K$4986,8,FALSE)&amp;VLOOKUP(D556,契約台帳!$A$3:$K$4986,9,FALSE)&amp;VLOOKUP(D556,契約台帳!$A$3:$K$4986,11,FALSE))</f>
        <v>3SNMLBMNGTBF</v>
      </c>
      <c r="G556" s="256" t="str">
        <f>IF(D556="","",VLOOKUP(F556,製品マスタ!$G$5:$H$4999,2,FALSE))</f>
        <v>S</v>
      </c>
      <c r="H556" s="256" t="str">
        <f>IF(D556="","",VLOOKUP(F556,製品マスタ!$G$5:$K$4999,5,FALSE))</f>
        <v>MNGTBF</v>
      </c>
      <c r="I556" s="200" t="str">
        <f>IF(D556="","",VLOOKUP(F556,製品マスタ!$G$5:$L$4999,6,FALSE))</f>
        <v>メタルミー　ネーマー　銀艶　Ｂ</v>
      </c>
      <c r="J556" s="30" t="s">
        <v>447</v>
      </c>
      <c r="K556" s="200">
        <f>IF(D556="","",VLOOKUP(D556,契約台帳!$A$3:$L$4986,12,FALSE))</f>
        <v>50</v>
      </c>
      <c r="L556" s="200" t="str">
        <f>IF(D556="","",INDEX(製品マスタ!$Q$5:$Q$4999,MATCH(F556&amp;K556,製品マスタ!$AO$5:$AO$4999,0)))</f>
        <v>T62</v>
      </c>
      <c r="M556" s="37">
        <v>1120</v>
      </c>
      <c r="N556" s="37"/>
      <c r="O556" s="45"/>
      <c r="P556" s="54"/>
      <c r="Q556" s="260">
        <f>IF(D556="","",IF(J556="リード付け",M556,VLOOKUP(D556,契約台帳!$A$3:$N$4986,14,FALSE)))</f>
        <v>1120</v>
      </c>
      <c r="R556" s="261">
        <f>IF(D556="","",IF(J556="リード付け",M556,VLOOKUP(D556,契約台帳!$A$3:$O$4986,15,FALSE)))</f>
        <v>1120</v>
      </c>
      <c r="S556" s="261">
        <f>IF(D556="","",IF(J556="リード付け",N556,VLOOKUP(D556,契約台帳!$A$3:$P$4986,16,FALSE)))</f>
        <v>5000</v>
      </c>
      <c r="T556" s="38">
        <v>1</v>
      </c>
      <c r="U556" s="261">
        <f ca="1">IF(D556="","",IF(OFFSET(D556,-2,0)=D556,"",VLOOKUP(D556,契約台帳!$A$3:$R$4986,18,FALSE)))</f>
        <v>13</v>
      </c>
      <c r="V556" s="256" t="str">
        <f>IF(J556="巻返し",VLOOKUP(F556&amp;K556&amp;M556,製品マスタ!$M$5:$AD$4999,18,FALSE),IF(J556="リード付け","原反コア",IF(J556="スリット",VLOOKUP(F556&amp;K556&amp;Q556,製品マスタ!$N$5:$AD$4999,17,FALSE),"")))</f>
        <v>6ｲﾝﾁSｺｱ</v>
      </c>
      <c r="W556" s="256">
        <f>IF(J556="巻返し",VLOOKUP(F556&amp;K556&amp;M556,製品マスタ!$M$5:$AE$4999,19,FALSE),IF(J556="リード付け","-",IF(J556="スリット",VLOOKUP(F556&amp;K556&amp;Q556,製品マスタ!$N$5:$AE$4999,18,FALSE),"")))</f>
        <v>1125</v>
      </c>
      <c r="X556" s="256">
        <f>IF(D556="","",VLOOKUP(D556,契約台帳!$A$3:$Q$4986,17,FALSE))</f>
        <v>2</v>
      </c>
      <c r="Y556" s="256" t="str">
        <f>IF(D556="","",VLOOKUP(D556,契約台帳!$A$3:$E$4986,5,FALSE))</f>
        <v>リンテック㈱</v>
      </c>
      <c r="Z556" s="54"/>
      <c r="AA556" s="200" t="str">
        <f>IFERROR(VLOOKUP(F556&amp;K556&amp;M556,製品マスタ!$M$5:$AM$4999,27,FALSE),"")</f>
        <v>原反ケース再利用</v>
      </c>
      <c r="AB556" s="31"/>
      <c r="AC556" s="184"/>
      <c r="AD556" s="51"/>
      <c r="AE556" s="52"/>
      <c r="AF556" s="41"/>
      <c r="AG556" s="45" t="str">
        <f>IF(AF556="","",+AE556*AF556/100)</f>
        <v/>
      </c>
      <c r="AH556" s="28"/>
      <c r="AI556" s="28"/>
      <c r="AJ556" s="28"/>
      <c r="AK556" s="28"/>
      <c r="AL556" s="12"/>
      <c r="AM556" s="12"/>
      <c r="AN556" s="12"/>
      <c r="AO556" s="12"/>
      <c r="AP556" s="12"/>
      <c r="AQ556" s="13"/>
      <c r="AR556" s="14"/>
    </row>
    <row r="557" spans="1:44" s="16" customFormat="1" ht="30.95" hidden="1" customHeight="1" x14ac:dyDescent="0.2">
      <c r="A557" s="35"/>
      <c r="B557" s="36"/>
      <c r="C557" s="43"/>
      <c r="D557" s="29"/>
      <c r="E557" s="29"/>
      <c r="F557" s="255"/>
      <c r="G557" s="256"/>
      <c r="H557" s="256"/>
      <c r="I557" s="200"/>
      <c r="J557" s="30"/>
      <c r="K557" s="200"/>
      <c r="L557" s="200"/>
      <c r="M557" s="37"/>
      <c r="N557" s="37"/>
      <c r="O557" s="45"/>
      <c r="P557" s="54"/>
      <c r="Q557" s="260"/>
      <c r="R557" s="261"/>
      <c r="S557" s="261"/>
      <c r="T557" s="38"/>
      <c r="U557" s="261"/>
      <c r="V557" s="256"/>
      <c r="W557" s="256"/>
      <c r="X557" s="256"/>
      <c r="Y557" s="256"/>
      <c r="Z557" s="54"/>
      <c r="AA557" s="200"/>
      <c r="AB557" s="31"/>
      <c r="AC557" s="184"/>
      <c r="AD557" s="51"/>
      <c r="AE557" s="52"/>
      <c r="AF557" s="41"/>
      <c r="AG557" s="45"/>
      <c r="AH557" s="28"/>
      <c r="AI557" s="28"/>
      <c r="AJ557" s="28"/>
      <c r="AK557" s="28"/>
      <c r="AL557" s="12"/>
      <c r="AM557" s="12"/>
      <c r="AN557" s="12"/>
      <c r="AO557" s="12"/>
      <c r="AP557" s="12"/>
      <c r="AQ557" s="13"/>
      <c r="AR557" s="14"/>
    </row>
    <row r="558" spans="1:44" s="16" customFormat="1" ht="30.95" hidden="1" customHeight="1" x14ac:dyDescent="0.2">
      <c r="A558" s="35"/>
      <c r="B558" s="36"/>
      <c r="C558" s="43"/>
      <c r="D558" s="29">
        <v>3716260</v>
      </c>
      <c r="E558" s="29">
        <v>4151420</v>
      </c>
      <c r="F558" s="255" t="str">
        <f>IF(D558="","",VLOOKUP(D558,契約台帳!$A$3:$K$4986,6,FALSE)&amp;VLOOKUP(D558,契約台帳!$A$3:$K$4986,7,FALSE)&amp;VLOOKUP(D558,契約台帳!$A$3:$K$4986,8,FALSE)&amp;VLOOKUP(D558,契約台帳!$A$3:$K$4986,9,FALSE)&amp;VLOOKUP(D558,契約台帳!$A$3:$K$4986,11,FALSE))</f>
        <v>3SNMLBMNGTBF</v>
      </c>
      <c r="G558" s="256" t="str">
        <f>IF(D558="","",VLOOKUP(F558,製品マスタ!$G$5:$H$4999,2,FALSE))</f>
        <v>S</v>
      </c>
      <c r="H558" s="256" t="str">
        <f>IF(D558="","",VLOOKUP(F558,製品マスタ!$G$5:$K$4999,5,FALSE))</f>
        <v>MNGTBF</v>
      </c>
      <c r="I558" s="200" t="str">
        <f>IF(D558="","",VLOOKUP(F558,製品マスタ!$G$5:$L$4999,6,FALSE))</f>
        <v>メタルミー　ネーマー　銀艶　Ｂ</v>
      </c>
      <c r="J558" s="30" t="s">
        <v>447</v>
      </c>
      <c r="K558" s="200">
        <f>IF(D558="","",VLOOKUP(D558,契約台帳!$A$3:$L$4986,12,FALSE))</f>
        <v>50</v>
      </c>
      <c r="L558" s="200" t="str">
        <f>IF(D558="","",INDEX(製品マスタ!$Q$5:$Q$4999,MATCH(F558&amp;K558,製品マスタ!$AO$5:$AO$4999,0)))</f>
        <v>T62</v>
      </c>
      <c r="M558" s="37">
        <v>1120</v>
      </c>
      <c r="N558" s="37">
        <v>10000</v>
      </c>
      <c r="O558" s="45">
        <v>4</v>
      </c>
      <c r="P558" s="54"/>
      <c r="Q558" s="260">
        <f>IF(D558="","",IF(J558="リード付け",M558,VLOOKUP(D558,契約台帳!$A$3:$N$4986,14,FALSE)))</f>
        <v>1120</v>
      </c>
      <c r="R558" s="261">
        <f>IF(D558="","",IF(J558="リード付け",M558,VLOOKUP(D558,契約台帳!$A$3:$O$4986,15,FALSE)))</f>
        <v>1120</v>
      </c>
      <c r="S558" s="261">
        <f>IF(D558="","",IF(J558="リード付け",N558,VLOOKUP(D558,契約台帳!$A$3:$P$4986,16,FALSE)))</f>
        <v>5000</v>
      </c>
      <c r="T558" s="38">
        <v>8</v>
      </c>
      <c r="U558" s="261" t="str">
        <f ca="1">IF(D558="","",IF(OFFSET(D558,-2,0)=D558,"",VLOOKUP(D558,契約台帳!$A$3:$R$4986,18,FALSE)))</f>
        <v/>
      </c>
      <c r="V558" s="256" t="str">
        <f>IF(J558="巻返し",VLOOKUP(F558&amp;K558&amp;M558,製品マスタ!$M$5:$AD$4999,18,FALSE),IF(J558="リード付け","原反コア",IF(J558="スリット",VLOOKUP(F558&amp;K558&amp;Q558,製品マスタ!$N$5:$AD$4999,17,FALSE),"")))</f>
        <v>6ｲﾝﾁSｺｱ</v>
      </c>
      <c r="W558" s="256">
        <f>IF(J558="巻返し",VLOOKUP(F558&amp;K558&amp;M558,製品マスタ!$M$5:$AE$4999,19,FALSE),IF(J558="リード付け","-",IF(J558="スリット",VLOOKUP(F558&amp;K558&amp;Q558,製品マスタ!$N$5:$AE$4999,18,FALSE),"")))</f>
        <v>1125</v>
      </c>
      <c r="X558" s="256">
        <f>IF(D558="","",VLOOKUP(D558,契約台帳!$A$3:$Q$4986,17,FALSE))</f>
        <v>2</v>
      </c>
      <c r="Y558" s="256" t="str">
        <f>IF(D558="","",VLOOKUP(D558,契約台帳!$A$3:$E$4986,5,FALSE))</f>
        <v>リンテック㈱</v>
      </c>
      <c r="Z558" s="54">
        <v>45120</v>
      </c>
      <c r="AA558" s="200" t="str">
        <f>IFERROR(VLOOKUP(F558&amp;K558&amp;M558,製品マスタ!$M$5:$AM$4999,27,FALSE),"")</f>
        <v>原反ケース再利用</v>
      </c>
      <c r="AB558" s="31"/>
      <c r="AC558" s="184"/>
      <c r="AD558" s="51" t="str">
        <f>IF(F558="","",+F558&amp;K558)</f>
        <v>3SNMLBMNGTBF50</v>
      </c>
      <c r="AE558" s="52">
        <f>+M558*N558*O558/1000</f>
        <v>44800</v>
      </c>
      <c r="AF558" s="41">
        <f>IF(AD558="","",VLOOKUP(AD558,原価マスタ!$A$2:$AJ$1693,13,FALSE))</f>
        <v>99</v>
      </c>
      <c r="AG558" s="45">
        <f>IF(AF558="","",+AE558*AF558/100)</f>
        <v>44352</v>
      </c>
      <c r="AH558" s="28"/>
      <c r="AI558" s="28"/>
      <c r="AJ558" s="28"/>
      <c r="AK558" s="28"/>
      <c r="AL558" s="12"/>
      <c r="AM558" s="12"/>
      <c r="AN558" s="12"/>
      <c r="AO558" s="12"/>
      <c r="AP558" s="12"/>
      <c r="AQ558" s="13"/>
      <c r="AR558" s="14"/>
    </row>
    <row r="559" spans="1:44" s="16" customFormat="1" ht="30.95" hidden="1" customHeight="1" x14ac:dyDescent="0.2">
      <c r="A559" s="35"/>
      <c r="B559" s="36"/>
      <c r="C559" s="43"/>
      <c r="D559" s="29"/>
      <c r="E559" s="29"/>
      <c r="F559" s="255"/>
      <c r="G559" s="256"/>
      <c r="H559" s="256"/>
      <c r="I559" s="200"/>
      <c r="J559" s="30"/>
      <c r="K559" s="200"/>
      <c r="L559" s="200"/>
      <c r="M559" s="37"/>
      <c r="N559" s="37"/>
      <c r="O559" s="45"/>
      <c r="P559" s="54"/>
      <c r="Q559" s="260"/>
      <c r="R559" s="261"/>
      <c r="S559" s="261"/>
      <c r="T559" s="38"/>
      <c r="U559" s="261"/>
      <c r="V559" s="256"/>
      <c r="W559" s="256"/>
      <c r="X559" s="256"/>
      <c r="Y559" s="256"/>
      <c r="Z559" s="54"/>
      <c r="AA559" s="200"/>
      <c r="AB559" s="31"/>
      <c r="AC559" s="184"/>
      <c r="AD559" s="51"/>
      <c r="AE559" s="52"/>
      <c r="AF559" s="41"/>
      <c r="AG559" s="45"/>
      <c r="AH559" s="28"/>
      <c r="AI559" s="28"/>
      <c r="AJ559" s="28"/>
      <c r="AK559" s="28"/>
      <c r="AL559" s="12"/>
      <c r="AM559" s="12"/>
      <c r="AN559" s="12"/>
      <c r="AO559" s="12"/>
      <c r="AP559" s="12"/>
      <c r="AQ559" s="13"/>
      <c r="AR559" s="14"/>
    </row>
    <row r="560" spans="1:44" s="16" customFormat="1" ht="30.95" hidden="1" customHeight="1" x14ac:dyDescent="0.2">
      <c r="A560" s="35" t="s">
        <v>1292</v>
      </c>
      <c r="B560" s="36" t="s">
        <v>1279</v>
      </c>
      <c r="C560" s="43"/>
      <c r="D560" s="29">
        <v>3716260</v>
      </c>
      <c r="E560" s="29">
        <v>4151420</v>
      </c>
      <c r="F560" s="255" t="str">
        <f>IF(D560="","",VLOOKUP(D560,契約台帳!$A$3:$K$4986,6,FALSE)&amp;VLOOKUP(D560,契約台帳!$A$3:$K$4986,7,FALSE)&amp;VLOOKUP(D560,契約台帳!$A$3:$K$4986,8,FALSE)&amp;VLOOKUP(D560,契約台帳!$A$3:$K$4986,9,FALSE)&amp;VLOOKUP(D560,契約台帳!$A$3:$K$4986,11,FALSE))</f>
        <v>3SNMLBMNGTBF</v>
      </c>
      <c r="G560" s="256" t="str">
        <f>IF(D560="","",VLOOKUP(F560,製品マスタ!$G$5:$H$4999,2,FALSE))</f>
        <v>S</v>
      </c>
      <c r="H560" s="256" t="str">
        <f>IF(D560="","",VLOOKUP(F560,製品マスタ!$G$5:$K$4999,5,FALSE))</f>
        <v>MNGTBF</v>
      </c>
      <c r="I560" s="200" t="str">
        <f>IF(D560="","",VLOOKUP(F560,製品マスタ!$G$5:$L$4999,6,FALSE))</f>
        <v>メタルミー　ネーマー　銀艶　Ｂ</v>
      </c>
      <c r="J560" s="30" t="s">
        <v>447</v>
      </c>
      <c r="K560" s="200">
        <f>IF(D560="","",VLOOKUP(D560,契約台帳!$A$3:$L$4986,12,FALSE))</f>
        <v>50</v>
      </c>
      <c r="L560" s="200" t="str">
        <f>IF(D560="","",INDEX(製品マスタ!$Q$5:$Q$4999,MATCH(F560&amp;K560,製品マスタ!$AO$5:$AO$4999,0)))</f>
        <v>T62</v>
      </c>
      <c r="M560" s="37">
        <v>1120</v>
      </c>
      <c r="N560" s="37">
        <v>10000</v>
      </c>
      <c r="O560" s="45">
        <v>2</v>
      </c>
      <c r="P560" s="54"/>
      <c r="Q560" s="260">
        <f>IF(D560="","",IF(J560="リード付け",M560,VLOOKUP(D560,契約台帳!$A$3:$N$4986,14,FALSE)))</f>
        <v>1120</v>
      </c>
      <c r="R560" s="261">
        <f>IF(D560="","",IF(J560="リード付け",M560,VLOOKUP(D560,契約台帳!$A$3:$O$4986,15,FALSE)))</f>
        <v>1120</v>
      </c>
      <c r="S560" s="261">
        <f>IF(D560="","",IF(J560="リード付け",N560,VLOOKUP(D560,契約台帳!$A$3:$P$4986,16,FALSE)))</f>
        <v>5000</v>
      </c>
      <c r="T560" s="38">
        <v>4</v>
      </c>
      <c r="U560" s="261" t="str">
        <f ca="1">IF(D560="","",IF(OFFSET(D560,-2,0)=D560,"",VLOOKUP(D560,契約台帳!$A$3:$R$4986,18,FALSE)))</f>
        <v/>
      </c>
      <c r="V560" s="256" t="str">
        <f>IF(J560="巻返し",VLOOKUP(F560&amp;K560&amp;M560,製品マスタ!$M$5:$AD$4999,18,FALSE),IF(J560="リード付け","原反コア",IF(J560="スリット",VLOOKUP(F560&amp;K560&amp;Q560,製品マスタ!$N$5:$AD$4999,17,FALSE),"")))</f>
        <v>6ｲﾝﾁSｺｱ</v>
      </c>
      <c r="W560" s="256">
        <f>IF(J560="巻返し",VLOOKUP(F560&amp;K560&amp;M560,製品マスタ!$M$5:$AE$4999,19,FALSE),IF(J560="リード付け","-",IF(J560="スリット",VLOOKUP(F560&amp;K560&amp;Q560,製品マスタ!$N$5:$AE$4999,18,FALSE),"")))</f>
        <v>1125</v>
      </c>
      <c r="X560" s="256">
        <f>IF(D560="","",VLOOKUP(D560,契約台帳!$A$3:$Q$4986,17,FALSE))</f>
        <v>2</v>
      </c>
      <c r="Y560" s="256" t="str">
        <f>IF(D560="","",VLOOKUP(D560,契約台帳!$A$3:$E$4986,5,FALSE))</f>
        <v>リンテック㈱</v>
      </c>
      <c r="Z560" s="54">
        <v>45121</v>
      </c>
      <c r="AA560" s="200" t="str">
        <f>IFERROR(VLOOKUP(F560&amp;K560&amp;M560,製品マスタ!$M$5:$AM$4999,27,FALSE),"")</f>
        <v>原反ケース再利用</v>
      </c>
      <c r="AB560" s="31"/>
      <c r="AC560" s="184"/>
      <c r="AD560" s="51" t="str">
        <f>IF(F560="","",+F560&amp;K560)</f>
        <v>3SNMLBMNGTBF50</v>
      </c>
      <c r="AE560" s="52">
        <f>+M560*N560*O560/1000</f>
        <v>22400</v>
      </c>
      <c r="AF560" s="41">
        <f>IF(AD560="","",VLOOKUP(AD560,原価マスタ!$A$2:$AJ$1693,13,FALSE))</f>
        <v>99</v>
      </c>
      <c r="AG560" s="45">
        <f>IF(AF560="","",+AE560*AF560/100)</f>
        <v>22176</v>
      </c>
      <c r="AH560" s="28"/>
      <c r="AI560" s="28"/>
      <c r="AJ560" s="28"/>
      <c r="AK560" s="28"/>
      <c r="AL560" s="12"/>
      <c r="AM560" s="12"/>
      <c r="AN560" s="12"/>
      <c r="AO560" s="12"/>
      <c r="AP560" s="12"/>
      <c r="AQ560" s="13"/>
      <c r="AR560" s="14"/>
    </row>
    <row r="561" spans="1:44" s="16" customFormat="1" ht="30.95" hidden="1" customHeight="1" x14ac:dyDescent="0.2">
      <c r="A561" s="35"/>
      <c r="B561" s="36"/>
      <c r="C561" s="43"/>
      <c r="D561" s="29"/>
      <c r="E561" s="29"/>
      <c r="F561" s="255"/>
      <c r="G561" s="256"/>
      <c r="H561" s="256"/>
      <c r="I561" s="200"/>
      <c r="J561" s="30"/>
      <c r="K561" s="200"/>
      <c r="L561" s="200"/>
      <c r="M561" s="37"/>
      <c r="N561" s="37"/>
      <c r="O561" s="45"/>
      <c r="P561" s="54"/>
      <c r="Q561" s="260"/>
      <c r="R561" s="261"/>
      <c r="S561" s="261"/>
      <c r="T561" s="38"/>
      <c r="U561" s="261"/>
      <c r="V561" s="256"/>
      <c r="W561" s="256"/>
      <c r="X561" s="256"/>
      <c r="Y561" s="256"/>
      <c r="Z561" s="54"/>
      <c r="AA561" s="200"/>
      <c r="AB561" s="31"/>
      <c r="AC561" s="184"/>
      <c r="AD561" s="51"/>
      <c r="AE561" s="52"/>
      <c r="AF561" s="41"/>
      <c r="AG561" s="45"/>
      <c r="AH561" s="28"/>
      <c r="AI561" s="28"/>
      <c r="AJ561" s="28"/>
      <c r="AK561" s="28"/>
      <c r="AL561" s="12"/>
      <c r="AM561" s="12"/>
      <c r="AN561" s="12"/>
      <c r="AO561" s="12"/>
      <c r="AP561" s="12"/>
      <c r="AQ561" s="13"/>
      <c r="AR561" s="14"/>
    </row>
    <row r="562" spans="1:44" s="16" customFormat="1" ht="30.95" hidden="1" customHeight="1" x14ac:dyDescent="0.2">
      <c r="A562" s="35"/>
      <c r="B562" s="36"/>
      <c r="C562" s="43"/>
      <c r="D562" s="29">
        <v>3716256</v>
      </c>
      <c r="E562" s="29">
        <v>4151422</v>
      </c>
      <c r="F562" s="255" t="str">
        <f>IF(D562="","",VLOOKUP(D562,契約台帳!$A$3:$K$4986,6,FALSE)&amp;VLOOKUP(D562,契約台帳!$A$3:$K$4986,7,FALSE)&amp;VLOOKUP(D562,契約台帳!$A$3:$K$4986,8,FALSE)&amp;VLOOKUP(D562,契約台帳!$A$3:$K$4986,9,FALSE)&amp;VLOOKUP(D562,契約台帳!$A$3:$K$4986,11,FALSE))</f>
        <v>3SNMLBMNGTBF</v>
      </c>
      <c r="G562" s="256" t="str">
        <f>IF(D562="","",VLOOKUP(F562,製品マスタ!$G$5:$H$4999,2,FALSE))</f>
        <v>S</v>
      </c>
      <c r="H562" s="256" t="str">
        <f>IF(D562="","",VLOOKUP(F562,製品マスタ!$G$5:$K$4999,5,FALSE))</f>
        <v>MNGTBF</v>
      </c>
      <c r="I562" s="200" t="str">
        <f>IF(D562="","",VLOOKUP(F562,製品マスタ!$G$5:$L$4999,6,FALSE))</f>
        <v>メタルミー　ネーマー　銀艶　Ｂ</v>
      </c>
      <c r="J562" s="30" t="s">
        <v>447</v>
      </c>
      <c r="K562" s="200">
        <f>IF(D562="","",VLOOKUP(D562,契約台帳!$A$3:$L$4986,12,FALSE))</f>
        <v>25</v>
      </c>
      <c r="L562" s="200" t="str">
        <f>IF(D562="","",INDEX(製品マスタ!$Q$5:$Q$4999,MATCH(F562&amp;K562,製品マスタ!$AO$5:$AO$4999,0)))</f>
        <v>T62M</v>
      </c>
      <c r="M562" s="37">
        <v>1125</v>
      </c>
      <c r="N562" s="37">
        <v>12100</v>
      </c>
      <c r="O562" s="45">
        <v>1</v>
      </c>
      <c r="P562" s="54"/>
      <c r="Q562" s="260">
        <f>IF(D562="","",IF(J562="リード付け",M562,VLOOKUP(D562,契約台帳!$A$3:$N$4986,14,FALSE)))</f>
        <v>1125</v>
      </c>
      <c r="R562" s="261">
        <f>IF(D562="","",IF(J562="リード付け",M562,VLOOKUP(D562,契約台帳!$A$3:$O$4986,15,FALSE)))</f>
        <v>1120</v>
      </c>
      <c r="S562" s="261">
        <f>IF(D562="","",IF(J562="リード付け",N562,VLOOKUP(D562,契約台帳!$A$3:$P$4986,16,FALSE)))</f>
        <v>4000</v>
      </c>
      <c r="T562" s="38">
        <v>1</v>
      </c>
      <c r="U562" s="261">
        <f ca="1">IF(D562="","",IF(OFFSET(D562,-2,0)=D562,"",VLOOKUP(D562,契約台帳!$A$3:$R$4986,18,FALSE)))</f>
        <v>3</v>
      </c>
      <c r="V562" s="256" t="str">
        <f>IF(J562="巻返し",VLOOKUP(F562&amp;K562&amp;M562,製品マスタ!$M$5:$AD$4999,18,FALSE),IF(J562="リード付け","原反コア",IF(J562="スリット",VLOOKUP(F562&amp;K562&amp;Q562,製品マスタ!$N$5:$AD$4999,17,FALSE),"")))</f>
        <v>6ｲﾝﾁSｺｱ</v>
      </c>
      <c r="W562" s="256">
        <f>IF(J562="巻返し",VLOOKUP(F562&amp;K562&amp;M562,製品マスタ!$M$5:$AE$4999,19,FALSE),IF(J562="リード付け","-",IF(J562="スリット",VLOOKUP(F562&amp;K562&amp;Q562,製品マスタ!$N$5:$AE$4999,18,FALSE),"")))</f>
        <v>1130</v>
      </c>
      <c r="X562" s="256">
        <f>IF(D562="","",VLOOKUP(D562,契約台帳!$A$3:$Q$4986,17,FALSE))</f>
        <v>2</v>
      </c>
      <c r="Y562" s="256" t="str">
        <f>IF(D562="","",VLOOKUP(D562,契約台帳!$A$3:$E$4986,5,FALSE))</f>
        <v>リンテック㈱</v>
      </c>
      <c r="Z562" s="54">
        <v>45121</v>
      </c>
      <c r="AA562" s="200">
        <f>IFERROR(VLOOKUP(F562&amp;K562&amp;M562,製品マスタ!$M$5:$AM$4999,27,FALSE),"")</f>
        <v>0</v>
      </c>
      <c r="AB562" s="31"/>
      <c r="AC562" s="184"/>
      <c r="AD562" s="51" t="str">
        <f>IF(F562="","",+F562&amp;K562)</f>
        <v>3SNMLBMNGTBF25</v>
      </c>
      <c r="AE562" s="52">
        <f>+M562*N562*O562/1000</f>
        <v>13612.5</v>
      </c>
      <c r="AF562" s="41">
        <f>IF(AD562="","",VLOOKUP(AD562,原価マスタ!$A$2:$AJ$1693,13,FALSE))</f>
        <v>97.5</v>
      </c>
      <c r="AG562" s="45">
        <f>IF(AF562="","",+AE562*AF562/100)</f>
        <v>13272.1875</v>
      </c>
      <c r="AH562" s="28"/>
      <c r="AI562" s="28"/>
      <c r="AJ562" s="28"/>
      <c r="AK562" s="28"/>
      <c r="AL562" s="12"/>
      <c r="AM562" s="12"/>
      <c r="AN562" s="12"/>
      <c r="AO562" s="12"/>
      <c r="AP562" s="12"/>
      <c r="AQ562" s="13"/>
      <c r="AR562" s="14"/>
    </row>
    <row r="563" spans="1:44" s="16" customFormat="1" ht="30.95" hidden="1" customHeight="1" x14ac:dyDescent="0.2">
      <c r="A563" s="35"/>
      <c r="B563" s="36"/>
      <c r="C563" s="43"/>
      <c r="D563" s="29"/>
      <c r="E563" s="29"/>
      <c r="F563" s="255"/>
      <c r="G563" s="256"/>
      <c r="H563" s="256"/>
      <c r="I563" s="200"/>
      <c r="J563" s="30"/>
      <c r="K563" s="200"/>
      <c r="L563" s="200"/>
      <c r="M563" s="37"/>
      <c r="N563" s="37"/>
      <c r="O563" s="45"/>
      <c r="P563" s="54"/>
      <c r="Q563" s="260"/>
      <c r="R563" s="261"/>
      <c r="S563" s="261"/>
      <c r="T563" s="38"/>
      <c r="U563" s="261"/>
      <c r="V563" s="256"/>
      <c r="W563" s="256"/>
      <c r="X563" s="256"/>
      <c r="Y563" s="256"/>
      <c r="Z563" s="54"/>
      <c r="AA563" s="200"/>
      <c r="AB563" s="31"/>
      <c r="AC563" s="184"/>
      <c r="AD563" s="51"/>
      <c r="AE563" s="52"/>
      <c r="AF563" s="41"/>
      <c r="AG563" s="45"/>
      <c r="AH563" s="28"/>
      <c r="AI563" s="28"/>
      <c r="AJ563" s="28"/>
      <c r="AK563" s="28"/>
      <c r="AL563" s="12"/>
      <c r="AM563" s="12"/>
      <c r="AN563" s="12"/>
      <c r="AO563" s="12"/>
      <c r="AP563" s="12"/>
      <c r="AQ563" s="13"/>
      <c r="AR563" s="14"/>
    </row>
    <row r="564" spans="1:44" s="16" customFormat="1" ht="30.95" hidden="1" customHeight="1" x14ac:dyDescent="0.2">
      <c r="A564" s="35" t="s">
        <v>511</v>
      </c>
      <c r="B564" s="36" t="s">
        <v>443</v>
      </c>
      <c r="C564" s="43"/>
      <c r="D564" s="29"/>
      <c r="E564" s="29"/>
      <c r="F564" s="255"/>
      <c r="G564" s="256"/>
      <c r="H564" s="256"/>
      <c r="I564" s="301" t="s">
        <v>1325</v>
      </c>
      <c r="J564" s="30"/>
      <c r="K564" s="200"/>
      <c r="L564" s="200"/>
      <c r="M564" s="37"/>
      <c r="N564" s="37"/>
      <c r="O564" s="45"/>
      <c r="P564" s="54"/>
      <c r="Q564" s="260"/>
      <c r="R564" s="261"/>
      <c r="S564" s="261"/>
      <c r="T564" s="38"/>
      <c r="U564" s="261"/>
      <c r="V564" s="256"/>
      <c r="W564" s="256"/>
      <c r="X564" s="256"/>
      <c r="Y564" s="256"/>
      <c r="Z564" s="54"/>
      <c r="AA564" s="200"/>
      <c r="AB564" s="31"/>
      <c r="AC564" s="184"/>
      <c r="AD564" s="51"/>
      <c r="AE564" s="52"/>
      <c r="AF564" s="41"/>
      <c r="AG564" s="45"/>
      <c r="AH564" s="28"/>
      <c r="AI564" s="28"/>
      <c r="AJ564" s="28"/>
      <c r="AK564" s="28"/>
      <c r="AL564" s="12"/>
      <c r="AM564" s="12"/>
      <c r="AN564" s="12"/>
      <c r="AO564" s="12"/>
      <c r="AP564" s="12"/>
      <c r="AQ564" s="13"/>
      <c r="AR564" s="14"/>
    </row>
    <row r="565" spans="1:44" s="16" customFormat="1" ht="30.95" hidden="1" customHeight="1" x14ac:dyDescent="0.2">
      <c r="A565" s="35"/>
      <c r="B565" s="36"/>
      <c r="C565" s="43"/>
      <c r="D565" s="29"/>
      <c r="E565" s="29"/>
      <c r="F565" s="255"/>
      <c r="G565" s="256"/>
      <c r="H565" s="256"/>
      <c r="I565" s="200"/>
      <c r="J565" s="30"/>
      <c r="K565" s="200"/>
      <c r="L565" s="200"/>
      <c r="M565" s="37"/>
      <c r="N565" s="37"/>
      <c r="O565" s="45"/>
      <c r="P565" s="54"/>
      <c r="Q565" s="260"/>
      <c r="R565" s="261"/>
      <c r="S565" s="261"/>
      <c r="T565" s="38"/>
      <c r="U565" s="261"/>
      <c r="V565" s="256"/>
      <c r="W565" s="256"/>
      <c r="X565" s="256"/>
      <c r="Y565" s="256"/>
      <c r="Z565" s="54"/>
      <c r="AA565" s="200"/>
      <c r="AB565" s="31"/>
      <c r="AC565" s="184"/>
      <c r="AD565" s="51"/>
      <c r="AE565" s="52"/>
      <c r="AF565" s="41"/>
      <c r="AG565" s="45"/>
      <c r="AH565" s="28"/>
      <c r="AI565" s="28"/>
      <c r="AJ565" s="28"/>
      <c r="AK565" s="28"/>
      <c r="AL565" s="12"/>
      <c r="AM565" s="12"/>
      <c r="AN565" s="12"/>
      <c r="AO565" s="12"/>
      <c r="AP565" s="12"/>
      <c r="AQ565" s="13"/>
      <c r="AR565" s="14"/>
    </row>
    <row r="566" spans="1:44" s="16" customFormat="1" ht="30.95" hidden="1" customHeight="1" x14ac:dyDescent="0.2">
      <c r="A566" s="35" t="s">
        <v>1326</v>
      </c>
      <c r="B566" s="36" t="s">
        <v>1327</v>
      </c>
      <c r="C566" s="43"/>
      <c r="D566" s="29">
        <v>3716260</v>
      </c>
      <c r="E566" s="29"/>
      <c r="F566" s="255"/>
      <c r="G566" s="256"/>
      <c r="H566" s="256" t="s">
        <v>216</v>
      </c>
      <c r="I566" s="200" t="s">
        <v>1328</v>
      </c>
      <c r="J566" s="30" t="s">
        <v>1322</v>
      </c>
      <c r="K566" s="200">
        <v>50</v>
      </c>
      <c r="L566" s="200" t="s">
        <v>216</v>
      </c>
      <c r="M566" s="37">
        <v>1120</v>
      </c>
      <c r="N566" s="37">
        <v>5000</v>
      </c>
      <c r="O566" s="45">
        <v>2</v>
      </c>
      <c r="P566" s="54"/>
      <c r="Q566" s="260">
        <v>1120</v>
      </c>
      <c r="R566" s="261">
        <v>1120</v>
      </c>
      <c r="S566" s="261">
        <v>5000</v>
      </c>
      <c r="T566" s="38">
        <v>2</v>
      </c>
      <c r="U566" s="261"/>
      <c r="V566" s="256" t="s">
        <v>806</v>
      </c>
      <c r="W566" s="256">
        <v>1125</v>
      </c>
      <c r="X566" s="256">
        <v>2</v>
      </c>
      <c r="Y566" s="256" t="s">
        <v>116</v>
      </c>
      <c r="Z566" s="54"/>
      <c r="AA566" s="200"/>
      <c r="AB566" s="31"/>
      <c r="AC566" s="184"/>
      <c r="AD566" s="51"/>
      <c r="AE566" s="52"/>
      <c r="AF566" s="41"/>
      <c r="AG566" s="45"/>
      <c r="AH566" s="28"/>
      <c r="AI566" s="28"/>
      <c r="AJ566" s="28"/>
      <c r="AK566" s="28"/>
      <c r="AL566" s="12"/>
      <c r="AM566" s="12"/>
      <c r="AN566" s="12"/>
      <c r="AO566" s="12"/>
      <c r="AP566" s="12"/>
      <c r="AQ566" s="13"/>
      <c r="AR566" s="14"/>
    </row>
    <row r="567" spans="1:44" s="16" customFormat="1" ht="30.95" hidden="1" customHeight="1" x14ac:dyDescent="0.2">
      <c r="A567" s="35"/>
      <c r="B567" s="36"/>
      <c r="C567" s="43"/>
      <c r="D567" s="29"/>
      <c r="E567" s="29"/>
      <c r="F567" s="255"/>
      <c r="G567" s="256"/>
      <c r="H567" s="256"/>
      <c r="I567" s="200"/>
      <c r="J567" s="30"/>
      <c r="K567" s="200"/>
      <c r="L567" s="200"/>
      <c r="M567" s="37"/>
      <c r="N567" s="37"/>
      <c r="O567" s="45"/>
      <c r="P567" s="54"/>
      <c r="Q567" s="260"/>
      <c r="R567" s="261"/>
      <c r="S567" s="261"/>
      <c r="T567" s="38"/>
      <c r="U567" s="261"/>
      <c r="V567" s="256"/>
      <c r="W567" s="256"/>
      <c r="X567" s="256"/>
      <c r="Y567" s="256"/>
      <c r="Z567" s="54"/>
      <c r="AA567" s="200"/>
      <c r="AB567" s="31"/>
      <c r="AC567" s="184"/>
      <c r="AD567" s="51"/>
      <c r="AE567" s="52"/>
      <c r="AF567" s="41"/>
      <c r="AG567" s="45"/>
      <c r="AH567" s="28"/>
      <c r="AI567" s="28"/>
      <c r="AJ567" s="28"/>
      <c r="AK567" s="28"/>
      <c r="AL567" s="12"/>
      <c r="AM567" s="12"/>
      <c r="AN567" s="12"/>
      <c r="AO567" s="12"/>
      <c r="AP567" s="12"/>
      <c r="AQ567" s="13"/>
      <c r="AR567" s="14"/>
    </row>
    <row r="568" spans="1:44" s="16" customFormat="1" ht="30.95" hidden="1" customHeight="1" x14ac:dyDescent="0.2">
      <c r="A568" s="35"/>
      <c r="B568" s="36"/>
      <c r="C568" s="43"/>
      <c r="D568" s="29">
        <v>3716256</v>
      </c>
      <c r="E568" s="29"/>
      <c r="F568" s="255"/>
      <c r="G568" s="256"/>
      <c r="H568" s="256" t="s">
        <v>216</v>
      </c>
      <c r="I568" s="200" t="s">
        <v>1328</v>
      </c>
      <c r="J568" s="30" t="s">
        <v>1322</v>
      </c>
      <c r="K568" s="200">
        <v>25</v>
      </c>
      <c r="L568" s="200" t="s">
        <v>216</v>
      </c>
      <c r="M568" s="37">
        <v>1120</v>
      </c>
      <c r="N568" s="37">
        <v>4000</v>
      </c>
      <c r="O568" s="45">
        <v>1</v>
      </c>
      <c r="P568" s="54"/>
      <c r="Q568" s="260">
        <v>1125</v>
      </c>
      <c r="R568" s="261">
        <v>1120</v>
      </c>
      <c r="S568" s="261">
        <v>4000</v>
      </c>
      <c r="T568" s="38">
        <v>1</v>
      </c>
      <c r="U568" s="261"/>
      <c r="V568" s="256" t="s">
        <v>806</v>
      </c>
      <c r="W568" s="256">
        <v>1130</v>
      </c>
      <c r="X568" s="256">
        <v>2</v>
      </c>
      <c r="Y568" s="256" t="s">
        <v>116</v>
      </c>
      <c r="Z568" s="54"/>
      <c r="AA568" s="200"/>
      <c r="AB568" s="31"/>
      <c r="AC568" s="184"/>
      <c r="AD568" s="51"/>
      <c r="AE568" s="52"/>
      <c r="AF568" s="41"/>
      <c r="AG568" s="45"/>
      <c r="AH568" s="28"/>
      <c r="AI568" s="28"/>
      <c r="AJ568" s="28"/>
      <c r="AK568" s="28"/>
      <c r="AL568" s="12"/>
      <c r="AM568" s="12"/>
      <c r="AN568" s="12"/>
      <c r="AO568" s="12"/>
      <c r="AP568" s="12"/>
      <c r="AQ568" s="13"/>
      <c r="AR568" s="14"/>
    </row>
    <row r="569" spans="1:44" s="16" customFormat="1" ht="30.95" hidden="1" customHeight="1" x14ac:dyDescent="0.2">
      <c r="A569" s="35"/>
      <c r="B569" s="36"/>
      <c r="C569" s="43"/>
      <c r="D569" s="29"/>
      <c r="E569" s="29"/>
      <c r="F569" s="255"/>
      <c r="G569" s="256"/>
      <c r="H569" s="256"/>
      <c r="I569" s="200"/>
      <c r="J569" s="30"/>
      <c r="K569" s="200"/>
      <c r="L569" s="200"/>
      <c r="M569" s="37"/>
      <c r="N569" s="37"/>
      <c r="O569" s="45"/>
      <c r="P569" s="54"/>
      <c r="Q569" s="260"/>
      <c r="R569" s="261"/>
      <c r="S569" s="261"/>
      <c r="T569" s="38"/>
      <c r="U569" s="261"/>
      <c r="V569" s="256"/>
      <c r="W569" s="256"/>
      <c r="X569" s="256"/>
      <c r="Y569" s="256"/>
      <c r="Z569" s="54"/>
      <c r="AA569" s="200"/>
      <c r="AB569" s="31"/>
      <c r="AC569" s="184"/>
      <c r="AD569" s="51"/>
      <c r="AE569" s="52"/>
      <c r="AF569" s="41"/>
      <c r="AG569" s="45"/>
      <c r="AH569" s="28"/>
      <c r="AI569" s="28"/>
      <c r="AJ569" s="28"/>
      <c r="AK569" s="28"/>
      <c r="AL569" s="12"/>
      <c r="AM569" s="12"/>
      <c r="AN569" s="12"/>
      <c r="AO569" s="12"/>
      <c r="AP569" s="12"/>
      <c r="AQ569" s="13"/>
      <c r="AR569" s="14"/>
    </row>
    <row r="570" spans="1:44" s="16" customFormat="1" ht="30.95" hidden="1" customHeight="1" x14ac:dyDescent="0.2">
      <c r="A570" s="35" t="s">
        <v>494</v>
      </c>
      <c r="B570" s="36" t="s">
        <v>445</v>
      </c>
      <c r="C570" s="43"/>
      <c r="D570" s="29"/>
      <c r="E570" s="29"/>
      <c r="F570" s="255"/>
      <c r="G570" s="256"/>
      <c r="H570" s="256"/>
      <c r="I570" s="200"/>
      <c r="J570" s="30" t="s">
        <v>448</v>
      </c>
      <c r="K570" s="200"/>
      <c r="L570" s="200"/>
      <c r="M570" s="37"/>
      <c r="N570" s="37"/>
      <c r="O570" s="45"/>
      <c r="P570" s="54"/>
      <c r="Q570" s="260"/>
      <c r="R570" s="261"/>
      <c r="S570" s="261"/>
      <c r="T570" s="38"/>
      <c r="U570" s="261"/>
      <c r="V570" s="256"/>
      <c r="W570" s="256"/>
      <c r="X570" s="256"/>
      <c r="Y570" s="256"/>
      <c r="Z570" s="54"/>
      <c r="AA570" s="200"/>
      <c r="AB570" s="31"/>
      <c r="AC570" s="184"/>
      <c r="AD570" s="51"/>
      <c r="AE570" s="52"/>
      <c r="AF570" s="41"/>
      <c r="AG570" s="45"/>
      <c r="AH570" s="28"/>
      <c r="AI570" s="28"/>
      <c r="AJ570" s="28"/>
      <c r="AK570" s="28"/>
      <c r="AL570" s="12"/>
      <c r="AM570" s="12"/>
      <c r="AN570" s="12"/>
      <c r="AO570" s="12"/>
      <c r="AP570" s="12"/>
      <c r="AQ570" s="13"/>
      <c r="AR570" s="14"/>
    </row>
    <row r="571" spans="1:44" s="16" customFormat="1" ht="30.95" hidden="1" customHeight="1" x14ac:dyDescent="0.2">
      <c r="A571" s="35"/>
      <c r="B571" s="36"/>
      <c r="C571" s="43"/>
      <c r="D571" s="29"/>
      <c r="E571" s="29"/>
      <c r="F571" s="255"/>
      <c r="G571" s="256"/>
      <c r="H571" s="256"/>
      <c r="I571" s="200"/>
      <c r="J571" s="30"/>
      <c r="K571" s="200"/>
      <c r="L571" s="200"/>
      <c r="M571" s="37"/>
      <c r="N571" s="37"/>
      <c r="O571" s="45"/>
      <c r="P571" s="54"/>
      <c r="Q571" s="260"/>
      <c r="R571" s="261"/>
      <c r="S571" s="261"/>
      <c r="T571" s="38"/>
      <c r="U571" s="261"/>
      <c r="V571" s="256"/>
      <c r="W571" s="256"/>
      <c r="X571" s="256"/>
      <c r="Y571" s="256"/>
      <c r="Z571" s="54"/>
      <c r="AA571" s="200"/>
      <c r="AB571" s="31"/>
      <c r="AC571" s="184"/>
      <c r="AD571" s="51"/>
      <c r="AE571" s="52"/>
      <c r="AF571" s="41"/>
      <c r="AG571" s="45"/>
      <c r="AH571" s="28"/>
      <c r="AI571" s="28"/>
      <c r="AJ571" s="28"/>
      <c r="AK571" s="28"/>
      <c r="AL571" s="12"/>
      <c r="AM571" s="12"/>
      <c r="AN571" s="12"/>
      <c r="AO571" s="12"/>
      <c r="AP571" s="12"/>
      <c r="AQ571" s="13"/>
      <c r="AR571" s="14"/>
    </row>
    <row r="572" spans="1:44" s="16" customFormat="1" ht="30.95" hidden="1" customHeight="1" x14ac:dyDescent="0.2">
      <c r="A572" s="35" t="s">
        <v>495</v>
      </c>
      <c r="B572" s="36" t="s">
        <v>446</v>
      </c>
      <c r="C572" s="43"/>
      <c r="D572" s="29"/>
      <c r="E572" s="29"/>
      <c r="F572" s="255"/>
      <c r="G572" s="256"/>
      <c r="H572" s="256"/>
      <c r="I572" s="200"/>
      <c r="J572" s="30" t="s">
        <v>448</v>
      </c>
      <c r="K572" s="200"/>
      <c r="L572" s="200"/>
      <c r="M572" s="37"/>
      <c r="N572" s="37"/>
      <c r="O572" s="45"/>
      <c r="P572" s="54"/>
      <c r="Q572" s="260"/>
      <c r="R572" s="261"/>
      <c r="S572" s="261"/>
      <c r="T572" s="38"/>
      <c r="U572" s="261"/>
      <c r="V572" s="256"/>
      <c r="W572" s="256"/>
      <c r="X572" s="256"/>
      <c r="Y572" s="256"/>
      <c r="Z572" s="54"/>
      <c r="AA572" s="200"/>
      <c r="AB572" s="31"/>
      <c r="AC572" s="184"/>
      <c r="AD572" s="51"/>
      <c r="AE572" s="52"/>
      <c r="AF572" s="41"/>
      <c r="AG572" s="45"/>
      <c r="AH572" s="28"/>
      <c r="AI572" s="28"/>
      <c r="AJ572" s="28"/>
      <c r="AK572" s="28"/>
      <c r="AL572" s="12"/>
      <c r="AM572" s="12"/>
      <c r="AN572" s="12"/>
      <c r="AO572" s="12"/>
      <c r="AP572" s="12"/>
      <c r="AQ572" s="13"/>
      <c r="AR572" s="14"/>
    </row>
    <row r="573" spans="1:44" s="16" customFormat="1" ht="30.95" hidden="1" customHeight="1" x14ac:dyDescent="0.2">
      <c r="A573" s="35"/>
      <c r="B573" s="36"/>
      <c r="C573" s="43"/>
      <c r="D573" s="29"/>
      <c r="E573" s="29"/>
      <c r="F573" s="255"/>
      <c r="G573" s="256"/>
      <c r="H573" s="256"/>
      <c r="I573" s="200"/>
      <c r="J573" s="30"/>
      <c r="K573" s="200"/>
      <c r="L573" s="200"/>
      <c r="M573" s="37"/>
      <c r="N573" s="37"/>
      <c r="O573" s="45"/>
      <c r="P573" s="54"/>
      <c r="Q573" s="260"/>
      <c r="R573" s="261"/>
      <c r="S573" s="261"/>
      <c r="T573" s="38"/>
      <c r="U573" s="261"/>
      <c r="V573" s="256"/>
      <c r="W573" s="256"/>
      <c r="X573" s="256"/>
      <c r="Y573" s="256"/>
      <c r="Z573" s="54"/>
      <c r="AA573" s="200"/>
      <c r="AB573" s="31"/>
      <c r="AC573" s="184"/>
      <c r="AD573" s="51"/>
      <c r="AE573" s="52"/>
      <c r="AF573" s="41"/>
      <c r="AG573" s="45"/>
      <c r="AH573" s="28"/>
      <c r="AI573" s="28"/>
      <c r="AJ573" s="28"/>
      <c r="AK573" s="28"/>
      <c r="AL573" s="12"/>
      <c r="AM573" s="12"/>
      <c r="AN573" s="12"/>
      <c r="AO573" s="12"/>
      <c r="AP573" s="12"/>
      <c r="AQ573" s="13"/>
      <c r="AR573" s="14"/>
    </row>
    <row r="574" spans="1:44" s="16" customFormat="1" ht="30.95" hidden="1" customHeight="1" x14ac:dyDescent="0.2">
      <c r="A574" s="35" t="s">
        <v>496</v>
      </c>
      <c r="B574" s="36" t="s">
        <v>462</v>
      </c>
      <c r="C574" s="43"/>
      <c r="D574" s="29"/>
      <c r="E574" s="29"/>
      <c r="F574" s="255"/>
      <c r="G574" s="256"/>
      <c r="H574" s="256"/>
      <c r="I574" s="200"/>
      <c r="J574" s="30" t="s">
        <v>448</v>
      </c>
      <c r="K574" s="200"/>
      <c r="L574" s="200"/>
      <c r="M574" s="37"/>
      <c r="N574" s="37"/>
      <c r="O574" s="45"/>
      <c r="P574" s="54"/>
      <c r="Q574" s="260"/>
      <c r="R574" s="261"/>
      <c r="S574" s="261"/>
      <c r="T574" s="38"/>
      <c r="U574" s="261"/>
      <c r="V574" s="256"/>
      <c r="W574" s="256"/>
      <c r="X574" s="256"/>
      <c r="Y574" s="256"/>
      <c r="Z574" s="54"/>
      <c r="AA574" s="200"/>
      <c r="AB574" s="31"/>
      <c r="AC574" s="184"/>
      <c r="AD574" s="51"/>
      <c r="AE574" s="52"/>
      <c r="AF574" s="41"/>
      <c r="AG574" s="45"/>
      <c r="AH574" s="28"/>
      <c r="AI574" s="28"/>
      <c r="AJ574" s="28"/>
      <c r="AK574" s="28"/>
      <c r="AL574" s="12"/>
      <c r="AM574" s="12"/>
      <c r="AN574" s="12"/>
      <c r="AO574" s="12"/>
      <c r="AP574" s="12"/>
      <c r="AQ574" s="13"/>
      <c r="AR574" s="14"/>
    </row>
    <row r="575" spans="1:44" s="16" customFormat="1" ht="30.95" hidden="1" customHeight="1" x14ac:dyDescent="0.2">
      <c r="A575" s="35"/>
      <c r="B575" s="36"/>
      <c r="C575" s="43"/>
      <c r="D575" s="29"/>
      <c r="E575" s="29"/>
      <c r="F575" s="255"/>
      <c r="G575" s="256"/>
      <c r="H575" s="256"/>
      <c r="I575" s="200"/>
      <c r="J575" s="30"/>
      <c r="K575" s="200"/>
      <c r="L575" s="200"/>
      <c r="M575" s="37"/>
      <c r="N575" s="37"/>
      <c r="O575" s="45"/>
      <c r="P575" s="54"/>
      <c r="Q575" s="260"/>
      <c r="R575" s="261"/>
      <c r="S575" s="261"/>
      <c r="T575" s="38"/>
      <c r="U575" s="261"/>
      <c r="V575" s="256"/>
      <c r="W575" s="256"/>
      <c r="X575" s="256"/>
      <c r="Y575" s="256"/>
      <c r="Z575" s="54"/>
      <c r="AA575" s="200"/>
      <c r="AB575" s="31"/>
      <c r="AC575" s="184"/>
      <c r="AD575" s="51"/>
      <c r="AE575" s="52"/>
      <c r="AF575" s="41"/>
      <c r="AG575" s="45"/>
      <c r="AH575" s="28"/>
      <c r="AI575" s="28"/>
      <c r="AJ575" s="28"/>
      <c r="AK575" s="28"/>
      <c r="AL575" s="12"/>
      <c r="AM575" s="12"/>
      <c r="AN575" s="12"/>
      <c r="AO575" s="12"/>
      <c r="AP575" s="12"/>
      <c r="AQ575" s="13"/>
      <c r="AR575" s="14"/>
    </row>
    <row r="576" spans="1:44" s="16" customFormat="1" ht="30.95" hidden="1" customHeight="1" x14ac:dyDescent="0.2">
      <c r="A576" s="35" t="s">
        <v>1329</v>
      </c>
      <c r="B576" s="36" t="s">
        <v>1330</v>
      </c>
      <c r="C576" s="43"/>
      <c r="D576" s="29">
        <v>3716256</v>
      </c>
      <c r="E576" s="29">
        <v>4151422</v>
      </c>
      <c r="F576" s="255" t="str">
        <f>IF(D576="","",VLOOKUP(D576,契約台帳!$A$3:$K$4986,6,FALSE)&amp;VLOOKUP(D576,契約台帳!$A$3:$K$4986,7,FALSE)&amp;VLOOKUP(D576,契約台帳!$A$3:$K$4986,8,FALSE)&amp;VLOOKUP(D576,契約台帳!$A$3:$K$4986,9,FALSE)&amp;VLOOKUP(D576,契約台帳!$A$3:$K$4986,11,FALSE))</f>
        <v>3SNMLBMNGTBF</v>
      </c>
      <c r="G576" s="256" t="str">
        <f>IF(D576="","",VLOOKUP(F576,製品マスタ!$G$5:$H$4999,2,FALSE))</f>
        <v>S</v>
      </c>
      <c r="H576" s="256" t="str">
        <f>IF(D576="","",VLOOKUP(F576,製品マスタ!$G$5:$K$4999,5,FALSE))</f>
        <v>MNGTBF</v>
      </c>
      <c r="I576" s="200" t="str">
        <f>IF(D576="","",VLOOKUP(F576,製品マスタ!$G$5:$L$4999,6,FALSE))</f>
        <v>メタルミー　ネーマー　銀艶　Ｂ</v>
      </c>
      <c r="J576" s="30" t="s">
        <v>447</v>
      </c>
      <c r="K576" s="200">
        <f>IF(D576="","",VLOOKUP(D576,契約台帳!$A$3:$L$4986,12,FALSE))</f>
        <v>25</v>
      </c>
      <c r="L576" s="200" t="str">
        <f>IF(D576="","",INDEX(製品マスタ!$Q$5:$Q$4999,MATCH(F576&amp;K576,製品マスタ!$AO$5:$AO$4999,0)))</f>
        <v>T62M</v>
      </c>
      <c r="M576" s="37">
        <v>1125</v>
      </c>
      <c r="N576" s="37">
        <v>12100</v>
      </c>
      <c r="O576" s="45">
        <v>1</v>
      </c>
      <c r="P576" s="54"/>
      <c r="Q576" s="260">
        <f>IF(D576="","",IF(J576="リード付け",M576,VLOOKUP(D576,契約台帳!$A$3:$N$4986,14,FALSE)))</f>
        <v>1125</v>
      </c>
      <c r="R576" s="261">
        <f>IF(D576="","",IF(J576="リード付け",M576,VLOOKUP(D576,契約台帳!$A$3:$O$4986,15,FALSE)))</f>
        <v>1120</v>
      </c>
      <c r="S576" s="261">
        <f>IF(D576="","",IF(J576="リード付け",N576,VLOOKUP(D576,契約台帳!$A$3:$P$4986,16,FALSE)))</f>
        <v>4000</v>
      </c>
      <c r="T576" s="38">
        <v>2</v>
      </c>
      <c r="U576" s="261">
        <f ca="1">IF(D576="","",IF(OFFSET(D576,-2,0)=D576,"",VLOOKUP(D576,契約台帳!$A$3:$R$4986,18,FALSE)))</f>
        <v>3</v>
      </c>
      <c r="V576" s="256" t="str">
        <f>IF(J576="巻返し",VLOOKUP(F576&amp;K576&amp;M576,製品マスタ!$M$5:$AD$4999,18,FALSE),IF(J576="リード付け","原反コア",IF(J576="スリット",VLOOKUP(F576&amp;K576&amp;Q576,製品マスタ!$N$5:$AD$4999,17,FALSE),"")))</f>
        <v>6ｲﾝﾁSｺｱ</v>
      </c>
      <c r="W576" s="256">
        <f>IF(J576="巻返し",VLOOKUP(F576&amp;K576&amp;M576,製品マスタ!$M$5:$AE$4999,19,FALSE),IF(J576="リード付け","-",IF(J576="スリット",VLOOKUP(F576&amp;K576&amp;Q576,製品マスタ!$N$5:$AE$4999,18,FALSE),"")))</f>
        <v>1130</v>
      </c>
      <c r="X576" s="256">
        <f>IF(D576="","",VLOOKUP(D576,契約台帳!$A$3:$Q$4986,17,FALSE))</f>
        <v>2</v>
      </c>
      <c r="Y576" s="256" t="str">
        <f>IF(D576="","",VLOOKUP(D576,契約台帳!$A$3:$E$4986,5,FALSE))</f>
        <v>リンテック㈱</v>
      </c>
      <c r="Z576" s="54">
        <v>45127</v>
      </c>
      <c r="AA576" s="200">
        <f>IFERROR(VLOOKUP(F576&amp;K576&amp;M576,製品マスタ!$M$5:$AM$4999,27,FALSE),"")</f>
        <v>0</v>
      </c>
      <c r="AB576" s="31"/>
      <c r="AC576" s="184"/>
      <c r="AD576" s="51"/>
      <c r="AE576" s="52"/>
      <c r="AF576" s="41"/>
      <c r="AG576" s="45"/>
      <c r="AH576" s="28"/>
      <c r="AI576" s="28"/>
      <c r="AJ576" s="28"/>
      <c r="AK576" s="28"/>
      <c r="AL576" s="12"/>
      <c r="AM576" s="12"/>
      <c r="AN576" s="12"/>
      <c r="AO576" s="12"/>
      <c r="AP576" s="12"/>
      <c r="AQ576" s="13"/>
      <c r="AR576" s="14"/>
    </row>
    <row r="577" spans="1:44" s="16" customFormat="1" ht="30.95" hidden="1" customHeight="1" x14ac:dyDescent="0.2">
      <c r="A577" s="35"/>
      <c r="B577" s="36"/>
      <c r="C577" s="43"/>
      <c r="D577" s="29"/>
      <c r="E577" s="29"/>
      <c r="F577" s="255"/>
      <c r="G577" s="256"/>
      <c r="H577" s="256"/>
      <c r="I577" s="200"/>
      <c r="J577" s="30"/>
      <c r="K577" s="200"/>
      <c r="L577" s="200"/>
      <c r="M577" s="37"/>
      <c r="N577" s="37"/>
      <c r="O577" s="45"/>
      <c r="P577" s="54"/>
      <c r="Q577" s="260"/>
      <c r="R577" s="261"/>
      <c r="S577" s="261"/>
      <c r="T577" s="38"/>
      <c r="U577" s="261"/>
      <c r="V577" s="256"/>
      <c r="W577" s="256"/>
      <c r="X577" s="256"/>
      <c r="Y577" s="256"/>
      <c r="Z577" s="54"/>
      <c r="AA577" s="200"/>
      <c r="AB577" s="31"/>
      <c r="AC577" s="184"/>
      <c r="AD577" s="51"/>
      <c r="AE577" s="52"/>
      <c r="AF577" s="41"/>
      <c r="AG577" s="45"/>
      <c r="AH577" s="28"/>
      <c r="AI577" s="28"/>
      <c r="AJ577" s="28"/>
      <c r="AK577" s="28"/>
      <c r="AL577" s="12"/>
      <c r="AM577" s="12"/>
      <c r="AN577" s="12"/>
      <c r="AO577" s="12"/>
      <c r="AP577" s="12"/>
      <c r="AQ577" s="13"/>
      <c r="AR577" s="14"/>
    </row>
    <row r="578" spans="1:44" s="16" customFormat="1" ht="30.95" hidden="1" customHeight="1" x14ac:dyDescent="0.2">
      <c r="A578" s="35"/>
      <c r="B578" s="36"/>
      <c r="C578" s="43"/>
      <c r="D578" s="29">
        <v>3716245</v>
      </c>
      <c r="E578" s="29">
        <v>4151391</v>
      </c>
      <c r="F578" s="255" t="str">
        <f>IF(D578="","",VLOOKUP(D578,契約台帳!$A$3:$K$4986,6,FALSE)&amp;VLOOKUP(D578,契約台帳!$A$3:$K$4986,7,FALSE)&amp;VLOOKUP(D578,契約台帳!$A$3:$K$4986,8,FALSE)&amp;VLOOKUP(D578,契約台帳!$A$3:$K$4986,9,FALSE)&amp;VLOOKUP(D578,契約台帳!$A$3:$K$4986,11,FALSE))</f>
        <v>3SNMLBMNGKKBF</v>
      </c>
      <c r="G578" s="256" t="str">
        <f>IF(D578="","",VLOOKUP(F578,製品マスタ!$G$5:$H$4999,2,FALSE))</f>
        <v>S</v>
      </c>
      <c r="H578" s="256" t="str">
        <f>IF(D578="","",VLOOKUP(F578,製品マスタ!$G$5:$K$4999,5,FALSE))</f>
        <v>MNGKKBF</v>
      </c>
      <c r="I578" s="200" t="str">
        <f>IF(D578="","",VLOOKUP(F578,製品マスタ!$G$5:$L$4999,6,FALSE))</f>
        <v>メタルミー　ネーマー銀消改　Ｂ</v>
      </c>
      <c r="J578" s="30" t="s">
        <v>447</v>
      </c>
      <c r="K578" s="200">
        <f>IF(D578="","",VLOOKUP(D578,契約台帳!$A$3:$L$4986,12,FALSE))</f>
        <v>25</v>
      </c>
      <c r="L578" s="200" t="str">
        <f>IF(D578="","",INDEX(製品マスタ!$Q$5:$Q$4999,MATCH(F578&amp;K578,製品マスタ!$AO$5:$AO$4999,0)))</f>
        <v>FMATS99</v>
      </c>
      <c r="M578" s="37">
        <v>1120</v>
      </c>
      <c r="N578" s="37">
        <v>8000</v>
      </c>
      <c r="O578" s="45">
        <v>4</v>
      </c>
      <c r="P578" s="54"/>
      <c r="Q578" s="260">
        <f>IF(D578="","",IF(J578="リード付け",M578,VLOOKUP(D578,契約台帳!$A$3:$N$4986,14,FALSE)))</f>
        <v>1120</v>
      </c>
      <c r="R578" s="261">
        <f>IF(D578="","",IF(J578="リード付け",M578,VLOOKUP(D578,契約台帳!$A$3:$O$4986,15,FALSE)))</f>
        <v>1120</v>
      </c>
      <c r="S578" s="261">
        <f>IF(D578="","",IF(J578="リード付け",N578,VLOOKUP(D578,契約台帳!$A$3:$P$4986,16,FALSE)))</f>
        <v>4000</v>
      </c>
      <c r="T578" s="38">
        <v>8</v>
      </c>
      <c r="U578" s="261">
        <f ca="1">IF(D578="","",IF(OFFSET(D578,-2,0)=D578,"",VLOOKUP(D578,契約台帳!$A$3:$R$4986,18,FALSE)))</f>
        <v>8</v>
      </c>
      <c r="V578" s="256" t="str">
        <f>IF(J578="巻返し",VLOOKUP(F578&amp;K578&amp;M578,製品マスタ!$M$5:$AD$4999,18,FALSE),IF(J578="リード付け","原反コア",IF(J578="スリット",VLOOKUP(F578&amp;K578&amp;Q578,製品マスタ!$N$5:$AD$4999,17,FALSE),"")))</f>
        <v>6ｲﾝﾁSｺｱ</v>
      </c>
      <c r="W578" s="256">
        <f>IF(J578="巻返し",VLOOKUP(F578&amp;K578&amp;M578,製品マスタ!$M$5:$AE$4999,19,FALSE),IF(J578="リード付け","-",IF(J578="スリット",VLOOKUP(F578&amp;K578&amp;Q578,製品マスタ!$N$5:$AE$4999,18,FALSE),"")))</f>
        <v>1125</v>
      </c>
      <c r="X578" s="256">
        <f>IF(D578="","",VLOOKUP(D578,契約台帳!$A$3:$Q$4986,17,FALSE))</f>
        <v>2</v>
      </c>
      <c r="Y578" s="256" t="str">
        <f>IF(D578="","",VLOOKUP(D578,契約台帳!$A$3:$E$4986,5,FALSE))</f>
        <v>リンテック㈱</v>
      </c>
      <c r="Z578" s="54">
        <v>45127</v>
      </c>
      <c r="AA578" s="200">
        <f>IFERROR(VLOOKUP(F578&amp;K578&amp;M578,製品マスタ!$M$5:$AM$4999,27,FALSE),"")</f>
        <v>0</v>
      </c>
      <c r="AB578" s="31"/>
      <c r="AC578" s="184"/>
      <c r="AD578" s="51" t="str">
        <f>IF(F578="","",+F578&amp;K578)</f>
        <v>3SNMLBMNGKKBF25</v>
      </c>
      <c r="AE578" s="52">
        <f>+M578*N578*O578/1000</f>
        <v>35840</v>
      </c>
      <c r="AF578" s="41">
        <f>IF(AD578="","",VLOOKUP(AD578,原価マスタ!$A$2:$AJ$1693,13,FALSE))</f>
        <v>96</v>
      </c>
      <c r="AG578" s="45">
        <f>IF(AF578="","",+AE578*AF578/100)</f>
        <v>34406.400000000001</v>
      </c>
      <c r="AH578" s="28"/>
      <c r="AI578" s="28"/>
      <c r="AJ578" s="28"/>
      <c r="AK578" s="28"/>
      <c r="AL578" s="12"/>
      <c r="AM578" s="12"/>
      <c r="AN578" s="12"/>
      <c r="AO578" s="12"/>
      <c r="AP578" s="12"/>
      <c r="AQ578" s="13"/>
      <c r="AR578" s="14"/>
    </row>
    <row r="579" spans="1:44" s="16" customFormat="1" ht="30.95" hidden="1" customHeight="1" x14ac:dyDescent="0.2">
      <c r="A579" s="35"/>
      <c r="B579" s="36"/>
      <c r="C579" s="43"/>
      <c r="D579" s="29"/>
      <c r="E579" s="29"/>
      <c r="F579" s="255"/>
      <c r="G579" s="256"/>
      <c r="H579" s="256"/>
      <c r="I579" s="200"/>
      <c r="J579" s="30"/>
      <c r="K579" s="200"/>
      <c r="L579" s="200"/>
      <c r="M579" s="37"/>
      <c r="N579" s="37"/>
      <c r="O579" s="45"/>
      <c r="P579" s="54"/>
      <c r="Q579" s="260"/>
      <c r="R579" s="261"/>
      <c r="S579" s="261"/>
      <c r="T579" s="38"/>
      <c r="U579" s="261"/>
      <c r="V579" s="256"/>
      <c r="W579" s="256"/>
      <c r="X579" s="256"/>
      <c r="Y579" s="256"/>
      <c r="Z579" s="54"/>
      <c r="AA579" s="200"/>
      <c r="AB579" s="31"/>
      <c r="AC579" s="184"/>
      <c r="AD579" s="51"/>
      <c r="AE579" s="52"/>
      <c r="AF579" s="41"/>
      <c r="AG579" s="45"/>
      <c r="AH579" s="28"/>
      <c r="AI579" s="28"/>
      <c r="AJ579" s="28"/>
      <c r="AK579" s="28"/>
      <c r="AL579" s="12"/>
      <c r="AM579" s="12"/>
      <c r="AN579" s="12"/>
      <c r="AO579" s="12"/>
      <c r="AP579" s="12"/>
      <c r="AQ579" s="13"/>
      <c r="AR579" s="14"/>
    </row>
    <row r="580" spans="1:44" s="16" customFormat="1" ht="30.95" hidden="1" customHeight="1" x14ac:dyDescent="0.2">
      <c r="A580" s="35"/>
      <c r="B580" s="36"/>
      <c r="C580" s="43"/>
      <c r="D580" s="29">
        <v>3716247</v>
      </c>
      <c r="E580" s="29">
        <v>4151393</v>
      </c>
      <c r="F580" s="255" t="str">
        <f>IF(D580="","",VLOOKUP(D580,契約台帳!$A$3:$K$4986,6,FALSE)&amp;VLOOKUP(D580,契約台帳!$A$3:$K$4986,7,FALSE)&amp;VLOOKUP(D580,契約台帳!$A$3:$K$4986,8,FALSE)&amp;VLOOKUP(D580,契約台帳!$A$3:$K$4986,9,FALSE)&amp;VLOOKUP(D580,契約台帳!$A$3:$K$4986,11,FALSE))</f>
        <v>3SNMLBMNGKKBF</v>
      </c>
      <c r="G580" s="256" t="str">
        <f>IF(D580="","",VLOOKUP(F580,製品マスタ!$G$5:$H$4999,2,FALSE))</f>
        <v>S</v>
      </c>
      <c r="H580" s="256" t="str">
        <f>IF(D580="","",VLOOKUP(F580,製品マスタ!$G$5:$K$4999,5,FALSE))</f>
        <v>MNGKKBF</v>
      </c>
      <c r="I580" s="200" t="str">
        <f>IF(D580="","",VLOOKUP(F580,製品マスタ!$G$5:$L$4999,6,FALSE))</f>
        <v>メタルミー　ネーマー銀消改　Ｂ</v>
      </c>
      <c r="J580" s="30" t="s">
        <v>447</v>
      </c>
      <c r="K580" s="200">
        <f>IF(D580="","",VLOOKUP(D580,契約台帳!$A$3:$L$4986,12,FALSE))</f>
        <v>50</v>
      </c>
      <c r="L580" s="200" t="str">
        <f>IF(D580="","",INDEX(製品マスタ!$Q$5:$Q$4999,MATCH(F580&amp;K580,製品マスタ!$AO$5:$AO$4999,0)))</f>
        <v>S99-MAT</v>
      </c>
      <c r="M580" s="37">
        <v>1120</v>
      </c>
      <c r="N580" s="37">
        <v>12000</v>
      </c>
      <c r="O580" s="45">
        <v>2</v>
      </c>
      <c r="P580" s="54"/>
      <c r="Q580" s="260">
        <f>IF(D580="","",IF(J580="リード付け",M580,VLOOKUP(D580,契約台帳!$A$3:$N$4986,14,FALSE)))</f>
        <v>1120</v>
      </c>
      <c r="R580" s="261">
        <f>IF(D580="","",IF(J580="リード付け",M580,VLOOKUP(D580,契約台帳!$A$3:$O$4986,15,FALSE)))</f>
        <v>1120</v>
      </c>
      <c r="S580" s="261">
        <f>IF(D580="","",IF(J580="リード付け",N580,VLOOKUP(D580,契約台帳!$A$3:$P$4986,16,FALSE)))</f>
        <v>4000</v>
      </c>
      <c r="T580" s="38">
        <v>6</v>
      </c>
      <c r="U580" s="261">
        <f ca="1">IF(D580="","",IF(OFFSET(D580,-2,0)=D580,"",VLOOKUP(D580,契約台帳!$A$3:$R$4986,18,FALSE)))</f>
        <v>20</v>
      </c>
      <c r="V580" s="256" t="str">
        <f>IF(J580="巻返し",VLOOKUP(F580&amp;K580&amp;M580,製品マスタ!$M$5:$AD$4999,18,FALSE),IF(J580="リード付け","原反コア",IF(J580="スリット",VLOOKUP(F580&amp;K580&amp;Q580,製品マスタ!$N$5:$AD$4999,17,FALSE),"")))</f>
        <v>6ｲﾝﾁSｺｱ</v>
      </c>
      <c r="W580" s="256">
        <f>IF(J580="巻返し",VLOOKUP(F580&amp;K580&amp;M580,製品マスタ!$M$5:$AE$4999,19,FALSE),IF(J580="リード付け","-",IF(J580="スリット",VLOOKUP(F580&amp;K580&amp;Q580,製品マスタ!$N$5:$AE$4999,18,FALSE),"")))</f>
        <v>1125</v>
      </c>
      <c r="X580" s="256">
        <f>IF(D580="","",VLOOKUP(D580,契約台帳!$A$3:$Q$4986,17,FALSE))</f>
        <v>2</v>
      </c>
      <c r="Y580" s="256" t="str">
        <f>IF(D580="","",VLOOKUP(D580,契約台帳!$A$3:$E$4986,5,FALSE))</f>
        <v>リンテック㈱</v>
      </c>
      <c r="Z580" s="54">
        <v>45127</v>
      </c>
      <c r="AA580" s="200">
        <f>IFERROR(VLOOKUP(F580&amp;K580&amp;M580,製品マスタ!$M$5:$AM$4999,27,FALSE),"")</f>
        <v>0</v>
      </c>
      <c r="AB580" s="31"/>
      <c r="AC580" s="184"/>
      <c r="AD580" s="51" t="str">
        <f>IF(F580="","",+F580&amp;K580)</f>
        <v>3SNMLBMNGKKBF50</v>
      </c>
      <c r="AE580" s="52">
        <f>+M580*N580*O580/1000</f>
        <v>26880</v>
      </c>
      <c r="AF580" s="41">
        <f>IF(AD580="","",VLOOKUP(AD580,原価マスタ!$A$2:$AJ$1693,13,FALSE))</f>
        <v>99</v>
      </c>
      <c r="AG580" s="45">
        <f>IF(AF580="","",+AE580*AF580/100)</f>
        <v>26611.200000000001</v>
      </c>
      <c r="AH580" s="28"/>
      <c r="AI580" s="28"/>
      <c r="AJ580" s="28"/>
      <c r="AK580" s="28"/>
      <c r="AL580" s="12"/>
      <c r="AM580" s="12"/>
      <c r="AN580" s="12"/>
      <c r="AO580" s="12"/>
      <c r="AP580" s="12"/>
      <c r="AQ580" s="13"/>
      <c r="AR580" s="14"/>
    </row>
    <row r="581" spans="1:44" s="16" customFormat="1" ht="30.95" hidden="1" customHeight="1" x14ac:dyDescent="0.2">
      <c r="A581" s="35"/>
      <c r="B581" s="36"/>
      <c r="C581" s="43"/>
      <c r="D581" s="29"/>
      <c r="E581" s="29"/>
      <c r="F581" s="255"/>
      <c r="G581" s="256"/>
      <c r="H581" s="256"/>
      <c r="I581" s="200"/>
      <c r="J581" s="30"/>
      <c r="K581" s="200"/>
      <c r="L581" s="200"/>
      <c r="M581" s="37"/>
      <c r="N581" s="37"/>
      <c r="O581" s="45"/>
      <c r="P581" s="54"/>
      <c r="Q581" s="260"/>
      <c r="R581" s="261"/>
      <c r="S581" s="261"/>
      <c r="T581" s="38"/>
      <c r="U581" s="261"/>
      <c r="V581" s="256"/>
      <c r="W581" s="256"/>
      <c r="X581" s="256"/>
      <c r="Y581" s="256"/>
      <c r="Z581" s="54"/>
      <c r="AA581" s="200"/>
      <c r="AB581" s="31"/>
      <c r="AC581" s="184"/>
      <c r="AD581" s="51"/>
      <c r="AE581" s="52"/>
      <c r="AF581" s="41"/>
      <c r="AG581" s="45"/>
      <c r="AH581" s="28"/>
      <c r="AI581" s="28"/>
      <c r="AJ581" s="28"/>
      <c r="AK581" s="28"/>
      <c r="AL581" s="12"/>
      <c r="AM581" s="12"/>
      <c r="AN581" s="12"/>
      <c r="AO581" s="12"/>
      <c r="AP581" s="12"/>
      <c r="AQ581" s="13"/>
      <c r="AR581" s="14"/>
    </row>
    <row r="582" spans="1:44" s="16" customFormat="1" ht="30.95" hidden="1" customHeight="1" x14ac:dyDescent="0.2">
      <c r="A582" s="35" t="s">
        <v>498</v>
      </c>
      <c r="B582" s="36" t="s">
        <v>442</v>
      </c>
      <c r="C582" s="43"/>
      <c r="D582" s="29">
        <v>3716247</v>
      </c>
      <c r="E582" s="29">
        <v>4151393</v>
      </c>
      <c r="F582" s="255" t="str">
        <f>IF(D582="","",VLOOKUP(D582,契約台帳!$A$3:$K$4986,6,FALSE)&amp;VLOOKUP(D582,契約台帳!$A$3:$K$4986,7,FALSE)&amp;VLOOKUP(D582,契約台帳!$A$3:$K$4986,8,FALSE)&amp;VLOOKUP(D582,契約台帳!$A$3:$K$4986,9,FALSE)&amp;VLOOKUP(D582,契約台帳!$A$3:$K$4986,11,FALSE))</f>
        <v>3SNMLBMNGKKBF</v>
      </c>
      <c r="G582" s="256" t="str">
        <f>IF(D582="","",VLOOKUP(F582,製品マスタ!$G$5:$H$4999,2,FALSE))</f>
        <v>S</v>
      </c>
      <c r="H582" s="256" t="str">
        <f>IF(D582="","",VLOOKUP(F582,製品マスタ!$G$5:$K$4999,5,FALSE))</f>
        <v>MNGKKBF</v>
      </c>
      <c r="I582" s="200" t="str">
        <f>IF(D582="","",VLOOKUP(F582,製品マスタ!$G$5:$L$4999,6,FALSE))</f>
        <v>メタルミー　ネーマー銀消改　Ｂ</v>
      </c>
      <c r="J582" s="30" t="s">
        <v>447</v>
      </c>
      <c r="K582" s="200">
        <f>IF(D582="","",VLOOKUP(D582,契約台帳!$A$3:$L$4986,12,FALSE))</f>
        <v>50</v>
      </c>
      <c r="L582" s="200" t="str">
        <f>IF(D582="","",INDEX(製品マスタ!$Q$5:$Q$4999,MATCH(F582&amp;K582,製品マスタ!$AO$5:$AO$4999,0)))</f>
        <v>S99-MAT</v>
      </c>
      <c r="M582" s="37">
        <v>1120</v>
      </c>
      <c r="N582" s="37">
        <v>12000</v>
      </c>
      <c r="O582" s="45">
        <v>4</v>
      </c>
      <c r="P582" s="54"/>
      <c r="Q582" s="260">
        <f>IF(D582="","",IF(J582="リード付け",M582,VLOOKUP(D582,契約台帳!$A$3:$N$4986,14,FALSE)))</f>
        <v>1120</v>
      </c>
      <c r="R582" s="261">
        <f>IF(D582="","",IF(J582="リード付け",M582,VLOOKUP(D582,契約台帳!$A$3:$O$4986,15,FALSE)))</f>
        <v>1120</v>
      </c>
      <c r="S582" s="261">
        <f>IF(D582="","",IF(J582="リード付け",N582,VLOOKUP(D582,契約台帳!$A$3:$P$4986,16,FALSE)))</f>
        <v>4000</v>
      </c>
      <c r="T582" s="38">
        <v>12</v>
      </c>
      <c r="U582" s="261" t="str">
        <f ca="1">IF(D582="","",IF(OFFSET(D582,-2,0)=D582,"",VLOOKUP(D582,契約台帳!$A$3:$R$4986,18,FALSE)))</f>
        <v/>
      </c>
      <c r="V582" s="256" t="str">
        <f>IF(J582="巻返し",VLOOKUP(F582&amp;K582&amp;M582,製品マスタ!$M$5:$AD$4999,18,FALSE),IF(J582="リード付け","原反コア",IF(J582="スリット",VLOOKUP(F582&amp;K582&amp;Q582,製品マスタ!$N$5:$AD$4999,17,FALSE),"")))</f>
        <v>6ｲﾝﾁSｺｱ</v>
      </c>
      <c r="W582" s="256">
        <f>IF(J582="巻返し",VLOOKUP(F582&amp;K582&amp;M582,製品マスタ!$M$5:$AE$4999,19,FALSE),IF(J582="リード付け","-",IF(J582="スリット",VLOOKUP(F582&amp;K582&amp;Q582,製品マスタ!$N$5:$AE$4999,18,FALSE),"")))</f>
        <v>1125</v>
      </c>
      <c r="X582" s="256">
        <f>IF(D582="","",VLOOKUP(D582,契約台帳!$A$3:$Q$4986,17,FALSE))</f>
        <v>2</v>
      </c>
      <c r="Y582" s="256" t="str">
        <f>IF(D582="","",VLOOKUP(D582,契約台帳!$A$3:$E$4986,5,FALSE))</f>
        <v>リンテック㈱</v>
      </c>
      <c r="Z582" s="54">
        <v>45128</v>
      </c>
      <c r="AA582" s="200">
        <f>IFERROR(VLOOKUP(F582&amp;K582&amp;M582,製品マスタ!$M$5:$AM$4999,27,FALSE),"")</f>
        <v>0</v>
      </c>
      <c r="AB582" s="31"/>
      <c r="AC582" s="184"/>
      <c r="AD582" s="51" t="str">
        <f>IF(F582="","",+F582&amp;K582)</f>
        <v>3SNMLBMNGKKBF50</v>
      </c>
      <c r="AE582" s="52">
        <f>+M582*N582*O582/1000</f>
        <v>53760</v>
      </c>
      <c r="AF582" s="41">
        <f>IF(AD582="","",VLOOKUP(AD582,原価マスタ!$A$2:$AJ$1693,13,FALSE))</f>
        <v>99</v>
      </c>
      <c r="AG582" s="45">
        <f>IF(AF582="","",+AE582*AF582/100)</f>
        <v>53222.400000000001</v>
      </c>
      <c r="AH582" s="28"/>
      <c r="AI582" s="28"/>
      <c r="AJ582" s="28"/>
      <c r="AK582" s="28"/>
      <c r="AL582" s="12"/>
      <c r="AM582" s="12"/>
      <c r="AN582" s="12"/>
      <c r="AO582" s="12"/>
      <c r="AP582" s="12"/>
      <c r="AQ582" s="13"/>
      <c r="AR582" s="14"/>
    </row>
    <row r="583" spans="1:44" s="16" customFormat="1" ht="30.95" hidden="1" customHeight="1" x14ac:dyDescent="0.2">
      <c r="A583" s="35"/>
      <c r="B583" s="36"/>
      <c r="C583" s="43"/>
      <c r="D583" s="29"/>
      <c r="E583" s="29"/>
      <c r="F583" s="255"/>
      <c r="G583" s="256"/>
      <c r="H583" s="256"/>
      <c r="I583" s="200"/>
      <c r="J583" s="30"/>
      <c r="K583" s="200"/>
      <c r="L583" s="200"/>
      <c r="M583" s="37"/>
      <c r="N583" s="37"/>
      <c r="O583" s="45"/>
      <c r="P583" s="54"/>
      <c r="Q583" s="260"/>
      <c r="R583" s="261"/>
      <c r="S583" s="261"/>
      <c r="T583" s="38"/>
      <c r="U583" s="261"/>
      <c r="V583" s="256"/>
      <c r="W583" s="256"/>
      <c r="X583" s="256"/>
      <c r="Y583" s="256"/>
      <c r="Z583" s="54"/>
      <c r="AA583" s="200"/>
      <c r="AB583" s="31"/>
      <c r="AC583" s="184"/>
      <c r="AD583" s="51"/>
      <c r="AE583" s="52"/>
      <c r="AF583" s="41"/>
      <c r="AG583" s="45"/>
      <c r="AH583" s="28"/>
      <c r="AI583" s="28"/>
      <c r="AJ583" s="28"/>
      <c r="AK583" s="28"/>
      <c r="AL583" s="12"/>
      <c r="AM583" s="12"/>
      <c r="AN583" s="12"/>
      <c r="AO583" s="12"/>
      <c r="AP583" s="12"/>
      <c r="AQ583" s="13"/>
      <c r="AR583" s="14"/>
    </row>
    <row r="584" spans="1:44" s="16" customFormat="1" ht="30.95" hidden="1" customHeight="1" x14ac:dyDescent="0.2">
      <c r="A584" s="35"/>
      <c r="B584" s="36"/>
      <c r="C584" s="43"/>
      <c r="D584" s="29">
        <v>3716247</v>
      </c>
      <c r="E584" s="29">
        <v>4151393</v>
      </c>
      <c r="F584" s="255" t="str">
        <f>IF(D584="","",VLOOKUP(D584,契約台帳!$A$3:$K$4986,6,FALSE)&amp;VLOOKUP(D584,契約台帳!$A$3:$K$4986,7,FALSE)&amp;VLOOKUP(D584,契約台帳!$A$3:$K$4986,8,FALSE)&amp;VLOOKUP(D584,契約台帳!$A$3:$K$4986,9,FALSE)&amp;VLOOKUP(D584,契約台帳!$A$3:$K$4986,11,FALSE))</f>
        <v>3SNMLBMNGKKBF</v>
      </c>
      <c r="G584" s="256" t="str">
        <f>IF(D584="","",VLOOKUP(F584,製品マスタ!$G$5:$H$4999,2,FALSE))</f>
        <v>S</v>
      </c>
      <c r="H584" s="256" t="str">
        <f>IF(D584="","",VLOOKUP(F584,製品マスタ!$G$5:$K$4999,5,FALSE))</f>
        <v>MNGKKBF</v>
      </c>
      <c r="I584" s="200" t="str">
        <f>IF(D584="","",VLOOKUP(F584,製品マスタ!$G$5:$L$4999,6,FALSE))</f>
        <v>メタルミー　ネーマー銀消改　Ｂ</v>
      </c>
      <c r="J584" s="30" t="s">
        <v>447</v>
      </c>
      <c r="K584" s="200">
        <f>IF(D584="","",VLOOKUP(D584,契約台帳!$A$3:$L$4986,12,FALSE))</f>
        <v>50</v>
      </c>
      <c r="L584" s="200" t="str">
        <f>IF(D584="","",INDEX(製品マスタ!$Q$5:$Q$4999,MATCH(F584&amp;K584,製品マスタ!$AO$5:$AO$4999,0)))</f>
        <v>S99-MAT</v>
      </c>
      <c r="M584" s="37">
        <v>1120</v>
      </c>
      <c r="N584" s="37">
        <v>8000</v>
      </c>
      <c r="O584" s="45">
        <v>1</v>
      </c>
      <c r="P584" s="54"/>
      <c r="Q584" s="260">
        <f>IF(D584="","",IF(J584="リード付け",M584,VLOOKUP(D584,契約台帳!$A$3:$N$4986,14,FALSE)))</f>
        <v>1120</v>
      </c>
      <c r="R584" s="261">
        <f>IF(D584="","",IF(J584="リード付け",M584,VLOOKUP(D584,契約台帳!$A$3:$O$4986,15,FALSE)))</f>
        <v>1120</v>
      </c>
      <c r="S584" s="261">
        <f>IF(D584="","",IF(J584="リード付け",N584,VLOOKUP(D584,契約台帳!$A$3:$P$4986,16,FALSE)))</f>
        <v>4000</v>
      </c>
      <c r="T584" s="38">
        <v>2</v>
      </c>
      <c r="U584" s="261" t="str">
        <f ca="1">IF(D584="","",IF(OFFSET(D584,-2,0)=D584,"",VLOOKUP(D584,契約台帳!$A$3:$R$4986,18,FALSE)))</f>
        <v/>
      </c>
      <c r="V584" s="256" t="str">
        <f>IF(J584="巻返し",VLOOKUP(F584&amp;K584&amp;M584,製品マスタ!$M$5:$AD$4999,18,FALSE),IF(J584="リード付け","原反コア",IF(J584="スリット",VLOOKUP(F584&amp;K584&amp;Q584,製品マスタ!$N$5:$AD$4999,17,FALSE),"")))</f>
        <v>6ｲﾝﾁSｺｱ</v>
      </c>
      <c r="W584" s="256">
        <f>IF(J584="巻返し",VLOOKUP(F584&amp;K584&amp;M584,製品マスタ!$M$5:$AE$4999,19,FALSE),IF(J584="リード付け","-",IF(J584="スリット",VLOOKUP(F584&amp;K584&amp;Q584,製品マスタ!$N$5:$AE$4999,18,FALSE),"")))</f>
        <v>1125</v>
      </c>
      <c r="X584" s="256">
        <f>IF(D584="","",VLOOKUP(D584,契約台帳!$A$3:$Q$4986,17,FALSE))</f>
        <v>2</v>
      </c>
      <c r="Y584" s="256" t="str">
        <f>IF(D584="","",VLOOKUP(D584,契約台帳!$A$3:$E$4986,5,FALSE))</f>
        <v>リンテック㈱</v>
      </c>
      <c r="Z584" s="54">
        <v>45128</v>
      </c>
      <c r="AA584" s="200">
        <f>IFERROR(VLOOKUP(F584&amp;K584&amp;M584,製品マスタ!$M$5:$AM$4999,27,FALSE),"")</f>
        <v>0</v>
      </c>
      <c r="AB584" s="31"/>
      <c r="AC584" s="184"/>
      <c r="AD584" s="51" t="str">
        <f>IF(F584="","",+F584&amp;K584)</f>
        <v>3SNMLBMNGKKBF50</v>
      </c>
      <c r="AE584" s="52">
        <f>+M584*N584*O584/1000</f>
        <v>8960</v>
      </c>
      <c r="AF584" s="41">
        <f>IF(AD584="","",VLOOKUP(AD584,原価マスタ!$A$2:$AJ$1693,13,FALSE))</f>
        <v>99</v>
      </c>
      <c r="AG584" s="45">
        <f>IF(AF584="","",+AE584*AF584/100)</f>
        <v>8870.4</v>
      </c>
      <c r="AH584" s="28"/>
      <c r="AI584" s="28"/>
      <c r="AJ584" s="28"/>
      <c r="AK584" s="28"/>
      <c r="AL584" s="12"/>
      <c r="AM584" s="12"/>
      <c r="AN584" s="12"/>
      <c r="AO584" s="12"/>
      <c r="AP584" s="12"/>
      <c r="AQ584" s="13"/>
      <c r="AR584" s="14"/>
    </row>
    <row r="585" spans="1:44" s="16" customFormat="1" ht="30.95" hidden="1" customHeight="1" x14ac:dyDescent="0.2">
      <c r="A585" s="35"/>
      <c r="B585" s="36"/>
      <c r="C585" s="43"/>
      <c r="D585" s="29"/>
      <c r="E585" s="29"/>
      <c r="F585" s="255"/>
      <c r="G585" s="256"/>
      <c r="H585" s="256"/>
      <c r="I585" s="200"/>
      <c r="J585" s="30"/>
      <c r="K585" s="200"/>
      <c r="L585" s="200"/>
      <c r="M585" s="37"/>
      <c r="N585" s="37"/>
      <c r="O585" s="45"/>
      <c r="P585" s="54"/>
      <c r="Q585" s="260"/>
      <c r="R585" s="261"/>
      <c r="S585" s="261"/>
      <c r="T585" s="38"/>
      <c r="U585" s="261"/>
      <c r="V585" s="256"/>
      <c r="W585" s="256"/>
      <c r="X585" s="256"/>
      <c r="Y585" s="256"/>
      <c r="Z585" s="54"/>
      <c r="AA585" s="200"/>
      <c r="AB585" s="31"/>
      <c r="AC585" s="184"/>
      <c r="AD585" s="51"/>
      <c r="AE585" s="52"/>
      <c r="AF585" s="41"/>
      <c r="AG585" s="45"/>
      <c r="AH585" s="28"/>
      <c r="AI585" s="28"/>
      <c r="AJ585" s="28"/>
      <c r="AK585" s="28"/>
      <c r="AL585" s="12"/>
      <c r="AM585" s="12"/>
      <c r="AN585" s="12"/>
      <c r="AO585" s="12"/>
      <c r="AP585" s="12"/>
      <c r="AQ585" s="13"/>
      <c r="AR585" s="14"/>
    </row>
    <row r="586" spans="1:44" s="16" customFormat="1" ht="30.95" hidden="1" customHeight="1" x14ac:dyDescent="0.2">
      <c r="A586" s="35"/>
      <c r="B586" s="36"/>
      <c r="C586" s="43"/>
      <c r="D586" s="29">
        <v>3716272</v>
      </c>
      <c r="E586" s="29">
        <v>4151404</v>
      </c>
      <c r="F586" s="255" t="str">
        <f>IF(D586="","",VLOOKUP(D586,契約台帳!$A$3:$K$4986,6,FALSE)&amp;VLOOKUP(D586,契約台帳!$A$3:$K$4986,7,FALSE)&amp;VLOOKUP(D586,契約台帳!$A$3:$K$4986,8,FALSE)&amp;VLOOKUP(D586,契約台帳!$A$3:$K$4986,9,FALSE)&amp;VLOOKUP(D586,契約台帳!$A$3:$K$4986,11,FALSE))</f>
        <v>3SYMLBMSNMBF</v>
      </c>
      <c r="G586" s="256" t="str">
        <f>IF(D586="","",VLOOKUP(F586,製品マスタ!$G$5:$H$4999,2,FALSE))</f>
        <v>S</v>
      </c>
      <c r="H586" s="256" t="str">
        <f>IF(D586="","",VLOOKUP(F586,製品マスタ!$G$5:$K$4999,5,FALSE))</f>
        <v>MSNMBF</v>
      </c>
      <c r="I586" s="200" t="str">
        <f>IF(D586="","",VLOOKUP(F586,製品マスタ!$G$5:$L$4999,6,FALSE))</f>
        <v>ＭＥＴＡＬＵＭＹ　ＳＩＬＶＥＲ　Ｎ－ＭＡＴＴＥ　Ｘ４４Ｍ　Ｂ</v>
      </c>
      <c r="J586" s="30" t="s">
        <v>447</v>
      </c>
      <c r="K586" s="200">
        <f>IF(D586="","",VLOOKUP(D586,契約台帳!$A$3:$L$4986,12,FALSE))</f>
        <v>50</v>
      </c>
      <c r="L586" s="200" t="str">
        <f>IF(D586="","",INDEX(製品マスタ!$Q$5:$Q$4999,MATCH(F586&amp;K586,製品マスタ!$AO$5:$AO$4999,0)))</f>
        <v>X44</v>
      </c>
      <c r="M586" s="37">
        <v>1120</v>
      </c>
      <c r="N586" s="37">
        <v>12000</v>
      </c>
      <c r="O586" s="45">
        <v>1</v>
      </c>
      <c r="P586" s="54"/>
      <c r="Q586" s="260">
        <f>IF(D586="","",IF(J586="リード付け",M586,VLOOKUP(D586,契約台帳!$A$3:$N$4986,14,FALSE)))</f>
        <v>1120</v>
      </c>
      <c r="R586" s="261">
        <f>IF(D586="","",IF(J586="リード付け",M586,VLOOKUP(D586,契約台帳!$A$3:$O$4986,15,FALSE)))</f>
        <v>1120</v>
      </c>
      <c r="S586" s="261">
        <f>IF(D586="","",IF(J586="リード付け",N586,VLOOKUP(D586,契約台帳!$A$3:$P$4986,16,FALSE)))</f>
        <v>4000</v>
      </c>
      <c r="T586" s="38">
        <v>3</v>
      </c>
      <c r="U586" s="261">
        <f ca="1">IF(D586="","",IF(OFFSET(D586,-2,0)=D586,"",VLOOKUP(D586,契約台帳!$A$3:$R$4986,18,FALSE)))</f>
        <v>4</v>
      </c>
      <c r="V586" s="256" t="str">
        <f>IF(J586="巻返し",VLOOKUP(F586&amp;K586&amp;M586,製品マスタ!$M$5:$AD$4999,18,FALSE),IF(J586="リード付け","原反コア",IF(J586="スリット",VLOOKUP(F586&amp;K586&amp;Q586,製品マスタ!$N$5:$AD$4999,17,FALSE),"")))</f>
        <v>6ｲﾝﾁMｺｱ</v>
      </c>
      <c r="W586" s="256">
        <f>IF(J586="巻返し",VLOOKUP(F586&amp;K586&amp;M586,製品マスタ!$M$5:$AE$4999,19,FALSE),IF(J586="リード付け","-",IF(J586="スリット",VLOOKUP(F586&amp;K586&amp;Q586,製品マスタ!$N$5:$AE$4999,18,FALSE),"")))</f>
        <v>1125</v>
      </c>
      <c r="X586" s="256">
        <f>IF(D586="","",VLOOKUP(D586,契約台帳!$A$3:$Q$4986,17,FALSE))</f>
        <v>2</v>
      </c>
      <c r="Y586" s="256" t="str">
        <f>IF(D586="","",VLOOKUP(D586,契約台帳!$A$3:$E$4986,5,FALSE))</f>
        <v>リンテック㈱</v>
      </c>
      <c r="Z586" s="54">
        <v>45128</v>
      </c>
      <c r="AA586" s="200">
        <f>IFERROR(VLOOKUP(F586&amp;K586&amp;M586,製品マスタ!$M$5:$AM$4999,27,FALSE),"")</f>
        <v>0</v>
      </c>
      <c r="AB586" s="31"/>
      <c r="AC586" s="184"/>
      <c r="AD586" s="51" t="str">
        <f>IF(F586="","",+F586&amp;K586)</f>
        <v>3SYMLBMSNMBF50</v>
      </c>
      <c r="AE586" s="52">
        <f>+M586*N586*O586/1000</f>
        <v>13440</v>
      </c>
      <c r="AF586" s="41">
        <f>IF(AD586="","",VLOOKUP(AD586,原価マスタ!$A$2:$AJ$1693,13,FALSE))</f>
        <v>98.8</v>
      </c>
      <c r="AG586" s="45">
        <f>IF(AF586="","",+AE586*AF586/100)</f>
        <v>13278.72</v>
      </c>
      <c r="AH586" s="28"/>
      <c r="AI586" s="28"/>
      <c r="AJ586" s="28"/>
      <c r="AK586" s="28"/>
      <c r="AL586" s="12"/>
      <c r="AM586" s="12"/>
      <c r="AN586" s="12"/>
      <c r="AO586" s="12"/>
      <c r="AP586" s="12"/>
      <c r="AQ586" s="13"/>
      <c r="AR586" s="14"/>
    </row>
    <row r="587" spans="1:44" s="16" customFormat="1" ht="30.95" hidden="1" customHeight="1" x14ac:dyDescent="0.2">
      <c r="A587" s="35"/>
      <c r="B587" s="36"/>
      <c r="C587" s="43"/>
      <c r="D587" s="29"/>
      <c r="E587" s="29"/>
      <c r="F587" s="255"/>
      <c r="G587" s="256"/>
      <c r="H587" s="256"/>
      <c r="I587" s="200"/>
      <c r="J587" s="30"/>
      <c r="K587" s="200"/>
      <c r="L587" s="200"/>
      <c r="M587" s="37"/>
      <c r="N587" s="37"/>
      <c r="O587" s="45"/>
      <c r="P587" s="54"/>
      <c r="Q587" s="260"/>
      <c r="R587" s="261"/>
      <c r="S587" s="261"/>
      <c r="T587" s="38"/>
      <c r="U587" s="261"/>
      <c r="V587" s="256"/>
      <c r="W587" s="256"/>
      <c r="X587" s="256"/>
      <c r="Y587" s="256"/>
      <c r="Z587" s="54"/>
      <c r="AA587" s="200"/>
      <c r="AB587" s="31"/>
      <c r="AC587" s="184"/>
      <c r="AD587" s="51"/>
      <c r="AE587" s="52"/>
      <c r="AF587" s="41"/>
      <c r="AG587" s="45"/>
      <c r="AH587" s="28"/>
      <c r="AI587" s="28"/>
      <c r="AJ587" s="28"/>
      <c r="AK587" s="28"/>
      <c r="AL587" s="12"/>
      <c r="AM587" s="12"/>
      <c r="AN587" s="12"/>
      <c r="AO587" s="12"/>
      <c r="AP587" s="12"/>
      <c r="AQ587" s="13"/>
      <c r="AR587" s="14"/>
    </row>
    <row r="588" spans="1:44" s="16" customFormat="1" ht="30.95" hidden="1" customHeight="1" x14ac:dyDescent="0.2">
      <c r="A588" s="35" t="s">
        <v>1331</v>
      </c>
      <c r="B588" s="36" t="s">
        <v>1332</v>
      </c>
      <c r="C588" s="43"/>
      <c r="D588" s="29">
        <v>3716272</v>
      </c>
      <c r="E588" s="29">
        <v>4151404</v>
      </c>
      <c r="F588" s="255" t="str">
        <f>IF(D588="","",VLOOKUP(D588,契約台帳!$A$3:$K$4986,6,FALSE)&amp;VLOOKUP(D588,契約台帳!$A$3:$K$4986,7,FALSE)&amp;VLOOKUP(D588,契約台帳!$A$3:$K$4986,8,FALSE)&amp;VLOOKUP(D588,契約台帳!$A$3:$K$4986,9,FALSE)&amp;VLOOKUP(D588,契約台帳!$A$3:$K$4986,11,FALSE))</f>
        <v>3SYMLBMSNMBF</v>
      </c>
      <c r="G588" s="256" t="str">
        <f>IF(D588="","",VLOOKUP(F588,製品マスタ!$G$5:$H$4999,2,FALSE))</f>
        <v>S</v>
      </c>
      <c r="H588" s="256" t="str">
        <f>IF(D588="","",VLOOKUP(F588,製品マスタ!$G$5:$K$4999,5,FALSE))</f>
        <v>MSNMBF</v>
      </c>
      <c r="I588" s="200" t="str">
        <f>IF(D588="","",VLOOKUP(F588,製品マスタ!$G$5:$L$4999,6,FALSE))</f>
        <v>ＭＥＴＡＬＵＭＹ　ＳＩＬＶＥＲ　Ｎ－ＭＡＴＴＥ　Ｘ４４Ｍ　Ｂ</v>
      </c>
      <c r="J588" s="30" t="s">
        <v>447</v>
      </c>
      <c r="K588" s="200">
        <f>IF(D588="","",VLOOKUP(D588,契約台帳!$A$3:$L$4986,12,FALSE))</f>
        <v>50</v>
      </c>
      <c r="L588" s="200" t="str">
        <f>IF(D588="","",INDEX(製品マスタ!$Q$5:$Q$4999,MATCH(F588&amp;K588,製品マスタ!$AO$5:$AO$4999,0)))</f>
        <v>X44</v>
      </c>
      <c r="M588" s="37">
        <v>1120</v>
      </c>
      <c r="N588" s="37">
        <v>12000</v>
      </c>
      <c r="O588" s="45">
        <v>1</v>
      </c>
      <c r="P588" s="54"/>
      <c r="Q588" s="260">
        <f>IF(D588="","",IF(J588="リード付け",M588,VLOOKUP(D588,契約台帳!$A$3:$N$4986,14,FALSE)))</f>
        <v>1120</v>
      </c>
      <c r="R588" s="261">
        <f>IF(D588="","",IF(J588="リード付け",M588,VLOOKUP(D588,契約台帳!$A$3:$O$4986,15,FALSE)))</f>
        <v>1120</v>
      </c>
      <c r="S588" s="261">
        <f>IF(D588="","",IF(J588="リード付け",N588,VLOOKUP(D588,契約台帳!$A$3:$P$4986,16,FALSE)))</f>
        <v>4000</v>
      </c>
      <c r="T588" s="38">
        <v>1</v>
      </c>
      <c r="U588" s="261" t="str">
        <f ca="1">IF(D588="","",IF(OFFSET(D588,-2,0)=D588,"",VLOOKUP(D588,契約台帳!$A$3:$R$4986,18,FALSE)))</f>
        <v/>
      </c>
      <c r="V588" s="256" t="str">
        <f>IF(J588="巻返し",VLOOKUP(F588&amp;K588&amp;M588,製品マスタ!$M$5:$AD$4999,18,FALSE),IF(J588="リード付け","原反コア",IF(J588="スリット",VLOOKUP(F588&amp;K588&amp;Q588,製品マスタ!$N$5:$AD$4999,17,FALSE),"")))</f>
        <v>6ｲﾝﾁMｺｱ</v>
      </c>
      <c r="W588" s="256">
        <f>IF(J588="巻返し",VLOOKUP(F588&amp;K588&amp;M588,製品マスタ!$M$5:$AE$4999,19,FALSE),IF(J588="リード付け","-",IF(J588="スリット",VLOOKUP(F588&amp;K588&amp;Q588,製品マスタ!$N$5:$AE$4999,18,FALSE),"")))</f>
        <v>1125</v>
      </c>
      <c r="X588" s="256">
        <f>IF(D588="","",VLOOKUP(D588,契約台帳!$A$3:$Q$4986,17,FALSE))</f>
        <v>2</v>
      </c>
      <c r="Y588" s="256" t="str">
        <f>IF(D588="","",VLOOKUP(D588,契約台帳!$A$3:$E$4986,5,FALSE))</f>
        <v>リンテック㈱</v>
      </c>
      <c r="Z588" s="54">
        <v>45132</v>
      </c>
      <c r="AA588" s="200">
        <f>IFERROR(VLOOKUP(F588&amp;K588&amp;M588,製品マスタ!$M$5:$AM$4999,27,FALSE),"")</f>
        <v>0</v>
      </c>
      <c r="AB588" s="31"/>
      <c r="AC588" s="184"/>
      <c r="AD588" s="51" t="str">
        <f>IF(F588="","",+F588&amp;K588)</f>
        <v>3SYMLBMSNMBF50</v>
      </c>
      <c r="AE588" s="52">
        <f>+M588*N588*O588/1000</f>
        <v>13440</v>
      </c>
      <c r="AF588" s="41">
        <f>IF(AD588="","",VLOOKUP(AD588,原価マスタ!$A$2:$AJ$1693,13,FALSE))</f>
        <v>98.8</v>
      </c>
      <c r="AG588" s="45">
        <f>IF(AF588="","",+AE588*AF588/100)</f>
        <v>13278.72</v>
      </c>
      <c r="AH588" s="28"/>
      <c r="AI588" s="28"/>
      <c r="AJ588" s="28"/>
      <c r="AK588" s="28"/>
      <c r="AL588" s="12"/>
      <c r="AM588" s="12"/>
      <c r="AN588" s="12"/>
      <c r="AO588" s="12"/>
      <c r="AP588" s="12"/>
      <c r="AQ588" s="13"/>
      <c r="AR588" s="14"/>
    </row>
    <row r="589" spans="1:44" s="16" customFormat="1" ht="30.95" hidden="1" customHeight="1" x14ac:dyDescent="0.2">
      <c r="A589" s="35"/>
      <c r="B589" s="36"/>
      <c r="C589" s="43"/>
      <c r="D589" s="29">
        <v>3716273</v>
      </c>
      <c r="E589" s="29"/>
      <c r="F589" s="255" t="str">
        <f>IF(D589="","",VLOOKUP(D589,契約台帳!$A$3:$K$4986,6,FALSE)&amp;VLOOKUP(D589,契約台帳!$A$3:$K$4986,7,FALSE)&amp;VLOOKUP(D589,契約台帳!$A$3:$K$4986,8,FALSE)&amp;VLOOKUP(D589,契約台帳!$A$3:$K$4986,9,FALSE)&amp;VLOOKUP(D589,契約台帳!$A$3:$K$4986,11,FALSE))</f>
        <v>3SYMLBMSNMBF</v>
      </c>
      <c r="G589" s="256" t="str">
        <f>IF(D589="","",VLOOKUP(F589,製品マスタ!$G$5:$H$4999,2,FALSE))</f>
        <v>S</v>
      </c>
      <c r="H589" s="256" t="str">
        <f>IF(D589="","",VLOOKUP(F589,製品マスタ!$G$5:$K$4999,5,FALSE))</f>
        <v>MSNMBF</v>
      </c>
      <c r="I589" s="200" t="str">
        <f>IF(D589="","",VLOOKUP(F589,製品マスタ!$G$5:$L$4999,6,FALSE))</f>
        <v>ＭＥＴＡＬＵＭＹ　ＳＩＬＶＥＲ　Ｎ－ＭＡＴＴＥ　Ｘ４４Ｍ　Ｂ</v>
      </c>
      <c r="J589" s="30" t="s">
        <v>447</v>
      </c>
      <c r="K589" s="200">
        <f>IF(D589="","",VLOOKUP(D589,契約台帳!$A$3:$L$4986,12,FALSE))</f>
        <v>50</v>
      </c>
      <c r="L589" s="200" t="str">
        <f>IF(D589="","",INDEX(製品マスタ!$Q$5:$Q$4999,MATCH(F589&amp;K589,製品マスタ!$AO$5:$AO$4999,0)))</f>
        <v>X44</v>
      </c>
      <c r="M589" s="37">
        <v>1120</v>
      </c>
      <c r="N589" s="37"/>
      <c r="O589" s="45"/>
      <c r="P589" s="54"/>
      <c r="Q589" s="260">
        <f>IF(D589="","",IF(J589="リード付け",M589,VLOOKUP(D589,契約台帳!$A$3:$N$4986,14,FALSE)))</f>
        <v>1120</v>
      </c>
      <c r="R589" s="261">
        <f>IF(D589="","",IF(J589="リード付け",M589,VLOOKUP(D589,契約台帳!$A$3:$O$4986,15,FALSE)))</f>
        <v>1120</v>
      </c>
      <c r="S589" s="261">
        <f>IF(D589="","",IF(J589="リード付け",N589,VLOOKUP(D589,契約台帳!$A$3:$P$4986,16,FALSE)))</f>
        <v>4000</v>
      </c>
      <c r="T589" s="38">
        <v>2</v>
      </c>
      <c r="U589" s="261">
        <f ca="1">IF(D589="","",IF(OFFSET(D589,-2,0)=D589,"",VLOOKUP(D589,契約台帳!$A$3:$R$4986,18,FALSE)))</f>
        <v>5</v>
      </c>
      <c r="V589" s="256" t="str">
        <f>IF(J589="巻返し",VLOOKUP(F589&amp;K589&amp;M589,製品マスタ!$M$5:$AD$4999,18,FALSE),IF(J589="リード付け","原反コア",IF(J589="スリット",VLOOKUP(F589&amp;K589&amp;Q589,製品マスタ!$N$5:$AD$4999,17,FALSE),"")))</f>
        <v>6ｲﾝﾁMｺｱ</v>
      </c>
      <c r="W589" s="256">
        <f>IF(J589="巻返し",VLOOKUP(F589&amp;K589&amp;M589,製品マスタ!$M$5:$AE$4999,19,FALSE),IF(J589="リード付け","-",IF(J589="スリット",VLOOKUP(F589&amp;K589&amp;Q589,製品マスタ!$N$5:$AE$4999,18,FALSE),"")))</f>
        <v>1125</v>
      </c>
      <c r="X589" s="256">
        <f>IF(D589="","",VLOOKUP(D589,契約台帳!$A$3:$Q$4986,17,FALSE))</f>
        <v>2</v>
      </c>
      <c r="Y589" s="256" t="str">
        <f>IF(D589="","",VLOOKUP(D589,契約台帳!$A$3:$E$4986,5,FALSE))</f>
        <v>リンテック㈱</v>
      </c>
      <c r="Z589" s="54"/>
      <c r="AA589" s="200">
        <f>IFERROR(VLOOKUP(F589&amp;K589&amp;M589,製品マスタ!$M$5:$AM$4999,27,FALSE),"")</f>
        <v>0</v>
      </c>
      <c r="AB589" s="31"/>
      <c r="AC589" s="184"/>
      <c r="AD589" s="51"/>
      <c r="AE589" s="52"/>
      <c r="AF589" s="41"/>
      <c r="AG589" s="45" t="str">
        <f>IF(AF589="","",+AE589*AF589/100)</f>
        <v/>
      </c>
      <c r="AH589" s="28"/>
      <c r="AI589" s="28"/>
      <c r="AJ589" s="28"/>
      <c r="AK589" s="28"/>
      <c r="AL589" s="12"/>
      <c r="AM589" s="12"/>
      <c r="AN589" s="12"/>
      <c r="AO589" s="12"/>
      <c r="AP589" s="12"/>
      <c r="AQ589" s="13"/>
      <c r="AR589" s="14"/>
    </row>
    <row r="590" spans="1:44" s="16" customFormat="1" ht="30.95" hidden="1" customHeight="1" x14ac:dyDescent="0.2">
      <c r="A590" s="35"/>
      <c r="B590" s="36"/>
      <c r="C590" s="43"/>
      <c r="D590" s="29"/>
      <c r="E590" s="29"/>
      <c r="F590" s="255"/>
      <c r="G590" s="256"/>
      <c r="H590" s="256"/>
      <c r="I590" s="200"/>
      <c r="J590" s="30"/>
      <c r="K590" s="200"/>
      <c r="L590" s="200"/>
      <c r="M590" s="37"/>
      <c r="N590" s="37"/>
      <c r="O590" s="45"/>
      <c r="P590" s="54"/>
      <c r="Q590" s="260"/>
      <c r="R590" s="261"/>
      <c r="S590" s="261"/>
      <c r="T590" s="38"/>
      <c r="U590" s="261"/>
      <c r="V590" s="256"/>
      <c r="W590" s="256"/>
      <c r="X590" s="256"/>
      <c r="Y590" s="256"/>
      <c r="Z590" s="54"/>
      <c r="AA590" s="200"/>
      <c r="AB590" s="31"/>
      <c r="AC590" s="184"/>
      <c r="AD590" s="51"/>
      <c r="AE590" s="52"/>
      <c r="AF590" s="41"/>
      <c r="AG590" s="45"/>
      <c r="AH590" s="28"/>
      <c r="AI590" s="28"/>
      <c r="AJ590" s="28"/>
      <c r="AK590" s="28"/>
      <c r="AL590" s="12"/>
      <c r="AM590" s="12"/>
      <c r="AN590" s="12"/>
      <c r="AO590" s="12"/>
      <c r="AP590" s="12"/>
      <c r="AQ590" s="13"/>
      <c r="AR590" s="14"/>
    </row>
    <row r="591" spans="1:44" s="16" customFormat="1" ht="30.95" hidden="1" customHeight="1" x14ac:dyDescent="0.2">
      <c r="A591" s="35"/>
      <c r="B591" s="36"/>
      <c r="C591" s="43"/>
      <c r="D591" s="29">
        <v>3716273</v>
      </c>
      <c r="E591" s="29">
        <v>4151405</v>
      </c>
      <c r="F591" s="255" t="str">
        <f>IF(D591="","",VLOOKUP(D591,契約台帳!$A$3:$K$4986,6,FALSE)&amp;VLOOKUP(D591,契約台帳!$A$3:$K$4986,7,FALSE)&amp;VLOOKUP(D591,契約台帳!$A$3:$K$4986,8,FALSE)&amp;VLOOKUP(D591,契約台帳!$A$3:$K$4986,9,FALSE)&amp;VLOOKUP(D591,契約台帳!$A$3:$K$4986,11,FALSE))</f>
        <v>3SYMLBMSNMBF</v>
      </c>
      <c r="G591" s="256" t="str">
        <f>IF(D591="","",VLOOKUP(F591,製品マスタ!$G$5:$H$4999,2,FALSE))</f>
        <v>S</v>
      </c>
      <c r="H591" s="256" t="str">
        <f>IF(D591="","",VLOOKUP(F591,製品マスタ!$G$5:$K$4999,5,FALSE))</f>
        <v>MSNMBF</v>
      </c>
      <c r="I591" s="200" t="str">
        <f>IF(D591="","",VLOOKUP(F591,製品マスタ!$G$5:$L$4999,6,FALSE))</f>
        <v>ＭＥＴＡＬＵＭＹ　ＳＩＬＶＥＲ　Ｎ－ＭＡＴＴＥ　Ｘ４４Ｍ　Ｂ</v>
      </c>
      <c r="J591" s="30" t="s">
        <v>447</v>
      </c>
      <c r="K591" s="200">
        <f>IF(D591="","",VLOOKUP(D591,契約台帳!$A$3:$L$4986,12,FALSE))</f>
        <v>50</v>
      </c>
      <c r="L591" s="200" t="str">
        <f>IF(D591="","",INDEX(製品マスタ!$Q$5:$Q$4999,MATCH(F591&amp;K591,製品マスタ!$AO$5:$AO$4999,0)))</f>
        <v>X44</v>
      </c>
      <c r="M591" s="37">
        <v>1120</v>
      </c>
      <c r="N591" s="37">
        <v>12000</v>
      </c>
      <c r="O591" s="45">
        <v>1</v>
      </c>
      <c r="P591" s="54"/>
      <c r="Q591" s="260">
        <f>IF(D591="","",IF(J591="リード付け",M591,VLOOKUP(D591,契約台帳!$A$3:$N$4986,14,FALSE)))</f>
        <v>1120</v>
      </c>
      <c r="R591" s="261">
        <f>IF(D591="","",IF(J591="リード付け",M591,VLOOKUP(D591,契約台帳!$A$3:$O$4986,15,FALSE)))</f>
        <v>1120</v>
      </c>
      <c r="S591" s="261">
        <f>IF(D591="","",IF(J591="リード付け",N591,VLOOKUP(D591,契約台帳!$A$3:$P$4986,16,FALSE)))</f>
        <v>4000</v>
      </c>
      <c r="T591" s="38">
        <v>3</v>
      </c>
      <c r="U591" s="261" t="str">
        <f ca="1">IF(D591="","",IF(OFFSET(D591,-2,0)=D591,"",VLOOKUP(D591,契約台帳!$A$3:$R$4986,18,FALSE)))</f>
        <v/>
      </c>
      <c r="V591" s="256" t="str">
        <f>IF(J591="巻返し",VLOOKUP(F591&amp;K591&amp;M591,製品マスタ!$M$5:$AD$4999,18,FALSE),IF(J591="リード付け","原反コア",IF(J591="スリット",VLOOKUP(F591&amp;K591&amp;Q591,製品マスタ!$N$5:$AD$4999,17,FALSE),"")))</f>
        <v>6ｲﾝﾁMｺｱ</v>
      </c>
      <c r="W591" s="256">
        <f>IF(J591="巻返し",VLOOKUP(F591&amp;K591&amp;M591,製品マスタ!$M$5:$AE$4999,19,FALSE),IF(J591="リード付け","-",IF(J591="スリット",VLOOKUP(F591&amp;K591&amp;Q591,製品マスタ!$N$5:$AE$4999,18,FALSE),"")))</f>
        <v>1125</v>
      </c>
      <c r="X591" s="256">
        <f>IF(D591="","",VLOOKUP(D591,契約台帳!$A$3:$Q$4986,17,FALSE))</f>
        <v>2</v>
      </c>
      <c r="Y591" s="256" t="str">
        <f>IF(D591="","",VLOOKUP(D591,契約台帳!$A$3:$E$4986,5,FALSE))</f>
        <v>リンテック㈱</v>
      </c>
      <c r="Z591" s="54">
        <v>45132</v>
      </c>
      <c r="AA591" s="200">
        <f>IFERROR(VLOOKUP(F591&amp;K591&amp;M591,製品マスタ!$M$5:$AM$4999,27,FALSE),"")</f>
        <v>0</v>
      </c>
      <c r="AB591" s="31"/>
      <c r="AC591" s="184"/>
      <c r="AD591" s="51" t="str">
        <f>IF(F591="","",+F591&amp;K591)</f>
        <v>3SYMLBMSNMBF50</v>
      </c>
      <c r="AE591" s="52">
        <f>+M591*N591*O591/1000</f>
        <v>13440</v>
      </c>
      <c r="AF591" s="41">
        <f>IF(AD591="","",VLOOKUP(AD591,原価マスタ!$A$2:$AJ$1693,13,FALSE))</f>
        <v>98.8</v>
      </c>
      <c r="AG591" s="45">
        <f>IF(AF591="","",+AE591*AF591/100)</f>
        <v>13278.72</v>
      </c>
      <c r="AH591" s="28"/>
      <c r="AI591" s="28"/>
      <c r="AJ591" s="28"/>
      <c r="AK591" s="28"/>
      <c r="AL591" s="12"/>
      <c r="AM591" s="12"/>
      <c r="AN591" s="12"/>
      <c r="AO591" s="12"/>
      <c r="AP591" s="12"/>
      <c r="AQ591" s="13"/>
      <c r="AR591" s="14"/>
    </row>
    <row r="592" spans="1:44" s="16" customFormat="1" ht="30.95" hidden="1" customHeight="1" x14ac:dyDescent="0.2">
      <c r="A592" s="35"/>
      <c r="B592" s="36"/>
      <c r="C592" s="43"/>
      <c r="D592" s="29"/>
      <c r="E592" s="29"/>
      <c r="F592" s="255"/>
      <c r="G592" s="256"/>
      <c r="H592" s="256"/>
      <c r="I592" s="200"/>
      <c r="J592" s="30"/>
      <c r="K592" s="200"/>
      <c r="L592" s="200"/>
      <c r="M592" s="37"/>
      <c r="N592" s="37"/>
      <c r="O592" s="45"/>
      <c r="P592" s="54"/>
      <c r="Q592" s="260"/>
      <c r="R592" s="261"/>
      <c r="S592" s="261"/>
      <c r="T592" s="38"/>
      <c r="U592" s="261"/>
      <c r="V592" s="256"/>
      <c r="W592" s="256"/>
      <c r="X592" s="256"/>
      <c r="Y592" s="256"/>
      <c r="Z592" s="54"/>
      <c r="AA592" s="200"/>
      <c r="AB592" s="31"/>
      <c r="AC592" s="184"/>
      <c r="AD592" s="51"/>
      <c r="AE592" s="52"/>
      <c r="AF592" s="41"/>
      <c r="AG592" s="45"/>
      <c r="AH592" s="28"/>
      <c r="AI592" s="28"/>
      <c r="AJ592" s="28"/>
      <c r="AK592" s="28"/>
      <c r="AL592" s="12"/>
      <c r="AM592" s="12"/>
      <c r="AN592" s="12"/>
      <c r="AO592" s="12"/>
      <c r="AP592" s="12"/>
      <c r="AQ592" s="13"/>
      <c r="AR592" s="14"/>
    </row>
    <row r="593" spans="1:44" s="16" customFormat="1" ht="30.95" hidden="1" customHeight="1" x14ac:dyDescent="0.2">
      <c r="A593" s="35"/>
      <c r="B593" s="36"/>
      <c r="C593" s="43"/>
      <c r="D593" s="29">
        <v>3716268</v>
      </c>
      <c r="E593" s="29">
        <v>4151414</v>
      </c>
      <c r="F593" s="255" t="str">
        <f>IF(D593="","",VLOOKUP(D593,契約台帳!$A$3:$K$4986,6,FALSE)&amp;VLOOKUP(D593,契約台帳!$A$3:$K$4986,7,FALSE)&amp;VLOOKUP(D593,契約台帳!$A$3:$K$4986,8,FALSE)&amp;VLOOKUP(D593,契約台帳!$A$3:$K$4986,9,FALSE)&amp;VLOOKUP(D593,契約台帳!$A$3:$K$4986,11,FALSE))</f>
        <v>3SNMLBMNQR66F</v>
      </c>
      <c r="G593" s="256" t="str">
        <f>IF(D593="","",VLOOKUP(F593,製品マスタ!$G$5:$H$4999,2,FALSE))</f>
        <v>S</v>
      </c>
      <c r="H593" s="256" t="str">
        <f>IF(D593="","",VLOOKUP(F593,製品マスタ!$G$5:$K$4999,5,FALSE))</f>
        <v>MNQR66F</v>
      </c>
      <c r="I593" s="200" t="str">
        <f>IF(D593="","",VLOOKUP(F593,製品マスタ!$G$5:$L$4999,6,FALSE))</f>
        <v>ＱＲ６６蒸着品</v>
      </c>
      <c r="J593" s="30" t="s">
        <v>447</v>
      </c>
      <c r="K593" s="200">
        <f>IF(D593="","",VLOOKUP(D593,契約台帳!$A$3:$L$4986,12,FALSE))</f>
        <v>25</v>
      </c>
      <c r="L593" s="200" t="str">
        <f>IF(D593="","",INDEX(製品マスタ!$Q$5:$Q$4999,MATCH(F593&amp;K593,製品マスタ!$AO$5:$AO$4999,0)))</f>
        <v>E315</v>
      </c>
      <c r="M593" s="37">
        <v>1100</v>
      </c>
      <c r="N593" s="37">
        <v>24000</v>
      </c>
      <c r="O593" s="45">
        <v>2</v>
      </c>
      <c r="P593" s="54"/>
      <c r="Q593" s="260">
        <f>IF(D593="","",IF(J593="リード付け",M593,VLOOKUP(D593,契約台帳!$A$3:$N$4986,14,FALSE)))</f>
        <v>1100</v>
      </c>
      <c r="R593" s="261">
        <f>IF(D593="","",IF(J593="リード付け",M593,VLOOKUP(D593,契約台帳!$A$3:$O$4986,15,FALSE)))</f>
        <v>1100</v>
      </c>
      <c r="S593" s="261">
        <f>IF(D593="","",IF(J593="リード付け",N593,VLOOKUP(D593,契約台帳!$A$3:$P$4986,16,FALSE)))</f>
        <v>6000</v>
      </c>
      <c r="T593" s="38">
        <v>8</v>
      </c>
      <c r="U593" s="261">
        <f ca="1">IF(D593="","",IF(OFFSET(D593,-2,0)=D593,"",VLOOKUP(D593,契約台帳!$A$3:$R$4986,18,FALSE)))</f>
        <v>8</v>
      </c>
      <c r="V593" s="256" t="str">
        <f>IF(J593="巻返し",VLOOKUP(F593&amp;K593&amp;M593,製品マスタ!$M$5:$AD$4999,18,FALSE),IF(J593="リード付け","原反コア",IF(J593="スリット",VLOOKUP(F593&amp;K593&amp;Q593,製品マスタ!$N$5:$AD$4999,17,FALSE),"")))</f>
        <v>6ｲﾝﾁMｺｱ</v>
      </c>
      <c r="W593" s="256">
        <f>IF(J593="巻返し",VLOOKUP(F593&amp;K593&amp;M593,製品マスタ!$M$5:$AE$4999,19,FALSE),IF(J593="リード付け","-",IF(J593="スリット",VLOOKUP(F593&amp;K593&amp;Q593,製品マスタ!$N$5:$AE$4999,18,FALSE),"")))</f>
        <v>1110</v>
      </c>
      <c r="X593" s="256">
        <f>IF(D593="","",VLOOKUP(D593,契約台帳!$A$3:$Q$4986,17,FALSE))</f>
        <v>2</v>
      </c>
      <c r="Y593" s="256" t="str">
        <f>IF(D593="","",VLOOKUP(D593,契約台帳!$A$3:$E$4986,5,FALSE))</f>
        <v>リンテック㈱</v>
      </c>
      <c r="Z593" s="54">
        <v>45132</v>
      </c>
      <c r="AA593" s="200" t="str">
        <f>IFERROR(VLOOKUP(F593&amp;K593&amp;M593,製品マスタ!$M$5:$AM$4999,27,FALSE),"")</f>
        <v>原反ケース再利用</v>
      </c>
      <c r="AB593" s="31"/>
      <c r="AC593" s="184"/>
      <c r="AD593" s="51" t="str">
        <f>IF(F593="","",+F593&amp;K593)</f>
        <v>3SNMLBMNQR66F25</v>
      </c>
      <c r="AE593" s="52">
        <f>+M593*N593*O593/1000</f>
        <v>52800</v>
      </c>
      <c r="AF593" s="41">
        <f>IF(AD593="","",VLOOKUP(AD593,原価マスタ!$A$2:$AJ$1693,13,FALSE))</f>
        <v>98</v>
      </c>
      <c r="AG593" s="45">
        <f>IF(AF593="","",+AE593*AF593/100)</f>
        <v>51744</v>
      </c>
      <c r="AH593" s="28"/>
      <c r="AI593" s="28"/>
      <c r="AJ593" s="28"/>
      <c r="AK593" s="28"/>
      <c r="AL593" s="12"/>
      <c r="AM593" s="12"/>
      <c r="AN593" s="12"/>
      <c r="AO593" s="12"/>
      <c r="AP593" s="12"/>
      <c r="AQ593" s="13"/>
      <c r="AR593" s="14"/>
    </row>
    <row r="594" spans="1:44" s="16" customFormat="1" ht="30.95" hidden="1" customHeight="1" x14ac:dyDescent="0.2">
      <c r="A594" s="35"/>
      <c r="B594" s="36"/>
      <c r="C594" s="43"/>
      <c r="D594" s="29"/>
      <c r="E594" s="29"/>
      <c r="F594" s="255"/>
      <c r="G594" s="256"/>
      <c r="H594" s="256"/>
      <c r="I594" s="200"/>
      <c r="J594" s="30"/>
      <c r="K594" s="200"/>
      <c r="L594" s="200"/>
      <c r="M594" s="37"/>
      <c r="N594" s="37"/>
      <c r="O594" s="45"/>
      <c r="P594" s="54"/>
      <c r="Q594" s="260"/>
      <c r="R594" s="261"/>
      <c r="S594" s="261"/>
      <c r="T594" s="38"/>
      <c r="U594" s="261"/>
      <c r="V594" s="256"/>
      <c r="W594" s="256"/>
      <c r="X594" s="256"/>
      <c r="Y594" s="256"/>
      <c r="Z594" s="54"/>
      <c r="AA594" s="200"/>
      <c r="AB594" s="31"/>
      <c r="AC594" s="184"/>
      <c r="AD594" s="51"/>
      <c r="AE594" s="52"/>
      <c r="AF594" s="41"/>
      <c r="AG594" s="45"/>
      <c r="AH594" s="28"/>
      <c r="AI594" s="28"/>
      <c r="AJ594" s="28"/>
      <c r="AK594" s="28"/>
      <c r="AL594" s="12"/>
      <c r="AM594" s="12"/>
      <c r="AN594" s="12"/>
      <c r="AO594" s="12"/>
      <c r="AP594" s="12"/>
      <c r="AQ594" s="13"/>
      <c r="AR594" s="14"/>
    </row>
    <row r="595" spans="1:44" s="16" customFormat="1" ht="30.95" hidden="1" customHeight="1" x14ac:dyDescent="0.2">
      <c r="A595" s="35" t="s">
        <v>512</v>
      </c>
      <c r="B595" s="36" t="s">
        <v>444</v>
      </c>
      <c r="C595" s="43"/>
      <c r="D595" s="29">
        <v>3716250</v>
      </c>
      <c r="E595" s="29">
        <v>4151386</v>
      </c>
      <c r="F595" s="255" t="str">
        <f>IF(D595="","",VLOOKUP(D595,契約台帳!$A$3:$K$4986,6,FALSE)&amp;VLOOKUP(D595,契約台帳!$A$3:$K$4986,7,FALSE)&amp;VLOOKUP(D595,契約台帳!$A$3:$K$4986,8,FALSE)&amp;VLOOKUP(D595,契約台帳!$A$3:$K$4986,9,FALSE)&amp;VLOOKUP(D595,契約台帳!$A$3:$K$4986,11,FALSE))</f>
        <v>3SNMLBMNGKBF</v>
      </c>
      <c r="G595" s="256" t="str">
        <f>IF(D595="","",VLOOKUP(F595,製品マスタ!$G$5:$H$4999,2,FALSE))</f>
        <v>S</v>
      </c>
      <c r="H595" s="256" t="str">
        <f>IF(D595="","",VLOOKUP(F595,製品マスタ!$G$5:$K$4999,5,FALSE))</f>
        <v>MNGKBF</v>
      </c>
      <c r="I595" s="200" t="str">
        <f>IF(D595="","",VLOOKUP(F595,製品マスタ!$G$5:$L$4999,6,FALSE))</f>
        <v>メタルミー　ネーマー銀消　Ｂ</v>
      </c>
      <c r="J595" s="30" t="s">
        <v>447</v>
      </c>
      <c r="K595" s="200">
        <f>IF(D595="","",VLOOKUP(D595,契約台帳!$A$3:$L$4986,12,FALSE))</f>
        <v>25</v>
      </c>
      <c r="L595" s="200" t="str">
        <f>IF(D595="","",INDEX(製品マスタ!$Q$5:$Q$4999,MATCH(F595&amp;K595,製品マスタ!$AO$5:$AO$4999,0)))</f>
        <v>LUMIMAT</v>
      </c>
      <c r="M595" s="37">
        <v>1050</v>
      </c>
      <c r="N595" s="37">
        <v>8000</v>
      </c>
      <c r="O595" s="45">
        <v>1</v>
      </c>
      <c r="P595" s="54"/>
      <c r="Q595" s="260">
        <f>IF(D595="","",IF(J595="リード付け",M595,VLOOKUP(D595,契約台帳!$A$3:$N$4986,14,FALSE)))</f>
        <v>1050</v>
      </c>
      <c r="R595" s="261">
        <f>IF(D595="","",IF(J595="リード付け",M595,VLOOKUP(D595,契約台帳!$A$3:$O$4986,15,FALSE)))</f>
        <v>1050</v>
      </c>
      <c r="S595" s="261">
        <f>IF(D595="","",IF(J595="リード付け",N595,VLOOKUP(D595,契約台帳!$A$3:$P$4986,16,FALSE)))</f>
        <v>4000</v>
      </c>
      <c r="T595" s="38">
        <v>2</v>
      </c>
      <c r="U595" s="261">
        <f ca="1">IF(D595="","",IF(OFFSET(D595,-2,0)=D595,"",VLOOKUP(D595,契約台帳!$A$3:$R$4986,18,FALSE)))</f>
        <v>2</v>
      </c>
      <c r="V595" s="256" t="str">
        <f>IF(J595="巻返し",VLOOKUP(F595&amp;K595&amp;M595,製品マスタ!$M$5:$AD$4999,18,FALSE),IF(J595="リード付け","原反コア",IF(J595="スリット",VLOOKUP(F595&amp;K595&amp;Q595,製品マスタ!$N$5:$AD$4999,17,FALSE),"")))</f>
        <v>6ｲﾝﾁSｺｱ</v>
      </c>
      <c r="W595" s="256">
        <f>IF(J595="巻返し",VLOOKUP(F595&amp;K595&amp;M595,製品マスタ!$M$5:$AE$4999,19,FALSE),IF(J595="リード付け","-",IF(J595="スリット",VLOOKUP(F595&amp;K595&amp;Q595,製品マスタ!$N$5:$AE$4999,18,FALSE),"")))</f>
        <v>1055</v>
      </c>
      <c r="X595" s="256">
        <f>IF(D595="","",VLOOKUP(D595,契約台帳!$A$3:$Q$4986,17,FALSE))</f>
        <v>2</v>
      </c>
      <c r="Y595" s="256" t="str">
        <f>IF(D595="","",VLOOKUP(D595,契約台帳!$A$3:$E$4986,5,FALSE))</f>
        <v>リンテック㈱</v>
      </c>
      <c r="Z595" s="54">
        <v>45132</v>
      </c>
      <c r="AA595" s="200">
        <f>IFERROR(VLOOKUP(F595&amp;K595&amp;M595,製品マスタ!$M$5:$AM$4999,27,FALSE),"")</f>
        <v>0</v>
      </c>
      <c r="AB595" s="31"/>
      <c r="AC595" s="184"/>
      <c r="AD595" s="51" t="str">
        <f>IF(F595="","",+F595&amp;K595)</f>
        <v>3SNMLBMNGKBF25</v>
      </c>
      <c r="AE595" s="52">
        <f>+M595*N595*O595/1000</f>
        <v>8400</v>
      </c>
      <c r="AF595" s="41" t="e">
        <f>IF(AD595="","",VLOOKUP(AD595,原価マスタ!$A$2:$AJ$1693,13,FALSE))</f>
        <v>#N/A</v>
      </c>
      <c r="AG595" s="45" t="e">
        <f>IF(AF595="","",+AE595*AF595/100)</f>
        <v>#N/A</v>
      </c>
      <c r="AH595" s="28"/>
      <c r="AI595" s="28"/>
      <c r="AJ595" s="28"/>
      <c r="AK595" s="28"/>
      <c r="AL595" s="12"/>
      <c r="AM595" s="12"/>
      <c r="AN595" s="12"/>
      <c r="AO595" s="12"/>
      <c r="AP595" s="12"/>
      <c r="AQ595" s="13"/>
      <c r="AR595" s="14"/>
    </row>
    <row r="596" spans="1:44" s="16" customFormat="1" ht="30.95" hidden="1" customHeight="1" x14ac:dyDescent="0.2">
      <c r="A596" s="35"/>
      <c r="B596" s="36"/>
      <c r="C596" s="43"/>
      <c r="D596" s="29"/>
      <c r="E596" s="29"/>
      <c r="F596" s="255"/>
      <c r="G596" s="256"/>
      <c r="H596" s="256"/>
      <c r="I596" s="200"/>
      <c r="J596" s="30"/>
      <c r="K596" s="200"/>
      <c r="L596" s="200"/>
      <c r="M596" s="37"/>
      <c r="N596" s="37"/>
      <c r="O596" s="45"/>
      <c r="P596" s="54"/>
      <c r="Q596" s="260"/>
      <c r="R596" s="261"/>
      <c r="S596" s="261"/>
      <c r="T596" s="38"/>
      <c r="U596" s="261"/>
      <c r="V596" s="256"/>
      <c r="W596" s="256"/>
      <c r="X596" s="256"/>
      <c r="Y596" s="256"/>
      <c r="Z596" s="54"/>
      <c r="AA596" s="200"/>
      <c r="AB596" s="31"/>
      <c r="AC596" s="184"/>
      <c r="AD596" s="51"/>
      <c r="AE596" s="52"/>
      <c r="AF596" s="41"/>
      <c r="AG596" s="45"/>
      <c r="AH596" s="28"/>
      <c r="AI596" s="28"/>
      <c r="AJ596" s="28"/>
      <c r="AK596" s="28"/>
      <c r="AL596" s="12"/>
      <c r="AM596" s="12"/>
      <c r="AN596" s="12"/>
      <c r="AO596" s="12"/>
      <c r="AP596" s="12"/>
      <c r="AQ596" s="13"/>
      <c r="AR596" s="14"/>
    </row>
    <row r="597" spans="1:44" s="16" customFormat="1" ht="30.95" hidden="1" customHeight="1" x14ac:dyDescent="0.2">
      <c r="A597" s="35"/>
      <c r="B597" s="36"/>
      <c r="C597" s="43"/>
      <c r="D597" s="29">
        <v>3716251</v>
      </c>
      <c r="E597" s="29">
        <v>4151388</v>
      </c>
      <c r="F597" s="255" t="str">
        <f>IF(D597="","",VLOOKUP(D597,契約台帳!$A$3:$K$4986,6,FALSE)&amp;VLOOKUP(D597,契約台帳!$A$3:$K$4986,7,FALSE)&amp;VLOOKUP(D597,契約台帳!$A$3:$K$4986,8,FALSE)&amp;VLOOKUP(D597,契約台帳!$A$3:$K$4986,9,FALSE)&amp;VLOOKUP(D597,契約台帳!$A$3:$K$4986,11,FALSE))</f>
        <v>3SNMLBMNGKBF</v>
      </c>
      <c r="G597" s="256" t="str">
        <f>IF(D597="","",VLOOKUP(F597,製品マスタ!$G$5:$H$4999,2,FALSE))</f>
        <v>S</v>
      </c>
      <c r="H597" s="256" t="str">
        <f>IF(D597="","",VLOOKUP(F597,製品マスタ!$G$5:$K$4999,5,FALSE))</f>
        <v>MNGKBF</v>
      </c>
      <c r="I597" s="200" t="str">
        <f>IF(D597="","",VLOOKUP(F597,製品マスタ!$G$5:$L$4999,6,FALSE))</f>
        <v>メタルミー　ネーマー銀消　Ｂ</v>
      </c>
      <c r="J597" s="30" t="s">
        <v>447</v>
      </c>
      <c r="K597" s="200">
        <f>IF(D597="","",VLOOKUP(D597,契約台帳!$A$3:$L$4986,12,FALSE))</f>
        <v>50</v>
      </c>
      <c r="L597" s="200" t="str">
        <f>IF(D597="","",INDEX(製品マスタ!$Q$5:$Q$4999,MATCH(F597&amp;K597,製品マスタ!$AO$5:$AO$4999,0)))</f>
        <v>MAT</v>
      </c>
      <c r="M597" s="37">
        <v>1050</v>
      </c>
      <c r="N597" s="37">
        <v>12300</v>
      </c>
      <c r="O597" s="45">
        <v>1</v>
      </c>
      <c r="P597" s="54"/>
      <c r="Q597" s="260">
        <f>IF(D597="","",IF(J597="リード付け",M597,VLOOKUP(D597,契約台帳!$A$3:$N$4986,14,FALSE)))</f>
        <v>1050</v>
      </c>
      <c r="R597" s="261">
        <f>IF(D597="","",IF(J597="リード付け",M597,VLOOKUP(D597,契約台帳!$A$3:$O$4986,15,FALSE)))</f>
        <v>1050</v>
      </c>
      <c r="S597" s="261">
        <f>IF(D597="","",IF(J597="リード付け",N597,VLOOKUP(D597,契約台帳!$A$3:$P$4986,16,FALSE)))</f>
        <v>4100</v>
      </c>
      <c r="T597" s="38">
        <v>3</v>
      </c>
      <c r="U597" s="261">
        <f ca="1">IF(D597="","",IF(OFFSET(D597,-2,0)=D597,"",VLOOKUP(D597,契約台帳!$A$3:$R$4986,18,FALSE)))</f>
        <v>3</v>
      </c>
      <c r="V597" s="256" t="str">
        <f>IF(J597="巻返し",VLOOKUP(F597&amp;K597&amp;M597,製品マスタ!$M$5:$AD$4999,18,FALSE),IF(J597="リード付け","原反コア",IF(J597="スリット",VLOOKUP(F597&amp;K597&amp;Q597,製品マスタ!$N$5:$AD$4999,17,FALSE),"")))</f>
        <v>6ｲﾝﾁSｺｱ</v>
      </c>
      <c r="W597" s="256">
        <f>IF(J597="巻返し",VLOOKUP(F597&amp;K597&amp;M597,製品マスタ!$M$5:$AE$4999,19,FALSE),IF(J597="リード付け","-",IF(J597="スリット",VLOOKUP(F597&amp;K597&amp;Q597,製品マスタ!$N$5:$AE$4999,18,FALSE),"")))</f>
        <v>1055</v>
      </c>
      <c r="X597" s="256">
        <f>IF(D597="","",VLOOKUP(D597,契約台帳!$A$3:$Q$4986,17,FALSE))</f>
        <v>2</v>
      </c>
      <c r="Y597" s="256" t="str">
        <f>IF(D597="","",VLOOKUP(D597,契約台帳!$A$3:$E$4986,5,FALSE))</f>
        <v>リンテック㈱</v>
      </c>
      <c r="Z597" s="54">
        <v>45132</v>
      </c>
      <c r="AA597" s="200">
        <f>IFERROR(VLOOKUP(F597&amp;K597&amp;M597,製品マスタ!$M$5:$AM$4999,27,FALSE),"")</f>
        <v>0</v>
      </c>
      <c r="AB597" s="31"/>
      <c r="AC597" s="184"/>
      <c r="AD597" s="51" t="str">
        <f>IF(F597="","",+F597&amp;K597)</f>
        <v>3SNMLBMNGKBF50</v>
      </c>
      <c r="AE597" s="52">
        <f>+M597*N597*O597/1000</f>
        <v>12915</v>
      </c>
      <c r="AF597" s="41">
        <f>IF(AD597="","",VLOOKUP(AD597,原価マスタ!$A$2:$AJ$1693,13,FALSE))</f>
        <v>98</v>
      </c>
      <c r="AG597" s="45">
        <f>IF(AF597="","",+AE597*AF597/100)</f>
        <v>12656.7</v>
      </c>
      <c r="AH597" s="28"/>
      <c r="AI597" s="28"/>
      <c r="AJ597" s="28"/>
      <c r="AK597" s="28"/>
      <c r="AL597" s="12"/>
      <c r="AM597" s="12"/>
      <c r="AN597" s="12"/>
      <c r="AO597" s="12"/>
      <c r="AP597" s="12"/>
      <c r="AQ597" s="13"/>
      <c r="AR597" s="14"/>
    </row>
    <row r="598" spans="1:44" s="16" customFormat="1" ht="30.95" hidden="1" customHeight="1" x14ac:dyDescent="0.2">
      <c r="A598" s="35"/>
      <c r="B598" s="36"/>
      <c r="C598" s="43"/>
      <c r="D598" s="29"/>
      <c r="E598" s="29"/>
      <c r="F598" s="255"/>
      <c r="G598" s="256"/>
      <c r="H598" s="256"/>
      <c r="I598" s="200"/>
      <c r="J598" s="30"/>
      <c r="K598" s="200"/>
      <c r="L598" s="200"/>
      <c r="M598" s="37"/>
      <c r="N598" s="37"/>
      <c r="O598" s="45"/>
      <c r="P598" s="54"/>
      <c r="Q598" s="260"/>
      <c r="R598" s="261"/>
      <c r="S598" s="261"/>
      <c r="T598" s="38"/>
      <c r="U598" s="261"/>
      <c r="V598" s="256"/>
      <c r="W598" s="256"/>
      <c r="X598" s="256"/>
      <c r="Y598" s="256"/>
      <c r="Z598" s="54"/>
      <c r="AA598" s="200"/>
      <c r="AB598" s="31"/>
      <c r="AC598" s="184"/>
      <c r="AD598" s="51"/>
      <c r="AE598" s="52"/>
      <c r="AF598" s="41"/>
      <c r="AG598" s="45"/>
      <c r="AH598" s="28"/>
      <c r="AI598" s="28"/>
      <c r="AJ598" s="28"/>
      <c r="AK598" s="28"/>
      <c r="AL598" s="12"/>
      <c r="AM598" s="12"/>
      <c r="AN598" s="12"/>
      <c r="AO598" s="12"/>
      <c r="AP598" s="12"/>
      <c r="AQ598" s="13"/>
      <c r="AR598" s="14"/>
    </row>
    <row r="599" spans="1:44" s="16" customFormat="1" ht="30.95" hidden="1" customHeight="1" x14ac:dyDescent="0.2">
      <c r="A599" s="35"/>
      <c r="B599" s="36"/>
      <c r="C599" s="43"/>
      <c r="D599" s="29">
        <v>3716253</v>
      </c>
      <c r="E599" s="29">
        <v>4151390</v>
      </c>
      <c r="F599" s="255" t="str">
        <f>IF(D599="","",VLOOKUP(D599,契約台帳!$A$3:$K$4986,6,FALSE)&amp;VLOOKUP(D599,契約台帳!$A$3:$K$4986,7,FALSE)&amp;VLOOKUP(D599,契約台帳!$A$3:$K$4986,8,FALSE)&amp;VLOOKUP(D599,契約台帳!$A$3:$K$4986,9,FALSE)&amp;VLOOKUP(D599,契約台帳!$A$3:$K$4986,11,FALSE))</f>
        <v>3SNMLBMNGKBF</v>
      </c>
      <c r="G599" s="256" t="str">
        <f>IF(D599="","",VLOOKUP(F599,製品マスタ!$G$5:$H$4999,2,FALSE))</f>
        <v>S</v>
      </c>
      <c r="H599" s="256" t="str">
        <f>IF(D599="","",VLOOKUP(F599,製品マスタ!$G$5:$K$4999,5,FALSE))</f>
        <v>MNGKBF</v>
      </c>
      <c r="I599" s="200" t="str">
        <f>IF(D599="","",VLOOKUP(F599,製品マスタ!$G$5:$L$4999,6,FALSE))</f>
        <v>メタルミー　ネーマー銀消　Ｂ</v>
      </c>
      <c r="J599" s="30" t="s">
        <v>447</v>
      </c>
      <c r="K599" s="200">
        <f>IF(D599="","",VLOOKUP(D599,契約台帳!$A$3:$L$4986,12,FALSE))</f>
        <v>75</v>
      </c>
      <c r="L599" s="200" t="str">
        <f>IF(D599="","",INDEX(製品マスタ!$Q$5:$Q$4999,MATCH(F599&amp;K599,製品マスタ!$AO$5:$AO$4999,0)))</f>
        <v>MAT</v>
      </c>
      <c r="M599" s="37">
        <v>1050</v>
      </c>
      <c r="N599" s="37">
        <v>4000</v>
      </c>
      <c r="O599" s="45">
        <v>1</v>
      </c>
      <c r="P599" s="54"/>
      <c r="Q599" s="260">
        <f>IF(D599="","",IF(J599="リード付け",M599,VLOOKUP(D599,契約台帳!$A$3:$N$4986,14,FALSE)))</f>
        <v>1050</v>
      </c>
      <c r="R599" s="261">
        <f>IF(D599="","",IF(J599="リード付け",M599,VLOOKUP(D599,契約台帳!$A$3:$O$4986,15,FALSE)))</f>
        <v>1050</v>
      </c>
      <c r="S599" s="261">
        <f>IF(D599="","",IF(J599="リード付け",N599,VLOOKUP(D599,契約台帳!$A$3:$P$4986,16,FALSE)))</f>
        <v>2000</v>
      </c>
      <c r="T599" s="38">
        <v>2</v>
      </c>
      <c r="U599" s="261">
        <f ca="1">IF(D599="","",IF(OFFSET(D599,-2,0)=D599,"",VLOOKUP(D599,契約台帳!$A$3:$R$4986,18,FALSE)))</f>
        <v>2</v>
      </c>
      <c r="V599" s="256" t="str">
        <f>IF(J599="巻返し",VLOOKUP(F599&amp;K599&amp;M599,製品マスタ!$M$5:$AD$4999,18,FALSE),IF(J599="リード付け","原反コア",IF(J599="スリット",VLOOKUP(F599&amp;K599&amp;Q599,製品マスタ!$N$5:$AD$4999,17,FALSE),"")))</f>
        <v>6ｲﾝﾁSｺｱ</v>
      </c>
      <c r="W599" s="256">
        <f>IF(J599="巻返し",VLOOKUP(F599&amp;K599&amp;M599,製品マスタ!$M$5:$AE$4999,19,FALSE),IF(J599="リード付け","-",IF(J599="スリット",VLOOKUP(F599&amp;K599&amp;Q599,製品マスタ!$N$5:$AE$4999,18,FALSE),"")))</f>
        <v>1055</v>
      </c>
      <c r="X599" s="256">
        <f>IF(D599="","",VLOOKUP(D599,契約台帳!$A$3:$Q$4986,17,FALSE))</f>
        <v>2</v>
      </c>
      <c r="Y599" s="256" t="str">
        <f>IF(D599="","",VLOOKUP(D599,契約台帳!$A$3:$E$4986,5,FALSE))</f>
        <v>リンテック㈱</v>
      </c>
      <c r="Z599" s="54">
        <v>45132</v>
      </c>
      <c r="AA599" s="200">
        <f>IFERROR(VLOOKUP(F599&amp;K599&amp;M599,製品マスタ!$M$5:$AM$4999,27,FALSE),"")</f>
        <v>0</v>
      </c>
      <c r="AB599" s="31"/>
      <c r="AC599" s="184"/>
      <c r="AD599" s="51" t="str">
        <f>IF(F599="","",+F599&amp;K599)</f>
        <v>3SNMLBMNGKBF75</v>
      </c>
      <c r="AE599" s="52">
        <f>+M599*N599*O599/1000</f>
        <v>4200</v>
      </c>
      <c r="AF599" s="41">
        <f>IF(AD599="","",VLOOKUP(AD599,原価マスタ!$A$2:$AJ$1693,13,FALSE))</f>
        <v>97</v>
      </c>
      <c r="AG599" s="45">
        <f>IF(AF599="","",+AE599*AF599/100)</f>
        <v>4074</v>
      </c>
      <c r="AH599" s="28"/>
      <c r="AI599" s="28"/>
      <c r="AJ599" s="28"/>
      <c r="AK599" s="28"/>
      <c r="AL599" s="12"/>
      <c r="AM599" s="12"/>
      <c r="AN599" s="12"/>
      <c r="AO599" s="12"/>
      <c r="AP599" s="12"/>
      <c r="AQ599" s="13"/>
      <c r="AR599" s="14"/>
    </row>
    <row r="600" spans="1:44" s="16" customFormat="1" ht="30.95" hidden="1" customHeight="1" x14ac:dyDescent="0.2">
      <c r="A600" s="35"/>
      <c r="B600" s="36"/>
      <c r="C600" s="43"/>
      <c r="D600" s="29"/>
      <c r="E600" s="29"/>
      <c r="F600" s="255"/>
      <c r="G600" s="256"/>
      <c r="H600" s="256"/>
      <c r="I600" s="200"/>
      <c r="J600" s="30"/>
      <c r="K600" s="200"/>
      <c r="L600" s="200"/>
      <c r="M600" s="37"/>
      <c r="N600" s="37"/>
      <c r="O600" s="45"/>
      <c r="P600" s="54"/>
      <c r="Q600" s="260"/>
      <c r="R600" s="261"/>
      <c r="S600" s="261"/>
      <c r="T600" s="38"/>
      <c r="U600" s="261"/>
      <c r="V600" s="256"/>
      <c r="W600" s="256"/>
      <c r="X600" s="256"/>
      <c r="Y600" s="256"/>
      <c r="Z600" s="54"/>
      <c r="AA600" s="200"/>
      <c r="AB600" s="31"/>
      <c r="AC600" s="184"/>
      <c r="AD600" s="51"/>
      <c r="AE600" s="52"/>
      <c r="AF600" s="41"/>
      <c r="AG600" s="45"/>
      <c r="AH600" s="28"/>
      <c r="AI600" s="28"/>
      <c r="AJ600" s="28"/>
      <c r="AK600" s="28"/>
      <c r="AL600" s="12"/>
      <c r="AM600" s="12"/>
      <c r="AN600" s="12"/>
      <c r="AO600" s="12"/>
      <c r="AP600" s="12"/>
      <c r="AQ600" s="13"/>
      <c r="AR600" s="14"/>
    </row>
    <row r="601" spans="1:44" s="16" customFormat="1" ht="30.95" hidden="1" customHeight="1" x14ac:dyDescent="0.2">
      <c r="A601" s="35"/>
      <c r="B601" s="36"/>
      <c r="C601" s="43"/>
      <c r="D601" s="29">
        <v>3717594</v>
      </c>
      <c r="E601" s="29">
        <v>4151416</v>
      </c>
      <c r="F601" s="255" t="str">
        <f>IF(D601="","",VLOOKUP(D601,契約台帳!$A$3:$K$4986,6,FALSE)&amp;VLOOKUP(D601,契約台帳!$A$3:$K$4986,7,FALSE)&amp;VLOOKUP(D601,契約台帳!$A$3:$K$4986,8,FALSE)&amp;VLOOKUP(D601,契約台帳!$A$3:$K$4986,9,FALSE)&amp;VLOOKUP(D601,契約台帳!$A$3:$K$4986,11,FALSE))</f>
        <v>3SNMLBMNGKBF</v>
      </c>
      <c r="G601" s="256" t="str">
        <f>IF(D601="","",VLOOKUP(F601,製品マスタ!$G$5:$H$4999,2,FALSE))</f>
        <v>S</v>
      </c>
      <c r="H601" s="256" t="str">
        <f>IF(D601="","",VLOOKUP(F601,製品マスタ!$G$5:$K$4999,5,FALSE))</f>
        <v>MNGKBF</v>
      </c>
      <c r="I601" s="200" t="str">
        <f>IF(D601="","",VLOOKUP(F601,製品マスタ!$G$5:$L$4999,6,FALSE))</f>
        <v>メタルミー　ネーマー銀消　Ｂ</v>
      </c>
      <c r="J601" s="30" t="s">
        <v>447</v>
      </c>
      <c r="K601" s="200">
        <f>IF(D601="","",VLOOKUP(D601,契約台帳!$A$3:$L$4986,12,FALSE))</f>
        <v>38</v>
      </c>
      <c r="L601" s="200" t="str">
        <f>IF(D601="","",INDEX(製品マスタ!$Q$5:$Q$4999,MATCH(F601&amp;K601,製品マスタ!$AO$5:$AO$4999,0)))</f>
        <v>LUMIMAT</v>
      </c>
      <c r="M601" s="37">
        <v>1005</v>
      </c>
      <c r="N601" s="37">
        <v>12300</v>
      </c>
      <c r="O601" s="45">
        <v>1</v>
      </c>
      <c r="P601" s="54"/>
      <c r="Q601" s="260">
        <f>IF(D601="","",IF(J601="リード付け",M601,VLOOKUP(D601,契約台帳!$A$3:$N$4986,14,FALSE)))</f>
        <v>1005</v>
      </c>
      <c r="R601" s="261">
        <f>IF(D601="","",IF(J601="リード付け",M601,VLOOKUP(D601,契約台帳!$A$3:$O$4986,15,FALSE)))</f>
        <v>1000</v>
      </c>
      <c r="S601" s="261">
        <f>IF(D601="","",IF(J601="リード付け",N601,VLOOKUP(D601,契約台帳!$A$3:$P$4986,16,FALSE)))</f>
        <v>4100</v>
      </c>
      <c r="T601" s="38">
        <v>3</v>
      </c>
      <c r="U601" s="261">
        <f ca="1">IF(D601="","",IF(OFFSET(D601,-2,0)=D601,"",VLOOKUP(D601,契約台帳!$A$3:$R$4986,18,FALSE)))</f>
        <v>3</v>
      </c>
      <c r="V601" s="256" t="str">
        <f>IF(J601="巻返し",VLOOKUP(F601&amp;K601&amp;M601,製品マスタ!$M$5:$AD$4999,18,FALSE),IF(J601="リード付け","原反コア",IF(J601="スリット",VLOOKUP(F601&amp;K601&amp;Q601,製品マスタ!$N$5:$AD$4999,17,FALSE),"")))</f>
        <v>6ｲﾝﾁSｺｱ</v>
      </c>
      <c r="W601" s="256">
        <f>IF(J601="巻返し",VLOOKUP(F601&amp;K601&amp;M601,製品マスタ!$M$5:$AE$4999,19,FALSE),IF(J601="リード付け","-",IF(J601="スリット",VLOOKUP(F601&amp;K601&amp;Q601,製品マスタ!$N$5:$AE$4999,18,FALSE),"")))</f>
        <v>1015</v>
      </c>
      <c r="X601" s="256">
        <f>IF(D601="","",VLOOKUP(D601,契約台帳!$A$3:$Q$4986,17,FALSE))</f>
        <v>2</v>
      </c>
      <c r="Y601" s="256" t="str">
        <f>IF(D601="","",VLOOKUP(D601,契約台帳!$A$3:$E$4986,5,FALSE))</f>
        <v>リンテック㈱</v>
      </c>
      <c r="Z601" s="54">
        <v>45132</v>
      </c>
      <c r="AA601" s="200">
        <f>IFERROR(VLOOKUP(F601&amp;K601&amp;M601,製品マスタ!$M$5:$AM$4999,27,FALSE),"")</f>
        <v>0</v>
      </c>
      <c r="AB601" s="31"/>
      <c r="AC601" s="184"/>
      <c r="AD601" s="51" t="str">
        <f>IF(F601="","",+F601&amp;K601)</f>
        <v>3SNMLBMNGKBF38</v>
      </c>
      <c r="AE601" s="52">
        <f>+M601*N601*O601/1000</f>
        <v>12361.5</v>
      </c>
      <c r="AF601" s="41">
        <f>IF(AD601="","",VLOOKUP(AD601,原価マスタ!$A$2:$AJ$1693,13,FALSE))</f>
        <v>97.2</v>
      </c>
      <c r="AG601" s="45">
        <f>IF(AF601="","",+AE601*AF601/100)</f>
        <v>12015.378000000001</v>
      </c>
      <c r="AH601" s="28"/>
      <c r="AI601" s="28"/>
      <c r="AJ601" s="28"/>
      <c r="AK601" s="28"/>
      <c r="AL601" s="12"/>
      <c r="AM601" s="12"/>
      <c r="AN601" s="12"/>
      <c r="AO601" s="12"/>
      <c r="AP601" s="12"/>
      <c r="AQ601" s="13"/>
      <c r="AR601" s="14"/>
    </row>
    <row r="602" spans="1:44" s="16" customFormat="1" ht="30.95" hidden="1" customHeight="1" x14ac:dyDescent="0.2">
      <c r="A602" s="35"/>
      <c r="B602" s="36"/>
      <c r="C602" s="43"/>
      <c r="D602" s="29"/>
      <c r="E602" s="29"/>
      <c r="F602" s="255"/>
      <c r="G602" s="256"/>
      <c r="H602" s="256"/>
      <c r="I602" s="200"/>
      <c r="J602" s="30"/>
      <c r="K602" s="200"/>
      <c r="L602" s="200"/>
      <c r="M602" s="37"/>
      <c r="N602" s="37"/>
      <c r="O602" s="45"/>
      <c r="P602" s="54"/>
      <c r="Q602" s="260"/>
      <c r="R602" s="261"/>
      <c r="S602" s="261"/>
      <c r="T602" s="38"/>
      <c r="U602" s="261"/>
      <c r="V602" s="256"/>
      <c r="W602" s="256"/>
      <c r="X602" s="256"/>
      <c r="Y602" s="256"/>
      <c r="Z602" s="54"/>
      <c r="AA602" s="200"/>
      <c r="AB602" s="31"/>
      <c r="AC602" s="184"/>
      <c r="AD602" s="51"/>
      <c r="AE602" s="52"/>
      <c r="AF602" s="41"/>
      <c r="AG602" s="45"/>
      <c r="AH602" s="28"/>
      <c r="AI602" s="28"/>
      <c r="AJ602" s="28"/>
      <c r="AK602" s="28"/>
      <c r="AL602" s="12"/>
      <c r="AM602" s="12"/>
      <c r="AN602" s="12"/>
      <c r="AO602" s="12"/>
      <c r="AP602" s="12"/>
      <c r="AQ602" s="13"/>
      <c r="AR602" s="14"/>
    </row>
    <row r="603" spans="1:44" s="16" customFormat="1" ht="30.95" hidden="1" customHeight="1" x14ac:dyDescent="0.2">
      <c r="A603" s="35" t="s">
        <v>518</v>
      </c>
      <c r="B603" s="36" t="s">
        <v>445</v>
      </c>
      <c r="C603" s="43"/>
      <c r="D603" s="29">
        <v>3716255</v>
      </c>
      <c r="E603" s="29">
        <v>4151421</v>
      </c>
      <c r="F603" s="255" t="str">
        <f>IF(D603="","",VLOOKUP(D603,契約台帳!$A$3:$K$4986,6,FALSE)&amp;VLOOKUP(D603,契約台帳!$A$3:$K$4986,7,FALSE)&amp;VLOOKUP(D603,契約台帳!$A$3:$K$4986,8,FALSE)&amp;VLOOKUP(D603,契約台帳!$A$3:$K$4986,9,FALSE)&amp;VLOOKUP(D603,契約台帳!$A$3:$K$4986,11,FALSE))</f>
        <v>3SNMLBMNGTBF</v>
      </c>
      <c r="G603" s="256" t="str">
        <f>IF(D603="","",VLOOKUP(F603,製品マスタ!$G$5:$H$4999,2,FALSE))</f>
        <v>S</v>
      </c>
      <c r="H603" s="256" t="str">
        <f>IF(D603="","",VLOOKUP(F603,製品マスタ!$G$5:$K$4999,5,FALSE))</f>
        <v>MNGTBF</v>
      </c>
      <c r="I603" s="200" t="str">
        <f>IF(D603="","",VLOOKUP(F603,製品マスタ!$G$5:$L$4999,6,FALSE))</f>
        <v>メタルミー　ネーマー　銀艶　Ｂ</v>
      </c>
      <c r="J603" s="30" t="s">
        <v>447</v>
      </c>
      <c r="K603" s="200">
        <f>IF(D603="","",VLOOKUP(D603,契約台帳!$A$3:$L$4986,12,FALSE))</f>
        <v>25</v>
      </c>
      <c r="L603" s="200" t="str">
        <f>IF(D603="","",INDEX(製品マスタ!$Q$5:$Q$4999,MATCH(F603&amp;K603,製品マスタ!$AO$5:$AO$4999,0)))</f>
        <v>T62M</v>
      </c>
      <c r="M603" s="37">
        <v>1005</v>
      </c>
      <c r="N603" s="37">
        <v>12100</v>
      </c>
      <c r="O603" s="45">
        <v>5</v>
      </c>
      <c r="P603" s="54"/>
      <c r="Q603" s="260">
        <f>IF(D603="","",IF(J603="リード付け",M603,VLOOKUP(D603,契約台帳!$A$3:$N$4986,14,FALSE)))</f>
        <v>1005</v>
      </c>
      <c r="R603" s="261">
        <f>IF(D603="","",IF(J603="リード付け",M603,VLOOKUP(D603,契約台帳!$A$3:$O$4986,15,FALSE)))</f>
        <v>1000</v>
      </c>
      <c r="S603" s="261">
        <f>IF(D603="","",IF(J603="リード付け",N603,VLOOKUP(D603,契約台帳!$A$3:$P$4986,16,FALSE)))</f>
        <v>4000</v>
      </c>
      <c r="T603" s="38">
        <v>15</v>
      </c>
      <c r="U603" s="261">
        <f ca="1">IF(D603="","",IF(OFFSET(D603,-2,0)=D603,"",VLOOKUP(D603,契約台帳!$A$3:$R$4986,18,FALSE)))</f>
        <v>15</v>
      </c>
      <c r="V603" s="256" t="str">
        <f>IF(J603="巻返し",VLOOKUP(F603&amp;K603&amp;M603,製品マスタ!$M$5:$AD$4999,18,FALSE),IF(J603="リード付け","原反コア",IF(J603="スリット",VLOOKUP(F603&amp;K603&amp;Q603,製品マスタ!$N$5:$AD$4999,17,FALSE),"")))</f>
        <v>6ｲﾝﾁSｺｱ</v>
      </c>
      <c r="W603" s="256">
        <f>IF(J603="巻返し",VLOOKUP(F603&amp;K603&amp;M603,製品マスタ!$M$5:$AE$4999,19,FALSE),IF(J603="リード付け","-",IF(J603="スリット",VLOOKUP(F603&amp;K603&amp;Q603,製品マスタ!$N$5:$AE$4999,18,FALSE),"")))</f>
        <v>1015</v>
      </c>
      <c r="X603" s="256">
        <f>IF(D603="","",VLOOKUP(D603,契約台帳!$A$3:$Q$4986,17,FALSE))</f>
        <v>2</v>
      </c>
      <c r="Y603" s="256" t="str">
        <f>IF(D603="","",VLOOKUP(D603,契約台帳!$A$3:$E$4986,5,FALSE))</f>
        <v>リンテック㈱</v>
      </c>
      <c r="Z603" s="54">
        <v>45132</v>
      </c>
      <c r="AA603" s="200">
        <f>IFERROR(VLOOKUP(F603&amp;K603&amp;M603,製品マスタ!$M$5:$AM$4999,27,FALSE),"")</f>
        <v>0</v>
      </c>
      <c r="AB603" s="31"/>
      <c r="AC603" s="184"/>
      <c r="AD603" s="51" t="str">
        <f>IF(F603="","",+F603&amp;K603)</f>
        <v>3SNMLBMNGTBF25</v>
      </c>
      <c r="AE603" s="52">
        <f>+M603*N603*O603/1000</f>
        <v>60802.5</v>
      </c>
      <c r="AF603" s="41">
        <f>IF(AD603="","",VLOOKUP(AD603,原価マスタ!$A$2:$AJ$1693,13,FALSE))</f>
        <v>97.5</v>
      </c>
      <c r="AG603" s="45">
        <f>IF(AF603="","",+AE603*AF603/100)</f>
        <v>59282.4375</v>
      </c>
      <c r="AH603" s="28"/>
      <c r="AI603" s="28"/>
      <c r="AJ603" s="28"/>
      <c r="AK603" s="28"/>
      <c r="AL603" s="12"/>
      <c r="AM603" s="12"/>
      <c r="AN603" s="12"/>
      <c r="AO603" s="12"/>
      <c r="AP603" s="12"/>
      <c r="AQ603" s="13"/>
      <c r="AR603" s="14"/>
    </row>
    <row r="604" spans="1:44" s="16" customFormat="1" ht="30.95" hidden="1" customHeight="1" x14ac:dyDescent="0.2">
      <c r="A604" s="35"/>
      <c r="B604" s="36"/>
      <c r="C604" s="43"/>
      <c r="D604" s="29"/>
      <c r="E604" s="29"/>
      <c r="F604" s="255"/>
      <c r="G604" s="256"/>
      <c r="H604" s="256"/>
      <c r="I604" s="200"/>
      <c r="J604" s="30"/>
      <c r="K604" s="200"/>
      <c r="L604" s="200"/>
      <c r="M604" s="37"/>
      <c r="N604" s="37"/>
      <c r="O604" s="45"/>
      <c r="P604" s="54"/>
      <c r="Q604" s="260"/>
      <c r="R604" s="261"/>
      <c r="S604" s="261"/>
      <c r="T604" s="38"/>
      <c r="U604" s="261"/>
      <c r="V604" s="256"/>
      <c r="W604" s="256"/>
      <c r="X604" s="256"/>
      <c r="Y604" s="256"/>
      <c r="Z604" s="54"/>
      <c r="AA604" s="200"/>
      <c r="AB604" s="31"/>
      <c r="AC604" s="184"/>
      <c r="AD604" s="51"/>
      <c r="AE604" s="52"/>
      <c r="AF604" s="41"/>
      <c r="AG604" s="45"/>
      <c r="AH604" s="28"/>
      <c r="AI604" s="28"/>
      <c r="AJ604" s="28"/>
      <c r="AK604" s="28"/>
      <c r="AL604" s="12"/>
      <c r="AM604" s="12"/>
      <c r="AN604" s="12"/>
      <c r="AO604" s="12"/>
      <c r="AP604" s="12"/>
      <c r="AQ604" s="13"/>
      <c r="AR604" s="14"/>
    </row>
    <row r="605" spans="1:44" s="16" customFormat="1" ht="30.95" hidden="1" customHeight="1" x14ac:dyDescent="0.2">
      <c r="A605" s="35" t="s">
        <v>513</v>
      </c>
      <c r="B605" s="36" t="s">
        <v>446</v>
      </c>
      <c r="C605" s="43"/>
      <c r="D605" s="29"/>
      <c r="E605" s="29"/>
      <c r="F605" s="255"/>
      <c r="G605" s="256"/>
      <c r="H605" s="256"/>
      <c r="I605" s="200"/>
      <c r="J605" s="30" t="s">
        <v>448</v>
      </c>
      <c r="K605" s="200"/>
      <c r="L605" s="200"/>
      <c r="M605" s="37"/>
      <c r="N605" s="37"/>
      <c r="O605" s="45"/>
      <c r="P605" s="54"/>
      <c r="Q605" s="260"/>
      <c r="R605" s="261"/>
      <c r="S605" s="261"/>
      <c r="T605" s="38"/>
      <c r="U605" s="261"/>
      <c r="V605" s="256"/>
      <c r="W605" s="256"/>
      <c r="X605" s="256"/>
      <c r="Y605" s="256"/>
      <c r="Z605" s="54"/>
      <c r="AA605" s="200"/>
      <c r="AB605" s="31"/>
      <c r="AC605" s="184"/>
      <c r="AD605" s="51"/>
      <c r="AE605" s="52"/>
      <c r="AF605" s="41"/>
      <c r="AG605" s="45"/>
      <c r="AH605" s="28"/>
      <c r="AI605" s="28"/>
      <c r="AJ605" s="28"/>
      <c r="AK605" s="28"/>
      <c r="AL605" s="12"/>
      <c r="AM605" s="12"/>
      <c r="AN605" s="12"/>
      <c r="AO605" s="12"/>
      <c r="AP605" s="12"/>
      <c r="AQ605" s="13"/>
      <c r="AR605" s="14"/>
    </row>
    <row r="606" spans="1:44" s="16" customFormat="1" ht="30.95" hidden="1" customHeight="1" x14ac:dyDescent="0.2">
      <c r="A606" s="35"/>
      <c r="B606" s="36"/>
      <c r="C606" s="43"/>
      <c r="D606" s="29"/>
      <c r="E606" s="29"/>
      <c r="F606" s="255"/>
      <c r="G606" s="256"/>
      <c r="H606" s="256"/>
      <c r="I606" s="200"/>
      <c r="J606" s="30"/>
      <c r="K606" s="200"/>
      <c r="L606" s="200"/>
      <c r="M606" s="37"/>
      <c r="N606" s="37"/>
      <c r="O606" s="45"/>
      <c r="P606" s="54"/>
      <c r="Q606" s="260"/>
      <c r="R606" s="261"/>
      <c r="S606" s="261"/>
      <c r="T606" s="38"/>
      <c r="U606" s="261"/>
      <c r="V606" s="256"/>
      <c r="W606" s="256"/>
      <c r="X606" s="256"/>
      <c r="Y606" s="256"/>
      <c r="Z606" s="54"/>
      <c r="AA606" s="200"/>
      <c r="AB606" s="31"/>
      <c r="AC606" s="184"/>
      <c r="AD606" s="51"/>
      <c r="AE606" s="52"/>
      <c r="AF606" s="41"/>
      <c r="AG606" s="45"/>
      <c r="AH606" s="28"/>
      <c r="AI606" s="28"/>
      <c r="AJ606" s="28"/>
      <c r="AK606" s="28"/>
      <c r="AL606" s="12"/>
      <c r="AM606" s="12"/>
      <c r="AN606" s="12"/>
      <c r="AO606" s="12"/>
      <c r="AP606" s="12"/>
      <c r="AQ606" s="13"/>
      <c r="AR606" s="14"/>
    </row>
    <row r="607" spans="1:44" s="16" customFormat="1" ht="30.95" hidden="1" customHeight="1" x14ac:dyDescent="0.2">
      <c r="A607" s="35" t="s">
        <v>514</v>
      </c>
      <c r="B607" s="36" t="s">
        <v>462</v>
      </c>
      <c r="C607" s="43"/>
      <c r="D607" s="29">
        <v>3716262</v>
      </c>
      <c r="E607" s="29">
        <v>4151423</v>
      </c>
      <c r="F607" s="255" t="str">
        <f>IF(D607="","",VLOOKUP(D607,契約台帳!$A$3:$K$4986,6,FALSE)&amp;VLOOKUP(D607,契約台帳!$A$3:$K$4986,7,FALSE)&amp;VLOOKUP(D607,契約台帳!$A$3:$K$4986,8,FALSE)&amp;VLOOKUP(D607,契約台帳!$A$3:$K$4986,9,FALSE)&amp;VLOOKUP(D607,契約台帳!$A$3:$K$4986,11,FALSE))</f>
        <v>3SNMLBMNNGKBF</v>
      </c>
      <c r="G607" s="256" t="str">
        <f>IF(D607="","",VLOOKUP(F607,製品マスタ!$G$5:$H$4999,2,FALSE))</f>
        <v>S</v>
      </c>
      <c r="H607" s="256" t="str">
        <f>IF(D607="","",VLOOKUP(F607,製品マスタ!$G$5:$K$4999,5,FALSE))</f>
        <v>MNNGKBF</v>
      </c>
      <c r="I607" s="200" t="str">
        <f>IF(D607="","",VLOOKUP(F607,製品マスタ!$G$5:$L$4999,6,FALSE))</f>
        <v>メタルミー　ニューネーマー銀消　Ｂ</v>
      </c>
      <c r="J607" s="30" t="s">
        <v>447</v>
      </c>
      <c r="K607" s="200">
        <f>IF(D607="","",VLOOKUP(D607,契約台帳!$A$3:$L$4986,12,FALSE))</f>
        <v>25</v>
      </c>
      <c r="L607" s="200" t="str">
        <f>IF(D607="","",INDEX(製品マスタ!$Q$5:$Q$4999,MATCH(F607&amp;K607,製品マスタ!$AO$5:$AO$4999,0)))</f>
        <v>X44C</v>
      </c>
      <c r="M607" s="37">
        <v>1005</v>
      </c>
      <c r="N607" s="37">
        <v>8000</v>
      </c>
      <c r="O607" s="45">
        <v>2</v>
      </c>
      <c r="P607" s="54"/>
      <c r="Q607" s="260">
        <f>IF(D607="","",IF(J607="リード付け",M607,VLOOKUP(D607,契約台帳!$A$3:$N$4986,14,FALSE)))</f>
        <v>1005</v>
      </c>
      <c r="R607" s="261">
        <f>IF(D607="","",IF(J607="リード付け",M607,VLOOKUP(D607,契約台帳!$A$3:$O$4986,15,FALSE)))</f>
        <v>1000</v>
      </c>
      <c r="S607" s="261">
        <f>IF(D607="","",IF(J607="リード付け",N607,VLOOKUP(D607,契約台帳!$A$3:$P$4986,16,FALSE)))</f>
        <v>4000</v>
      </c>
      <c r="T607" s="38">
        <v>4</v>
      </c>
      <c r="U607" s="261">
        <f ca="1">IF(D607="","",IF(OFFSET(D607,-2,0)=D607,"",VLOOKUP(D607,契約台帳!$A$3:$R$4986,18,FALSE)))</f>
        <v>4</v>
      </c>
      <c r="V607" s="256" t="str">
        <f>IF(J607="巻返し",VLOOKUP(F607&amp;K607&amp;M607,製品マスタ!$M$5:$AD$4999,18,FALSE),IF(J607="リード付け","原反コア",IF(J607="スリット",VLOOKUP(F607&amp;K607&amp;Q607,製品マスタ!$N$5:$AD$4999,17,FALSE),"")))</f>
        <v>6ｲﾝﾁSｺｱ</v>
      </c>
      <c r="W607" s="256">
        <f>IF(J607="巻返し",VLOOKUP(F607&amp;K607&amp;M607,製品マスタ!$M$5:$AE$4999,19,FALSE),IF(J607="リード付け","-",IF(J607="スリット",VLOOKUP(F607&amp;K607&amp;Q607,製品マスタ!$N$5:$AE$4999,18,FALSE),"")))</f>
        <v>1015</v>
      </c>
      <c r="X607" s="256">
        <f>IF(D607="","",VLOOKUP(D607,契約台帳!$A$3:$Q$4986,17,FALSE))</f>
        <v>2</v>
      </c>
      <c r="Y607" s="256" t="str">
        <f>IF(D607="","",VLOOKUP(D607,契約台帳!$A$3:$E$4986,5,FALSE))</f>
        <v>リンテック㈱</v>
      </c>
      <c r="Z607" s="54">
        <v>45133</v>
      </c>
      <c r="AA607" s="200">
        <f>IFERROR(VLOOKUP(F607&amp;K607&amp;M607,製品マスタ!$M$5:$AM$4999,27,FALSE),"")</f>
        <v>0</v>
      </c>
      <c r="AB607" s="31"/>
      <c r="AC607" s="184"/>
      <c r="AD607" s="51" t="str">
        <f>IF(F607="","",+F607&amp;K607)</f>
        <v>3SNMLBMNNGKBF25</v>
      </c>
      <c r="AE607" s="52">
        <f>+M607*N607*O607/1000</f>
        <v>16080</v>
      </c>
      <c r="AF607" s="41">
        <f>IF(AD607="","",VLOOKUP(AD607,原価マスタ!$A$2:$AJ$1693,13,FALSE))</f>
        <v>98.3</v>
      </c>
      <c r="AG607" s="45">
        <f>IF(AF607="","",+AE607*AF607/100)</f>
        <v>15806.64</v>
      </c>
      <c r="AH607" s="28"/>
      <c r="AI607" s="28"/>
      <c r="AJ607" s="28"/>
      <c r="AK607" s="28"/>
      <c r="AL607" s="12"/>
      <c r="AM607" s="12"/>
      <c r="AN607" s="12"/>
      <c r="AO607" s="12"/>
      <c r="AP607" s="12"/>
      <c r="AQ607" s="13"/>
      <c r="AR607" s="14"/>
    </row>
    <row r="608" spans="1:44" s="16" customFormat="1" ht="30.95" hidden="1" customHeight="1" x14ac:dyDescent="0.2">
      <c r="A608" s="35"/>
      <c r="B608" s="36"/>
      <c r="C608" s="43"/>
      <c r="D608" s="29"/>
      <c r="E608" s="29"/>
      <c r="F608" s="255"/>
      <c r="G608" s="256"/>
      <c r="H608" s="256"/>
      <c r="I608" s="200"/>
      <c r="J608" s="30"/>
      <c r="K608" s="200"/>
      <c r="L608" s="200"/>
      <c r="M608" s="37"/>
      <c r="N608" s="37"/>
      <c r="O608" s="45"/>
      <c r="P608" s="54"/>
      <c r="Q608" s="260"/>
      <c r="R608" s="261"/>
      <c r="S608" s="261"/>
      <c r="T608" s="38"/>
      <c r="U608" s="261"/>
      <c r="V608" s="256"/>
      <c r="W608" s="256"/>
      <c r="X608" s="256"/>
      <c r="Y608" s="256"/>
      <c r="Z608" s="54"/>
      <c r="AA608" s="200"/>
      <c r="AB608" s="31"/>
      <c r="AC608" s="184"/>
      <c r="AD608" s="51"/>
      <c r="AE608" s="52"/>
      <c r="AF608" s="41"/>
      <c r="AG608" s="45"/>
      <c r="AH608" s="28"/>
      <c r="AI608" s="28"/>
      <c r="AJ608" s="28"/>
      <c r="AK608" s="28"/>
      <c r="AL608" s="12"/>
      <c r="AM608" s="12"/>
      <c r="AN608" s="12"/>
      <c r="AO608" s="12"/>
      <c r="AP608" s="12"/>
      <c r="AQ608" s="13"/>
      <c r="AR608" s="14"/>
    </row>
    <row r="609" spans="1:44" s="16" customFormat="1" ht="30.95" hidden="1" customHeight="1" x14ac:dyDescent="0.2">
      <c r="A609" s="35"/>
      <c r="B609" s="36"/>
      <c r="C609" s="43"/>
      <c r="D609" s="29">
        <v>3716263</v>
      </c>
      <c r="E609" s="29">
        <v>4151402</v>
      </c>
      <c r="F609" s="255" t="str">
        <f>IF(D609="","",VLOOKUP(D609,契約台帳!$A$3:$K$4986,6,FALSE)&amp;VLOOKUP(D609,契約台帳!$A$3:$K$4986,7,FALSE)&amp;VLOOKUP(D609,契約台帳!$A$3:$K$4986,8,FALSE)&amp;VLOOKUP(D609,契約台帳!$A$3:$K$4986,9,FALSE)&amp;VLOOKUP(D609,契約台帳!$A$3:$K$4986,11,FALSE))</f>
        <v>3SNMLBMNNGKBF</v>
      </c>
      <c r="G609" s="256" t="str">
        <f>IF(D609="","",VLOOKUP(F609,製品マスタ!$G$5:$H$4999,2,FALSE))</f>
        <v>S</v>
      </c>
      <c r="H609" s="256" t="str">
        <f>IF(D609="","",VLOOKUP(F609,製品マスタ!$G$5:$K$4999,5,FALSE))</f>
        <v>MNNGKBF</v>
      </c>
      <c r="I609" s="200" t="str">
        <f>IF(D609="","",VLOOKUP(F609,製品マスタ!$G$5:$L$4999,6,FALSE))</f>
        <v>メタルミー　ニューネーマー銀消　Ｂ</v>
      </c>
      <c r="J609" s="30" t="s">
        <v>447</v>
      </c>
      <c r="K609" s="200">
        <f>IF(D609="","",VLOOKUP(D609,契約台帳!$A$3:$L$4986,12,FALSE))</f>
        <v>50</v>
      </c>
      <c r="L609" s="200" t="str">
        <f>IF(D609="","",INDEX(製品マスタ!$Q$5:$Q$4999,MATCH(F609&amp;K609,製品マスタ!$AO$5:$AO$4999,0)))</f>
        <v>X44</v>
      </c>
      <c r="M609" s="37">
        <v>1000</v>
      </c>
      <c r="N609" s="37">
        <v>12000</v>
      </c>
      <c r="O609" s="45">
        <v>1</v>
      </c>
      <c r="P609" s="54"/>
      <c r="Q609" s="260">
        <f>IF(D609="","",IF(J609="リード付け",M609,VLOOKUP(D609,契約台帳!$A$3:$N$4986,14,FALSE)))</f>
        <v>1000</v>
      </c>
      <c r="R609" s="261">
        <f>IF(D609="","",IF(J609="リード付け",M609,VLOOKUP(D609,契約台帳!$A$3:$O$4986,15,FALSE)))</f>
        <v>1000</v>
      </c>
      <c r="S609" s="261">
        <f>IF(D609="","",IF(J609="リード付け",N609,VLOOKUP(D609,契約台帳!$A$3:$P$4986,16,FALSE)))</f>
        <v>4000</v>
      </c>
      <c r="T609" s="38">
        <v>3</v>
      </c>
      <c r="U609" s="261">
        <f ca="1">IF(D609="","",IF(OFFSET(D609,-2,0)=D609,"",VLOOKUP(D609,契約台帳!$A$3:$R$4986,18,FALSE)))</f>
        <v>4</v>
      </c>
      <c r="V609" s="256" t="str">
        <f>IF(J609="巻返し",VLOOKUP(F609&amp;K609&amp;M609,製品マスタ!$M$5:$AD$4999,18,FALSE),IF(J609="リード付け","原反コア",IF(J609="スリット",VLOOKUP(F609&amp;K609&amp;Q609,製品マスタ!$N$5:$AD$4999,17,FALSE),"")))</f>
        <v>6ｲﾝﾁSｺｱ</v>
      </c>
      <c r="W609" s="256">
        <f>IF(J609="巻返し",VLOOKUP(F609&amp;K609&amp;M609,製品マスタ!$M$5:$AE$4999,19,FALSE),IF(J609="リード付け","-",IF(J609="スリット",VLOOKUP(F609&amp;K609&amp;Q609,製品マスタ!$N$5:$AE$4999,18,FALSE),"")))</f>
        <v>1005</v>
      </c>
      <c r="X609" s="256">
        <f>IF(D609="","",VLOOKUP(D609,契約台帳!$A$3:$Q$4986,17,FALSE))</f>
        <v>2</v>
      </c>
      <c r="Y609" s="256" t="str">
        <f>IF(D609="","",VLOOKUP(D609,契約台帳!$A$3:$E$4986,5,FALSE))</f>
        <v>リンテック㈱</v>
      </c>
      <c r="Z609" s="54">
        <v>45133</v>
      </c>
      <c r="AA609" s="200" t="str">
        <f>IFERROR(VLOOKUP(F609&amp;K609&amp;M609,製品マスタ!$M$5:$AM$4999,27,FALSE),"")</f>
        <v>原反ケース再利用</v>
      </c>
      <c r="AB609" s="31"/>
      <c r="AC609" s="184"/>
      <c r="AD609" s="51" t="str">
        <f>IF(F609="","",+F609&amp;K609)</f>
        <v>3SNMLBMNNGKBF50</v>
      </c>
      <c r="AE609" s="52">
        <f>+M609*N609*O609/1000</f>
        <v>12000</v>
      </c>
      <c r="AF609" s="41">
        <f>IF(AD609="","",VLOOKUP(AD609,原価マスタ!$A$2:$AJ$1693,13,FALSE))</f>
        <v>99</v>
      </c>
      <c r="AG609" s="45">
        <f>IF(AF609="","",+AE609*AF609/100)</f>
        <v>11880</v>
      </c>
      <c r="AH609" s="28"/>
      <c r="AI609" s="28"/>
      <c r="AJ609" s="28"/>
      <c r="AK609" s="28"/>
      <c r="AL609" s="12"/>
      <c r="AM609" s="12"/>
      <c r="AN609" s="12"/>
      <c r="AO609" s="12"/>
      <c r="AP609" s="12"/>
      <c r="AQ609" s="13"/>
      <c r="AR609" s="14"/>
    </row>
    <row r="610" spans="1:44" s="16" customFormat="1" ht="30.95" hidden="1" customHeight="1" x14ac:dyDescent="0.2">
      <c r="A610" s="35"/>
      <c r="B610" s="36"/>
      <c r="C610" s="43"/>
      <c r="D610" s="29"/>
      <c r="E610" s="29"/>
      <c r="F610" s="255"/>
      <c r="G610" s="256"/>
      <c r="H610" s="256"/>
      <c r="I610" s="200"/>
      <c r="J610" s="30"/>
      <c r="K610" s="200"/>
      <c r="L610" s="200"/>
      <c r="M610" s="37"/>
      <c r="N610" s="37"/>
      <c r="O610" s="45"/>
      <c r="P610" s="54"/>
      <c r="Q610" s="260"/>
      <c r="R610" s="261"/>
      <c r="S610" s="261"/>
      <c r="T610" s="38"/>
      <c r="U610" s="261"/>
      <c r="V610" s="256"/>
      <c r="W610" s="256"/>
      <c r="X610" s="256"/>
      <c r="Y610" s="256"/>
      <c r="Z610" s="54"/>
      <c r="AA610" s="200"/>
      <c r="AB610" s="31"/>
      <c r="AC610" s="184"/>
      <c r="AD610" s="51"/>
      <c r="AE610" s="52"/>
      <c r="AF610" s="41"/>
      <c r="AG610" s="45"/>
      <c r="AH610" s="28"/>
      <c r="AI610" s="28"/>
      <c r="AJ610" s="28"/>
      <c r="AK610" s="28"/>
      <c r="AL610" s="12"/>
      <c r="AM610" s="12"/>
      <c r="AN610" s="12"/>
      <c r="AO610" s="12"/>
      <c r="AP610" s="12"/>
      <c r="AQ610" s="13"/>
      <c r="AR610" s="14"/>
    </row>
    <row r="611" spans="1:44" s="16" customFormat="1" ht="30.95" hidden="1" customHeight="1" x14ac:dyDescent="0.2">
      <c r="A611" s="35"/>
      <c r="B611" s="36"/>
      <c r="C611" s="43"/>
      <c r="D611" s="29">
        <v>3716263</v>
      </c>
      <c r="E611" s="29">
        <v>4151402</v>
      </c>
      <c r="F611" s="255" t="str">
        <f>IF(D611="","",VLOOKUP(D611,契約台帳!$A$3:$K$4986,6,FALSE)&amp;VLOOKUP(D611,契約台帳!$A$3:$K$4986,7,FALSE)&amp;VLOOKUP(D611,契約台帳!$A$3:$K$4986,8,FALSE)&amp;VLOOKUP(D611,契約台帳!$A$3:$K$4986,9,FALSE)&amp;VLOOKUP(D611,契約台帳!$A$3:$K$4986,11,FALSE))</f>
        <v>3SNMLBMNNGKBF</v>
      </c>
      <c r="G611" s="256" t="str">
        <f>IF(D611="","",VLOOKUP(F611,製品マスタ!$G$5:$H$4999,2,FALSE))</f>
        <v>S</v>
      </c>
      <c r="H611" s="256" t="str">
        <f>IF(D611="","",VLOOKUP(F611,製品マスタ!$G$5:$K$4999,5,FALSE))</f>
        <v>MNNGKBF</v>
      </c>
      <c r="I611" s="200" t="str">
        <f>IF(D611="","",VLOOKUP(F611,製品マスタ!$G$5:$L$4999,6,FALSE))</f>
        <v>メタルミー　ニューネーマー銀消　Ｂ</v>
      </c>
      <c r="J611" s="30" t="s">
        <v>447</v>
      </c>
      <c r="K611" s="200">
        <f>IF(D611="","",VLOOKUP(D611,契約台帳!$A$3:$L$4986,12,FALSE))</f>
        <v>50</v>
      </c>
      <c r="L611" s="200" t="str">
        <f>IF(D611="","",INDEX(製品マスタ!$Q$5:$Q$4999,MATCH(F611&amp;K611,製品マスタ!$AO$5:$AO$4999,0)))</f>
        <v>X44</v>
      </c>
      <c r="M611" s="37">
        <v>1000</v>
      </c>
      <c r="N611" s="37">
        <v>12000</v>
      </c>
      <c r="O611" s="45">
        <v>1</v>
      </c>
      <c r="P611" s="54"/>
      <c r="Q611" s="260">
        <f>IF(D611="","",IF(J611="リード付け",M611,VLOOKUP(D611,契約台帳!$A$3:$N$4986,14,FALSE)))</f>
        <v>1000</v>
      </c>
      <c r="R611" s="261">
        <f>IF(D611="","",IF(J611="リード付け",M611,VLOOKUP(D611,契約台帳!$A$3:$O$4986,15,FALSE)))</f>
        <v>1000</v>
      </c>
      <c r="S611" s="261">
        <f>IF(D611="","",IF(J611="リード付け",N611,VLOOKUP(D611,契約台帳!$A$3:$P$4986,16,FALSE)))</f>
        <v>4000</v>
      </c>
      <c r="T611" s="38">
        <v>1</v>
      </c>
      <c r="U611" s="261" t="str">
        <f ca="1">IF(D611="","",IF(OFFSET(D611,-2,0)=D611,"",VLOOKUP(D611,契約台帳!$A$3:$R$4986,18,FALSE)))</f>
        <v/>
      </c>
      <c r="V611" s="256" t="str">
        <f>IF(J611="巻返し",VLOOKUP(F611&amp;K611&amp;M611,製品マスタ!$M$5:$AD$4999,18,FALSE),IF(J611="リード付け","原反コア",IF(J611="スリット",VLOOKUP(F611&amp;K611&amp;Q611,製品マスタ!$N$5:$AD$4999,17,FALSE),"")))</f>
        <v>6ｲﾝﾁSｺｱ</v>
      </c>
      <c r="W611" s="256">
        <f>IF(J611="巻返し",VLOOKUP(F611&amp;K611&amp;M611,製品マスタ!$M$5:$AE$4999,19,FALSE),IF(J611="リード付け","-",IF(J611="スリット",VLOOKUP(F611&amp;K611&amp;Q611,製品マスタ!$N$5:$AE$4999,18,FALSE),"")))</f>
        <v>1005</v>
      </c>
      <c r="X611" s="256">
        <f>IF(D611="","",VLOOKUP(D611,契約台帳!$A$3:$Q$4986,17,FALSE))</f>
        <v>2</v>
      </c>
      <c r="Y611" s="256" t="str">
        <f>IF(D611="","",VLOOKUP(D611,契約台帳!$A$3:$E$4986,5,FALSE))</f>
        <v>リンテック㈱</v>
      </c>
      <c r="Z611" s="54">
        <v>45133</v>
      </c>
      <c r="AA611" s="200" t="str">
        <f>IFERROR(VLOOKUP(F611&amp;K611&amp;M611,製品マスタ!$M$5:$AM$4999,27,FALSE),"")</f>
        <v>原反ケース再利用</v>
      </c>
      <c r="AB611" s="31"/>
      <c r="AC611" s="184"/>
      <c r="AD611" s="51" t="str">
        <f>IF(F611="","",+F611&amp;K611)</f>
        <v>3SNMLBMNNGKBF50</v>
      </c>
      <c r="AE611" s="52">
        <f>+M611*N611*O611/1000</f>
        <v>12000</v>
      </c>
      <c r="AF611" s="41">
        <f>IF(AD611="","",VLOOKUP(AD611,原価マスタ!$A$2:$AJ$1693,13,FALSE))</f>
        <v>99</v>
      </c>
      <c r="AG611" s="45">
        <f>IF(AF611="","",+AE611*AF611/100)</f>
        <v>11880</v>
      </c>
      <c r="AH611" s="28"/>
      <c r="AI611" s="28"/>
      <c r="AJ611" s="28"/>
      <c r="AK611" s="28"/>
      <c r="AL611" s="12"/>
      <c r="AM611" s="12"/>
      <c r="AN611" s="12"/>
      <c r="AO611" s="12"/>
      <c r="AP611" s="12"/>
      <c r="AQ611" s="13"/>
      <c r="AR611" s="14"/>
    </row>
    <row r="612" spans="1:44" s="16" customFormat="1" ht="30.95" hidden="1" customHeight="1" x14ac:dyDescent="0.2">
      <c r="A612" s="35"/>
      <c r="B612" s="36"/>
      <c r="C612" s="43"/>
      <c r="D612" s="29">
        <v>3716264</v>
      </c>
      <c r="E612" s="29"/>
      <c r="F612" s="255" t="str">
        <f>IF(D612="","",VLOOKUP(D612,契約台帳!$A$3:$K$4986,6,FALSE)&amp;VLOOKUP(D612,契約台帳!$A$3:$K$4986,7,FALSE)&amp;VLOOKUP(D612,契約台帳!$A$3:$K$4986,8,FALSE)&amp;VLOOKUP(D612,契約台帳!$A$3:$K$4986,9,FALSE)&amp;VLOOKUP(D612,契約台帳!$A$3:$K$4986,11,FALSE))</f>
        <v>3SNMLBMNNGKBF</v>
      </c>
      <c r="G612" s="256" t="str">
        <f>IF(D612="","",VLOOKUP(F612,製品マスタ!$G$5:$H$4999,2,FALSE))</f>
        <v>S</v>
      </c>
      <c r="H612" s="256" t="str">
        <f>IF(D612="","",VLOOKUP(F612,製品マスタ!$G$5:$K$4999,5,FALSE))</f>
        <v>MNNGKBF</v>
      </c>
      <c r="I612" s="200" t="str">
        <f>IF(D612="","",VLOOKUP(F612,製品マスタ!$G$5:$L$4999,6,FALSE))</f>
        <v>メタルミー　ニューネーマー銀消　Ｂ</v>
      </c>
      <c r="J612" s="30" t="s">
        <v>447</v>
      </c>
      <c r="K612" s="200">
        <f>IF(D612="","",VLOOKUP(D612,契約台帳!$A$3:$L$4986,12,FALSE))</f>
        <v>50</v>
      </c>
      <c r="L612" s="200" t="str">
        <f>IF(D612="","",INDEX(製品マスタ!$Q$5:$Q$4999,MATCH(F612&amp;K612,製品マスタ!$AO$5:$AO$4999,0)))</f>
        <v>X44</v>
      </c>
      <c r="M612" s="37">
        <v>1000</v>
      </c>
      <c r="N612" s="37"/>
      <c r="O612" s="45"/>
      <c r="P612" s="54"/>
      <c r="Q612" s="260">
        <f>IF(D612="","",IF(J612="リード付け",M612,VLOOKUP(D612,契約台帳!$A$3:$N$4986,14,FALSE)))</f>
        <v>1000</v>
      </c>
      <c r="R612" s="261">
        <f>IF(D612="","",IF(J612="リード付け",M612,VLOOKUP(D612,契約台帳!$A$3:$O$4986,15,FALSE)))</f>
        <v>1000</v>
      </c>
      <c r="S612" s="261">
        <f>IF(D612="","",IF(J612="リード付け",N612,VLOOKUP(D612,契約台帳!$A$3:$P$4986,16,FALSE)))</f>
        <v>4000</v>
      </c>
      <c r="T612" s="38">
        <v>2</v>
      </c>
      <c r="U612" s="261">
        <f ca="1">IF(D612="","",IF(OFFSET(D612,-2,0)=D612,"",VLOOKUP(D612,契約台帳!$A$3:$R$4986,18,FALSE)))</f>
        <v>14</v>
      </c>
      <c r="V612" s="256" t="str">
        <f>IF(J612="巻返し",VLOOKUP(F612&amp;K612&amp;M612,製品マスタ!$M$5:$AD$4999,18,FALSE),IF(J612="リード付け","原反コア",IF(J612="スリット",VLOOKUP(F612&amp;K612&amp;Q612,製品マスタ!$N$5:$AD$4999,17,FALSE),"")))</f>
        <v>6ｲﾝﾁSｺｱ</v>
      </c>
      <c r="W612" s="256">
        <f>IF(J612="巻返し",VLOOKUP(F612&amp;K612&amp;M612,製品マスタ!$M$5:$AE$4999,19,FALSE),IF(J612="リード付け","-",IF(J612="スリット",VLOOKUP(F612&amp;K612&amp;Q612,製品マスタ!$N$5:$AE$4999,18,FALSE),"")))</f>
        <v>1005</v>
      </c>
      <c r="X612" s="256">
        <f>IF(D612="","",VLOOKUP(D612,契約台帳!$A$3:$Q$4986,17,FALSE))</f>
        <v>2</v>
      </c>
      <c r="Y612" s="256" t="str">
        <f>IF(D612="","",VLOOKUP(D612,契約台帳!$A$3:$E$4986,5,FALSE))</f>
        <v>リンテック㈱</v>
      </c>
      <c r="Z612" s="54"/>
      <c r="AA612" s="200" t="str">
        <f>IFERROR(VLOOKUP(F612&amp;K612&amp;M612,製品マスタ!$M$5:$AM$4999,27,FALSE),"")</f>
        <v>原反ケース再利用</v>
      </c>
      <c r="AB612" s="31"/>
      <c r="AC612" s="184"/>
      <c r="AD612" s="51"/>
      <c r="AE612" s="52"/>
      <c r="AF612" s="41"/>
      <c r="AG612" s="45" t="str">
        <f>IF(AF612="","",+AE612*AF612/100)</f>
        <v/>
      </c>
      <c r="AH612" s="28"/>
      <c r="AI612" s="28"/>
      <c r="AJ612" s="28"/>
      <c r="AK612" s="28"/>
      <c r="AL612" s="12"/>
      <c r="AM612" s="12"/>
      <c r="AN612" s="12"/>
      <c r="AO612" s="12"/>
      <c r="AP612" s="12"/>
      <c r="AQ612" s="13"/>
      <c r="AR612" s="14"/>
    </row>
    <row r="613" spans="1:44" s="16" customFormat="1" ht="30.95" hidden="1" customHeight="1" x14ac:dyDescent="0.2">
      <c r="A613" s="35"/>
      <c r="B613" s="36"/>
      <c r="C613" s="43"/>
      <c r="D613" s="29"/>
      <c r="E613" s="29"/>
      <c r="F613" s="255"/>
      <c r="G613" s="256"/>
      <c r="H613" s="256"/>
      <c r="I613" s="200"/>
      <c r="J613" s="30"/>
      <c r="K613" s="200"/>
      <c r="L613" s="200"/>
      <c r="M613" s="37"/>
      <c r="N613" s="37"/>
      <c r="O613" s="45"/>
      <c r="P613" s="54"/>
      <c r="Q613" s="260"/>
      <c r="R613" s="261"/>
      <c r="S613" s="261"/>
      <c r="T613" s="38"/>
      <c r="U613" s="261"/>
      <c r="V613" s="256"/>
      <c r="W613" s="256"/>
      <c r="X613" s="256"/>
      <c r="Y613" s="256"/>
      <c r="Z613" s="54"/>
      <c r="AA613" s="200"/>
      <c r="AB613" s="31"/>
      <c r="AC613" s="184"/>
      <c r="AD613" s="51"/>
      <c r="AE613" s="52"/>
      <c r="AF613" s="41"/>
      <c r="AG613" s="45"/>
      <c r="AH613" s="28"/>
      <c r="AI613" s="28"/>
      <c r="AJ613" s="28"/>
      <c r="AK613" s="28"/>
      <c r="AL613" s="12"/>
      <c r="AM613" s="12"/>
      <c r="AN613" s="12"/>
      <c r="AO613" s="12"/>
      <c r="AP613" s="12"/>
      <c r="AQ613" s="13"/>
      <c r="AR613" s="14"/>
    </row>
    <row r="614" spans="1:44" s="16" customFormat="1" ht="30.95" hidden="1" customHeight="1" x14ac:dyDescent="0.2">
      <c r="A614" s="35"/>
      <c r="B614" s="36"/>
      <c r="C614" s="43"/>
      <c r="D614" s="29">
        <v>3716264</v>
      </c>
      <c r="E614" s="29">
        <v>4151403</v>
      </c>
      <c r="F614" s="255" t="str">
        <f>IF(D614="","",VLOOKUP(D614,契約台帳!$A$3:$K$4986,6,FALSE)&amp;VLOOKUP(D614,契約台帳!$A$3:$K$4986,7,FALSE)&amp;VLOOKUP(D614,契約台帳!$A$3:$K$4986,8,FALSE)&amp;VLOOKUP(D614,契約台帳!$A$3:$K$4986,9,FALSE)&amp;VLOOKUP(D614,契約台帳!$A$3:$K$4986,11,FALSE))</f>
        <v>3SNMLBMNNGKBF</v>
      </c>
      <c r="G614" s="256" t="str">
        <f>IF(D614="","",VLOOKUP(F614,製品マスタ!$G$5:$H$4999,2,FALSE))</f>
        <v>S</v>
      </c>
      <c r="H614" s="256" t="str">
        <f>IF(D614="","",VLOOKUP(F614,製品マスタ!$G$5:$K$4999,5,FALSE))</f>
        <v>MNNGKBF</v>
      </c>
      <c r="I614" s="200" t="str">
        <f>IF(D614="","",VLOOKUP(F614,製品マスタ!$G$5:$L$4999,6,FALSE))</f>
        <v>メタルミー　ニューネーマー銀消　Ｂ</v>
      </c>
      <c r="J614" s="30" t="s">
        <v>447</v>
      </c>
      <c r="K614" s="200">
        <f>IF(D614="","",VLOOKUP(D614,契約台帳!$A$3:$L$4986,12,FALSE))</f>
        <v>50</v>
      </c>
      <c r="L614" s="200" t="str">
        <f>IF(D614="","",INDEX(製品マスタ!$Q$5:$Q$4999,MATCH(F614&amp;K614,製品マスタ!$AO$5:$AO$4999,0)))</f>
        <v>X44</v>
      </c>
      <c r="M614" s="37">
        <v>1000</v>
      </c>
      <c r="N614" s="37">
        <v>12000</v>
      </c>
      <c r="O614" s="45">
        <v>1</v>
      </c>
      <c r="P614" s="54"/>
      <c r="Q614" s="260">
        <f>IF(D614="","",IF(J614="リード付け",M614,VLOOKUP(D614,契約台帳!$A$3:$N$4986,14,FALSE)))</f>
        <v>1000</v>
      </c>
      <c r="R614" s="261">
        <f>IF(D614="","",IF(J614="リード付け",M614,VLOOKUP(D614,契約台帳!$A$3:$O$4986,15,FALSE)))</f>
        <v>1000</v>
      </c>
      <c r="S614" s="261">
        <f>IF(D614="","",IF(J614="リード付け",N614,VLOOKUP(D614,契約台帳!$A$3:$P$4986,16,FALSE)))</f>
        <v>4000</v>
      </c>
      <c r="T614" s="38">
        <v>3</v>
      </c>
      <c r="U614" s="261" t="str">
        <f ca="1">IF(D614="","",IF(OFFSET(D614,-2,0)=D614,"",VLOOKUP(D614,契約台帳!$A$3:$R$4986,18,FALSE)))</f>
        <v/>
      </c>
      <c r="V614" s="256" t="str">
        <f>IF(J614="巻返し",VLOOKUP(F614&amp;K614&amp;M614,製品マスタ!$M$5:$AD$4999,18,FALSE),IF(J614="リード付け","原反コア",IF(J614="スリット",VLOOKUP(F614&amp;K614&amp;Q614,製品マスタ!$N$5:$AD$4999,17,FALSE),"")))</f>
        <v>6ｲﾝﾁSｺｱ</v>
      </c>
      <c r="W614" s="256">
        <f>IF(J614="巻返し",VLOOKUP(F614&amp;K614&amp;M614,製品マスタ!$M$5:$AE$4999,19,FALSE),IF(J614="リード付け","-",IF(J614="スリット",VLOOKUP(F614&amp;K614&amp;Q614,製品マスタ!$N$5:$AE$4999,18,FALSE),"")))</f>
        <v>1005</v>
      </c>
      <c r="X614" s="256">
        <f>IF(D614="","",VLOOKUP(D614,契約台帳!$A$3:$Q$4986,17,FALSE))</f>
        <v>2</v>
      </c>
      <c r="Y614" s="256" t="str">
        <f>IF(D614="","",VLOOKUP(D614,契約台帳!$A$3:$E$4986,5,FALSE))</f>
        <v>リンテック㈱</v>
      </c>
      <c r="Z614" s="54">
        <v>45133</v>
      </c>
      <c r="AA614" s="200" t="str">
        <f>IFERROR(VLOOKUP(F614&amp;K614&amp;M614,製品マスタ!$M$5:$AM$4999,27,FALSE),"")</f>
        <v>原反ケース再利用</v>
      </c>
      <c r="AB614" s="31"/>
      <c r="AC614" s="184"/>
      <c r="AD614" s="51" t="str">
        <f>IF(F614="","",+F614&amp;K614)</f>
        <v>3SNMLBMNNGKBF50</v>
      </c>
      <c r="AE614" s="52">
        <f>+M614*N614*O614/1000</f>
        <v>12000</v>
      </c>
      <c r="AF614" s="41">
        <f>IF(AD614="","",VLOOKUP(AD614,原価マスタ!$A$2:$AJ$1693,13,FALSE))</f>
        <v>99</v>
      </c>
      <c r="AG614" s="45">
        <f>IF(AF614="","",+AE614*AF614/100)</f>
        <v>11880</v>
      </c>
      <c r="AH614" s="28"/>
      <c r="AI614" s="28"/>
      <c r="AJ614" s="28"/>
      <c r="AK614" s="28"/>
      <c r="AL614" s="12"/>
      <c r="AM614" s="12"/>
      <c r="AN614" s="12"/>
      <c r="AO614" s="12"/>
      <c r="AP614" s="12"/>
      <c r="AQ614" s="13"/>
      <c r="AR614" s="14"/>
    </row>
    <row r="615" spans="1:44" s="16" customFormat="1" ht="30.95" hidden="1" customHeight="1" x14ac:dyDescent="0.2">
      <c r="A615" s="35"/>
      <c r="B615" s="36"/>
      <c r="C615" s="43"/>
      <c r="D615" s="29"/>
      <c r="E615" s="29"/>
      <c r="F615" s="255"/>
      <c r="G615" s="256"/>
      <c r="H615" s="256"/>
      <c r="I615" s="200"/>
      <c r="J615" s="30"/>
      <c r="K615" s="200"/>
      <c r="L615" s="200"/>
      <c r="M615" s="37"/>
      <c r="N615" s="37"/>
      <c r="O615" s="45"/>
      <c r="P615" s="54"/>
      <c r="Q615" s="260"/>
      <c r="R615" s="261"/>
      <c r="S615" s="261"/>
      <c r="T615" s="38"/>
      <c r="U615" s="261"/>
      <c r="V615" s="256"/>
      <c r="W615" s="256"/>
      <c r="X615" s="256"/>
      <c r="Y615" s="256"/>
      <c r="Z615" s="54"/>
      <c r="AA615" s="200"/>
      <c r="AB615" s="31"/>
      <c r="AC615" s="184"/>
      <c r="AD615" s="51"/>
      <c r="AE615" s="52"/>
      <c r="AF615" s="41"/>
      <c r="AG615" s="45"/>
      <c r="AH615" s="28"/>
      <c r="AI615" s="28"/>
      <c r="AJ615" s="28"/>
      <c r="AK615" s="28"/>
      <c r="AL615" s="12"/>
      <c r="AM615" s="12"/>
      <c r="AN615" s="12"/>
      <c r="AO615" s="12"/>
      <c r="AP615" s="12"/>
      <c r="AQ615" s="13"/>
      <c r="AR615" s="14"/>
    </row>
    <row r="616" spans="1:44" s="16" customFormat="1" ht="30.95" hidden="1" customHeight="1" x14ac:dyDescent="0.2">
      <c r="A616" s="35" t="s">
        <v>515</v>
      </c>
      <c r="B616" s="36" t="s">
        <v>688</v>
      </c>
      <c r="C616" s="43"/>
      <c r="D616" s="29">
        <v>3716264</v>
      </c>
      <c r="E616" s="29">
        <v>4151403</v>
      </c>
      <c r="F616" s="255" t="str">
        <f>IF(D616="","",VLOOKUP(D616,契約台帳!$A$3:$K$4986,6,FALSE)&amp;VLOOKUP(D616,契約台帳!$A$3:$K$4986,7,FALSE)&amp;VLOOKUP(D616,契約台帳!$A$3:$K$4986,8,FALSE)&amp;VLOOKUP(D616,契約台帳!$A$3:$K$4986,9,FALSE)&amp;VLOOKUP(D616,契約台帳!$A$3:$K$4986,11,FALSE))</f>
        <v>3SNMLBMNNGKBF</v>
      </c>
      <c r="G616" s="256" t="str">
        <f>IF(D616="","",VLOOKUP(F616,製品マスタ!$G$5:$H$4999,2,FALSE))</f>
        <v>S</v>
      </c>
      <c r="H616" s="256" t="str">
        <f>IF(D616="","",VLOOKUP(F616,製品マスタ!$G$5:$K$4999,5,FALSE))</f>
        <v>MNNGKBF</v>
      </c>
      <c r="I616" s="200" t="str">
        <f>IF(D616="","",VLOOKUP(F616,製品マスタ!$G$5:$L$4999,6,FALSE))</f>
        <v>メタルミー　ニューネーマー銀消　Ｂ</v>
      </c>
      <c r="J616" s="30" t="s">
        <v>447</v>
      </c>
      <c r="K616" s="200">
        <f>IF(D616="","",VLOOKUP(D616,契約台帳!$A$3:$L$4986,12,FALSE))</f>
        <v>50</v>
      </c>
      <c r="L616" s="200" t="str">
        <f>IF(D616="","",INDEX(製品マスタ!$Q$5:$Q$4999,MATCH(F616&amp;K616,製品マスタ!$AO$5:$AO$4999,0)))</f>
        <v>X44</v>
      </c>
      <c r="M616" s="37">
        <v>1000</v>
      </c>
      <c r="N616" s="37">
        <v>12000</v>
      </c>
      <c r="O616" s="45">
        <v>3</v>
      </c>
      <c r="P616" s="54"/>
      <c r="Q616" s="260">
        <f>IF(D616="","",IF(J616="リード付け",M616,VLOOKUP(D616,契約台帳!$A$3:$N$4986,14,FALSE)))</f>
        <v>1000</v>
      </c>
      <c r="R616" s="261">
        <f>IF(D616="","",IF(J616="リード付け",M616,VLOOKUP(D616,契約台帳!$A$3:$O$4986,15,FALSE)))</f>
        <v>1000</v>
      </c>
      <c r="S616" s="261">
        <f>IF(D616="","",IF(J616="リード付け",N616,VLOOKUP(D616,契約台帳!$A$3:$P$4986,16,FALSE)))</f>
        <v>4000</v>
      </c>
      <c r="T616" s="38">
        <v>9</v>
      </c>
      <c r="U616" s="261" t="str">
        <f ca="1">IF(D616="","",IF(OFFSET(D616,-2,0)=D616,"",VLOOKUP(D616,契約台帳!$A$3:$R$4986,18,FALSE)))</f>
        <v/>
      </c>
      <c r="V616" s="256" t="str">
        <f>IF(J616="巻返し",VLOOKUP(F616&amp;K616&amp;M616,製品マスタ!$M$5:$AD$4999,18,FALSE),IF(J616="リード付け","原反コア",IF(J616="スリット",VLOOKUP(F616&amp;K616&amp;Q616,製品マスタ!$N$5:$AD$4999,17,FALSE),"")))</f>
        <v>6ｲﾝﾁSｺｱ</v>
      </c>
      <c r="W616" s="256">
        <f>IF(J616="巻返し",VLOOKUP(F616&amp;K616&amp;M616,製品マスタ!$M$5:$AE$4999,19,FALSE),IF(J616="リード付け","-",IF(J616="スリット",VLOOKUP(F616&amp;K616&amp;Q616,製品マスタ!$N$5:$AE$4999,18,FALSE),"")))</f>
        <v>1005</v>
      </c>
      <c r="X616" s="256">
        <f>IF(D616="","",VLOOKUP(D616,契約台帳!$A$3:$Q$4986,17,FALSE))</f>
        <v>2</v>
      </c>
      <c r="Y616" s="256" t="str">
        <f>IF(D616="","",VLOOKUP(D616,契約台帳!$A$3:$E$4986,5,FALSE))</f>
        <v>リンテック㈱</v>
      </c>
      <c r="Z616" s="54">
        <v>45134</v>
      </c>
      <c r="AA616" s="200" t="str">
        <f>IFERROR(VLOOKUP(F616&amp;K616&amp;M616,製品マスタ!$M$5:$AM$4999,27,FALSE),"")</f>
        <v>原反ケース再利用</v>
      </c>
      <c r="AB616" s="31"/>
      <c r="AC616" s="184"/>
      <c r="AD616" s="51" t="str">
        <f>IF(F616="","",+F616&amp;K616)</f>
        <v>3SNMLBMNNGKBF50</v>
      </c>
      <c r="AE616" s="52">
        <f>+M616*N616*O616/1000</f>
        <v>36000</v>
      </c>
      <c r="AF616" s="41">
        <f>IF(AD616="","",VLOOKUP(AD616,原価マスタ!$A$2:$AJ$1693,13,FALSE))</f>
        <v>99</v>
      </c>
      <c r="AG616" s="45">
        <f>IF(AF616="","",+AE616*AF616/100)</f>
        <v>35640</v>
      </c>
      <c r="AH616" s="28"/>
      <c r="AI616" s="28"/>
      <c r="AJ616" s="28"/>
      <c r="AK616" s="28"/>
      <c r="AL616" s="12"/>
      <c r="AM616" s="12"/>
      <c r="AN616" s="12"/>
      <c r="AO616" s="12"/>
      <c r="AP616" s="12"/>
      <c r="AQ616" s="13"/>
      <c r="AR616" s="14"/>
    </row>
    <row r="617" spans="1:44" s="16" customFormat="1" ht="30.95" hidden="1" customHeight="1" x14ac:dyDescent="0.2">
      <c r="A617" s="35"/>
      <c r="B617" s="36"/>
      <c r="C617" s="43"/>
      <c r="D617" s="29"/>
      <c r="E617" s="29"/>
      <c r="F617" s="255"/>
      <c r="G617" s="256"/>
      <c r="H617" s="256"/>
      <c r="I617" s="200"/>
      <c r="J617" s="30"/>
      <c r="K617" s="200"/>
      <c r="L617" s="200"/>
      <c r="M617" s="37"/>
      <c r="N617" s="37"/>
      <c r="O617" s="45"/>
      <c r="P617" s="54"/>
      <c r="Q617" s="260"/>
      <c r="R617" s="261"/>
      <c r="S617" s="261"/>
      <c r="T617" s="38"/>
      <c r="U617" s="261"/>
      <c r="V617" s="256"/>
      <c r="W617" s="256"/>
      <c r="X617" s="256"/>
      <c r="Y617" s="256"/>
      <c r="Z617" s="54"/>
      <c r="AA617" s="200"/>
      <c r="AB617" s="31"/>
      <c r="AC617" s="184"/>
      <c r="AD617" s="51"/>
      <c r="AE617" s="52"/>
      <c r="AF617" s="41"/>
      <c r="AG617" s="45"/>
      <c r="AH617" s="28"/>
      <c r="AI617" s="28"/>
      <c r="AJ617" s="28"/>
      <c r="AK617" s="28"/>
      <c r="AL617" s="12"/>
      <c r="AM617" s="12"/>
      <c r="AN617" s="12"/>
      <c r="AO617" s="12"/>
      <c r="AP617" s="12"/>
      <c r="AQ617" s="13"/>
      <c r="AR617" s="14"/>
    </row>
    <row r="618" spans="1:44" s="16" customFormat="1" ht="30.95" hidden="1" customHeight="1" x14ac:dyDescent="0.2">
      <c r="A618" s="35"/>
      <c r="B618" s="36"/>
      <c r="C618" s="43"/>
      <c r="D618" s="29">
        <v>3716267</v>
      </c>
      <c r="E618" s="29">
        <v>4151413</v>
      </c>
      <c r="F618" s="255" t="str">
        <f>IF(D618="","",VLOOKUP(D618,契約台帳!$A$3:$K$4986,6,FALSE)&amp;VLOOKUP(D618,契約台帳!$A$3:$K$4986,7,FALSE)&amp;VLOOKUP(D618,契約台帳!$A$3:$K$4986,8,FALSE)&amp;VLOOKUP(D618,契約台帳!$A$3:$K$4986,9,FALSE)&amp;VLOOKUP(D618,契約台帳!$A$3:$K$4986,11,FALSE))</f>
        <v>3SNMLBMNQR66F</v>
      </c>
      <c r="G618" s="256" t="str">
        <f>IF(D618="","",VLOOKUP(F618,製品マスタ!$G$5:$H$4999,2,FALSE))</f>
        <v>S</v>
      </c>
      <c r="H618" s="256" t="str">
        <f>IF(D618="","",VLOOKUP(F618,製品マスタ!$G$5:$K$4999,5,FALSE))</f>
        <v>MNQR66F</v>
      </c>
      <c r="I618" s="200" t="str">
        <f>IF(D618="","",VLOOKUP(F618,製品マスタ!$G$5:$L$4999,6,FALSE))</f>
        <v>ＱＲ６６蒸着品</v>
      </c>
      <c r="J618" s="30" t="s">
        <v>447</v>
      </c>
      <c r="K618" s="200">
        <f>IF(D618="","",VLOOKUP(D618,契約台帳!$A$3:$L$4986,12,FALSE))</f>
        <v>25</v>
      </c>
      <c r="L618" s="200" t="str">
        <f>IF(D618="","",INDEX(製品マスタ!$Q$5:$Q$4999,MATCH(F618&amp;K618,製品マスタ!$AO$5:$AO$4999,0)))</f>
        <v>E315</v>
      </c>
      <c r="M618" s="37">
        <v>1000</v>
      </c>
      <c r="N618" s="37">
        <v>24000</v>
      </c>
      <c r="O618" s="45">
        <v>1</v>
      </c>
      <c r="P618" s="54"/>
      <c r="Q618" s="260">
        <f>IF(D618="","",IF(J618="リード付け",M618,VLOOKUP(D618,契約台帳!$A$3:$N$4986,14,FALSE)))</f>
        <v>1000</v>
      </c>
      <c r="R618" s="261">
        <f>IF(D618="","",IF(J618="リード付け",M618,VLOOKUP(D618,契約台帳!$A$3:$O$4986,15,FALSE)))</f>
        <v>1000</v>
      </c>
      <c r="S618" s="261">
        <f>IF(D618="","",IF(J618="リード付け",N618,VLOOKUP(D618,契約台帳!$A$3:$P$4986,16,FALSE)))</f>
        <v>6000</v>
      </c>
      <c r="T618" s="38">
        <v>4</v>
      </c>
      <c r="U618" s="261">
        <f ca="1">IF(D618="","",IF(OFFSET(D618,-2,0)=D618,"",VLOOKUP(D618,契約台帳!$A$3:$R$4986,18,FALSE)))</f>
        <v>8</v>
      </c>
      <c r="V618" s="256" t="str">
        <f>IF(J618="巻返し",VLOOKUP(F618&amp;K618&amp;M618,製品マスタ!$M$5:$AD$4999,18,FALSE),IF(J618="リード付け","原反コア",IF(J618="スリット",VLOOKUP(F618&amp;K618&amp;Q618,製品マスタ!$N$5:$AD$4999,17,FALSE),"")))</f>
        <v>6ｲﾝﾁMｺｱ</v>
      </c>
      <c r="W618" s="256">
        <f>IF(J618="巻返し",VLOOKUP(F618&amp;K618&amp;M618,製品マスタ!$M$5:$AE$4999,19,FALSE),IF(J618="リード付け","-",IF(J618="スリット",VLOOKUP(F618&amp;K618&amp;Q618,製品マスタ!$N$5:$AE$4999,18,FALSE),"")))</f>
        <v>1010</v>
      </c>
      <c r="X618" s="256">
        <f>IF(D618="","",VLOOKUP(D618,契約台帳!$A$3:$Q$4986,17,FALSE))</f>
        <v>2</v>
      </c>
      <c r="Y618" s="256" t="str">
        <f>IF(D618="","",VLOOKUP(D618,契約台帳!$A$3:$E$4986,5,FALSE))</f>
        <v>リンテック㈱</v>
      </c>
      <c r="Z618" s="54">
        <v>45134</v>
      </c>
      <c r="AA618" s="200" t="str">
        <f>IFERROR(VLOOKUP(F618&amp;K618&amp;M618,製品マスタ!$M$5:$AM$4999,27,FALSE),"")</f>
        <v>原反ケース再利用</v>
      </c>
      <c r="AB618" s="31"/>
      <c r="AC618" s="184"/>
      <c r="AD618" s="51" t="str">
        <f>IF(F618="","",+F618&amp;K618)</f>
        <v>3SNMLBMNQR66F25</v>
      </c>
      <c r="AE618" s="52">
        <f>+M618*N618*O618/1000</f>
        <v>24000</v>
      </c>
      <c r="AF618" s="41">
        <f>IF(AD618="","",VLOOKUP(AD618,原価マスタ!$A$2:$AJ$1693,13,FALSE))</f>
        <v>98</v>
      </c>
      <c r="AG618" s="45">
        <f>IF(AF618="","",+AE618*AF618/100)</f>
        <v>23520</v>
      </c>
      <c r="AH618" s="28"/>
      <c r="AI618" s="28"/>
      <c r="AJ618" s="28"/>
      <c r="AK618" s="28"/>
      <c r="AL618" s="12"/>
      <c r="AM618" s="12"/>
      <c r="AN618" s="12"/>
      <c r="AO618" s="12"/>
      <c r="AP618" s="12"/>
      <c r="AQ618" s="13"/>
      <c r="AR618" s="14"/>
    </row>
    <row r="619" spans="1:44" s="16" customFormat="1" ht="30.95" hidden="1" customHeight="1" x14ac:dyDescent="0.2">
      <c r="A619" s="35"/>
      <c r="B619" s="36"/>
      <c r="C619" s="43"/>
      <c r="D619" s="29"/>
      <c r="E619" s="29"/>
      <c r="F619" s="255"/>
      <c r="G619" s="256"/>
      <c r="H619" s="256"/>
      <c r="I619" s="200"/>
      <c r="J619" s="30"/>
      <c r="K619" s="200"/>
      <c r="L619" s="200"/>
      <c r="M619" s="37"/>
      <c r="N619" s="37"/>
      <c r="O619" s="45"/>
      <c r="P619" s="54"/>
      <c r="Q619" s="260"/>
      <c r="R619" s="261"/>
      <c r="S619" s="261"/>
      <c r="T619" s="38"/>
      <c r="U619" s="261"/>
      <c r="V619" s="256"/>
      <c r="W619" s="256"/>
      <c r="X619" s="256"/>
      <c r="Y619" s="256"/>
      <c r="Z619" s="54"/>
      <c r="AA619" s="200"/>
      <c r="AB619" s="31"/>
      <c r="AC619" s="184"/>
      <c r="AD619" s="51"/>
      <c r="AE619" s="52"/>
      <c r="AF619" s="41"/>
      <c r="AG619" s="45"/>
      <c r="AH619" s="28"/>
      <c r="AI619" s="28"/>
      <c r="AJ619" s="28"/>
      <c r="AK619" s="28"/>
      <c r="AL619" s="12"/>
      <c r="AM619" s="12"/>
      <c r="AN619" s="12"/>
      <c r="AO619" s="12"/>
      <c r="AP619" s="12"/>
      <c r="AQ619" s="13"/>
      <c r="AR619" s="14"/>
    </row>
    <row r="620" spans="1:44" s="16" customFormat="1" ht="30.95" hidden="1" customHeight="1" x14ac:dyDescent="0.2">
      <c r="A620" s="35" t="s">
        <v>516</v>
      </c>
      <c r="B620" s="36" t="s">
        <v>442</v>
      </c>
      <c r="C620" s="43"/>
      <c r="D620" s="29">
        <v>3716267</v>
      </c>
      <c r="E620" s="29">
        <v>4151413</v>
      </c>
      <c r="F620" s="255" t="str">
        <f>IF(D620="","",VLOOKUP(D620,契約台帳!$A$3:$K$4986,6,FALSE)&amp;VLOOKUP(D620,契約台帳!$A$3:$K$4986,7,FALSE)&amp;VLOOKUP(D620,契約台帳!$A$3:$K$4986,8,FALSE)&amp;VLOOKUP(D620,契約台帳!$A$3:$K$4986,9,FALSE)&amp;VLOOKUP(D620,契約台帳!$A$3:$K$4986,11,FALSE))</f>
        <v>3SNMLBMNQR66F</v>
      </c>
      <c r="G620" s="256" t="str">
        <f>IF(D620="","",VLOOKUP(F620,製品マスタ!$G$5:$H$4999,2,FALSE))</f>
        <v>S</v>
      </c>
      <c r="H620" s="256" t="str">
        <f>IF(D620="","",VLOOKUP(F620,製品マスタ!$G$5:$K$4999,5,FALSE))</f>
        <v>MNQR66F</v>
      </c>
      <c r="I620" s="200" t="str">
        <f>IF(D620="","",VLOOKUP(F620,製品マスタ!$G$5:$L$4999,6,FALSE))</f>
        <v>ＱＲ６６蒸着品</v>
      </c>
      <c r="J620" s="30" t="s">
        <v>447</v>
      </c>
      <c r="K620" s="200">
        <f>IF(D620="","",VLOOKUP(D620,契約台帳!$A$3:$L$4986,12,FALSE))</f>
        <v>25</v>
      </c>
      <c r="L620" s="200" t="str">
        <f>IF(D620="","",INDEX(製品マスタ!$Q$5:$Q$4999,MATCH(F620&amp;K620,製品マスタ!$AO$5:$AO$4999,0)))</f>
        <v>E315</v>
      </c>
      <c r="M620" s="37">
        <v>1000</v>
      </c>
      <c r="N620" s="37">
        <v>24000</v>
      </c>
      <c r="O620" s="45">
        <v>1</v>
      </c>
      <c r="P620" s="54"/>
      <c r="Q620" s="260">
        <f>IF(D620="","",IF(J620="リード付け",M620,VLOOKUP(D620,契約台帳!$A$3:$N$4986,14,FALSE)))</f>
        <v>1000</v>
      </c>
      <c r="R620" s="261">
        <f>IF(D620="","",IF(J620="リード付け",M620,VLOOKUP(D620,契約台帳!$A$3:$O$4986,15,FALSE)))</f>
        <v>1000</v>
      </c>
      <c r="S620" s="261">
        <f>IF(D620="","",IF(J620="リード付け",N620,VLOOKUP(D620,契約台帳!$A$3:$P$4986,16,FALSE)))</f>
        <v>6000</v>
      </c>
      <c r="T620" s="38">
        <v>4</v>
      </c>
      <c r="U620" s="261" t="str">
        <f ca="1">IF(D620="","",IF(OFFSET(D620,-2,0)=D620,"",VLOOKUP(D620,契約台帳!$A$3:$R$4986,18,FALSE)))</f>
        <v/>
      </c>
      <c r="V620" s="256" t="str">
        <f>IF(J620="巻返し",VLOOKUP(F620&amp;K620&amp;M620,製品マスタ!$M$5:$AD$4999,18,FALSE),IF(J620="リード付け","原反コア",IF(J620="スリット",VLOOKUP(F620&amp;K620&amp;Q620,製品マスタ!$N$5:$AD$4999,17,FALSE),"")))</f>
        <v>6ｲﾝﾁMｺｱ</v>
      </c>
      <c r="W620" s="256">
        <f>IF(J620="巻返し",VLOOKUP(F620&amp;K620&amp;M620,製品マスタ!$M$5:$AE$4999,19,FALSE),IF(J620="リード付け","-",IF(J620="スリット",VLOOKUP(F620&amp;K620&amp;Q620,製品マスタ!$N$5:$AE$4999,18,FALSE),"")))</f>
        <v>1010</v>
      </c>
      <c r="X620" s="256">
        <f>IF(D620="","",VLOOKUP(D620,契約台帳!$A$3:$Q$4986,17,FALSE))</f>
        <v>2</v>
      </c>
      <c r="Y620" s="256" t="str">
        <f>IF(D620="","",VLOOKUP(D620,契約台帳!$A$3:$E$4986,5,FALSE))</f>
        <v>リンテック㈱</v>
      </c>
      <c r="Z620" s="54">
        <v>45135</v>
      </c>
      <c r="AA620" s="200" t="str">
        <f>IFERROR(VLOOKUP(F620&amp;K620&amp;M620,製品マスタ!$M$5:$AM$4999,27,FALSE),"")</f>
        <v>原反ケース再利用</v>
      </c>
      <c r="AB620" s="31"/>
      <c r="AC620" s="184"/>
      <c r="AD620" s="51" t="str">
        <f>IF(F620="","",+F620&amp;K620)</f>
        <v>3SNMLBMNQR66F25</v>
      </c>
      <c r="AE620" s="52">
        <f>+M620*N620*O620/1000</f>
        <v>24000</v>
      </c>
      <c r="AF620" s="41">
        <f>IF(AD620="","",VLOOKUP(AD620,原価マスタ!$A$2:$AJ$1693,13,FALSE))</f>
        <v>98</v>
      </c>
      <c r="AG620" s="45">
        <f>IF(AF620="","",+AE620*AF620/100)</f>
        <v>23520</v>
      </c>
      <c r="AH620" s="28"/>
      <c r="AI620" s="28"/>
      <c r="AJ620" s="28"/>
      <c r="AK620" s="28"/>
      <c r="AL620" s="12"/>
      <c r="AM620" s="12"/>
      <c r="AN620" s="12"/>
      <c r="AO620" s="12"/>
      <c r="AP620" s="12"/>
      <c r="AQ620" s="13"/>
      <c r="AR620" s="14"/>
    </row>
    <row r="621" spans="1:44" s="16" customFormat="1" ht="30.95" hidden="1" customHeight="1" x14ac:dyDescent="0.2">
      <c r="A621" s="35"/>
      <c r="B621" s="36"/>
      <c r="C621" s="43"/>
      <c r="D621" s="29"/>
      <c r="E621" s="29"/>
      <c r="F621" s="255"/>
      <c r="G621" s="256"/>
      <c r="H621" s="256"/>
      <c r="I621" s="200"/>
      <c r="J621" s="30"/>
      <c r="K621" s="200"/>
      <c r="L621" s="200"/>
      <c r="M621" s="37"/>
      <c r="N621" s="37"/>
      <c r="O621" s="45"/>
      <c r="P621" s="54"/>
      <c r="Q621" s="260"/>
      <c r="R621" s="261"/>
      <c r="S621" s="261"/>
      <c r="T621" s="38"/>
      <c r="U621" s="261"/>
      <c r="V621" s="256"/>
      <c r="W621" s="256"/>
      <c r="X621" s="256"/>
      <c r="Y621" s="256"/>
      <c r="Z621" s="54"/>
      <c r="AA621" s="200"/>
      <c r="AB621" s="31"/>
      <c r="AC621" s="184"/>
      <c r="AD621" s="51"/>
      <c r="AE621" s="52"/>
      <c r="AF621" s="41"/>
      <c r="AG621" s="45"/>
      <c r="AH621" s="28"/>
      <c r="AI621" s="28"/>
      <c r="AJ621" s="28"/>
      <c r="AK621" s="28"/>
      <c r="AL621" s="12"/>
      <c r="AM621" s="12"/>
      <c r="AN621" s="12"/>
      <c r="AO621" s="12"/>
      <c r="AP621" s="12"/>
      <c r="AQ621" s="13"/>
      <c r="AR621" s="14"/>
    </row>
    <row r="622" spans="1:44" s="16" customFormat="1" ht="30.95" hidden="1" customHeight="1" x14ac:dyDescent="0.2">
      <c r="A622" s="35"/>
      <c r="B622" s="36"/>
      <c r="C622" s="43"/>
      <c r="D622" s="29">
        <v>3716246</v>
      </c>
      <c r="E622" s="29">
        <v>4151392</v>
      </c>
      <c r="F622" s="255" t="str">
        <f>IF(D622="","",VLOOKUP(D622,契約台帳!$A$3:$K$4986,6,FALSE)&amp;VLOOKUP(D622,契約台帳!$A$3:$K$4986,7,FALSE)&amp;VLOOKUP(D622,契約台帳!$A$3:$K$4986,8,FALSE)&amp;VLOOKUP(D622,契約台帳!$A$3:$K$4986,9,FALSE)&amp;VLOOKUP(D622,契約台帳!$A$3:$K$4986,11,FALSE))</f>
        <v>3SNMLBMNGKKBF</v>
      </c>
      <c r="G622" s="256" t="str">
        <f>IF(D622="","",VLOOKUP(F622,製品マスタ!$G$5:$H$4999,2,FALSE))</f>
        <v>S</v>
      </c>
      <c r="H622" s="256" t="str">
        <f>IF(D622="","",VLOOKUP(F622,製品マスタ!$G$5:$K$4999,5,FALSE))</f>
        <v>MNGKKBF</v>
      </c>
      <c r="I622" s="200" t="str">
        <f>IF(D622="","",VLOOKUP(F622,製品マスタ!$G$5:$L$4999,6,FALSE))</f>
        <v>メタルミー　ネーマー銀消改　Ｂ</v>
      </c>
      <c r="J622" s="30" t="s">
        <v>447</v>
      </c>
      <c r="K622" s="200">
        <f>IF(D622="","",VLOOKUP(D622,契約台帳!$A$3:$L$4986,12,FALSE))</f>
        <v>50</v>
      </c>
      <c r="L622" s="200" t="str">
        <f>IF(D622="","",INDEX(製品マスタ!$Q$5:$Q$4999,MATCH(F622&amp;K622,製品マスタ!$AO$5:$AO$4999,0)))</f>
        <v>S99-MAT</v>
      </c>
      <c r="M622" s="37">
        <v>1000</v>
      </c>
      <c r="N622" s="37">
        <v>12000</v>
      </c>
      <c r="O622" s="45">
        <v>1</v>
      </c>
      <c r="P622" s="54"/>
      <c r="Q622" s="260">
        <f>IF(D622="","",IF(J622="リード付け",M622,VLOOKUP(D622,契約台帳!$A$3:$N$4986,14,FALSE)))</f>
        <v>1000</v>
      </c>
      <c r="R622" s="261">
        <f>IF(D622="","",IF(J622="リード付け",M622,VLOOKUP(D622,契約台帳!$A$3:$O$4986,15,FALSE)))</f>
        <v>1000</v>
      </c>
      <c r="S622" s="261">
        <f>IF(D622="","",IF(J622="リード付け",N622,VLOOKUP(D622,契約台帳!$A$3:$P$4986,16,FALSE)))</f>
        <v>4000</v>
      </c>
      <c r="T622" s="38">
        <v>3</v>
      </c>
      <c r="U622" s="261">
        <f ca="1">IF(D622="","",IF(OFFSET(D622,-2,0)=D622,"",VLOOKUP(D622,契約台帳!$A$3:$R$4986,18,FALSE)))</f>
        <v>3</v>
      </c>
      <c r="V622" s="256" t="str">
        <f>IF(J622="巻返し",VLOOKUP(F622&amp;K622&amp;M622,製品マスタ!$M$5:$AD$4999,18,FALSE),IF(J622="リード付け","原反コア",IF(J622="スリット",VLOOKUP(F622&amp;K622&amp;Q622,製品マスタ!$N$5:$AD$4999,17,FALSE),"")))</f>
        <v>6ｲﾝﾁSｺｱ</v>
      </c>
      <c r="W622" s="256">
        <f>IF(J622="巻返し",VLOOKUP(F622&amp;K622&amp;M622,製品マスタ!$M$5:$AE$4999,19,FALSE),IF(J622="リード付け","-",IF(J622="スリット",VLOOKUP(F622&amp;K622&amp;Q622,製品マスタ!$N$5:$AE$4999,18,FALSE),"")))</f>
        <v>1005</v>
      </c>
      <c r="X622" s="256">
        <f>IF(D622="","",VLOOKUP(D622,契約台帳!$A$3:$Q$4986,17,FALSE))</f>
        <v>2</v>
      </c>
      <c r="Y622" s="256" t="str">
        <f>IF(D622="","",VLOOKUP(D622,契約台帳!$A$3:$E$4986,5,FALSE))</f>
        <v>リンテック㈱</v>
      </c>
      <c r="Z622" s="54">
        <v>45135</v>
      </c>
      <c r="AA622" s="200">
        <f>IFERROR(VLOOKUP(F622&amp;K622&amp;M622,製品マスタ!$M$5:$AM$4999,27,FALSE),"")</f>
        <v>0</v>
      </c>
      <c r="AB622" s="31"/>
      <c r="AC622" s="184"/>
      <c r="AD622" s="51" t="str">
        <f>IF(F622="","",+F622&amp;K622)</f>
        <v>3SNMLBMNGKKBF50</v>
      </c>
      <c r="AE622" s="52">
        <f>+M622*N622*O622/1000</f>
        <v>12000</v>
      </c>
      <c r="AF622" s="41">
        <f>IF(AD622="","",VLOOKUP(AD622,原価マスタ!$A$2:$AJ$1693,13,FALSE))</f>
        <v>99</v>
      </c>
      <c r="AG622" s="45">
        <f>IF(AF622="","",+AE622*AF622/100)</f>
        <v>11880</v>
      </c>
      <c r="AH622" s="28"/>
      <c r="AI622" s="28"/>
      <c r="AJ622" s="28"/>
      <c r="AK622" s="28"/>
      <c r="AL622" s="12"/>
      <c r="AM622" s="12"/>
      <c r="AN622" s="12"/>
      <c r="AO622" s="12"/>
      <c r="AP622" s="12"/>
      <c r="AQ622" s="13"/>
      <c r="AR622" s="14"/>
    </row>
    <row r="623" spans="1:44" s="16" customFormat="1" ht="30.95" hidden="1" customHeight="1" x14ac:dyDescent="0.2">
      <c r="A623" s="35"/>
      <c r="B623" s="36"/>
      <c r="C623" s="43"/>
      <c r="D623" s="29"/>
      <c r="E623" s="29"/>
      <c r="F623" s="255"/>
      <c r="G623" s="256"/>
      <c r="H623" s="256"/>
      <c r="I623" s="200"/>
      <c r="J623" s="30"/>
      <c r="K623" s="200"/>
      <c r="L623" s="200"/>
      <c r="M623" s="37"/>
      <c r="N623" s="37"/>
      <c r="O623" s="45"/>
      <c r="P623" s="54"/>
      <c r="Q623" s="260"/>
      <c r="R623" s="261"/>
      <c r="S623" s="261"/>
      <c r="T623" s="38"/>
      <c r="U623" s="261"/>
      <c r="V623" s="256"/>
      <c r="W623" s="256"/>
      <c r="X623" s="256"/>
      <c r="Y623" s="256"/>
      <c r="Z623" s="54"/>
      <c r="AA623" s="200"/>
      <c r="AB623" s="31"/>
      <c r="AC623" s="184"/>
      <c r="AD623" s="51"/>
      <c r="AE623" s="52"/>
      <c r="AF623" s="41"/>
      <c r="AG623" s="45"/>
      <c r="AH623" s="28"/>
      <c r="AI623" s="28"/>
      <c r="AJ623" s="28"/>
      <c r="AK623" s="28"/>
      <c r="AL623" s="12"/>
      <c r="AM623" s="12"/>
      <c r="AN623" s="12"/>
      <c r="AO623" s="12"/>
      <c r="AP623" s="12"/>
      <c r="AQ623" s="13"/>
      <c r="AR623" s="14"/>
    </row>
    <row r="624" spans="1:44" s="16" customFormat="1" ht="30.95" hidden="1" customHeight="1" x14ac:dyDescent="0.2">
      <c r="A624" s="35"/>
      <c r="B624" s="36"/>
      <c r="C624" s="43"/>
      <c r="D624" s="29">
        <v>3716252</v>
      </c>
      <c r="E624" s="29">
        <v>4151389</v>
      </c>
      <c r="F624" s="255" t="str">
        <f>IF(D624="","",VLOOKUP(D624,契約台帳!$A$3:$K$4986,6,FALSE)&amp;VLOOKUP(D624,契約台帳!$A$3:$K$4986,7,FALSE)&amp;VLOOKUP(D624,契約台帳!$A$3:$K$4986,8,FALSE)&amp;VLOOKUP(D624,契約台帳!$A$3:$K$4986,9,FALSE)&amp;VLOOKUP(D624,契約台帳!$A$3:$K$4986,11,FALSE))</f>
        <v>3SNMLBMNGKBF</v>
      </c>
      <c r="G624" s="256" t="str">
        <f>IF(D624="","",VLOOKUP(F624,製品マスタ!$G$5:$H$4999,2,FALSE))</f>
        <v>S</v>
      </c>
      <c r="H624" s="256" t="str">
        <f>IF(D624="","",VLOOKUP(F624,製品マスタ!$G$5:$K$4999,5,FALSE))</f>
        <v>MNGKBF</v>
      </c>
      <c r="I624" s="200" t="str">
        <f>IF(D624="","",VLOOKUP(F624,製品マスタ!$G$5:$L$4999,6,FALSE))</f>
        <v>メタルミー　ネーマー銀消　Ｂ</v>
      </c>
      <c r="J624" s="30" t="s">
        <v>447</v>
      </c>
      <c r="K624" s="200">
        <f>IF(D624="","",VLOOKUP(D624,契約台帳!$A$3:$L$4986,12,FALSE))</f>
        <v>50</v>
      </c>
      <c r="L624" s="200" t="str">
        <f>IF(D624="","",INDEX(製品マスタ!$Q$5:$Q$4999,MATCH(F624&amp;K624,製品マスタ!$AO$5:$AO$4999,0)))</f>
        <v>MAT</v>
      </c>
      <c r="M624" s="37">
        <v>1170</v>
      </c>
      <c r="N624" s="37">
        <v>8000</v>
      </c>
      <c r="O624" s="45">
        <v>1</v>
      </c>
      <c r="P624" s="54"/>
      <c r="Q624" s="260">
        <f>IF(D624="","",IF(J624="リード付け",M624,VLOOKUP(D624,契約台帳!$A$3:$N$4986,14,FALSE)))</f>
        <v>1170</v>
      </c>
      <c r="R624" s="261">
        <f>IF(D624="","",IF(J624="リード付け",M624,VLOOKUP(D624,契約台帳!$A$3:$O$4986,15,FALSE)))</f>
        <v>1170</v>
      </c>
      <c r="S624" s="261">
        <f>IF(D624="","",IF(J624="リード付け",N624,VLOOKUP(D624,契約台帳!$A$3:$P$4986,16,FALSE)))</f>
        <v>4000</v>
      </c>
      <c r="T624" s="38">
        <v>2</v>
      </c>
      <c r="U624" s="261">
        <f ca="1">IF(D624="","",IF(OFFSET(D624,-2,0)=D624,"",VLOOKUP(D624,契約台帳!$A$3:$R$4986,18,FALSE)))</f>
        <v>2</v>
      </c>
      <c r="V624" s="256" t="str">
        <f>IF(J624="巻返し",VLOOKUP(F624&amp;K624&amp;M624,製品マスタ!$M$5:$AD$4999,18,FALSE),IF(J624="リード付け","原反コア",IF(J624="スリット",VLOOKUP(F624&amp;K624&amp;Q624,製品マスタ!$N$5:$AD$4999,17,FALSE),"")))</f>
        <v>6ｲﾝﾁSｺｱ</v>
      </c>
      <c r="W624" s="256">
        <f>IF(J624="巻返し",VLOOKUP(F624&amp;K624&amp;M624,製品マスタ!$M$5:$AE$4999,19,FALSE),IF(J624="リード付け","-",IF(J624="スリット",VLOOKUP(F624&amp;K624&amp;Q624,製品マスタ!$N$5:$AE$4999,18,FALSE),"")))</f>
        <v>1175</v>
      </c>
      <c r="X624" s="256">
        <f>IF(D624="","",VLOOKUP(D624,契約台帳!$A$3:$Q$4986,17,FALSE))</f>
        <v>2</v>
      </c>
      <c r="Y624" s="256" t="str">
        <f>IF(D624="","",VLOOKUP(D624,契約台帳!$A$3:$E$4986,5,FALSE))</f>
        <v>リンテック㈱</v>
      </c>
      <c r="Z624" s="54">
        <v>45135</v>
      </c>
      <c r="AA624" s="200">
        <f>IFERROR(VLOOKUP(F624&amp;K624&amp;M624,製品マスタ!$M$5:$AM$4999,27,FALSE),"")</f>
        <v>0</v>
      </c>
      <c r="AB624" s="31"/>
      <c r="AC624" s="184"/>
      <c r="AD624" s="51" t="str">
        <f>IF(F624="","",+F624&amp;K624)</f>
        <v>3SNMLBMNGKBF50</v>
      </c>
      <c r="AE624" s="52">
        <f>+M624*N624*O624/1000</f>
        <v>9360</v>
      </c>
      <c r="AF624" s="41">
        <f>IF(AD624="","",VLOOKUP(AD624,原価マスタ!$A$2:$AJ$1693,13,FALSE))</f>
        <v>98</v>
      </c>
      <c r="AG624" s="45">
        <f>IF(AF624="","",+AE624*AF624/100)</f>
        <v>9172.7999999999993</v>
      </c>
      <c r="AH624" s="28"/>
      <c r="AI624" s="28"/>
      <c r="AJ624" s="28"/>
      <c r="AK624" s="28"/>
      <c r="AL624" s="12"/>
      <c r="AM624" s="12"/>
      <c r="AN624" s="12"/>
      <c r="AO624" s="12"/>
      <c r="AP624" s="12"/>
      <c r="AQ624" s="13"/>
      <c r="AR624" s="14"/>
    </row>
    <row r="625" spans="1:44" s="16" customFormat="1" ht="30.95" hidden="1" customHeight="1" x14ac:dyDescent="0.2">
      <c r="A625" s="35"/>
      <c r="B625" s="36"/>
      <c r="C625" s="43"/>
      <c r="D625" s="29"/>
      <c r="E625" s="29"/>
      <c r="F625" s="255"/>
      <c r="G625" s="256"/>
      <c r="H625" s="256"/>
      <c r="I625" s="200"/>
      <c r="J625" s="30"/>
      <c r="K625" s="200"/>
      <c r="L625" s="200"/>
      <c r="M625" s="37"/>
      <c r="N625" s="37"/>
      <c r="O625" s="45"/>
      <c r="P625" s="54"/>
      <c r="Q625" s="260"/>
      <c r="R625" s="261"/>
      <c r="S625" s="261"/>
      <c r="T625" s="38"/>
      <c r="U625" s="261"/>
      <c r="V625" s="256"/>
      <c r="W625" s="256"/>
      <c r="X625" s="256"/>
      <c r="Y625" s="256"/>
      <c r="Z625" s="54"/>
      <c r="AA625" s="200"/>
      <c r="AB625" s="31"/>
      <c r="AC625" s="184"/>
      <c r="AD625" s="51"/>
      <c r="AE625" s="52"/>
      <c r="AF625" s="41"/>
      <c r="AG625" s="45"/>
      <c r="AH625" s="28"/>
      <c r="AI625" s="28"/>
      <c r="AJ625" s="28"/>
      <c r="AK625" s="28"/>
      <c r="AL625" s="12"/>
      <c r="AM625" s="12"/>
      <c r="AN625" s="12"/>
      <c r="AO625" s="12"/>
      <c r="AP625" s="12"/>
      <c r="AQ625" s="13"/>
      <c r="AR625" s="14"/>
    </row>
    <row r="626" spans="1:44" s="16" customFormat="1" ht="30.95" hidden="1" customHeight="1" x14ac:dyDescent="0.2">
      <c r="A626" s="35"/>
      <c r="B626" s="36"/>
      <c r="C626" s="43"/>
      <c r="D626" s="29">
        <v>3716248</v>
      </c>
      <c r="E626" s="29">
        <v>4151394</v>
      </c>
      <c r="F626" s="255" t="str">
        <f>IF(D626="","",VLOOKUP(D626,契約台帳!$A$3:$K$4986,6,FALSE)&amp;VLOOKUP(D626,契約台帳!$A$3:$K$4986,7,FALSE)&amp;VLOOKUP(D626,契約台帳!$A$3:$K$4986,8,FALSE)&amp;VLOOKUP(D626,契約台帳!$A$3:$K$4986,9,FALSE)&amp;VLOOKUP(D626,契約台帳!$A$3:$K$4986,11,FALSE))</f>
        <v>3SNMLBMNGKKBF</v>
      </c>
      <c r="G626" s="256" t="str">
        <f>IF(D626="","",VLOOKUP(F626,製品マスタ!$G$5:$H$4999,2,FALSE))</f>
        <v>S</v>
      </c>
      <c r="H626" s="256" t="str">
        <f>IF(D626="","",VLOOKUP(F626,製品マスタ!$G$5:$K$4999,5,FALSE))</f>
        <v>MNGKKBF</v>
      </c>
      <c r="I626" s="200" t="str">
        <f>IF(D626="","",VLOOKUP(F626,製品マスタ!$G$5:$L$4999,6,FALSE))</f>
        <v>メタルミー　ネーマー銀消改　Ｂ</v>
      </c>
      <c r="J626" s="30" t="s">
        <v>447</v>
      </c>
      <c r="K626" s="200">
        <f>IF(D626="","",VLOOKUP(D626,契約台帳!$A$3:$L$4986,12,FALSE))</f>
        <v>50</v>
      </c>
      <c r="L626" s="200" t="str">
        <f>IF(D626="","",INDEX(製品マスタ!$Q$5:$Q$4999,MATCH(F626&amp;K626,製品マスタ!$AO$5:$AO$4999,0)))</f>
        <v>S99-MAT</v>
      </c>
      <c r="M626" s="37">
        <v>1120</v>
      </c>
      <c r="N626" s="37">
        <v>12000</v>
      </c>
      <c r="O626" s="45">
        <v>5</v>
      </c>
      <c r="P626" s="54"/>
      <c r="Q626" s="260">
        <f>IF(D626="","",IF(J626="リード付け",M626,VLOOKUP(D626,契約台帳!$A$3:$N$4986,14,FALSE)))</f>
        <v>1120</v>
      </c>
      <c r="R626" s="261">
        <f>IF(D626="","",IF(J626="リード付け",M626,VLOOKUP(D626,契約台帳!$A$3:$O$4986,15,FALSE)))</f>
        <v>1120</v>
      </c>
      <c r="S626" s="261">
        <f>IF(D626="","",IF(J626="リード付け",N626,VLOOKUP(D626,契約台帳!$A$3:$P$4986,16,FALSE)))</f>
        <v>4000</v>
      </c>
      <c r="T626" s="38">
        <v>15</v>
      </c>
      <c r="U626" s="261">
        <f ca="1">IF(D626="","",IF(OFFSET(D626,-2,0)=D626,"",VLOOKUP(D626,契約台帳!$A$3:$R$4986,18,FALSE)))</f>
        <v>18</v>
      </c>
      <c r="V626" s="256" t="str">
        <f>IF(J626="巻返し",VLOOKUP(F626&amp;K626&amp;M626,製品マスタ!$M$5:$AD$4999,18,FALSE),IF(J626="リード付け","原反コア",IF(J626="スリット",VLOOKUP(F626&amp;K626&amp;Q626,製品マスタ!$N$5:$AD$4999,17,FALSE),"")))</f>
        <v>6ｲﾝﾁSｺｱ</v>
      </c>
      <c r="W626" s="256">
        <f>IF(J626="巻返し",VLOOKUP(F626&amp;K626&amp;M626,製品マスタ!$M$5:$AE$4999,19,FALSE),IF(J626="リード付け","-",IF(J626="スリット",VLOOKUP(F626&amp;K626&amp;Q626,製品マスタ!$N$5:$AE$4999,18,FALSE),"")))</f>
        <v>1125</v>
      </c>
      <c r="X626" s="256">
        <f>IF(D626="","",VLOOKUP(D626,契約台帳!$A$3:$Q$4986,17,FALSE))</f>
        <v>2</v>
      </c>
      <c r="Y626" s="256" t="str">
        <f>IF(D626="","",VLOOKUP(D626,契約台帳!$A$3:$E$4986,5,FALSE))</f>
        <v>リンテック㈱</v>
      </c>
      <c r="Z626" s="54">
        <v>45138</v>
      </c>
      <c r="AA626" s="200">
        <f>IFERROR(VLOOKUP(F626&amp;K626&amp;M626,製品マスタ!$M$5:$AM$4999,27,FALSE),"")</f>
        <v>0</v>
      </c>
      <c r="AB626" s="31"/>
      <c r="AC626" s="184"/>
      <c r="AD626" s="51" t="str">
        <f>IF(F626="","",+F626&amp;K626)</f>
        <v>3SNMLBMNGKKBF50</v>
      </c>
      <c r="AE626" s="52">
        <f>+M626*N626*O626/1000</f>
        <v>67200</v>
      </c>
      <c r="AF626" s="41">
        <f>IF(AD626="","",VLOOKUP(AD626,原価マスタ!$A$2:$AJ$1693,13,FALSE))</f>
        <v>99</v>
      </c>
      <c r="AG626" s="45">
        <f>IF(AF626="","",+AE626*AF626/100)</f>
        <v>66528</v>
      </c>
      <c r="AH626" s="28"/>
      <c r="AI626" s="28"/>
      <c r="AJ626" s="28"/>
      <c r="AK626" s="28"/>
      <c r="AL626" s="12"/>
      <c r="AM626" s="12"/>
      <c r="AN626" s="12"/>
      <c r="AO626" s="12"/>
      <c r="AP626" s="12"/>
      <c r="AQ626" s="13"/>
      <c r="AR626" s="14"/>
    </row>
    <row r="627" spans="1:44" s="16" customFormat="1" ht="30.95" hidden="1" customHeight="1" x14ac:dyDescent="0.2">
      <c r="A627" s="35"/>
      <c r="B627" s="36"/>
      <c r="C627" s="43"/>
      <c r="D627" s="29"/>
      <c r="E627" s="29"/>
      <c r="F627" s="255"/>
      <c r="G627" s="256"/>
      <c r="H627" s="256"/>
      <c r="I627" s="200"/>
      <c r="J627" s="30"/>
      <c r="K627" s="200"/>
      <c r="L627" s="200"/>
      <c r="M627" s="37"/>
      <c r="N627" s="37"/>
      <c r="O627" s="45"/>
      <c r="P627" s="54"/>
      <c r="Q627" s="260"/>
      <c r="R627" s="261"/>
      <c r="S627" s="261"/>
      <c r="T627" s="38"/>
      <c r="U627" s="261"/>
      <c r="V627" s="256"/>
      <c r="W627" s="256"/>
      <c r="X627" s="256"/>
      <c r="Y627" s="256"/>
      <c r="Z627" s="54"/>
      <c r="AA627" s="200"/>
      <c r="AB627" s="31"/>
      <c r="AC627" s="184"/>
      <c r="AD627" s="51"/>
      <c r="AE627" s="52"/>
      <c r="AF627" s="41"/>
      <c r="AG627" s="45"/>
      <c r="AH627" s="28"/>
      <c r="AI627" s="28"/>
      <c r="AJ627" s="28"/>
      <c r="AK627" s="28"/>
      <c r="AL627" s="12"/>
      <c r="AM627" s="12"/>
      <c r="AN627" s="12"/>
      <c r="AO627" s="12"/>
      <c r="AP627" s="12"/>
      <c r="AQ627" s="13"/>
      <c r="AR627" s="14"/>
    </row>
    <row r="628" spans="1:44" s="225" customFormat="1" ht="30.95" hidden="1" customHeight="1" x14ac:dyDescent="0.2">
      <c r="A628" s="209"/>
      <c r="B628" s="210"/>
      <c r="C628" s="262"/>
      <c r="D628" s="211"/>
      <c r="E628" s="211"/>
      <c r="F628" s="263"/>
      <c r="G628" s="264"/>
      <c r="H628" s="264"/>
      <c r="I628" s="265"/>
      <c r="J628" s="212"/>
      <c r="K628" s="265"/>
      <c r="L628" s="265"/>
      <c r="M628" s="213"/>
      <c r="N628" s="213"/>
      <c r="O628" s="214"/>
      <c r="P628" s="206"/>
      <c r="Q628" s="266"/>
      <c r="R628" s="267"/>
      <c r="S628" s="267"/>
      <c r="T628" s="216"/>
      <c r="U628" s="267"/>
      <c r="V628" s="264"/>
      <c r="W628" s="264"/>
      <c r="X628" s="264"/>
      <c r="Y628" s="264"/>
      <c r="Z628" s="206"/>
      <c r="AA628" s="265"/>
      <c r="AB628" s="217"/>
      <c r="AC628" s="218"/>
      <c r="AD628" s="219"/>
      <c r="AE628" s="220"/>
      <c r="AF628" s="215"/>
      <c r="AG628" s="226" t="e">
        <f>SUM(AG520:AG624)</f>
        <v>#N/A</v>
      </c>
      <c r="AH628" s="221"/>
      <c r="AI628" s="221"/>
      <c r="AJ628" s="221"/>
      <c r="AK628" s="221"/>
      <c r="AL628" s="222"/>
      <c r="AM628" s="222"/>
      <c r="AN628" s="222"/>
      <c r="AO628" s="222"/>
      <c r="AP628" s="222"/>
      <c r="AQ628" s="223"/>
      <c r="AR628" s="224"/>
    </row>
    <row r="629" spans="1:44" s="16" customFormat="1" ht="30.95" hidden="1" customHeight="1" x14ac:dyDescent="0.2">
      <c r="A629" s="35"/>
      <c r="B629" s="36"/>
      <c r="C629" s="43"/>
      <c r="D629" s="29"/>
      <c r="E629" s="29"/>
      <c r="F629" s="255"/>
      <c r="G629" s="256"/>
      <c r="H629" s="256"/>
      <c r="I629" s="200"/>
      <c r="J629" s="30"/>
      <c r="K629" s="200"/>
      <c r="L629" s="200"/>
      <c r="M629" s="37"/>
      <c r="N629" s="37"/>
      <c r="O629" s="45"/>
      <c r="P629" s="54"/>
      <c r="Q629" s="260"/>
      <c r="R629" s="261"/>
      <c r="S629" s="261"/>
      <c r="T629" s="38"/>
      <c r="U629" s="261"/>
      <c r="V629" s="256"/>
      <c r="W629" s="256"/>
      <c r="X629" s="256"/>
      <c r="Y629" s="256"/>
      <c r="Z629" s="54"/>
      <c r="AA629" s="200"/>
      <c r="AB629" s="31"/>
      <c r="AC629" s="184"/>
      <c r="AD629" s="51"/>
      <c r="AE629" s="52"/>
      <c r="AF629" s="41"/>
      <c r="AG629" s="45"/>
      <c r="AH629" s="28"/>
      <c r="AI629" s="28"/>
      <c r="AJ629" s="28"/>
      <c r="AK629" s="28"/>
      <c r="AL629" s="12"/>
      <c r="AM629" s="12"/>
      <c r="AN629" s="12"/>
      <c r="AO629" s="12"/>
      <c r="AP629" s="12"/>
      <c r="AQ629" s="13"/>
      <c r="AR629" s="14"/>
    </row>
    <row r="630" spans="1:44" s="16" customFormat="1" ht="30.95" hidden="1" customHeight="1" x14ac:dyDescent="0.2">
      <c r="A630" s="35" t="s">
        <v>517</v>
      </c>
      <c r="B630" s="36" t="s">
        <v>443</v>
      </c>
      <c r="C630" s="43"/>
      <c r="D630" s="29">
        <v>3716248</v>
      </c>
      <c r="E630" s="29">
        <v>4151394</v>
      </c>
      <c r="F630" s="255" t="str">
        <f>IF(D630="","",VLOOKUP(D630,契約台帳!$A$3:$K$4986,6,FALSE)&amp;VLOOKUP(D630,契約台帳!$A$3:$K$4986,7,FALSE)&amp;VLOOKUP(D630,契約台帳!$A$3:$K$4986,8,FALSE)&amp;VLOOKUP(D630,契約台帳!$A$3:$K$4986,9,FALSE)&amp;VLOOKUP(D630,契約台帳!$A$3:$K$4986,11,FALSE))</f>
        <v>3SNMLBMNGKKBF</v>
      </c>
      <c r="G630" s="256" t="str">
        <f>IF(D630="","",VLOOKUP(F630,製品マスタ!$G$5:$H$4999,2,FALSE))</f>
        <v>S</v>
      </c>
      <c r="H630" s="256" t="str">
        <f>IF(D630="","",VLOOKUP(F630,製品マスタ!$G$5:$K$4999,5,FALSE))</f>
        <v>MNGKKBF</v>
      </c>
      <c r="I630" s="200" t="str">
        <f>IF(D630="","",VLOOKUP(F630,製品マスタ!$G$5:$L$4999,6,FALSE))</f>
        <v>メタルミー　ネーマー銀消改　Ｂ</v>
      </c>
      <c r="J630" s="30" t="s">
        <v>447</v>
      </c>
      <c r="K630" s="200">
        <f>IF(D630="","",VLOOKUP(D630,契約台帳!$A$3:$L$4986,12,FALSE))</f>
        <v>50</v>
      </c>
      <c r="L630" s="200" t="str">
        <f>IF(D630="","",INDEX(製品マスタ!$Q$5:$Q$4999,MATCH(F630&amp;K630,製品マスタ!$AO$5:$AO$4999,0)))</f>
        <v>S99-MAT</v>
      </c>
      <c r="M630" s="37">
        <v>1120</v>
      </c>
      <c r="N630" s="37">
        <v>12000</v>
      </c>
      <c r="O630" s="45">
        <v>1</v>
      </c>
      <c r="P630" s="54"/>
      <c r="Q630" s="260">
        <f>IF(D630="","",IF(J630="リード付け",M630,VLOOKUP(D630,契約台帳!$A$3:$N$4986,14,FALSE)))</f>
        <v>1120</v>
      </c>
      <c r="R630" s="261">
        <f>IF(D630="","",IF(J630="リード付け",M630,VLOOKUP(D630,契約台帳!$A$3:$O$4986,15,FALSE)))</f>
        <v>1120</v>
      </c>
      <c r="S630" s="261">
        <f>IF(D630="","",IF(J630="リード付け",N630,VLOOKUP(D630,契約台帳!$A$3:$P$4986,16,FALSE)))</f>
        <v>4000</v>
      </c>
      <c r="T630" s="38">
        <v>3</v>
      </c>
      <c r="U630" s="261">
        <f ca="1">IF(D630="","",IF(OFFSET(D630,-2,0)=D630,"",VLOOKUP(D630,契約台帳!$A$3:$R$4986,18,FALSE)))</f>
        <v>18</v>
      </c>
      <c r="V630" s="256" t="str">
        <f>IF(J630="巻返し",VLOOKUP(F630&amp;K630&amp;M630,製品マスタ!$M$5:$AD$4999,18,FALSE),IF(J630="リード付け","原反コア",IF(J630="スリット",VLOOKUP(F630&amp;K630&amp;Q630,製品マスタ!$N$5:$AD$4999,17,FALSE),"")))</f>
        <v>6ｲﾝﾁSｺｱ</v>
      </c>
      <c r="W630" s="256">
        <f>IF(J630="巻返し",VLOOKUP(F630&amp;K630&amp;M630,製品マスタ!$M$5:$AE$4999,19,FALSE),IF(J630="リード付け","-",IF(J630="スリット",VLOOKUP(F630&amp;K630&amp;Q630,製品マスタ!$N$5:$AE$4999,18,FALSE),"")))</f>
        <v>1125</v>
      </c>
      <c r="X630" s="256">
        <f>IF(D630="","",VLOOKUP(D630,契約台帳!$A$3:$Q$4986,17,FALSE))</f>
        <v>2</v>
      </c>
      <c r="Y630" s="256" t="str">
        <f>IF(D630="","",VLOOKUP(D630,契約台帳!$A$3:$E$4986,5,FALSE))</f>
        <v>リンテック㈱</v>
      </c>
      <c r="Z630" s="54">
        <v>45139</v>
      </c>
      <c r="AA630" s="200">
        <f>IFERROR(VLOOKUP(F630&amp;K630&amp;M630,製品マスタ!$M$5:$AM$4999,27,FALSE),"")</f>
        <v>0</v>
      </c>
      <c r="AB630" s="31"/>
      <c r="AC630" s="184"/>
      <c r="AD630" s="51" t="str">
        <f>IF(F630="","",+F630&amp;K630)</f>
        <v>3SNMLBMNGKKBF50</v>
      </c>
      <c r="AE630" s="52">
        <f>+M630*N630*O630/1000</f>
        <v>13440</v>
      </c>
      <c r="AF630" s="41">
        <f>IF(AD630="","",VLOOKUP(AD630,原価マスタ!$A$2:$AJ$1693,13,FALSE))</f>
        <v>99</v>
      </c>
      <c r="AG630" s="45">
        <f>IF(AF630="","",+AE630*AF630/100)</f>
        <v>13305.6</v>
      </c>
      <c r="AH630" s="28"/>
      <c r="AI630" s="28"/>
      <c r="AJ630" s="28"/>
      <c r="AK630" s="28"/>
      <c r="AL630" s="12"/>
      <c r="AM630" s="12"/>
      <c r="AN630" s="12"/>
      <c r="AO630" s="12"/>
      <c r="AP630" s="12"/>
      <c r="AQ630" s="13"/>
      <c r="AR630" s="14"/>
    </row>
    <row r="631" spans="1:44" s="16" customFormat="1" ht="30.95" hidden="1" customHeight="1" x14ac:dyDescent="0.2">
      <c r="A631" s="35"/>
      <c r="B631" s="36"/>
      <c r="C631" s="43"/>
      <c r="D631" s="29"/>
      <c r="E631" s="29"/>
      <c r="F631" s="255"/>
      <c r="G631" s="256"/>
      <c r="H631" s="256"/>
      <c r="I631" s="200"/>
      <c r="J631" s="30"/>
      <c r="K631" s="200"/>
      <c r="L631" s="200"/>
      <c r="M631" s="37"/>
      <c r="N631" s="37"/>
      <c r="O631" s="45"/>
      <c r="P631" s="54"/>
      <c r="Q631" s="260"/>
      <c r="R631" s="261"/>
      <c r="S631" s="261"/>
      <c r="T631" s="38"/>
      <c r="U631" s="261"/>
      <c r="V631" s="256"/>
      <c r="W631" s="256"/>
      <c r="X631" s="256"/>
      <c r="Y631" s="256"/>
      <c r="Z631" s="54"/>
      <c r="AA631" s="200"/>
      <c r="AB631" s="31"/>
      <c r="AC631" s="184"/>
      <c r="AD631" s="51"/>
      <c r="AE631" s="52"/>
      <c r="AF631" s="41"/>
      <c r="AG631" s="45"/>
      <c r="AH631" s="28"/>
      <c r="AI631" s="28"/>
      <c r="AJ631" s="28"/>
      <c r="AK631" s="28"/>
      <c r="AL631" s="12"/>
      <c r="AM631" s="12"/>
      <c r="AN631" s="12"/>
      <c r="AO631" s="12"/>
      <c r="AP631" s="12"/>
      <c r="AQ631" s="13"/>
      <c r="AR631" s="14"/>
    </row>
    <row r="632" spans="1:44" s="16" customFormat="1" ht="30.95" hidden="1" customHeight="1" x14ac:dyDescent="0.2">
      <c r="A632" s="35" t="s">
        <v>519</v>
      </c>
      <c r="B632" s="36" t="s">
        <v>444</v>
      </c>
      <c r="C632" s="43"/>
      <c r="D632" s="29">
        <v>3716270</v>
      </c>
      <c r="E632" s="29">
        <v>4151424</v>
      </c>
      <c r="F632" s="255" t="str">
        <f>IF(D632="","",VLOOKUP(D632,契約台帳!$A$3:$K$4986,6,FALSE)&amp;VLOOKUP(D632,契約台帳!$A$3:$K$4986,7,FALSE)&amp;VLOOKUP(D632,契約台帳!$A$3:$K$4986,8,FALSE)&amp;VLOOKUP(D632,契約台帳!$A$3:$K$4986,9,FALSE)&amp;VLOOKUP(D632,契約台帳!$A$3:$K$4986,11,FALSE))</f>
        <v>3SYMLBMSSMBF</v>
      </c>
      <c r="G632" s="256" t="str">
        <f>IF(D632="","",VLOOKUP(F632,製品マスタ!$G$5:$H$4999,2,FALSE))</f>
        <v>S</v>
      </c>
      <c r="H632" s="256" t="str">
        <f>IF(D632="","",VLOOKUP(F632,製品マスタ!$G$5:$K$4999,5,FALSE))</f>
        <v>MSSMBF</v>
      </c>
      <c r="I632" s="200" t="str">
        <f>IF(D632="","",VLOOKUP(F632,製品マスタ!$G$5:$L$4999,6,FALSE))</f>
        <v>ＭＥＴＡＬＵＭＹ　ＳＩＬＶＥＲ　Ｓ－ＭＡＴＴＥ　Ｓ２８ＭＭ　Ｂ</v>
      </c>
      <c r="J632" s="30" t="s">
        <v>447</v>
      </c>
      <c r="K632" s="200">
        <f>IF(D632="","",VLOOKUP(D632,契約台帳!$A$3:$L$4986,12,FALSE))</f>
        <v>25</v>
      </c>
      <c r="L632" s="200" t="str">
        <f>IF(D632="","",INDEX(製品マスタ!$Q$5:$Q$4999,MATCH(F632&amp;K632,製品マスタ!$AO$5:$AO$4999,0)))</f>
        <v>LI-MAT</v>
      </c>
      <c r="M632" s="37">
        <v>1120</v>
      </c>
      <c r="N632" s="37">
        <v>8000</v>
      </c>
      <c r="O632" s="45">
        <v>1</v>
      </c>
      <c r="P632" s="54"/>
      <c r="Q632" s="260">
        <f>IF(D632="","",IF(J632="リード付け",M632,VLOOKUP(D632,契約台帳!$A$3:$N$4986,14,FALSE)))</f>
        <v>1120</v>
      </c>
      <c r="R632" s="261">
        <f>IF(D632="","",IF(J632="リード付け",M632,VLOOKUP(D632,契約台帳!$A$3:$O$4986,15,FALSE)))</f>
        <v>1120</v>
      </c>
      <c r="S632" s="261">
        <f>IF(D632="","",IF(J632="リード付け",N632,VLOOKUP(D632,契約台帳!$A$3:$P$4986,16,FALSE)))</f>
        <v>8000</v>
      </c>
      <c r="T632" s="38">
        <v>1</v>
      </c>
      <c r="U632" s="261">
        <f ca="1">IF(D632="","",IF(OFFSET(D632,-2,0)=D632,"",VLOOKUP(D632,契約台帳!$A$3:$R$4986,18,FALSE)))</f>
        <v>1</v>
      </c>
      <c r="V632" s="256" t="str">
        <f>IF(J632="巻返し",VLOOKUP(F632&amp;K632&amp;M632,製品マスタ!$M$5:$AD$4999,18,FALSE),IF(J632="リード付け","原反コア",IF(J632="スリット",VLOOKUP(F632&amp;K632&amp;Q632,製品マスタ!$N$5:$AD$4999,17,FALSE),"")))</f>
        <v>6ｲﾝﾁSｺｱ</v>
      </c>
      <c r="W632" s="256">
        <f>IF(J632="巻返し",VLOOKUP(F632&amp;K632&amp;M632,製品マスタ!$M$5:$AE$4999,19,FALSE),IF(J632="リード付け","-",IF(J632="スリット",VLOOKUP(F632&amp;K632&amp;Q632,製品マスタ!$N$5:$AE$4999,18,FALSE),"")))</f>
        <v>1125</v>
      </c>
      <c r="X632" s="256">
        <f>IF(D632="","",VLOOKUP(D632,契約台帳!$A$3:$Q$4986,17,FALSE))</f>
        <v>2</v>
      </c>
      <c r="Y632" s="256" t="str">
        <f>IF(D632="","",VLOOKUP(D632,契約台帳!$A$3:$E$4986,5,FALSE))</f>
        <v>リンテック㈱</v>
      </c>
      <c r="Z632" s="54">
        <v>45139</v>
      </c>
      <c r="AA632" s="200">
        <f>IFERROR(VLOOKUP(F632&amp;K632&amp;M632,製品マスタ!$M$5:$AM$4999,27,FALSE),"")</f>
        <v>0</v>
      </c>
      <c r="AB632" s="31"/>
      <c r="AC632" s="184"/>
      <c r="AD632" s="51" t="str">
        <f>IF(F632="","",+F632&amp;K632)</f>
        <v>3SYMLBMSSMBF25</v>
      </c>
      <c r="AE632" s="52">
        <f>+M632*N632*O632/1000</f>
        <v>8960</v>
      </c>
      <c r="AF632" s="41">
        <f>IF(AD632="","",VLOOKUP(AD632,原価マスタ!$A$2:$AJ$1693,13,FALSE))</f>
        <v>98</v>
      </c>
      <c r="AG632" s="45">
        <f>IF(AF632="","",+AE632*AF632/100)</f>
        <v>8780.7999999999993</v>
      </c>
      <c r="AH632" s="28"/>
      <c r="AI632" s="28"/>
      <c r="AJ632" s="28"/>
      <c r="AK632" s="28"/>
      <c r="AL632" s="12"/>
      <c r="AM632" s="12"/>
      <c r="AN632" s="12"/>
      <c r="AO632" s="12"/>
      <c r="AP632" s="12"/>
      <c r="AQ632" s="13"/>
      <c r="AR632" s="14"/>
    </row>
    <row r="633" spans="1:44" s="16" customFormat="1" ht="30.95" hidden="1" customHeight="1" x14ac:dyDescent="0.2">
      <c r="A633" s="35"/>
      <c r="B633" s="36"/>
      <c r="C633" s="43"/>
      <c r="D633" s="29"/>
      <c r="E633" s="29"/>
      <c r="F633" s="255"/>
      <c r="G633" s="256"/>
      <c r="H633" s="256"/>
      <c r="I633" s="200"/>
      <c r="J633" s="30"/>
      <c r="K633" s="200"/>
      <c r="L633" s="200"/>
      <c r="M633" s="37"/>
      <c r="N633" s="37"/>
      <c r="O633" s="45"/>
      <c r="P633" s="54"/>
      <c r="Q633" s="260"/>
      <c r="R633" s="261"/>
      <c r="S633" s="261"/>
      <c r="T633" s="38"/>
      <c r="U633" s="261"/>
      <c r="V633" s="256"/>
      <c r="W633" s="256"/>
      <c r="X633" s="256"/>
      <c r="Y633" s="256"/>
      <c r="Z633" s="54"/>
      <c r="AA633" s="200"/>
      <c r="AB633" s="31"/>
      <c r="AC633" s="184"/>
      <c r="AD633" s="51"/>
      <c r="AE633" s="52"/>
      <c r="AF633" s="41"/>
      <c r="AG633" s="45"/>
      <c r="AH633" s="28"/>
      <c r="AI633" s="28"/>
      <c r="AJ633" s="28"/>
      <c r="AK633" s="28"/>
      <c r="AL633" s="12"/>
      <c r="AM633" s="12"/>
      <c r="AN633" s="12"/>
      <c r="AO633" s="12"/>
      <c r="AP633" s="12"/>
      <c r="AQ633" s="13"/>
      <c r="AR633" s="14"/>
    </row>
    <row r="634" spans="1:44" s="16" customFormat="1" ht="30.95" hidden="1" customHeight="1" x14ac:dyDescent="0.2">
      <c r="A634" s="35"/>
      <c r="B634" s="36"/>
      <c r="C634" s="43"/>
      <c r="D634" s="29">
        <v>3716271</v>
      </c>
      <c r="E634" s="29">
        <v>4151407</v>
      </c>
      <c r="F634" s="255" t="str">
        <f>IF(D634="","",VLOOKUP(D634,契約台帳!$A$3:$K$4986,6,FALSE)&amp;VLOOKUP(D634,契約台帳!$A$3:$K$4986,7,FALSE)&amp;VLOOKUP(D634,契約台帳!$A$3:$K$4986,8,FALSE)&amp;VLOOKUP(D634,契約台帳!$A$3:$K$4986,9,FALSE)&amp;VLOOKUP(D634,契約台帳!$A$3:$K$4986,11,FALSE))</f>
        <v>3SYMLBMSSMBF</v>
      </c>
      <c r="G634" s="256" t="str">
        <f>IF(D634="","",VLOOKUP(F634,製品マスタ!$G$5:$H$4999,2,FALSE))</f>
        <v>S</v>
      </c>
      <c r="H634" s="256" t="str">
        <f>IF(D634="","",VLOOKUP(F634,製品マスタ!$G$5:$K$4999,5,FALSE))</f>
        <v>MSSMBF</v>
      </c>
      <c r="I634" s="200" t="str">
        <f>IF(D634="","",VLOOKUP(F634,製品マスタ!$G$5:$L$4999,6,FALSE))</f>
        <v>ＭＥＴＡＬＵＭＹ　ＳＩＬＶＥＲ　Ｓ－ＭＡＴＴＥ　Ｓ２８ＭＭ　Ｂ</v>
      </c>
      <c r="J634" s="30" t="s">
        <v>447</v>
      </c>
      <c r="K634" s="200">
        <f>IF(D634="","",VLOOKUP(D634,契約台帳!$A$3:$L$4986,12,FALSE))</f>
        <v>50</v>
      </c>
      <c r="L634" s="200" t="str">
        <f>IF(D634="","",INDEX(製品マスタ!$Q$5:$Q$4999,MATCH(F634&amp;K634,製品マスタ!$AO$5:$AO$4999,0)))</f>
        <v>LI-MAT</v>
      </c>
      <c r="M634" s="37">
        <v>1120</v>
      </c>
      <c r="N634" s="37">
        <v>8000</v>
      </c>
      <c r="O634" s="45">
        <v>2</v>
      </c>
      <c r="P634" s="54"/>
      <c r="Q634" s="260">
        <f>IF(D634="","",IF(J634="リード付け",M634,VLOOKUP(D634,契約台帳!$A$3:$N$4986,14,FALSE)))</f>
        <v>1120</v>
      </c>
      <c r="R634" s="261">
        <f>IF(D634="","",IF(J634="リード付け",M634,VLOOKUP(D634,契約台帳!$A$3:$O$4986,15,FALSE)))</f>
        <v>1120</v>
      </c>
      <c r="S634" s="261">
        <f>IF(D634="","",IF(J634="リード付け",N634,VLOOKUP(D634,契約台帳!$A$3:$P$4986,16,FALSE)))</f>
        <v>4000</v>
      </c>
      <c r="T634" s="38">
        <v>4</v>
      </c>
      <c r="U634" s="261">
        <f ca="1">IF(D634="","",IF(OFFSET(D634,-2,0)=D634,"",VLOOKUP(D634,契約台帳!$A$3:$R$4986,18,FALSE)))</f>
        <v>4</v>
      </c>
      <c r="V634" s="256" t="str">
        <f>IF(J634="巻返し",VLOOKUP(F634&amp;K634&amp;M634,製品マスタ!$M$5:$AD$4999,18,FALSE),IF(J634="リード付け","原反コア",IF(J634="スリット",VLOOKUP(F634&amp;K634&amp;Q634,製品マスタ!$N$5:$AD$4999,17,FALSE),"")))</f>
        <v>6ｲﾝﾁSｺｱ</v>
      </c>
      <c r="W634" s="256">
        <f>IF(J634="巻返し",VLOOKUP(F634&amp;K634&amp;M634,製品マスタ!$M$5:$AE$4999,19,FALSE),IF(J634="リード付け","-",IF(J634="スリット",VLOOKUP(F634&amp;K634&amp;Q634,製品マスタ!$N$5:$AE$4999,18,FALSE),"")))</f>
        <v>1125</v>
      </c>
      <c r="X634" s="256">
        <f>IF(D634="","",VLOOKUP(D634,契約台帳!$A$3:$Q$4986,17,FALSE))</f>
        <v>2</v>
      </c>
      <c r="Y634" s="256" t="str">
        <f>IF(D634="","",VLOOKUP(D634,契約台帳!$A$3:$E$4986,5,FALSE))</f>
        <v>リンテック㈱</v>
      </c>
      <c r="Z634" s="54">
        <v>45139</v>
      </c>
      <c r="AA634" s="200">
        <f>IFERROR(VLOOKUP(F634&amp;K634&amp;M634,製品マスタ!$M$5:$AM$4999,27,FALSE),"")</f>
        <v>0</v>
      </c>
      <c r="AB634" s="31"/>
      <c r="AC634" s="184"/>
      <c r="AD634" s="51" t="str">
        <f>IF(F634="","",+F634&amp;K634)</f>
        <v>3SYMLBMSSMBF50</v>
      </c>
      <c r="AE634" s="52">
        <f>+M634*N634*O634/1000</f>
        <v>17920</v>
      </c>
      <c r="AF634" s="41">
        <f>IF(AD634="","",VLOOKUP(AD634,原価マスタ!$A$2:$AJ$1693,13,FALSE))</f>
        <v>98</v>
      </c>
      <c r="AG634" s="45">
        <f>IF(AF634="","",+AE634*AF634/100)</f>
        <v>17561.599999999999</v>
      </c>
      <c r="AH634" s="28"/>
      <c r="AI634" s="28"/>
      <c r="AJ634" s="28"/>
      <c r="AK634" s="28"/>
      <c r="AL634" s="12"/>
      <c r="AM634" s="12"/>
      <c r="AN634" s="12"/>
      <c r="AO634" s="12"/>
      <c r="AP634" s="12"/>
      <c r="AQ634" s="13"/>
      <c r="AR634" s="14"/>
    </row>
    <row r="635" spans="1:44" s="16" customFormat="1" ht="30.95" hidden="1" customHeight="1" x14ac:dyDescent="0.2">
      <c r="A635" s="35"/>
      <c r="B635" s="36"/>
      <c r="C635" s="43"/>
      <c r="D635" s="29"/>
      <c r="E635" s="29"/>
      <c r="F635" s="255"/>
      <c r="G635" s="256"/>
      <c r="H635" s="256"/>
      <c r="I635" s="200"/>
      <c r="J635" s="30"/>
      <c r="K635" s="200"/>
      <c r="L635" s="200"/>
      <c r="M635" s="37"/>
      <c r="N635" s="37"/>
      <c r="O635" s="45"/>
      <c r="P635" s="54"/>
      <c r="Q635" s="260"/>
      <c r="R635" s="261"/>
      <c r="S635" s="261"/>
      <c r="T635" s="38"/>
      <c r="U635" s="261"/>
      <c r="V635" s="256"/>
      <c r="W635" s="256"/>
      <c r="X635" s="256"/>
      <c r="Y635" s="256"/>
      <c r="Z635" s="54"/>
      <c r="AA635" s="200"/>
      <c r="AB635" s="31"/>
      <c r="AC635" s="184"/>
      <c r="AD635" s="51"/>
      <c r="AE635" s="52"/>
      <c r="AF635" s="41"/>
      <c r="AG635" s="45"/>
      <c r="AH635" s="28"/>
      <c r="AI635" s="28"/>
      <c r="AJ635" s="28"/>
      <c r="AK635" s="28"/>
      <c r="AL635" s="12"/>
      <c r="AM635" s="12"/>
      <c r="AN635" s="12"/>
      <c r="AO635" s="12"/>
      <c r="AP635" s="12"/>
      <c r="AQ635" s="13"/>
      <c r="AR635" s="14"/>
    </row>
    <row r="636" spans="1:44" s="16" customFormat="1" ht="30.95" hidden="1" customHeight="1" x14ac:dyDescent="0.2">
      <c r="A636" s="35" t="s">
        <v>520</v>
      </c>
      <c r="B636" s="36" t="s">
        <v>445</v>
      </c>
      <c r="C636" s="43"/>
      <c r="D636" s="29"/>
      <c r="E636" s="29"/>
      <c r="F636" s="255"/>
      <c r="G636" s="256"/>
      <c r="H636" s="256"/>
      <c r="I636" s="200"/>
      <c r="J636" s="30" t="s">
        <v>448</v>
      </c>
      <c r="K636" s="200"/>
      <c r="L636" s="200"/>
      <c r="M636" s="37"/>
      <c r="N636" s="37"/>
      <c r="O636" s="45"/>
      <c r="P636" s="54"/>
      <c r="Q636" s="260"/>
      <c r="R636" s="261"/>
      <c r="S636" s="261"/>
      <c r="T636" s="38"/>
      <c r="U636" s="261"/>
      <c r="V636" s="256"/>
      <c r="W636" s="256"/>
      <c r="X636" s="256"/>
      <c r="Y636" s="256"/>
      <c r="Z636" s="54"/>
      <c r="AA636" s="200"/>
      <c r="AB636" s="31"/>
      <c r="AC636" s="184"/>
      <c r="AD636" s="51"/>
      <c r="AE636" s="52"/>
      <c r="AF636" s="41"/>
      <c r="AG636" s="45"/>
      <c r="AH636" s="28"/>
      <c r="AI636" s="28"/>
      <c r="AJ636" s="28"/>
      <c r="AK636" s="28"/>
      <c r="AL636" s="12"/>
      <c r="AM636" s="12"/>
      <c r="AN636" s="12"/>
      <c r="AO636" s="12"/>
      <c r="AP636" s="12"/>
      <c r="AQ636" s="13"/>
      <c r="AR636" s="14"/>
    </row>
    <row r="637" spans="1:44" s="16" customFormat="1" ht="30.95" hidden="1" customHeight="1" x14ac:dyDescent="0.2">
      <c r="A637" s="35"/>
      <c r="B637" s="36"/>
      <c r="C637" s="43"/>
      <c r="D637" s="29"/>
      <c r="E637" s="29"/>
      <c r="F637" s="255"/>
      <c r="G637" s="256"/>
      <c r="H637" s="256"/>
      <c r="I637" s="200"/>
      <c r="J637" s="30"/>
      <c r="K637" s="200"/>
      <c r="L637" s="200"/>
      <c r="M637" s="37"/>
      <c r="N637" s="37"/>
      <c r="O637" s="45"/>
      <c r="P637" s="54"/>
      <c r="Q637" s="260"/>
      <c r="R637" s="261"/>
      <c r="S637" s="261"/>
      <c r="T637" s="38"/>
      <c r="U637" s="261"/>
      <c r="V637" s="256"/>
      <c r="W637" s="256"/>
      <c r="X637" s="256"/>
      <c r="Y637" s="256"/>
      <c r="Z637" s="54"/>
      <c r="AA637" s="200"/>
      <c r="AB637" s="31"/>
      <c r="AC637" s="184"/>
      <c r="AD637" s="51"/>
      <c r="AE637" s="52"/>
      <c r="AF637" s="41"/>
      <c r="AG637" s="45"/>
      <c r="AH637" s="28"/>
      <c r="AI637" s="28"/>
      <c r="AJ637" s="28"/>
      <c r="AK637" s="28"/>
      <c r="AL637" s="12"/>
      <c r="AM637" s="12"/>
      <c r="AN637" s="12"/>
      <c r="AO637" s="12"/>
      <c r="AP637" s="12"/>
      <c r="AQ637" s="13"/>
      <c r="AR637" s="14"/>
    </row>
    <row r="638" spans="1:44" s="16" customFormat="1" ht="30.95" hidden="1" customHeight="1" x14ac:dyDescent="0.2">
      <c r="A638" s="35" t="s">
        <v>521</v>
      </c>
      <c r="B638" s="36" t="s">
        <v>446</v>
      </c>
      <c r="C638" s="43"/>
      <c r="D638" s="29"/>
      <c r="E638" s="29"/>
      <c r="F638" s="255"/>
      <c r="G638" s="256"/>
      <c r="H638" s="256"/>
      <c r="I638" s="200"/>
      <c r="J638" s="30" t="s">
        <v>448</v>
      </c>
      <c r="K638" s="200"/>
      <c r="L638" s="200"/>
      <c r="M638" s="37"/>
      <c r="N638" s="37"/>
      <c r="O638" s="45"/>
      <c r="P638" s="54"/>
      <c r="Q638" s="260"/>
      <c r="R638" s="261"/>
      <c r="S638" s="261"/>
      <c r="T638" s="38"/>
      <c r="U638" s="261"/>
      <c r="V638" s="256"/>
      <c r="W638" s="256"/>
      <c r="X638" s="256"/>
      <c r="Y638" s="256"/>
      <c r="Z638" s="54"/>
      <c r="AA638" s="200"/>
      <c r="AB638" s="31"/>
      <c r="AC638" s="184"/>
      <c r="AD638" s="51"/>
      <c r="AE638" s="52"/>
      <c r="AF638" s="41"/>
      <c r="AG638" s="45"/>
      <c r="AH638" s="28"/>
      <c r="AI638" s="28"/>
      <c r="AJ638" s="28"/>
      <c r="AK638" s="28"/>
      <c r="AL638" s="12"/>
      <c r="AM638" s="12"/>
      <c r="AN638" s="12"/>
      <c r="AO638" s="12"/>
      <c r="AP638" s="12"/>
      <c r="AQ638" s="13"/>
      <c r="AR638" s="14"/>
    </row>
    <row r="639" spans="1:44" s="16" customFormat="1" ht="30.95" hidden="1" customHeight="1" x14ac:dyDescent="0.2">
      <c r="A639" s="35"/>
      <c r="B639" s="36"/>
      <c r="C639" s="43"/>
      <c r="D639" s="29"/>
      <c r="E639" s="29"/>
      <c r="F639" s="255"/>
      <c r="G639" s="256"/>
      <c r="H639" s="256"/>
      <c r="I639" s="200"/>
      <c r="J639" s="30"/>
      <c r="K639" s="200"/>
      <c r="L639" s="200"/>
      <c r="M639" s="37"/>
      <c r="N639" s="37"/>
      <c r="O639" s="45"/>
      <c r="P639" s="54"/>
      <c r="Q639" s="260"/>
      <c r="R639" s="261"/>
      <c r="S639" s="261"/>
      <c r="T639" s="38"/>
      <c r="U639" s="261"/>
      <c r="V639" s="256"/>
      <c r="W639" s="256"/>
      <c r="X639" s="256"/>
      <c r="Y639" s="256"/>
      <c r="Z639" s="54"/>
      <c r="AA639" s="200"/>
      <c r="AB639" s="31"/>
      <c r="AC639" s="184"/>
      <c r="AD639" s="51"/>
      <c r="AE639" s="52"/>
      <c r="AF639" s="41"/>
      <c r="AG639" s="45"/>
      <c r="AH639" s="28"/>
      <c r="AI639" s="28"/>
      <c r="AJ639" s="28"/>
      <c r="AK639" s="28"/>
      <c r="AL639" s="12"/>
      <c r="AM639" s="12"/>
      <c r="AN639" s="12"/>
      <c r="AO639" s="12"/>
      <c r="AP639" s="12"/>
      <c r="AQ639" s="13"/>
      <c r="AR639" s="14"/>
    </row>
    <row r="640" spans="1:44" s="16" customFormat="1" ht="30.95" hidden="1" customHeight="1" x14ac:dyDescent="0.2">
      <c r="A640" s="35" t="s">
        <v>1356</v>
      </c>
      <c r="B640" s="36" t="s">
        <v>1357</v>
      </c>
      <c r="C640" s="43"/>
      <c r="D640" s="29" t="s">
        <v>1276</v>
      </c>
      <c r="E640" s="29" t="s">
        <v>1277</v>
      </c>
      <c r="F640" s="255" t="s">
        <v>1304</v>
      </c>
      <c r="G640" s="256" t="s">
        <v>269</v>
      </c>
      <c r="H640" s="256" t="s">
        <v>1318</v>
      </c>
      <c r="I640" s="200" t="s">
        <v>1316</v>
      </c>
      <c r="J640" s="30" t="s">
        <v>447</v>
      </c>
      <c r="K640" s="200">
        <v>50</v>
      </c>
      <c r="L640" s="200" t="s">
        <v>1320</v>
      </c>
      <c r="M640" s="37">
        <v>1030</v>
      </c>
      <c r="N640" s="37">
        <v>2000</v>
      </c>
      <c r="O640" s="45">
        <v>1</v>
      </c>
      <c r="P640" s="54"/>
      <c r="Q640" s="260">
        <v>1000</v>
      </c>
      <c r="R640" s="261">
        <v>1000</v>
      </c>
      <c r="S640" s="261">
        <v>2000</v>
      </c>
      <c r="T640" s="38">
        <v>1</v>
      </c>
      <c r="U640" s="261">
        <v>1</v>
      </c>
      <c r="V640" s="256" t="s">
        <v>806</v>
      </c>
      <c r="W640" s="256">
        <v>1015</v>
      </c>
      <c r="X640" s="256">
        <v>2</v>
      </c>
      <c r="Y640" s="256" t="s">
        <v>116</v>
      </c>
      <c r="Z640" s="54" t="s">
        <v>1016</v>
      </c>
      <c r="AA640" s="200" t="s">
        <v>774</v>
      </c>
      <c r="AB640" s="31"/>
      <c r="AC640" s="184"/>
      <c r="AD640" s="51"/>
      <c r="AE640" s="52"/>
      <c r="AF640" s="41"/>
      <c r="AG640" s="45"/>
      <c r="AH640" s="28"/>
      <c r="AI640" s="28"/>
      <c r="AJ640" s="28"/>
      <c r="AK640" s="28"/>
      <c r="AL640" s="12"/>
      <c r="AM640" s="12"/>
      <c r="AN640" s="12"/>
      <c r="AO640" s="12"/>
      <c r="AP640" s="12"/>
      <c r="AQ640" s="13"/>
      <c r="AR640" s="14"/>
    </row>
    <row r="641" spans="1:44" s="16" customFormat="1" ht="30.95" hidden="1" customHeight="1" x14ac:dyDescent="0.2">
      <c r="A641" s="35"/>
      <c r="B641" s="36"/>
      <c r="C641" s="43"/>
      <c r="D641" s="29" t="s">
        <v>1276</v>
      </c>
      <c r="E641" s="29" t="s">
        <v>1277</v>
      </c>
      <c r="F641" s="255" t="s">
        <v>1304</v>
      </c>
      <c r="G641" s="256" t="s">
        <v>269</v>
      </c>
      <c r="H641" s="256" t="s">
        <v>1319</v>
      </c>
      <c r="I641" s="200" t="s">
        <v>1317</v>
      </c>
      <c r="J641" s="30"/>
      <c r="K641" s="200">
        <v>25</v>
      </c>
      <c r="L641" s="200" t="s">
        <v>831</v>
      </c>
      <c r="M641" s="37">
        <v>1040</v>
      </c>
      <c r="N641" s="37">
        <v>500</v>
      </c>
      <c r="O641" s="45"/>
      <c r="P641" s="54"/>
      <c r="Q641" s="260">
        <v>1000</v>
      </c>
      <c r="R641" s="261">
        <v>1000</v>
      </c>
      <c r="S641" s="261">
        <v>500</v>
      </c>
      <c r="T641" s="38">
        <v>1</v>
      </c>
      <c r="U641" s="261">
        <v>1</v>
      </c>
      <c r="V641" s="256"/>
      <c r="W641" s="256"/>
      <c r="X641" s="256"/>
      <c r="Y641" s="256"/>
      <c r="Z641" s="54" t="s">
        <v>1016</v>
      </c>
      <c r="AA641" s="200" t="s">
        <v>774</v>
      </c>
      <c r="AB641" s="31"/>
      <c r="AC641" s="184"/>
      <c r="AD641" s="51"/>
      <c r="AE641" s="52"/>
      <c r="AF641" s="41"/>
      <c r="AG641" s="45"/>
      <c r="AH641" s="28"/>
      <c r="AI641" s="28"/>
      <c r="AJ641" s="28"/>
      <c r="AK641" s="28"/>
      <c r="AL641" s="12"/>
      <c r="AM641" s="12"/>
      <c r="AN641" s="12"/>
      <c r="AO641" s="12"/>
      <c r="AP641" s="12"/>
      <c r="AQ641" s="13"/>
      <c r="AR641" s="14"/>
    </row>
    <row r="642" spans="1:44" s="16" customFormat="1" ht="30.95" hidden="1" customHeight="1" x14ac:dyDescent="0.2">
      <c r="A642" s="35"/>
      <c r="B642" s="36"/>
      <c r="C642" s="43"/>
      <c r="D642" s="29"/>
      <c r="E642" s="29"/>
      <c r="F642" s="255"/>
      <c r="G642" s="256"/>
      <c r="H642" s="256"/>
      <c r="I642" s="200"/>
      <c r="J642" s="30"/>
      <c r="K642" s="200"/>
      <c r="L642" s="200"/>
      <c r="M642" s="37"/>
      <c r="N642" s="37"/>
      <c r="O642" s="45"/>
      <c r="P642" s="54"/>
      <c r="Q642" s="260"/>
      <c r="R642" s="261"/>
      <c r="S642" s="261"/>
      <c r="T642" s="38"/>
      <c r="U642" s="261"/>
      <c r="V642" s="256"/>
      <c r="W642" s="256"/>
      <c r="X642" s="256"/>
      <c r="Y642" s="256"/>
      <c r="Z642" s="54"/>
      <c r="AA642" s="200"/>
      <c r="AB642" s="31"/>
      <c r="AC642" s="184"/>
      <c r="AD642" s="51"/>
      <c r="AE642" s="52"/>
      <c r="AF642" s="41"/>
      <c r="AG642" s="45"/>
      <c r="AH642" s="28"/>
      <c r="AI642" s="28"/>
      <c r="AJ642" s="28"/>
      <c r="AK642" s="28"/>
      <c r="AL642" s="12"/>
      <c r="AM642" s="12"/>
      <c r="AN642" s="12"/>
      <c r="AO642" s="12"/>
      <c r="AP642" s="12"/>
      <c r="AQ642" s="13"/>
      <c r="AR642" s="14"/>
    </row>
    <row r="643" spans="1:44" s="16" customFormat="1" ht="30.95" hidden="1" customHeight="1" x14ac:dyDescent="0.2">
      <c r="A643" s="35"/>
      <c r="B643" s="36"/>
      <c r="C643" s="43"/>
      <c r="D643" s="29">
        <v>3716240</v>
      </c>
      <c r="E643" s="29">
        <v>4151385</v>
      </c>
      <c r="F643" s="255" t="str">
        <f>IF(D643="","",VLOOKUP(D643,契約台帳!$A$3:$K$4986,6,FALSE)&amp;VLOOKUP(D643,契約台帳!$A$3:$K$4986,7,FALSE)&amp;VLOOKUP(D643,契約台帳!$A$3:$K$4986,8,FALSE)&amp;VLOOKUP(D643,契約台帳!$A$3:$K$4986,9,FALSE)&amp;VLOOKUP(D643,契約台帳!$A$3:$K$4986,11,FALSE))</f>
        <v>3SNMLBMDMSJF</v>
      </c>
      <c r="G643" s="256" t="str">
        <f>IF(D643="","",VLOOKUP(F643,製品マスタ!$G$5:$H$4999,2,FALSE))</f>
        <v>S</v>
      </c>
      <c r="H643" s="256" t="str">
        <f>IF(D643="","",VLOOKUP(F643,製品マスタ!$G$5:$K$4999,5,FALSE))</f>
        <v>MDMSJF</v>
      </c>
      <c r="I643" s="200" t="str">
        <f>IF(D643="","",VLOOKUP(F643,製品マスタ!$G$5:$L$4999,6,FALSE))</f>
        <v>ＤＭＳ蒸着（Ｘ－４４）</v>
      </c>
      <c r="J643" s="30" t="s">
        <v>447</v>
      </c>
      <c r="K643" s="200">
        <f>IF(D643="","",VLOOKUP(D643,契約台帳!$A$3:$L$4986,12,FALSE))</f>
        <v>50</v>
      </c>
      <c r="L643" s="200" t="str">
        <f>IF(D643="","",INDEX(製品マスタ!$Q$5:$Q$4999,MATCH(F643&amp;K643,製品マスタ!$AO$5:$AO$4999,0)))</f>
        <v>X44</v>
      </c>
      <c r="M643" s="37">
        <v>1020</v>
      </c>
      <c r="N643" s="37">
        <v>8000</v>
      </c>
      <c r="O643" s="45">
        <v>1</v>
      </c>
      <c r="P643" s="54"/>
      <c r="Q643" s="260">
        <f>IF(D643="","",IF(J643="リード付け",M643,VLOOKUP(D643,契約台帳!$A$3:$N$4986,14,FALSE)))</f>
        <v>1020</v>
      </c>
      <c r="R643" s="261">
        <f>IF(D643="","",IF(J643="リード付け",M643,VLOOKUP(D643,契約台帳!$A$3:$O$4986,15,FALSE)))</f>
        <v>1000</v>
      </c>
      <c r="S643" s="261">
        <f>IF(D643="","",IF(J643="リード付け",N643,VLOOKUP(D643,契約台帳!$A$3:$P$4986,16,FALSE)))</f>
        <v>2000</v>
      </c>
      <c r="T643" s="38">
        <v>4</v>
      </c>
      <c r="U643" s="261">
        <f ca="1">IF(D643="","",IF(OFFSET(D643,-2,0)=D643,"",VLOOKUP(D643,契約台帳!$A$3:$R$4986,18,FALSE)))</f>
        <v>4</v>
      </c>
      <c r="V643" s="256" t="str">
        <f>IF(J643="巻返し",VLOOKUP(F643&amp;K643&amp;M643,製品マスタ!$M$5:$AD$4999,18,FALSE),IF(J643="リード付け","原反コア",IF(J643="スリット",VLOOKUP(F643&amp;K643&amp;Q643,製品マスタ!$N$5:$AD$4999,17,FALSE),"")))</f>
        <v>3ｲﾝﾁSｺｱ</v>
      </c>
      <c r="W643" s="256">
        <f>IF(J643="巻返し",VLOOKUP(F643&amp;K643&amp;M643,製品マスタ!$M$5:$AE$4999,19,FALSE),IF(J643="リード付け","-",IF(J643="スリット",VLOOKUP(F643&amp;K643&amp;Q643,製品マスタ!$N$5:$AE$4999,18,FALSE),"")))</f>
        <v>1005</v>
      </c>
      <c r="X643" s="256">
        <f>IF(D643="","",VLOOKUP(D643,契約台帳!$A$3:$Q$4986,17,FALSE))</f>
        <v>2</v>
      </c>
      <c r="Y643" s="256" t="str">
        <f>IF(D643="","",VLOOKUP(D643,契約台帳!$A$3:$E$4986,5,FALSE))</f>
        <v>五洋紙工㈱</v>
      </c>
      <c r="Z643" s="54">
        <v>45139</v>
      </c>
      <c r="AA643" s="200">
        <f>IFERROR(VLOOKUP(F643&amp;K643&amp;M643,製品マスタ!$M$5:$AM$4999,27,FALSE),"")</f>
        <v>0</v>
      </c>
      <c r="AB643" s="31"/>
      <c r="AC643" s="184"/>
      <c r="AD643" s="51" t="str">
        <f>IF(F643="","",+F643&amp;K643)</f>
        <v>3SNMLBMDMSJF50</v>
      </c>
      <c r="AE643" s="52">
        <f>+M643*N643*O643/1000</f>
        <v>8160</v>
      </c>
      <c r="AF643" s="41">
        <v>97</v>
      </c>
      <c r="AG643" s="45">
        <f>IF(AF643="","",+AE643*AF643/100)</f>
        <v>7915.2</v>
      </c>
      <c r="AH643" s="28"/>
      <c r="AI643" s="28"/>
      <c r="AJ643" s="28"/>
      <c r="AK643" s="28"/>
      <c r="AL643" s="12"/>
      <c r="AM643" s="12"/>
      <c r="AN643" s="12"/>
      <c r="AO643" s="12"/>
      <c r="AP643" s="12"/>
      <c r="AQ643" s="13"/>
      <c r="AR643" s="14"/>
    </row>
    <row r="644" spans="1:44" s="16" customFormat="1" ht="30.95" hidden="1" customHeight="1" x14ac:dyDescent="0.2">
      <c r="A644" s="35"/>
      <c r="B644" s="36"/>
      <c r="C644" s="43"/>
      <c r="D644" s="29"/>
      <c r="E644" s="29"/>
      <c r="F644" s="255"/>
      <c r="G644" s="256"/>
      <c r="H644" s="256"/>
      <c r="I644" s="200"/>
      <c r="J644" s="30"/>
      <c r="K644" s="200"/>
      <c r="L644" s="200"/>
      <c r="M644" s="37"/>
      <c r="N644" s="37"/>
      <c r="O644" s="45"/>
      <c r="P644" s="54"/>
      <c r="Q644" s="260"/>
      <c r="R644" s="261"/>
      <c r="S644" s="261"/>
      <c r="T644" s="38"/>
      <c r="U644" s="261"/>
      <c r="V644" s="256"/>
      <c r="W644" s="256"/>
      <c r="X644" s="256"/>
      <c r="Y644" s="256"/>
      <c r="Z644" s="54"/>
      <c r="AA644" s="200"/>
      <c r="AB644" s="31"/>
      <c r="AC644" s="184"/>
      <c r="AD644" s="51"/>
      <c r="AE644" s="52"/>
      <c r="AF644" s="41"/>
      <c r="AG644" s="45"/>
      <c r="AH644" s="28"/>
      <c r="AI644" s="28"/>
      <c r="AJ644" s="28"/>
      <c r="AK644" s="28"/>
      <c r="AL644" s="12"/>
      <c r="AM644" s="12"/>
      <c r="AN644" s="12"/>
      <c r="AO644" s="12"/>
      <c r="AP644" s="12"/>
      <c r="AQ644" s="13"/>
      <c r="AR644" s="14"/>
    </row>
    <row r="645" spans="1:44" s="16" customFormat="1" ht="30.95" hidden="1" customHeight="1" x14ac:dyDescent="0.2">
      <c r="A645" s="35" t="s">
        <v>1293</v>
      </c>
      <c r="B645" s="36" t="s">
        <v>1291</v>
      </c>
      <c r="C645" s="43"/>
      <c r="D645" s="29"/>
      <c r="E645" s="29"/>
      <c r="F645" s="255"/>
      <c r="G645" s="256"/>
      <c r="H645" s="256"/>
      <c r="I645" s="200"/>
      <c r="J645" s="30" t="s">
        <v>1353</v>
      </c>
      <c r="K645" s="200"/>
      <c r="L645" s="200"/>
      <c r="M645" s="37"/>
      <c r="N645" s="37"/>
      <c r="O645" s="45"/>
      <c r="P645" s="54"/>
      <c r="Q645" s="260"/>
      <c r="R645" s="261"/>
      <c r="S645" s="261"/>
      <c r="T645" s="38"/>
      <c r="U645" s="261"/>
      <c r="V645" s="256"/>
      <c r="W645" s="256"/>
      <c r="X645" s="256"/>
      <c r="Y645" s="256"/>
      <c r="Z645" s="54"/>
      <c r="AA645" s="200"/>
      <c r="AB645" s="31"/>
      <c r="AC645" s="184"/>
      <c r="AD645" s="51"/>
      <c r="AE645" s="52"/>
      <c r="AF645" s="41"/>
      <c r="AG645" s="45"/>
      <c r="AH645" s="28"/>
      <c r="AI645" s="28"/>
      <c r="AJ645" s="28"/>
      <c r="AK645" s="28"/>
      <c r="AL645" s="12"/>
      <c r="AM645" s="12"/>
      <c r="AN645" s="12"/>
      <c r="AO645" s="12"/>
      <c r="AP645" s="12"/>
      <c r="AQ645" s="13"/>
      <c r="AR645" s="14"/>
    </row>
    <row r="646" spans="1:44" s="16" customFormat="1" ht="30.95" hidden="1" customHeight="1" x14ac:dyDescent="0.2">
      <c r="A646" s="35"/>
      <c r="B646" s="36"/>
      <c r="C646" s="43"/>
      <c r="D646" s="29"/>
      <c r="E646" s="29"/>
      <c r="F646" s="255"/>
      <c r="G646" s="256"/>
      <c r="H646" s="256"/>
      <c r="I646" s="200"/>
      <c r="J646" s="30"/>
      <c r="K646" s="200"/>
      <c r="L646" s="200"/>
      <c r="M646" s="37"/>
      <c r="N646" s="37"/>
      <c r="O646" s="45"/>
      <c r="P646" s="54"/>
      <c r="Q646" s="260"/>
      <c r="R646" s="261"/>
      <c r="S646" s="261"/>
      <c r="T646" s="38"/>
      <c r="U646" s="261"/>
      <c r="V646" s="256"/>
      <c r="W646" s="256"/>
      <c r="X646" s="256"/>
      <c r="Y646" s="256"/>
      <c r="Z646" s="54"/>
      <c r="AA646" s="200"/>
      <c r="AB646" s="31"/>
      <c r="AC646" s="184"/>
      <c r="AD646" s="51"/>
      <c r="AE646" s="52"/>
      <c r="AF646" s="41"/>
      <c r="AG646" s="45"/>
      <c r="AH646" s="28"/>
      <c r="AI646" s="28"/>
      <c r="AJ646" s="28"/>
      <c r="AK646" s="28"/>
      <c r="AL646" s="12"/>
      <c r="AM646" s="12"/>
      <c r="AN646" s="12"/>
      <c r="AO646" s="12"/>
      <c r="AP646" s="12"/>
      <c r="AQ646" s="13"/>
      <c r="AR646" s="14"/>
    </row>
    <row r="647" spans="1:44" s="16" customFormat="1" ht="30.95" hidden="1" customHeight="1" x14ac:dyDescent="0.2">
      <c r="A647" s="35" t="s">
        <v>1354</v>
      </c>
      <c r="B647" s="36" t="s">
        <v>1355</v>
      </c>
      <c r="C647" s="43"/>
      <c r="D647" s="29"/>
      <c r="E647" s="29"/>
      <c r="F647" s="255"/>
      <c r="G647" s="256"/>
      <c r="H647" s="256"/>
      <c r="I647" s="200"/>
      <c r="J647" s="30" t="s">
        <v>1353</v>
      </c>
      <c r="K647" s="200"/>
      <c r="L647" s="200"/>
      <c r="M647" s="37"/>
      <c r="N647" s="37"/>
      <c r="O647" s="45"/>
      <c r="P647" s="54"/>
      <c r="Q647" s="260"/>
      <c r="R647" s="261"/>
      <c r="S647" s="261"/>
      <c r="T647" s="38"/>
      <c r="U647" s="261"/>
      <c r="V647" s="256"/>
      <c r="W647" s="256"/>
      <c r="X647" s="256"/>
      <c r="Y647" s="256"/>
      <c r="Z647" s="54"/>
      <c r="AA647" s="200"/>
      <c r="AB647" s="31"/>
      <c r="AC647" s="184"/>
      <c r="AD647" s="51"/>
      <c r="AE647" s="52"/>
      <c r="AF647" s="41"/>
      <c r="AG647" s="45"/>
      <c r="AH647" s="28"/>
      <c r="AI647" s="28"/>
      <c r="AJ647" s="28"/>
      <c r="AK647" s="28"/>
      <c r="AL647" s="12"/>
      <c r="AM647" s="12"/>
      <c r="AN647" s="12"/>
      <c r="AO647" s="12"/>
      <c r="AP647" s="12"/>
      <c r="AQ647" s="13"/>
      <c r="AR647" s="14"/>
    </row>
    <row r="648" spans="1:44" s="16" customFormat="1" ht="30.95" hidden="1" customHeight="1" x14ac:dyDescent="0.2">
      <c r="A648" s="35"/>
      <c r="B648" s="36"/>
      <c r="C648" s="43"/>
      <c r="D648" s="29"/>
      <c r="E648" s="29"/>
      <c r="F648" s="255"/>
      <c r="G648" s="256"/>
      <c r="H648" s="256"/>
      <c r="I648" s="200"/>
      <c r="J648" s="30"/>
      <c r="K648" s="200"/>
      <c r="L648" s="200"/>
      <c r="M648" s="37"/>
      <c r="N648" s="37"/>
      <c r="O648" s="45"/>
      <c r="P648" s="54"/>
      <c r="Q648" s="260"/>
      <c r="R648" s="261"/>
      <c r="S648" s="261"/>
      <c r="T648" s="38"/>
      <c r="U648" s="261"/>
      <c r="V648" s="256"/>
      <c r="W648" s="256"/>
      <c r="X648" s="256"/>
      <c r="Y648" s="256"/>
      <c r="Z648" s="54"/>
      <c r="AA648" s="200"/>
      <c r="AB648" s="31"/>
      <c r="AC648" s="184"/>
      <c r="AD648" s="51"/>
      <c r="AE648" s="52"/>
      <c r="AF648" s="41"/>
      <c r="AG648" s="45"/>
      <c r="AH648" s="28"/>
      <c r="AI648" s="28"/>
      <c r="AJ648" s="28"/>
      <c r="AK648" s="28"/>
      <c r="AL648" s="12"/>
      <c r="AM648" s="12"/>
      <c r="AN648" s="12"/>
      <c r="AO648" s="12"/>
      <c r="AP648" s="12"/>
      <c r="AQ648" s="13"/>
      <c r="AR648" s="14"/>
    </row>
    <row r="649" spans="1:44" s="16" customFormat="1" ht="30.95" hidden="1" customHeight="1" x14ac:dyDescent="0.2">
      <c r="A649" s="35"/>
      <c r="B649" s="36"/>
      <c r="C649" s="43"/>
      <c r="D649" s="29">
        <v>3721199</v>
      </c>
      <c r="E649" s="29">
        <v>4170116</v>
      </c>
      <c r="F649" s="255" t="str">
        <f>IF(D649="","",VLOOKUP(D649,契約台帳!$A$3:$K$4986,6,FALSE)&amp;VLOOKUP(D649,契約台帳!$A$3:$K$4986,7,FALSE)&amp;VLOOKUP(D649,契約台帳!$A$3:$K$4986,8,FALSE)&amp;VLOOKUP(D649,契約台帳!$A$3:$K$4986,9,FALSE)&amp;VLOOKUP(D649,契約台帳!$A$3:$K$4986,11,FALSE))</f>
        <v>3SNMLBMSF</v>
      </c>
      <c r="G649" s="256" t="str">
        <f>IF(D649="","",VLOOKUP(F649,製品マスタ!$G$5:$H$4999,2,FALSE))</f>
        <v>S</v>
      </c>
      <c r="H649" s="256" t="str">
        <f>IF(D649="","",VLOOKUP(F649,製品マスタ!$G$5:$K$4999,5,FALSE))</f>
        <v>MSF</v>
      </c>
      <c r="I649" s="200" t="str">
        <f>IF(D649="","",VLOOKUP(F649,製品マスタ!$G$5:$L$4999,6,FALSE))</f>
        <v>メタルミー　Ｓ</v>
      </c>
      <c r="J649" s="30" t="s">
        <v>464</v>
      </c>
      <c r="K649" s="200">
        <f>IF(D649="","",VLOOKUP(D649,契約台帳!$A$3:$L$4986,12,FALSE))</f>
        <v>25</v>
      </c>
      <c r="L649" s="200" t="str">
        <f>IF(D649="","",INDEX(製品マスタ!$Q$5:$Q$4999,MATCH(F649&amp;K649,製品マスタ!$AO$5:$AO$4999,0)))</f>
        <v>T62M</v>
      </c>
      <c r="M649" s="37">
        <v>1020</v>
      </c>
      <c r="N649" s="37">
        <v>12100</v>
      </c>
      <c r="O649" s="45">
        <v>1</v>
      </c>
      <c r="P649" s="54">
        <v>45139</v>
      </c>
      <c r="Q649" s="260">
        <f>IF(D649="","",IF(J649="リード付け",M649,VLOOKUP(D649,契約台帳!$A$3:$N$4986,14,FALSE)))</f>
        <v>1020</v>
      </c>
      <c r="R649" s="261">
        <f>IF(D649="","",IF(J649="リード付け",M649,VLOOKUP(D649,契約台帳!$A$3:$O$4986,15,FALSE)))</f>
        <v>1020</v>
      </c>
      <c r="S649" s="261">
        <f>IF(D649="","",IF(J649="リード付け",N649,VLOOKUP(D649,契約台帳!$A$3:$P$4986,16,FALSE)))</f>
        <v>12100</v>
      </c>
      <c r="T649" s="38">
        <v>1</v>
      </c>
      <c r="U649" s="261">
        <f ca="1">IF(D649="","",IF(OFFSET(D649,-2,0)=D649,"",VLOOKUP(D649,契約台帳!$A$3:$R$4986,18,FALSE)))</f>
        <v>12</v>
      </c>
      <c r="V649" s="256" t="str">
        <f>IF(J649="巻返し",VLOOKUP(F649&amp;K649&amp;M649,製品マスタ!$M$5:$AD$4999,18,FALSE),IF(J649="リード付け","原反コア",IF(J649="スリット",VLOOKUP(F649&amp;K649&amp;Q649,製品マスタ!$N$5:$AD$4999,17,FALSE),"")))</f>
        <v>原反コア</v>
      </c>
      <c r="W649" s="256" t="str">
        <f>IF(J649="巻返し",VLOOKUP(F649&amp;K649&amp;M649,製品マスタ!$M$5:$AE$4999,19,FALSE),IF(J649="リード付け","-",IF(J649="スリット",VLOOKUP(F649&amp;K649&amp;Q649,製品マスタ!$N$5:$AE$4999,18,FALSE),"")))</f>
        <v>-</v>
      </c>
      <c r="X649" s="256">
        <f>IF(D649="","",VLOOKUP(D649,契約台帳!$A$3:$Q$4986,17,FALSE))</f>
        <v>1</v>
      </c>
      <c r="Y649" s="256" t="str">
        <f>IF(D649="","",VLOOKUP(D649,契約台帳!$A$3:$E$4986,5,FALSE))</f>
        <v>日東シンコー㈱</v>
      </c>
      <c r="Z649" s="54"/>
      <c r="AA649" s="200"/>
      <c r="AB649" s="31"/>
      <c r="AC649" s="184"/>
      <c r="AD649" s="51"/>
      <c r="AE649" s="52"/>
      <c r="AF649" s="41"/>
      <c r="AG649" s="45"/>
      <c r="AH649" s="28"/>
      <c r="AI649" s="28"/>
      <c r="AJ649" s="28"/>
      <c r="AK649" s="28"/>
      <c r="AL649" s="12"/>
      <c r="AM649" s="12"/>
      <c r="AN649" s="12"/>
      <c r="AO649" s="12"/>
      <c r="AP649" s="12"/>
      <c r="AQ649" s="13"/>
      <c r="AR649" s="14"/>
    </row>
    <row r="650" spans="1:44" s="16" customFormat="1" ht="30.95" hidden="1" customHeight="1" x14ac:dyDescent="0.2">
      <c r="A650" s="35"/>
      <c r="B650" s="36"/>
      <c r="C650" s="43"/>
      <c r="D650" s="29"/>
      <c r="E650" s="29"/>
      <c r="F650" s="255"/>
      <c r="G650" s="256"/>
      <c r="H650" s="256"/>
      <c r="I650" s="200"/>
      <c r="J650" s="30"/>
      <c r="K650" s="200"/>
      <c r="L650" s="200"/>
      <c r="M650" s="37"/>
      <c r="N650" s="37"/>
      <c r="O650" s="45"/>
      <c r="P650" s="54"/>
      <c r="Q650" s="260"/>
      <c r="R650" s="261"/>
      <c r="S650" s="261"/>
      <c r="T650" s="38"/>
      <c r="U650" s="261"/>
      <c r="V650" s="256"/>
      <c r="W650" s="256"/>
      <c r="X650" s="256"/>
      <c r="Y650" s="256"/>
      <c r="Z650" s="54"/>
      <c r="AA650" s="200"/>
      <c r="AB650" s="31"/>
      <c r="AC650" s="184"/>
      <c r="AD650" s="51"/>
      <c r="AE650" s="52"/>
      <c r="AF650" s="41"/>
      <c r="AG650" s="45"/>
      <c r="AH650" s="28"/>
      <c r="AI650" s="28"/>
      <c r="AJ650" s="28"/>
      <c r="AK650" s="28"/>
      <c r="AL650" s="12"/>
      <c r="AM650" s="12"/>
      <c r="AN650" s="12"/>
      <c r="AO650" s="12"/>
      <c r="AP650" s="12"/>
      <c r="AQ650" s="13"/>
      <c r="AR650" s="14"/>
    </row>
    <row r="651" spans="1:44" s="16" customFormat="1" ht="30.95" hidden="1" customHeight="1" x14ac:dyDescent="0.2">
      <c r="A651" s="35" t="s">
        <v>532</v>
      </c>
      <c r="B651" s="36" t="s">
        <v>443</v>
      </c>
      <c r="C651" s="43"/>
      <c r="D651" s="29">
        <v>3721213</v>
      </c>
      <c r="E651" s="29">
        <v>4170117</v>
      </c>
      <c r="F651" s="255" t="str">
        <f>IF(D651="","",VLOOKUP(D651,契約台帳!$A$3:$K$4986,6,FALSE)&amp;VLOOKUP(D651,契約台帳!$A$3:$K$4986,7,FALSE)&amp;VLOOKUP(D651,契約台帳!$A$3:$K$4986,8,FALSE)&amp;VLOOKUP(D651,契約台帳!$A$3:$K$4986,9,FALSE)&amp;VLOOKUP(D651,契約台帳!$A$3:$K$4986,11,FALSE))</f>
        <v>3SNMLBMNGTBF</v>
      </c>
      <c r="G651" s="256" t="str">
        <f>IF(D651="","",VLOOKUP(F651,製品マスタ!$G$5:$H$4999,2,FALSE))</f>
        <v>S</v>
      </c>
      <c r="H651" s="256" t="str">
        <f>IF(D651="","",VLOOKUP(F651,製品マスタ!$G$5:$K$4999,5,FALSE))</f>
        <v>MNGTBF</v>
      </c>
      <c r="I651" s="200" t="str">
        <f>IF(D651="","",VLOOKUP(F651,製品マスタ!$G$5:$L$4999,6,FALSE))</f>
        <v>メタルミー　ネーマー　銀艶　Ｂ</v>
      </c>
      <c r="J651" s="30" t="s">
        <v>464</v>
      </c>
      <c r="K651" s="200">
        <f>IF(D651="","",VLOOKUP(D651,契約台帳!$A$3:$L$4986,12,FALSE))</f>
        <v>25</v>
      </c>
      <c r="L651" s="200" t="str">
        <f>IF(D651="","",INDEX(製品マスタ!$Q$5:$Q$4999,MATCH(F651&amp;K651,製品マスタ!$AO$5:$AO$4999,0)))</f>
        <v>T62M</v>
      </c>
      <c r="M651" s="37">
        <v>1005</v>
      </c>
      <c r="N651" s="37">
        <v>12100</v>
      </c>
      <c r="O651" s="45">
        <v>5</v>
      </c>
      <c r="P651" s="54">
        <v>45139</v>
      </c>
      <c r="Q651" s="260">
        <f>IF(D651="","",IF(J651="リード付け",M651,VLOOKUP(D651,契約台帳!$A$3:$N$4986,14,FALSE)))</f>
        <v>1005</v>
      </c>
      <c r="R651" s="261">
        <f>IF(D651="","",IF(J651="リード付け",M651,VLOOKUP(D651,契約台帳!$A$3:$O$4986,15,FALSE)))</f>
        <v>1005</v>
      </c>
      <c r="S651" s="261">
        <f>IF(D651="","",IF(J651="リード付け",N651,VLOOKUP(D651,契約台帳!$A$3:$P$4986,16,FALSE)))</f>
        <v>12100</v>
      </c>
      <c r="T651" s="38">
        <v>5</v>
      </c>
      <c r="U651" s="261">
        <f ca="1">IF(D651="","",IF(OFFSET(D651,-2,0)=D651,"",VLOOKUP(D651,契約台帳!$A$3:$R$4986,18,FALSE)))</f>
        <v>15</v>
      </c>
      <c r="V651" s="256" t="str">
        <f>IF(J651="巻返し",VLOOKUP(F651&amp;K651&amp;M651,製品マスタ!$M$5:$AD$4999,18,FALSE),IF(J651="リード付け","原反コア",IF(J651="スリット",VLOOKUP(F651&amp;K651&amp;Q651,製品マスタ!$N$5:$AD$4999,17,FALSE),"")))</f>
        <v>原反コア</v>
      </c>
      <c r="W651" s="256" t="str">
        <f>IF(J651="巻返し",VLOOKUP(F651&amp;K651&amp;M651,製品マスタ!$M$5:$AE$4999,19,FALSE),IF(J651="リード付け","-",IF(J651="スリット",VLOOKUP(F651&amp;K651&amp;Q651,製品マスタ!$N$5:$AE$4999,18,FALSE),"")))</f>
        <v>-</v>
      </c>
      <c r="X651" s="256">
        <f>IF(D651="","",VLOOKUP(D651,契約台帳!$A$3:$Q$4986,17,FALSE))</f>
        <v>2</v>
      </c>
      <c r="Y651" s="256" t="str">
        <f>IF(D651="","",VLOOKUP(D651,契約台帳!$A$3:$E$4986,5,FALSE))</f>
        <v>リンテック㈱</v>
      </c>
      <c r="Z651" s="54"/>
      <c r="AA651" s="200"/>
      <c r="AB651" s="31"/>
      <c r="AC651" s="184"/>
      <c r="AD651" s="51"/>
      <c r="AE651" s="52"/>
      <c r="AF651" s="41"/>
      <c r="AG651" s="45"/>
      <c r="AH651" s="28"/>
      <c r="AI651" s="28"/>
      <c r="AJ651" s="28"/>
      <c r="AK651" s="28"/>
      <c r="AL651" s="12"/>
      <c r="AM651" s="12"/>
      <c r="AN651" s="12"/>
      <c r="AO651" s="12"/>
      <c r="AP651" s="12"/>
      <c r="AQ651" s="13"/>
      <c r="AR651" s="14"/>
    </row>
    <row r="652" spans="1:44" s="16" customFormat="1" ht="30.95" hidden="1" customHeight="1" x14ac:dyDescent="0.2">
      <c r="A652" s="35"/>
      <c r="B652" s="36"/>
      <c r="C652" s="43"/>
      <c r="D652" s="29"/>
      <c r="E652" s="29"/>
      <c r="F652" s="255"/>
      <c r="G652" s="256"/>
      <c r="H652" s="256"/>
      <c r="I652" s="200"/>
      <c r="J652" s="30"/>
      <c r="K652" s="200"/>
      <c r="L652" s="200"/>
      <c r="M652" s="37"/>
      <c r="N652" s="37"/>
      <c r="O652" s="45"/>
      <c r="P652" s="54"/>
      <c r="Q652" s="260"/>
      <c r="R652" s="261"/>
      <c r="S652" s="261"/>
      <c r="T652" s="38"/>
      <c r="U652" s="261"/>
      <c r="V652" s="256"/>
      <c r="W652" s="256"/>
      <c r="X652" s="256"/>
      <c r="Y652" s="256"/>
      <c r="Z652" s="54"/>
      <c r="AA652" s="200"/>
      <c r="AB652" s="31"/>
      <c r="AC652" s="184"/>
      <c r="AD652" s="51"/>
      <c r="AE652" s="52"/>
      <c r="AF652" s="41"/>
      <c r="AG652" s="45"/>
      <c r="AH652" s="28"/>
      <c r="AI652" s="28"/>
      <c r="AJ652" s="28"/>
      <c r="AK652" s="28"/>
      <c r="AL652" s="12"/>
      <c r="AM652" s="12"/>
      <c r="AN652" s="12"/>
      <c r="AO652" s="12"/>
      <c r="AP652" s="12"/>
      <c r="AQ652" s="13"/>
      <c r="AR652" s="14"/>
    </row>
    <row r="653" spans="1:44" s="16" customFormat="1" ht="30.95" hidden="1" customHeight="1" x14ac:dyDescent="0.2">
      <c r="A653" s="35" t="s">
        <v>1358</v>
      </c>
      <c r="B653" s="36" t="s">
        <v>1359</v>
      </c>
      <c r="C653" s="43"/>
      <c r="D653" s="29"/>
      <c r="E653" s="29"/>
      <c r="F653" s="255"/>
      <c r="G653" s="256"/>
      <c r="H653" s="256"/>
      <c r="I653" s="200"/>
      <c r="J653" s="30"/>
      <c r="K653" s="200"/>
      <c r="L653" s="200"/>
      <c r="M653" s="37"/>
      <c r="N653" s="37"/>
      <c r="O653" s="45"/>
      <c r="P653" s="54"/>
      <c r="Q653" s="260"/>
      <c r="R653" s="261"/>
      <c r="S653" s="261"/>
      <c r="T653" s="38"/>
      <c r="U653" s="261"/>
      <c r="V653" s="256"/>
      <c r="W653" s="256"/>
      <c r="X653" s="256"/>
      <c r="Y653" s="256"/>
      <c r="Z653" s="54"/>
      <c r="AA653" s="200"/>
      <c r="AB653" s="31"/>
      <c r="AC653" s="184"/>
      <c r="AD653" s="51"/>
      <c r="AE653" s="52"/>
      <c r="AF653" s="41"/>
      <c r="AG653" s="45"/>
      <c r="AH653" s="28"/>
      <c r="AI653" s="28"/>
      <c r="AJ653" s="28"/>
      <c r="AK653" s="28"/>
      <c r="AL653" s="12"/>
      <c r="AM653" s="12"/>
      <c r="AN653" s="12"/>
      <c r="AO653" s="12"/>
      <c r="AP653" s="12"/>
      <c r="AQ653" s="13"/>
      <c r="AR653" s="14"/>
    </row>
    <row r="654" spans="1:44" s="16" customFormat="1" ht="30.95" hidden="1" customHeight="1" x14ac:dyDescent="0.2">
      <c r="A654" s="35"/>
      <c r="B654" s="36"/>
      <c r="C654" s="43"/>
      <c r="D654" s="29"/>
      <c r="E654" s="29"/>
      <c r="F654" s="255"/>
      <c r="G654" s="256"/>
      <c r="H654" s="256"/>
      <c r="I654" s="200"/>
      <c r="J654" s="30"/>
      <c r="K654" s="200"/>
      <c r="L654" s="200"/>
      <c r="M654" s="37"/>
      <c r="N654" s="37"/>
      <c r="O654" s="45"/>
      <c r="P654" s="54"/>
      <c r="Q654" s="260"/>
      <c r="R654" s="261"/>
      <c r="S654" s="261"/>
      <c r="T654" s="38"/>
      <c r="U654" s="261"/>
      <c r="V654" s="256"/>
      <c r="W654" s="256"/>
      <c r="X654" s="256"/>
      <c r="Y654" s="256"/>
      <c r="Z654" s="54"/>
      <c r="AA654" s="200"/>
      <c r="AB654" s="31"/>
      <c r="AC654" s="184"/>
      <c r="AD654" s="51"/>
      <c r="AE654" s="52"/>
      <c r="AF654" s="41"/>
      <c r="AG654" s="45"/>
      <c r="AH654" s="28"/>
      <c r="AI654" s="28"/>
      <c r="AJ654" s="28"/>
      <c r="AK654" s="28"/>
      <c r="AL654" s="12"/>
      <c r="AM654" s="12"/>
      <c r="AN654" s="12"/>
      <c r="AO654" s="12"/>
      <c r="AP654" s="12"/>
      <c r="AQ654" s="13"/>
      <c r="AR654" s="14"/>
    </row>
    <row r="655" spans="1:44" s="16" customFormat="1" ht="30.95" hidden="1" customHeight="1" x14ac:dyDescent="0.2">
      <c r="A655" s="35" t="s">
        <v>1360</v>
      </c>
      <c r="B655" s="36" t="s">
        <v>1361</v>
      </c>
      <c r="C655" s="43"/>
      <c r="D655" s="29"/>
      <c r="E655" s="29"/>
      <c r="F655" s="255"/>
      <c r="G655" s="256"/>
      <c r="H655" s="256"/>
      <c r="I655" s="200"/>
      <c r="J655" s="30" t="s">
        <v>448</v>
      </c>
      <c r="K655" s="200"/>
      <c r="L655" s="200"/>
      <c r="M655" s="37"/>
      <c r="N655" s="37"/>
      <c r="O655" s="45"/>
      <c r="P655" s="54"/>
      <c r="Q655" s="260"/>
      <c r="R655" s="261"/>
      <c r="S655" s="261"/>
      <c r="T655" s="38"/>
      <c r="U655" s="261"/>
      <c r="V655" s="256"/>
      <c r="W655" s="256"/>
      <c r="X655" s="256"/>
      <c r="Y655" s="256"/>
      <c r="Z655" s="54"/>
      <c r="AA655" s="200"/>
      <c r="AB655" s="31"/>
      <c r="AC655" s="184"/>
      <c r="AD655" s="51"/>
      <c r="AE655" s="52"/>
      <c r="AF655" s="41"/>
      <c r="AG655" s="45"/>
      <c r="AH655" s="28"/>
      <c r="AI655" s="28"/>
      <c r="AJ655" s="28"/>
      <c r="AK655" s="28"/>
      <c r="AL655" s="12"/>
      <c r="AM655" s="12"/>
      <c r="AN655" s="12"/>
      <c r="AO655" s="12"/>
      <c r="AP655" s="12"/>
      <c r="AQ655" s="13"/>
      <c r="AR655" s="14"/>
    </row>
    <row r="656" spans="1:44" s="16" customFormat="1" ht="30.95" hidden="1" customHeight="1" x14ac:dyDescent="0.2">
      <c r="A656" s="35"/>
      <c r="B656" s="36"/>
      <c r="C656" s="43"/>
      <c r="D656" s="29"/>
      <c r="E656" s="29"/>
      <c r="F656" s="255"/>
      <c r="G656" s="256"/>
      <c r="H656" s="256"/>
      <c r="I656" s="200"/>
      <c r="J656" s="30"/>
      <c r="K656" s="200"/>
      <c r="L656" s="200"/>
      <c r="M656" s="37"/>
      <c r="N656" s="37"/>
      <c r="O656" s="45"/>
      <c r="P656" s="54"/>
      <c r="Q656" s="260"/>
      <c r="R656" s="261"/>
      <c r="S656" s="261"/>
      <c r="T656" s="38"/>
      <c r="U656" s="261"/>
      <c r="V656" s="256"/>
      <c r="W656" s="256"/>
      <c r="X656" s="256"/>
      <c r="Y656" s="256"/>
      <c r="Z656" s="54"/>
      <c r="AA656" s="200"/>
      <c r="AB656" s="31"/>
      <c r="AC656" s="184"/>
      <c r="AD656" s="51"/>
      <c r="AE656" s="52"/>
      <c r="AF656" s="41"/>
      <c r="AG656" s="45"/>
      <c r="AH656" s="28"/>
      <c r="AI656" s="28"/>
      <c r="AJ656" s="28"/>
      <c r="AK656" s="28"/>
      <c r="AL656" s="12"/>
      <c r="AM656" s="12"/>
      <c r="AN656" s="12"/>
      <c r="AO656" s="12"/>
      <c r="AP656" s="12"/>
      <c r="AQ656" s="13"/>
      <c r="AR656" s="14"/>
    </row>
    <row r="657" spans="1:44" s="16" customFormat="1" ht="30.95" hidden="1" customHeight="1" x14ac:dyDescent="0.2">
      <c r="A657" s="35" t="s">
        <v>1362</v>
      </c>
      <c r="B657" s="36" t="s">
        <v>1363</v>
      </c>
      <c r="C657" s="43"/>
      <c r="D657" s="29"/>
      <c r="E657" s="29"/>
      <c r="F657" s="255"/>
      <c r="G657" s="256"/>
      <c r="H657" s="256"/>
      <c r="I657" s="200"/>
      <c r="J657" s="30" t="s">
        <v>448</v>
      </c>
      <c r="K657" s="200"/>
      <c r="L657" s="200"/>
      <c r="M657" s="37"/>
      <c r="N657" s="37"/>
      <c r="O657" s="45"/>
      <c r="P657" s="54"/>
      <c r="Q657" s="260"/>
      <c r="R657" s="261"/>
      <c r="S657" s="261"/>
      <c r="T657" s="38"/>
      <c r="U657" s="261"/>
      <c r="V657" s="256"/>
      <c r="W657" s="256"/>
      <c r="X657" s="256"/>
      <c r="Y657" s="256"/>
      <c r="Z657" s="54"/>
      <c r="AA657" s="200"/>
      <c r="AB657" s="31"/>
      <c r="AC657" s="184"/>
      <c r="AD657" s="51"/>
      <c r="AE657" s="52"/>
      <c r="AF657" s="41"/>
      <c r="AG657" s="45"/>
      <c r="AH657" s="28"/>
      <c r="AI657" s="28"/>
      <c r="AJ657" s="28"/>
      <c r="AK657" s="28"/>
      <c r="AL657" s="12"/>
      <c r="AM657" s="12"/>
      <c r="AN657" s="12"/>
      <c r="AO657" s="12"/>
      <c r="AP657" s="12"/>
      <c r="AQ657" s="13"/>
      <c r="AR657" s="14"/>
    </row>
    <row r="658" spans="1:44" s="16" customFormat="1" ht="30.95" hidden="1" customHeight="1" x14ac:dyDescent="0.2">
      <c r="A658" s="35"/>
      <c r="B658" s="36"/>
      <c r="C658" s="43"/>
      <c r="D658" s="29"/>
      <c r="E658" s="29"/>
      <c r="F658" s="255"/>
      <c r="G658" s="256"/>
      <c r="H658" s="256"/>
      <c r="I658" s="200"/>
      <c r="J658" s="30"/>
      <c r="K658" s="200"/>
      <c r="L658" s="200"/>
      <c r="M658" s="37"/>
      <c r="N658" s="37"/>
      <c r="O658" s="45"/>
      <c r="P658" s="54"/>
      <c r="Q658" s="260"/>
      <c r="R658" s="261"/>
      <c r="S658" s="261"/>
      <c r="T658" s="38"/>
      <c r="U658" s="261"/>
      <c r="V658" s="256"/>
      <c r="W658" s="256"/>
      <c r="X658" s="256"/>
      <c r="Y658" s="256"/>
      <c r="Z658" s="54"/>
      <c r="AA658" s="200"/>
      <c r="AB658" s="31"/>
      <c r="AC658" s="184"/>
      <c r="AD658" s="51"/>
      <c r="AE658" s="52"/>
      <c r="AF658" s="41"/>
      <c r="AG658" s="45"/>
      <c r="AH658" s="28"/>
      <c r="AI658" s="28"/>
      <c r="AJ658" s="28"/>
      <c r="AK658" s="28"/>
      <c r="AL658" s="12"/>
      <c r="AM658" s="12"/>
      <c r="AN658" s="12"/>
      <c r="AO658" s="12"/>
      <c r="AP658" s="12"/>
      <c r="AQ658" s="13"/>
      <c r="AR658" s="14"/>
    </row>
    <row r="659" spans="1:44" s="16" customFormat="1" ht="30.95" hidden="1" customHeight="1" x14ac:dyDescent="0.2">
      <c r="A659" s="35" t="s">
        <v>536</v>
      </c>
      <c r="B659" s="36" t="s">
        <v>462</v>
      </c>
      <c r="C659" s="43"/>
      <c r="D659" s="29">
        <v>3722522</v>
      </c>
      <c r="E659" s="29">
        <v>4151445</v>
      </c>
      <c r="F659" s="255" t="str">
        <f>IF(D659="","",VLOOKUP(D659,契約台帳!$A$3:$K$4986,6,FALSE)&amp;VLOOKUP(D659,契約台帳!$A$3:$K$4986,7,FALSE)&amp;VLOOKUP(D659,契約台帳!$A$3:$K$4986,8,FALSE)&amp;VLOOKUP(D659,契約台帳!$A$3:$K$4986,9,FALSE)&amp;VLOOKUP(D659,契約台帳!$A$3:$K$4986,11,FALSE))</f>
        <v>3UYKNZMCRALCB</v>
      </c>
      <c r="G659" s="256" t="str">
        <f>IF(D659="","",VLOOKUP(F659,製品マスタ!$G$5:$H$4999,2,FALSE))</f>
        <v>U</v>
      </c>
      <c r="H659" s="256" t="str">
        <f>IF(D659="","",VLOOKUP(F659,製品マスタ!$G$5:$K$4999,5,FALSE))</f>
        <v>MCRALCB</v>
      </c>
      <c r="I659" s="200" t="str">
        <f>IF(D659="","",VLOOKUP(F659,製品マスタ!$G$5:$L$4999,6,FALSE))</f>
        <v>Metalumy CR aluminum surface coat B</v>
      </c>
      <c r="J659" s="30" t="s">
        <v>447</v>
      </c>
      <c r="K659" s="200">
        <f>IF(D659="","",VLOOKUP(D659,契約台帳!$A$3:$L$4986,12,FALSE))</f>
        <v>25</v>
      </c>
      <c r="L659" s="200" t="str">
        <f>IF(D659="","",INDEX(製品マスタ!$Q$5:$Q$4999,MATCH(F659&amp;K659,製品マスタ!$AO$5:$AO$4999,0)))</f>
        <v>S28M</v>
      </c>
      <c r="M659" s="37">
        <v>1110</v>
      </c>
      <c r="N659" s="37">
        <v>12100</v>
      </c>
      <c r="O659" s="45">
        <v>1</v>
      </c>
      <c r="P659" s="54"/>
      <c r="Q659" s="260">
        <f>IF(D659="","",IF(J659="リード付け",M659,VLOOKUP(D659,契約台帳!$A$3:$N$4986,14,FALSE)))</f>
        <v>1050</v>
      </c>
      <c r="R659" s="261">
        <f>IF(D659="","",IF(J659="リード付け",M659,VLOOKUP(D659,契約台帳!$A$3:$O$4986,15,FALSE)))</f>
        <v>1050</v>
      </c>
      <c r="S659" s="261">
        <f>IF(D659="","",IF(J659="リード付け",N659,VLOOKUP(D659,契約台帳!$A$3:$P$4986,16,FALSE)))</f>
        <v>4000</v>
      </c>
      <c r="T659" s="38">
        <v>1</v>
      </c>
      <c r="U659" s="261">
        <f ca="1">IF(D659="","",IF(OFFSET(D659,-2,0)=D659,"",VLOOKUP(D659,契約台帳!$A$3:$R$4986,18,FALSE)))</f>
        <v>1</v>
      </c>
      <c r="V659" s="256" t="str">
        <f>IF(J659="巻返し",VLOOKUP(F659&amp;K659&amp;M659,製品マスタ!$M$5:$AD$4999,18,FALSE),IF(J659="リード付け","原反コア",IF(J659="スリット",VLOOKUP(F659&amp;K659&amp;Q659,製品マスタ!$N$5:$AD$4999,17,FALSE),"")))</f>
        <v>6ｲﾝﾁABS</v>
      </c>
      <c r="W659" s="256">
        <f>IF(J659="巻返し",VLOOKUP(F659&amp;K659&amp;M659,製品マスタ!$M$5:$AE$4999,19,FALSE),IF(J659="リード付け","-",IF(J659="スリット",VLOOKUP(F659&amp;K659&amp;Q659,製品マスタ!$N$5:$AE$4999,18,FALSE),"")))</f>
        <v>1250</v>
      </c>
      <c r="X659" s="256">
        <f>IF(D659="","",VLOOKUP(D659,契約台帳!$A$3:$Q$4986,17,FALSE))</f>
        <v>1</v>
      </c>
      <c r="Y659" s="256" t="str">
        <f>IF(D659="","",VLOOKUP(D659,契約台帳!$A$3:$E$4986,5,FALSE))</f>
        <v>日東電工有限公司</v>
      </c>
      <c r="Z659" s="54" t="s">
        <v>1016</v>
      </c>
      <c r="AA659" s="200" t="s">
        <v>1368</v>
      </c>
      <c r="AB659" s="31"/>
      <c r="AC659" s="184"/>
      <c r="AD659" s="51"/>
      <c r="AE659" s="52"/>
      <c r="AF659" s="41"/>
      <c r="AG659" s="45"/>
      <c r="AH659" s="28"/>
      <c r="AI659" s="28"/>
      <c r="AJ659" s="28"/>
      <c r="AK659" s="28"/>
      <c r="AL659" s="12"/>
      <c r="AM659" s="12"/>
      <c r="AN659" s="12"/>
      <c r="AO659" s="12"/>
      <c r="AP659" s="12"/>
      <c r="AQ659" s="13"/>
      <c r="AR659" s="14"/>
    </row>
    <row r="660" spans="1:44" s="16" customFormat="1" ht="30.95" hidden="1" customHeight="1" x14ac:dyDescent="0.2">
      <c r="A660" s="35"/>
      <c r="B660" s="36"/>
      <c r="C660" s="43"/>
      <c r="D660" s="29"/>
      <c r="E660" s="29"/>
      <c r="F660" s="255"/>
      <c r="G660" s="256"/>
      <c r="H660" s="256"/>
      <c r="I660" s="200"/>
      <c r="J660" s="30"/>
      <c r="K660" s="200"/>
      <c r="L660" s="200"/>
      <c r="M660" s="37"/>
      <c r="N660" s="37"/>
      <c r="O660" s="45"/>
      <c r="P660" s="54"/>
      <c r="Q660" s="260"/>
      <c r="R660" s="261"/>
      <c r="S660" s="261"/>
      <c r="T660" s="38"/>
      <c r="U660" s="261"/>
      <c r="V660" s="256"/>
      <c r="W660" s="256"/>
      <c r="X660" s="256"/>
      <c r="Y660" s="256"/>
      <c r="Z660" s="54"/>
      <c r="AA660" s="200"/>
      <c r="AB660" s="31"/>
      <c r="AC660" s="184"/>
      <c r="AD660" s="51"/>
      <c r="AE660" s="52"/>
      <c r="AF660" s="41"/>
      <c r="AG660" s="45"/>
      <c r="AH660" s="28"/>
      <c r="AI660" s="28"/>
      <c r="AJ660" s="28"/>
      <c r="AK660" s="28"/>
      <c r="AL660" s="12"/>
      <c r="AM660" s="12"/>
      <c r="AN660" s="12"/>
      <c r="AO660" s="12"/>
      <c r="AP660" s="12"/>
      <c r="AQ660" s="13"/>
      <c r="AR660" s="14"/>
    </row>
    <row r="661" spans="1:44" s="16" customFormat="1" ht="30.95" hidden="1" customHeight="1" x14ac:dyDescent="0.2">
      <c r="A661" s="35"/>
      <c r="B661" s="36"/>
      <c r="C661" s="43"/>
      <c r="D661" s="29">
        <v>3721199</v>
      </c>
      <c r="E661" s="29">
        <v>4151443</v>
      </c>
      <c r="F661" s="255" t="str">
        <f>IF(D661="","",VLOOKUP(D661,契約台帳!$A$3:$K$4986,6,FALSE)&amp;VLOOKUP(D661,契約台帳!$A$3:$K$4986,7,FALSE)&amp;VLOOKUP(D661,契約台帳!$A$3:$K$4986,8,FALSE)&amp;VLOOKUP(D661,契約台帳!$A$3:$K$4986,9,FALSE)&amp;VLOOKUP(D661,契約台帳!$A$3:$K$4986,11,FALSE))</f>
        <v>3SNMLBMSF</v>
      </c>
      <c r="G661" s="256" t="str">
        <f>IF(D661="","",VLOOKUP(F661,製品マスタ!$G$5:$H$4999,2,FALSE))</f>
        <v>S</v>
      </c>
      <c r="H661" s="256" t="str">
        <f>IF(D661="","",VLOOKUP(F661,製品マスタ!$G$5:$K$4999,5,FALSE))</f>
        <v>MSF</v>
      </c>
      <c r="I661" s="200" t="str">
        <f>IF(D661="","",VLOOKUP(F661,製品マスタ!$G$5:$L$4999,6,FALSE))</f>
        <v>メタルミー　Ｓ</v>
      </c>
      <c r="J661" s="30" t="s">
        <v>447</v>
      </c>
      <c r="K661" s="200">
        <f>IF(D661="","",VLOOKUP(D661,契約台帳!$A$3:$L$4986,12,FALSE))</f>
        <v>25</v>
      </c>
      <c r="L661" s="200" t="str">
        <f>IF(D661="","",INDEX(製品マスタ!$Q$5:$Q$4999,MATCH(F661&amp;K661,製品マスタ!$AO$5:$AO$4999,0)))</f>
        <v>T62M</v>
      </c>
      <c r="M661" s="37">
        <v>1020</v>
      </c>
      <c r="N661" s="37">
        <v>12100</v>
      </c>
      <c r="O661" s="45">
        <v>1</v>
      </c>
      <c r="P661" s="54"/>
      <c r="Q661" s="260">
        <f>IF(D661="","",IF(J661="リード付け",M661,VLOOKUP(D661,契約台帳!$A$3:$N$4986,14,FALSE)))</f>
        <v>510</v>
      </c>
      <c r="R661" s="261">
        <f>IF(D661="","",IF(J661="リード付け",M661,VLOOKUP(D661,契約台帳!$A$3:$O$4986,15,FALSE)))</f>
        <v>510</v>
      </c>
      <c r="S661" s="261">
        <f>IF(D661="","",IF(J661="リード付け",N661,VLOOKUP(D661,契約台帳!$A$3:$P$4986,16,FALSE)))</f>
        <v>2000</v>
      </c>
      <c r="T661" s="38">
        <v>12</v>
      </c>
      <c r="U661" s="261">
        <f ca="1">IF(D661="","",IF(OFFSET(D661,-2,0)=D661,"",VLOOKUP(D661,契約台帳!$A$3:$R$4986,18,FALSE)))</f>
        <v>12</v>
      </c>
      <c r="V661" s="256" t="str">
        <f>IF(J661="巻返し",VLOOKUP(F661&amp;K661&amp;M661,製品マスタ!$M$5:$AD$4999,18,FALSE),IF(J661="リード付け","原反コア",IF(J661="スリット",VLOOKUP(F661&amp;K661&amp;Q661,製品マスタ!$N$5:$AD$4999,17,FALSE),"")))</f>
        <v>3ｲﾝﾁSｺｱ</v>
      </c>
      <c r="W661" s="256">
        <v>515</v>
      </c>
      <c r="X661" s="256">
        <f>IF(D661="","",VLOOKUP(D661,契約台帳!$A$3:$Q$4986,17,FALSE))</f>
        <v>1</v>
      </c>
      <c r="Y661" s="256" t="str">
        <f>IF(D661="","",VLOOKUP(D661,契約台帳!$A$3:$E$4986,5,FALSE))</f>
        <v>日東シンコー㈱</v>
      </c>
      <c r="Z661" s="54">
        <v>45147</v>
      </c>
      <c r="AA661" s="200">
        <f>IFERROR(VLOOKUP(F661&amp;K661&amp;M661,製品マスタ!$M$5:$AM$4999,27,FALSE),"")</f>
        <v>0</v>
      </c>
      <c r="AB661" s="31"/>
      <c r="AC661" s="184"/>
      <c r="AD661" s="51" t="str">
        <f>IF(F661="","",+F661&amp;K661)</f>
        <v>3SNMLBMSF25</v>
      </c>
      <c r="AE661" s="52">
        <f>+M661*N661*O661/1000</f>
        <v>12342</v>
      </c>
      <c r="AF661" s="41">
        <f>IF(AD661="","",VLOOKUP(AD661,原価マスタ!$A$2:$AJ$1693,13,FALSE))</f>
        <v>97</v>
      </c>
      <c r="AG661" s="45">
        <f>IF(AF661="","",+AE661*AF661/100)</f>
        <v>11971.74</v>
      </c>
      <c r="AH661" s="28"/>
      <c r="AI661" s="28"/>
      <c r="AJ661" s="28"/>
      <c r="AK661" s="28"/>
      <c r="AL661" s="12"/>
      <c r="AM661" s="12"/>
      <c r="AN661" s="12"/>
      <c r="AO661" s="12"/>
      <c r="AP661" s="12"/>
      <c r="AQ661" s="13"/>
      <c r="AR661" s="14"/>
    </row>
    <row r="662" spans="1:44" s="16" customFormat="1" ht="30.95" hidden="1" customHeight="1" x14ac:dyDescent="0.2">
      <c r="A662" s="35"/>
      <c r="B662" s="36"/>
      <c r="C662" s="43"/>
      <c r="D662" s="29"/>
      <c r="E662" s="29"/>
      <c r="F662" s="255"/>
      <c r="G662" s="256"/>
      <c r="H662" s="256"/>
      <c r="I662" s="200"/>
      <c r="J662" s="30"/>
      <c r="K662" s="200"/>
      <c r="L662" s="200"/>
      <c r="M662" s="37"/>
      <c r="N662" s="37"/>
      <c r="O662" s="45"/>
      <c r="P662" s="54"/>
      <c r="Q662" s="260"/>
      <c r="R662" s="261"/>
      <c r="S662" s="261"/>
      <c r="T662" s="38"/>
      <c r="U662" s="261"/>
      <c r="V662" s="256"/>
      <c r="W662" s="256"/>
      <c r="X662" s="256"/>
      <c r="Y662" s="256"/>
      <c r="Z662" s="54"/>
      <c r="AA662" s="200"/>
      <c r="AB662" s="31"/>
      <c r="AC662" s="184"/>
      <c r="AD662" s="51"/>
      <c r="AE662" s="52"/>
      <c r="AF662" s="41"/>
      <c r="AG662" s="45"/>
      <c r="AH662" s="28"/>
      <c r="AI662" s="28"/>
      <c r="AJ662" s="28"/>
      <c r="AK662" s="28"/>
      <c r="AL662" s="12"/>
      <c r="AM662" s="12"/>
      <c r="AN662" s="12"/>
      <c r="AO662" s="12"/>
      <c r="AP662" s="12"/>
      <c r="AQ662" s="13"/>
      <c r="AR662" s="14"/>
    </row>
    <row r="663" spans="1:44" s="16" customFormat="1" ht="30.95" hidden="1" customHeight="1" x14ac:dyDescent="0.2">
      <c r="A663" s="35"/>
      <c r="B663" s="36"/>
      <c r="C663" s="43"/>
      <c r="D663" s="29">
        <v>3721214</v>
      </c>
      <c r="E663" s="29">
        <v>4151432</v>
      </c>
      <c r="F663" s="255" t="str">
        <f>IF(D663="","",VLOOKUP(D663,契約台帳!$A$3:$K$4986,6,FALSE)&amp;VLOOKUP(D663,契約台帳!$A$3:$K$4986,7,FALSE)&amp;VLOOKUP(D663,契約台帳!$A$3:$K$4986,8,FALSE)&amp;VLOOKUP(D663,契約台帳!$A$3:$K$4986,9,FALSE)&amp;VLOOKUP(D663,契約台帳!$A$3:$K$4986,11,FALSE))</f>
        <v>3SNMLBMNGTBF</v>
      </c>
      <c r="G663" s="256" t="str">
        <f>IF(D663="","",VLOOKUP(F663,製品マスタ!$G$5:$H$4999,2,FALSE))</f>
        <v>S</v>
      </c>
      <c r="H663" s="256" t="str">
        <f>IF(D663="","",VLOOKUP(F663,製品マスタ!$G$5:$K$4999,5,FALSE))</f>
        <v>MNGTBF</v>
      </c>
      <c r="I663" s="200" t="str">
        <f>IF(D663="","",VLOOKUP(F663,製品マスタ!$G$5:$L$4999,6,FALSE))</f>
        <v>メタルミー　ネーマー　銀艶　Ｂ</v>
      </c>
      <c r="J663" s="30" t="s">
        <v>447</v>
      </c>
      <c r="K663" s="200">
        <f>IF(D663="","",VLOOKUP(D663,契約台帳!$A$3:$L$4986,12,FALSE))</f>
        <v>50</v>
      </c>
      <c r="L663" s="200" t="str">
        <f>IF(D663="","",INDEX(製品マスタ!$Q$5:$Q$4999,MATCH(F663&amp;K663,製品マスタ!$AO$5:$AO$4999,0)))</f>
        <v>T62</v>
      </c>
      <c r="M663" s="37">
        <v>1120</v>
      </c>
      <c r="N663" s="37">
        <v>10000</v>
      </c>
      <c r="O663" s="45">
        <v>1</v>
      </c>
      <c r="P663" s="54"/>
      <c r="Q663" s="260">
        <f>IF(D663="","",IF(J663="リード付け",M663,VLOOKUP(D663,契約台帳!$A$3:$N$4986,14,FALSE)))</f>
        <v>1120</v>
      </c>
      <c r="R663" s="261">
        <f>IF(D663="","",IF(J663="リード付け",M663,VLOOKUP(D663,契約台帳!$A$3:$O$4986,15,FALSE)))</f>
        <v>1120</v>
      </c>
      <c r="S663" s="261">
        <f>IF(D663="","",IF(J663="リード付け",N663,VLOOKUP(D663,契約台帳!$A$3:$P$4986,16,FALSE)))</f>
        <v>5000</v>
      </c>
      <c r="T663" s="38">
        <v>2</v>
      </c>
      <c r="U663" s="261">
        <f ca="1">IF(D663="","",IF(OFFSET(D663,-2,0)=D663,"",VLOOKUP(D663,契約台帳!$A$3:$R$4986,18,FALSE)))</f>
        <v>13</v>
      </c>
      <c r="V663" s="256" t="str">
        <f>IF(J663="巻返し",VLOOKUP(F663&amp;K663&amp;M663,製品マスタ!$M$5:$AD$4999,18,FALSE),IF(J663="リード付け","原反コア",IF(J663="スリット",VLOOKUP(F663&amp;K663&amp;Q663,製品マスタ!$N$5:$AD$4999,17,FALSE),"")))</f>
        <v>6ｲﾝﾁSｺｱ</v>
      </c>
      <c r="W663" s="256">
        <f>IF(J663="巻返し",VLOOKUP(F663&amp;K663&amp;M663,製品マスタ!$M$5:$AE$4999,19,FALSE),IF(J663="リード付け","-",IF(J663="スリット",VLOOKUP(F663&amp;K663&amp;Q663,製品マスタ!$N$5:$AE$4999,18,FALSE),"")))</f>
        <v>1125</v>
      </c>
      <c r="X663" s="256">
        <f>IF(D663="","",VLOOKUP(D663,契約台帳!$A$3:$Q$4986,17,FALSE))</f>
        <v>2</v>
      </c>
      <c r="Y663" s="256" t="str">
        <f>IF(D663="","",VLOOKUP(D663,契約台帳!$A$3:$E$4986,5,FALSE))</f>
        <v>リンテック㈱</v>
      </c>
      <c r="Z663" s="54">
        <v>45147</v>
      </c>
      <c r="AA663" s="200" t="str">
        <f>IFERROR(VLOOKUP(F663&amp;K663&amp;M663,製品マスタ!$M$5:$AM$4999,27,FALSE),"")</f>
        <v>原反ケース再利用</v>
      </c>
      <c r="AB663" s="31"/>
      <c r="AC663" s="184"/>
      <c r="AD663" s="51" t="str">
        <f>IF(F663="","",+F663&amp;K663)</f>
        <v>3SNMLBMNGTBF50</v>
      </c>
      <c r="AE663" s="52">
        <f>+M663*N663*O663/1000</f>
        <v>11200</v>
      </c>
      <c r="AF663" s="41">
        <f>IF(AD663="","",VLOOKUP(AD663,原価マスタ!$A$2:$AJ$1693,13,FALSE))</f>
        <v>99</v>
      </c>
      <c r="AG663" s="45">
        <f>IF(AF663="","",+AE663*AF663/100)</f>
        <v>11088</v>
      </c>
      <c r="AH663" s="28"/>
      <c r="AI663" s="28"/>
      <c r="AJ663" s="28"/>
      <c r="AK663" s="28"/>
      <c r="AL663" s="12"/>
      <c r="AM663" s="12"/>
      <c r="AN663" s="12"/>
      <c r="AO663" s="12"/>
      <c r="AP663" s="12"/>
      <c r="AQ663" s="13"/>
      <c r="AR663" s="14"/>
    </row>
    <row r="664" spans="1:44" s="16" customFormat="1" ht="30.95" hidden="1" customHeight="1" x14ac:dyDescent="0.2">
      <c r="A664" s="35"/>
      <c r="B664" s="36"/>
      <c r="C664" s="43"/>
      <c r="D664" s="29"/>
      <c r="E664" s="29"/>
      <c r="F664" s="255"/>
      <c r="G664" s="256"/>
      <c r="H664" s="256"/>
      <c r="I664" s="200"/>
      <c r="J664" s="30"/>
      <c r="K664" s="200"/>
      <c r="L664" s="200"/>
      <c r="M664" s="37"/>
      <c r="N664" s="37"/>
      <c r="O664" s="45"/>
      <c r="P664" s="54"/>
      <c r="Q664" s="260"/>
      <c r="R664" s="261"/>
      <c r="S664" s="261"/>
      <c r="T664" s="38"/>
      <c r="U664" s="261"/>
      <c r="V664" s="256"/>
      <c r="W664" s="256"/>
      <c r="X664" s="256"/>
      <c r="Y664" s="256"/>
      <c r="Z664" s="54"/>
      <c r="AA664" s="200"/>
      <c r="AB664" s="31"/>
      <c r="AC664" s="184"/>
      <c r="AD664" s="51"/>
      <c r="AE664" s="52"/>
      <c r="AF664" s="41"/>
      <c r="AG664" s="45"/>
      <c r="AH664" s="28"/>
      <c r="AI664" s="28"/>
      <c r="AJ664" s="28"/>
      <c r="AK664" s="28"/>
      <c r="AL664" s="12"/>
      <c r="AM664" s="12"/>
      <c r="AN664" s="12"/>
      <c r="AO664" s="12"/>
      <c r="AP664" s="12"/>
      <c r="AQ664" s="13"/>
      <c r="AR664" s="14"/>
    </row>
    <row r="665" spans="1:44" s="16" customFormat="1" ht="30.95" hidden="1" customHeight="1" x14ac:dyDescent="0.2">
      <c r="A665" s="35" t="s">
        <v>537</v>
      </c>
      <c r="B665" s="36" t="s">
        <v>688</v>
      </c>
      <c r="C665" s="43"/>
      <c r="D665" s="29">
        <v>3721214</v>
      </c>
      <c r="E665" s="29">
        <v>4151432</v>
      </c>
      <c r="F665" s="255" t="str">
        <f>IF(D665="","",VLOOKUP(D665,契約台帳!$A$3:$K$4986,6,FALSE)&amp;VLOOKUP(D665,契約台帳!$A$3:$K$4986,7,FALSE)&amp;VLOOKUP(D665,契約台帳!$A$3:$K$4986,8,FALSE)&amp;VLOOKUP(D665,契約台帳!$A$3:$K$4986,9,FALSE)&amp;VLOOKUP(D665,契約台帳!$A$3:$K$4986,11,FALSE))</f>
        <v>3SNMLBMNGTBF</v>
      </c>
      <c r="G665" s="256" t="str">
        <f>IF(D665="","",VLOOKUP(F665,製品マスタ!$G$5:$H$4999,2,FALSE))</f>
        <v>S</v>
      </c>
      <c r="H665" s="256" t="str">
        <f>IF(D665="","",VLOOKUP(F665,製品マスタ!$G$5:$K$4999,5,FALSE))</f>
        <v>MNGTBF</v>
      </c>
      <c r="I665" s="200" t="str">
        <f>IF(D665="","",VLOOKUP(F665,製品マスタ!$G$5:$L$4999,6,FALSE))</f>
        <v>メタルミー　ネーマー　銀艶　Ｂ</v>
      </c>
      <c r="J665" s="30" t="s">
        <v>447</v>
      </c>
      <c r="K665" s="200">
        <f>IF(D665="","",VLOOKUP(D665,契約台帳!$A$3:$L$4986,12,FALSE))</f>
        <v>50</v>
      </c>
      <c r="L665" s="200" t="str">
        <f>IF(D665="","",INDEX(製品マスタ!$Q$5:$Q$4999,MATCH(F665&amp;K665,製品マスタ!$AO$5:$AO$4999,0)))</f>
        <v>T62</v>
      </c>
      <c r="M665" s="37">
        <v>1120</v>
      </c>
      <c r="N665" s="37">
        <v>10000</v>
      </c>
      <c r="O665" s="45">
        <v>5</v>
      </c>
      <c r="P665" s="54"/>
      <c r="Q665" s="260">
        <f>IF(D665="","",IF(J665="リード付け",M665,VLOOKUP(D665,契約台帳!$A$3:$N$4986,14,FALSE)))</f>
        <v>1120</v>
      </c>
      <c r="R665" s="261">
        <f>IF(D665="","",IF(J665="リード付け",M665,VLOOKUP(D665,契約台帳!$A$3:$O$4986,15,FALSE)))</f>
        <v>1120</v>
      </c>
      <c r="S665" s="261">
        <f>IF(D665="","",IF(J665="リード付け",N665,VLOOKUP(D665,契約台帳!$A$3:$P$4986,16,FALSE)))</f>
        <v>5000</v>
      </c>
      <c r="T665" s="38">
        <v>10</v>
      </c>
      <c r="U665" s="261" t="str">
        <f ca="1">IF(D665="","",IF(OFFSET(D665,-2,0)=D665,"",VLOOKUP(D665,契約台帳!$A$3:$R$4986,18,FALSE)))</f>
        <v/>
      </c>
      <c r="V665" s="256" t="str">
        <f>IF(J665="巻返し",VLOOKUP(F665&amp;K665&amp;M665,製品マスタ!$M$5:$AD$4999,18,FALSE),IF(J665="リード付け","原反コア",IF(J665="スリット",VLOOKUP(F665&amp;K665&amp;Q665,製品マスタ!$N$5:$AD$4999,17,FALSE),"")))</f>
        <v>6ｲﾝﾁSｺｱ</v>
      </c>
      <c r="W665" s="256">
        <f>IF(J665="巻返し",VLOOKUP(F665&amp;K665&amp;M665,製品マスタ!$M$5:$AE$4999,19,FALSE),IF(J665="リード付け","-",IF(J665="スリット",VLOOKUP(F665&amp;K665&amp;Q665,製品マスタ!$N$5:$AE$4999,18,FALSE),"")))</f>
        <v>1125</v>
      </c>
      <c r="X665" s="256">
        <f>IF(D665="","",VLOOKUP(D665,契約台帳!$A$3:$Q$4986,17,FALSE))</f>
        <v>2</v>
      </c>
      <c r="Y665" s="256" t="str">
        <f>IF(D665="","",VLOOKUP(D665,契約台帳!$A$3:$E$4986,5,FALSE))</f>
        <v>リンテック㈱</v>
      </c>
      <c r="Z665" s="54">
        <v>45148</v>
      </c>
      <c r="AA665" s="200" t="str">
        <f>IFERROR(VLOOKUP(F665&amp;K665&amp;M665,製品マスタ!$M$5:$AM$4999,27,FALSE),"")</f>
        <v>原反ケース再利用</v>
      </c>
      <c r="AB665" s="31"/>
      <c r="AC665" s="184"/>
      <c r="AD665" s="51" t="str">
        <f>IF(F665="","",+F665&amp;K665)</f>
        <v>3SNMLBMNGTBF50</v>
      </c>
      <c r="AE665" s="52">
        <f>+M665*N665*O665/1000</f>
        <v>56000</v>
      </c>
      <c r="AF665" s="41">
        <f>IF(AD665="","",VLOOKUP(AD665,原価マスタ!$A$2:$AJ$1693,13,FALSE))</f>
        <v>99</v>
      </c>
      <c r="AG665" s="45">
        <f>IF(AF665="","",+AE665*AF665/100)</f>
        <v>55440</v>
      </c>
      <c r="AH665" s="28"/>
      <c r="AI665" s="28"/>
      <c r="AJ665" s="28"/>
      <c r="AK665" s="28"/>
      <c r="AL665" s="12"/>
      <c r="AM665" s="12"/>
      <c r="AN665" s="12"/>
      <c r="AO665" s="12"/>
      <c r="AP665" s="12"/>
      <c r="AQ665" s="13"/>
      <c r="AR665" s="14"/>
    </row>
    <row r="666" spans="1:44" s="16" customFormat="1" ht="30.95" hidden="1" customHeight="1" x14ac:dyDescent="0.2">
      <c r="A666" s="35"/>
      <c r="B666" s="36"/>
      <c r="C666" s="43"/>
      <c r="D666" s="29"/>
      <c r="E666" s="29"/>
      <c r="F666" s="255"/>
      <c r="G666" s="256"/>
      <c r="H666" s="256"/>
      <c r="I666" s="200"/>
      <c r="J666" s="30"/>
      <c r="K666" s="200"/>
      <c r="L666" s="200"/>
      <c r="M666" s="37"/>
      <c r="N666" s="37"/>
      <c r="O666" s="45"/>
      <c r="P666" s="54"/>
      <c r="Q666" s="260"/>
      <c r="R666" s="261"/>
      <c r="S666" s="261"/>
      <c r="T666" s="38"/>
      <c r="U666" s="261"/>
      <c r="V666" s="256"/>
      <c r="W666" s="256"/>
      <c r="X666" s="256"/>
      <c r="Y666" s="256"/>
      <c r="Z666" s="54"/>
      <c r="AA666" s="200"/>
      <c r="AB666" s="31"/>
      <c r="AC666" s="184"/>
      <c r="AD666" s="51"/>
      <c r="AE666" s="52"/>
      <c r="AF666" s="41"/>
      <c r="AG666" s="45"/>
      <c r="AH666" s="28"/>
      <c r="AI666" s="28"/>
      <c r="AJ666" s="28"/>
      <c r="AK666" s="28"/>
      <c r="AL666" s="12"/>
      <c r="AM666" s="12"/>
      <c r="AN666" s="12"/>
      <c r="AO666" s="12"/>
      <c r="AP666" s="12"/>
      <c r="AQ666" s="13"/>
      <c r="AR666" s="14"/>
    </row>
    <row r="667" spans="1:44" s="16" customFormat="1" ht="30.95" hidden="1" customHeight="1" x14ac:dyDescent="0.2">
      <c r="A667" s="35" t="s">
        <v>538</v>
      </c>
      <c r="B667" s="36" t="s">
        <v>442</v>
      </c>
      <c r="C667" s="43"/>
      <c r="D667" s="29">
        <v>3721214</v>
      </c>
      <c r="E667" s="29">
        <v>4151433</v>
      </c>
      <c r="F667" s="255" t="str">
        <f>IF(D667="","",VLOOKUP(D667,契約台帳!$A$3:$K$4986,6,FALSE)&amp;VLOOKUP(D667,契約台帳!$A$3:$K$4986,7,FALSE)&amp;VLOOKUP(D667,契約台帳!$A$3:$K$4986,8,FALSE)&amp;VLOOKUP(D667,契約台帳!$A$3:$K$4986,9,FALSE)&amp;VLOOKUP(D667,契約台帳!$A$3:$K$4986,11,FALSE))</f>
        <v>3SNMLBMNGTBF</v>
      </c>
      <c r="G667" s="256" t="str">
        <f>IF(D667="","",VLOOKUP(F667,製品マスタ!$G$5:$H$4999,2,FALSE))</f>
        <v>S</v>
      </c>
      <c r="H667" s="256" t="str">
        <f>IF(D667="","",VLOOKUP(F667,製品マスタ!$G$5:$K$4999,5,FALSE))</f>
        <v>MNGTBF</v>
      </c>
      <c r="I667" s="200" t="str">
        <f>IF(D667="","",VLOOKUP(F667,製品マスタ!$G$5:$L$4999,6,FALSE))</f>
        <v>メタルミー　ネーマー　銀艶　Ｂ</v>
      </c>
      <c r="J667" s="30" t="s">
        <v>447</v>
      </c>
      <c r="K667" s="200">
        <f>IF(D667="","",VLOOKUP(D667,契約台帳!$A$3:$L$4986,12,FALSE))</f>
        <v>50</v>
      </c>
      <c r="L667" s="200" t="str">
        <f>IF(D667="","",INDEX(製品マスタ!$Q$5:$Q$4999,MATCH(F667&amp;K667,製品マスタ!$AO$5:$AO$4999,0)))</f>
        <v>T62</v>
      </c>
      <c r="M667" s="37">
        <v>1120</v>
      </c>
      <c r="N667" s="37">
        <v>10000</v>
      </c>
      <c r="O667" s="45">
        <v>1</v>
      </c>
      <c r="P667" s="54"/>
      <c r="Q667" s="260">
        <f>IF(D667="","",IF(J667="リード付け",M667,VLOOKUP(D667,契約台帳!$A$3:$N$4986,14,FALSE)))</f>
        <v>1120</v>
      </c>
      <c r="R667" s="261">
        <f>IF(D667="","",IF(J667="リード付け",M667,VLOOKUP(D667,契約台帳!$A$3:$O$4986,15,FALSE)))</f>
        <v>1120</v>
      </c>
      <c r="S667" s="261">
        <f>IF(D667="","",IF(J667="リード付け",N667,VLOOKUP(D667,契約台帳!$A$3:$P$4986,16,FALSE)))</f>
        <v>5000</v>
      </c>
      <c r="T667" s="38">
        <v>1</v>
      </c>
      <c r="U667" s="261" t="str">
        <f ca="1">IF(D667="","",IF(OFFSET(D667,-2,0)=D667,"",VLOOKUP(D667,契約台帳!$A$3:$R$4986,18,FALSE)))</f>
        <v/>
      </c>
      <c r="V667" s="256" t="str">
        <f>IF(J667="巻返し",VLOOKUP(F667&amp;K667&amp;M667,製品マスタ!$M$5:$AD$4999,18,FALSE),IF(J667="リード付け","原反コア",IF(J667="スリット",VLOOKUP(F667&amp;K667&amp;Q667,製品マスタ!$N$5:$AD$4999,17,FALSE),"")))</f>
        <v>6ｲﾝﾁSｺｱ</v>
      </c>
      <c r="W667" s="256">
        <f>IF(J667="巻返し",VLOOKUP(F667&amp;K667&amp;M667,製品マスタ!$M$5:$AE$4999,19,FALSE),IF(J667="リード付け","-",IF(J667="スリット",VLOOKUP(F667&amp;K667&amp;Q667,製品マスタ!$N$5:$AE$4999,18,FALSE),"")))</f>
        <v>1125</v>
      </c>
      <c r="X667" s="256">
        <f>IF(D667="","",VLOOKUP(D667,契約台帳!$A$3:$Q$4986,17,FALSE))</f>
        <v>2</v>
      </c>
      <c r="Y667" s="256" t="str">
        <f>IF(D667="","",VLOOKUP(D667,契約台帳!$A$3:$E$4986,5,FALSE))</f>
        <v>リンテック㈱</v>
      </c>
      <c r="Z667" s="54">
        <v>45156</v>
      </c>
      <c r="AA667" s="200" t="str">
        <f>IFERROR(VLOOKUP(F667&amp;K667&amp;M667,製品マスタ!$M$5:$AM$4999,27,FALSE),"")</f>
        <v>原反ケース再利用</v>
      </c>
      <c r="AB667" s="31"/>
      <c r="AC667" s="184"/>
      <c r="AD667" s="51" t="str">
        <f>IF(F667="","",+F667&amp;K667)</f>
        <v>3SNMLBMNGTBF50</v>
      </c>
      <c r="AE667" s="52">
        <f>+M667*N667*O667/1000</f>
        <v>11200</v>
      </c>
      <c r="AF667" s="41">
        <f>IF(AD667="","",VLOOKUP(AD667,原価マスタ!$A$2:$AJ$1693,13,FALSE))</f>
        <v>99</v>
      </c>
      <c r="AG667" s="45">
        <f>IF(AF667="","",+AE667*AF667/100)</f>
        <v>11088</v>
      </c>
      <c r="AH667" s="28"/>
      <c r="AI667" s="28"/>
      <c r="AJ667" s="28"/>
      <c r="AK667" s="28"/>
      <c r="AL667" s="12"/>
      <c r="AM667" s="12"/>
      <c r="AN667" s="12"/>
      <c r="AO667" s="12"/>
      <c r="AP667" s="12"/>
      <c r="AQ667" s="13"/>
      <c r="AR667" s="14"/>
    </row>
    <row r="668" spans="1:44" s="16" customFormat="1" ht="30.95" hidden="1" customHeight="1" x14ac:dyDescent="0.2">
      <c r="A668" s="35"/>
      <c r="B668" s="36"/>
      <c r="C668" s="43"/>
      <c r="D668" s="29">
        <v>3721215</v>
      </c>
      <c r="E668" s="29"/>
      <c r="F668" s="255" t="str">
        <f>IF(D668="","",VLOOKUP(D668,契約台帳!$A$3:$K$4986,6,FALSE)&amp;VLOOKUP(D668,契約台帳!$A$3:$K$4986,7,FALSE)&amp;VLOOKUP(D668,契約台帳!$A$3:$K$4986,8,FALSE)&amp;VLOOKUP(D668,契約台帳!$A$3:$K$4986,9,FALSE)&amp;VLOOKUP(D668,契約台帳!$A$3:$K$4986,11,FALSE))</f>
        <v>3SNMLBMNGTBF</v>
      </c>
      <c r="G668" s="256" t="str">
        <f>IF(D668="","",VLOOKUP(F668,製品マスタ!$G$5:$H$4999,2,FALSE))</f>
        <v>S</v>
      </c>
      <c r="H668" s="256" t="str">
        <f>IF(D668="","",VLOOKUP(F668,製品マスタ!$G$5:$K$4999,5,FALSE))</f>
        <v>MNGTBF</v>
      </c>
      <c r="I668" s="200" t="str">
        <f>IF(D668="","",VLOOKUP(F668,製品マスタ!$G$5:$L$4999,6,FALSE))</f>
        <v>メタルミー　ネーマー　銀艶　Ｂ</v>
      </c>
      <c r="J668" s="30" t="s">
        <v>447</v>
      </c>
      <c r="K668" s="200">
        <f>IF(D668="","",VLOOKUP(D668,契約台帳!$A$3:$L$4986,12,FALSE))</f>
        <v>50</v>
      </c>
      <c r="L668" s="200" t="str">
        <f>IF(D668="","",INDEX(製品マスタ!$Q$5:$Q$4999,MATCH(F668&amp;K668,製品マスタ!$AO$5:$AO$4999,0)))</f>
        <v>T62</v>
      </c>
      <c r="M668" s="37">
        <v>1120</v>
      </c>
      <c r="N668" s="37"/>
      <c r="O668" s="45"/>
      <c r="P668" s="54"/>
      <c r="Q668" s="260">
        <f>IF(D668="","",IF(J668="リード付け",M668,VLOOKUP(D668,契約台帳!$A$3:$N$4986,14,FALSE)))</f>
        <v>1120</v>
      </c>
      <c r="R668" s="261">
        <f>IF(D668="","",IF(J668="リード付け",M668,VLOOKUP(D668,契約台帳!$A$3:$O$4986,15,FALSE)))</f>
        <v>1120</v>
      </c>
      <c r="S668" s="261">
        <f>IF(D668="","",IF(J668="リード付け",N668,VLOOKUP(D668,契約台帳!$A$3:$P$4986,16,FALSE)))</f>
        <v>5000</v>
      </c>
      <c r="T668" s="38">
        <v>1</v>
      </c>
      <c r="U668" s="261">
        <f ca="1">IF(D668="","",IF(OFFSET(D668,-2,0)=D668,"",VLOOKUP(D668,契約台帳!$A$3:$R$4986,18,FALSE)))</f>
        <v>13</v>
      </c>
      <c r="V668" s="256" t="str">
        <f>IF(J668="巻返し",VLOOKUP(F668&amp;K668&amp;M668,製品マスタ!$M$5:$AD$4999,18,FALSE),IF(J668="リード付け","原反コア",IF(J668="スリット",VLOOKUP(F668&amp;K668&amp;Q668,製品マスタ!$N$5:$AD$4999,17,FALSE),"")))</f>
        <v>6ｲﾝﾁSｺｱ</v>
      </c>
      <c r="W668" s="256">
        <f>IF(J668="巻返し",VLOOKUP(F668&amp;K668&amp;M668,製品マスタ!$M$5:$AE$4999,19,FALSE),IF(J668="リード付け","-",IF(J668="スリット",VLOOKUP(F668&amp;K668&amp;Q668,製品マスタ!$N$5:$AE$4999,18,FALSE),"")))</f>
        <v>1125</v>
      </c>
      <c r="X668" s="256">
        <f>IF(D668="","",VLOOKUP(D668,契約台帳!$A$3:$Q$4986,17,FALSE))</f>
        <v>2</v>
      </c>
      <c r="Y668" s="256" t="str">
        <f>IF(D668="","",VLOOKUP(D668,契約台帳!$A$3:$E$4986,5,FALSE))</f>
        <v>リンテック㈱</v>
      </c>
      <c r="Z668" s="54"/>
      <c r="AA668" s="200" t="str">
        <f>IFERROR(VLOOKUP(F668&amp;K668&amp;M668,製品マスタ!$M$5:$AM$4999,27,FALSE),"")</f>
        <v>原反ケース再利用</v>
      </c>
      <c r="AB668" s="31"/>
      <c r="AC668" s="184"/>
      <c r="AD668" s="51"/>
      <c r="AE668" s="52"/>
      <c r="AF668" s="41"/>
      <c r="AG668" s="45" t="str">
        <f>IF(AF668="","",+AE668*AF668/100)</f>
        <v/>
      </c>
      <c r="AH668" s="28"/>
      <c r="AI668" s="28"/>
      <c r="AJ668" s="28"/>
      <c r="AK668" s="28"/>
      <c r="AL668" s="12"/>
      <c r="AM668" s="12"/>
      <c r="AN668" s="12"/>
      <c r="AO668" s="12"/>
      <c r="AP668" s="12"/>
      <c r="AQ668" s="13"/>
      <c r="AR668" s="14"/>
    </row>
    <row r="669" spans="1:44" s="16" customFormat="1" ht="30.95" hidden="1" customHeight="1" x14ac:dyDescent="0.2">
      <c r="A669" s="35"/>
      <c r="B669" s="36"/>
      <c r="C669" s="43"/>
      <c r="D669" s="29"/>
      <c r="E669" s="29"/>
      <c r="F669" s="255"/>
      <c r="G669" s="256"/>
      <c r="H669" s="256"/>
      <c r="I669" s="200"/>
      <c r="J669" s="30"/>
      <c r="K669" s="200"/>
      <c r="L669" s="200"/>
      <c r="M669" s="37"/>
      <c r="N669" s="37"/>
      <c r="O669" s="45"/>
      <c r="P669" s="54"/>
      <c r="Q669" s="260"/>
      <c r="R669" s="261"/>
      <c r="S669" s="261"/>
      <c r="T669" s="38"/>
      <c r="U669" s="261"/>
      <c r="V669" s="256"/>
      <c r="W669" s="256"/>
      <c r="X669" s="256"/>
      <c r="Y669" s="256"/>
      <c r="Z669" s="54"/>
      <c r="AA669" s="200"/>
      <c r="AB669" s="31"/>
      <c r="AC669" s="184"/>
      <c r="AD669" s="51"/>
      <c r="AE669" s="52"/>
      <c r="AF669" s="41"/>
      <c r="AG669" s="45"/>
      <c r="AH669" s="28"/>
      <c r="AI669" s="28"/>
      <c r="AJ669" s="28"/>
      <c r="AK669" s="28"/>
      <c r="AL669" s="12"/>
      <c r="AM669" s="12"/>
      <c r="AN669" s="12"/>
      <c r="AO669" s="12"/>
      <c r="AP669" s="12"/>
      <c r="AQ669" s="13"/>
      <c r="AR669" s="14"/>
    </row>
    <row r="670" spans="1:44" s="16" customFormat="1" ht="30.95" hidden="1" customHeight="1" x14ac:dyDescent="0.2">
      <c r="A670" s="35"/>
      <c r="B670" s="36"/>
      <c r="C670" s="43"/>
      <c r="D670" s="29">
        <v>3721215</v>
      </c>
      <c r="E670" s="29">
        <v>4151433</v>
      </c>
      <c r="F670" s="255" t="str">
        <f>IF(D670="","",VLOOKUP(D670,契約台帳!$A$3:$K$4986,6,FALSE)&amp;VLOOKUP(D670,契約台帳!$A$3:$K$4986,7,FALSE)&amp;VLOOKUP(D670,契約台帳!$A$3:$K$4986,8,FALSE)&amp;VLOOKUP(D670,契約台帳!$A$3:$K$4986,9,FALSE)&amp;VLOOKUP(D670,契約台帳!$A$3:$K$4986,11,FALSE))</f>
        <v>3SNMLBMNGTBF</v>
      </c>
      <c r="G670" s="256" t="str">
        <f>IF(D670="","",VLOOKUP(F670,製品マスタ!$G$5:$H$4999,2,FALSE))</f>
        <v>S</v>
      </c>
      <c r="H670" s="256" t="str">
        <f>IF(D670="","",VLOOKUP(F670,製品マスタ!$G$5:$K$4999,5,FALSE))</f>
        <v>MNGTBF</v>
      </c>
      <c r="I670" s="200" t="str">
        <f>IF(D670="","",VLOOKUP(F670,製品マスタ!$G$5:$L$4999,6,FALSE))</f>
        <v>メタルミー　ネーマー　銀艶　Ｂ</v>
      </c>
      <c r="J670" s="30" t="s">
        <v>447</v>
      </c>
      <c r="K670" s="200">
        <f>IF(D670="","",VLOOKUP(D670,契約台帳!$A$3:$L$4986,12,FALSE))</f>
        <v>50</v>
      </c>
      <c r="L670" s="200" t="str">
        <f>IF(D670="","",INDEX(製品マスタ!$Q$5:$Q$4999,MATCH(F670&amp;K670,製品マスタ!$AO$5:$AO$4999,0)))</f>
        <v>T62</v>
      </c>
      <c r="M670" s="37">
        <v>1120</v>
      </c>
      <c r="N670" s="37">
        <v>10000</v>
      </c>
      <c r="O670" s="45">
        <v>4</v>
      </c>
      <c r="P670" s="54"/>
      <c r="Q670" s="260">
        <f>IF(D670="","",IF(J670="リード付け",M670,VLOOKUP(D670,契約台帳!$A$3:$N$4986,14,FALSE)))</f>
        <v>1120</v>
      </c>
      <c r="R670" s="261">
        <f>IF(D670="","",IF(J670="リード付け",M670,VLOOKUP(D670,契約台帳!$A$3:$O$4986,15,FALSE)))</f>
        <v>1120</v>
      </c>
      <c r="S670" s="261">
        <f>IF(D670="","",IF(J670="リード付け",N670,VLOOKUP(D670,契約台帳!$A$3:$P$4986,16,FALSE)))</f>
        <v>5000</v>
      </c>
      <c r="T670" s="38">
        <v>8</v>
      </c>
      <c r="U670" s="261" t="str">
        <f ca="1">IF(D670="","",IF(OFFSET(D670,-2,0)=D670,"",VLOOKUP(D670,契約台帳!$A$3:$R$4986,18,FALSE)))</f>
        <v/>
      </c>
      <c r="V670" s="256" t="str">
        <f>IF(J670="巻返し",VLOOKUP(F670&amp;K670&amp;M670,製品マスタ!$M$5:$AD$4999,18,FALSE),IF(J670="リード付け","原反コア",IF(J670="スリット",VLOOKUP(F670&amp;K670&amp;Q670,製品マスタ!$N$5:$AD$4999,17,FALSE),"")))</f>
        <v>6ｲﾝﾁSｺｱ</v>
      </c>
      <c r="W670" s="256">
        <f>IF(J670="巻返し",VLOOKUP(F670&amp;K670&amp;M670,製品マスタ!$M$5:$AE$4999,19,FALSE),IF(J670="リード付け","-",IF(J670="スリット",VLOOKUP(F670&amp;K670&amp;Q670,製品マスタ!$N$5:$AE$4999,18,FALSE),"")))</f>
        <v>1125</v>
      </c>
      <c r="X670" s="256">
        <f>IF(D670="","",VLOOKUP(D670,契約台帳!$A$3:$Q$4986,17,FALSE))</f>
        <v>2</v>
      </c>
      <c r="Y670" s="256" t="str">
        <f>IF(D670="","",VLOOKUP(D670,契約台帳!$A$3:$E$4986,5,FALSE))</f>
        <v>リンテック㈱</v>
      </c>
      <c r="Z670" s="54">
        <v>45156</v>
      </c>
      <c r="AA670" s="200" t="str">
        <f>IFERROR(VLOOKUP(F670&amp;K670&amp;M670,製品マスタ!$M$5:$AM$4999,27,FALSE),"")</f>
        <v>原反ケース再利用</v>
      </c>
      <c r="AB670" s="31"/>
      <c r="AC670" s="184"/>
      <c r="AD670" s="51" t="str">
        <f>IF(F670="","",+F670&amp;K670)</f>
        <v>3SNMLBMNGTBF50</v>
      </c>
      <c r="AE670" s="52">
        <f>+M670*N670*O670/1000</f>
        <v>44800</v>
      </c>
      <c r="AF670" s="41">
        <f>IF(AD670="","",VLOOKUP(AD670,原価マスタ!$A$2:$AJ$1693,13,FALSE))</f>
        <v>99</v>
      </c>
      <c r="AG670" s="45">
        <f>IF(AF670="","",+AE670*AF670/100)</f>
        <v>44352</v>
      </c>
      <c r="AH670" s="28"/>
      <c r="AI670" s="28"/>
      <c r="AJ670" s="28"/>
      <c r="AK670" s="28"/>
      <c r="AL670" s="12"/>
      <c r="AM670" s="12"/>
      <c r="AN670" s="12"/>
      <c r="AO670" s="12"/>
      <c r="AP670" s="12"/>
      <c r="AQ670" s="13"/>
      <c r="AR670" s="14"/>
    </row>
    <row r="671" spans="1:44" s="16" customFormat="1" ht="30.95" hidden="1" customHeight="1" x14ac:dyDescent="0.2">
      <c r="A671" s="35"/>
      <c r="B671" s="36"/>
      <c r="C671" s="43"/>
      <c r="D671" s="29"/>
      <c r="E671" s="29"/>
      <c r="F671" s="255"/>
      <c r="G671" s="256"/>
      <c r="H671" s="256"/>
      <c r="I671" s="200"/>
      <c r="J671" s="30"/>
      <c r="K671" s="200"/>
      <c r="L671" s="200"/>
      <c r="M671" s="37"/>
      <c r="N671" s="37"/>
      <c r="O671" s="45"/>
      <c r="P671" s="54"/>
      <c r="Q671" s="260"/>
      <c r="R671" s="261"/>
      <c r="S671" s="261"/>
      <c r="T671" s="38"/>
      <c r="U671" s="261"/>
      <c r="V671" s="256"/>
      <c r="W671" s="256"/>
      <c r="X671" s="256"/>
      <c r="Y671" s="256"/>
      <c r="Z671" s="54"/>
      <c r="AA671" s="200"/>
      <c r="AB671" s="31"/>
      <c r="AC671" s="184"/>
      <c r="AD671" s="51"/>
      <c r="AE671" s="52"/>
      <c r="AF671" s="41"/>
      <c r="AG671" s="45"/>
      <c r="AH671" s="28"/>
      <c r="AI671" s="28"/>
      <c r="AJ671" s="28"/>
      <c r="AK671" s="28"/>
      <c r="AL671" s="12"/>
      <c r="AM671" s="12"/>
      <c r="AN671" s="12"/>
      <c r="AO671" s="12"/>
      <c r="AP671" s="12"/>
      <c r="AQ671" s="13"/>
      <c r="AR671" s="14"/>
    </row>
    <row r="672" spans="1:44" s="16" customFormat="1" ht="30.95" hidden="1" customHeight="1" x14ac:dyDescent="0.2">
      <c r="A672" s="35" t="s">
        <v>1392</v>
      </c>
      <c r="B672" s="36" t="s">
        <v>1393</v>
      </c>
      <c r="C672" s="43"/>
      <c r="D672" s="29">
        <v>3721215</v>
      </c>
      <c r="E672" s="29">
        <v>4151433</v>
      </c>
      <c r="F672" s="255" t="str">
        <f>IF(D672="","",VLOOKUP(D672,契約台帳!$A$3:$K$4986,6,FALSE)&amp;VLOOKUP(D672,契約台帳!$A$3:$K$4986,7,FALSE)&amp;VLOOKUP(D672,契約台帳!$A$3:$K$4986,8,FALSE)&amp;VLOOKUP(D672,契約台帳!$A$3:$K$4986,9,FALSE)&amp;VLOOKUP(D672,契約台帳!$A$3:$K$4986,11,FALSE))</f>
        <v>3SNMLBMNGTBF</v>
      </c>
      <c r="G672" s="256" t="str">
        <f>IF(D672="","",VLOOKUP(F672,製品マスタ!$G$5:$H$4999,2,FALSE))</f>
        <v>S</v>
      </c>
      <c r="H672" s="256" t="str">
        <f>IF(D672="","",VLOOKUP(F672,製品マスタ!$G$5:$K$4999,5,FALSE))</f>
        <v>MNGTBF</v>
      </c>
      <c r="I672" s="200" t="str">
        <f>IF(D672="","",VLOOKUP(F672,製品マスタ!$G$5:$L$4999,6,FALSE))</f>
        <v>メタルミー　ネーマー　銀艶　Ｂ</v>
      </c>
      <c r="J672" s="30" t="s">
        <v>447</v>
      </c>
      <c r="K672" s="200">
        <f>IF(D672="","",VLOOKUP(D672,契約台帳!$A$3:$L$4986,12,FALSE))</f>
        <v>50</v>
      </c>
      <c r="L672" s="200" t="str">
        <f>IF(D672="","",INDEX(製品マスタ!$Q$5:$Q$4999,MATCH(F672&amp;K672,製品マスタ!$AO$5:$AO$4999,0)))</f>
        <v>T62</v>
      </c>
      <c r="M672" s="37">
        <v>1120</v>
      </c>
      <c r="N672" s="37">
        <v>10000</v>
      </c>
      <c r="O672" s="45">
        <v>2</v>
      </c>
      <c r="P672" s="54"/>
      <c r="Q672" s="260">
        <f>IF(D672="","",IF(J672="リード付け",M672,VLOOKUP(D672,契約台帳!$A$3:$N$4986,14,FALSE)))</f>
        <v>1120</v>
      </c>
      <c r="R672" s="261">
        <f>IF(D672="","",IF(J672="リード付け",M672,VLOOKUP(D672,契約台帳!$A$3:$O$4986,15,FALSE)))</f>
        <v>1120</v>
      </c>
      <c r="S672" s="261">
        <f>IF(D672="","",IF(J672="リード付け",N672,VLOOKUP(D672,契約台帳!$A$3:$P$4986,16,FALSE)))</f>
        <v>5000</v>
      </c>
      <c r="T672" s="38">
        <v>4</v>
      </c>
      <c r="U672" s="261" t="str">
        <f ca="1">IF(D672="","",IF(OFFSET(D672,-2,0)=D672,"",VLOOKUP(D672,契約台帳!$A$3:$R$4986,18,FALSE)))</f>
        <v/>
      </c>
      <c r="V672" s="256" t="str">
        <f>IF(J672="巻返し",VLOOKUP(F672&amp;K672&amp;M672,製品マスタ!$M$5:$AD$4999,18,FALSE),IF(J672="リード付け","原反コア",IF(J672="スリット",VLOOKUP(F672&amp;K672&amp;Q672,製品マスタ!$N$5:$AD$4999,17,FALSE),"")))</f>
        <v>6ｲﾝﾁSｺｱ</v>
      </c>
      <c r="W672" s="256">
        <f>IF(J672="巻返し",VLOOKUP(F672&amp;K672&amp;M672,製品マスタ!$M$5:$AE$4999,19,FALSE),IF(J672="リード付け","-",IF(J672="スリット",VLOOKUP(F672&amp;K672&amp;Q672,製品マスタ!$N$5:$AE$4999,18,FALSE),"")))</f>
        <v>1125</v>
      </c>
      <c r="X672" s="256">
        <f>IF(D672="","",VLOOKUP(D672,契約台帳!$A$3:$Q$4986,17,FALSE))</f>
        <v>2</v>
      </c>
      <c r="Y672" s="256" t="str">
        <f>IF(D672="","",VLOOKUP(D672,契約台帳!$A$3:$E$4986,5,FALSE))</f>
        <v>リンテック㈱</v>
      </c>
      <c r="Z672" s="54">
        <v>45156</v>
      </c>
      <c r="AA672" s="200" t="str">
        <f>IFERROR(VLOOKUP(F672&amp;K672&amp;M672,製品マスタ!$M$5:$AM$4999,27,FALSE),"")</f>
        <v>原反ケース再利用</v>
      </c>
      <c r="AB672" s="31"/>
      <c r="AC672" s="184"/>
      <c r="AD672" s="51" t="str">
        <f>IF(F672="","",+F672&amp;K672)</f>
        <v>3SNMLBMNGTBF50</v>
      </c>
      <c r="AE672" s="52">
        <f>+M672*N672*O672/1000</f>
        <v>22400</v>
      </c>
      <c r="AF672" s="41">
        <f>IF(AD672="","",VLOOKUP(AD672,原価マスタ!$A$2:$AJ$1693,13,FALSE))</f>
        <v>99</v>
      </c>
      <c r="AG672" s="45">
        <f>IF(AF672="","",+AE672*AF672/100)</f>
        <v>22176</v>
      </c>
      <c r="AH672" s="28"/>
      <c r="AI672" s="28"/>
      <c r="AJ672" s="28"/>
      <c r="AK672" s="28"/>
      <c r="AL672" s="12"/>
      <c r="AM672" s="12"/>
      <c r="AN672" s="12"/>
      <c r="AO672" s="12"/>
      <c r="AP672" s="12"/>
      <c r="AQ672" s="13"/>
      <c r="AR672" s="14"/>
    </row>
    <row r="673" spans="1:44" s="16" customFormat="1" ht="30.95" hidden="1" customHeight="1" x14ac:dyDescent="0.2">
      <c r="A673" s="35"/>
      <c r="B673" s="36"/>
      <c r="C673" s="43"/>
      <c r="D673" s="29"/>
      <c r="E673" s="29"/>
      <c r="F673" s="255"/>
      <c r="G673" s="256"/>
      <c r="H673" s="256"/>
      <c r="I673" s="200"/>
      <c r="J673" s="30"/>
      <c r="K673" s="200"/>
      <c r="L673" s="200"/>
      <c r="M673" s="37"/>
      <c r="N673" s="37"/>
      <c r="O673" s="45"/>
      <c r="P673" s="54"/>
      <c r="Q673" s="260"/>
      <c r="R673" s="261"/>
      <c r="S673" s="261"/>
      <c r="T673" s="38"/>
      <c r="U673" s="261"/>
      <c r="V673" s="256"/>
      <c r="W673" s="256"/>
      <c r="X673" s="256"/>
      <c r="Y673" s="256"/>
      <c r="Z673" s="54"/>
      <c r="AA673" s="200"/>
      <c r="AB673" s="31"/>
      <c r="AC673" s="184"/>
      <c r="AD673" s="51"/>
      <c r="AE673" s="52"/>
      <c r="AF673" s="41"/>
      <c r="AG673" s="45"/>
      <c r="AH673" s="28"/>
      <c r="AI673" s="28"/>
      <c r="AJ673" s="28"/>
      <c r="AK673" s="28"/>
      <c r="AL673" s="12"/>
      <c r="AM673" s="12"/>
      <c r="AN673" s="12"/>
      <c r="AO673" s="12"/>
      <c r="AP673" s="12"/>
      <c r="AQ673" s="13"/>
      <c r="AR673" s="14"/>
    </row>
    <row r="674" spans="1:44" s="16" customFormat="1" ht="30.95" hidden="1" customHeight="1" x14ac:dyDescent="0.2">
      <c r="A674" s="35"/>
      <c r="B674" s="36"/>
      <c r="C674" s="43"/>
      <c r="D674" s="29">
        <v>3721216</v>
      </c>
      <c r="E674" s="29">
        <v>4151434</v>
      </c>
      <c r="F674" s="255" t="str">
        <f>IF(D674="","",VLOOKUP(D674,契約台帳!$A$3:$K$4986,6,FALSE)&amp;VLOOKUP(D674,契約台帳!$A$3:$K$4986,7,FALSE)&amp;VLOOKUP(D674,契約台帳!$A$3:$K$4986,8,FALSE)&amp;VLOOKUP(D674,契約台帳!$A$3:$K$4986,9,FALSE)&amp;VLOOKUP(D674,契約台帳!$A$3:$K$4986,11,FALSE))</f>
        <v>3SNMLBMNGTBF</v>
      </c>
      <c r="G674" s="256" t="str">
        <f>IF(D674="","",VLOOKUP(F674,製品マスタ!$G$5:$H$4999,2,FALSE))</f>
        <v>S</v>
      </c>
      <c r="H674" s="256" t="str">
        <f>IF(D674="","",VLOOKUP(F674,製品マスタ!$G$5:$K$4999,5,FALSE))</f>
        <v>MNGTBF</v>
      </c>
      <c r="I674" s="200" t="str">
        <f>IF(D674="","",VLOOKUP(F674,製品マスタ!$G$5:$L$4999,6,FALSE))</f>
        <v>メタルミー　ネーマー　銀艶　Ｂ</v>
      </c>
      <c r="J674" s="30" t="s">
        <v>447</v>
      </c>
      <c r="K674" s="200">
        <f>IF(D674="","",VLOOKUP(D674,契約台帳!$A$3:$L$4986,12,FALSE))</f>
        <v>50</v>
      </c>
      <c r="L674" s="200" t="str">
        <f>IF(D674="","",INDEX(製品マスタ!$Q$5:$Q$4999,MATCH(F674&amp;K674,製品マスタ!$AO$5:$AO$4999,0)))</f>
        <v>T62</v>
      </c>
      <c r="M674" s="37">
        <v>1120</v>
      </c>
      <c r="N674" s="37">
        <v>10000</v>
      </c>
      <c r="O674" s="45">
        <v>3</v>
      </c>
      <c r="P674" s="54"/>
      <c r="Q674" s="260">
        <f>IF(D674="","",IF(J674="リード付け",M674,VLOOKUP(D674,契約台帳!$A$3:$N$4986,14,FALSE)))</f>
        <v>1120</v>
      </c>
      <c r="R674" s="261">
        <f>IF(D674="","",IF(J674="リード付け",M674,VLOOKUP(D674,契約台帳!$A$3:$O$4986,15,FALSE)))</f>
        <v>1120</v>
      </c>
      <c r="S674" s="261">
        <f>IF(D674="","",IF(J674="リード付け",N674,VLOOKUP(D674,契約台帳!$A$3:$P$4986,16,FALSE)))</f>
        <v>5000</v>
      </c>
      <c r="T674" s="38">
        <v>6</v>
      </c>
      <c r="U674" s="261">
        <f ca="1">IF(D674="","",IF(OFFSET(D674,-2,0)=D674,"",VLOOKUP(D674,契約台帳!$A$3:$R$4986,18,FALSE)))</f>
        <v>25</v>
      </c>
      <c r="V674" s="256" t="str">
        <f>IF(J674="巻返し",VLOOKUP(F674&amp;K674&amp;M674,製品マスタ!$M$5:$AD$4999,18,FALSE),IF(J674="リード付け","原反コア",IF(J674="スリット",VLOOKUP(F674&amp;K674&amp;Q674,製品マスタ!$N$5:$AD$4999,17,FALSE),"")))</f>
        <v>6ｲﾝﾁSｺｱ</v>
      </c>
      <c r="W674" s="256">
        <f>IF(J674="巻返し",VLOOKUP(F674&amp;K674&amp;M674,製品マスタ!$M$5:$AE$4999,19,FALSE),IF(J674="リード付け","-",IF(J674="スリット",VLOOKUP(F674&amp;K674&amp;Q674,製品マスタ!$N$5:$AE$4999,18,FALSE),"")))</f>
        <v>1125</v>
      </c>
      <c r="X674" s="256">
        <f>IF(D674="","",VLOOKUP(D674,契約台帳!$A$3:$Q$4986,17,FALSE))</f>
        <v>2</v>
      </c>
      <c r="Y674" s="256" t="str">
        <f>IF(D674="","",VLOOKUP(D674,契約台帳!$A$3:$E$4986,5,FALSE))</f>
        <v>リンテック㈱</v>
      </c>
      <c r="Z674" s="54">
        <v>45156</v>
      </c>
      <c r="AA674" s="200" t="str">
        <f>IFERROR(VLOOKUP(F674&amp;K674&amp;M674,製品マスタ!$M$5:$AM$4999,27,FALSE),"")</f>
        <v>原反ケース再利用</v>
      </c>
      <c r="AB674" s="31"/>
      <c r="AC674" s="184"/>
      <c r="AD674" s="51" t="str">
        <f>IF(F674="","",+F674&amp;K674)</f>
        <v>3SNMLBMNGTBF50</v>
      </c>
      <c r="AE674" s="52">
        <f>+M674*N674*O674/1000</f>
        <v>33600</v>
      </c>
      <c r="AF674" s="41">
        <f>IF(AD674="","",VLOOKUP(AD674,原価マスタ!$A$2:$AJ$1693,13,FALSE))</f>
        <v>99</v>
      </c>
      <c r="AG674" s="45">
        <f>IF(AF674="","",+AE674*AF674/100)</f>
        <v>33264</v>
      </c>
      <c r="AH674" s="28"/>
      <c r="AI674" s="28"/>
      <c r="AJ674" s="28"/>
      <c r="AK674" s="28"/>
      <c r="AL674" s="12"/>
      <c r="AM674" s="12"/>
      <c r="AN674" s="12"/>
      <c r="AO674" s="12"/>
      <c r="AP674" s="12"/>
      <c r="AQ674" s="13"/>
      <c r="AR674" s="14"/>
    </row>
    <row r="675" spans="1:44" s="16" customFormat="1" ht="30.95" hidden="1" customHeight="1" x14ac:dyDescent="0.2">
      <c r="A675" s="35"/>
      <c r="B675" s="36"/>
      <c r="C675" s="43"/>
      <c r="D675" s="29"/>
      <c r="E675" s="29"/>
      <c r="F675" s="255"/>
      <c r="G675" s="256"/>
      <c r="H675" s="256"/>
      <c r="I675" s="200"/>
      <c r="J675" s="30"/>
      <c r="K675" s="200"/>
      <c r="L675" s="200"/>
      <c r="M675" s="37"/>
      <c r="N675" s="37"/>
      <c r="O675" s="45"/>
      <c r="P675" s="54"/>
      <c r="Q675" s="260"/>
      <c r="R675" s="261"/>
      <c r="S675" s="261"/>
      <c r="T675" s="38"/>
      <c r="U675" s="261"/>
      <c r="V675" s="256"/>
      <c r="W675" s="256"/>
      <c r="X675" s="256"/>
      <c r="Y675" s="256"/>
      <c r="Z675" s="54"/>
      <c r="AA675" s="200"/>
      <c r="AB675" s="31"/>
      <c r="AC675" s="184"/>
      <c r="AD675" s="51"/>
      <c r="AE675" s="52"/>
      <c r="AF675" s="41"/>
      <c r="AG675" s="45"/>
      <c r="AH675" s="28"/>
      <c r="AI675" s="28"/>
      <c r="AJ675" s="28"/>
      <c r="AK675" s="28"/>
      <c r="AL675" s="12"/>
      <c r="AM675" s="12"/>
      <c r="AN675" s="12"/>
      <c r="AO675" s="12"/>
      <c r="AP675" s="12"/>
      <c r="AQ675" s="13"/>
      <c r="AR675" s="14"/>
    </row>
    <row r="676" spans="1:44" s="16" customFormat="1" ht="30.95" hidden="1" customHeight="1" x14ac:dyDescent="0.2">
      <c r="A676" s="35" t="s">
        <v>1372</v>
      </c>
      <c r="B676" s="36" t="s">
        <v>1373</v>
      </c>
      <c r="C676" s="43"/>
      <c r="D676" s="29">
        <v>3721216</v>
      </c>
      <c r="E676" s="29">
        <v>4151434</v>
      </c>
      <c r="F676" s="255" t="str">
        <f>IF(D676="","",VLOOKUP(D676,契約台帳!$A$3:$K$4986,6,FALSE)&amp;VLOOKUP(D676,契約台帳!$A$3:$K$4986,7,FALSE)&amp;VLOOKUP(D676,契約台帳!$A$3:$K$4986,8,FALSE)&amp;VLOOKUP(D676,契約台帳!$A$3:$K$4986,9,FALSE)&amp;VLOOKUP(D676,契約台帳!$A$3:$K$4986,11,FALSE))</f>
        <v>3SNMLBMNGTBF</v>
      </c>
      <c r="G676" s="256" t="str">
        <f>IF(D676="","",VLOOKUP(F676,製品マスタ!$G$5:$H$4999,2,FALSE))</f>
        <v>S</v>
      </c>
      <c r="H676" s="256" t="str">
        <f>IF(D676="","",VLOOKUP(F676,製品マスタ!$G$5:$K$4999,5,FALSE))</f>
        <v>MNGTBF</v>
      </c>
      <c r="I676" s="200" t="str">
        <f>IF(D676="","",VLOOKUP(F676,製品マスタ!$G$5:$L$4999,6,FALSE))</f>
        <v>メタルミー　ネーマー　銀艶　Ｂ</v>
      </c>
      <c r="J676" s="30" t="s">
        <v>447</v>
      </c>
      <c r="K676" s="200">
        <f>IF(D676="","",VLOOKUP(D676,契約台帳!$A$3:$L$4986,12,FALSE))</f>
        <v>50</v>
      </c>
      <c r="L676" s="200" t="str">
        <f>IF(D676="","",INDEX(製品マスタ!$Q$5:$Q$4999,MATCH(F676&amp;K676,製品マスタ!$AO$5:$AO$4999,0)))</f>
        <v>T62</v>
      </c>
      <c r="M676" s="37">
        <v>1120</v>
      </c>
      <c r="N676" s="37">
        <v>10000</v>
      </c>
      <c r="O676" s="45">
        <v>5</v>
      </c>
      <c r="P676" s="54"/>
      <c r="Q676" s="260">
        <f>IF(D676="","",IF(J676="リード付け",M676,VLOOKUP(D676,契約台帳!$A$3:$N$4986,14,FALSE)))</f>
        <v>1120</v>
      </c>
      <c r="R676" s="261">
        <f>IF(D676="","",IF(J676="リード付け",M676,VLOOKUP(D676,契約台帳!$A$3:$O$4986,15,FALSE)))</f>
        <v>1120</v>
      </c>
      <c r="S676" s="261">
        <f>IF(D676="","",IF(J676="リード付け",N676,VLOOKUP(D676,契約台帳!$A$3:$P$4986,16,FALSE)))</f>
        <v>5000</v>
      </c>
      <c r="T676" s="38">
        <v>10</v>
      </c>
      <c r="U676" s="261" t="str">
        <f ca="1">IF(D676="","",IF(OFFSET(D676,-2,0)=D676,"",VLOOKUP(D676,契約台帳!$A$3:$R$4986,18,FALSE)))</f>
        <v/>
      </c>
      <c r="V676" s="256" t="str">
        <f>IF(J676="巻返し",VLOOKUP(F676&amp;K676&amp;M676,製品マスタ!$M$5:$AD$4999,18,FALSE),IF(J676="リード付け","原反コア",IF(J676="スリット",VLOOKUP(F676&amp;K676&amp;Q676,製品マスタ!$N$5:$AD$4999,17,FALSE),"")))</f>
        <v>6ｲﾝﾁSｺｱ</v>
      </c>
      <c r="W676" s="256">
        <f>IF(J676="巻返し",VLOOKUP(F676&amp;K676&amp;M676,製品マスタ!$M$5:$AE$4999,19,FALSE),IF(J676="リード付け","-",IF(J676="スリット",VLOOKUP(F676&amp;K676&amp;Q676,製品マスタ!$N$5:$AE$4999,18,FALSE),"")))</f>
        <v>1125</v>
      </c>
      <c r="X676" s="256">
        <f>IF(D676="","",VLOOKUP(D676,契約台帳!$A$3:$Q$4986,17,FALSE))</f>
        <v>2</v>
      </c>
      <c r="Y676" s="256" t="str">
        <f>IF(D676="","",VLOOKUP(D676,契約台帳!$A$3:$E$4986,5,FALSE))</f>
        <v>リンテック㈱</v>
      </c>
      <c r="Z676" s="54">
        <v>45156</v>
      </c>
      <c r="AA676" s="200" t="str">
        <f>IFERROR(VLOOKUP(F676&amp;K676&amp;M676,製品マスタ!$M$5:$AM$4999,27,FALSE),"")</f>
        <v>原反ケース再利用</v>
      </c>
      <c r="AB676" s="31"/>
      <c r="AC676" s="184"/>
      <c r="AD676" s="51" t="str">
        <f>IF(F676="","",+F676&amp;K676)</f>
        <v>3SNMLBMNGTBF50</v>
      </c>
      <c r="AE676" s="52">
        <f>+M676*N676*O676/1000</f>
        <v>56000</v>
      </c>
      <c r="AF676" s="41">
        <f>IF(AD676="","",VLOOKUP(AD676,原価マスタ!$A$2:$AJ$1693,13,FALSE))</f>
        <v>99</v>
      </c>
      <c r="AG676" s="45">
        <f>IF(AF676="","",+AE676*AF676/100)</f>
        <v>55440</v>
      </c>
      <c r="AH676" s="28"/>
      <c r="AI676" s="28"/>
      <c r="AJ676" s="28"/>
      <c r="AK676" s="28"/>
      <c r="AL676" s="12"/>
      <c r="AM676" s="12"/>
      <c r="AN676" s="12"/>
      <c r="AO676" s="12"/>
      <c r="AP676" s="12"/>
      <c r="AQ676" s="13"/>
      <c r="AR676" s="14"/>
    </row>
    <row r="677" spans="1:44" s="16" customFormat="1" ht="30.95" hidden="1" customHeight="1" x14ac:dyDescent="0.2">
      <c r="A677" s="35"/>
      <c r="B677" s="36"/>
      <c r="C677" s="43"/>
      <c r="D677" s="29"/>
      <c r="E677" s="29"/>
      <c r="F677" s="255"/>
      <c r="G677" s="256"/>
      <c r="H677" s="256"/>
      <c r="I677" s="200"/>
      <c r="J677" s="30"/>
      <c r="K677" s="200"/>
      <c r="L677" s="200"/>
      <c r="M677" s="37"/>
      <c r="N677" s="37"/>
      <c r="O677" s="45"/>
      <c r="P677" s="54"/>
      <c r="Q677" s="260"/>
      <c r="R677" s="261"/>
      <c r="S677" s="261"/>
      <c r="T677" s="38"/>
      <c r="U677" s="261"/>
      <c r="V677" s="256"/>
      <c r="W677" s="256"/>
      <c r="X677" s="256"/>
      <c r="Y677" s="256"/>
      <c r="Z677" s="54"/>
      <c r="AA677" s="200"/>
      <c r="AB677" s="31"/>
      <c r="AC677" s="184"/>
      <c r="AD677" s="51"/>
      <c r="AE677" s="52"/>
      <c r="AF677" s="41"/>
      <c r="AG677" s="45"/>
      <c r="AH677" s="28"/>
      <c r="AI677" s="28"/>
      <c r="AJ677" s="28"/>
      <c r="AK677" s="28"/>
      <c r="AL677" s="12"/>
      <c r="AM677" s="12"/>
      <c r="AN677" s="12"/>
      <c r="AO677" s="12"/>
      <c r="AP677" s="12"/>
      <c r="AQ677" s="13"/>
      <c r="AR677" s="14"/>
    </row>
    <row r="678" spans="1:44" s="16" customFormat="1" ht="30.95" hidden="1" customHeight="1" x14ac:dyDescent="0.2">
      <c r="A678" s="35" t="s">
        <v>1374</v>
      </c>
      <c r="B678" s="36" t="s">
        <v>1375</v>
      </c>
      <c r="C678" s="43"/>
      <c r="D678" s="29"/>
      <c r="E678" s="29"/>
      <c r="F678" s="255"/>
      <c r="G678" s="256"/>
      <c r="H678" s="256"/>
      <c r="I678" s="200"/>
      <c r="J678" s="30" t="s">
        <v>1382</v>
      </c>
      <c r="K678" s="200"/>
      <c r="L678" s="200"/>
      <c r="M678" s="37"/>
      <c r="N678" s="37"/>
      <c r="O678" s="45"/>
      <c r="P678" s="54"/>
      <c r="Q678" s="260"/>
      <c r="R678" s="261"/>
      <c r="S678" s="261"/>
      <c r="T678" s="38"/>
      <c r="U678" s="261"/>
      <c r="V678" s="256"/>
      <c r="W678" s="256"/>
      <c r="X678" s="256"/>
      <c r="Y678" s="256"/>
      <c r="Z678" s="54"/>
      <c r="AA678" s="200"/>
      <c r="AB678" s="31"/>
      <c r="AC678" s="184"/>
      <c r="AD678" s="51"/>
      <c r="AE678" s="52"/>
      <c r="AF678" s="41"/>
      <c r="AG678" s="45"/>
      <c r="AH678" s="28"/>
      <c r="AI678" s="28"/>
      <c r="AJ678" s="28"/>
      <c r="AK678" s="28"/>
      <c r="AL678" s="12"/>
      <c r="AM678" s="12"/>
      <c r="AN678" s="12"/>
      <c r="AO678" s="12"/>
      <c r="AP678" s="12"/>
      <c r="AQ678" s="13"/>
      <c r="AR678" s="14"/>
    </row>
    <row r="679" spans="1:44" s="16" customFormat="1" ht="30.95" hidden="1" customHeight="1" x14ac:dyDescent="0.2">
      <c r="A679" s="35"/>
      <c r="B679" s="36"/>
      <c r="C679" s="43"/>
      <c r="D679" s="29"/>
      <c r="E679" s="29"/>
      <c r="F679" s="255"/>
      <c r="G679" s="256"/>
      <c r="H679" s="256"/>
      <c r="I679" s="200"/>
      <c r="J679" s="30"/>
      <c r="K679" s="200"/>
      <c r="L679" s="200"/>
      <c r="M679" s="37"/>
      <c r="N679" s="37"/>
      <c r="O679" s="45"/>
      <c r="P679" s="54"/>
      <c r="Q679" s="260"/>
      <c r="R679" s="261"/>
      <c r="S679" s="261"/>
      <c r="T679" s="38"/>
      <c r="U679" s="261"/>
      <c r="V679" s="256"/>
      <c r="W679" s="256"/>
      <c r="X679" s="256"/>
      <c r="Y679" s="256"/>
      <c r="Z679" s="54"/>
      <c r="AA679" s="200"/>
      <c r="AB679" s="31"/>
      <c r="AC679" s="184"/>
      <c r="AD679" s="51"/>
      <c r="AE679" s="52"/>
      <c r="AF679" s="41"/>
      <c r="AG679" s="45"/>
      <c r="AH679" s="28"/>
      <c r="AI679" s="28"/>
      <c r="AJ679" s="28"/>
      <c r="AK679" s="28"/>
      <c r="AL679" s="12"/>
      <c r="AM679" s="12"/>
      <c r="AN679" s="12"/>
      <c r="AO679" s="12"/>
      <c r="AP679" s="12"/>
      <c r="AQ679" s="13"/>
      <c r="AR679" s="14"/>
    </row>
    <row r="680" spans="1:44" s="16" customFormat="1" ht="30.95" hidden="1" customHeight="1" x14ac:dyDescent="0.2">
      <c r="A680" s="35" t="s">
        <v>1376</v>
      </c>
      <c r="B680" s="36" t="s">
        <v>1377</v>
      </c>
      <c r="C680" s="43"/>
      <c r="D680" s="29"/>
      <c r="E680" s="29"/>
      <c r="F680" s="255"/>
      <c r="G680" s="256"/>
      <c r="H680" s="256"/>
      <c r="I680" s="200"/>
      <c r="J680" s="30" t="s">
        <v>1382</v>
      </c>
      <c r="K680" s="200"/>
      <c r="L680" s="200"/>
      <c r="M680" s="37"/>
      <c r="N680" s="37"/>
      <c r="O680" s="45"/>
      <c r="P680" s="54"/>
      <c r="Q680" s="260"/>
      <c r="R680" s="261"/>
      <c r="S680" s="261"/>
      <c r="T680" s="38"/>
      <c r="U680" s="261"/>
      <c r="V680" s="256"/>
      <c r="W680" s="256"/>
      <c r="X680" s="256"/>
      <c r="Y680" s="256"/>
      <c r="Z680" s="54"/>
      <c r="AA680" s="200"/>
      <c r="AB680" s="31"/>
      <c r="AC680" s="184"/>
      <c r="AD680" s="51"/>
      <c r="AE680" s="52"/>
      <c r="AF680" s="41"/>
      <c r="AG680" s="45"/>
      <c r="AH680" s="28"/>
      <c r="AI680" s="28"/>
      <c r="AJ680" s="28"/>
      <c r="AK680" s="28"/>
      <c r="AL680" s="12"/>
      <c r="AM680" s="12"/>
      <c r="AN680" s="12"/>
      <c r="AO680" s="12"/>
      <c r="AP680" s="12"/>
      <c r="AQ680" s="13"/>
      <c r="AR680" s="14"/>
    </row>
    <row r="681" spans="1:44" s="16" customFormat="1" ht="30.95" hidden="1" customHeight="1" x14ac:dyDescent="0.2">
      <c r="A681" s="35"/>
      <c r="B681" s="36"/>
      <c r="C681" s="43"/>
      <c r="D681" s="29"/>
      <c r="E681" s="29"/>
      <c r="F681" s="255"/>
      <c r="G681" s="256"/>
      <c r="H681" s="256"/>
      <c r="I681" s="200"/>
      <c r="J681" s="30"/>
      <c r="K681" s="200"/>
      <c r="L681" s="200"/>
      <c r="M681" s="37"/>
      <c r="N681" s="37"/>
      <c r="O681" s="45"/>
      <c r="P681" s="54"/>
      <c r="Q681" s="260"/>
      <c r="R681" s="261"/>
      <c r="S681" s="261"/>
      <c r="T681" s="38"/>
      <c r="U681" s="261"/>
      <c r="V681" s="256"/>
      <c r="W681" s="256"/>
      <c r="X681" s="256"/>
      <c r="Y681" s="256"/>
      <c r="Z681" s="54"/>
      <c r="AA681" s="200"/>
      <c r="AB681" s="31"/>
      <c r="AC681" s="184"/>
      <c r="AD681" s="51"/>
      <c r="AE681" s="52"/>
      <c r="AF681" s="41"/>
      <c r="AG681" s="45"/>
      <c r="AH681" s="28"/>
      <c r="AI681" s="28"/>
      <c r="AJ681" s="28"/>
      <c r="AK681" s="28"/>
      <c r="AL681" s="12"/>
      <c r="AM681" s="12"/>
      <c r="AN681" s="12"/>
      <c r="AO681" s="12"/>
      <c r="AP681" s="12"/>
      <c r="AQ681" s="13"/>
      <c r="AR681" s="14"/>
    </row>
    <row r="682" spans="1:44" s="16" customFormat="1" ht="30.95" hidden="1" customHeight="1" x14ac:dyDescent="0.2">
      <c r="A682" s="35" t="s">
        <v>1378</v>
      </c>
      <c r="B682" s="36" t="s">
        <v>1369</v>
      </c>
      <c r="C682" s="43"/>
      <c r="D682" s="29"/>
      <c r="E682" s="29"/>
      <c r="F682" s="255"/>
      <c r="G682" s="256"/>
      <c r="H682" s="256"/>
      <c r="I682" s="200"/>
      <c r="J682" s="30" t="s">
        <v>1382</v>
      </c>
      <c r="K682" s="200"/>
      <c r="L682" s="200"/>
      <c r="M682" s="37"/>
      <c r="N682" s="37"/>
      <c r="O682" s="45"/>
      <c r="P682" s="54"/>
      <c r="Q682" s="260"/>
      <c r="R682" s="261"/>
      <c r="S682" s="261"/>
      <c r="T682" s="38"/>
      <c r="U682" s="261"/>
      <c r="V682" s="256"/>
      <c r="W682" s="256"/>
      <c r="X682" s="256"/>
      <c r="Y682" s="256"/>
      <c r="Z682" s="54"/>
      <c r="AA682" s="200"/>
      <c r="AB682" s="31"/>
      <c r="AC682" s="184"/>
      <c r="AD682" s="51"/>
      <c r="AE682" s="52"/>
      <c r="AF682" s="41"/>
      <c r="AG682" s="45"/>
      <c r="AH682" s="28"/>
      <c r="AI682" s="28"/>
      <c r="AJ682" s="28"/>
      <c r="AK682" s="28"/>
      <c r="AL682" s="12"/>
      <c r="AM682" s="12"/>
      <c r="AN682" s="12"/>
      <c r="AO682" s="12"/>
      <c r="AP682" s="12"/>
      <c r="AQ682" s="13"/>
      <c r="AR682" s="14"/>
    </row>
    <row r="683" spans="1:44" s="16" customFormat="1" ht="30.95" hidden="1" customHeight="1" x14ac:dyDescent="0.2">
      <c r="A683" s="35"/>
      <c r="B683" s="36"/>
      <c r="C683" s="43"/>
      <c r="D683" s="29"/>
      <c r="E683" s="29"/>
      <c r="F683" s="255"/>
      <c r="G683" s="256"/>
      <c r="H683" s="256"/>
      <c r="I683" s="200"/>
      <c r="J683" s="30"/>
      <c r="K683" s="200"/>
      <c r="L683" s="200"/>
      <c r="M683" s="37"/>
      <c r="N683" s="37"/>
      <c r="O683" s="45"/>
      <c r="P683" s="54"/>
      <c r="Q683" s="260"/>
      <c r="R683" s="261"/>
      <c r="S683" s="261"/>
      <c r="T683" s="38"/>
      <c r="U683" s="261"/>
      <c r="V683" s="256"/>
      <c r="W683" s="256"/>
      <c r="X683" s="256"/>
      <c r="Y683" s="256"/>
      <c r="Z683" s="54"/>
      <c r="AA683" s="200"/>
      <c r="AB683" s="31"/>
      <c r="AC683" s="184"/>
      <c r="AD683" s="51"/>
      <c r="AE683" s="52"/>
      <c r="AF683" s="41"/>
      <c r="AG683" s="45"/>
      <c r="AH683" s="28"/>
      <c r="AI683" s="28"/>
      <c r="AJ683" s="28"/>
      <c r="AK683" s="28"/>
      <c r="AL683" s="12"/>
      <c r="AM683" s="12"/>
      <c r="AN683" s="12"/>
      <c r="AO683" s="12"/>
      <c r="AP683" s="12"/>
      <c r="AQ683" s="13"/>
      <c r="AR683" s="14"/>
    </row>
    <row r="684" spans="1:44" s="16" customFormat="1" ht="30.95" hidden="1" customHeight="1" x14ac:dyDescent="0.2">
      <c r="A684" s="35" t="s">
        <v>1379</v>
      </c>
      <c r="B684" s="36" t="s">
        <v>1380</v>
      </c>
      <c r="C684" s="43"/>
      <c r="D684" s="29"/>
      <c r="E684" s="29"/>
      <c r="F684" s="255"/>
      <c r="G684" s="256"/>
      <c r="H684" s="256"/>
      <c r="I684" s="200"/>
      <c r="J684" s="30" t="s">
        <v>1382</v>
      </c>
      <c r="K684" s="200"/>
      <c r="L684" s="200"/>
      <c r="M684" s="37"/>
      <c r="N684" s="37"/>
      <c r="O684" s="45"/>
      <c r="P684" s="54"/>
      <c r="Q684" s="260"/>
      <c r="R684" s="261"/>
      <c r="S684" s="261"/>
      <c r="T684" s="38"/>
      <c r="U684" s="261"/>
      <c r="V684" s="256"/>
      <c r="W684" s="256"/>
      <c r="X684" s="256"/>
      <c r="Y684" s="256"/>
      <c r="Z684" s="54"/>
      <c r="AA684" s="200"/>
      <c r="AB684" s="31"/>
      <c r="AC684" s="184"/>
      <c r="AD684" s="51"/>
      <c r="AE684" s="52"/>
      <c r="AF684" s="41"/>
      <c r="AG684" s="45"/>
      <c r="AH684" s="28"/>
      <c r="AI684" s="28"/>
      <c r="AJ684" s="28"/>
      <c r="AK684" s="28"/>
      <c r="AL684" s="12"/>
      <c r="AM684" s="12"/>
      <c r="AN684" s="12"/>
      <c r="AO684" s="12"/>
      <c r="AP684" s="12"/>
      <c r="AQ684" s="13"/>
      <c r="AR684" s="14"/>
    </row>
    <row r="685" spans="1:44" s="16" customFormat="1" ht="30.95" hidden="1" customHeight="1" x14ac:dyDescent="0.2">
      <c r="A685" s="35"/>
      <c r="B685" s="36"/>
      <c r="C685" s="43"/>
      <c r="D685" s="29"/>
      <c r="E685" s="29"/>
      <c r="F685" s="255"/>
      <c r="G685" s="256"/>
      <c r="H685" s="256"/>
      <c r="I685" s="200"/>
      <c r="J685" s="30"/>
      <c r="K685" s="200"/>
      <c r="L685" s="200"/>
      <c r="M685" s="37"/>
      <c r="N685" s="37"/>
      <c r="O685" s="45"/>
      <c r="P685" s="54"/>
      <c r="Q685" s="260"/>
      <c r="R685" s="261"/>
      <c r="S685" s="261"/>
      <c r="T685" s="38"/>
      <c r="U685" s="261"/>
      <c r="V685" s="256"/>
      <c r="W685" s="256"/>
      <c r="X685" s="256"/>
      <c r="Y685" s="256"/>
      <c r="Z685" s="54"/>
      <c r="AA685" s="200"/>
      <c r="AB685" s="31"/>
      <c r="AC685" s="184"/>
      <c r="AD685" s="51"/>
      <c r="AE685" s="52"/>
      <c r="AF685" s="41"/>
      <c r="AG685" s="45"/>
      <c r="AH685" s="28"/>
      <c r="AI685" s="28"/>
      <c r="AJ685" s="28"/>
      <c r="AK685" s="28"/>
      <c r="AL685" s="12"/>
      <c r="AM685" s="12"/>
      <c r="AN685" s="12"/>
      <c r="AO685" s="12"/>
      <c r="AP685" s="12"/>
      <c r="AQ685" s="13"/>
      <c r="AR685" s="14"/>
    </row>
    <row r="686" spans="1:44" s="16" customFormat="1" ht="30.95" hidden="1" customHeight="1" x14ac:dyDescent="0.2">
      <c r="A686" s="35" t="s">
        <v>1381</v>
      </c>
      <c r="B686" s="36" t="s">
        <v>1370</v>
      </c>
      <c r="C686" s="43"/>
      <c r="D686" s="29"/>
      <c r="E686" s="29"/>
      <c r="F686" s="255"/>
      <c r="G686" s="256"/>
      <c r="H686" s="256"/>
      <c r="I686" s="200"/>
      <c r="J686" s="30" t="s">
        <v>1382</v>
      </c>
      <c r="K686" s="200"/>
      <c r="L686" s="200"/>
      <c r="M686" s="37"/>
      <c r="N686" s="37"/>
      <c r="O686" s="45"/>
      <c r="P686" s="54"/>
      <c r="Q686" s="260"/>
      <c r="R686" s="261"/>
      <c r="S686" s="261"/>
      <c r="T686" s="38"/>
      <c r="U686" s="261"/>
      <c r="V686" s="256"/>
      <c r="W686" s="256"/>
      <c r="X686" s="256"/>
      <c r="Y686" s="256"/>
      <c r="Z686" s="54"/>
      <c r="AA686" s="200"/>
      <c r="AB686" s="31"/>
      <c r="AC686" s="184"/>
      <c r="AD686" s="51"/>
      <c r="AE686" s="52"/>
      <c r="AF686" s="41"/>
      <c r="AG686" s="45"/>
      <c r="AH686" s="28"/>
      <c r="AI686" s="28"/>
      <c r="AJ686" s="28"/>
      <c r="AK686" s="28"/>
      <c r="AL686" s="12"/>
      <c r="AM686" s="12"/>
      <c r="AN686" s="12"/>
      <c r="AO686" s="12"/>
      <c r="AP686" s="12"/>
      <c r="AQ686" s="13"/>
      <c r="AR686" s="14"/>
    </row>
    <row r="687" spans="1:44" s="16" customFormat="1" ht="30.95" hidden="1" customHeight="1" x14ac:dyDescent="0.2">
      <c r="A687" s="35"/>
      <c r="B687" s="36"/>
      <c r="C687" s="43"/>
      <c r="D687" s="29"/>
      <c r="E687" s="29"/>
      <c r="F687" s="255"/>
      <c r="G687" s="256"/>
      <c r="H687" s="256"/>
      <c r="I687" s="200"/>
      <c r="J687" s="30"/>
      <c r="K687" s="200"/>
      <c r="L687" s="200"/>
      <c r="M687" s="37"/>
      <c r="N687" s="37"/>
      <c r="O687" s="45"/>
      <c r="P687" s="54"/>
      <c r="Q687" s="260"/>
      <c r="R687" s="261"/>
      <c r="S687" s="261"/>
      <c r="T687" s="38"/>
      <c r="U687" s="261"/>
      <c r="V687" s="256"/>
      <c r="W687" s="256"/>
      <c r="X687" s="256"/>
      <c r="Y687" s="256"/>
      <c r="Z687" s="54"/>
      <c r="AA687" s="200"/>
      <c r="AB687" s="31"/>
      <c r="AC687" s="184"/>
      <c r="AD687" s="51"/>
      <c r="AE687" s="52"/>
      <c r="AF687" s="41"/>
      <c r="AG687" s="45"/>
      <c r="AH687" s="28"/>
      <c r="AI687" s="28"/>
      <c r="AJ687" s="28"/>
      <c r="AK687" s="28"/>
      <c r="AL687" s="12"/>
      <c r="AM687" s="12"/>
      <c r="AN687" s="12"/>
      <c r="AO687" s="12"/>
      <c r="AP687" s="12"/>
      <c r="AQ687" s="13"/>
      <c r="AR687" s="14"/>
    </row>
    <row r="688" spans="1:44" s="16" customFormat="1" ht="30.95" hidden="1" customHeight="1" x14ac:dyDescent="0.2">
      <c r="A688" s="35" t="s">
        <v>539</v>
      </c>
      <c r="B688" s="36" t="s">
        <v>443</v>
      </c>
      <c r="C688" s="43"/>
      <c r="D688" s="29">
        <v>3721216</v>
      </c>
      <c r="E688" s="29">
        <v>4151434</v>
      </c>
      <c r="F688" s="255" t="str">
        <f>IF(D688="","",VLOOKUP(D688,契約台帳!$A$3:$K$4986,6,FALSE)&amp;VLOOKUP(D688,契約台帳!$A$3:$K$4986,7,FALSE)&amp;VLOOKUP(D688,契約台帳!$A$3:$K$4986,8,FALSE)&amp;VLOOKUP(D688,契約台帳!$A$3:$K$4986,9,FALSE)&amp;VLOOKUP(D688,契約台帳!$A$3:$K$4986,11,FALSE))</f>
        <v>3SNMLBMNGTBF</v>
      </c>
      <c r="G688" s="256" t="str">
        <f>IF(D688="","",VLOOKUP(F688,製品マスタ!$G$5:$H$4999,2,FALSE))</f>
        <v>S</v>
      </c>
      <c r="H688" s="256" t="str">
        <f>IF(D688="","",VLOOKUP(F688,製品マスタ!$G$5:$K$4999,5,FALSE))</f>
        <v>MNGTBF</v>
      </c>
      <c r="I688" s="200" t="str">
        <f>IF(D688="","",VLOOKUP(F688,製品マスタ!$G$5:$L$4999,6,FALSE))</f>
        <v>メタルミー　ネーマー　銀艶　Ｂ</v>
      </c>
      <c r="J688" s="30" t="s">
        <v>447</v>
      </c>
      <c r="K688" s="200">
        <f>IF(D688="","",VLOOKUP(D688,契約台帳!$A$3:$L$4986,12,FALSE))</f>
        <v>50</v>
      </c>
      <c r="L688" s="200" t="str">
        <f>IF(D688="","",INDEX(製品マスタ!$Q$5:$Q$4999,MATCH(F688&amp;K688,製品マスタ!$AO$5:$AO$4999,0)))</f>
        <v>T62</v>
      </c>
      <c r="M688" s="37">
        <v>1120</v>
      </c>
      <c r="N688" s="37">
        <v>10000</v>
      </c>
      <c r="O688" s="45">
        <v>4</v>
      </c>
      <c r="P688" s="54"/>
      <c r="Q688" s="260">
        <f>IF(D688="","",IF(J688="リード付け",M688,VLOOKUP(D688,契約台帳!$A$3:$N$4986,14,FALSE)))</f>
        <v>1120</v>
      </c>
      <c r="R688" s="261">
        <f>IF(D688="","",IF(J688="リード付け",M688,VLOOKUP(D688,契約台帳!$A$3:$O$4986,15,FALSE)))</f>
        <v>1120</v>
      </c>
      <c r="S688" s="261">
        <f>IF(D688="","",IF(J688="リード付け",N688,VLOOKUP(D688,契約台帳!$A$3:$P$4986,16,FALSE)))</f>
        <v>5000</v>
      </c>
      <c r="T688" s="38">
        <v>8</v>
      </c>
      <c r="U688" s="261">
        <f ca="1">IF(D688="","",IF(OFFSET(D688,-2,0)=D688,"",VLOOKUP(D688,契約台帳!$A$3:$R$4986,18,FALSE)))</f>
        <v>25</v>
      </c>
      <c r="V688" s="256" t="str">
        <f>IF(J688="巻返し",VLOOKUP(F688&amp;K688&amp;M688,製品マスタ!$M$5:$AD$4999,18,FALSE),IF(J688="リード付け","原反コア",IF(J688="スリット",VLOOKUP(F688&amp;K688&amp;Q688,製品マスタ!$N$5:$AD$4999,17,FALSE),"")))</f>
        <v>6ｲﾝﾁSｺｱ</v>
      </c>
      <c r="W688" s="256">
        <f>IF(J688="巻返し",VLOOKUP(F688&amp;K688&amp;M688,製品マスタ!$M$5:$AE$4999,19,FALSE),IF(J688="リード付け","-",IF(J688="スリット",VLOOKUP(F688&amp;K688&amp;Q688,製品マスタ!$N$5:$AE$4999,18,FALSE),"")))</f>
        <v>1125</v>
      </c>
      <c r="X688" s="256">
        <f>IF(D688="","",VLOOKUP(D688,契約台帳!$A$3:$Q$4986,17,FALSE))</f>
        <v>2</v>
      </c>
      <c r="Y688" s="256" t="str">
        <f>IF(D688="","",VLOOKUP(D688,契約台帳!$A$3:$E$4986,5,FALSE))</f>
        <v>リンテック㈱</v>
      </c>
      <c r="Z688" s="54">
        <v>45160</v>
      </c>
      <c r="AA688" s="200" t="str">
        <f>IFERROR(VLOOKUP(F688&amp;K688&amp;M688,製品マスタ!$M$5:$AM$4999,27,FALSE),"")</f>
        <v>原反ケース再利用</v>
      </c>
      <c r="AB688" s="31"/>
      <c r="AC688" s="184"/>
      <c r="AD688" s="51" t="str">
        <f>IF(F688="","",+F688&amp;K688)</f>
        <v>3SNMLBMNGTBF50</v>
      </c>
      <c r="AE688" s="52">
        <f>+M688*N688*O688/1000</f>
        <v>44800</v>
      </c>
      <c r="AF688" s="41">
        <f>IF(AD688="","",VLOOKUP(AD688,原価マスタ!$A$2:$AJ$1693,13,FALSE))</f>
        <v>99</v>
      </c>
      <c r="AG688" s="45">
        <f>IF(AF688="","",+AE688*AF688/100)</f>
        <v>44352</v>
      </c>
      <c r="AH688" s="28"/>
      <c r="AI688" s="28"/>
      <c r="AJ688" s="28"/>
      <c r="AK688" s="28"/>
      <c r="AL688" s="12"/>
      <c r="AM688" s="12"/>
      <c r="AN688" s="12"/>
      <c r="AO688" s="12"/>
      <c r="AP688" s="12"/>
      <c r="AQ688" s="13"/>
      <c r="AR688" s="14"/>
    </row>
    <row r="689" spans="1:44" s="16" customFormat="1" ht="30.95" hidden="1" customHeight="1" x14ac:dyDescent="0.2">
      <c r="A689" s="35"/>
      <c r="B689" s="36"/>
      <c r="C689" s="43"/>
      <c r="D689" s="29"/>
      <c r="E689" s="29"/>
      <c r="F689" s="255"/>
      <c r="G689" s="256"/>
      <c r="H689" s="256"/>
      <c r="I689" s="200"/>
      <c r="J689" s="30"/>
      <c r="K689" s="200"/>
      <c r="L689" s="200"/>
      <c r="M689" s="37"/>
      <c r="N689" s="37"/>
      <c r="O689" s="45"/>
      <c r="P689" s="54"/>
      <c r="Q689" s="260"/>
      <c r="R689" s="261"/>
      <c r="S689" s="261"/>
      <c r="T689" s="38"/>
      <c r="U689" s="261"/>
      <c r="V689" s="256"/>
      <c r="W689" s="256"/>
      <c r="X689" s="256"/>
      <c r="Y689" s="256"/>
      <c r="Z689" s="54"/>
      <c r="AA689" s="200"/>
      <c r="AB689" s="31"/>
      <c r="AC689" s="184"/>
      <c r="AD689" s="51"/>
      <c r="AE689" s="52"/>
      <c r="AF689" s="41"/>
      <c r="AG689" s="45"/>
      <c r="AH689" s="28"/>
      <c r="AI689" s="28"/>
      <c r="AJ689" s="28"/>
      <c r="AK689" s="28"/>
      <c r="AL689" s="12"/>
      <c r="AM689" s="12"/>
      <c r="AN689" s="12"/>
      <c r="AO689" s="12"/>
      <c r="AP689" s="12"/>
      <c r="AQ689" s="13"/>
      <c r="AR689" s="14"/>
    </row>
    <row r="690" spans="1:44" s="16" customFormat="1" ht="30.95" hidden="1" customHeight="1" x14ac:dyDescent="0.2">
      <c r="A690" s="35"/>
      <c r="B690" s="36"/>
      <c r="C690" s="43"/>
      <c r="D690" s="29">
        <v>3721216</v>
      </c>
      <c r="E690" s="29">
        <v>4151434</v>
      </c>
      <c r="F690" s="255" t="str">
        <f>IF(D690="","",VLOOKUP(D690,契約台帳!$A$3:$K$4986,6,FALSE)&amp;VLOOKUP(D690,契約台帳!$A$3:$K$4986,7,FALSE)&amp;VLOOKUP(D690,契約台帳!$A$3:$K$4986,8,FALSE)&amp;VLOOKUP(D690,契約台帳!$A$3:$K$4986,9,FALSE)&amp;VLOOKUP(D690,契約台帳!$A$3:$K$4986,11,FALSE))</f>
        <v>3SNMLBMNGTBF</v>
      </c>
      <c r="G690" s="256" t="str">
        <f>IF(D690="","",VLOOKUP(F690,製品マスタ!$G$5:$H$4999,2,FALSE))</f>
        <v>S</v>
      </c>
      <c r="H690" s="256" t="str">
        <f>IF(D690="","",VLOOKUP(F690,製品マスタ!$G$5:$K$4999,5,FALSE))</f>
        <v>MNGTBF</v>
      </c>
      <c r="I690" s="200" t="str">
        <f>IF(D690="","",VLOOKUP(F690,製品マスタ!$G$5:$L$4999,6,FALSE))</f>
        <v>メタルミー　ネーマー　銀艶　Ｂ</v>
      </c>
      <c r="J690" s="30" t="s">
        <v>447</v>
      </c>
      <c r="K690" s="200">
        <f>IF(D690="","",VLOOKUP(D690,契約台帳!$A$3:$L$4986,12,FALSE))</f>
        <v>50</v>
      </c>
      <c r="L690" s="200" t="str">
        <f>IF(D690="","",INDEX(製品マスタ!$Q$5:$Q$4999,MATCH(F690&amp;K690,製品マスタ!$AO$5:$AO$4999,0)))</f>
        <v>T62</v>
      </c>
      <c r="M690" s="37">
        <v>1120</v>
      </c>
      <c r="N690" s="37">
        <v>10000</v>
      </c>
      <c r="O690" s="45">
        <v>1</v>
      </c>
      <c r="P690" s="54"/>
      <c r="Q690" s="260">
        <f>IF(D690="","",IF(J690="リード付け",M690,VLOOKUP(D690,契約台帳!$A$3:$N$4986,14,FALSE)))</f>
        <v>1120</v>
      </c>
      <c r="R690" s="261">
        <f>IF(D690="","",IF(J690="リード付け",M690,VLOOKUP(D690,契約台帳!$A$3:$O$4986,15,FALSE)))</f>
        <v>1120</v>
      </c>
      <c r="S690" s="261">
        <f>IF(D690="","",IF(J690="リード付け",N690,VLOOKUP(D690,契約台帳!$A$3:$P$4986,16,FALSE)))</f>
        <v>5000</v>
      </c>
      <c r="T690" s="38">
        <v>1</v>
      </c>
      <c r="U690" s="261" t="str">
        <f ca="1">IF(D690="","",IF(OFFSET(D690,-2,0)=D690,"",VLOOKUP(D690,契約台帳!$A$3:$R$4986,18,FALSE)))</f>
        <v/>
      </c>
      <c r="V690" s="256" t="str">
        <f>IF(J690="巻返し",VLOOKUP(F690&amp;K690&amp;M690,製品マスタ!$M$5:$AD$4999,18,FALSE),IF(J690="リード付け","原反コア",IF(J690="スリット",VLOOKUP(F690&amp;K690&amp;Q690,製品マスタ!$N$5:$AD$4999,17,FALSE),"")))</f>
        <v>6ｲﾝﾁSｺｱ</v>
      </c>
      <c r="W690" s="256">
        <f>IF(J690="巻返し",VLOOKUP(F690&amp;K690&amp;M690,製品マスタ!$M$5:$AE$4999,19,FALSE),IF(J690="リード付け","-",IF(J690="スリット",VLOOKUP(F690&amp;K690&amp;Q690,製品マスタ!$N$5:$AE$4999,18,FALSE),"")))</f>
        <v>1125</v>
      </c>
      <c r="X690" s="256">
        <f>IF(D690="","",VLOOKUP(D690,契約台帳!$A$3:$Q$4986,17,FALSE))</f>
        <v>2</v>
      </c>
      <c r="Y690" s="256" t="str">
        <f>IF(D690="","",VLOOKUP(D690,契約台帳!$A$3:$E$4986,5,FALSE))</f>
        <v>リンテック㈱</v>
      </c>
      <c r="Z690" s="54">
        <v>45160</v>
      </c>
      <c r="AA690" s="200" t="str">
        <f>IFERROR(VLOOKUP(F690&amp;K690&amp;M690,製品マスタ!$M$5:$AM$4999,27,FALSE),"")</f>
        <v>原反ケース再利用</v>
      </c>
      <c r="AB690" s="31"/>
      <c r="AC690" s="184"/>
      <c r="AD690" s="51" t="str">
        <f>IF(F690="","",+F690&amp;K690)</f>
        <v>3SNMLBMNGTBF50</v>
      </c>
      <c r="AE690" s="52">
        <f>+M690*N690*O690/1000</f>
        <v>11200</v>
      </c>
      <c r="AF690" s="41">
        <f>IF(AD690="","",VLOOKUP(AD690,原価マスタ!$A$2:$AJ$1693,13,FALSE))</f>
        <v>99</v>
      </c>
      <c r="AG690" s="45">
        <f>IF(AF690="","",+AE690*AF690/100)</f>
        <v>11088</v>
      </c>
      <c r="AH690" s="28"/>
      <c r="AI690" s="28"/>
      <c r="AJ690" s="28"/>
      <c r="AK690" s="28"/>
      <c r="AL690" s="12"/>
      <c r="AM690" s="12"/>
      <c r="AN690" s="12"/>
      <c r="AO690" s="12"/>
      <c r="AP690" s="12"/>
      <c r="AQ690" s="13"/>
      <c r="AR690" s="14"/>
    </row>
    <row r="691" spans="1:44" s="16" customFormat="1" ht="30.95" hidden="1" customHeight="1" x14ac:dyDescent="0.2">
      <c r="A691" s="35"/>
      <c r="B691" s="36"/>
      <c r="C691" s="43"/>
      <c r="D691" s="29">
        <v>3721217</v>
      </c>
      <c r="E691" s="29"/>
      <c r="F691" s="255" t="str">
        <f>IF(D691="","",VLOOKUP(D691,契約台帳!$A$3:$K$4986,6,FALSE)&amp;VLOOKUP(D691,契約台帳!$A$3:$K$4986,7,FALSE)&amp;VLOOKUP(D691,契約台帳!$A$3:$K$4986,8,FALSE)&amp;VLOOKUP(D691,契約台帳!$A$3:$K$4986,9,FALSE)&amp;VLOOKUP(D691,契約台帳!$A$3:$K$4986,11,FALSE))</f>
        <v>3SNMLBMNGTBF</v>
      </c>
      <c r="G691" s="256" t="str">
        <f>IF(D691="","",VLOOKUP(F691,製品マスタ!$G$5:$H$4999,2,FALSE))</f>
        <v>S</v>
      </c>
      <c r="H691" s="256" t="str">
        <f>IF(D691="","",VLOOKUP(F691,製品マスタ!$G$5:$K$4999,5,FALSE))</f>
        <v>MNGTBF</v>
      </c>
      <c r="I691" s="200" t="str">
        <f>IF(D691="","",VLOOKUP(F691,製品マスタ!$G$5:$L$4999,6,FALSE))</f>
        <v>メタルミー　ネーマー　銀艶　Ｂ</v>
      </c>
      <c r="J691" s="30" t="s">
        <v>447</v>
      </c>
      <c r="K691" s="200">
        <f>IF(D691="","",VLOOKUP(D691,契約台帳!$A$3:$L$4986,12,FALSE))</f>
        <v>50</v>
      </c>
      <c r="L691" s="200" t="str">
        <f>IF(D691="","",INDEX(製品マスタ!$Q$5:$Q$4999,MATCH(F691&amp;K691,製品マスタ!$AO$5:$AO$4999,0)))</f>
        <v>T62</v>
      </c>
      <c r="M691" s="37">
        <v>1120</v>
      </c>
      <c r="N691" s="37">
        <v>10000</v>
      </c>
      <c r="O691" s="45"/>
      <c r="P691" s="54"/>
      <c r="Q691" s="260">
        <f>IF(D691="","",IF(J691="リード付け",M691,VLOOKUP(D691,契約台帳!$A$3:$N$4986,14,FALSE)))</f>
        <v>1120</v>
      </c>
      <c r="R691" s="261">
        <f>IF(D691="","",IF(J691="リード付け",M691,VLOOKUP(D691,契約台帳!$A$3:$O$4986,15,FALSE)))</f>
        <v>1120</v>
      </c>
      <c r="S691" s="261">
        <f>IF(D691="","",IF(J691="リード付け",N691,VLOOKUP(D691,契約台帳!$A$3:$P$4986,16,FALSE)))</f>
        <v>5000</v>
      </c>
      <c r="T691" s="38">
        <v>1</v>
      </c>
      <c r="U691" s="261">
        <f ca="1">IF(D691="","",IF(OFFSET(D691,-2,0)=D691,"",VLOOKUP(D691,契約台帳!$A$3:$R$4986,18,FALSE)))</f>
        <v>1</v>
      </c>
      <c r="V691" s="256" t="str">
        <f>IF(J691="巻返し",VLOOKUP(F691&amp;K691&amp;M691,製品マスタ!$M$5:$AD$4999,18,FALSE),IF(J691="リード付け","原反コア",IF(J691="スリット",VLOOKUP(F691&amp;K691&amp;Q691,製品マスタ!$N$5:$AD$4999,17,FALSE),"")))</f>
        <v>6ｲﾝﾁSｺｱ</v>
      </c>
      <c r="W691" s="256">
        <f>IF(J691="巻返し",VLOOKUP(F691&amp;K691&amp;M691,製品マスタ!$M$5:$AE$4999,19,FALSE),IF(J691="リード付け","-",IF(J691="スリット",VLOOKUP(F691&amp;K691&amp;Q691,製品マスタ!$N$5:$AE$4999,18,FALSE),"")))</f>
        <v>1125</v>
      </c>
      <c r="X691" s="256">
        <f>IF(D691="","",VLOOKUP(D691,契約台帳!$A$3:$Q$4986,17,FALSE))</f>
        <v>2</v>
      </c>
      <c r="Y691" s="256" t="str">
        <f>IF(D691="","",VLOOKUP(D691,契約台帳!$A$3:$E$4986,5,FALSE))</f>
        <v>リンテック㈱</v>
      </c>
      <c r="Z691" s="54"/>
      <c r="AA691" s="200" t="str">
        <f>IFERROR(VLOOKUP(F691&amp;K691&amp;M691,製品マスタ!$M$5:$AM$4999,27,FALSE),"")</f>
        <v>原反ケース再利用</v>
      </c>
      <c r="AB691" s="31"/>
      <c r="AC691" s="184"/>
      <c r="AD691" s="51"/>
      <c r="AE691" s="52"/>
      <c r="AF691" s="41"/>
      <c r="AG691" s="45" t="str">
        <f>IF(AF691="","",+AE691*AF691/100)</f>
        <v/>
      </c>
      <c r="AH691" s="28"/>
      <c r="AI691" s="28"/>
      <c r="AJ691" s="28"/>
      <c r="AK691" s="28"/>
      <c r="AL691" s="12"/>
      <c r="AM691" s="12"/>
      <c r="AN691" s="12"/>
      <c r="AO691" s="12"/>
      <c r="AP691" s="12"/>
      <c r="AQ691" s="13"/>
      <c r="AR691" s="14"/>
    </row>
    <row r="692" spans="1:44" s="16" customFormat="1" ht="30.95" hidden="1" customHeight="1" x14ac:dyDescent="0.2">
      <c r="A692" s="35"/>
      <c r="B692" s="36"/>
      <c r="C692" s="43"/>
      <c r="D692" s="29"/>
      <c r="E692" s="29"/>
      <c r="F692" s="255"/>
      <c r="G692" s="256"/>
      <c r="H692" s="256"/>
      <c r="I692" s="200"/>
      <c r="J692" s="30"/>
      <c r="K692" s="200"/>
      <c r="L692" s="200"/>
      <c r="M692" s="37"/>
      <c r="N692" s="37"/>
      <c r="O692" s="45"/>
      <c r="P692" s="54"/>
      <c r="Q692" s="260"/>
      <c r="R692" s="261"/>
      <c r="S692" s="261"/>
      <c r="T692" s="38"/>
      <c r="U692" s="261"/>
      <c r="V692" s="256"/>
      <c r="W692" s="256"/>
      <c r="X692" s="256"/>
      <c r="Y692" s="256"/>
      <c r="Z692" s="54"/>
      <c r="AA692" s="200"/>
      <c r="AB692" s="31"/>
      <c r="AC692" s="184"/>
      <c r="AD692" s="51"/>
      <c r="AE692" s="52"/>
      <c r="AF692" s="41"/>
      <c r="AG692" s="45"/>
      <c r="AH692" s="28"/>
      <c r="AI692" s="28"/>
      <c r="AJ692" s="28"/>
      <c r="AK692" s="28"/>
      <c r="AL692" s="12"/>
      <c r="AM692" s="12"/>
      <c r="AN692" s="12"/>
      <c r="AO692" s="12"/>
      <c r="AP692" s="12"/>
      <c r="AQ692" s="13"/>
      <c r="AR692" s="14"/>
    </row>
    <row r="693" spans="1:44" s="16" customFormat="1" ht="30.95" hidden="1" customHeight="1" x14ac:dyDescent="0.2">
      <c r="A693" s="35" t="s">
        <v>1394</v>
      </c>
      <c r="B693" s="36" t="s">
        <v>1395</v>
      </c>
      <c r="C693" s="43"/>
      <c r="D693" s="29">
        <v>3721226</v>
      </c>
      <c r="E693" s="29">
        <v>4151438</v>
      </c>
      <c r="F693" s="255" t="str">
        <f>IF(D693="","",VLOOKUP(D693,契約台帳!$A$3:$K$4986,6,FALSE)&amp;VLOOKUP(D693,契約台帳!$A$3:$K$4986,7,FALSE)&amp;VLOOKUP(D693,契約台帳!$A$3:$K$4986,8,FALSE)&amp;VLOOKUP(D693,契約台帳!$A$3:$K$4986,9,FALSE)&amp;VLOOKUP(D693,契約台帳!$A$3:$K$4986,11,FALSE))</f>
        <v>3SYMLBMSNMBF</v>
      </c>
      <c r="G693" s="256" t="str">
        <f>IF(D693="","",VLOOKUP(F693,製品マスタ!$G$5:$H$4999,2,FALSE))</f>
        <v>S</v>
      </c>
      <c r="H693" s="256" t="str">
        <f>IF(D693="","",VLOOKUP(F693,製品マスタ!$G$5:$K$4999,5,FALSE))</f>
        <v>MSNMBF</v>
      </c>
      <c r="I693" s="200" t="str">
        <f>IF(D693="","",VLOOKUP(F693,製品マスタ!$G$5:$L$4999,6,FALSE))</f>
        <v>ＭＥＴＡＬＵＭＹ　ＳＩＬＶＥＲ　Ｎ－ＭＡＴＴＥ　Ｘ４４Ｍ　Ｂ</v>
      </c>
      <c r="J693" s="30" t="s">
        <v>447</v>
      </c>
      <c r="K693" s="200">
        <f>IF(D693="","",VLOOKUP(D693,契約台帳!$A$3:$L$4986,12,FALSE))</f>
        <v>50</v>
      </c>
      <c r="L693" s="200" t="str">
        <f>IF(D693="","",INDEX(製品マスタ!$Q$5:$Q$4999,MATCH(F693&amp;K693,製品マスタ!$AO$5:$AO$4999,0)))</f>
        <v>X44</v>
      </c>
      <c r="M693" s="37">
        <v>1120</v>
      </c>
      <c r="N693" s="37">
        <v>12000</v>
      </c>
      <c r="O693" s="45">
        <v>2</v>
      </c>
      <c r="P693" s="54"/>
      <c r="Q693" s="260">
        <f>IF(D693="","",IF(J693="リード付け",M693,VLOOKUP(D693,契約台帳!$A$3:$N$4986,14,FALSE)))</f>
        <v>1120</v>
      </c>
      <c r="R693" s="261">
        <f>IF(D693="","",IF(J693="リード付け",M693,VLOOKUP(D693,契約台帳!$A$3:$O$4986,15,FALSE)))</f>
        <v>1120</v>
      </c>
      <c r="S693" s="261">
        <f>IF(D693="","",IF(J693="リード付け",N693,VLOOKUP(D693,契約台帳!$A$3:$P$4986,16,FALSE)))</f>
        <v>4000</v>
      </c>
      <c r="T693" s="38">
        <v>6</v>
      </c>
      <c r="U693" s="261">
        <f ca="1">IF(D693="","",IF(OFFSET(D693,-2,0)=D693,"",VLOOKUP(D693,契約台帳!$A$3:$R$4986,18,FALSE)))</f>
        <v>8</v>
      </c>
      <c r="V693" s="256" t="str">
        <f>IF(J693="巻返し",VLOOKUP(F693&amp;K693&amp;M693,製品マスタ!$M$5:$AD$4999,18,FALSE),IF(J693="リード付け","原反コア",IF(J693="スリット",VLOOKUP(F693&amp;K693&amp;Q693,製品マスタ!$N$5:$AD$4999,17,FALSE),"")))</f>
        <v>6ｲﾝﾁMｺｱ</v>
      </c>
      <c r="W693" s="256">
        <f>IF(J693="巻返し",VLOOKUP(F693&amp;K693&amp;M693,製品マスタ!$M$5:$AE$4999,19,FALSE),IF(J693="リード付け","-",IF(J693="スリット",VLOOKUP(F693&amp;K693&amp;Q693,製品マスタ!$N$5:$AE$4999,18,FALSE),"")))</f>
        <v>1125</v>
      </c>
      <c r="X693" s="256">
        <f>IF(D693="","",VLOOKUP(D693,契約台帳!$A$3:$Q$4986,17,FALSE))</f>
        <v>2</v>
      </c>
      <c r="Y693" s="256" t="str">
        <f>IF(D693="","",VLOOKUP(D693,契約台帳!$A$3:$E$4986,5,FALSE))</f>
        <v>リンテック㈱</v>
      </c>
      <c r="Z693" s="54">
        <v>45160</v>
      </c>
      <c r="AA693" s="200">
        <f>IFERROR(VLOOKUP(F693&amp;K693&amp;M693,製品マスタ!$M$5:$AM$4999,27,FALSE),"")</f>
        <v>0</v>
      </c>
      <c r="AB693" s="31"/>
      <c r="AC693" s="184"/>
      <c r="AD693" s="51" t="str">
        <f>IF(F693="","",+F693&amp;K693)</f>
        <v>3SYMLBMSNMBF50</v>
      </c>
      <c r="AE693" s="52">
        <f>+M693*N693*O693/1000</f>
        <v>26880</v>
      </c>
      <c r="AF693" s="41">
        <f>IF(AD693="","",VLOOKUP(AD693,原価マスタ!$A$2:$AJ$1693,13,FALSE))</f>
        <v>98.8</v>
      </c>
      <c r="AG693" s="45">
        <f>IF(AF693="","",+AE693*AF693/100)</f>
        <v>26557.439999999999</v>
      </c>
      <c r="AH693" s="28"/>
      <c r="AI693" s="28"/>
      <c r="AJ693" s="28"/>
      <c r="AK693" s="28"/>
      <c r="AL693" s="12"/>
      <c r="AM693" s="12"/>
      <c r="AN693" s="12"/>
      <c r="AO693" s="12"/>
      <c r="AP693" s="12"/>
      <c r="AQ693" s="13"/>
      <c r="AR693" s="14"/>
    </row>
    <row r="694" spans="1:44" s="16" customFormat="1" ht="30.95" hidden="1" customHeight="1" x14ac:dyDescent="0.2">
      <c r="A694" s="35"/>
      <c r="B694" s="36"/>
      <c r="C694" s="43"/>
      <c r="D694" s="29"/>
      <c r="E694" s="29"/>
      <c r="F694" s="255"/>
      <c r="G694" s="256"/>
      <c r="H694" s="256"/>
      <c r="I694" s="200"/>
      <c r="J694" s="30"/>
      <c r="K694" s="200"/>
      <c r="L694" s="200"/>
      <c r="M694" s="37"/>
      <c r="N694" s="37"/>
      <c r="O694" s="45"/>
      <c r="P694" s="54"/>
      <c r="Q694" s="260"/>
      <c r="R694" s="261"/>
      <c r="S694" s="261"/>
      <c r="T694" s="38"/>
      <c r="U694" s="261"/>
      <c r="V694" s="256"/>
      <c r="W694" s="256"/>
      <c r="X694" s="256"/>
      <c r="Y694" s="256"/>
      <c r="Z694" s="54"/>
      <c r="AA694" s="200"/>
      <c r="AB694" s="31"/>
      <c r="AC694" s="184"/>
      <c r="AD694" s="51"/>
      <c r="AE694" s="52"/>
      <c r="AF694" s="41"/>
      <c r="AG694" s="45"/>
      <c r="AH694" s="28"/>
      <c r="AI694" s="28"/>
      <c r="AJ694" s="28"/>
      <c r="AK694" s="28"/>
      <c r="AL694" s="12"/>
      <c r="AM694" s="12"/>
      <c r="AN694" s="12"/>
      <c r="AO694" s="12"/>
      <c r="AP694" s="12"/>
      <c r="AQ694" s="13"/>
      <c r="AR694" s="14"/>
    </row>
    <row r="695" spans="1:44" s="16" customFormat="1" ht="30.95" hidden="1" customHeight="1" x14ac:dyDescent="0.2">
      <c r="A695" s="35"/>
      <c r="B695" s="36"/>
      <c r="C695" s="43"/>
      <c r="D695" s="29">
        <v>3721226</v>
      </c>
      <c r="E695" s="29">
        <v>4151438</v>
      </c>
      <c r="F695" s="255" t="str">
        <f>IF(D695="","",VLOOKUP(D695,契約台帳!$A$3:$K$4986,6,FALSE)&amp;VLOOKUP(D695,契約台帳!$A$3:$K$4986,7,FALSE)&amp;VLOOKUP(D695,契約台帳!$A$3:$K$4986,8,FALSE)&amp;VLOOKUP(D695,契約台帳!$A$3:$K$4986,9,FALSE)&amp;VLOOKUP(D695,契約台帳!$A$3:$K$4986,11,FALSE))</f>
        <v>3SYMLBMSNMBF</v>
      </c>
      <c r="G695" s="256" t="str">
        <f>IF(D695="","",VLOOKUP(F695,製品マスタ!$G$5:$H$4999,2,FALSE))</f>
        <v>S</v>
      </c>
      <c r="H695" s="256" t="str">
        <f>IF(D695="","",VLOOKUP(F695,製品マスタ!$G$5:$K$4999,5,FALSE))</f>
        <v>MSNMBF</v>
      </c>
      <c r="I695" s="200" t="str">
        <f>IF(D695="","",VLOOKUP(F695,製品マスタ!$G$5:$L$4999,6,FALSE))</f>
        <v>ＭＥＴＡＬＵＭＹ　ＳＩＬＶＥＲ　Ｎ－ＭＡＴＴＥ　Ｘ４４Ｍ　Ｂ</v>
      </c>
      <c r="J695" s="30" t="s">
        <v>447</v>
      </c>
      <c r="K695" s="200">
        <f>IF(D695="","",VLOOKUP(D695,契約台帳!$A$3:$L$4986,12,FALSE))</f>
        <v>50</v>
      </c>
      <c r="L695" s="200" t="str">
        <f>IF(D695="","",INDEX(製品マスタ!$Q$5:$Q$4999,MATCH(F695&amp;K695,製品マスタ!$AO$5:$AO$4999,0)))</f>
        <v>X44</v>
      </c>
      <c r="M695" s="37">
        <v>1120</v>
      </c>
      <c r="N695" s="37">
        <v>12000</v>
      </c>
      <c r="O695" s="45">
        <v>1</v>
      </c>
      <c r="P695" s="54"/>
      <c r="Q695" s="260">
        <f>IF(D695="","",IF(J695="リード付け",M695,VLOOKUP(D695,契約台帳!$A$3:$N$4986,14,FALSE)))</f>
        <v>1120</v>
      </c>
      <c r="R695" s="261">
        <f>IF(D695="","",IF(J695="リード付け",M695,VLOOKUP(D695,契約台帳!$A$3:$O$4986,15,FALSE)))</f>
        <v>1120</v>
      </c>
      <c r="S695" s="261">
        <f>IF(D695="","",IF(J695="リード付け",N695,VLOOKUP(D695,契約台帳!$A$3:$P$4986,16,FALSE)))</f>
        <v>4000</v>
      </c>
      <c r="T695" s="38">
        <v>2</v>
      </c>
      <c r="U695" s="261" t="str">
        <f ca="1">IF(D695="","",IF(OFFSET(D695,-2,0)=D695,"",VLOOKUP(D695,契約台帳!$A$3:$R$4986,18,FALSE)))</f>
        <v/>
      </c>
      <c r="V695" s="256" t="str">
        <f>IF(J695="巻返し",VLOOKUP(F695&amp;K695&amp;M695,製品マスタ!$M$5:$AD$4999,18,FALSE),IF(J695="リード付け","原反コア",IF(J695="スリット",VLOOKUP(F695&amp;K695&amp;Q695,製品マスタ!$N$5:$AD$4999,17,FALSE),"")))</f>
        <v>6ｲﾝﾁMｺｱ</v>
      </c>
      <c r="W695" s="256">
        <f>IF(J695="巻返し",VLOOKUP(F695&amp;K695&amp;M695,製品マスタ!$M$5:$AE$4999,19,FALSE),IF(J695="リード付け","-",IF(J695="スリット",VLOOKUP(F695&amp;K695&amp;Q695,製品マスタ!$N$5:$AE$4999,18,FALSE),"")))</f>
        <v>1125</v>
      </c>
      <c r="X695" s="256">
        <f>IF(D695="","",VLOOKUP(D695,契約台帳!$A$3:$Q$4986,17,FALSE))</f>
        <v>2</v>
      </c>
      <c r="Y695" s="256" t="str">
        <f>IF(D695="","",VLOOKUP(D695,契約台帳!$A$3:$E$4986,5,FALSE))</f>
        <v>リンテック㈱</v>
      </c>
      <c r="Z695" s="54">
        <v>45160</v>
      </c>
      <c r="AA695" s="200">
        <f>IFERROR(VLOOKUP(F695&amp;K695&amp;M695,製品マスタ!$M$5:$AM$4999,27,FALSE),"")</f>
        <v>0</v>
      </c>
      <c r="AB695" s="31"/>
      <c r="AC695" s="184"/>
      <c r="AD695" s="51" t="str">
        <f>IF(F695="","",+F695&amp;K695)</f>
        <v>3SYMLBMSNMBF50</v>
      </c>
      <c r="AE695" s="52">
        <f>+M695*N695*O695/1000</f>
        <v>13440</v>
      </c>
      <c r="AF695" s="41">
        <f>IF(AD695="","",VLOOKUP(AD695,原価マスタ!$A$2:$AJ$1693,13,FALSE))</f>
        <v>98.8</v>
      </c>
      <c r="AG695" s="45">
        <f>IF(AF695="","",+AE695*AF695/100)</f>
        <v>13278.72</v>
      </c>
      <c r="AH695" s="28"/>
      <c r="AI695" s="28"/>
      <c r="AJ695" s="28"/>
      <c r="AK695" s="28"/>
      <c r="AL695" s="12"/>
      <c r="AM695" s="12"/>
      <c r="AN695" s="12"/>
      <c r="AO695" s="12"/>
      <c r="AP695" s="12"/>
      <c r="AQ695" s="13"/>
      <c r="AR695" s="14"/>
    </row>
    <row r="696" spans="1:44" s="16" customFormat="1" ht="30.95" hidden="1" customHeight="1" x14ac:dyDescent="0.2">
      <c r="A696" s="35"/>
      <c r="B696" s="36"/>
      <c r="C696" s="43"/>
      <c r="D696" s="29">
        <v>3721227</v>
      </c>
      <c r="E696" s="29"/>
      <c r="F696" s="255" t="str">
        <f>IF(D696="","",VLOOKUP(D696,契約台帳!$A$3:$K$4986,6,FALSE)&amp;VLOOKUP(D696,契約台帳!$A$3:$K$4986,7,FALSE)&amp;VLOOKUP(D696,契約台帳!$A$3:$K$4986,8,FALSE)&amp;VLOOKUP(D696,契約台帳!$A$3:$K$4986,9,FALSE)&amp;VLOOKUP(D696,契約台帳!$A$3:$K$4986,11,FALSE))</f>
        <v>3SYMLBMSNMBF</v>
      </c>
      <c r="G696" s="256" t="str">
        <f>IF(D696="","",VLOOKUP(F696,製品マスタ!$G$5:$H$4999,2,FALSE))</f>
        <v>S</v>
      </c>
      <c r="H696" s="256" t="str">
        <f>IF(D696="","",VLOOKUP(F696,製品マスタ!$G$5:$K$4999,5,FALSE))</f>
        <v>MSNMBF</v>
      </c>
      <c r="I696" s="200" t="str">
        <f>IF(D696="","",VLOOKUP(F696,製品マスタ!$G$5:$L$4999,6,FALSE))</f>
        <v>ＭＥＴＡＬＵＭＹ　ＳＩＬＶＥＲ　Ｎ－ＭＡＴＴＥ　Ｘ４４Ｍ　Ｂ</v>
      </c>
      <c r="J696" s="30" t="s">
        <v>447</v>
      </c>
      <c r="K696" s="200">
        <f>IF(D696="","",VLOOKUP(D696,契約台帳!$A$3:$L$4986,12,FALSE))</f>
        <v>50</v>
      </c>
      <c r="L696" s="200" t="str">
        <f>IF(D696="","",INDEX(製品マスタ!$Q$5:$Q$4999,MATCH(F696&amp;K696,製品マスタ!$AO$5:$AO$4999,0)))</f>
        <v>X44</v>
      </c>
      <c r="M696" s="37">
        <v>1120</v>
      </c>
      <c r="N696" s="37"/>
      <c r="O696" s="45"/>
      <c r="P696" s="54"/>
      <c r="Q696" s="260">
        <f>IF(D696="","",IF(J696="リード付け",M696,VLOOKUP(D696,契約台帳!$A$3:$N$4986,14,FALSE)))</f>
        <v>1120</v>
      </c>
      <c r="R696" s="261">
        <f>IF(D696="","",IF(J696="リード付け",M696,VLOOKUP(D696,契約台帳!$A$3:$O$4986,15,FALSE)))</f>
        <v>1120</v>
      </c>
      <c r="S696" s="261">
        <f>IF(D696="","",IF(J696="リード付け",N696,VLOOKUP(D696,契約台帳!$A$3:$P$4986,16,FALSE)))</f>
        <v>4000</v>
      </c>
      <c r="T696" s="38">
        <v>1</v>
      </c>
      <c r="U696" s="261">
        <f ca="1">IF(D696="","",IF(OFFSET(D696,-2,0)=D696,"",VLOOKUP(D696,契約台帳!$A$3:$R$4986,18,FALSE)))</f>
        <v>4</v>
      </c>
      <c r="V696" s="256" t="str">
        <f>IF(J696="巻返し",VLOOKUP(F696&amp;K696&amp;M696,製品マスタ!$M$5:$AD$4999,18,FALSE),IF(J696="リード付け","原反コア",IF(J696="スリット",VLOOKUP(F696&amp;K696&amp;Q696,製品マスタ!$N$5:$AD$4999,17,FALSE),"")))</f>
        <v>6ｲﾝﾁMｺｱ</v>
      </c>
      <c r="W696" s="256">
        <f>IF(J696="巻返し",VLOOKUP(F696&amp;K696&amp;M696,製品マスタ!$M$5:$AE$4999,19,FALSE),IF(J696="リード付け","-",IF(J696="スリット",VLOOKUP(F696&amp;K696&amp;Q696,製品マスタ!$N$5:$AE$4999,18,FALSE),"")))</f>
        <v>1125</v>
      </c>
      <c r="X696" s="256">
        <f>IF(D696="","",VLOOKUP(D696,契約台帳!$A$3:$Q$4986,17,FALSE))</f>
        <v>2</v>
      </c>
      <c r="Y696" s="256" t="str">
        <f>IF(D696="","",VLOOKUP(D696,契約台帳!$A$3:$E$4986,5,FALSE))</f>
        <v>リンテック㈱</v>
      </c>
      <c r="Z696" s="54"/>
      <c r="AA696" s="200">
        <f>IFERROR(VLOOKUP(F696&amp;K696&amp;M696,製品マスタ!$M$5:$AM$4999,27,FALSE),"")</f>
        <v>0</v>
      </c>
      <c r="AB696" s="31"/>
      <c r="AC696" s="184"/>
      <c r="AD696" s="51"/>
      <c r="AE696" s="52"/>
      <c r="AF696" s="41"/>
      <c r="AG696" s="45" t="str">
        <f>IF(AF696="","",+AE696*AF696/100)</f>
        <v/>
      </c>
      <c r="AH696" s="28"/>
      <c r="AI696" s="28"/>
      <c r="AJ696" s="28"/>
      <c r="AK696" s="28"/>
      <c r="AL696" s="12"/>
      <c r="AM696" s="12"/>
      <c r="AN696" s="12"/>
      <c r="AO696" s="12"/>
      <c r="AP696" s="12"/>
      <c r="AQ696" s="13"/>
      <c r="AR696" s="14"/>
    </row>
    <row r="697" spans="1:44" s="16" customFormat="1" ht="30.95" hidden="1" customHeight="1" x14ac:dyDescent="0.2">
      <c r="A697" s="35"/>
      <c r="B697" s="36"/>
      <c r="C697" s="43"/>
      <c r="D697" s="29"/>
      <c r="E697" s="29"/>
      <c r="F697" s="255"/>
      <c r="G697" s="256"/>
      <c r="H697" s="256"/>
      <c r="I697" s="200"/>
      <c r="J697" s="30"/>
      <c r="K697" s="200"/>
      <c r="L697" s="200"/>
      <c r="M697" s="37"/>
      <c r="N697" s="37"/>
      <c r="O697" s="45"/>
      <c r="P697" s="54"/>
      <c r="Q697" s="260"/>
      <c r="R697" s="261"/>
      <c r="S697" s="261"/>
      <c r="T697" s="38"/>
      <c r="U697" s="261"/>
      <c r="V697" s="256"/>
      <c r="W697" s="256"/>
      <c r="X697" s="256"/>
      <c r="Y697" s="256"/>
      <c r="Z697" s="54"/>
      <c r="AA697" s="200"/>
      <c r="AB697" s="31"/>
      <c r="AC697" s="184"/>
      <c r="AD697" s="51"/>
      <c r="AE697" s="52"/>
      <c r="AF697" s="41"/>
      <c r="AG697" s="45"/>
      <c r="AH697" s="28"/>
      <c r="AI697" s="28"/>
      <c r="AJ697" s="28"/>
      <c r="AK697" s="28"/>
      <c r="AL697" s="12"/>
      <c r="AM697" s="12"/>
      <c r="AN697" s="12"/>
      <c r="AO697" s="12"/>
      <c r="AP697" s="12"/>
      <c r="AQ697" s="13"/>
      <c r="AR697" s="14"/>
    </row>
    <row r="698" spans="1:44" s="16" customFormat="1" ht="30.95" hidden="1" customHeight="1" x14ac:dyDescent="0.2">
      <c r="A698" s="35"/>
      <c r="B698" s="36"/>
      <c r="C698" s="43"/>
      <c r="D698" s="29">
        <v>3721227</v>
      </c>
      <c r="E698" s="29">
        <v>4151439</v>
      </c>
      <c r="F698" s="255" t="str">
        <f>IF(D698="","",VLOOKUP(D698,契約台帳!$A$3:$K$4986,6,FALSE)&amp;VLOOKUP(D698,契約台帳!$A$3:$K$4986,7,FALSE)&amp;VLOOKUP(D698,契約台帳!$A$3:$K$4986,8,FALSE)&amp;VLOOKUP(D698,契約台帳!$A$3:$K$4986,9,FALSE)&amp;VLOOKUP(D698,契約台帳!$A$3:$K$4986,11,FALSE))</f>
        <v>3SYMLBMSNMBF</v>
      </c>
      <c r="G698" s="256" t="str">
        <f>IF(D698="","",VLOOKUP(F698,製品マスタ!$G$5:$H$4999,2,FALSE))</f>
        <v>S</v>
      </c>
      <c r="H698" s="256" t="str">
        <f>IF(D698="","",VLOOKUP(F698,製品マスタ!$G$5:$K$4999,5,FALSE))</f>
        <v>MSNMBF</v>
      </c>
      <c r="I698" s="200" t="str">
        <f>IF(D698="","",VLOOKUP(F698,製品マスタ!$G$5:$L$4999,6,FALSE))</f>
        <v>ＭＥＴＡＬＵＭＹ　ＳＩＬＶＥＲ　Ｎ－ＭＡＴＴＥ　Ｘ４４Ｍ　Ｂ</v>
      </c>
      <c r="J698" s="30" t="s">
        <v>447</v>
      </c>
      <c r="K698" s="200">
        <f>IF(D698="","",VLOOKUP(D698,契約台帳!$A$3:$L$4986,12,FALSE))</f>
        <v>50</v>
      </c>
      <c r="L698" s="200" t="str">
        <f>IF(D698="","",INDEX(製品マスタ!$Q$5:$Q$4999,MATCH(F698&amp;K698,製品マスタ!$AO$5:$AO$4999,0)))</f>
        <v>X44</v>
      </c>
      <c r="M698" s="37">
        <v>1120</v>
      </c>
      <c r="N698" s="37">
        <v>12000</v>
      </c>
      <c r="O698" s="45">
        <v>1</v>
      </c>
      <c r="P698" s="54"/>
      <c r="Q698" s="260">
        <f>IF(D698="","",IF(J698="リード付け",M698,VLOOKUP(D698,契約台帳!$A$3:$N$4986,14,FALSE)))</f>
        <v>1120</v>
      </c>
      <c r="R698" s="261">
        <f>IF(D698="","",IF(J698="リード付け",M698,VLOOKUP(D698,契約台帳!$A$3:$O$4986,15,FALSE)))</f>
        <v>1120</v>
      </c>
      <c r="S698" s="261">
        <f>IF(D698="","",IF(J698="リード付け",N698,VLOOKUP(D698,契約台帳!$A$3:$P$4986,16,FALSE)))</f>
        <v>4000</v>
      </c>
      <c r="T698" s="38">
        <v>3</v>
      </c>
      <c r="U698" s="261" t="str">
        <f ca="1">IF(D698="","",IF(OFFSET(D698,-2,0)=D698,"",VLOOKUP(D698,契約台帳!$A$3:$R$4986,18,FALSE)))</f>
        <v/>
      </c>
      <c r="V698" s="256" t="str">
        <f>IF(J698="巻返し",VLOOKUP(F698&amp;K698&amp;M698,製品マスタ!$M$5:$AD$4999,18,FALSE),IF(J698="リード付け","原反コア",IF(J698="スリット",VLOOKUP(F698&amp;K698&amp;Q698,製品マスタ!$N$5:$AD$4999,17,FALSE),"")))</f>
        <v>6ｲﾝﾁMｺｱ</v>
      </c>
      <c r="W698" s="256">
        <f>IF(J698="巻返し",VLOOKUP(F698&amp;K698&amp;M698,製品マスタ!$M$5:$AE$4999,19,FALSE),IF(J698="リード付け","-",IF(J698="スリット",VLOOKUP(F698&amp;K698&amp;Q698,製品マスタ!$N$5:$AE$4999,18,FALSE),"")))</f>
        <v>1125</v>
      </c>
      <c r="X698" s="256">
        <f>IF(D698="","",VLOOKUP(D698,契約台帳!$A$3:$Q$4986,17,FALSE))</f>
        <v>2</v>
      </c>
      <c r="Y698" s="256" t="str">
        <f>IF(D698="","",VLOOKUP(D698,契約台帳!$A$3:$E$4986,5,FALSE))</f>
        <v>リンテック㈱</v>
      </c>
      <c r="Z698" s="54">
        <v>45160</v>
      </c>
      <c r="AA698" s="200">
        <f>IFERROR(VLOOKUP(F698&amp;K698&amp;M698,製品マスタ!$M$5:$AM$4999,27,FALSE),"")</f>
        <v>0</v>
      </c>
      <c r="AB698" s="31"/>
      <c r="AC698" s="184"/>
      <c r="AD698" s="51" t="str">
        <f>IF(F698="","",+F698&amp;K698)</f>
        <v>3SYMLBMSNMBF50</v>
      </c>
      <c r="AE698" s="52">
        <f>+M698*N698*O698/1000</f>
        <v>13440</v>
      </c>
      <c r="AF698" s="41">
        <f>IF(AD698="","",VLOOKUP(AD698,原価マスタ!$A$2:$AJ$1693,13,FALSE))</f>
        <v>98.8</v>
      </c>
      <c r="AG698" s="45">
        <f>IF(AF698="","",+AE698*AF698/100)</f>
        <v>13278.72</v>
      </c>
      <c r="AH698" s="28"/>
      <c r="AI698" s="28"/>
      <c r="AJ698" s="28"/>
      <c r="AK698" s="28"/>
      <c r="AL698" s="12"/>
      <c r="AM698" s="12"/>
      <c r="AN698" s="12"/>
      <c r="AO698" s="12"/>
      <c r="AP698" s="12"/>
      <c r="AQ698" s="13"/>
      <c r="AR698" s="14"/>
    </row>
    <row r="699" spans="1:44" s="16" customFormat="1" ht="30.95" hidden="1" customHeight="1" x14ac:dyDescent="0.2">
      <c r="A699" s="35"/>
      <c r="B699" s="36"/>
      <c r="C699" s="43"/>
      <c r="D699" s="29"/>
      <c r="E699" s="29"/>
      <c r="F699" s="255"/>
      <c r="G699" s="256"/>
      <c r="H699" s="256"/>
      <c r="I699" s="200"/>
      <c r="J699" s="30"/>
      <c r="K699" s="200"/>
      <c r="L699" s="200"/>
      <c r="M699" s="37"/>
      <c r="N699" s="37"/>
      <c r="O699" s="45"/>
      <c r="P699" s="54"/>
      <c r="Q699" s="260"/>
      <c r="R699" s="261"/>
      <c r="S699" s="261"/>
      <c r="T699" s="38"/>
      <c r="U699" s="261"/>
      <c r="V699" s="256"/>
      <c r="W699" s="256"/>
      <c r="X699" s="256"/>
      <c r="Y699" s="256"/>
      <c r="Z699" s="54"/>
      <c r="AA699" s="200"/>
      <c r="AB699" s="31"/>
      <c r="AC699" s="184"/>
      <c r="AD699" s="51"/>
      <c r="AE699" s="52"/>
      <c r="AF699" s="41"/>
      <c r="AG699" s="45"/>
      <c r="AH699" s="28"/>
      <c r="AI699" s="28"/>
      <c r="AJ699" s="28"/>
      <c r="AK699" s="28"/>
      <c r="AL699" s="12"/>
      <c r="AM699" s="12"/>
      <c r="AN699" s="12"/>
      <c r="AO699" s="12"/>
      <c r="AP699" s="12"/>
      <c r="AQ699" s="13"/>
      <c r="AR699" s="14"/>
    </row>
    <row r="700" spans="1:44" s="16" customFormat="1" ht="30.75" hidden="1" customHeight="1" x14ac:dyDescent="0.2">
      <c r="A700" s="35"/>
      <c r="B700" s="36"/>
      <c r="C700" s="43"/>
      <c r="D700" s="29">
        <v>3721209</v>
      </c>
      <c r="E700" s="29">
        <v>4151425</v>
      </c>
      <c r="F700" s="255" t="str">
        <f>IF(D700="","",VLOOKUP(D700,契約台帳!$A$3:$K$4986,6,FALSE)&amp;VLOOKUP(D700,契約台帳!$A$3:$K$4986,7,FALSE)&amp;VLOOKUP(D700,契約台帳!$A$3:$K$4986,8,FALSE)&amp;VLOOKUP(D700,契約台帳!$A$3:$K$4986,9,FALSE)&amp;VLOOKUP(D700,契約台帳!$A$3:$K$4986,11,FALSE))</f>
        <v>3SNMLBMNGKBF</v>
      </c>
      <c r="G700" s="256" t="str">
        <f>IF(D700="","",VLOOKUP(F700,製品マスタ!$G$5:$H$4999,2,FALSE))</f>
        <v>S</v>
      </c>
      <c r="H700" s="256" t="str">
        <f>IF(D700="","",VLOOKUP(F700,製品マスタ!$G$5:$K$4999,5,FALSE))</f>
        <v>MNGKBF</v>
      </c>
      <c r="I700" s="200" t="str">
        <f>IF(D700="","",VLOOKUP(F700,製品マスタ!$G$5:$L$4999,6,FALSE))</f>
        <v>メタルミー　ネーマー銀消　Ｂ</v>
      </c>
      <c r="J700" s="30" t="s">
        <v>447</v>
      </c>
      <c r="K700" s="200">
        <f>IF(D700="","",VLOOKUP(D700,契約台帳!$A$3:$L$4986,12,FALSE))</f>
        <v>50</v>
      </c>
      <c r="L700" s="200" t="str">
        <f>IF(D700="","",INDEX(製品マスタ!$Q$5:$Q$4999,MATCH(F700&amp;K700,製品マスタ!$AO$5:$AO$4999,0)))</f>
        <v>MAT</v>
      </c>
      <c r="M700" s="37">
        <v>1050</v>
      </c>
      <c r="N700" s="37">
        <v>12300</v>
      </c>
      <c r="O700" s="45">
        <v>1</v>
      </c>
      <c r="P700" s="54"/>
      <c r="Q700" s="260">
        <f>IF(D700="","",IF(J700="リード付け",M700,VLOOKUP(D700,契約台帳!$A$3:$N$4986,14,FALSE)))</f>
        <v>1050</v>
      </c>
      <c r="R700" s="261">
        <f>IF(D700="","",IF(J700="リード付け",M700,VLOOKUP(D700,契約台帳!$A$3:$O$4986,15,FALSE)))</f>
        <v>1050</v>
      </c>
      <c r="S700" s="261">
        <f>IF(D700="","",IF(J700="リード付け",N700,VLOOKUP(D700,契約台帳!$A$3:$P$4986,16,FALSE)))</f>
        <v>4100</v>
      </c>
      <c r="T700" s="38">
        <v>3</v>
      </c>
      <c r="U700" s="261">
        <f ca="1">IF(D700="","",IF(OFFSET(D700,-2,0)=D700,"",VLOOKUP(D700,契約台帳!$A$3:$R$4986,18,FALSE)))</f>
        <v>3</v>
      </c>
      <c r="V700" s="256" t="str">
        <f>IF(J700="巻返し",VLOOKUP(F700&amp;K700&amp;M700,製品マスタ!$M$5:$AD$4999,18,FALSE),IF(J700="リード付け","原反コア",IF(J700="スリット",VLOOKUP(F700&amp;K700&amp;Q700,製品マスタ!$N$5:$AD$4999,17,FALSE),"")))</f>
        <v>6ｲﾝﾁSｺｱ</v>
      </c>
      <c r="W700" s="256">
        <f>IF(J700="巻返し",VLOOKUP(F700&amp;K700&amp;M700,製品マスタ!$M$5:$AE$4999,19,FALSE),IF(J700="リード付け","-",IF(J700="スリット",VLOOKUP(F700&amp;K700&amp;Q700,製品マスタ!$N$5:$AE$4999,18,FALSE),"")))</f>
        <v>1055</v>
      </c>
      <c r="X700" s="256">
        <f>IF(D700="","",VLOOKUP(D700,契約台帳!$A$3:$Q$4986,17,FALSE))</f>
        <v>2</v>
      </c>
      <c r="Y700" s="256" t="str">
        <f>IF(D700="","",VLOOKUP(D700,契約台帳!$A$3:$E$4986,5,FALSE))</f>
        <v>リンテック㈱</v>
      </c>
      <c r="Z700" s="54">
        <v>45160</v>
      </c>
      <c r="AA700" s="200">
        <f>IFERROR(VLOOKUP(F700&amp;K700&amp;M700,製品マスタ!$M$5:$AM$4999,27,FALSE),"")</f>
        <v>0</v>
      </c>
      <c r="AB700" s="31"/>
      <c r="AC700" s="184"/>
      <c r="AD700" s="51" t="str">
        <f>IF(F700="","",+F700&amp;K700)</f>
        <v>3SNMLBMNGKBF50</v>
      </c>
      <c r="AE700" s="52">
        <f>+M700*N700*O700/1000</f>
        <v>12915</v>
      </c>
      <c r="AF700" s="41">
        <f>IF(AD700="","",VLOOKUP(AD700,原価マスタ!$A$2:$AJ$1693,13,FALSE))</f>
        <v>98</v>
      </c>
      <c r="AG700" s="45">
        <f>IF(AF700="","",+AE700*AF700/100)</f>
        <v>12656.7</v>
      </c>
      <c r="AH700" s="28"/>
      <c r="AI700" s="28"/>
      <c r="AJ700" s="28"/>
      <c r="AK700" s="28"/>
      <c r="AL700" s="12"/>
      <c r="AM700" s="12"/>
      <c r="AN700" s="12"/>
      <c r="AO700" s="12"/>
      <c r="AP700" s="12"/>
      <c r="AQ700" s="13"/>
      <c r="AR700" s="14"/>
    </row>
    <row r="701" spans="1:44" s="16" customFormat="1" ht="30.95" hidden="1" customHeight="1" x14ac:dyDescent="0.2">
      <c r="A701" s="35"/>
      <c r="B701" s="36"/>
      <c r="C701" s="43"/>
      <c r="D701" s="29"/>
      <c r="E701" s="29"/>
      <c r="F701" s="255"/>
      <c r="G701" s="256"/>
      <c r="H701" s="256"/>
      <c r="I701" s="200"/>
      <c r="J701" s="30"/>
      <c r="K701" s="200"/>
      <c r="L701" s="200"/>
      <c r="M701" s="37"/>
      <c r="N701" s="37"/>
      <c r="O701" s="45"/>
      <c r="P701" s="54"/>
      <c r="Q701" s="260"/>
      <c r="R701" s="261"/>
      <c r="S701" s="261"/>
      <c r="T701" s="38"/>
      <c r="U701" s="261"/>
      <c r="V701" s="256"/>
      <c r="W701" s="256"/>
      <c r="X701" s="256"/>
      <c r="Y701" s="256"/>
      <c r="Z701" s="54"/>
      <c r="AA701" s="200"/>
      <c r="AB701" s="31"/>
      <c r="AC701" s="184"/>
      <c r="AD701" s="51"/>
      <c r="AE701" s="52"/>
      <c r="AF701" s="41"/>
      <c r="AG701" s="45"/>
      <c r="AH701" s="28"/>
      <c r="AI701" s="28"/>
      <c r="AJ701" s="28"/>
      <c r="AK701" s="28"/>
      <c r="AL701" s="12"/>
      <c r="AM701" s="12"/>
      <c r="AN701" s="12"/>
      <c r="AO701" s="12"/>
      <c r="AP701" s="12"/>
      <c r="AQ701" s="13"/>
      <c r="AR701" s="14"/>
    </row>
    <row r="702" spans="1:44" s="16" customFormat="1" ht="30.75" hidden="1" customHeight="1" x14ac:dyDescent="0.2">
      <c r="A702" s="35" t="s">
        <v>540</v>
      </c>
      <c r="B702" s="36" t="s">
        <v>445</v>
      </c>
      <c r="C702" s="43"/>
      <c r="D702" s="29">
        <v>3721210</v>
      </c>
      <c r="E702" s="29">
        <v>4151426</v>
      </c>
      <c r="F702" s="255" t="str">
        <f>IF(D702="","",VLOOKUP(D702,契約台帳!$A$3:$K$4986,6,FALSE)&amp;VLOOKUP(D702,契約台帳!$A$3:$K$4986,7,FALSE)&amp;VLOOKUP(D702,契約台帳!$A$3:$K$4986,8,FALSE)&amp;VLOOKUP(D702,契約台帳!$A$3:$K$4986,9,FALSE)&amp;VLOOKUP(D702,契約台帳!$A$3:$K$4986,11,FALSE))</f>
        <v>3SNMLBMNGKBF</v>
      </c>
      <c r="G702" s="256" t="str">
        <f>IF(D702="","",VLOOKUP(F702,製品マスタ!$G$5:$H$4999,2,FALSE))</f>
        <v>S</v>
      </c>
      <c r="H702" s="256" t="str">
        <f>IF(D702="","",VLOOKUP(F702,製品マスタ!$G$5:$K$4999,5,FALSE))</f>
        <v>MNGKBF</v>
      </c>
      <c r="I702" s="200" t="str">
        <f>IF(D702="","",VLOOKUP(F702,製品マスタ!$G$5:$L$4999,6,FALSE))</f>
        <v>メタルミー　ネーマー銀消　Ｂ</v>
      </c>
      <c r="J702" s="30" t="s">
        <v>447</v>
      </c>
      <c r="K702" s="200">
        <f>IF(D702="","",VLOOKUP(D702,契約台帳!$A$3:$L$4986,12,FALSE))</f>
        <v>75</v>
      </c>
      <c r="L702" s="200" t="str">
        <f>IF(D702="","",INDEX(製品マスタ!$Q$5:$Q$4999,MATCH(F702&amp;K702,製品マスタ!$AO$5:$AO$4999,0)))</f>
        <v>MAT</v>
      </c>
      <c r="M702" s="37">
        <v>1050</v>
      </c>
      <c r="N702" s="37">
        <v>4000</v>
      </c>
      <c r="O702" s="45">
        <v>1</v>
      </c>
      <c r="P702" s="54"/>
      <c r="Q702" s="260">
        <f>IF(D702="","",IF(J702="リード付け",M702,VLOOKUP(D702,契約台帳!$A$3:$N$4986,14,FALSE)))</f>
        <v>1050</v>
      </c>
      <c r="R702" s="261">
        <f>IF(D702="","",IF(J702="リード付け",M702,VLOOKUP(D702,契約台帳!$A$3:$O$4986,15,FALSE)))</f>
        <v>1050</v>
      </c>
      <c r="S702" s="261">
        <f>IF(D702="","",IF(J702="リード付け",N702,VLOOKUP(D702,契約台帳!$A$3:$P$4986,16,FALSE)))</f>
        <v>2000</v>
      </c>
      <c r="T702" s="38">
        <v>2</v>
      </c>
      <c r="U702" s="261">
        <f ca="1">IF(D702="","",IF(OFFSET(D702,-2,0)=D702,"",VLOOKUP(D702,契約台帳!$A$3:$R$4986,18,FALSE)))</f>
        <v>2</v>
      </c>
      <c r="V702" s="256" t="str">
        <f>IF(J702="巻返し",VLOOKUP(F702&amp;K702&amp;M702,製品マスタ!$M$5:$AD$4999,18,FALSE),IF(J702="リード付け","原反コア",IF(J702="スリット",VLOOKUP(F702&amp;K702&amp;Q702,製品マスタ!$N$5:$AD$4999,17,FALSE),"")))</f>
        <v>6ｲﾝﾁSｺｱ</v>
      </c>
      <c r="W702" s="256">
        <f>IF(J702="巻返し",VLOOKUP(F702&amp;K702&amp;M702,製品マスタ!$M$5:$AE$4999,19,FALSE),IF(J702="リード付け","-",IF(J702="スリット",VLOOKUP(F702&amp;K702&amp;Q702,製品マスタ!$N$5:$AE$4999,18,FALSE),"")))</f>
        <v>1055</v>
      </c>
      <c r="X702" s="256">
        <f>IF(D702="","",VLOOKUP(D702,契約台帳!$A$3:$Q$4986,17,FALSE))</f>
        <v>2</v>
      </c>
      <c r="Y702" s="256" t="str">
        <f>IF(D702="","",VLOOKUP(D702,契約台帳!$A$3:$E$4986,5,FALSE))</f>
        <v>リンテック㈱</v>
      </c>
      <c r="Z702" s="54">
        <v>45160</v>
      </c>
      <c r="AA702" s="200">
        <f>IFERROR(VLOOKUP(F702&amp;K702&amp;M702,製品マスタ!$M$5:$AM$4999,27,FALSE),"")</f>
        <v>0</v>
      </c>
      <c r="AB702" s="31"/>
      <c r="AC702" s="184"/>
      <c r="AD702" s="51" t="str">
        <f>IF(F702="","",+F702&amp;K702)</f>
        <v>3SNMLBMNGKBF75</v>
      </c>
      <c r="AE702" s="52">
        <f>+M702*N702*O702/1000</f>
        <v>4200</v>
      </c>
      <c r="AF702" s="41">
        <f>IF(AD702="","",VLOOKUP(AD702,原価マスタ!$A$2:$AJ$1693,13,FALSE))</f>
        <v>97</v>
      </c>
      <c r="AG702" s="45">
        <f>IF(AF702="","",+AE702*AF702/100)</f>
        <v>4074</v>
      </c>
      <c r="AH702" s="28"/>
      <c r="AI702" s="28"/>
      <c r="AJ702" s="28"/>
      <c r="AK702" s="28"/>
      <c r="AL702" s="12"/>
      <c r="AM702" s="12"/>
      <c r="AN702" s="12"/>
      <c r="AO702" s="12"/>
      <c r="AP702" s="12"/>
      <c r="AQ702" s="13"/>
      <c r="AR702" s="14"/>
    </row>
    <row r="703" spans="1:44" s="16" customFormat="1" ht="30.95" hidden="1" customHeight="1" x14ac:dyDescent="0.2">
      <c r="A703" s="35"/>
      <c r="B703" s="36"/>
      <c r="C703" s="43"/>
      <c r="D703" s="29"/>
      <c r="E703" s="29"/>
      <c r="F703" s="255"/>
      <c r="G703" s="256"/>
      <c r="H703" s="256"/>
      <c r="I703" s="200"/>
      <c r="J703" s="30"/>
      <c r="K703" s="200"/>
      <c r="L703" s="200"/>
      <c r="M703" s="37"/>
      <c r="N703" s="37"/>
      <c r="O703" s="45"/>
      <c r="P703" s="54"/>
      <c r="Q703" s="260"/>
      <c r="R703" s="261"/>
      <c r="S703" s="261"/>
      <c r="T703" s="38"/>
      <c r="U703" s="261"/>
      <c r="V703" s="256"/>
      <c r="W703" s="256"/>
      <c r="X703" s="256"/>
      <c r="Y703" s="256"/>
      <c r="Z703" s="54"/>
      <c r="AA703" s="200"/>
      <c r="AB703" s="31"/>
      <c r="AC703" s="184"/>
      <c r="AD703" s="51"/>
      <c r="AE703" s="52"/>
      <c r="AF703" s="41"/>
      <c r="AG703" s="45"/>
      <c r="AH703" s="28"/>
      <c r="AI703" s="28"/>
      <c r="AJ703" s="28"/>
      <c r="AK703" s="28"/>
      <c r="AL703" s="12"/>
      <c r="AM703" s="12"/>
      <c r="AN703" s="12"/>
      <c r="AO703" s="12"/>
      <c r="AP703" s="12"/>
      <c r="AQ703" s="13"/>
      <c r="AR703" s="14"/>
    </row>
    <row r="704" spans="1:44" s="16" customFormat="1" ht="30.75" hidden="1" customHeight="1" x14ac:dyDescent="0.2">
      <c r="A704" s="35"/>
      <c r="B704" s="36"/>
      <c r="C704" s="43"/>
      <c r="D704" s="29">
        <v>3721219</v>
      </c>
      <c r="E704" s="29">
        <v>4151436</v>
      </c>
      <c r="F704" s="255" t="str">
        <f>IF(D704="","",VLOOKUP(D704,契約台帳!$A$3:$K$4986,6,FALSE)&amp;VLOOKUP(D704,契約台帳!$A$3:$K$4986,7,FALSE)&amp;VLOOKUP(D704,契約台帳!$A$3:$K$4986,8,FALSE)&amp;VLOOKUP(D704,契約台帳!$A$3:$K$4986,9,FALSE)&amp;VLOOKUP(D704,契約台帳!$A$3:$K$4986,11,FALSE))</f>
        <v>3SNMLBMNNGKBF</v>
      </c>
      <c r="G704" s="256" t="str">
        <f>IF(D704="","",VLOOKUP(F704,製品マスタ!$G$5:$H$4999,2,FALSE))</f>
        <v>S</v>
      </c>
      <c r="H704" s="256" t="str">
        <f>IF(D704="","",VLOOKUP(F704,製品マスタ!$G$5:$K$4999,5,FALSE))</f>
        <v>MNNGKBF</v>
      </c>
      <c r="I704" s="200" t="str">
        <f>IF(D704="","",VLOOKUP(F704,製品マスタ!$G$5:$L$4999,6,FALSE))</f>
        <v>メタルミー　ニューネーマー銀消　Ｂ</v>
      </c>
      <c r="J704" s="30" t="s">
        <v>447</v>
      </c>
      <c r="K704" s="200">
        <f>IF(D704="","",VLOOKUP(D704,契約台帳!$A$3:$L$4986,12,FALSE))</f>
        <v>50</v>
      </c>
      <c r="L704" s="200" t="str">
        <f>IF(D704="","",INDEX(製品マスタ!$Q$5:$Q$4999,MATCH(F704&amp;K704,製品マスタ!$AO$5:$AO$4999,0)))</f>
        <v>X44</v>
      </c>
      <c r="M704" s="37">
        <v>1000</v>
      </c>
      <c r="N704" s="37">
        <v>12000</v>
      </c>
      <c r="O704" s="45">
        <v>4</v>
      </c>
      <c r="P704" s="54"/>
      <c r="Q704" s="260">
        <f>IF(D704="","",IF(J704="リード付け",M704,VLOOKUP(D704,契約台帳!$A$3:$N$4986,14,FALSE)))</f>
        <v>1000</v>
      </c>
      <c r="R704" s="261">
        <f>IF(D704="","",IF(J704="リード付け",M704,VLOOKUP(D704,契約台帳!$A$3:$O$4986,15,FALSE)))</f>
        <v>1000</v>
      </c>
      <c r="S704" s="261">
        <f>IF(D704="","",IF(J704="リード付け",N704,VLOOKUP(D704,契約台帳!$A$3:$P$4986,16,FALSE)))</f>
        <v>4000</v>
      </c>
      <c r="T704" s="38">
        <v>12</v>
      </c>
      <c r="U704" s="261">
        <f ca="1">IF(D704="","",IF(OFFSET(D704,-2,0)=D704,"",VLOOKUP(D704,契約台帳!$A$3:$R$4986,18,FALSE)))</f>
        <v>15</v>
      </c>
      <c r="V704" s="256" t="str">
        <f>IF(J704="巻返し",VLOOKUP(F704&amp;K704&amp;M704,製品マスタ!$M$5:$AD$4999,18,FALSE),IF(J704="リード付け","原反コア",IF(J704="スリット",VLOOKUP(F704&amp;K704&amp;Q704,製品マスタ!$N$5:$AD$4999,17,FALSE),"")))</f>
        <v>6ｲﾝﾁSｺｱ</v>
      </c>
      <c r="W704" s="256">
        <f>IF(J704="巻返し",VLOOKUP(F704&amp;K704&amp;M704,製品マスタ!$M$5:$AE$4999,19,FALSE),IF(J704="リード付け","-",IF(J704="スリット",VLOOKUP(F704&amp;K704&amp;Q704,製品マスタ!$N$5:$AE$4999,18,FALSE),"")))</f>
        <v>1005</v>
      </c>
      <c r="X704" s="256">
        <f>IF(D704="","",VLOOKUP(D704,契約台帳!$A$3:$Q$4986,17,FALSE))</f>
        <v>2</v>
      </c>
      <c r="Y704" s="256" t="str">
        <f>IF(D704="","",VLOOKUP(D704,契約台帳!$A$3:$E$4986,5,FALSE))</f>
        <v>リンテック㈱</v>
      </c>
      <c r="Z704" s="54">
        <v>45160</v>
      </c>
      <c r="AA704" s="200" t="str">
        <f>IFERROR(VLOOKUP(F704&amp;K704&amp;M704,製品マスタ!$M$5:$AM$4999,27,FALSE),"")</f>
        <v>原反ケース再利用</v>
      </c>
      <c r="AB704" s="31"/>
      <c r="AC704" s="184"/>
      <c r="AD704" s="51" t="str">
        <f>IF(F704="","",+F704&amp;K704)</f>
        <v>3SNMLBMNNGKBF50</v>
      </c>
      <c r="AE704" s="52">
        <f>+M704*N704*O704/1000</f>
        <v>48000</v>
      </c>
      <c r="AF704" s="41">
        <f>IF(AD704="","",VLOOKUP(AD704,原価マスタ!$A$2:$AJ$1693,13,FALSE))</f>
        <v>99</v>
      </c>
      <c r="AG704" s="45">
        <f>IF(AF704="","",+AE704*AF704/100)</f>
        <v>47520</v>
      </c>
      <c r="AH704" s="28"/>
      <c r="AI704" s="28"/>
      <c r="AJ704" s="28"/>
      <c r="AK704" s="28"/>
      <c r="AL704" s="12"/>
      <c r="AM704" s="12"/>
      <c r="AN704" s="12"/>
      <c r="AO704" s="12"/>
      <c r="AP704" s="12"/>
      <c r="AQ704" s="13"/>
      <c r="AR704" s="14"/>
    </row>
    <row r="705" spans="1:44" s="16" customFormat="1" ht="30.95" hidden="1" customHeight="1" x14ac:dyDescent="0.2">
      <c r="A705" s="35"/>
      <c r="B705" s="36"/>
      <c r="C705" s="43"/>
      <c r="D705" s="29"/>
      <c r="E705" s="29"/>
      <c r="F705" s="255"/>
      <c r="G705" s="256"/>
      <c r="H705" s="256"/>
      <c r="I705" s="200"/>
      <c r="J705" s="30"/>
      <c r="K705" s="200"/>
      <c r="L705" s="200"/>
      <c r="M705" s="37"/>
      <c r="N705" s="37"/>
      <c r="O705" s="45"/>
      <c r="P705" s="54"/>
      <c r="Q705" s="260"/>
      <c r="R705" s="261"/>
      <c r="S705" s="261"/>
      <c r="T705" s="38"/>
      <c r="U705" s="261"/>
      <c r="V705" s="256"/>
      <c r="W705" s="256"/>
      <c r="X705" s="256"/>
      <c r="Y705" s="256"/>
      <c r="Z705" s="54"/>
      <c r="AA705" s="200"/>
      <c r="AB705" s="31"/>
      <c r="AC705" s="184"/>
      <c r="AD705" s="51"/>
      <c r="AE705" s="52"/>
      <c r="AF705" s="41"/>
      <c r="AG705" s="45"/>
      <c r="AH705" s="28"/>
      <c r="AI705" s="28"/>
      <c r="AJ705" s="28"/>
      <c r="AK705" s="28"/>
      <c r="AL705" s="12"/>
      <c r="AM705" s="12"/>
      <c r="AN705" s="12"/>
      <c r="AO705" s="12"/>
      <c r="AP705" s="12"/>
      <c r="AQ705" s="13"/>
      <c r="AR705" s="14"/>
    </row>
    <row r="706" spans="1:44" s="16" customFormat="1" ht="30.95" hidden="1" customHeight="1" x14ac:dyDescent="0.2">
      <c r="A706" s="35" t="s">
        <v>1383</v>
      </c>
      <c r="B706" s="36" t="s">
        <v>1377</v>
      </c>
      <c r="C706" s="43"/>
      <c r="D706" s="29"/>
      <c r="E706" s="29"/>
      <c r="F706" s="255"/>
      <c r="G706" s="256"/>
      <c r="H706" s="256"/>
      <c r="I706" s="200"/>
      <c r="J706" s="30" t="s">
        <v>1382</v>
      </c>
      <c r="K706" s="200"/>
      <c r="L706" s="200"/>
      <c r="M706" s="37"/>
      <c r="N706" s="37"/>
      <c r="O706" s="45"/>
      <c r="P706" s="54"/>
      <c r="Q706" s="260"/>
      <c r="R706" s="261"/>
      <c r="S706" s="261"/>
      <c r="T706" s="38"/>
      <c r="U706" s="261"/>
      <c r="V706" s="256"/>
      <c r="W706" s="256"/>
      <c r="X706" s="256"/>
      <c r="Y706" s="256"/>
      <c r="Z706" s="54"/>
      <c r="AA706" s="200"/>
      <c r="AB706" s="31"/>
      <c r="AC706" s="184"/>
      <c r="AD706" s="51"/>
      <c r="AE706" s="52"/>
      <c r="AF706" s="41"/>
      <c r="AG706" s="45"/>
      <c r="AH706" s="28"/>
      <c r="AI706" s="28"/>
      <c r="AJ706" s="28"/>
      <c r="AK706" s="28"/>
      <c r="AL706" s="12"/>
      <c r="AM706" s="12"/>
      <c r="AN706" s="12"/>
      <c r="AO706" s="12"/>
      <c r="AP706" s="12"/>
      <c r="AQ706" s="13"/>
      <c r="AR706" s="14"/>
    </row>
    <row r="707" spans="1:44" s="16" customFormat="1" ht="30.95" hidden="1" customHeight="1" x14ac:dyDescent="0.2">
      <c r="A707" s="35"/>
      <c r="B707" s="36"/>
      <c r="C707" s="43"/>
      <c r="D707" s="29"/>
      <c r="E707" s="29"/>
      <c r="F707" s="255"/>
      <c r="G707" s="256"/>
      <c r="H707" s="256"/>
      <c r="I707" s="200"/>
      <c r="J707" s="30"/>
      <c r="K707" s="200"/>
      <c r="L707" s="200"/>
      <c r="M707" s="37"/>
      <c r="N707" s="37"/>
      <c r="O707" s="45"/>
      <c r="P707" s="54"/>
      <c r="Q707" s="260"/>
      <c r="R707" s="261"/>
      <c r="S707" s="261"/>
      <c r="T707" s="38"/>
      <c r="U707" s="261"/>
      <c r="V707" s="256"/>
      <c r="W707" s="256"/>
      <c r="X707" s="256"/>
      <c r="Y707" s="256"/>
      <c r="Z707" s="54"/>
      <c r="AA707" s="200"/>
      <c r="AB707" s="31"/>
      <c r="AC707" s="184"/>
      <c r="AD707" s="51"/>
      <c r="AE707" s="52"/>
      <c r="AF707" s="41"/>
      <c r="AG707" s="45"/>
      <c r="AH707" s="28"/>
      <c r="AI707" s="28"/>
      <c r="AJ707" s="28"/>
      <c r="AK707" s="28"/>
      <c r="AL707" s="12"/>
      <c r="AM707" s="12"/>
      <c r="AN707" s="12"/>
      <c r="AO707" s="12"/>
      <c r="AP707" s="12"/>
      <c r="AQ707" s="13"/>
      <c r="AR707" s="14"/>
    </row>
    <row r="708" spans="1:44" s="16" customFormat="1" ht="30.75" hidden="1" customHeight="1" x14ac:dyDescent="0.2">
      <c r="A708" s="35" t="s">
        <v>541</v>
      </c>
      <c r="B708" s="36" t="s">
        <v>462</v>
      </c>
      <c r="C708" s="43"/>
      <c r="D708" s="29">
        <v>3721219</v>
      </c>
      <c r="E708" s="29">
        <v>4151436</v>
      </c>
      <c r="F708" s="255" t="str">
        <f>IF(D708="","",VLOOKUP(D708,契約台帳!$A$3:$K$4986,6,FALSE)&amp;VLOOKUP(D708,契約台帳!$A$3:$K$4986,7,FALSE)&amp;VLOOKUP(D708,契約台帳!$A$3:$K$4986,8,FALSE)&amp;VLOOKUP(D708,契約台帳!$A$3:$K$4986,9,FALSE)&amp;VLOOKUP(D708,契約台帳!$A$3:$K$4986,11,FALSE))</f>
        <v>3SNMLBMNNGKBF</v>
      </c>
      <c r="G708" s="256" t="str">
        <f>IF(D708="","",VLOOKUP(F708,製品マスタ!$G$5:$H$4999,2,FALSE))</f>
        <v>S</v>
      </c>
      <c r="H708" s="256" t="str">
        <f>IF(D708="","",VLOOKUP(F708,製品マスタ!$G$5:$K$4999,5,FALSE))</f>
        <v>MNNGKBF</v>
      </c>
      <c r="I708" s="200" t="str">
        <f>IF(D708="","",VLOOKUP(F708,製品マスタ!$G$5:$L$4999,6,FALSE))</f>
        <v>メタルミー　ニューネーマー銀消　Ｂ</v>
      </c>
      <c r="J708" s="30" t="s">
        <v>447</v>
      </c>
      <c r="K708" s="200">
        <f>IF(D708="","",VLOOKUP(D708,契約台帳!$A$3:$L$4986,12,FALSE))</f>
        <v>50</v>
      </c>
      <c r="L708" s="200" t="str">
        <f>IF(D708="","",INDEX(製品マスタ!$Q$5:$Q$4999,MATCH(F708&amp;K708,製品マスタ!$AO$5:$AO$4999,0)))</f>
        <v>X44</v>
      </c>
      <c r="M708" s="37">
        <v>1000</v>
      </c>
      <c r="N708" s="37">
        <v>12000</v>
      </c>
      <c r="O708" s="45">
        <v>1</v>
      </c>
      <c r="P708" s="54"/>
      <c r="Q708" s="260">
        <f>IF(D708="","",IF(J708="リード付け",M708,VLOOKUP(D708,契約台帳!$A$3:$N$4986,14,FALSE)))</f>
        <v>1000</v>
      </c>
      <c r="R708" s="261">
        <f>IF(D708="","",IF(J708="リード付け",M708,VLOOKUP(D708,契約台帳!$A$3:$O$4986,15,FALSE)))</f>
        <v>1000</v>
      </c>
      <c r="S708" s="261">
        <f>IF(D708="","",IF(J708="リード付け",N708,VLOOKUP(D708,契約台帳!$A$3:$P$4986,16,FALSE)))</f>
        <v>4000</v>
      </c>
      <c r="T708" s="38">
        <v>3</v>
      </c>
      <c r="U708" s="261">
        <f ca="1">IF(D708="","",IF(OFFSET(D708,-2,0)=D708,"",VLOOKUP(D708,契約台帳!$A$3:$R$4986,18,FALSE)))</f>
        <v>15</v>
      </c>
      <c r="V708" s="256" t="str">
        <f>IF(J708="巻返し",VLOOKUP(F708&amp;K708&amp;M708,製品マスタ!$M$5:$AD$4999,18,FALSE),IF(J708="リード付け","原反コア",IF(J708="スリット",VLOOKUP(F708&amp;K708&amp;Q708,製品マスタ!$N$5:$AD$4999,17,FALSE),"")))</f>
        <v>6ｲﾝﾁSｺｱ</v>
      </c>
      <c r="W708" s="256">
        <f>IF(J708="巻返し",VLOOKUP(F708&amp;K708&amp;M708,製品マスタ!$M$5:$AE$4999,19,FALSE),IF(J708="リード付け","-",IF(J708="スリット",VLOOKUP(F708&amp;K708&amp;Q708,製品マスタ!$N$5:$AE$4999,18,FALSE),"")))</f>
        <v>1005</v>
      </c>
      <c r="X708" s="256">
        <f>IF(D708="","",VLOOKUP(D708,契約台帳!$A$3:$Q$4986,17,FALSE))</f>
        <v>2</v>
      </c>
      <c r="Y708" s="256" t="str">
        <f>IF(D708="","",VLOOKUP(D708,契約台帳!$A$3:$E$4986,5,FALSE))</f>
        <v>リンテック㈱</v>
      </c>
      <c r="Z708" s="54">
        <v>45161</v>
      </c>
      <c r="AA708" s="200" t="str">
        <f>IFERROR(VLOOKUP(F708&amp;K708&amp;M708,製品マスタ!$M$5:$AM$4999,27,FALSE),"")</f>
        <v>原反ケース再利用</v>
      </c>
      <c r="AB708" s="31"/>
      <c r="AC708" s="184"/>
      <c r="AD708" s="51" t="str">
        <f>IF(F708="","",+F708&amp;K708)</f>
        <v>3SNMLBMNNGKBF50</v>
      </c>
      <c r="AE708" s="52">
        <f>+M708*N708*O708/1000</f>
        <v>12000</v>
      </c>
      <c r="AF708" s="41">
        <f>IF(AD708="","",VLOOKUP(AD708,原価マスタ!$A$2:$AJ$1693,13,FALSE))</f>
        <v>99</v>
      </c>
      <c r="AG708" s="45">
        <f>IF(AF708="","",+AE708*AF708/100)</f>
        <v>11880</v>
      </c>
      <c r="AH708" s="28"/>
      <c r="AI708" s="28"/>
      <c r="AJ708" s="28"/>
      <c r="AK708" s="28"/>
      <c r="AL708" s="12"/>
      <c r="AM708" s="12"/>
      <c r="AN708" s="12"/>
      <c r="AO708" s="12"/>
      <c r="AP708" s="12"/>
      <c r="AQ708" s="13"/>
      <c r="AR708" s="14"/>
    </row>
    <row r="709" spans="1:44" s="16" customFormat="1" ht="30.95" hidden="1" customHeight="1" x14ac:dyDescent="0.2">
      <c r="A709" s="35"/>
      <c r="B709" s="36"/>
      <c r="C709" s="43"/>
      <c r="D709" s="29"/>
      <c r="E709" s="29"/>
      <c r="F709" s="255"/>
      <c r="G709" s="256"/>
      <c r="H709" s="256"/>
      <c r="I709" s="200"/>
      <c r="J709" s="30"/>
      <c r="K709" s="200"/>
      <c r="L709" s="200"/>
      <c r="M709" s="37"/>
      <c r="N709" s="37"/>
      <c r="O709" s="45"/>
      <c r="P709" s="54"/>
      <c r="Q709" s="260"/>
      <c r="R709" s="261"/>
      <c r="S709" s="261"/>
      <c r="T709" s="38"/>
      <c r="U709" s="261"/>
      <c r="V709" s="256"/>
      <c r="W709" s="256"/>
      <c r="X709" s="256"/>
      <c r="Y709" s="256"/>
      <c r="Z709" s="54"/>
      <c r="AA709" s="200"/>
      <c r="AB709" s="31"/>
      <c r="AC709" s="184"/>
      <c r="AD709" s="51"/>
      <c r="AE709" s="52"/>
      <c r="AF709" s="41"/>
      <c r="AG709" s="45"/>
      <c r="AH709" s="28"/>
      <c r="AI709" s="28"/>
      <c r="AJ709" s="28"/>
      <c r="AK709" s="28"/>
      <c r="AL709" s="12"/>
      <c r="AM709" s="12"/>
      <c r="AN709" s="12"/>
      <c r="AO709" s="12"/>
      <c r="AP709" s="12"/>
      <c r="AQ709" s="13"/>
      <c r="AR709" s="14"/>
    </row>
    <row r="710" spans="1:44" s="16" customFormat="1" ht="30.75" hidden="1" customHeight="1" x14ac:dyDescent="0.2">
      <c r="A710" s="35"/>
      <c r="B710" s="36"/>
      <c r="C710" s="43"/>
      <c r="D710" s="29">
        <v>3721207</v>
      </c>
      <c r="E710" s="29">
        <v>4151429</v>
      </c>
      <c r="F710" s="255" t="str">
        <f>IF(D710="","",VLOOKUP(D710,契約台帳!$A$3:$K$4986,6,FALSE)&amp;VLOOKUP(D710,契約台帳!$A$3:$K$4986,7,FALSE)&amp;VLOOKUP(D710,契約台帳!$A$3:$K$4986,8,FALSE)&amp;VLOOKUP(D710,契約台帳!$A$3:$K$4986,9,FALSE)&amp;VLOOKUP(D710,契約台帳!$A$3:$K$4986,11,FALSE))</f>
        <v>3SNMLBMNGKKBF</v>
      </c>
      <c r="G710" s="256" t="str">
        <f>IF(D710="","",VLOOKUP(F710,製品マスタ!$G$5:$H$4999,2,FALSE))</f>
        <v>S</v>
      </c>
      <c r="H710" s="256" t="str">
        <f>IF(D710="","",VLOOKUP(F710,製品マスタ!$G$5:$K$4999,5,FALSE))</f>
        <v>MNGKKBF</v>
      </c>
      <c r="I710" s="200" t="str">
        <f>IF(D710="","",VLOOKUP(F710,製品マスタ!$G$5:$L$4999,6,FALSE))</f>
        <v>メタルミー　ネーマー銀消改　Ｂ</v>
      </c>
      <c r="J710" s="30" t="s">
        <v>447</v>
      </c>
      <c r="K710" s="200">
        <f>IF(D710="","",VLOOKUP(D710,契約台帳!$A$3:$L$4986,12,FALSE))</f>
        <v>50</v>
      </c>
      <c r="L710" s="200" t="str">
        <f>IF(D710="","",INDEX(製品マスタ!$Q$5:$Q$4999,MATCH(F710&amp;K710,製品マスタ!$AO$5:$AO$4999,0)))</f>
        <v>S99-MAT</v>
      </c>
      <c r="M710" s="37">
        <v>1120</v>
      </c>
      <c r="N710" s="37">
        <v>12000</v>
      </c>
      <c r="O710" s="45">
        <v>4</v>
      </c>
      <c r="P710" s="54"/>
      <c r="Q710" s="260">
        <f>IF(D710="","",IF(J710="リード付け",M710,VLOOKUP(D710,契約台帳!$A$3:$N$4986,14,FALSE)))</f>
        <v>1120</v>
      </c>
      <c r="R710" s="261">
        <f>IF(D710="","",IF(J710="リード付け",M710,VLOOKUP(D710,契約台帳!$A$3:$O$4986,15,FALSE)))</f>
        <v>1120</v>
      </c>
      <c r="S710" s="261">
        <f>IF(D710="","",IF(J710="リード付け",N710,VLOOKUP(D710,契約台帳!$A$3:$P$4986,16,FALSE)))</f>
        <v>4000</v>
      </c>
      <c r="T710" s="38">
        <v>12</v>
      </c>
      <c r="U710" s="261">
        <f ca="1">IF(D710="","",IF(OFFSET(D710,-2,0)=D710,"",VLOOKUP(D710,契約台帳!$A$3:$R$4986,18,FALSE)))</f>
        <v>20</v>
      </c>
      <c r="V710" s="256" t="str">
        <f>IF(J710="巻返し",VLOOKUP(F710&amp;K710&amp;M710,製品マスタ!$M$5:$AD$4999,18,FALSE),IF(J710="リード付け","原反コア",IF(J710="スリット",VLOOKUP(F710&amp;K710&amp;Q710,製品マスタ!$N$5:$AD$4999,17,FALSE),"")))</f>
        <v>6ｲﾝﾁSｺｱ</v>
      </c>
      <c r="W710" s="256">
        <f>IF(J710="巻返し",VLOOKUP(F710&amp;K710&amp;M710,製品マスタ!$M$5:$AE$4999,19,FALSE),IF(J710="リード付け","-",IF(J710="スリット",VLOOKUP(F710&amp;K710&amp;Q710,製品マスタ!$N$5:$AE$4999,18,FALSE),"")))</f>
        <v>1125</v>
      </c>
      <c r="X710" s="256">
        <f>IF(D710="","",VLOOKUP(D710,契約台帳!$A$3:$Q$4986,17,FALSE))</f>
        <v>2</v>
      </c>
      <c r="Y710" s="256" t="str">
        <f>IF(D710="","",VLOOKUP(D710,契約台帳!$A$3:$E$4986,5,FALSE))</f>
        <v>リンテック㈱</v>
      </c>
      <c r="Z710" s="54">
        <v>45161</v>
      </c>
      <c r="AA710" s="200">
        <f>IFERROR(VLOOKUP(F710&amp;K710&amp;M710,製品マスタ!$M$5:$AM$4999,27,FALSE),"")</f>
        <v>0</v>
      </c>
      <c r="AB710" s="31"/>
      <c r="AC710" s="184"/>
      <c r="AD710" s="51" t="str">
        <f>IF(F710="","",+F710&amp;K710)</f>
        <v>3SNMLBMNGKKBF50</v>
      </c>
      <c r="AE710" s="52">
        <f>+M710*N710*O710/1000</f>
        <v>53760</v>
      </c>
      <c r="AF710" s="41">
        <f>IF(AD710="","",VLOOKUP(AD710,原価マスタ!$A$2:$AJ$1693,13,FALSE))</f>
        <v>99</v>
      </c>
      <c r="AG710" s="45">
        <f>IF(AF710="","",+AE710*AF710/100)</f>
        <v>53222.400000000001</v>
      </c>
      <c r="AH710" s="28"/>
      <c r="AI710" s="28"/>
      <c r="AJ710" s="28"/>
      <c r="AK710" s="28"/>
      <c r="AL710" s="12"/>
      <c r="AM710" s="12"/>
      <c r="AN710" s="12"/>
      <c r="AO710" s="12"/>
      <c r="AP710" s="12"/>
      <c r="AQ710" s="13"/>
      <c r="AR710" s="14"/>
    </row>
    <row r="711" spans="1:44" s="16" customFormat="1" ht="30.95" hidden="1" customHeight="1" x14ac:dyDescent="0.2">
      <c r="A711" s="35"/>
      <c r="B711" s="36"/>
      <c r="C711" s="43"/>
      <c r="D711" s="29"/>
      <c r="E711" s="29"/>
      <c r="F711" s="255"/>
      <c r="G711" s="256"/>
      <c r="H711" s="256"/>
      <c r="I711" s="200"/>
      <c r="J711" s="30"/>
      <c r="K711" s="200"/>
      <c r="L711" s="200"/>
      <c r="M711" s="37"/>
      <c r="N711" s="37"/>
      <c r="O711" s="45"/>
      <c r="P711" s="54"/>
      <c r="Q711" s="260"/>
      <c r="R711" s="261"/>
      <c r="S711" s="261"/>
      <c r="T711" s="38"/>
      <c r="U711" s="261"/>
      <c r="V711" s="256"/>
      <c r="W711" s="256"/>
      <c r="X711" s="256"/>
      <c r="Y711" s="256"/>
      <c r="Z711" s="54"/>
      <c r="AA711" s="200"/>
      <c r="AB711" s="31"/>
      <c r="AC711" s="184"/>
      <c r="AD711" s="51"/>
      <c r="AE711" s="52"/>
      <c r="AF711" s="41"/>
      <c r="AG711" s="45"/>
      <c r="AH711" s="28"/>
      <c r="AI711" s="28"/>
      <c r="AJ711" s="28"/>
      <c r="AK711" s="28"/>
      <c r="AL711" s="12"/>
      <c r="AM711" s="12"/>
      <c r="AN711" s="12"/>
      <c r="AO711" s="12"/>
      <c r="AP711" s="12"/>
      <c r="AQ711" s="13"/>
      <c r="AR711" s="14"/>
    </row>
    <row r="712" spans="1:44" s="16" customFormat="1" ht="30.75" hidden="1" customHeight="1" x14ac:dyDescent="0.2">
      <c r="A712" s="35" t="s">
        <v>542</v>
      </c>
      <c r="B712" s="36" t="s">
        <v>688</v>
      </c>
      <c r="C712" s="43"/>
      <c r="D712" s="29">
        <v>3721207</v>
      </c>
      <c r="E712" s="29">
        <v>4151429</v>
      </c>
      <c r="F712" s="255" t="str">
        <f>IF(D712="","",VLOOKUP(D712,契約台帳!$A$3:$K$4986,6,FALSE)&amp;VLOOKUP(D712,契約台帳!$A$3:$K$4986,7,FALSE)&amp;VLOOKUP(D712,契約台帳!$A$3:$K$4986,8,FALSE)&amp;VLOOKUP(D712,契約台帳!$A$3:$K$4986,9,FALSE)&amp;VLOOKUP(D712,契約台帳!$A$3:$K$4986,11,FALSE))</f>
        <v>3SNMLBMNGKKBF</v>
      </c>
      <c r="G712" s="256" t="str">
        <f>IF(D712="","",VLOOKUP(F712,製品マスタ!$G$5:$H$4999,2,FALSE))</f>
        <v>S</v>
      </c>
      <c r="H712" s="256" t="str">
        <f>IF(D712="","",VLOOKUP(F712,製品マスタ!$G$5:$K$4999,5,FALSE))</f>
        <v>MNGKKBF</v>
      </c>
      <c r="I712" s="200" t="str">
        <f>IF(D712="","",VLOOKUP(F712,製品マスタ!$G$5:$L$4999,6,FALSE))</f>
        <v>メタルミー　ネーマー銀消改　Ｂ</v>
      </c>
      <c r="J712" s="30" t="s">
        <v>447</v>
      </c>
      <c r="K712" s="200">
        <f>IF(D712="","",VLOOKUP(D712,契約台帳!$A$3:$L$4986,12,FALSE))</f>
        <v>50</v>
      </c>
      <c r="L712" s="200" t="str">
        <f>IF(D712="","",INDEX(製品マスタ!$Q$5:$Q$4999,MATCH(F712&amp;K712,製品マスタ!$AO$5:$AO$4999,0)))</f>
        <v>S99-MAT</v>
      </c>
      <c r="M712" s="37">
        <v>1120</v>
      </c>
      <c r="N712" s="37">
        <v>12000</v>
      </c>
      <c r="O712" s="45">
        <v>2</v>
      </c>
      <c r="P712" s="54"/>
      <c r="Q712" s="260">
        <f>IF(D712="","",IF(J712="リード付け",M712,VLOOKUP(D712,契約台帳!$A$3:$N$4986,14,FALSE)))</f>
        <v>1120</v>
      </c>
      <c r="R712" s="261">
        <f>IF(D712="","",IF(J712="リード付け",M712,VLOOKUP(D712,契約台帳!$A$3:$O$4986,15,FALSE)))</f>
        <v>1120</v>
      </c>
      <c r="S712" s="261">
        <f>IF(D712="","",IF(J712="リード付け",N712,VLOOKUP(D712,契約台帳!$A$3:$P$4986,16,FALSE)))</f>
        <v>4000</v>
      </c>
      <c r="T712" s="38">
        <v>6</v>
      </c>
      <c r="U712" s="261" t="str">
        <f ca="1">IF(D712="","",IF(OFFSET(D712,-2,0)=D712,"",VLOOKUP(D712,契約台帳!$A$3:$R$4986,18,FALSE)))</f>
        <v/>
      </c>
      <c r="V712" s="256" t="str">
        <f>IF(J712="巻返し",VLOOKUP(F712&amp;K712&amp;M712,製品マスタ!$M$5:$AD$4999,18,FALSE),IF(J712="リード付け","原反コア",IF(J712="スリット",VLOOKUP(F712&amp;K712&amp;Q712,製品マスタ!$N$5:$AD$4999,17,FALSE),"")))</f>
        <v>6ｲﾝﾁSｺｱ</v>
      </c>
      <c r="W712" s="256">
        <f>IF(J712="巻返し",VLOOKUP(F712&amp;K712&amp;M712,製品マスタ!$M$5:$AE$4999,19,FALSE),IF(J712="リード付け","-",IF(J712="スリット",VLOOKUP(F712&amp;K712&amp;Q712,製品マスタ!$N$5:$AE$4999,18,FALSE),"")))</f>
        <v>1125</v>
      </c>
      <c r="X712" s="256">
        <f>IF(D712="","",VLOOKUP(D712,契約台帳!$A$3:$Q$4986,17,FALSE))</f>
        <v>2</v>
      </c>
      <c r="Y712" s="256" t="str">
        <f>IF(D712="","",VLOOKUP(D712,契約台帳!$A$3:$E$4986,5,FALSE))</f>
        <v>リンテック㈱</v>
      </c>
      <c r="Z712" s="54">
        <v>45162</v>
      </c>
      <c r="AA712" s="200">
        <f>IFERROR(VLOOKUP(F712&amp;K712&amp;M712,製品マスタ!$M$5:$AM$4999,27,FALSE),"")</f>
        <v>0</v>
      </c>
      <c r="AB712" s="31"/>
      <c r="AC712" s="184"/>
      <c r="AD712" s="51" t="str">
        <f>IF(F712="","",+F712&amp;K712)</f>
        <v>3SNMLBMNGKKBF50</v>
      </c>
      <c r="AE712" s="52">
        <f>+M712*N712*O712/1000</f>
        <v>26880</v>
      </c>
      <c r="AF712" s="41">
        <f>IF(AD712="","",VLOOKUP(AD712,原価マスタ!$A$2:$AJ$1693,13,FALSE))</f>
        <v>99</v>
      </c>
      <c r="AG712" s="45">
        <f>IF(AF712="","",+AE712*AF712/100)</f>
        <v>26611.200000000001</v>
      </c>
      <c r="AH712" s="28"/>
      <c r="AI712" s="28"/>
      <c r="AJ712" s="28"/>
      <c r="AK712" s="28"/>
      <c r="AL712" s="12"/>
      <c r="AM712" s="12"/>
      <c r="AN712" s="12"/>
      <c r="AO712" s="12"/>
      <c r="AP712" s="12"/>
      <c r="AQ712" s="13"/>
      <c r="AR712" s="14"/>
    </row>
    <row r="713" spans="1:44" s="16" customFormat="1" ht="30.95" hidden="1" customHeight="1" x14ac:dyDescent="0.2">
      <c r="A713" s="35"/>
      <c r="B713" s="36"/>
      <c r="C713" s="43"/>
      <c r="D713" s="29"/>
      <c r="E713" s="29"/>
      <c r="F713" s="255"/>
      <c r="G713" s="256"/>
      <c r="H713" s="256"/>
      <c r="I713" s="200"/>
      <c r="J713" s="30"/>
      <c r="K713" s="200"/>
      <c r="L713" s="200"/>
      <c r="M713" s="37"/>
      <c r="N713" s="37"/>
      <c r="O713" s="45"/>
      <c r="P713" s="54"/>
      <c r="Q713" s="260"/>
      <c r="R713" s="261"/>
      <c r="S713" s="261"/>
      <c r="T713" s="38"/>
      <c r="U713" s="261"/>
      <c r="V713" s="256"/>
      <c r="W713" s="256"/>
      <c r="X713" s="256"/>
      <c r="Y713" s="256"/>
      <c r="Z713" s="54"/>
      <c r="AA713" s="200"/>
      <c r="AB713" s="31"/>
      <c r="AC713" s="184"/>
      <c r="AD713" s="51"/>
      <c r="AE713" s="52"/>
      <c r="AF713" s="41"/>
      <c r="AG713" s="45"/>
      <c r="AH713" s="28"/>
      <c r="AI713" s="28"/>
      <c r="AJ713" s="28"/>
      <c r="AK713" s="28"/>
      <c r="AL713" s="12"/>
      <c r="AM713" s="12"/>
      <c r="AN713" s="12"/>
      <c r="AO713" s="12"/>
      <c r="AP713" s="12"/>
      <c r="AQ713" s="13"/>
      <c r="AR713" s="14"/>
    </row>
    <row r="714" spans="1:44" s="16" customFormat="1" ht="30.75" hidden="1" customHeight="1" x14ac:dyDescent="0.2">
      <c r="A714" s="35"/>
      <c r="B714" s="36"/>
      <c r="C714" s="43"/>
      <c r="D714" s="29">
        <v>3721207</v>
      </c>
      <c r="E714" s="29">
        <v>4151429</v>
      </c>
      <c r="F714" s="255" t="str">
        <f>IF(D714="","",VLOOKUP(D714,契約台帳!$A$3:$K$4986,6,FALSE)&amp;VLOOKUP(D714,契約台帳!$A$3:$K$4986,7,FALSE)&amp;VLOOKUP(D714,契約台帳!$A$3:$K$4986,8,FALSE)&amp;VLOOKUP(D714,契約台帳!$A$3:$K$4986,9,FALSE)&amp;VLOOKUP(D714,契約台帳!$A$3:$K$4986,11,FALSE))</f>
        <v>3SNMLBMNGKKBF</v>
      </c>
      <c r="G714" s="256" t="str">
        <f>IF(D714="","",VLOOKUP(F714,製品マスタ!$G$5:$H$4999,2,FALSE))</f>
        <v>S</v>
      </c>
      <c r="H714" s="256" t="str">
        <f>IF(D714="","",VLOOKUP(F714,製品マスタ!$G$5:$K$4999,5,FALSE))</f>
        <v>MNGKKBF</v>
      </c>
      <c r="I714" s="200" t="str">
        <f>IF(D714="","",VLOOKUP(F714,製品マスタ!$G$5:$L$4999,6,FALSE))</f>
        <v>メタルミー　ネーマー銀消改　Ｂ</v>
      </c>
      <c r="J714" s="30" t="s">
        <v>447</v>
      </c>
      <c r="K714" s="200">
        <f>IF(D714="","",VLOOKUP(D714,契約台帳!$A$3:$L$4986,12,FALSE))</f>
        <v>50</v>
      </c>
      <c r="L714" s="200" t="str">
        <f>IF(D714="","",INDEX(製品マスタ!$Q$5:$Q$4999,MATCH(F714&amp;K714,製品マスタ!$AO$5:$AO$4999,0)))</f>
        <v>S99-MAT</v>
      </c>
      <c r="M714" s="37">
        <v>1120</v>
      </c>
      <c r="N714" s="37">
        <v>8000</v>
      </c>
      <c r="O714" s="45">
        <v>1</v>
      </c>
      <c r="P714" s="54"/>
      <c r="Q714" s="260">
        <f>IF(D714="","",IF(J714="リード付け",M714,VLOOKUP(D714,契約台帳!$A$3:$N$4986,14,FALSE)))</f>
        <v>1120</v>
      </c>
      <c r="R714" s="261">
        <f>IF(D714="","",IF(J714="リード付け",M714,VLOOKUP(D714,契約台帳!$A$3:$O$4986,15,FALSE)))</f>
        <v>1120</v>
      </c>
      <c r="S714" s="261">
        <f>IF(D714="","",IF(J714="リード付け",N714,VLOOKUP(D714,契約台帳!$A$3:$P$4986,16,FALSE)))</f>
        <v>4000</v>
      </c>
      <c r="T714" s="38">
        <v>2</v>
      </c>
      <c r="U714" s="261" t="str">
        <f ca="1">IF(D714="","",IF(OFFSET(D714,-2,0)=D714,"",VLOOKUP(D714,契約台帳!$A$3:$R$4986,18,FALSE)))</f>
        <v/>
      </c>
      <c r="V714" s="256" t="str">
        <f>IF(J714="巻返し",VLOOKUP(F714&amp;K714&amp;M714,製品マスタ!$M$5:$AD$4999,18,FALSE),IF(J714="リード付け","原反コア",IF(J714="スリット",VLOOKUP(F714&amp;K714&amp;Q714,製品マスタ!$N$5:$AD$4999,17,FALSE),"")))</f>
        <v>6ｲﾝﾁSｺｱ</v>
      </c>
      <c r="W714" s="256">
        <f>IF(J714="巻返し",VLOOKUP(F714&amp;K714&amp;M714,製品マスタ!$M$5:$AE$4999,19,FALSE),IF(J714="リード付け","-",IF(J714="スリット",VLOOKUP(F714&amp;K714&amp;Q714,製品マスタ!$N$5:$AE$4999,18,FALSE),"")))</f>
        <v>1125</v>
      </c>
      <c r="X714" s="256">
        <f>IF(D714="","",VLOOKUP(D714,契約台帳!$A$3:$Q$4986,17,FALSE))</f>
        <v>2</v>
      </c>
      <c r="Y714" s="256" t="str">
        <f>IF(D714="","",VLOOKUP(D714,契約台帳!$A$3:$E$4986,5,FALSE))</f>
        <v>リンテック㈱</v>
      </c>
      <c r="Z714" s="54">
        <v>45162</v>
      </c>
      <c r="AA714" s="200">
        <f>IFERROR(VLOOKUP(F714&amp;K714&amp;M714,製品マスタ!$M$5:$AM$4999,27,FALSE),"")</f>
        <v>0</v>
      </c>
      <c r="AB714" s="31"/>
      <c r="AC714" s="184"/>
      <c r="AD714" s="51" t="str">
        <f>IF(F714="","",+F714&amp;K714)</f>
        <v>3SNMLBMNGKKBF50</v>
      </c>
      <c r="AE714" s="52">
        <f>+M714*N714*O714/1000</f>
        <v>8960</v>
      </c>
      <c r="AF714" s="41">
        <f>IF(AD714="","",VLOOKUP(AD714,原価マスタ!$A$2:$AJ$1693,13,FALSE))</f>
        <v>99</v>
      </c>
      <c r="AG714" s="45">
        <f>IF(AF714="","",+AE714*AF714/100)</f>
        <v>8870.4</v>
      </c>
      <c r="AH714" s="28"/>
      <c r="AI714" s="28"/>
      <c r="AJ714" s="28"/>
      <c r="AK714" s="28"/>
      <c r="AL714" s="12"/>
      <c r="AM714" s="12"/>
      <c r="AN714" s="12"/>
      <c r="AO714" s="12"/>
      <c r="AP714" s="12"/>
      <c r="AQ714" s="13"/>
      <c r="AR714" s="14"/>
    </row>
    <row r="715" spans="1:44" s="16" customFormat="1" ht="30.95" hidden="1" customHeight="1" x14ac:dyDescent="0.2">
      <c r="A715" s="35"/>
      <c r="B715" s="36"/>
      <c r="C715" s="43"/>
      <c r="D715" s="29"/>
      <c r="E715" s="29"/>
      <c r="F715" s="255"/>
      <c r="G715" s="256"/>
      <c r="H715" s="256"/>
      <c r="I715" s="200"/>
      <c r="J715" s="30"/>
      <c r="K715" s="200"/>
      <c r="L715" s="200"/>
      <c r="M715" s="37"/>
      <c r="N715" s="37"/>
      <c r="O715" s="45"/>
      <c r="P715" s="54"/>
      <c r="Q715" s="260"/>
      <c r="R715" s="261"/>
      <c r="S715" s="261"/>
      <c r="T715" s="38"/>
      <c r="U715" s="261"/>
      <c r="V715" s="256"/>
      <c r="W715" s="256"/>
      <c r="X715" s="256"/>
      <c r="Y715" s="256"/>
      <c r="Z715" s="54"/>
      <c r="AA715" s="200"/>
      <c r="AB715" s="31"/>
      <c r="AC715" s="184"/>
      <c r="AD715" s="51"/>
      <c r="AE715" s="52"/>
      <c r="AF715" s="41"/>
      <c r="AG715" s="45"/>
      <c r="AH715" s="28"/>
      <c r="AI715" s="28"/>
      <c r="AJ715" s="28"/>
      <c r="AK715" s="28"/>
      <c r="AL715" s="12"/>
      <c r="AM715" s="12"/>
      <c r="AN715" s="12"/>
      <c r="AO715" s="12"/>
      <c r="AP715" s="12"/>
      <c r="AQ715" s="13"/>
      <c r="AR715" s="14"/>
    </row>
    <row r="716" spans="1:44" s="16" customFormat="1" ht="30.75" hidden="1" customHeight="1" x14ac:dyDescent="0.2">
      <c r="A716" s="35"/>
      <c r="B716" s="36"/>
      <c r="C716" s="43"/>
      <c r="D716" s="29">
        <v>3721225</v>
      </c>
      <c r="E716" s="29">
        <v>4151442</v>
      </c>
      <c r="F716" s="255" t="str">
        <f>IF(D716="","",VLOOKUP(D716,契約台帳!$A$3:$K$4986,6,FALSE)&amp;VLOOKUP(D716,契約台帳!$A$3:$K$4986,7,FALSE)&amp;VLOOKUP(D716,契約台帳!$A$3:$K$4986,8,FALSE)&amp;VLOOKUP(D716,契約台帳!$A$3:$K$4986,9,FALSE)&amp;VLOOKUP(D716,契約台帳!$A$3:$K$4986,11,FALSE))</f>
        <v>3SNMLBMNQR66F</v>
      </c>
      <c r="G716" s="256" t="str">
        <f>IF(D716="","",VLOOKUP(F716,製品マスタ!$G$5:$H$4999,2,FALSE))</f>
        <v>S</v>
      </c>
      <c r="H716" s="256" t="str">
        <f>IF(D716="","",VLOOKUP(F716,製品マスタ!$G$5:$K$4999,5,FALSE))</f>
        <v>MNQR66F</v>
      </c>
      <c r="I716" s="200" t="str">
        <f>IF(D716="","",VLOOKUP(F716,製品マスタ!$G$5:$L$4999,6,FALSE))</f>
        <v>ＱＲ６６蒸着品</v>
      </c>
      <c r="J716" s="30" t="s">
        <v>447</v>
      </c>
      <c r="K716" s="200">
        <f>IF(D716="","",VLOOKUP(D716,契約台帳!$A$3:$L$4986,12,FALSE))</f>
        <v>25</v>
      </c>
      <c r="L716" s="200" t="str">
        <f>IF(D716="","",INDEX(製品マスタ!$Q$5:$Q$4999,MATCH(F716&amp;K716,製品マスタ!$AO$5:$AO$4999,0)))</f>
        <v>E315</v>
      </c>
      <c r="M716" s="37">
        <v>1100</v>
      </c>
      <c r="N716" s="37">
        <v>24000</v>
      </c>
      <c r="O716" s="45">
        <v>2</v>
      </c>
      <c r="P716" s="54"/>
      <c r="Q716" s="260">
        <f>IF(D716="","",IF(J716="リード付け",M716,VLOOKUP(D716,契約台帳!$A$3:$N$4986,14,FALSE)))</f>
        <v>1100</v>
      </c>
      <c r="R716" s="261">
        <f>IF(D716="","",IF(J716="リード付け",M716,VLOOKUP(D716,契約台帳!$A$3:$O$4986,15,FALSE)))</f>
        <v>1100</v>
      </c>
      <c r="S716" s="261">
        <f>IF(D716="","",IF(J716="リード付け",N716,VLOOKUP(D716,契約台帳!$A$3:$P$4986,16,FALSE)))</f>
        <v>6000</v>
      </c>
      <c r="T716" s="38">
        <v>8</v>
      </c>
      <c r="U716" s="261">
        <f ca="1">IF(D716="","",IF(OFFSET(D716,-2,0)=D716,"",VLOOKUP(D716,契約台帳!$A$3:$R$4986,18,FALSE)))</f>
        <v>8</v>
      </c>
      <c r="V716" s="256" t="str">
        <f>IF(J716="巻返し",VLOOKUP(F716&amp;K716&amp;M716,製品マスタ!$M$5:$AD$4999,18,FALSE),IF(J716="リード付け","原反コア",IF(J716="スリット",VLOOKUP(F716&amp;K716&amp;Q716,製品マスタ!$N$5:$AD$4999,17,FALSE),"")))</f>
        <v>6ｲﾝﾁMｺｱ</v>
      </c>
      <c r="W716" s="256">
        <f>IF(J716="巻返し",VLOOKUP(F716&amp;K716&amp;M716,製品マスタ!$M$5:$AE$4999,19,FALSE),IF(J716="リード付け","-",IF(J716="スリット",VLOOKUP(F716&amp;K716&amp;Q716,製品マスタ!$N$5:$AE$4999,18,FALSE),"")))</f>
        <v>1110</v>
      </c>
      <c r="X716" s="256">
        <f>IF(D716="","",VLOOKUP(D716,契約台帳!$A$3:$Q$4986,17,FALSE))</f>
        <v>2</v>
      </c>
      <c r="Y716" s="256" t="str">
        <f>IF(D716="","",VLOOKUP(D716,契約台帳!$A$3:$E$4986,5,FALSE))</f>
        <v>リンテック㈱</v>
      </c>
      <c r="Z716" s="54">
        <v>45162</v>
      </c>
      <c r="AA716" s="200" t="str">
        <f>IFERROR(VLOOKUP(F716&amp;K716&amp;M716,製品マスタ!$M$5:$AM$4999,27,FALSE),"")</f>
        <v>原反ケース再利用</v>
      </c>
      <c r="AB716" s="31"/>
      <c r="AC716" s="184"/>
      <c r="AD716" s="51" t="str">
        <f>IF(F716="","",+F716&amp;K716)</f>
        <v>3SNMLBMNQR66F25</v>
      </c>
      <c r="AE716" s="52">
        <f>+M716*N716*O716/1000</f>
        <v>52800</v>
      </c>
      <c r="AF716" s="41">
        <f>IF(AD716="","",VLOOKUP(AD716,原価マスタ!$A$2:$AJ$1693,13,FALSE))</f>
        <v>98</v>
      </c>
      <c r="AG716" s="45">
        <f>IF(AF716="","",+AE716*AF716/100)</f>
        <v>51744</v>
      </c>
      <c r="AH716" s="28"/>
      <c r="AI716" s="28"/>
      <c r="AJ716" s="28"/>
      <c r="AK716" s="28"/>
      <c r="AL716" s="12"/>
      <c r="AM716" s="12"/>
      <c r="AN716" s="12"/>
      <c r="AO716" s="12"/>
      <c r="AP716" s="12"/>
      <c r="AQ716" s="13"/>
      <c r="AR716" s="14"/>
    </row>
    <row r="717" spans="1:44" s="16" customFormat="1" ht="30.95" hidden="1" customHeight="1" x14ac:dyDescent="0.2">
      <c r="A717" s="35"/>
      <c r="B717" s="36"/>
      <c r="C717" s="43"/>
      <c r="D717" s="29"/>
      <c r="E717" s="29"/>
      <c r="F717" s="255"/>
      <c r="G717" s="256"/>
      <c r="H717" s="256"/>
      <c r="I717" s="200"/>
      <c r="J717" s="30"/>
      <c r="K717" s="200"/>
      <c r="L717" s="200"/>
      <c r="M717" s="37"/>
      <c r="N717" s="37"/>
      <c r="O717" s="45"/>
      <c r="P717" s="54"/>
      <c r="Q717" s="260"/>
      <c r="R717" s="261"/>
      <c r="S717" s="261"/>
      <c r="T717" s="38"/>
      <c r="U717" s="261"/>
      <c r="V717" s="256"/>
      <c r="W717" s="256"/>
      <c r="X717" s="256"/>
      <c r="Y717" s="256"/>
      <c r="Z717" s="54"/>
      <c r="AA717" s="200"/>
      <c r="AB717" s="31"/>
      <c r="AC717" s="184"/>
      <c r="AD717" s="51"/>
      <c r="AE717" s="52"/>
      <c r="AF717" s="41"/>
      <c r="AG717" s="45"/>
      <c r="AH717" s="28"/>
      <c r="AI717" s="28"/>
      <c r="AJ717" s="28"/>
      <c r="AK717" s="28"/>
      <c r="AL717" s="12"/>
      <c r="AM717" s="12"/>
      <c r="AN717" s="12"/>
      <c r="AO717" s="12"/>
      <c r="AP717" s="12"/>
      <c r="AQ717" s="13"/>
      <c r="AR717" s="14"/>
    </row>
    <row r="718" spans="1:44" s="16" customFormat="1" ht="30.75" hidden="1" customHeight="1" x14ac:dyDescent="0.2">
      <c r="A718" s="35" t="s">
        <v>1441</v>
      </c>
      <c r="B718" s="36" t="s">
        <v>1440</v>
      </c>
      <c r="C718" s="43"/>
      <c r="D718" s="29">
        <v>3721224</v>
      </c>
      <c r="E718" s="29">
        <v>4151441</v>
      </c>
      <c r="F718" s="255" t="str">
        <f>IF(D718="","",VLOOKUP(D718,契約台帳!$A$3:$K$4986,6,FALSE)&amp;VLOOKUP(D718,契約台帳!$A$3:$K$4986,7,FALSE)&amp;VLOOKUP(D718,契約台帳!$A$3:$K$4986,8,FALSE)&amp;VLOOKUP(D718,契約台帳!$A$3:$K$4986,9,FALSE)&amp;VLOOKUP(D718,契約台帳!$A$3:$K$4986,11,FALSE))</f>
        <v>3SNMLBMNQR66F</v>
      </c>
      <c r="G718" s="256" t="str">
        <f>IF(D718="","",VLOOKUP(F718,製品マスタ!$G$5:$H$4999,2,FALSE))</f>
        <v>S</v>
      </c>
      <c r="H718" s="256" t="str">
        <f>IF(D718="","",VLOOKUP(F718,製品マスタ!$G$5:$K$4999,5,FALSE))</f>
        <v>MNQR66F</v>
      </c>
      <c r="I718" s="200" t="str">
        <f>IF(D718="","",VLOOKUP(F718,製品マスタ!$G$5:$L$4999,6,FALSE))</f>
        <v>ＱＲ６６蒸着品</v>
      </c>
      <c r="J718" s="30" t="s">
        <v>447</v>
      </c>
      <c r="K718" s="200">
        <f>IF(D718="","",VLOOKUP(D718,契約台帳!$A$3:$L$4986,12,FALSE))</f>
        <v>25</v>
      </c>
      <c r="L718" s="200" t="str">
        <f>IF(D718="","",INDEX(製品マスタ!$Q$5:$Q$4999,MATCH(F718&amp;K718,製品マスタ!$AO$5:$AO$4999,0)))</f>
        <v>E315</v>
      </c>
      <c r="M718" s="37">
        <v>1000</v>
      </c>
      <c r="N718" s="37">
        <v>24000</v>
      </c>
      <c r="O718" s="45">
        <v>1</v>
      </c>
      <c r="P718" s="54"/>
      <c r="Q718" s="260">
        <f>IF(D718="","",IF(J718="リード付け",M718,VLOOKUP(D718,契約台帳!$A$3:$N$4986,14,FALSE)))</f>
        <v>1000</v>
      </c>
      <c r="R718" s="261">
        <f>IF(D718="","",IF(J718="リード付け",M718,VLOOKUP(D718,契約台帳!$A$3:$O$4986,15,FALSE)))</f>
        <v>1000</v>
      </c>
      <c r="S718" s="261">
        <f>IF(D718="","",IF(J718="リード付け",N718,VLOOKUP(D718,契約台帳!$A$3:$P$4986,16,FALSE)))</f>
        <v>6000</v>
      </c>
      <c r="T718" s="38">
        <v>4</v>
      </c>
      <c r="U718" s="261">
        <f ca="1">IF(D718="","",IF(OFFSET(D718,-2,0)=D718,"",VLOOKUP(D718,契約台帳!$A$3:$R$4986,18,FALSE)))</f>
        <v>4</v>
      </c>
      <c r="V718" s="256" t="str">
        <f>IF(J718="巻返し",VLOOKUP(F718&amp;K718&amp;M718,製品マスタ!$M$5:$AD$4999,18,FALSE),IF(J718="リード付け","原反コア",IF(J718="スリット",VLOOKUP(F718&amp;K718&amp;Q718,製品マスタ!$N$5:$AD$4999,17,FALSE),"")))</f>
        <v>6ｲﾝﾁMｺｱ</v>
      </c>
      <c r="W718" s="256">
        <f>IF(J718="巻返し",VLOOKUP(F718&amp;K718&amp;M718,製品マスタ!$M$5:$AE$4999,19,FALSE),IF(J718="リード付け","-",IF(J718="スリット",VLOOKUP(F718&amp;K718&amp;Q718,製品マスタ!$N$5:$AE$4999,18,FALSE),"")))</f>
        <v>1010</v>
      </c>
      <c r="X718" s="256">
        <f>IF(D718="","",VLOOKUP(D718,契約台帳!$A$3:$Q$4986,17,FALSE))</f>
        <v>2</v>
      </c>
      <c r="Y718" s="256" t="str">
        <f>IF(D718="","",VLOOKUP(D718,契約台帳!$A$3:$E$4986,5,FALSE))</f>
        <v>リンテック㈱</v>
      </c>
      <c r="Z718" s="54">
        <v>45163</v>
      </c>
      <c r="AA718" s="200" t="str">
        <f>IFERROR(VLOOKUP(F718&amp;K718&amp;M718,製品マスタ!$M$5:$AM$4999,27,FALSE),"")</f>
        <v>原反ケース再利用</v>
      </c>
      <c r="AB718" s="31"/>
      <c r="AC718" s="184"/>
      <c r="AD718" s="51" t="str">
        <f>IF(F718="","",+F718&amp;K718)</f>
        <v>3SNMLBMNQR66F25</v>
      </c>
      <c r="AE718" s="52">
        <f>+M718*N718*O718/1000</f>
        <v>24000</v>
      </c>
      <c r="AF718" s="41">
        <f>IF(AD718="","",VLOOKUP(AD718,原価マスタ!$A$2:$AJ$1693,13,FALSE))</f>
        <v>98</v>
      </c>
      <c r="AG718" s="45">
        <f>IF(AF718="","",+AE718*AF718/100)</f>
        <v>23520</v>
      </c>
      <c r="AH718" s="28"/>
      <c r="AI718" s="28"/>
      <c r="AJ718" s="28"/>
      <c r="AK718" s="28"/>
      <c r="AL718" s="12"/>
      <c r="AM718" s="12"/>
      <c r="AN718" s="12"/>
      <c r="AO718" s="12"/>
      <c r="AP718" s="12"/>
      <c r="AQ718" s="13"/>
      <c r="AR718" s="14"/>
    </row>
    <row r="719" spans="1:44" s="16" customFormat="1" ht="30.95" hidden="1" customHeight="1" x14ac:dyDescent="0.2">
      <c r="A719" s="35"/>
      <c r="B719" s="36"/>
      <c r="C719" s="43"/>
      <c r="D719" s="29"/>
      <c r="E719" s="29"/>
      <c r="F719" s="255"/>
      <c r="G719" s="256"/>
      <c r="H719" s="256"/>
      <c r="I719" s="200"/>
      <c r="J719" s="30"/>
      <c r="K719" s="200"/>
      <c r="L719" s="200"/>
      <c r="M719" s="37"/>
      <c r="N719" s="37"/>
      <c r="O719" s="45"/>
      <c r="P719" s="54"/>
      <c r="Q719" s="260"/>
      <c r="R719" s="261"/>
      <c r="S719" s="261"/>
      <c r="T719" s="38"/>
      <c r="U719" s="261"/>
      <c r="V719" s="256"/>
      <c r="W719" s="256"/>
      <c r="X719" s="256"/>
      <c r="Y719" s="256"/>
      <c r="Z719" s="54"/>
      <c r="AA719" s="200"/>
      <c r="AB719" s="31"/>
      <c r="AC719" s="184"/>
      <c r="AD719" s="51"/>
      <c r="AE719" s="52"/>
      <c r="AF719" s="41"/>
      <c r="AG719" s="45"/>
      <c r="AH719" s="28"/>
      <c r="AI719" s="28"/>
      <c r="AJ719" s="28"/>
      <c r="AK719" s="28"/>
      <c r="AL719" s="12"/>
      <c r="AM719" s="12"/>
      <c r="AN719" s="12"/>
      <c r="AO719" s="12"/>
      <c r="AP719" s="12"/>
      <c r="AQ719" s="13"/>
      <c r="AR719" s="14"/>
    </row>
    <row r="720" spans="1:44" s="16" customFormat="1" ht="30.75" hidden="1" customHeight="1" x14ac:dyDescent="0.2">
      <c r="A720" s="35"/>
      <c r="B720" s="36"/>
      <c r="C720" s="43"/>
      <c r="D720" s="29">
        <v>3721213</v>
      </c>
      <c r="E720" s="29">
        <v>4151444</v>
      </c>
      <c r="F720" s="255" t="str">
        <f>IF(D720="","",VLOOKUP(D720,契約台帳!$A$3:$K$4986,6,FALSE)&amp;VLOOKUP(D720,契約台帳!$A$3:$K$4986,7,FALSE)&amp;VLOOKUP(D720,契約台帳!$A$3:$K$4986,8,FALSE)&amp;VLOOKUP(D720,契約台帳!$A$3:$K$4986,9,FALSE)&amp;VLOOKUP(D720,契約台帳!$A$3:$K$4986,11,FALSE))</f>
        <v>3SNMLBMNGTBF</v>
      </c>
      <c r="G720" s="256" t="str">
        <f>IF(D720="","",VLOOKUP(F720,製品マスタ!$G$5:$H$4999,2,FALSE))</f>
        <v>S</v>
      </c>
      <c r="H720" s="256" t="str">
        <f>IF(D720="","",VLOOKUP(F720,製品マスタ!$G$5:$K$4999,5,FALSE))</f>
        <v>MNGTBF</v>
      </c>
      <c r="I720" s="200" t="str">
        <f>IF(D720="","",VLOOKUP(F720,製品マスタ!$G$5:$L$4999,6,FALSE))</f>
        <v>メタルミー　ネーマー　銀艶　Ｂ</v>
      </c>
      <c r="J720" s="30" t="s">
        <v>447</v>
      </c>
      <c r="K720" s="200">
        <f>IF(D720="","",VLOOKUP(D720,契約台帳!$A$3:$L$4986,12,FALSE))</f>
        <v>25</v>
      </c>
      <c r="L720" s="200" t="str">
        <f>IF(D720="","",INDEX(製品マスタ!$Q$5:$Q$4999,MATCH(F720&amp;K720,製品マスタ!$AO$5:$AO$4999,0)))</f>
        <v>T62M</v>
      </c>
      <c r="M720" s="37">
        <v>1005</v>
      </c>
      <c r="N720" s="37">
        <v>12100</v>
      </c>
      <c r="O720" s="45">
        <v>5</v>
      </c>
      <c r="P720" s="54"/>
      <c r="Q720" s="260">
        <f>IF(D720="","",IF(J720="リード付け",M720,VLOOKUP(D720,契約台帳!$A$3:$N$4986,14,FALSE)))</f>
        <v>1005</v>
      </c>
      <c r="R720" s="261">
        <f>IF(D720="","",IF(J720="リード付け",M720,VLOOKUP(D720,契約台帳!$A$3:$O$4986,15,FALSE)))</f>
        <v>1000</v>
      </c>
      <c r="S720" s="261">
        <f>IF(D720="","",IF(J720="リード付け",N720,VLOOKUP(D720,契約台帳!$A$3:$P$4986,16,FALSE)))</f>
        <v>4000</v>
      </c>
      <c r="T720" s="38">
        <v>15</v>
      </c>
      <c r="U720" s="261">
        <f ca="1">IF(D720="","",IF(OFFSET(D720,-2,0)=D720,"",VLOOKUP(D720,契約台帳!$A$3:$R$4986,18,FALSE)))</f>
        <v>15</v>
      </c>
      <c r="V720" s="256" t="str">
        <f>IF(J720="巻返し",VLOOKUP(F720&amp;K720&amp;M720,製品マスタ!$M$5:$AD$4999,18,FALSE),IF(J720="リード付け","原反コア",IF(J720="スリット",VLOOKUP(F720&amp;K720&amp;Q720,製品マスタ!$N$5:$AD$4999,17,FALSE),"")))</f>
        <v>6ｲﾝﾁSｺｱ</v>
      </c>
      <c r="W720" s="256">
        <f>IF(J720="巻返し",VLOOKUP(F720&amp;K720&amp;M720,製品マスタ!$M$5:$AE$4999,19,FALSE),IF(J720="リード付け","-",IF(J720="スリット",VLOOKUP(F720&amp;K720&amp;Q720,製品マスタ!$N$5:$AE$4999,18,FALSE),"")))</f>
        <v>1015</v>
      </c>
      <c r="X720" s="256">
        <f>IF(D720="","",VLOOKUP(D720,契約台帳!$A$3:$Q$4986,17,FALSE))</f>
        <v>2</v>
      </c>
      <c r="Y720" s="256" t="str">
        <f>IF(D720="","",VLOOKUP(D720,契約台帳!$A$3:$E$4986,5,FALSE))</f>
        <v>リンテック㈱</v>
      </c>
      <c r="Z720" s="54">
        <v>45163</v>
      </c>
      <c r="AA720" s="200">
        <f>IFERROR(VLOOKUP(F720&amp;K720&amp;M720,製品マスタ!$M$5:$AM$4999,27,FALSE),"")</f>
        <v>0</v>
      </c>
      <c r="AB720" s="31"/>
      <c r="AC720" s="184"/>
      <c r="AD720" s="51" t="str">
        <f>IF(F720="","",+F720&amp;K720)</f>
        <v>3SNMLBMNGTBF25</v>
      </c>
      <c r="AE720" s="52">
        <f>+M720*N720*O720/1000</f>
        <v>60802.5</v>
      </c>
      <c r="AF720" s="41">
        <f>IF(AD720="","",VLOOKUP(AD720,原価マスタ!$A$2:$AJ$1693,13,FALSE))</f>
        <v>97.5</v>
      </c>
      <c r="AG720" s="45">
        <f>IF(AF720="","",+AE720*AF720/100)</f>
        <v>59282.4375</v>
      </c>
      <c r="AH720" s="28"/>
      <c r="AI720" s="28"/>
      <c r="AJ720" s="28"/>
      <c r="AK720" s="28"/>
      <c r="AL720" s="12"/>
      <c r="AM720" s="12"/>
      <c r="AN720" s="12"/>
      <c r="AO720" s="12"/>
      <c r="AP720" s="12"/>
      <c r="AQ720" s="13"/>
      <c r="AR720" s="14"/>
    </row>
    <row r="721" spans="1:44" s="16" customFormat="1" ht="30.95" hidden="1" customHeight="1" x14ac:dyDescent="0.2">
      <c r="A721" s="35"/>
      <c r="B721" s="36"/>
      <c r="C721" s="43"/>
      <c r="D721" s="29"/>
      <c r="E721" s="29"/>
      <c r="F721" s="255"/>
      <c r="G721" s="256"/>
      <c r="H721" s="256"/>
      <c r="I721" s="200"/>
      <c r="J721" s="30"/>
      <c r="K721" s="200"/>
      <c r="L721" s="200"/>
      <c r="M721" s="37"/>
      <c r="N721" s="37"/>
      <c r="O721" s="45"/>
      <c r="P721" s="54"/>
      <c r="Q721" s="260"/>
      <c r="R721" s="261"/>
      <c r="S721" s="261"/>
      <c r="T721" s="38"/>
      <c r="U721" s="261"/>
      <c r="V721" s="256"/>
      <c r="W721" s="256"/>
      <c r="X721" s="256"/>
      <c r="Y721" s="256"/>
      <c r="Z721" s="54"/>
      <c r="AA721" s="200"/>
      <c r="AB721" s="31"/>
      <c r="AC721" s="184"/>
      <c r="AD721" s="51"/>
      <c r="AE721" s="52"/>
      <c r="AF721" s="41"/>
      <c r="AG721" s="45"/>
      <c r="AH721" s="28"/>
      <c r="AI721" s="28"/>
      <c r="AJ721" s="28"/>
      <c r="AK721" s="28"/>
      <c r="AL721" s="12"/>
      <c r="AM721" s="12"/>
      <c r="AN721" s="12"/>
      <c r="AO721" s="12"/>
      <c r="AP721" s="12"/>
      <c r="AQ721" s="13"/>
      <c r="AR721" s="14"/>
    </row>
    <row r="722" spans="1:44" s="16" customFormat="1" ht="30.75" hidden="1" customHeight="1" x14ac:dyDescent="0.2">
      <c r="A722" s="35" t="s">
        <v>1442</v>
      </c>
      <c r="B722" s="36" t="s">
        <v>1443</v>
      </c>
      <c r="C722" s="43"/>
      <c r="D722" s="29">
        <v>3721206</v>
      </c>
      <c r="E722" s="29">
        <v>4151428</v>
      </c>
      <c r="F722" s="255" t="str">
        <f>IF(D722="","",VLOOKUP(D722,契約台帳!$A$3:$K$4986,6,FALSE)&amp;VLOOKUP(D722,契約台帳!$A$3:$K$4986,7,FALSE)&amp;VLOOKUP(D722,契約台帳!$A$3:$K$4986,8,FALSE)&amp;VLOOKUP(D722,契約台帳!$A$3:$K$4986,9,FALSE)&amp;VLOOKUP(D722,契約台帳!$A$3:$K$4986,11,FALSE))</f>
        <v>3SNMLBMNGKKBF</v>
      </c>
      <c r="G722" s="256" t="str">
        <f>IF(D722="","",VLOOKUP(F722,製品マスタ!$G$5:$H$4999,2,FALSE))</f>
        <v>S</v>
      </c>
      <c r="H722" s="256" t="str">
        <f>IF(D722="","",VLOOKUP(F722,製品マスタ!$G$5:$K$4999,5,FALSE))</f>
        <v>MNGKKBF</v>
      </c>
      <c r="I722" s="200" t="str">
        <f>IF(D722="","",VLOOKUP(F722,製品マスタ!$G$5:$L$4999,6,FALSE))</f>
        <v>メタルミー　ネーマー銀消改　Ｂ</v>
      </c>
      <c r="J722" s="30" t="s">
        <v>447</v>
      </c>
      <c r="K722" s="200">
        <f>IF(D722="","",VLOOKUP(D722,契約台帳!$A$3:$L$4986,12,FALSE))</f>
        <v>25</v>
      </c>
      <c r="L722" s="200" t="str">
        <f>IF(D722="","",INDEX(製品マスタ!$Q$5:$Q$4999,MATCH(F722&amp;K722,製品マスタ!$AO$5:$AO$4999,0)))</f>
        <v>FMATS99</v>
      </c>
      <c r="M722" s="37">
        <v>1120</v>
      </c>
      <c r="N722" s="37">
        <v>12000</v>
      </c>
      <c r="O722" s="45">
        <v>1</v>
      </c>
      <c r="P722" s="54"/>
      <c r="Q722" s="260">
        <f>IF(D722="","",IF(J722="リード付け",M722,VLOOKUP(D722,契約台帳!$A$3:$N$4986,14,FALSE)))</f>
        <v>1120</v>
      </c>
      <c r="R722" s="261">
        <f>IF(D722="","",IF(J722="リード付け",M722,VLOOKUP(D722,契約台帳!$A$3:$O$4986,15,FALSE)))</f>
        <v>1120</v>
      </c>
      <c r="S722" s="261">
        <f>IF(D722="","",IF(J722="リード付け",N722,VLOOKUP(D722,契約台帳!$A$3:$P$4986,16,FALSE)))</f>
        <v>4000</v>
      </c>
      <c r="T722" s="38">
        <v>3</v>
      </c>
      <c r="U722" s="261">
        <f ca="1">IF(D722="","",IF(OFFSET(D722,-2,0)=D722,"",VLOOKUP(D722,契約台帳!$A$3:$R$4986,18,FALSE)))</f>
        <v>5</v>
      </c>
      <c r="V722" s="256" t="str">
        <f>IF(J722="巻返し",VLOOKUP(F722&amp;K722&amp;M722,製品マスタ!$M$5:$AD$4999,18,FALSE),IF(J722="リード付け","原反コア",IF(J722="スリット",VLOOKUP(F722&amp;K722&amp;Q722,製品マスタ!$N$5:$AD$4999,17,FALSE),"")))</f>
        <v>6ｲﾝﾁSｺｱ</v>
      </c>
      <c r="W722" s="256">
        <f>IF(J722="巻返し",VLOOKUP(F722&amp;K722&amp;M722,製品マスタ!$M$5:$AE$4999,19,FALSE),IF(J722="リード付け","-",IF(J722="スリット",VLOOKUP(F722&amp;K722&amp;Q722,製品マスタ!$N$5:$AE$4999,18,FALSE),"")))</f>
        <v>1125</v>
      </c>
      <c r="X722" s="256">
        <f>IF(D722="","",VLOOKUP(D722,契約台帳!$A$3:$Q$4986,17,FALSE))</f>
        <v>2</v>
      </c>
      <c r="Y722" s="256" t="str">
        <f>IF(D722="","",VLOOKUP(D722,契約台帳!$A$3:$E$4986,5,FALSE))</f>
        <v>リンテック㈱</v>
      </c>
      <c r="Z722" s="54">
        <v>45167</v>
      </c>
      <c r="AA722" s="200">
        <f>IFERROR(VLOOKUP(F722&amp;K722&amp;M722,製品マスタ!$M$5:$AM$4999,27,FALSE),"")</f>
        <v>0</v>
      </c>
      <c r="AB722" s="31"/>
      <c r="AC722" s="184"/>
      <c r="AD722" s="51" t="str">
        <f>IF(F722="","",+F722&amp;K722)</f>
        <v>3SNMLBMNGKKBF25</v>
      </c>
      <c r="AE722" s="52">
        <f>+M722*N722*O722/1000</f>
        <v>13440</v>
      </c>
      <c r="AF722" s="41">
        <f>IF(AD722="","",VLOOKUP(AD722,原価マスタ!$A$2:$AJ$1693,13,FALSE))</f>
        <v>96</v>
      </c>
      <c r="AG722" s="45">
        <f>IF(AF722="","",+AE722*AF722/100)</f>
        <v>12902.4</v>
      </c>
      <c r="AH722" s="28"/>
      <c r="AI722" s="28"/>
      <c r="AJ722" s="28"/>
      <c r="AK722" s="28"/>
      <c r="AL722" s="12"/>
      <c r="AM722" s="12"/>
      <c r="AN722" s="12"/>
      <c r="AO722" s="12"/>
      <c r="AP722" s="12"/>
      <c r="AQ722" s="13"/>
      <c r="AR722" s="14"/>
    </row>
    <row r="723" spans="1:44" s="16" customFormat="1" ht="30.95" hidden="1" customHeight="1" x14ac:dyDescent="0.2">
      <c r="A723" s="35"/>
      <c r="B723" s="36"/>
      <c r="C723" s="43"/>
      <c r="D723" s="29"/>
      <c r="E723" s="29"/>
      <c r="F723" s="255"/>
      <c r="G723" s="256"/>
      <c r="H723" s="256"/>
      <c r="I723" s="200"/>
      <c r="J723" s="30"/>
      <c r="K723" s="200"/>
      <c r="L723" s="200"/>
      <c r="M723" s="37"/>
      <c r="N723" s="37"/>
      <c r="O723" s="45"/>
      <c r="P723" s="54"/>
      <c r="Q723" s="260"/>
      <c r="R723" s="261"/>
      <c r="S723" s="261"/>
      <c r="T723" s="38"/>
      <c r="U723" s="261"/>
      <c r="V723" s="256"/>
      <c r="W723" s="256"/>
      <c r="X723" s="256"/>
      <c r="Y723" s="256"/>
      <c r="Z723" s="54"/>
      <c r="AA723" s="200"/>
      <c r="AB723" s="31"/>
      <c r="AC723" s="184"/>
      <c r="AD723" s="51"/>
      <c r="AE723" s="52"/>
      <c r="AF723" s="41"/>
      <c r="AG723" s="45"/>
      <c r="AH723" s="28"/>
      <c r="AI723" s="28"/>
      <c r="AJ723" s="28"/>
      <c r="AK723" s="28"/>
      <c r="AL723" s="12"/>
      <c r="AM723" s="12"/>
      <c r="AN723" s="12"/>
      <c r="AO723" s="12"/>
      <c r="AP723" s="12"/>
      <c r="AQ723" s="13"/>
      <c r="AR723" s="14"/>
    </row>
    <row r="724" spans="1:44" s="16" customFormat="1" ht="30.75" hidden="1" customHeight="1" x14ac:dyDescent="0.2">
      <c r="A724" s="35"/>
      <c r="B724" s="36"/>
      <c r="C724" s="43"/>
      <c r="D724" s="29">
        <v>3721206</v>
      </c>
      <c r="E724" s="29">
        <v>4151428</v>
      </c>
      <c r="F724" s="255" t="str">
        <f>IF(D724="","",VLOOKUP(D724,契約台帳!$A$3:$K$4986,6,FALSE)&amp;VLOOKUP(D724,契約台帳!$A$3:$K$4986,7,FALSE)&amp;VLOOKUP(D724,契約台帳!$A$3:$K$4986,8,FALSE)&amp;VLOOKUP(D724,契約台帳!$A$3:$K$4986,9,FALSE)&amp;VLOOKUP(D724,契約台帳!$A$3:$K$4986,11,FALSE))</f>
        <v>3SNMLBMNGKKBF</v>
      </c>
      <c r="G724" s="256" t="str">
        <f>IF(D724="","",VLOOKUP(F724,製品マスタ!$G$5:$H$4999,2,FALSE))</f>
        <v>S</v>
      </c>
      <c r="H724" s="256" t="str">
        <f>IF(D724="","",VLOOKUP(F724,製品マスタ!$G$5:$K$4999,5,FALSE))</f>
        <v>MNGKKBF</v>
      </c>
      <c r="I724" s="200" t="str">
        <f>IF(D724="","",VLOOKUP(F724,製品マスタ!$G$5:$L$4999,6,FALSE))</f>
        <v>メタルミー　ネーマー銀消改　Ｂ</v>
      </c>
      <c r="J724" s="30" t="s">
        <v>447</v>
      </c>
      <c r="K724" s="200">
        <f>IF(D724="","",VLOOKUP(D724,契約台帳!$A$3:$L$4986,12,FALSE))</f>
        <v>25</v>
      </c>
      <c r="L724" s="200" t="str">
        <f>IF(D724="","",INDEX(製品マスタ!$Q$5:$Q$4999,MATCH(F724&amp;K724,製品マスタ!$AO$5:$AO$4999,0)))</f>
        <v>FMATS99</v>
      </c>
      <c r="M724" s="37">
        <v>1120</v>
      </c>
      <c r="N724" s="37">
        <v>8000</v>
      </c>
      <c r="O724" s="45">
        <v>1</v>
      </c>
      <c r="P724" s="54"/>
      <c r="Q724" s="260">
        <f>IF(D724="","",IF(J724="リード付け",M724,VLOOKUP(D724,契約台帳!$A$3:$N$4986,14,FALSE)))</f>
        <v>1120</v>
      </c>
      <c r="R724" s="261">
        <f>IF(D724="","",IF(J724="リード付け",M724,VLOOKUP(D724,契約台帳!$A$3:$O$4986,15,FALSE)))</f>
        <v>1120</v>
      </c>
      <c r="S724" s="261">
        <f>IF(D724="","",IF(J724="リード付け",N724,VLOOKUP(D724,契約台帳!$A$3:$P$4986,16,FALSE)))</f>
        <v>4000</v>
      </c>
      <c r="T724" s="38">
        <v>2</v>
      </c>
      <c r="U724" s="261" t="str">
        <f ca="1">IF(D724="","",IF(OFFSET(D724,-2,0)=D724,"",VLOOKUP(D724,契約台帳!$A$3:$R$4986,18,FALSE)))</f>
        <v/>
      </c>
      <c r="V724" s="256" t="str">
        <f>IF(J724="巻返し",VLOOKUP(F724&amp;K724&amp;M724,製品マスタ!$M$5:$AD$4999,18,FALSE),IF(J724="リード付け","原反コア",IF(J724="スリット",VLOOKUP(F724&amp;K724&amp;Q724,製品マスタ!$N$5:$AD$4999,17,FALSE),"")))</f>
        <v>6ｲﾝﾁSｺｱ</v>
      </c>
      <c r="W724" s="256">
        <f>IF(J724="巻返し",VLOOKUP(F724&amp;K724&amp;M724,製品マスタ!$M$5:$AE$4999,19,FALSE),IF(J724="リード付け","-",IF(J724="スリット",VLOOKUP(F724&amp;K724&amp;Q724,製品マスタ!$N$5:$AE$4999,18,FALSE),"")))</f>
        <v>1125</v>
      </c>
      <c r="X724" s="256">
        <f>IF(D724="","",VLOOKUP(D724,契約台帳!$A$3:$Q$4986,17,FALSE))</f>
        <v>2</v>
      </c>
      <c r="Y724" s="256" t="str">
        <f>IF(D724="","",VLOOKUP(D724,契約台帳!$A$3:$E$4986,5,FALSE))</f>
        <v>リンテック㈱</v>
      </c>
      <c r="Z724" s="54">
        <v>45167</v>
      </c>
      <c r="AA724" s="200">
        <f>IFERROR(VLOOKUP(F724&amp;K724&amp;M724,製品マスタ!$M$5:$AM$4999,27,FALSE),"")</f>
        <v>0</v>
      </c>
      <c r="AB724" s="31"/>
      <c r="AC724" s="184"/>
      <c r="AD724" s="51" t="str">
        <f>IF(F724="","",+F724&amp;K724)</f>
        <v>3SNMLBMNGKKBF25</v>
      </c>
      <c r="AE724" s="52">
        <f>+M724*N724*O724/1000</f>
        <v>8960</v>
      </c>
      <c r="AF724" s="41">
        <f>IF(AD724="","",VLOOKUP(AD724,原価マスタ!$A$2:$AJ$1693,13,FALSE))</f>
        <v>96</v>
      </c>
      <c r="AG724" s="45">
        <f>IF(AF724="","",+AE724*AF724/100)</f>
        <v>8601.6</v>
      </c>
      <c r="AH724" s="28"/>
      <c r="AI724" s="28"/>
      <c r="AJ724" s="28"/>
      <c r="AK724" s="28"/>
      <c r="AL724" s="12"/>
      <c r="AM724" s="12"/>
      <c r="AN724" s="12"/>
      <c r="AO724" s="12"/>
      <c r="AP724" s="12"/>
      <c r="AQ724" s="13"/>
      <c r="AR724" s="14"/>
    </row>
    <row r="725" spans="1:44" s="16" customFormat="1" ht="30.95" hidden="1" customHeight="1" x14ac:dyDescent="0.2">
      <c r="A725" s="35"/>
      <c r="B725" s="36"/>
      <c r="C725" s="43"/>
      <c r="D725" s="29"/>
      <c r="E725" s="29"/>
      <c r="F725" s="255"/>
      <c r="G725" s="256"/>
      <c r="H725" s="256"/>
      <c r="I725" s="200"/>
      <c r="J725" s="30"/>
      <c r="K725" s="200"/>
      <c r="L725" s="200"/>
      <c r="M725" s="37"/>
      <c r="N725" s="37"/>
      <c r="O725" s="45"/>
      <c r="P725" s="54"/>
      <c r="Q725" s="260"/>
      <c r="R725" s="261"/>
      <c r="S725" s="261"/>
      <c r="T725" s="38"/>
      <c r="U725" s="261"/>
      <c r="V725" s="256"/>
      <c r="W725" s="256"/>
      <c r="X725" s="256"/>
      <c r="Y725" s="256"/>
      <c r="Z725" s="54"/>
      <c r="AA725" s="200"/>
      <c r="AB725" s="31"/>
      <c r="AC725" s="184"/>
      <c r="AD725" s="51"/>
      <c r="AE725" s="52"/>
      <c r="AF725" s="41"/>
      <c r="AG725" s="45"/>
      <c r="AH725" s="28"/>
      <c r="AI725" s="28"/>
      <c r="AJ725" s="28"/>
      <c r="AK725" s="28"/>
      <c r="AL725" s="12"/>
      <c r="AM725" s="12"/>
      <c r="AN725" s="12"/>
      <c r="AO725" s="12"/>
      <c r="AP725" s="12"/>
      <c r="AQ725" s="13"/>
      <c r="AR725" s="14"/>
    </row>
    <row r="726" spans="1:44" s="16" customFormat="1" ht="30.75" hidden="1" customHeight="1" x14ac:dyDescent="0.2">
      <c r="A726" s="35"/>
      <c r="B726" s="36"/>
      <c r="C726" s="43"/>
      <c r="D726" s="29">
        <v>3721205</v>
      </c>
      <c r="E726" s="29">
        <v>4151427</v>
      </c>
      <c r="F726" s="255" t="str">
        <f>IF(D726="","",VLOOKUP(D726,契約台帳!$A$3:$K$4986,6,FALSE)&amp;VLOOKUP(D726,契約台帳!$A$3:$K$4986,7,FALSE)&amp;VLOOKUP(D726,契約台帳!$A$3:$K$4986,8,FALSE)&amp;VLOOKUP(D726,契約台帳!$A$3:$K$4986,9,FALSE)&amp;VLOOKUP(D726,契約台帳!$A$3:$K$4986,11,FALSE))</f>
        <v>3SNMLBMNGKKBF</v>
      </c>
      <c r="G726" s="256" t="str">
        <f>IF(D726="","",VLOOKUP(F726,製品マスタ!$G$5:$H$4999,2,FALSE))</f>
        <v>S</v>
      </c>
      <c r="H726" s="256" t="str">
        <f>IF(D726="","",VLOOKUP(F726,製品マスタ!$G$5:$K$4999,5,FALSE))</f>
        <v>MNGKKBF</v>
      </c>
      <c r="I726" s="200" t="str">
        <f>IF(D726="","",VLOOKUP(F726,製品マスタ!$G$5:$L$4999,6,FALSE))</f>
        <v>メタルミー　ネーマー銀消改　Ｂ</v>
      </c>
      <c r="J726" s="30" t="s">
        <v>447</v>
      </c>
      <c r="K726" s="200">
        <f>IF(D726="","",VLOOKUP(D726,契約台帳!$A$3:$L$4986,12,FALSE))</f>
        <v>25</v>
      </c>
      <c r="L726" s="200" t="str">
        <f>IF(D726="","",INDEX(製品マスタ!$Q$5:$Q$4999,MATCH(F726&amp;K726,製品マスタ!$AO$5:$AO$4999,0)))</f>
        <v>FMATS99</v>
      </c>
      <c r="M726" s="37">
        <v>1000</v>
      </c>
      <c r="N726" s="37">
        <v>12000</v>
      </c>
      <c r="O726" s="45">
        <v>1</v>
      </c>
      <c r="P726" s="54"/>
      <c r="Q726" s="260">
        <f>IF(D726="","",IF(J726="リード付け",M726,VLOOKUP(D726,契約台帳!$A$3:$N$4986,14,FALSE)))</f>
        <v>1000</v>
      </c>
      <c r="R726" s="261">
        <f>IF(D726="","",IF(J726="リード付け",M726,VLOOKUP(D726,契約台帳!$A$3:$O$4986,15,FALSE)))</f>
        <v>1000</v>
      </c>
      <c r="S726" s="261">
        <f>IF(D726="","",IF(J726="リード付け",N726,VLOOKUP(D726,契約台帳!$A$3:$P$4986,16,FALSE)))</f>
        <v>4000</v>
      </c>
      <c r="T726" s="38">
        <v>3</v>
      </c>
      <c r="U726" s="261">
        <f ca="1">IF(D726="","",IF(OFFSET(D726,-2,0)=D726,"",VLOOKUP(D726,契約台帳!$A$3:$R$4986,18,FALSE)))</f>
        <v>3</v>
      </c>
      <c r="V726" s="256" t="str">
        <f>IF(J726="巻返し",VLOOKUP(F726&amp;K726&amp;M726,製品マスタ!$M$5:$AD$4999,18,FALSE),IF(J726="リード付け","原反コア",IF(J726="スリット",VLOOKUP(F726&amp;K726&amp;Q726,製品マスタ!$N$5:$AD$4999,17,FALSE),"")))</f>
        <v>6ｲﾝﾁSｺｱ</v>
      </c>
      <c r="W726" s="256">
        <f>IF(J726="巻返し",VLOOKUP(F726&amp;K726&amp;M726,製品マスタ!$M$5:$AE$4999,19,FALSE),IF(J726="リード付け","-",IF(J726="スリット",VLOOKUP(F726&amp;K726&amp;Q726,製品マスタ!$N$5:$AE$4999,18,FALSE),"")))</f>
        <v>1005</v>
      </c>
      <c r="X726" s="256">
        <f>IF(D726="","",VLOOKUP(D726,契約台帳!$A$3:$Q$4986,17,FALSE))</f>
        <v>2</v>
      </c>
      <c r="Y726" s="256" t="str">
        <f>IF(D726="","",VLOOKUP(D726,契約台帳!$A$3:$E$4986,5,FALSE))</f>
        <v>リンテック㈱</v>
      </c>
      <c r="Z726" s="54">
        <v>45167</v>
      </c>
      <c r="AA726" s="200">
        <f>IFERROR(VLOOKUP(F726&amp;K726&amp;M726,製品マスタ!$M$5:$AM$4999,27,FALSE),"")</f>
        <v>0</v>
      </c>
      <c r="AB726" s="31"/>
      <c r="AC726" s="184"/>
      <c r="AD726" s="51" t="str">
        <f>IF(F726="","",+F726&amp;K726)</f>
        <v>3SNMLBMNGKKBF25</v>
      </c>
      <c r="AE726" s="52">
        <f>+M726*N726*O726/1000</f>
        <v>12000</v>
      </c>
      <c r="AF726" s="41">
        <f>IF(AD726="","",VLOOKUP(AD726,原価マスタ!$A$2:$AJ$1693,13,FALSE))</f>
        <v>96</v>
      </c>
      <c r="AG726" s="45">
        <f>IF(AF726="","",+AE726*AF726/100)</f>
        <v>11520</v>
      </c>
      <c r="AH726" s="28"/>
      <c r="AI726" s="28"/>
      <c r="AJ726" s="28"/>
      <c r="AK726" s="28"/>
      <c r="AL726" s="12"/>
      <c r="AM726" s="12"/>
      <c r="AN726" s="12"/>
      <c r="AO726" s="12"/>
      <c r="AP726" s="12"/>
      <c r="AQ726" s="13"/>
      <c r="AR726" s="14"/>
    </row>
    <row r="727" spans="1:44" s="16" customFormat="1" ht="30.95" hidden="1" customHeight="1" x14ac:dyDescent="0.2">
      <c r="A727" s="35"/>
      <c r="B727" s="36"/>
      <c r="C727" s="43"/>
      <c r="D727" s="29"/>
      <c r="E727" s="29"/>
      <c r="F727" s="255"/>
      <c r="G727" s="256"/>
      <c r="H727" s="256"/>
      <c r="I727" s="200"/>
      <c r="J727" s="30"/>
      <c r="K727" s="200"/>
      <c r="L727" s="200"/>
      <c r="M727" s="37"/>
      <c r="N727" s="37"/>
      <c r="O727" s="45"/>
      <c r="P727" s="54"/>
      <c r="Q727" s="260"/>
      <c r="R727" s="261"/>
      <c r="S727" s="261"/>
      <c r="T727" s="38"/>
      <c r="U727" s="261"/>
      <c r="V727" s="256"/>
      <c r="W727" s="256"/>
      <c r="X727" s="256"/>
      <c r="Y727" s="256"/>
      <c r="Z727" s="54"/>
      <c r="AA727" s="200"/>
      <c r="AB727" s="31"/>
      <c r="AC727" s="184"/>
      <c r="AD727" s="51"/>
      <c r="AE727" s="52"/>
      <c r="AF727" s="41"/>
      <c r="AG727" s="45"/>
      <c r="AH727" s="28"/>
      <c r="AI727" s="28"/>
      <c r="AJ727" s="28"/>
      <c r="AK727" s="28"/>
      <c r="AL727" s="12"/>
      <c r="AM727" s="12"/>
      <c r="AN727" s="12"/>
      <c r="AO727" s="12"/>
      <c r="AP727" s="12"/>
      <c r="AQ727" s="13"/>
      <c r="AR727" s="14"/>
    </row>
    <row r="728" spans="1:44" s="16" customFormat="1" ht="30.75" hidden="1" customHeight="1" x14ac:dyDescent="0.2">
      <c r="A728" s="35" t="s">
        <v>1444</v>
      </c>
      <c r="B728" s="36" t="s">
        <v>1445</v>
      </c>
      <c r="C728" s="43"/>
      <c r="D728" s="29">
        <v>3721208</v>
      </c>
      <c r="E728" s="29">
        <v>4151430</v>
      </c>
      <c r="F728" s="255" t="str">
        <f>IF(D728="","",VLOOKUP(D728,契約台帳!$A$3:$K$4986,6,FALSE)&amp;VLOOKUP(D728,契約台帳!$A$3:$K$4986,7,FALSE)&amp;VLOOKUP(D728,契約台帳!$A$3:$K$4986,8,FALSE)&amp;VLOOKUP(D728,契約台帳!$A$3:$K$4986,9,FALSE)&amp;VLOOKUP(D728,契約台帳!$A$3:$K$4986,11,FALSE))</f>
        <v>3SNMLBMNGKKBF</v>
      </c>
      <c r="G728" s="256" t="str">
        <f>IF(D728="","",VLOOKUP(F728,製品マスタ!$G$5:$H$4999,2,FALSE))</f>
        <v>S</v>
      </c>
      <c r="H728" s="256" t="str">
        <f>IF(D728="","",VLOOKUP(F728,製品マスタ!$G$5:$K$4999,5,FALSE))</f>
        <v>MNGKKBF</v>
      </c>
      <c r="I728" s="200" t="str">
        <f>IF(D728="","",VLOOKUP(F728,製品マスタ!$G$5:$L$4999,6,FALSE))</f>
        <v>メタルミー　ネーマー銀消改　Ｂ</v>
      </c>
      <c r="J728" s="30" t="s">
        <v>447</v>
      </c>
      <c r="K728" s="200">
        <f>IF(D728="","",VLOOKUP(D728,契約台帳!$A$3:$L$4986,12,FALSE))</f>
        <v>50</v>
      </c>
      <c r="L728" s="200" t="str">
        <f>IF(D728="","",INDEX(製品マスタ!$Q$5:$Q$4999,MATCH(F728&amp;K728,製品マスタ!$AO$5:$AO$4999,0)))</f>
        <v>S99-MAT</v>
      </c>
      <c r="M728" s="37">
        <v>1120</v>
      </c>
      <c r="N728" s="37">
        <v>12000</v>
      </c>
      <c r="O728" s="45">
        <v>4</v>
      </c>
      <c r="P728" s="54"/>
      <c r="Q728" s="260">
        <f>IF(D728="","",IF(J728="リード付け",M728,VLOOKUP(D728,契約台帳!$A$3:$N$4986,14,FALSE)))</f>
        <v>1120</v>
      </c>
      <c r="R728" s="261">
        <f>IF(D728="","",IF(J728="リード付け",M728,VLOOKUP(D728,契約台帳!$A$3:$O$4986,15,FALSE)))</f>
        <v>1120</v>
      </c>
      <c r="S728" s="261">
        <f>IF(D728="","",IF(J728="リード付け",N728,VLOOKUP(D728,契約台帳!$A$3:$P$4986,16,FALSE)))</f>
        <v>4000</v>
      </c>
      <c r="T728" s="38">
        <v>12</v>
      </c>
      <c r="U728" s="261">
        <f ca="1">IF(D728="","",IF(OFFSET(D728,-2,0)=D728,"",VLOOKUP(D728,契約台帳!$A$3:$R$4986,18,FALSE)))</f>
        <v>20</v>
      </c>
      <c r="V728" s="256" t="str">
        <f>IF(J728="巻返し",VLOOKUP(F728&amp;K728&amp;M728,製品マスタ!$M$5:$AD$4999,18,FALSE),IF(J728="リード付け","原反コア",IF(J728="スリット",VLOOKUP(F728&amp;K728&amp;Q728,製品マスタ!$N$5:$AD$4999,17,FALSE),"")))</f>
        <v>6ｲﾝﾁSｺｱ</v>
      </c>
      <c r="W728" s="256">
        <f>IF(J728="巻返し",VLOOKUP(F728&amp;K728&amp;M728,製品マスタ!$M$5:$AE$4999,19,FALSE),IF(J728="リード付け","-",IF(J728="スリット",VLOOKUP(F728&amp;K728&amp;Q728,製品マスタ!$N$5:$AE$4999,18,FALSE),"")))</f>
        <v>1125</v>
      </c>
      <c r="X728" s="256">
        <f>IF(D728="","",VLOOKUP(D728,契約台帳!$A$3:$Q$4986,17,FALSE))</f>
        <v>2</v>
      </c>
      <c r="Y728" s="256" t="str">
        <f>IF(D728="","",VLOOKUP(D728,契約台帳!$A$3:$E$4986,5,FALSE))</f>
        <v>リンテック㈱</v>
      </c>
      <c r="Z728" s="54">
        <v>45167</v>
      </c>
      <c r="AA728" s="200">
        <f>IFERROR(VLOOKUP(F728&amp;K728&amp;M728,製品マスタ!$M$5:$AM$4999,27,FALSE),"")</f>
        <v>0</v>
      </c>
      <c r="AB728" s="31"/>
      <c r="AC728" s="184"/>
      <c r="AD728" s="51" t="str">
        <f>IF(F728="","",+F728&amp;K728)</f>
        <v>3SNMLBMNGKKBF50</v>
      </c>
      <c r="AE728" s="52">
        <f>+M728*N728*O728/1000</f>
        <v>53760</v>
      </c>
      <c r="AF728" s="41">
        <f>IF(AD728="","",VLOOKUP(AD728,原価マスタ!$A$2:$AJ$1693,13,FALSE))</f>
        <v>99</v>
      </c>
      <c r="AG728" s="45">
        <f>IF(AF728="","",+AE728*AF728/100)</f>
        <v>53222.400000000001</v>
      </c>
      <c r="AH728" s="28"/>
      <c r="AI728" s="28"/>
      <c r="AJ728" s="28"/>
      <c r="AK728" s="28"/>
      <c r="AL728" s="12"/>
      <c r="AM728" s="12"/>
      <c r="AN728" s="12"/>
      <c r="AO728" s="12"/>
      <c r="AP728" s="12"/>
      <c r="AQ728" s="13"/>
      <c r="AR728" s="14"/>
    </row>
    <row r="729" spans="1:44" s="16" customFormat="1" ht="30.95" hidden="1" customHeight="1" x14ac:dyDescent="0.2">
      <c r="A729" s="35"/>
      <c r="B729" s="36"/>
      <c r="C729" s="43"/>
      <c r="D729" s="29"/>
      <c r="E729" s="29"/>
      <c r="F729" s="255"/>
      <c r="G729" s="256"/>
      <c r="H729" s="256"/>
      <c r="I729" s="200"/>
      <c r="J729" s="30"/>
      <c r="K729" s="200"/>
      <c r="L729" s="200"/>
      <c r="M729" s="37"/>
      <c r="N729" s="37"/>
      <c r="O729" s="45"/>
      <c r="P729" s="54"/>
      <c r="Q729" s="260"/>
      <c r="R729" s="261"/>
      <c r="S729" s="261"/>
      <c r="T729" s="38"/>
      <c r="U729" s="261"/>
      <c r="V729" s="256"/>
      <c r="W729" s="256"/>
      <c r="X729" s="256"/>
      <c r="Y729" s="256"/>
      <c r="Z729" s="54"/>
      <c r="AA729" s="200"/>
      <c r="AB729" s="31"/>
      <c r="AC729" s="184"/>
      <c r="AD729" s="51"/>
      <c r="AE729" s="52"/>
      <c r="AF729" s="41"/>
      <c r="AG729" s="45"/>
      <c r="AH729" s="28"/>
      <c r="AI729" s="28"/>
      <c r="AJ729" s="28"/>
      <c r="AK729" s="28"/>
      <c r="AL729" s="12"/>
      <c r="AM729" s="12"/>
      <c r="AN729" s="12"/>
      <c r="AO729" s="12"/>
      <c r="AP729" s="12"/>
      <c r="AQ729" s="13"/>
      <c r="AR729" s="14"/>
    </row>
    <row r="730" spans="1:44" s="16" customFormat="1" ht="30.75" hidden="1" customHeight="1" x14ac:dyDescent="0.2">
      <c r="A730" s="35"/>
      <c r="B730" s="36"/>
      <c r="C730" s="43"/>
      <c r="D730" s="29">
        <v>3721208</v>
      </c>
      <c r="E730" s="29">
        <v>4151430</v>
      </c>
      <c r="F730" s="255" t="str">
        <f>IF(D730="","",VLOOKUP(D730,契約台帳!$A$3:$K$4986,6,FALSE)&amp;VLOOKUP(D730,契約台帳!$A$3:$K$4986,7,FALSE)&amp;VLOOKUP(D730,契約台帳!$A$3:$K$4986,8,FALSE)&amp;VLOOKUP(D730,契約台帳!$A$3:$K$4986,9,FALSE)&amp;VLOOKUP(D730,契約台帳!$A$3:$K$4986,11,FALSE))</f>
        <v>3SNMLBMNGKKBF</v>
      </c>
      <c r="G730" s="256" t="str">
        <f>IF(D730="","",VLOOKUP(F730,製品マスタ!$G$5:$H$4999,2,FALSE))</f>
        <v>S</v>
      </c>
      <c r="H730" s="256" t="str">
        <f>IF(D730="","",VLOOKUP(F730,製品マスタ!$G$5:$K$4999,5,FALSE))</f>
        <v>MNGKKBF</v>
      </c>
      <c r="I730" s="200" t="str">
        <f>IF(D730="","",VLOOKUP(F730,製品マスタ!$G$5:$L$4999,6,FALSE))</f>
        <v>メタルミー　ネーマー銀消改　Ｂ</v>
      </c>
      <c r="J730" s="30" t="s">
        <v>447</v>
      </c>
      <c r="K730" s="200">
        <f>IF(D730="","",VLOOKUP(D730,契約台帳!$A$3:$L$4986,12,FALSE))</f>
        <v>50</v>
      </c>
      <c r="L730" s="200" t="str">
        <f>IF(D730="","",INDEX(製品マスタ!$Q$5:$Q$4999,MATCH(F730&amp;K730,製品マスタ!$AO$5:$AO$4999,0)))</f>
        <v>S99-MAT</v>
      </c>
      <c r="M730" s="37">
        <v>1120</v>
      </c>
      <c r="N730" s="37">
        <v>12000</v>
      </c>
      <c r="O730" s="45">
        <v>2</v>
      </c>
      <c r="P730" s="54"/>
      <c r="Q730" s="260">
        <f>IF(D730="","",IF(J730="リード付け",M730,VLOOKUP(D730,契約台帳!$A$3:$N$4986,14,FALSE)))</f>
        <v>1120</v>
      </c>
      <c r="R730" s="261">
        <f>IF(D730="","",IF(J730="リード付け",M730,VLOOKUP(D730,契約台帳!$A$3:$O$4986,15,FALSE)))</f>
        <v>1120</v>
      </c>
      <c r="S730" s="261">
        <f>IF(D730="","",IF(J730="リード付け",N730,VLOOKUP(D730,契約台帳!$A$3:$P$4986,16,FALSE)))</f>
        <v>4000</v>
      </c>
      <c r="T730" s="38">
        <v>6</v>
      </c>
      <c r="U730" s="261" t="str">
        <f ca="1">IF(D730="","",IF(OFFSET(D730,-2,0)=D730,"",VLOOKUP(D730,契約台帳!$A$3:$R$4986,18,FALSE)))</f>
        <v/>
      </c>
      <c r="V730" s="256" t="str">
        <f>IF(J730="巻返し",VLOOKUP(F730&amp;K730&amp;M730,製品マスタ!$M$5:$AD$4999,18,FALSE),IF(J730="リード付け","原反コア",IF(J730="スリット",VLOOKUP(F730&amp;K730&amp;Q730,製品マスタ!$N$5:$AD$4999,17,FALSE),"")))</f>
        <v>6ｲﾝﾁSｺｱ</v>
      </c>
      <c r="W730" s="256">
        <f>IF(J730="巻返し",VLOOKUP(F730&amp;K730&amp;M730,製品マスタ!$M$5:$AE$4999,19,FALSE),IF(J730="リード付け","-",IF(J730="スリット",VLOOKUP(F730&amp;K730&amp;Q730,製品マスタ!$N$5:$AE$4999,18,FALSE),"")))</f>
        <v>1125</v>
      </c>
      <c r="X730" s="256">
        <f>IF(D730="","",VLOOKUP(D730,契約台帳!$A$3:$Q$4986,17,FALSE))</f>
        <v>2</v>
      </c>
      <c r="Y730" s="256" t="str">
        <f>IF(D730="","",VLOOKUP(D730,契約台帳!$A$3:$E$4986,5,FALSE))</f>
        <v>リンテック㈱</v>
      </c>
      <c r="Z730" s="54">
        <v>45167</v>
      </c>
      <c r="AA730" s="200">
        <f>IFERROR(VLOOKUP(F730&amp;K730&amp;M730,製品マスタ!$M$5:$AM$4999,27,FALSE),"")</f>
        <v>0</v>
      </c>
      <c r="AB730" s="31"/>
      <c r="AC730" s="184"/>
      <c r="AD730" s="51" t="str">
        <f>IF(F730="","",+F730&amp;K730)</f>
        <v>3SNMLBMNGKKBF50</v>
      </c>
      <c r="AE730" s="52">
        <f>+M730*N730*O730/1000</f>
        <v>26880</v>
      </c>
      <c r="AF730" s="41">
        <f>IF(AD730="","",VLOOKUP(AD730,原価マスタ!$A$2:$AJ$1693,13,FALSE))</f>
        <v>99</v>
      </c>
      <c r="AG730" s="45">
        <f>IF(AF730="","",+AE730*AF730/100)</f>
        <v>26611.200000000001</v>
      </c>
      <c r="AH730" s="28"/>
      <c r="AI730" s="28"/>
      <c r="AJ730" s="28"/>
      <c r="AK730" s="28"/>
      <c r="AL730" s="12"/>
      <c r="AM730" s="12"/>
      <c r="AN730" s="12"/>
      <c r="AO730" s="12"/>
      <c r="AP730" s="12"/>
      <c r="AQ730" s="13"/>
      <c r="AR730" s="14"/>
    </row>
    <row r="731" spans="1:44" s="16" customFormat="1" ht="30.95" hidden="1" customHeight="1" x14ac:dyDescent="0.2">
      <c r="A731" s="35"/>
      <c r="B731" s="36"/>
      <c r="C731" s="43"/>
      <c r="D731" s="29"/>
      <c r="E731" s="29"/>
      <c r="F731" s="255"/>
      <c r="G731" s="256"/>
      <c r="H731" s="256"/>
      <c r="I731" s="200"/>
      <c r="J731" s="30"/>
      <c r="K731" s="200"/>
      <c r="L731" s="200"/>
      <c r="M731" s="37"/>
      <c r="N731" s="37"/>
      <c r="O731" s="45"/>
      <c r="P731" s="54"/>
      <c r="Q731" s="260"/>
      <c r="R731" s="261"/>
      <c r="S731" s="261"/>
      <c r="T731" s="38"/>
      <c r="U731" s="261"/>
      <c r="V731" s="256"/>
      <c r="W731" s="256"/>
      <c r="X731" s="256"/>
      <c r="Y731" s="256"/>
      <c r="Z731" s="54"/>
      <c r="AA731" s="200"/>
      <c r="AB731" s="31"/>
      <c r="AC731" s="184"/>
      <c r="AD731" s="51"/>
      <c r="AE731" s="52"/>
      <c r="AF731" s="41"/>
      <c r="AG731" s="45"/>
      <c r="AH731" s="28"/>
      <c r="AI731" s="28"/>
      <c r="AJ731" s="28"/>
      <c r="AK731" s="28"/>
      <c r="AL731" s="12"/>
      <c r="AM731" s="12"/>
      <c r="AN731" s="12"/>
      <c r="AO731" s="12"/>
      <c r="AP731" s="12"/>
      <c r="AQ731" s="13"/>
      <c r="AR731" s="14"/>
    </row>
    <row r="732" spans="1:44" s="16" customFormat="1" ht="30.95" hidden="1" customHeight="1" x14ac:dyDescent="0.2">
      <c r="A732" s="35" t="s">
        <v>1384</v>
      </c>
      <c r="B732" s="36" t="s">
        <v>1375</v>
      </c>
      <c r="C732" s="43"/>
      <c r="D732" s="29"/>
      <c r="E732" s="29"/>
      <c r="F732" s="255"/>
      <c r="G732" s="256"/>
      <c r="H732" s="256"/>
      <c r="I732" s="200"/>
      <c r="J732" s="30" t="s">
        <v>1382</v>
      </c>
      <c r="K732" s="200"/>
      <c r="L732" s="200"/>
      <c r="M732" s="37"/>
      <c r="N732" s="37"/>
      <c r="O732" s="45"/>
      <c r="P732" s="54"/>
      <c r="Q732" s="260"/>
      <c r="R732" s="261"/>
      <c r="S732" s="261"/>
      <c r="T732" s="38"/>
      <c r="U732" s="261"/>
      <c r="V732" s="256"/>
      <c r="W732" s="256"/>
      <c r="X732" s="256"/>
      <c r="Y732" s="256"/>
      <c r="Z732" s="54"/>
      <c r="AA732" s="200"/>
      <c r="AB732" s="31"/>
      <c r="AC732" s="184"/>
      <c r="AD732" s="51"/>
      <c r="AE732" s="52"/>
      <c r="AF732" s="41"/>
      <c r="AG732" s="45"/>
      <c r="AH732" s="28"/>
      <c r="AI732" s="28"/>
      <c r="AJ732" s="28"/>
      <c r="AK732" s="28"/>
      <c r="AL732" s="12"/>
      <c r="AM732" s="12"/>
      <c r="AN732" s="12"/>
      <c r="AO732" s="12"/>
      <c r="AP732" s="12"/>
      <c r="AQ732" s="13"/>
      <c r="AR732" s="14"/>
    </row>
    <row r="733" spans="1:44" s="16" customFormat="1" ht="30.95" hidden="1" customHeight="1" x14ac:dyDescent="0.2">
      <c r="A733" s="35"/>
      <c r="B733" s="36"/>
      <c r="C733" s="43"/>
      <c r="D733" s="29"/>
      <c r="E733" s="29"/>
      <c r="F733" s="255"/>
      <c r="G733" s="256"/>
      <c r="H733" s="256"/>
      <c r="I733" s="200"/>
      <c r="J733" s="30"/>
      <c r="K733" s="200"/>
      <c r="L733" s="200"/>
      <c r="M733" s="37"/>
      <c r="N733" s="37"/>
      <c r="O733" s="45"/>
      <c r="P733" s="54"/>
      <c r="Q733" s="260"/>
      <c r="R733" s="261"/>
      <c r="S733" s="261"/>
      <c r="T733" s="38"/>
      <c r="U733" s="261"/>
      <c r="V733" s="256"/>
      <c r="W733" s="256"/>
      <c r="X733" s="256"/>
      <c r="Y733" s="256"/>
      <c r="Z733" s="54"/>
      <c r="AA733" s="200"/>
      <c r="AB733" s="31"/>
      <c r="AC733" s="184"/>
      <c r="AD733" s="51"/>
      <c r="AE733" s="52"/>
      <c r="AF733" s="41"/>
      <c r="AG733" s="45"/>
      <c r="AH733" s="28"/>
      <c r="AI733" s="28"/>
      <c r="AJ733" s="28"/>
      <c r="AK733" s="28"/>
      <c r="AL733" s="12"/>
      <c r="AM733" s="12"/>
      <c r="AN733" s="12"/>
      <c r="AO733" s="12"/>
      <c r="AP733" s="12"/>
      <c r="AQ733" s="13"/>
      <c r="AR733" s="14"/>
    </row>
    <row r="734" spans="1:44" s="16" customFormat="1" ht="30.95" hidden="1" customHeight="1" x14ac:dyDescent="0.2">
      <c r="A734" s="35" t="s">
        <v>1385</v>
      </c>
      <c r="B734" s="36" t="s">
        <v>1377</v>
      </c>
      <c r="C734" s="43"/>
      <c r="D734" s="29"/>
      <c r="E734" s="29"/>
      <c r="F734" s="255"/>
      <c r="G734" s="256"/>
      <c r="H734" s="256"/>
      <c r="I734" s="200"/>
      <c r="J734" s="30" t="s">
        <v>1382</v>
      </c>
      <c r="K734" s="200"/>
      <c r="L734" s="200"/>
      <c r="M734" s="37"/>
      <c r="N734" s="37"/>
      <c r="O734" s="45"/>
      <c r="P734" s="54"/>
      <c r="Q734" s="260"/>
      <c r="R734" s="261"/>
      <c r="S734" s="261"/>
      <c r="T734" s="38"/>
      <c r="U734" s="261"/>
      <c r="V734" s="256"/>
      <c r="W734" s="256"/>
      <c r="X734" s="256"/>
      <c r="Y734" s="256"/>
      <c r="Z734" s="54"/>
      <c r="AA734" s="200"/>
      <c r="AB734" s="31"/>
      <c r="AC734" s="184"/>
      <c r="AD734" s="51"/>
      <c r="AE734" s="52"/>
      <c r="AF734" s="41"/>
      <c r="AG734" s="45"/>
      <c r="AH734" s="28"/>
      <c r="AI734" s="28"/>
      <c r="AJ734" s="28"/>
      <c r="AK734" s="28"/>
      <c r="AL734" s="12"/>
      <c r="AM734" s="12"/>
      <c r="AN734" s="12"/>
      <c r="AO734" s="12"/>
      <c r="AP734" s="12"/>
      <c r="AQ734" s="13"/>
      <c r="AR734" s="14"/>
    </row>
    <row r="735" spans="1:44" s="16" customFormat="1" ht="30.95" hidden="1" customHeight="1" x14ac:dyDescent="0.2">
      <c r="A735" s="35"/>
      <c r="B735" s="36"/>
      <c r="C735" s="43"/>
      <c r="D735" s="29"/>
      <c r="E735" s="29"/>
      <c r="F735" s="255"/>
      <c r="G735" s="256"/>
      <c r="H735" s="256"/>
      <c r="I735" s="200"/>
      <c r="J735" s="30"/>
      <c r="K735" s="200"/>
      <c r="L735" s="200"/>
      <c r="M735" s="37"/>
      <c r="N735" s="37"/>
      <c r="O735" s="45"/>
      <c r="P735" s="54"/>
      <c r="Q735" s="260"/>
      <c r="R735" s="261"/>
      <c r="S735" s="261"/>
      <c r="T735" s="38"/>
      <c r="U735" s="261"/>
      <c r="V735" s="256"/>
      <c r="W735" s="256"/>
      <c r="X735" s="256"/>
      <c r="Y735" s="256"/>
      <c r="Z735" s="54"/>
      <c r="AA735" s="200"/>
      <c r="AB735" s="31"/>
      <c r="AC735" s="184"/>
      <c r="AD735" s="51"/>
      <c r="AE735" s="52"/>
      <c r="AF735" s="41"/>
      <c r="AG735" s="45"/>
      <c r="AH735" s="28"/>
      <c r="AI735" s="28"/>
      <c r="AJ735" s="28"/>
      <c r="AK735" s="28"/>
      <c r="AL735" s="12"/>
      <c r="AM735" s="12"/>
      <c r="AN735" s="12"/>
      <c r="AO735" s="12"/>
      <c r="AP735" s="12"/>
      <c r="AQ735" s="13"/>
      <c r="AR735" s="14"/>
    </row>
    <row r="736" spans="1:44" s="16" customFormat="1" ht="30.75" hidden="1" customHeight="1" x14ac:dyDescent="0.2">
      <c r="A736" s="35" t="s">
        <v>1446</v>
      </c>
      <c r="B736" s="36" t="s">
        <v>1439</v>
      </c>
      <c r="C736" s="43"/>
      <c r="D736" s="29">
        <v>3721208</v>
      </c>
      <c r="E736" s="29">
        <v>4151430</v>
      </c>
      <c r="F736" s="255" t="str">
        <f>IF(D736="","",VLOOKUP(D736,契約台帳!$A$3:$K$4986,6,FALSE)&amp;VLOOKUP(D736,契約台帳!$A$3:$K$4986,7,FALSE)&amp;VLOOKUP(D736,契約台帳!$A$3:$K$4986,8,FALSE)&amp;VLOOKUP(D736,契約台帳!$A$3:$K$4986,9,FALSE)&amp;VLOOKUP(D736,契約台帳!$A$3:$K$4986,11,FALSE))</f>
        <v>3SNMLBMNGKKBF</v>
      </c>
      <c r="G736" s="256" t="str">
        <f>IF(D736="","",VLOOKUP(F736,製品マスタ!$G$5:$H$4999,2,FALSE))</f>
        <v>S</v>
      </c>
      <c r="H736" s="256" t="str">
        <f>IF(D736="","",VLOOKUP(F736,製品マスタ!$G$5:$K$4999,5,FALSE))</f>
        <v>MNGKKBF</v>
      </c>
      <c r="I736" s="200" t="str">
        <f>IF(D736="","",VLOOKUP(F736,製品マスタ!$G$5:$L$4999,6,FALSE))</f>
        <v>メタルミー　ネーマー銀消改　Ｂ</v>
      </c>
      <c r="J736" s="30" t="s">
        <v>447</v>
      </c>
      <c r="K736" s="200">
        <f>IF(D736="","",VLOOKUP(D736,契約台帳!$A$3:$L$4986,12,FALSE))</f>
        <v>50</v>
      </c>
      <c r="L736" s="200" t="str">
        <f>IF(D736="","",INDEX(製品マスタ!$Q$5:$Q$4999,MATCH(F736&amp;K736,製品マスタ!$AO$5:$AO$4999,0)))</f>
        <v>S99-MAT</v>
      </c>
      <c r="M736" s="37">
        <v>1120</v>
      </c>
      <c r="N736" s="37">
        <v>8000</v>
      </c>
      <c r="O736" s="45">
        <v>1</v>
      </c>
      <c r="P736" s="54"/>
      <c r="Q736" s="260">
        <f>IF(D736="","",IF(J736="リード付け",M736,VLOOKUP(D736,契約台帳!$A$3:$N$4986,14,FALSE)))</f>
        <v>1120</v>
      </c>
      <c r="R736" s="261">
        <f>IF(D736="","",IF(J736="リード付け",M736,VLOOKUP(D736,契約台帳!$A$3:$O$4986,15,FALSE)))</f>
        <v>1120</v>
      </c>
      <c r="S736" s="261">
        <f>IF(D736="","",IF(J736="リード付け",N736,VLOOKUP(D736,契約台帳!$A$3:$P$4986,16,FALSE)))</f>
        <v>4000</v>
      </c>
      <c r="T736" s="38">
        <v>2</v>
      </c>
      <c r="U736" s="261">
        <f ca="1">IF(D736="","",IF(OFFSET(D736,-2,0)=D736,"",VLOOKUP(D736,契約台帳!$A$3:$R$4986,18,FALSE)))</f>
        <v>20</v>
      </c>
      <c r="V736" s="256" t="str">
        <f>IF(J736="巻返し",VLOOKUP(F736&amp;K736&amp;M736,製品マスタ!$M$5:$AD$4999,18,FALSE),IF(J736="リード付け","原反コア",IF(J736="スリット",VLOOKUP(F736&amp;K736&amp;Q736,製品マスタ!$N$5:$AD$4999,17,FALSE),"")))</f>
        <v>6ｲﾝﾁSｺｱ</v>
      </c>
      <c r="W736" s="256">
        <f>IF(J736="巻返し",VLOOKUP(F736&amp;K736&amp;M736,製品マスタ!$M$5:$AE$4999,19,FALSE),IF(J736="リード付け","-",IF(J736="スリット",VLOOKUP(F736&amp;K736&amp;Q736,製品マスタ!$N$5:$AE$4999,18,FALSE),"")))</f>
        <v>1125</v>
      </c>
      <c r="X736" s="256">
        <f>IF(D736="","",VLOOKUP(D736,契約台帳!$A$3:$Q$4986,17,FALSE))</f>
        <v>2</v>
      </c>
      <c r="Y736" s="256" t="str">
        <f>IF(D736="","",VLOOKUP(D736,契約台帳!$A$3:$E$4986,5,FALSE))</f>
        <v>リンテック㈱</v>
      </c>
      <c r="Z736" s="54">
        <v>45168</v>
      </c>
      <c r="AA736" s="200">
        <f>IFERROR(VLOOKUP(F736&amp;K736&amp;M736,製品マスタ!$M$5:$AM$4999,27,FALSE),"")</f>
        <v>0</v>
      </c>
      <c r="AB736" s="31"/>
      <c r="AC736" s="184"/>
      <c r="AD736" s="51" t="str">
        <f>IF(F736="","",+F736&amp;K736)</f>
        <v>3SNMLBMNGKKBF50</v>
      </c>
      <c r="AE736" s="52">
        <f>+M736*N736*O736/1000</f>
        <v>8960</v>
      </c>
      <c r="AF736" s="41">
        <f>IF(AD736="","",VLOOKUP(AD736,原価マスタ!$A$2:$AJ$1693,13,FALSE))</f>
        <v>99</v>
      </c>
      <c r="AG736" s="45">
        <f>IF(AF736="","",+AE736*AF736/100)</f>
        <v>8870.4</v>
      </c>
      <c r="AH736" s="28"/>
      <c r="AI736" s="28"/>
      <c r="AJ736" s="28"/>
      <c r="AK736" s="28"/>
      <c r="AL736" s="12"/>
      <c r="AM736" s="12"/>
      <c r="AN736" s="12"/>
      <c r="AO736" s="12"/>
      <c r="AP736" s="12"/>
      <c r="AQ736" s="13"/>
      <c r="AR736" s="14"/>
    </row>
    <row r="737" spans="1:44" s="16" customFormat="1" ht="30.95" hidden="1" customHeight="1" x14ac:dyDescent="0.2">
      <c r="A737" s="35"/>
      <c r="B737" s="36"/>
      <c r="C737" s="43"/>
      <c r="D737" s="29"/>
      <c r="E737" s="29"/>
      <c r="F737" s="255"/>
      <c r="G737" s="256"/>
      <c r="H737" s="256"/>
      <c r="I737" s="200"/>
      <c r="J737" s="30"/>
      <c r="K737" s="200"/>
      <c r="L737" s="200"/>
      <c r="M737" s="37"/>
      <c r="N737" s="37"/>
      <c r="O737" s="45"/>
      <c r="P737" s="54"/>
      <c r="Q737" s="260"/>
      <c r="R737" s="261"/>
      <c r="S737" s="261"/>
      <c r="T737" s="38"/>
      <c r="U737" s="261"/>
      <c r="V737" s="256"/>
      <c r="W737" s="256"/>
      <c r="X737" s="256"/>
      <c r="Y737" s="256"/>
      <c r="Z737" s="54"/>
      <c r="AA737" s="200"/>
      <c r="AB737" s="31"/>
      <c r="AC737" s="184"/>
      <c r="AD737" s="51"/>
      <c r="AE737" s="52"/>
      <c r="AF737" s="41"/>
      <c r="AG737" s="45"/>
      <c r="AH737" s="28"/>
      <c r="AI737" s="28"/>
      <c r="AJ737" s="28"/>
      <c r="AK737" s="28"/>
      <c r="AL737" s="12"/>
      <c r="AM737" s="12"/>
      <c r="AN737" s="12"/>
      <c r="AO737" s="12"/>
      <c r="AP737" s="12"/>
      <c r="AQ737" s="13"/>
      <c r="AR737" s="14"/>
    </row>
    <row r="738" spans="1:44" s="225" customFormat="1" ht="30.95" hidden="1" customHeight="1" x14ac:dyDescent="0.2">
      <c r="A738" s="209"/>
      <c r="B738" s="210"/>
      <c r="C738" s="262"/>
      <c r="D738" s="211"/>
      <c r="E738" s="211"/>
      <c r="F738" s="263"/>
      <c r="G738" s="264"/>
      <c r="H738" s="264"/>
      <c r="I738" s="265"/>
      <c r="J738" s="212"/>
      <c r="K738" s="265"/>
      <c r="L738" s="265"/>
      <c r="M738" s="213"/>
      <c r="N738" s="213"/>
      <c r="O738" s="214"/>
      <c r="P738" s="206"/>
      <c r="Q738" s="266"/>
      <c r="R738" s="267"/>
      <c r="S738" s="267"/>
      <c r="T738" s="216"/>
      <c r="U738" s="267"/>
      <c r="V738" s="264"/>
      <c r="W738" s="264"/>
      <c r="X738" s="264"/>
      <c r="Y738" s="264"/>
      <c r="Z738" s="206"/>
      <c r="AA738" s="265"/>
      <c r="AB738" s="217"/>
      <c r="AC738" s="218"/>
      <c r="AD738" s="219"/>
      <c r="AE738" s="220"/>
      <c r="AF738" s="215"/>
      <c r="AG738" s="226">
        <f>SUM(AG630:AG735)</f>
        <v>813176.55749999988</v>
      </c>
      <c r="AH738" s="221"/>
      <c r="AI738" s="221"/>
      <c r="AJ738" s="221"/>
      <c r="AK738" s="221"/>
      <c r="AL738" s="222"/>
      <c r="AM738" s="222"/>
      <c r="AN738" s="222"/>
      <c r="AO738" s="222"/>
      <c r="AP738" s="222"/>
      <c r="AQ738" s="223"/>
      <c r="AR738" s="224"/>
    </row>
    <row r="739" spans="1:44" s="16" customFormat="1" ht="30.95" hidden="1" customHeight="1" x14ac:dyDescent="0.2">
      <c r="A739" s="35"/>
      <c r="B739" s="36"/>
      <c r="C739" s="43"/>
      <c r="D739" s="29"/>
      <c r="E739" s="29"/>
      <c r="F739" s="255"/>
      <c r="G739" s="256"/>
      <c r="H739" s="256"/>
      <c r="I739" s="200"/>
      <c r="J739" s="30"/>
      <c r="K739" s="200"/>
      <c r="L739" s="200"/>
      <c r="M739" s="37"/>
      <c r="N739" s="37"/>
      <c r="O739" s="45"/>
      <c r="P739" s="54"/>
      <c r="Q739" s="260"/>
      <c r="R739" s="261"/>
      <c r="S739" s="261"/>
      <c r="T739" s="38"/>
      <c r="U739" s="261"/>
      <c r="V739" s="256"/>
      <c r="W739" s="256"/>
      <c r="X739" s="256"/>
      <c r="Y739" s="256"/>
      <c r="Z739" s="54"/>
      <c r="AA739" s="200"/>
      <c r="AB739" s="31"/>
      <c r="AC739" s="184"/>
      <c r="AD739" s="51"/>
      <c r="AE739" s="52"/>
      <c r="AF739" s="41"/>
      <c r="AG739" s="45"/>
      <c r="AH739" s="28"/>
      <c r="AI739" s="28"/>
      <c r="AJ739" s="28"/>
      <c r="AK739" s="28"/>
      <c r="AL739" s="12"/>
      <c r="AM739" s="12"/>
      <c r="AN739" s="12"/>
      <c r="AO739" s="12"/>
      <c r="AP739" s="12"/>
      <c r="AQ739" s="13"/>
      <c r="AR739" s="14"/>
    </row>
    <row r="740" spans="1:44" s="16" customFormat="1" ht="30.95" hidden="1" customHeight="1" x14ac:dyDescent="0.2">
      <c r="A740" s="35" t="s">
        <v>1386</v>
      </c>
      <c r="B740" s="36" t="s">
        <v>1380</v>
      </c>
      <c r="C740" s="43"/>
      <c r="D740" s="29"/>
      <c r="E740" s="29"/>
      <c r="F740" s="255"/>
      <c r="G740" s="256"/>
      <c r="H740" s="256"/>
      <c r="I740" s="200"/>
      <c r="J740" s="30" t="s">
        <v>490</v>
      </c>
      <c r="K740" s="200"/>
      <c r="L740" s="200"/>
      <c r="M740" s="37"/>
      <c r="N740" s="37"/>
      <c r="O740" s="45"/>
      <c r="P740" s="54"/>
      <c r="Q740" s="260"/>
      <c r="R740" s="261"/>
      <c r="S740" s="261"/>
      <c r="T740" s="38"/>
      <c r="U740" s="261"/>
      <c r="V740" s="256"/>
      <c r="W740" s="256"/>
      <c r="X740" s="256"/>
      <c r="Y740" s="256"/>
      <c r="Z740" s="54"/>
      <c r="AA740" s="200"/>
      <c r="AB740" s="31"/>
      <c r="AC740" s="184"/>
      <c r="AD740" s="51"/>
      <c r="AE740" s="52"/>
      <c r="AF740" s="41"/>
      <c r="AG740" s="45"/>
      <c r="AH740" s="28"/>
      <c r="AI740" s="28"/>
      <c r="AJ740" s="28"/>
      <c r="AK740" s="28"/>
      <c r="AL740" s="12"/>
      <c r="AM740" s="12"/>
      <c r="AN740" s="12"/>
      <c r="AO740" s="12"/>
      <c r="AP740" s="12"/>
      <c r="AQ740" s="13"/>
      <c r="AR740" s="14"/>
    </row>
    <row r="741" spans="1:44" s="16" customFormat="1" ht="30.95" hidden="1" customHeight="1" x14ac:dyDescent="0.2">
      <c r="A741" s="35"/>
      <c r="B741" s="36"/>
      <c r="C741" s="43"/>
      <c r="D741" s="29"/>
      <c r="E741" s="29"/>
      <c r="F741" s="255"/>
      <c r="G741" s="256"/>
      <c r="H741" s="256"/>
      <c r="I741" s="200"/>
      <c r="J741" s="30"/>
      <c r="K741" s="200"/>
      <c r="L741" s="200"/>
      <c r="M741" s="37"/>
      <c r="N741" s="37"/>
      <c r="O741" s="45"/>
      <c r="P741" s="54"/>
      <c r="Q741" s="260"/>
      <c r="R741" s="261"/>
      <c r="S741" s="261"/>
      <c r="T741" s="38"/>
      <c r="U741" s="261"/>
      <c r="V741" s="256"/>
      <c r="W741" s="256"/>
      <c r="X741" s="256"/>
      <c r="Y741" s="256"/>
      <c r="Z741" s="54"/>
      <c r="AA741" s="200"/>
      <c r="AB741" s="31"/>
      <c r="AC741" s="184"/>
      <c r="AD741" s="51"/>
      <c r="AE741" s="52"/>
      <c r="AF741" s="41"/>
      <c r="AG741" s="45"/>
      <c r="AH741" s="28"/>
      <c r="AI741" s="28"/>
      <c r="AJ741" s="28"/>
      <c r="AK741" s="28"/>
      <c r="AL741" s="12"/>
      <c r="AM741" s="12"/>
      <c r="AN741" s="12"/>
      <c r="AO741" s="12"/>
      <c r="AP741" s="12"/>
      <c r="AQ741" s="13"/>
      <c r="AR741" s="14"/>
    </row>
    <row r="742" spans="1:44" s="16" customFormat="1" ht="30.95" hidden="1" customHeight="1" x14ac:dyDescent="0.2">
      <c r="A742" s="35" t="s">
        <v>1387</v>
      </c>
      <c r="B742" s="36" t="s">
        <v>1370</v>
      </c>
      <c r="C742" s="43"/>
      <c r="D742" s="29"/>
      <c r="E742" s="29"/>
      <c r="F742" s="255"/>
      <c r="G742" s="256"/>
      <c r="H742" s="256"/>
      <c r="I742" s="200"/>
      <c r="J742" s="30" t="s">
        <v>489</v>
      </c>
      <c r="K742" s="200"/>
      <c r="L742" s="200"/>
      <c r="M742" s="37"/>
      <c r="N742" s="37"/>
      <c r="O742" s="45"/>
      <c r="P742" s="54"/>
      <c r="Q742" s="260"/>
      <c r="R742" s="261"/>
      <c r="S742" s="261"/>
      <c r="T742" s="38"/>
      <c r="U742" s="261"/>
      <c r="V742" s="256"/>
      <c r="W742" s="256"/>
      <c r="X742" s="256"/>
      <c r="Y742" s="256"/>
      <c r="Z742" s="54"/>
      <c r="AA742" s="200"/>
      <c r="AB742" s="31"/>
      <c r="AC742" s="184"/>
      <c r="AD742" s="51"/>
      <c r="AE742" s="52"/>
      <c r="AF742" s="41"/>
      <c r="AG742" s="45"/>
      <c r="AH742" s="28"/>
      <c r="AI742" s="28"/>
      <c r="AJ742" s="28"/>
      <c r="AK742" s="28"/>
      <c r="AL742" s="12"/>
      <c r="AM742" s="12"/>
      <c r="AN742" s="12"/>
      <c r="AO742" s="12"/>
      <c r="AP742" s="12"/>
      <c r="AQ742" s="13"/>
      <c r="AR742" s="14"/>
    </row>
    <row r="743" spans="1:44" s="16" customFormat="1" ht="30.95" hidden="1" customHeight="1" x14ac:dyDescent="0.2">
      <c r="A743" s="35"/>
      <c r="B743" s="36"/>
      <c r="C743" s="43"/>
      <c r="D743" s="29"/>
      <c r="E743" s="29"/>
      <c r="F743" s="255"/>
      <c r="G743" s="256"/>
      <c r="H743" s="256"/>
      <c r="I743" s="200"/>
      <c r="J743" s="30"/>
      <c r="K743" s="200"/>
      <c r="L743" s="200"/>
      <c r="M743" s="37"/>
      <c r="N743" s="37"/>
      <c r="O743" s="45"/>
      <c r="P743" s="54"/>
      <c r="Q743" s="260"/>
      <c r="R743" s="261"/>
      <c r="S743" s="261"/>
      <c r="T743" s="38"/>
      <c r="U743" s="261"/>
      <c r="V743" s="256"/>
      <c r="W743" s="256"/>
      <c r="X743" s="256"/>
      <c r="Y743" s="256"/>
      <c r="Z743" s="54"/>
      <c r="AA743" s="200"/>
      <c r="AB743" s="31"/>
      <c r="AC743" s="184"/>
      <c r="AD743" s="51"/>
      <c r="AE743" s="52"/>
      <c r="AF743" s="41"/>
      <c r="AG743" s="45"/>
      <c r="AH743" s="28"/>
      <c r="AI743" s="28"/>
      <c r="AJ743" s="28"/>
      <c r="AK743" s="28"/>
      <c r="AL743" s="12"/>
      <c r="AM743" s="12"/>
      <c r="AN743" s="12"/>
      <c r="AO743" s="12"/>
      <c r="AP743" s="12"/>
      <c r="AQ743" s="13"/>
      <c r="AR743" s="14"/>
    </row>
    <row r="744" spans="1:44" s="16" customFormat="1" ht="30.95" hidden="1" customHeight="1" x14ac:dyDescent="0.2">
      <c r="A744" s="35" t="s">
        <v>1388</v>
      </c>
      <c r="B744" s="36" t="s">
        <v>1371</v>
      </c>
      <c r="C744" s="43"/>
      <c r="D744" s="29"/>
      <c r="E744" s="29"/>
      <c r="F744" s="255" t="str">
        <f>IF(D744="","",VLOOKUP(D744,契約台帳!$A$3:$K$4986,6,FALSE)&amp;VLOOKUP(D744,契約台帳!$A$3:$K$4986,7,FALSE)&amp;VLOOKUP(D744,契約台帳!$A$3:$K$4986,8,FALSE)&amp;VLOOKUP(D744,契約台帳!$A$3:$K$4986,9,FALSE)&amp;VLOOKUP(D744,契約台帳!$A$3:$K$4986,11,FALSE))</f>
        <v/>
      </c>
      <c r="G744" s="256" t="str">
        <f>IF(D744="","",VLOOKUP(F744,製品マスタ!$G$5:$H$4999,2,FALSE))</f>
        <v/>
      </c>
      <c r="H744" s="256" t="str">
        <f>IF(D744="","",VLOOKUP(F744,製品マスタ!$G$5:$K$4999,5,FALSE))</f>
        <v/>
      </c>
      <c r="I744" s="200" t="str">
        <f>IF(D744="","",VLOOKUP(F744,製品マスタ!$G$5:$L$4999,6,FALSE))</f>
        <v/>
      </c>
      <c r="J744" s="30" t="s">
        <v>489</v>
      </c>
      <c r="K744" s="200" t="str">
        <f>IF(D744="","",VLOOKUP(D744,契約台帳!$A$3:$L$4986,12,FALSE))</f>
        <v/>
      </c>
      <c r="L744" s="200" t="str">
        <f>IF(D744="","",INDEX(製品マスタ!$Q$5:$Q$4999,MATCH(F744&amp;K744,製品マスタ!$AO$5:$AO$4999,0)))</f>
        <v/>
      </c>
      <c r="M744" s="37"/>
      <c r="N744" s="37"/>
      <c r="O744" s="45"/>
      <c r="P744" s="54"/>
      <c r="Q744" s="260" t="str">
        <f>IF(D744="","",IF(J744="リード付け",M744,VLOOKUP(D744,契約台帳!$A$3:$N$4986,14,FALSE)))</f>
        <v/>
      </c>
      <c r="R744" s="261" t="str">
        <f>IF(D744="","",IF(J744="リード付け",M744,VLOOKUP(D744,契約台帳!$A$3:$O$4986,15,FALSE)))</f>
        <v/>
      </c>
      <c r="S744" s="261" t="str">
        <f>IF(D744="","",IF(J744="リード付け",N744,VLOOKUP(D744,契約台帳!$A$3:$P$4986,16,FALSE)))</f>
        <v/>
      </c>
      <c r="T744" s="38"/>
      <c r="U744" s="261" t="str">
        <f ca="1">IF(D744="","",IF(OFFSET(D744,-2,0)=D744,"",VLOOKUP(D744,契約台帳!$A$3:$R$4986,18,FALSE)))</f>
        <v/>
      </c>
      <c r="V744" s="256" t="str">
        <f>IF(J744="巻返し",VLOOKUP(F744&amp;K744&amp;M744,製品マスタ!$M$5:$AD$4999,18,FALSE),IF(J744="リード付け","原反コア",IF(J744="スリット",VLOOKUP(F744&amp;K744&amp;Q744,製品マスタ!$N$5:$AD$4999,17,FALSE),"")))</f>
        <v/>
      </c>
      <c r="W744" s="256" t="str">
        <f>IF(J744="巻返し",VLOOKUP(F744&amp;K744&amp;M744,製品マスタ!$M$5:$AE$4999,19,FALSE),IF(J744="リード付け","-",IF(J744="スリット",VLOOKUP(F744&amp;K744&amp;Q744,製品マスタ!$N$5:$AE$4999,18,FALSE),"")))</f>
        <v/>
      </c>
      <c r="X744" s="256" t="str">
        <f>IF(D744="","",VLOOKUP(D744,契約台帳!$A$3:$Q$4986,17,FALSE))</f>
        <v/>
      </c>
      <c r="Y744" s="256" t="str">
        <f>IF(D744="","",VLOOKUP(D744,契約台帳!$A$3:$E$4986,5,FALSE))</f>
        <v/>
      </c>
      <c r="Z744" s="54"/>
      <c r="AA744" s="200" t="str">
        <f>IFERROR(VLOOKUP(F744&amp;K744&amp;M744,製品マスタ!$M$5:$AM$4999,27,FALSE),"")</f>
        <v/>
      </c>
      <c r="AB744" s="31"/>
      <c r="AC744" s="184"/>
      <c r="AD744" s="51"/>
      <c r="AE744" s="52"/>
      <c r="AF744" s="41"/>
      <c r="AG744" s="45"/>
      <c r="AH744" s="28"/>
      <c r="AI744" s="28"/>
      <c r="AJ744" s="28"/>
      <c r="AK744" s="28"/>
      <c r="AL744" s="12"/>
      <c r="AM744" s="12"/>
      <c r="AN744" s="12"/>
      <c r="AO744" s="12"/>
      <c r="AP744" s="12"/>
      <c r="AQ744" s="13"/>
      <c r="AR744" s="14"/>
    </row>
    <row r="745" spans="1:44" s="16" customFormat="1" ht="30.95" hidden="1" customHeight="1" x14ac:dyDescent="0.2">
      <c r="A745" s="35"/>
      <c r="B745" s="36"/>
      <c r="C745" s="43"/>
      <c r="D745" s="29"/>
      <c r="E745" s="29"/>
      <c r="F745" s="255" t="str">
        <f>IF(D745="","",VLOOKUP(D745,契約台帳!$A$3:$K$4986,6,FALSE)&amp;VLOOKUP(D745,契約台帳!$A$3:$K$4986,7,FALSE)&amp;VLOOKUP(D745,契約台帳!$A$3:$K$4986,8,FALSE)&amp;VLOOKUP(D745,契約台帳!$A$3:$K$4986,9,FALSE)&amp;VLOOKUP(D745,契約台帳!$A$3:$K$4986,11,FALSE))</f>
        <v/>
      </c>
      <c r="G745" s="256" t="str">
        <f>IF(D745="","",VLOOKUP(F745,製品マスタ!$G$5:$H$4999,2,FALSE))</f>
        <v/>
      </c>
      <c r="H745" s="256" t="str">
        <f>IF(D745="","",VLOOKUP(F745,製品マスタ!$G$5:$K$4999,5,FALSE))</f>
        <v/>
      </c>
      <c r="I745" s="200" t="str">
        <f>IF(D745="","",VLOOKUP(F745,製品マスタ!$G$5:$L$4999,6,FALSE))</f>
        <v/>
      </c>
      <c r="J745" s="30"/>
      <c r="K745" s="200" t="str">
        <f>IF(D745="","",VLOOKUP(D745,契約台帳!$A$3:$L$4986,12,FALSE))</f>
        <v/>
      </c>
      <c r="L745" s="200" t="str">
        <f>IF(D745="","",INDEX(製品マスタ!$Q$5:$Q$4999,MATCH(F745&amp;K745,製品マスタ!$AO$5:$AO$4999,0)))</f>
        <v/>
      </c>
      <c r="M745" s="37"/>
      <c r="N745" s="37"/>
      <c r="O745" s="45"/>
      <c r="P745" s="54"/>
      <c r="Q745" s="260" t="str">
        <f>IF(D745="","",IF(J745="リード付け",M745,VLOOKUP(D745,契約台帳!$A$3:$N$4986,14,FALSE)))</f>
        <v/>
      </c>
      <c r="R745" s="261" t="str">
        <f>IF(D745="","",IF(J745="リード付け",M745,VLOOKUP(D745,契約台帳!$A$3:$O$4986,15,FALSE)))</f>
        <v/>
      </c>
      <c r="S745" s="261" t="str">
        <f>IF(D745="","",IF(J745="リード付け",N745,VLOOKUP(D745,契約台帳!$A$3:$P$4986,16,FALSE)))</f>
        <v/>
      </c>
      <c r="T745" s="38"/>
      <c r="U745" s="261" t="str">
        <f ca="1">IF(D745="","",IF(OFFSET(D745,-2,0)=D745,"",VLOOKUP(D745,契約台帳!$A$3:$R$4986,18,FALSE)))</f>
        <v/>
      </c>
      <c r="V745" s="256" t="str">
        <f>IF(J745="巻返し",VLOOKUP(F745&amp;K745&amp;M745,製品マスタ!$M$5:$AD$4999,18,FALSE),IF(J745="リード付け","原反コア",IF(J745="スリット",VLOOKUP(F745&amp;K745&amp;Q745,製品マスタ!$N$5:$AD$4999,17,FALSE),"")))</f>
        <v/>
      </c>
      <c r="W745" s="256" t="str">
        <f>IF(J745="巻返し",VLOOKUP(F745&amp;K745&amp;M745,製品マスタ!$M$5:$AE$4999,19,FALSE),IF(J745="リード付け","-",IF(J745="スリット",VLOOKUP(F745&amp;K745&amp;Q745,製品マスタ!$N$5:$AE$4999,18,FALSE),"")))</f>
        <v/>
      </c>
      <c r="X745" s="256" t="str">
        <f>IF(D745="","",VLOOKUP(D745,契約台帳!$A$3:$Q$4986,17,FALSE))</f>
        <v/>
      </c>
      <c r="Y745" s="256" t="str">
        <f>IF(D745="","",VLOOKUP(D745,契約台帳!$A$3:$E$4986,5,FALSE))</f>
        <v/>
      </c>
      <c r="Z745" s="54"/>
      <c r="AA745" s="200" t="str">
        <f>IFERROR(VLOOKUP(F745&amp;K745&amp;M745,製品マスタ!$M$5:$AM$4999,27,FALSE),"")</f>
        <v/>
      </c>
      <c r="AB745" s="31"/>
      <c r="AC745" s="184"/>
      <c r="AD745" s="51"/>
      <c r="AE745" s="52"/>
      <c r="AF745" s="41"/>
      <c r="AG745" s="45"/>
      <c r="AH745" s="28"/>
      <c r="AI745" s="28"/>
      <c r="AJ745" s="28"/>
      <c r="AK745" s="28"/>
      <c r="AL745" s="12"/>
      <c r="AM745" s="12"/>
      <c r="AN745" s="12"/>
      <c r="AO745" s="12"/>
      <c r="AP745" s="12"/>
      <c r="AQ745" s="13"/>
      <c r="AR745" s="14"/>
    </row>
    <row r="746" spans="1:44" s="16" customFormat="1" ht="30.95" hidden="1" customHeight="1" x14ac:dyDescent="0.2">
      <c r="A746" s="303" t="s">
        <v>1389</v>
      </c>
      <c r="B746" s="304" t="s">
        <v>1373</v>
      </c>
      <c r="C746" s="305"/>
      <c r="D746" s="306"/>
      <c r="E746" s="306"/>
      <c r="F746" s="255"/>
      <c r="G746" s="256"/>
      <c r="H746" s="256"/>
      <c r="I746" s="200"/>
      <c r="J746" s="307"/>
      <c r="K746" s="200"/>
      <c r="L746" s="200"/>
      <c r="M746" s="308"/>
      <c r="N746" s="308"/>
      <c r="O746" s="309"/>
      <c r="P746" s="310"/>
      <c r="Q746" s="260"/>
      <c r="R746" s="261"/>
      <c r="S746" s="261"/>
      <c r="T746" s="311"/>
      <c r="U746" s="261"/>
      <c r="V746" s="256"/>
      <c r="W746" s="256"/>
      <c r="X746" s="256"/>
      <c r="Y746" s="256"/>
      <c r="Z746" s="310"/>
      <c r="AA746" s="200"/>
      <c r="AB746" s="312"/>
      <c r="AC746" s="313"/>
      <c r="AD746" s="51"/>
      <c r="AE746" s="314"/>
      <c r="AF746" s="315"/>
      <c r="AG746" s="309"/>
      <c r="AH746" s="28"/>
      <c r="AI746" s="28"/>
      <c r="AJ746" s="28"/>
      <c r="AK746" s="28"/>
      <c r="AL746" s="12"/>
      <c r="AM746" s="12"/>
      <c r="AN746" s="12"/>
      <c r="AO746" s="12"/>
      <c r="AP746" s="12"/>
      <c r="AQ746" s="13"/>
      <c r="AR746" s="14"/>
    </row>
    <row r="747" spans="1:44" s="16" customFormat="1" ht="30.95" hidden="1" customHeight="1" x14ac:dyDescent="0.2">
      <c r="A747" s="303"/>
      <c r="B747" s="304"/>
      <c r="C747" s="305"/>
      <c r="D747" s="306"/>
      <c r="E747" s="306"/>
      <c r="F747" s="255"/>
      <c r="G747" s="256"/>
      <c r="H747" s="256"/>
      <c r="I747" s="200"/>
      <c r="J747" s="307"/>
      <c r="K747" s="200"/>
      <c r="L747" s="200"/>
      <c r="M747" s="308"/>
      <c r="N747" s="308"/>
      <c r="O747" s="309"/>
      <c r="P747" s="310"/>
      <c r="Q747" s="260"/>
      <c r="R747" s="261"/>
      <c r="S747" s="261"/>
      <c r="T747" s="311"/>
      <c r="U747" s="261"/>
      <c r="V747" s="256"/>
      <c r="W747" s="256"/>
      <c r="X747" s="256"/>
      <c r="Y747" s="256"/>
      <c r="Z747" s="310"/>
      <c r="AA747" s="200"/>
      <c r="AB747" s="312"/>
      <c r="AC747" s="313"/>
      <c r="AD747" s="51"/>
      <c r="AE747" s="314"/>
      <c r="AF747" s="315"/>
      <c r="AG747" s="309"/>
      <c r="AH747" s="28"/>
      <c r="AI747" s="28"/>
      <c r="AJ747" s="28"/>
      <c r="AK747" s="28"/>
      <c r="AL747" s="12"/>
      <c r="AM747" s="12"/>
      <c r="AN747" s="12"/>
      <c r="AO747" s="12"/>
      <c r="AP747" s="12"/>
      <c r="AQ747" s="13"/>
      <c r="AR747" s="14"/>
    </row>
    <row r="748" spans="1:44" s="16" customFormat="1" ht="30.95" hidden="1" customHeight="1" x14ac:dyDescent="0.2">
      <c r="A748" s="303" t="s">
        <v>1390</v>
      </c>
      <c r="B748" s="304" t="s">
        <v>1375</v>
      </c>
      <c r="C748" s="305"/>
      <c r="D748" s="306"/>
      <c r="E748" s="306"/>
      <c r="F748" s="255"/>
      <c r="G748" s="256"/>
      <c r="H748" s="256"/>
      <c r="I748" s="200"/>
      <c r="J748" s="307" t="s">
        <v>1382</v>
      </c>
      <c r="K748" s="200"/>
      <c r="L748" s="200"/>
      <c r="M748" s="308"/>
      <c r="N748" s="308"/>
      <c r="O748" s="309"/>
      <c r="P748" s="310"/>
      <c r="Q748" s="260"/>
      <c r="R748" s="261"/>
      <c r="S748" s="261"/>
      <c r="T748" s="311"/>
      <c r="U748" s="261"/>
      <c r="V748" s="256"/>
      <c r="W748" s="256"/>
      <c r="X748" s="256"/>
      <c r="Y748" s="256"/>
      <c r="Z748" s="310"/>
      <c r="AA748" s="200"/>
      <c r="AB748" s="312"/>
      <c r="AC748" s="313"/>
      <c r="AD748" s="51"/>
      <c r="AE748" s="314"/>
      <c r="AF748" s="315"/>
      <c r="AG748" s="309"/>
      <c r="AH748" s="28"/>
      <c r="AI748" s="28"/>
      <c r="AJ748" s="28"/>
      <c r="AK748" s="28"/>
      <c r="AL748" s="12"/>
      <c r="AM748" s="12"/>
      <c r="AN748" s="12"/>
      <c r="AO748" s="12"/>
      <c r="AP748" s="12"/>
      <c r="AQ748" s="13"/>
      <c r="AR748" s="14"/>
    </row>
    <row r="749" spans="1:44" s="16" customFormat="1" ht="30.95" hidden="1" customHeight="1" x14ac:dyDescent="0.2">
      <c r="A749" s="303"/>
      <c r="B749" s="304"/>
      <c r="C749" s="305"/>
      <c r="D749" s="306"/>
      <c r="E749" s="306"/>
      <c r="F749" s="255"/>
      <c r="G749" s="256"/>
      <c r="H749" s="256"/>
      <c r="I749" s="200"/>
      <c r="J749" s="307"/>
      <c r="K749" s="200"/>
      <c r="L749" s="200"/>
      <c r="M749" s="308"/>
      <c r="N749" s="308"/>
      <c r="O749" s="309"/>
      <c r="P749" s="310"/>
      <c r="Q749" s="260"/>
      <c r="R749" s="261"/>
      <c r="S749" s="261"/>
      <c r="T749" s="311"/>
      <c r="U749" s="261"/>
      <c r="V749" s="256"/>
      <c r="W749" s="256"/>
      <c r="X749" s="256"/>
      <c r="Y749" s="256"/>
      <c r="Z749" s="310"/>
      <c r="AA749" s="200"/>
      <c r="AB749" s="312"/>
      <c r="AC749" s="313"/>
      <c r="AD749" s="51"/>
      <c r="AE749" s="314"/>
      <c r="AF749" s="315"/>
      <c r="AG749" s="309"/>
      <c r="AH749" s="28"/>
      <c r="AI749" s="28"/>
      <c r="AJ749" s="28"/>
      <c r="AK749" s="28"/>
      <c r="AL749" s="12"/>
      <c r="AM749" s="12"/>
      <c r="AN749" s="12"/>
      <c r="AO749" s="12"/>
      <c r="AP749" s="12"/>
      <c r="AQ749" s="13"/>
      <c r="AR749" s="14"/>
    </row>
    <row r="750" spans="1:44" s="16" customFormat="1" ht="30.95" hidden="1" customHeight="1" x14ac:dyDescent="0.2">
      <c r="A750" s="303" t="s">
        <v>1391</v>
      </c>
      <c r="B750" s="304" t="s">
        <v>1377</v>
      </c>
      <c r="C750" s="305"/>
      <c r="D750" s="306"/>
      <c r="E750" s="306"/>
      <c r="F750" s="255"/>
      <c r="G750" s="256"/>
      <c r="H750" s="256"/>
      <c r="I750" s="200"/>
      <c r="J750" s="307" t="s">
        <v>1382</v>
      </c>
      <c r="K750" s="200"/>
      <c r="L750" s="200"/>
      <c r="M750" s="308"/>
      <c r="N750" s="308"/>
      <c r="O750" s="309"/>
      <c r="P750" s="310"/>
      <c r="Q750" s="260"/>
      <c r="R750" s="261"/>
      <c r="S750" s="261"/>
      <c r="T750" s="311"/>
      <c r="U750" s="261"/>
      <c r="V750" s="256"/>
      <c r="W750" s="256"/>
      <c r="X750" s="256"/>
      <c r="Y750" s="256"/>
      <c r="Z750" s="310"/>
      <c r="AA750" s="200"/>
      <c r="AB750" s="312"/>
      <c r="AC750" s="313"/>
      <c r="AD750" s="51"/>
      <c r="AE750" s="314"/>
      <c r="AF750" s="315"/>
      <c r="AG750" s="309"/>
      <c r="AH750" s="28"/>
      <c r="AI750" s="28"/>
      <c r="AJ750" s="28"/>
      <c r="AK750" s="28"/>
      <c r="AL750" s="12"/>
      <c r="AM750" s="12"/>
      <c r="AN750" s="12"/>
      <c r="AO750" s="12"/>
      <c r="AP750" s="12"/>
      <c r="AQ750" s="13"/>
      <c r="AR750" s="14"/>
    </row>
    <row r="751" spans="1:44" s="16" customFormat="1" ht="30.95" hidden="1" customHeight="1" x14ac:dyDescent="0.2">
      <c r="A751" s="303"/>
      <c r="B751" s="304"/>
      <c r="C751" s="305"/>
      <c r="D751" s="306"/>
      <c r="E751" s="306"/>
      <c r="F751" s="255"/>
      <c r="G751" s="256"/>
      <c r="H751" s="256"/>
      <c r="I751" s="200"/>
      <c r="J751" s="307"/>
      <c r="K751" s="200"/>
      <c r="L751" s="200"/>
      <c r="M751" s="308"/>
      <c r="N751" s="308"/>
      <c r="O751" s="309"/>
      <c r="P751" s="310"/>
      <c r="Q751" s="260"/>
      <c r="R751" s="261"/>
      <c r="S751" s="261"/>
      <c r="T751" s="311"/>
      <c r="U751" s="261"/>
      <c r="V751" s="256"/>
      <c r="W751" s="256"/>
      <c r="X751" s="256"/>
      <c r="Y751" s="256"/>
      <c r="Z751" s="310"/>
      <c r="AA751" s="200"/>
      <c r="AB751" s="312"/>
      <c r="AC751" s="313"/>
      <c r="AD751" s="51"/>
      <c r="AE751" s="314"/>
      <c r="AF751" s="315"/>
      <c r="AG751" s="309"/>
      <c r="AH751" s="28"/>
      <c r="AI751" s="28"/>
      <c r="AJ751" s="28"/>
      <c r="AK751" s="28"/>
      <c r="AL751" s="12"/>
      <c r="AM751" s="12"/>
      <c r="AN751" s="12"/>
      <c r="AO751" s="12"/>
      <c r="AP751" s="12"/>
      <c r="AQ751" s="13"/>
      <c r="AR751" s="14"/>
    </row>
    <row r="752" spans="1:44" s="16" customFormat="1" ht="30.95" hidden="1" customHeight="1" x14ac:dyDescent="0.2">
      <c r="A752" s="35" t="s">
        <v>549</v>
      </c>
      <c r="B752" s="36" t="s">
        <v>462</v>
      </c>
      <c r="C752" s="43"/>
      <c r="D752" s="29">
        <v>3723636</v>
      </c>
      <c r="E752" s="29">
        <v>4170119</v>
      </c>
      <c r="F752" s="255" t="str">
        <f>IF(D752="","",VLOOKUP(D752,契約台帳!$A$3:$K$4986,6,FALSE)&amp;VLOOKUP(D752,契約台帳!$A$3:$K$4986,7,FALSE)&amp;VLOOKUP(D752,契約台帳!$A$3:$K$4986,8,FALSE)&amp;VLOOKUP(D752,契約台帳!$A$3:$K$4986,9,FALSE)&amp;VLOOKUP(D752,契約台帳!$A$3:$K$4986,11,FALSE))</f>
        <v>3SNMLBMNGTBF</v>
      </c>
      <c r="G752" s="256" t="str">
        <f>IF(D752="","",VLOOKUP(F752,製品マスタ!$G$5:$H$4999,2,FALSE))</f>
        <v>S</v>
      </c>
      <c r="H752" s="256" t="str">
        <f>IF(D752="","",VLOOKUP(F752,製品マスタ!$G$5:$K$4999,5,FALSE))</f>
        <v>MNGTBF</v>
      </c>
      <c r="I752" s="200" t="str">
        <f>IF(D752="","",VLOOKUP(F752,製品マスタ!$G$5:$L$4999,6,FALSE))</f>
        <v>メタルミー　ネーマー　銀艶　Ｂ</v>
      </c>
      <c r="J752" s="30" t="s">
        <v>464</v>
      </c>
      <c r="K752" s="200">
        <f>IF(D752="","",VLOOKUP(D752,契約台帳!$A$3:$L$4986,12,FALSE))</f>
        <v>25</v>
      </c>
      <c r="L752" s="200" t="str">
        <f>IF(D752="","",INDEX(製品マスタ!$Q$5:$Q$4999,MATCH(F752&amp;K752,製品マスタ!$AO$5:$AO$4999,0)))</f>
        <v>T62M</v>
      </c>
      <c r="M752" s="37">
        <v>1125</v>
      </c>
      <c r="N752" s="37">
        <v>12100</v>
      </c>
      <c r="O752" s="45">
        <v>1</v>
      </c>
      <c r="P752" s="206">
        <v>45170</v>
      </c>
      <c r="Q752" s="260">
        <f>IF(D752="","",IF(J752="リード付け",M752,VLOOKUP(D752,契約台帳!$A$3:$N$4986,14,FALSE)))</f>
        <v>1125</v>
      </c>
      <c r="R752" s="261">
        <f>IF(D752="","",IF(J752="リード付け",M752,VLOOKUP(D752,契約台帳!$A$3:$O$4986,15,FALSE)))</f>
        <v>1125</v>
      </c>
      <c r="S752" s="261">
        <f>IF(D752="","",IF(J752="リード付け",N752,VLOOKUP(D752,契約台帳!$A$3:$P$4986,16,FALSE)))</f>
        <v>12100</v>
      </c>
      <c r="T752" s="38">
        <v>1</v>
      </c>
      <c r="U752" s="261">
        <f ca="1">IF(D752="","",IF(OFFSET(D752,-2,0)=D752,"",VLOOKUP(D752,契約台帳!$A$3:$R$4986,18,FALSE)))</f>
        <v>3</v>
      </c>
      <c r="V752" s="256" t="str">
        <f>IF(J752="巻返し",VLOOKUP(F752&amp;K752&amp;M752,製品マスタ!$M$5:$AD$4999,18,FALSE),IF(J752="リード付け","原反コア",IF(J752="スリット",VLOOKUP(F752&amp;K752&amp;Q752,製品マスタ!$N$5:$AD$4999,17,FALSE),"")))</f>
        <v>原反コア</v>
      </c>
      <c r="W752" s="256" t="str">
        <f>IF(J752="巻返し",VLOOKUP(F752&amp;K752&amp;M752,製品マスタ!$M$5:$AE$4999,19,FALSE),IF(J752="リード付け","-",IF(J752="スリット",VLOOKUP(F752&amp;K752&amp;Q752,製品マスタ!$N$5:$AE$4999,18,FALSE),"")))</f>
        <v>-</v>
      </c>
      <c r="X752" s="256">
        <f>IF(D752="","",VLOOKUP(D752,契約台帳!$A$3:$Q$4986,17,FALSE))</f>
        <v>2</v>
      </c>
      <c r="Y752" s="256" t="str">
        <f>IF(D752="","",VLOOKUP(D752,契約台帳!$A$3:$E$4986,5,FALSE))</f>
        <v>リンテック㈱</v>
      </c>
      <c r="Z752" s="54"/>
      <c r="AA752" s="200"/>
      <c r="AB752" s="31"/>
      <c r="AC752" s="184"/>
      <c r="AD752" s="51"/>
      <c r="AE752" s="52">
        <f>+M752*N752*O752/1000</f>
        <v>13612.5</v>
      </c>
      <c r="AF752" s="41"/>
      <c r="AG752" s="45"/>
      <c r="AH752" s="28"/>
      <c r="AI752" s="28"/>
      <c r="AJ752" s="28"/>
      <c r="AK752" s="28"/>
      <c r="AL752" s="12"/>
      <c r="AM752" s="12"/>
      <c r="AN752" s="12"/>
      <c r="AO752" s="12"/>
      <c r="AP752" s="12"/>
      <c r="AQ752" s="13"/>
      <c r="AR752" s="14"/>
    </row>
    <row r="753" spans="1:44" s="16" customFormat="1" ht="30.95" hidden="1" customHeight="1" x14ac:dyDescent="0.2">
      <c r="A753" s="35"/>
      <c r="B753" s="36"/>
      <c r="C753" s="43"/>
      <c r="D753" s="29"/>
      <c r="E753" s="29"/>
      <c r="F753" s="255"/>
      <c r="G753" s="256"/>
      <c r="H753" s="256"/>
      <c r="I753" s="200"/>
      <c r="J753" s="30"/>
      <c r="K753" s="200"/>
      <c r="L753" s="200"/>
      <c r="M753" s="37"/>
      <c r="N753" s="37"/>
      <c r="O753" s="45"/>
      <c r="P753" s="54"/>
      <c r="Q753" s="260"/>
      <c r="R753" s="261"/>
      <c r="S753" s="261"/>
      <c r="T753" s="38"/>
      <c r="U753" s="261"/>
      <c r="V753" s="256"/>
      <c r="W753" s="256"/>
      <c r="X753" s="256"/>
      <c r="Y753" s="256"/>
      <c r="Z753" s="54"/>
      <c r="AA753" s="200"/>
      <c r="AB753" s="31"/>
      <c r="AC753" s="184"/>
      <c r="AD753" s="51"/>
      <c r="AE753" s="52"/>
      <c r="AF753" s="41"/>
      <c r="AG753" s="45"/>
      <c r="AH753" s="28"/>
      <c r="AI753" s="28"/>
      <c r="AJ753" s="28"/>
      <c r="AK753" s="28"/>
      <c r="AL753" s="12"/>
      <c r="AM753" s="12"/>
      <c r="AN753" s="12"/>
      <c r="AO753" s="12"/>
      <c r="AP753" s="12"/>
      <c r="AQ753" s="13"/>
      <c r="AR753" s="14"/>
    </row>
    <row r="754" spans="1:44" s="16" customFormat="1" ht="30.95" hidden="1" customHeight="1" x14ac:dyDescent="0.2">
      <c r="A754" s="35"/>
      <c r="B754" s="36"/>
      <c r="C754" s="43"/>
      <c r="D754" s="29">
        <v>3723635</v>
      </c>
      <c r="E754" s="29">
        <v>4170118</v>
      </c>
      <c r="F754" s="255" t="str">
        <f>IF(D754="","",VLOOKUP(D754,契約台帳!$A$3:$K$4986,6,FALSE)&amp;VLOOKUP(D754,契約台帳!$A$3:$K$4986,7,FALSE)&amp;VLOOKUP(D754,契約台帳!$A$3:$K$4986,8,FALSE)&amp;VLOOKUP(D754,契約台帳!$A$3:$K$4986,9,FALSE)&amp;VLOOKUP(D754,契約台帳!$A$3:$K$4986,11,FALSE))</f>
        <v>3SNMLBMNGTBF</v>
      </c>
      <c r="G754" s="256" t="str">
        <f>IF(D754="","",VLOOKUP(F754,製品マスタ!$G$5:$H$4999,2,FALSE))</f>
        <v>S</v>
      </c>
      <c r="H754" s="256" t="str">
        <f>IF(D754="","",VLOOKUP(F754,製品マスタ!$G$5:$K$4999,5,FALSE))</f>
        <v>MNGTBF</v>
      </c>
      <c r="I754" s="200" t="str">
        <f>IF(D754="","",VLOOKUP(F754,製品マスタ!$G$5:$L$4999,6,FALSE))</f>
        <v>メタルミー　ネーマー　銀艶　Ｂ</v>
      </c>
      <c r="J754" s="30" t="s">
        <v>464</v>
      </c>
      <c r="K754" s="200">
        <f>IF(D754="","",VLOOKUP(D754,契約台帳!$A$3:$L$4986,12,FALSE))</f>
        <v>25</v>
      </c>
      <c r="L754" s="200" t="str">
        <f>IF(D754="","",INDEX(製品マスタ!$Q$5:$Q$4999,MATCH(F754&amp;K754,製品マスタ!$AO$5:$AO$4999,0)))</f>
        <v>T62M</v>
      </c>
      <c r="M754" s="37">
        <v>1005</v>
      </c>
      <c r="N754" s="37">
        <v>12100</v>
      </c>
      <c r="O754" s="45">
        <v>5</v>
      </c>
      <c r="P754" s="206">
        <v>45170</v>
      </c>
      <c r="Q754" s="260">
        <f>IF(D754="","",IF(J754="リード付け",M754,VLOOKUP(D754,契約台帳!$A$3:$N$4986,14,FALSE)))</f>
        <v>1005</v>
      </c>
      <c r="R754" s="261">
        <f>IF(D754="","",IF(J754="リード付け",M754,VLOOKUP(D754,契約台帳!$A$3:$O$4986,15,FALSE)))</f>
        <v>1005</v>
      </c>
      <c r="S754" s="261">
        <f>IF(D754="","",IF(J754="リード付け",N754,VLOOKUP(D754,契約台帳!$A$3:$P$4986,16,FALSE)))</f>
        <v>12100</v>
      </c>
      <c r="T754" s="38">
        <v>5</v>
      </c>
      <c r="U754" s="261">
        <f ca="1">IF(D754="","",IF(OFFSET(D754,-2,0)=D754,"",VLOOKUP(D754,契約台帳!$A$3:$R$4986,18,FALSE)))</f>
        <v>15</v>
      </c>
      <c r="V754" s="256" t="str">
        <f>IF(J754="巻返し",VLOOKUP(F754&amp;K754&amp;M754,製品マスタ!$M$5:$AD$4999,18,FALSE),IF(J754="リード付け","原反コア",IF(J754="スリット",VLOOKUP(F754&amp;K754&amp;Q754,製品マスタ!$N$5:$AD$4999,17,FALSE),"")))</f>
        <v>原反コア</v>
      </c>
      <c r="W754" s="256" t="str">
        <f>IF(J754="巻返し",VLOOKUP(F754&amp;K754&amp;M754,製品マスタ!$M$5:$AE$4999,19,FALSE),IF(J754="リード付け","-",IF(J754="スリット",VLOOKUP(F754&amp;K754&amp;Q754,製品マスタ!$N$5:$AE$4999,18,FALSE),"")))</f>
        <v>-</v>
      </c>
      <c r="X754" s="256">
        <f>IF(D754="","",VLOOKUP(D754,契約台帳!$A$3:$Q$4986,17,FALSE))</f>
        <v>2</v>
      </c>
      <c r="Y754" s="256" t="str">
        <f>IF(D754="","",VLOOKUP(D754,契約台帳!$A$3:$E$4986,5,FALSE))</f>
        <v>リンテック㈱</v>
      </c>
      <c r="Z754" s="54"/>
      <c r="AA754" s="200"/>
      <c r="AB754" s="31"/>
      <c r="AC754" s="184"/>
      <c r="AD754" s="51"/>
      <c r="AE754" s="52">
        <f>+M754*N754*O754/1000</f>
        <v>60802.5</v>
      </c>
      <c r="AF754" s="41"/>
      <c r="AG754" s="45"/>
      <c r="AH754" s="28"/>
      <c r="AI754" s="28"/>
      <c r="AJ754" s="28"/>
      <c r="AK754" s="28"/>
      <c r="AL754" s="12"/>
      <c r="AM754" s="12"/>
      <c r="AN754" s="12"/>
      <c r="AO754" s="12"/>
      <c r="AP754" s="12"/>
      <c r="AQ754" s="13"/>
      <c r="AR754" s="14"/>
    </row>
    <row r="755" spans="1:44" s="16" customFormat="1" ht="30.95" hidden="1" customHeight="1" x14ac:dyDescent="0.2">
      <c r="A755" s="303"/>
      <c r="B755" s="304"/>
      <c r="C755" s="305"/>
      <c r="D755" s="306"/>
      <c r="E755" s="306"/>
      <c r="F755" s="255"/>
      <c r="G755" s="256"/>
      <c r="H755" s="256"/>
      <c r="I755" s="200"/>
      <c r="J755" s="307"/>
      <c r="K755" s="200"/>
      <c r="L755" s="200"/>
      <c r="M755" s="308"/>
      <c r="N755" s="308"/>
      <c r="O755" s="309"/>
      <c r="P755" s="310"/>
      <c r="Q755" s="260"/>
      <c r="R755" s="261"/>
      <c r="S755" s="261"/>
      <c r="T755" s="311"/>
      <c r="U755" s="261"/>
      <c r="V755" s="256"/>
      <c r="W755" s="256"/>
      <c r="X755" s="256"/>
      <c r="Y755" s="256"/>
      <c r="Z755" s="310"/>
      <c r="AA755" s="200"/>
      <c r="AB755" s="312"/>
      <c r="AC755" s="313"/>
      <c r="AD755" s="51"/>
      <c r="AE755" s="314"/>
      <c r="AF755" s="315"/>
      <c r="AG755" s="309"/>
      <c r="AH755" s="28"/>
      <c r="AI755" s="28"/>
      <c r="AJ755" s="28"/>
      <c r="AK755" s="28"/>
      <c r="AL755" s="12"/>
      <c r="AM755" s="12"/>
      <c r="AN755" s="12"/>
      <c r="AO755" s="12"/>
      <c r="AP755" s="12"/>
      <c r="AQ755" s="13"/>
      <c r="AR755" s="14"/>
    </row>
    <row r="756" spans="1:44" s="16" customFormat="1" ht="30.95" hidden="1" customHeight="1" x14ac:dyDescent="0.2">
      <c r="A756" s="35" t="s">
        <v>550</v>
      </c>
      <c r="B756" s="36" t="s">
        <v>688</v>
      </c>
      <c r="C756" s="43"/>
      <c r="D756" s="29">
        <v>3723646</v>
      </c>
      <c r="E756" s="29">
        <v>4170120</v>
      </c>
      <c r="F756" s="255" t="str">
        <f>IF(D756="","",VLOOKUP(D756,契約台帳!$A$3:$K$4986,6,FALSE)&amp;VLOOKUP(D756,契約台帳!$A$3:$K$4986,7,FALSE)&amp;VLOOKUP(D756,契約台帳!$A$3:$K$4986,8,FALSE)&amp;VLOOKUP(D756,契約台帳!$A$3:$K$4986,9,FALSE)&amp;VLOOKUP(D756,契約台帳!$A$3:$K$4986,11,FALSE))</f>
        <v>3SYMLBMSNMBZF</v>
      </c>
      <c r="G756" s="256" t="str">
        <f>IF(D756="","",VLOOKUP(F756,製品マスタ!$G$5:$H$4999,2,FALSE))</f>
        <v>S</v>
      </c>
      <c r="H756" s="256" t="str">
        <f>IF(D756="","",VLOOKUP(F756,製品マスタ!$G$5:$K$4999,5,FALSE))</f>
        <v>MSNMBZF</v>
      </c>
      <c r="I756" s="200" t="str">
        <f>IF(D756="","",VLOOKUP(F756,製品マスタ!$G$5:$L$4999,6,FALSE))</f>
        <v>ＭＥＴＡＬＵＭＹ　ＳＩＬＶＥＲ　Ｎ－ＭＡＴＴＥ　Ｂ</v>
      </c>
      <c r="J756" s="30" t="s">
        <v>464</v>
      </c>
      <c r="K756" s="200">
        <f>IF(D756="","",VLOOKUP(D756,契約台帳!$A$3:$L$4986,12,FALSE))</f>
        <v>25</v>
      </c>
      <c r="L756" s="200" t="str">
        <f>IF(D756="","",INDEX(製品マスタ!$Q$5:$Q$4999,MATCH(F756&amp;K756,製品マスタ!$AO$5:$AO$4999,0)))</f>
        <v>X44</v>
      </c>
      <c r="M756" s="37">
        <v>1120</v>
      </c>
      <c r="N756" s="37">
        <v>8000</v>
      </c>
      <c r="O756" s="45">
        <v>1</v>
      </c>
      <c r="P756" s="206">
        <v>45174</v>
      </c>
      <c r="Q756" s="260">
        <f>IF(D756="","",IF(J756="リード付け",M756,VLOOKUP(D756,契約台帳!$A$3:$N$4986,14,FALSE)))</f>
        <v>1120</v>
      </c>
      <c r="R756" s="261">
        <f>IF(D756="","",IF(J756="リード付け",M756,VLOOKUP(D756,契約台帳!$A$3:$O$4986,15,FALSE)))</f>
        <v>1120</v>
      </c>
      <c r="S756" s="261">
        <f>IF(D756="","",IF(J756="リード付け",N756,VLOOKUP(D756,契約台帳!$A$3:$P$4986,16,FALSE)))</f>
        <v>8000</v>
      </c>
      <c r="T756" s="38">
        <v>1</v>
      </c>
      <c r="U756" s="261">
        <f ca="1">IF(D756="","",IF(OFFSET(D756,-2,0)=D756,"",VLOOKUP(D756,契約台帳!$A$3:$R$4986,18,FALSE)))</f>
        <v>1</v>
      </c>
      <c r="V756" s="256" t="str">
        <f>IF(J756="巻返し",VLOOKUP(F756&amp;K756&amp;M756,製品マスタ!$M$5:$AD$4999,18,FALSE),IF(J756="リード付け","原反コア",IF(J756="スリット",VLOOKUP(F756&amp;K756&amp;Q756,製品マスタ!$N$5:$AD$4999,17,FALSE),"")))</f>
        <v>原反コア</v>
      </c>
      <c r="W756" s="256" t="str">
        <f>IF(J756="巻返し",VLOOKUP(F756&amp;K756&amp;M756,製品マスタ!$M$5:$AE$4999,19,FALSE),IF(J756="リード付け","-",IF(J756="スリット",VLOOKUP(F756&amp;K756&amp;Q756,製品マスタ!$N$5:$AE$4999,18,FALSE),"")))</f>
        <v>-</v>
      </c>
      <c r="X756" s="256">
        <f>IF(D756="","",VLOOKUP(D756,契約台帳!$A$3:$Q$4986,17,FALSE))</f>
        <v>2</v>
      </c>
      <c r="Y756" s="256" t="str">
        <f>IF(D756="","",VLOOKUP(D756,契約台帳!$A$3:$E$4986,5,FALSE))</f>
        <v>リンテック㈱</v>
      </c>
      <c r="Z756" s="54"/>
      <c r="AA756" s="200">
        <f>IFERROR(VLOOKUP(F756&amp;K756&amp;M756,製品マスタ!$M$5:$AM$4999,27,FALSE),"")</f>
        <v>0</v>
      </c>
      <c r="AB756" s="31"/>
      <c r="AC756" s="184"/>
      <c r="AD756" s="51"/>
      <c r="AE756" s="52">
        <f>+M756*N756*O756/1000</f>
        <v>8960</v>
      </c>
      <c r="AF756" s="41"/>
      <c r="AG756" s="45"/>
      <c r="AH756" s="28"/>
      <c r="AI756" s="28"/>
      <c r="AJ756" s="28"/>
      <c r="AK756" s="28"/>
      <c r="AL756" s="12"/>
      <c r="AM756" s="12"/>
      <c r="AN756" s="12"/>
      <c r="AO756" s="12"/>
      <c r="AP756" s="12"/>
      <c r="AQ756" s="13"/>
      <c r="AR756" s="14"/>
    </row>
    <row r="757" spans="1:44" s="16" customFormat="1" ht="30.95" hidden="1" customHeight="1" x14ac:dyDescent="0.2">
      <c r="A757" s="303"/>
      <c r="B757" s="304"/>
      <c r="C757" s="305"/>
      <c r="D757" s="306"/>
      <c r="E757" s="306"/>
      <c r="F757" s="255"/>
      <c r="G757" s="256"/>
      <c r="H757" s="256"/>
      <c r="I757" s="200"/>
      <c r="J757" s="307"/>
      <c r="K757" s="200"/>
      <c r="L757" s="200"/>
      <c r="M757" s="308"/>
      <c r="N757" s="308"/>
      <c r="O757" s="309"/>
      <c r="P757" s="310"/>
      <c r="Q757" s="260"/>
      <c r="R757" s="261"/>
      <c r="S757" s="261"/>
      <c r="T757" s="311"/>
      <c r="U757" s="261"/>
      <c r="V757" s="256"/>
      <c r="W757" s="256"/>
      <c r="X757" s="256"/>
      <c r="Y757" s="256"/>
      <c r="Z757" s="310"/>
      <c r="AA757" s="200"/>
      <c r="AB757" s="312"/>
      <c r="AC757" s="313"/>
      <c r="AD757" s="51"/>
      <c r="AE757" s="314"/>
      <c r="AF757" s="315"/>
      <c r="AG757" s="309"/>
      <c r="AH757" s="28"/>
      <c r="AI757" s="28"/>
      <c r="AJ757" s="28"/>
      <c r="AK757" s="28"/>
      <c r="AL757" s="12"/>
      <c r="AM757" s="12"/>
      <c r="AN757" s="12"/>
      <c r="AO757" s="12"/>
      <c r="AP757" s="12"/>
      <c r="AQ757" s="13"/>
      <c r="AR757" s="14"/>
    </row>
    <row r="758" spans="1:44" s="16" customFormat="1" ht="30.95" hidden="1" customHeight="1" x14ac:dyDescent="0.2">
      <c r="A758" s="303" t="s">
        <v>551</v>
      </c>
      <c r="B758" s="304" t="s">
        <v>442</v>
      </c>
      <c r="C758" s="305"/>
      <c r="D758" s="306"/>
      <c r="E758" s="306"/>
      <c r="F758" s="255"/>
      <c r="G758" s="256"/>
      <c r="H758" s="256"/>
      <c r="I758" s="200"/>
      <c r="J758" s="307"/>
      <c r="K758" s="200"/>
      <c r="L758" s="200"/>
      <c r="M758" s="308"/>
      <c r="N758" s="308"/>
      <c r="O758" s="309"/>
      <c r="P758" s="310"/>
      <c r="Q758" s="260"/>
      <c r="R758" s="261"/>
      <c r="S758" s="261"/>
      <c r="T758" s="311"/>
      <c r="U758" s="261"/>
      <c r="V758" s="256"/>
      <c r="W758" s="256"/>
      <c r="X758" s="256"/>
      <c r="Y758" s="256"/>
      <c r="Z758" s="310"/>
      <c r="AA758" s="200"/>
      <c r="AB758" s="312"/>
      <c r="AC758" s="313"/>
      <c r="AD758" s="51"/>
      <c r="AE758" s="314"/>
      <c r="AF758" s="315"/>
      <c r="AG758" s="309"/>
      <c r="AH758" s="28"/>
      <c r="AI758" s="28"/>
      <c r="AJ758" s="28"/>
      <c r="AK758" s="28"/>
      <c r="AL758" s="12"/>
      <c r="AM758" s="12"/>
      <c r="AN758" s="12"/>
      <c r="AO758" s="12"/>
      <c r="AP758" s="12"/>
      <c r="AQ758" s="13"/>
      <c r="AR758" s="14"/>
    </row>
    <row r="759" spans="1:44" s="16" customFormat="1" ht="30.95" hidden="1" customHeight="1" x14ac:dyDescent="0.2">
      <c r="A759" s="303"/>
      <c r="B759" s="304"/>
      <c r="C759" s="305"/>
      <c r="D759" s="306"/>
      <c r="E759" s="306"/>
      <c r="F759" s="255"/>
      <c r="G759" s="256"/>
      <c r="H759" s="256"/>
      <c r="I759" s="200"/>
      <c r="J759" s="307"/>
      <c r="K759" s="200"/>
      <c r="L759" s="200"/>
      <c r="M759" s="308"/>
      <c r="N759" s="308"/>
      <c r="O759" s="309"/>
      <c r="P759" s="310"/>
      <c r="Q759" s="260"/>
      <c r="R759" s="261"/>
      <c r="S759" s="261"/>
      <c r="T759" s="311"/>
      <c r="U759" s="261"/>
      <c r="V759" s="256"/>
      <c r="W759" s="256"/>
      <c r="X759" s="256"/>
      <c r="Y759" s="256"/>
      <c r="Z759" s="310"/>
      <c r="AA759" s="200"/>
      <c r="AB759" s="312"/>
      <c r="AC759" s="313"/>
      <c r="AD759" s="51"/>
      <c r="AE759" s="314"/>
      <c r="AF759" s="315"/>
      <c r="AG759" s="309"/>
      <c r="AH759" s="28"/>
      <c r="AI759" s="28"/>
      <c r="AJ759" s="28"/>
      <c r="AK759" s="28"/>
      <c r="AL759" s="12"/>
      <c r="AM759" s="12"/>
      <c r="AN759" s="12"/>
      <c r="AO759" s="12"/>
      <c r="AP759" s="12"/>
      <c r="AQ759" s="13"/>
      <c r="AR759" s="14"/>
    </row>
    <row r="760" spans="1:44" s="16" customFormat="1" ht="30.95" hidden="1" customHeight="1" x14ac:dyDescent="0.2">
      <c r="A760" s="35" t="s">
        <v>552</v>
      </c>
      <c r="B760" s="36" t="s">
        <v>443</v>
      </c>
      <c r="C760" s="43"/>
      <c r="D760" s="29">
        <v>3725626</v>
      </c>
      <c r="E760" s="29">
        <v>4151479</v>
      </c>
      <c r="F760" s="255" t="s">
        <v>2804</v>
      </c>
      <c r="G760" s="256" t="s">
        <v>269</v>
      </c>
      <c r="H760" s="256" t="s">
        <v>325</v>
      </c>
      <c r="I760" s="200" t="s">
        <v>326</v>
      </c>
      <c r="J760" s="30" t="s">
        <v>970</v>
      </c>
      <c r="K760" s="200">
        <v>9</v>
      </c>
      <c r="L760" s="200" t="s">
        <v>327</v>
      </c>
      <c r="M760" s="37">
        <v>1400</v>
      </c>
      <c r="N760" s="37">
        <v>12000</v>
      </c>
      <c r="O760" s="45">
        <v>1</v>
      </c>
      <c r="P760" s="54"/>
      <c r="Q760" s="260">
        <v>1000</v>
      </c>
      <c r="R760" s="261">
        <v>1000</v>
      </c>
      <c r="S760" s="261">
        <f>IF(D760="","",IF(J760="リード付け",N760,VLOOKUP(D760,契約台帳!$A$3:$P$4986,16,FALSE)))</f>
        <v>500</v>
      </c>
      <c r="T760" s="38">
        <v>22</v>
      </c>
      <c r="U760" s="261">
        <f ca="1">IF(D760="","",IF(OFFSET(D760,-2,0)=D760,"",VLOOKUP(D760,契約台帳!$A$3:$R$4986,18,FALSE)))</f>
        <v>22</v>
      </c>
      <c r="V760" s="256" t="s">
        <v>2812</v>
      </c>
      <c r="W760" s="256">
        <v>1020</v>
      </c>
      <c r="X760" s="256">
        <v>2</v>
      </c>
      <c r="Y760" s="256" t="s">
        <v>324</v>
      </c>
      <c r="Z760" s="54" t="s">
        <v>1016</v>
      </c>
      <c r="AA760" s="200" t="s">
        <v>1467</v>
      </c>
      <c r="AB760" s="31"/>
      <c r="AC760" s="184"/>
      <c r="AD760" s="51"/>
      <c r="AE760" s="52">
        <f>+M760*N760*O760/1000</f>
        <v>16800</v>
      </c>
      <c r="AF760" s="41"/>
      <c r="AG760" s="45"/>
      <c r="AH760" s="28"/>
      <c r="AI760" s="28"/>
      <c r="AJ760" s="28"/>
      <c r="AK760" s="28"/>
      <c r="AL760" s="12"/>
      <c r="AM760" s="12"/>
      <c r="AN760" s="12"/>
      <c r="AO760" s="12"/>
      <c r="AP760" s="12"/>
      <c r="AQ760" s="13"/>
      <c r="AR760" s="14"/>
    </row>
    <row r="761" spans="1:44" s="16" customFormat="1" ht="30.95" hidden="1" customHeight="1" x14ac:dyDescent="0.2">
      <c r="A761" s="303"/>
      <c r="B761" s="304"/>
      <c r="C761" s="305"/>
      <c r="D761" s="306"/>
      <c r="E761" s="306"/>
      <c r="F761" s="255"/>
      <c r="G761" s="256"/>
      <c r="H761" s="256"/>
      <c r="I761" s="200"/>
      <c r="J761" s="307"/>
      <c r="K761" s="200"/>
      <c r="L761" s="200"/>
      <c r="M761" s="308"/>
      <c r="N761" s="308"/>
      <c r="O761" s="309"/>
      <c r="P761" s="310"/>
      <c r="Q761" s="260"/>
      <c r="R761" s="261"/>
      <c r="S761" s="261"/>
      <c r="T761" s="311"/>
      <c r="U761" s="261"/>
      <c r="V761" s="256"/>
      <c r="W761" s="256"/>
      <c r="X761" s="256"/>
      <c r="Y761" s="256"/>
      <c r="Z761" s="310"/>
      <c r="AA761" s="200"/>
      <c r="AB761" s="312"/>
      <c r="AC761" s="313"/>
      <c r="AD761" s="51"/>
      <c r="AE761" s="314"/>
      <c r="AF761" s="315"/>
      <c r="AG761" s="309"/>
      <c r="AH761" s="28"/>
      <c r="AI761" s="28"/>
      <c r="AJ761" s="28"/>
      <c r="AK761" s="28"/>
      <c r="AL761" s="12"/>
      <c r="AM761" s="12"/>
      <c r="AN761" s="12"/>
      <c r="AO761" s="12"/>
      <c r="AP761" s="12"/>
      <c r="AQ761" s="13"/>
      <c r="AR761" s="14"/>
    </row>
    <row r="762" spans="1:44" s="16" customFormat="1" ht="30.75" hidden="1" customHeight="1" x14ac:dyDescent="0.2">
      <c r="A762" s="35" t="s">
        <v>553</v>
      </c>
      <c r="B762" s="36" t="s">
        <v>444</v>
      </c>
      <c r="C762" s="43"/>
      <c r="D762" s="29">
        <v>3723644</v>
      </c>
      <c r="E762" s="29">
        <v>4151463</v>
      </c>
      <c r="F762" s="255" t="s">
        <v>2805</v>
      </c>
      <c r="G762" s="256" t="s">
        <v>19</v>
      </c>
      <c r="H762" s="256" t="s">
        <v>221</v>
      </c>
      <c r="I762" s="200" t="s">
        <v>222</v>
      </c>
      <c r="J762" s="30" t="s">
        <v>447</v>
      </c>
      <c r="K762" s="200">
        <v>25</v>
      </c>
      <c r="L762" s="200" t="s">
        <v>223</v>
      </c>
      <c r="M762" s="37">
        <v>1100</v>
      </c>
      <c r="N762" s="37">
        <v>18000</v>
      </c>
      <c r="O762" s="45">
        <v>2</v>
      </c>
      <c r="P762" s="54"/>
      <c r="Q762" s="260">
        <v>1100</v>
      </c>
      <c r="R762" s="261">
        <v>1100</v>
      </c>
      <c r="S762" s="261">
        <f>IF(D762="","",IF(J762="リード付け",N762,VLOOKUP(D762,契約台帳!$A$3:$P$4986,16,FALSE)))</f>
        <v>6000</v>
      </c>
      <c r="T762" s="38">
        <v>6</v>
      </c>
      <c r="U762" s="261">
        <f ca="1">IF(D762="","",IF(OFFSET(D762,-2,0)=D762,"",VLOOKUP(D762,契約台帳!$A$3:$R$4986,18,FALSE)))</f>
        <v>6</v>
      </c>
      <c r="V762" s="256" t="s">
        <v>829</v>
      </c>
      <c r="W762" s="256">
        <v>1110</v>
      </c>
      <c r="X762" s="256">
        <v>2</v>
      </c>
      <c r="Y762" s="256" t="s">
        <v>116</v>
      </c>
      <c r="Z762" s="54">
        <v>45182</v>
      </c>
      <c r="AA762" s="200" t="str">
        <f>IFERROR(VLOOKUP(F762&amp;K762&amp;M762,製品マスタ!$M$5:$AM$4999,27,FALSE),"")</f>
        <v>原反ケース再利用</v>
      </c>
      <c r="AB762" s="31"/>
      <c r="AC762" s="184"/>
      <c r="AD762" s="51" t="str">
        <f>IF(F762="","",+F762&amp;K762)</f>
        <v>3SNMLBMNQR66F25</v>
      </c>
      <c r="AE762" s="52">
        <f>+M762*N762*O762/1000</f>
        <v>39600</v>
      </c>
      <c r="AF762" s="41">
        <f>IF(AD762="","",VLOOKUP(AD762,原価マスタ!$A$2:$AJ$1693,13,FALSE))</f>
        <v>98</v>
      </c>
      <c r="AG762" s="45">
        <f>IF(AF762="","",+AE762*AF762/100)</f>
        <v>38808</v>
      </c>
      <c r="AH762" s="28"/>
      <c r="AI762" s="28"/>
      <c r="AJ762" s="28"/>
      <c r="AK762" s="28"/>
      <c r="AL762" s="12"/>
      <c r="AM762" s="12"/>
      <c r="AN762" s="12"/>
      <c r="AO762" s="12"/>
      <c r="AP762" s="12"/>
      <c r="AQ762" s="13"/>
      <c r="AR762" s="14"/>
    </row>
    <row r="763" spans="1:44" s="16" customFormat="1" ht="30.95" hidden="1" customHeight="1" x14ac:dyDescent="0.2">
      <c r="A763" s="303"/>
      <c r="B763" s="304"/>
      <c r="C763" s="305"/>
      <c r="D763" s="306"/>
      <c r="E763" s="306"/>
      <c r="F763" s="255"/>
      <c r="G763" s="256"/>
      <c r="H763" s="256"/>
      <c r="I763" s="200"/>
      <c r="J763" s="307"/>
      <c r="K763" s="200"/>
      <c r="L763" s="200"/>
      <c r="M763" s="308"/>
      <c r="N763" s="308"/>
      <c r="O763" s="309"/>
      <c r="P763" s="310"/>
      <c r="Q763" s="260"/>
      <c r="R763" s="261"/>
      <c r="S763" s="261"/>
      <c r="T763" s="311"/>
      <c r="U763" s="261"/>
      <c r="V763" s="256"/>
      <c r="W763" s="256"/>
      <c r="X763" s="256"/>
      <c r="Y763" s="256"/>
      <c r="Z763" s="310"/>
      <c r="AA763" s="200"/>
      <c r="AB763" s="312"/>
      <c r="AC763" s="313"/>
      <c r="AD763" s="51"/>
      <c r="AE763" s="314"/>
      <c r="AF763" s="315"/>
      <c r="AG763" s="309"/>
      <c r="AH763" s="28"/>
      <c r="AI763" s="28"/>
      <c r="AJ763" s="28"/>
      <c r="AK763" s="28"/>
      <c r="AL763" s="12"/>
      <c r="AM763" s="12"/>
      <c r="AN763" s="12"/>
      <c r="AO763" s="12"/>
      <c r="AP763" s="12"/>
      <c r="AQ763" s="13"/>
      <c r="AR763" s="14"/>
    </row>
    <row r="764" spans="1:44" s="16" customFormat="1" ht="30.75" hidden="1" customHeight="1" x14ac:dyDescent="0.2">
      <c r="A764" s="35"/>
      <c r="B764" s="36"/>
      <c r="C764" s="43"/>
      <c r="D764" s="29">
        <v>3723643</v>
      </c>
      <c r="E764" s="29">
        <v>4151462</v>
      </c>
      <c r="F764" s="255" t="s">
        <v>2805</v>
      </c>
      <c r="G764" s="256" t="s">
        <v>19</v>
      </c>
      <c r="H764" s="256" t="s">
        <v>221</v>
      </c>
      <c r="I764" s="200" t="s">
        <v>222</v>
      </c>
      <c r="J764" s="30" t="s">
        <v>447</v>
      </c>
      <c r="K764" s="200">
        <v>25</v>
      </c>
      <c r="L764" s="200" t="s">
        <v>223</v>
      </c>
      <c r="M764" s="37">
        <v>1000</v>
      </c>
      <c r="N764" s="37">
        <v>18000</v>
      </c>
      <c r="O764" s="45">
        <v>2</v>
      </c>
      <c r="P764" s="54"/>
      <c r="Q764" s="260">
        <v>1000</v>
      </c>
      <c r="R764" s="261">
        <v>1000</v>
      </c>
      <c r="S764" s="261">
        <f>IF(D764="","",IF(J764="リード付け",N764,VLOOKUP(D764,契約台帳!$A$3:$P$4986,16,FALSE)))</f>
        <v>6000</v>
      </c>
      <c r="T764" s="38">
        <v>6</v>
      </c>
      <c r="U764" s="261">
        <f ca="1">IF(D764="","",IF(OFFSET(D764,-2,0)=D764,"",VLOOKUP(D764,契約台帳!$A$3:$R$4986,18,FALSE)))</f>
        <v>6</v>
      </c>
      <c r="V764" s="256" t="s">
        <v>829</v>
      </c>
      <c r="W764" s="256">
        <v>1010</v>
      </c>
      <c r="X764" s="256">
        <v>2</v>
      </c>
      <c r="Y764" s="256" t="s">
        <v>116</v>
      </c>
      <c r="Z764" s="54">
        <v>45182</v>
      </c>
      <c r="AA764" s="200" t="str">
        <f>IFERROR(VLOOKUP(F764&amp;K764&amp;M764,製品マスタ!$M$5:$AM$4999,27,FALSE),"")</f>
        <v>原反ケース再利用</v>
      </c>
      <c r="AB764" s="31"/>
      <c r="AC764" s="184"/>
      <c r="AD764" s="51" t="str">
        <f>IF(F764="","",+F764&amp;K764)</f>
        <v>3SNMLBMNQR66F25</v>
      </c>
      <c r="AE764" s="52">
        <f>+M764*N764*O764/1000</f>
        <v>36000</v>
      </c>
      <c r="AF764" s="41">
        <f>IF(AD764="","",VLOOKUP(AD764,原価マスタ!$A$2:$AJ$1693,13,FALSE))</f>
        <v>98</v>
      </c>
      <c r="AG764" s="45">
        <f>IF(AF764="","",+AE764*AF764/100)</f>
        <v>35280</v>
      </c>
      <c r="AH764" s="28"/>
      <c r="AI764" s="28"/>
      <c r="AJ764" s="28"/>
      <c r="AK764" s="28"/>
      <c r="AL764" s="12"/>
      <c r="AM764" s="12"/>
      <c r="AN764" s="12"/>
      <c r="AO764" s="12"/>
      <c r="AP764" s="12"/>
      <c r="AQ764" s="13"/>
      <c r="AR764" s="14"/>
    </row>
    <row r="765" spans="1:44" s="16" customFormat="1" ht="30.95" hidden="1" customHeight="1" x14ac:dyDescent="0.2">
      <c r="A765" s="303"/>
      <c r="B765" s="304"/>
      <c r="C765" s="305"/>
      <c r="D765" s="306"/>
      <c r="E765" s="306"/>
      <c r="F765" s="255"/>
      <c r="G765" s="256"/>
      <c r="H765" s="256"/>
      <c r="I765" s="200"/>
      <c r="J765" s="307"/>
      <c r="K765" s="200"/>
      <c r="L765" s="200"/>
      <c r="M765" s="308"/>
      <c r="N765" s="308"/>
      <c r="O765" s="309"/>
      <c r="P765" s="310"/>
      <c r="Q765" s="260"/>
      <c r="R765" s="261"/>
      <c r="S765" s="261"/>
      <c r="T765" s="311"/>
      <c r="U765" s="261"/>
      <c r="V765" s="256"/>
      <c r="W765" s="256"/>
      <c r="X765" s="256"/>
      <c r="Y765" s="256"/>
      <c r="Z765" s="310"/>
      <c r="AA765" s="200"/>
      <c r="AB765" s="312"/>
      <c r="AC765" s="313"/>
      <c r="AD765" s="51"/>
      <c r="AE765" s="314"/>
      <c r="AF765" s="315"/>
      <c r="AG765" s="309"/>
      <c r="AH765" s="28"/>
      <c r="AI765" s="28"/>
      <c r="AJ765" s="28"/>
      <c r="AK765" s="28"/>
      <c r="AL765" s="12"/>
      <c r="AM765" s="12"/>
      <c r="AN765" s="12"/>
      <c r="AO765" s="12"/>
      <c r="AP765" s="12"/>
      <c r="AQ765" s="13"/>
      <c r="AR765" s="14"/>
    </row>
    <row r="766" spans="1:44" s="16" customFormat="1" ht="30.95" hidden="1" customHeight="1" x14ac:dyDescent="0.2">
      <c r="A766" s="303" t="s">
        <v>554</v>
      </c>
      <c r="B766" s="304" t="s">
        <v>445</v>
      </c>
      <c r="C766" s="305"/>
      <c r="D766" s="306"/>
      <c r="E766" s="306"/>
      <c r="F766" s="255"/>
      <c r="G766" s="256"/>
      <c r="H766" s="256"/>
      <c r="I766" s="200"/>
      <c r="J766" s="307" t="s">
        <v>448</v>
      </c>
      <c r="K766" s="200"/>
      <c r="L766" s="200"/>
      <c r="M766" s="308"/>
      <c r="N766" s="308"/>
      <c r="O766" s="309"/>
      <c r="P766" s="310"/>
      <c r="Q766" s="260"/>
      <c r="R766" s="261"/>
      <c r="S766" s="261"/>
      <c r="T766" s="311"/>
      <c r="U766" s="261"/>
      <c r="V766" s="256"/>
      <c r="W766" s="256"/>
      <c r="X766" s="256"/>
      <c r="Y766" s="256"/>
      <c r="Z766" s="310"/>
      <c r="AA766" s="200"/>
      <c r="AB766" s="312"/>
      <c r="AC766" s="313"/>
      <c r="AD766" s="51"/>
      <c r="AE766" s="314"/>
      <c r="AF766" s="315"/>
      <c r="AG766" s="309"/>
      <c r="AH766" s="28"/>
      <c r="AI766" s="28"/>
      <c r="AJ766" s="28"/>
      <c r="AK766" s="28"/>
      <c r="AL766" s="12"/>
      <c r="AM766" s="12"/>
      <c r="AN766" s="12"/>
      <c r="AO766" s="12"/>
      <c r="AP766" s="12"/>
      <c r="AQ766" s="13"/>
      <c r="AR766" s="14"/>
    </row>
    <row r="767" spans="1:44" s="16" customFormat="1" ht="30.95" hidden="1" customHeight="1" x14ac:dyDescent="0.2">
      <c r="A767" s="303"/>
      <c r="B767" s="304"/>
      <c r="C767" s="305"/>
      <c r="D767" s="306"/>
      <c r="E767" s="306"/>
      <c r="F767" s="255"/>
      <c r="G767" s="256"/>
      <c r="H767" s="256"/>
      <c r="I767" s="200"/>
      <c r="J767" s="307"/>
      <c r="K767" s="200"/>
      <c r="L767" s="200"/>
      <c r="M767" s="308"/>
      <c r="N767" s="308"/>
      <c r="O767" s="309"/>
      <c r="P767" s="310"/>
      <c r="Q767" s="260"/>
      <c r="R767" s="261"/>
      <c r="S767" s="261"/>
      <c r="T767" s="311"/>
      <c r="U767" s="261"/>
      <c r="V767" s="256"/>
      <c r="W767" s="256"/>
      <c r="X767" s="256"/>
      <c r="Y767" s="256"/>
      <c r="Z767" s="310"/>
      <c r="AA767" s="200"/>
      <c r="AB767" s="312"/>
      <c r="AC767" s="313"/>
      <c r="AD767" s="51"/>
      <c r="AE767" s="314"/>
      <c r="AF767" s="315"/>
      <c r="AG767" s="309"/>
      <c r="AH767" s="28"/>
      <c r="AI767" s="28"/>
      <c r="AJ767" s="28"/>
      <c r="AK767" s="28"/>
      <c r="AL767" s="12"/>
      <c r="AM767" s="12"/>
      <c r="AN767" s="12"/>
      <c r="AO767" s="12"/>
      <c r="AP767" s="12"/>
      <c r="AQ767" s="13"/>
      <c r="AR767" s="14"/>
    </row>
    <row r="768" spans="1:44" s="16" customFormat="1" ht="30.95" hidden="1" customHeight="1" x14ac:dyDescent="0.2">
      <c r="A768" s="303" t="s">
        <v>555</v>
      </c>
      <c r="B768" s="304" t="s">
        <v>446</v>
      </c>
      <c r="C768" s="305"/>
      <c r="D768" s="306"/>
      <c r="E768" s="306"/>
      <c r="F768" s="255"/>
      <c r="G768" s="256"/>
      <c r="H768" s="256"/>
      <c r="I768" s="200"/>
      <c r="J768" s="307" t="s">
        <v>448</v>
      </c>
      <c r="K768" s="200"/>
      <c r="L768" s="200"/>
      <c r="M768" s="308"/>
      <c r="N768" s="308"/>
      <c r="O768" s="309"/>
      <c r="P768" s="310"/>
      <c r="Q768" s="260"/>
      <c r="R768" s="261"/>
      <c r="S768" s="261"/>
      <c r="T768" s="311"/>
      <c r="U768" s="261"/>
      <c r="V768" s="256"/>
      <c r="W768" s="256"/>
      <c r="X768" s="256"/>
      <c r="Y768" s="256"/>
      <c r="Z768" s="310"/>
      <c r="AA768" s="200"/>
      <c r="AB768" s="312"/>
      <c r="AC768" s="313"/>
      <c r="AD768" s="51"/>
      <c r="AE768" s="314"/>
      <c r="AF768" s="315"/>
      <c r="AG768" s="309"/>
      <c r="AH768" s="28"/>
      <c r="AI768" s="28"/>
      <c r="AJ768" s="28"/>
      <c r="AK768" s="28"/>
      <c r="AL768" s="12"/>
      <c r="AM768" s="12"/>
      <c r="AN768" s="12"/>
      <c r="AO768" s="12"/>
      <c r="AP768" s="12"/>
      <c r="AQ768" s="13"/>
      <c r="AR768" s="14"/>
    </row>
    <row r="769" spans="1:44" s="16" customFormat="1" ht="30.95" hidden="1" customHeight="1" x14ac:dyDescent="0.2">
      <c r="A769" s="303"/>
      <c r="B769" s="304"/>
      <c r="C769" s="305"/>
      <c r="D769" s="306"/>
      <c r="E769" s="306"/>
      <c r="F769" s="255"/>
      <c r="G769" s="256"/>
      <c r="H769" s="256"/>
      <c r="I769" s="200"/>
      <c r="J769" s="307"/>
      <c r="K769" s="200"/>
      <c r="L769" s="200"/>
      <c r="M769" s="308"/>
      <c r="N769" s="308"/>
      <c r="O769" s="309"/>
      <c r="P769" s="310"/>
      <c r="Q769" s="260"/>
      <c r="R769" s="261"/>
      <c r="S769" s="261"/>
      <c r="T769" s="311"/>
      <c r="U769" s="261"/>
      <c r="V769" s="256"/>
      <c r="W769" s="256"/>
      <c r="X769" s="256"/>
      <c r="Y769" s="256"/>
      <c r="Z769" s="310"/>
      <c r="AA769" s="200"/>
      <c r="AB769" s="312"/>
      <c r="AC769" s="313"/>
      <c r="AD769" s="51"/>
      <c r="AE769" s="314"/>
      <c r="AF769" s="315"/>
      <c r="AG769" s="309"/>
      <c r="AH769" s="28"/>
      <c r="AI769" s="28"/>
      <c r="AJ769" s="28"/>
      <c r="AK769" s="28"/>
      <c r="AL769" s="12"/>
      <c r="AM769" s="12"/>
      <c r="AN769" s="12"/>
      <c r="AO769" s="12"/>
      <c r="AP769" s="12"/>
      <c r="AQ769" s="13"/>
      <c r="AR769" s="14"/>
    </row>
    <row r="770" spans="1:44" s="16" customFormat="1" ht="30.75" hidden="1" customHeight="1" x14ac:dyDescent="0.2">
      <c r="A770" s="35" t="s">
        <v>556</v>
      </c>
      <c r="B770" s="36" t="s">
        <v>462</v>
      </c>
      <c r="C770" s="43"/>
      <c r="D770" s="29">
        <v>3723635</v>
      </c>
      <c r="E770" s="29">
        <v>4151465</v>
      </c>
      <c r="F770" s="255" t="s">
        <v>2806</v>
      </c>
      <c r="G770" s="256" t="s">
        <v>19</v>
      </c>
      <c r="H770" s="256" t="s">
        <v>216</v>
      </c>
      <c r="I770" s="200" t="s">
        <v>217</v>
      </c>
      <c r="J770" s="30" t="s">
        <v>447</v>
      </c>
      <c r="K770" s="200">
        <v>25</v>
      </c>
      <c r="L770" s="200" t="s">
        <v>151</v>
      </c>
      <c r="M770" s="37">
        <v>1005</v>
      </c>
      <c r="N770" s="37">
        <v>12100</v>
      </c>
      <c r="O770" s="45">
        <v>5</v>
      </c>
      <c r="P770" s="54"/>
      <c r="Q770" s="260">
        <v>1005</v>
      </c>
      <c r="R770" s="261">
        <v>1000</v>
      </c>
      <c r="S770" s="261">
        <f>IF(D770="","",IF(J770="リード付け",N770,VLOOKUP(D770,契約台帳!$A$3:$P$4986,16,FALSE)))</f>
        <v>4000</v>
      </c>
      <c r="T770" s="38">
        <v>15</v>
      </c>
      <c r="U770" s="261">
        <f ca="1">IF(D770="","",IF(OFFSET(D770,-2,0)=D770,"",VLOOKUP(D770,契約台帳!$A$3:$R$4986,18,FALSE)))</f>
        <v>15</v>
      </c>
      <c r="V770" s="256" t="s">
        <v>806</v>
      </c>
      <c r="W770" s="256">
        <v>1015</v>
      </c>
      <c r="X770" s="256">
        <v>2</v>
      </c>
      <c r="Y770" s="256" t="s">
        <v>116</v>
      </c>
      <c r="Z770" s="54">
        <v>45183</v>
      </c>
      <c r="AA770" s="200">
        <f>IFERROR(VLOOKUP(F770&amp;K770&amp;M770,製品マスタ!$M$5:$AM$4999,27,FALSE),"")</f>
        <v>0</v>
      </c>
      <c r="AB770" s="31"/>
      <c r="AC770" s="184"/>
      <c r="AD770" s="51" t="str">
        <f>IF(F770="","",+F770&amp;K770)</f>
        <v>3SNMLBMNGTBF25</v>
      </c>
      <c r="AE770" s="52">
        <f>+M770*N770*O770/1000</f>
        <v>60802.5</v>
      </c>
      <c r="AF770" s="41">
        <f>IF(AD770="","",VLOOKUP(AD770,原価マスタ!$A$2:$AJ$1693,13,FALSE))</f>
        <v>97.5</v>
      </c>
      <c r="AG770" s="45">
        <f>IF(AF770="","",+AE770*AF770/100)</f>
        <v>59282.4375</v>
      </c>
      <c r="AH770" s="28"/>
      <c r="AI770" s="28"/>
      <c r="AJ770" s="28"/>
      <c r="AK770" s="28"/>
      <c r="AL770" s="12"/>
      <c r="AM770" s="12"/>
      <c r="AN770" s="12"/>
      <c r="AO770" s="12"/>
      <c r="AP770" s="12"/>
      <c r="AQ770" s="13"/>
      <c r="AR770" s="14"/>
    </row>
    <row r="771" spans="1:44" s="16" customFormat="1" ht="30.95" hidden="1" customHeight="1" x14ac:dyDescent="0.2">
      <c r="A771" s="303"/>
      <c r="B771" s="304"/>
      <c r="C771" s="305"/>
      <c r="D771" s="306"/>
      <c r="E771" s="306"/>
      <c r="F771" s="255"/>
      <c r="G771" s="256"/>
      <c r="H771" s="256"/>
      <c r="I771" s="200"/>
      <c r="J771" s="307"/>
      <c r="K771" s="200"/>
      <c r="L771" s="200"/>
      <c r="M771" s="308"/>
      <c r="N771" s="308"/>
      <c r="O771" s="309"/>
      <c r="P771" s="310"/>
      <c r="Q771" s="260"/>
      <c r="R771" s="261"/>
      <c r="S771" s="261"/>
      <c r="T771" s="311"/>
      <c r="U771" s="261"/>
      <c r="V771" s="256"/>
      <c r="W771" s="256"/>
      <c r="X771" s="256"/>
      <c r="Y771" s="256"/>
      <c r="Z771" s="310"/>
      <c r="AA771" s="200"/>
      <c r="AB771" s="312"/>
      <c r="AC771" s="313"/>
      <c r="AD771" s="51"/>
      <c r="AE771" s="314"/>
      <c r="AF771" s="315"/>
      <c r="AG771" s="309"/>
      <c r="AH771" s="28"/>
      <c r="AI771" s="28"/>
      <c r="AJ771" s="28"/>
      <c r="AK771" s="28"/>
      <c r="AL771" s="12"/>
      <c r="AM771" s="12"/>
      <c r="AN771" s="12"/>
      <c r="AO771" s="12"/>
      <c r="AP771" s="12"/>
      <c r="AQ771" s="13"/>
      <c r="AR771" s="14"/>
    </row>
    <row r="772" spans="1:44" s="16" customFormat="1" ht="30.95" hidden="1" customHeight="1" x14ac:dyDescent="0.2">
      <c r="A772" s="35" t="s">
        <v>557</v>
      </c>
      <c r="B772" s="36" t="s">
        <v>688</v>
      </c>
      <c r="C772" s="305"/>
      <c r="D772" s="211">
        <v>3723636</v>
      </c>
      <c r="E772" s="29">
        <v>4151466</v>
      </c>
      <c r="F772" s="255" t="s">
        <v>2806</v>
      </c>
      <c r="G772" s="256" t="s">
        <v>19</v>
      </c>
      <c r="H772" s="256" t="s">
        <v>216</v>
      </c>
      <c r="I772" s="200" t="s">
        <v>217</v>
      </c>
      <c r="J772" s="30" t="s">
        <v>447</v>
      </c>
      <c r="K772" s="200">
        <v>25</v>
      </c>
      <c r="L772" s="200" t="s">
        <v>151</v>
      </c>
      <c r="M772" s="37">
        <v>1125</v>
      </c>
      <c r="N772" s="37">
        <v>12100</v>
      </c>
      <c r="O772" s="45">
        <v>1</v>
      </c>
      <c r="P772" s="54"/>
      <c r="Q772" s="260">
        <v>1125</v>
      </c>
      <c r="R772" s="261">
        <v>1120</v>
      </c>
      <c r="S772" s="261">
        <f>IF(D772="","",IF(J772="リード付け",N772,VLOOKUP(D772,契約台帳!$A$3:$P$4986,16,FALSE)))</f>
        <v>4000</v>
      </c>
      <c r="T772" s="38">
        <v>3</v>
      </c>
      <c r="U772" s="261">
        <f ca="1">IF(D772="","",IF(OFFSET(D772,-2,0)=D772,"",VLOOKUP(D772,契約台帳!$A$3:$R$4986,18,FALSE)))</f>
        <v>3</v>
      </c>
      <c r="V772" s="256" t="s">
        <v>806</v>
      </c>
      <c r="W772" s="256">
        <v>1130</v>
      </c>
      <c r="X772" s="256">
        <v>2</v>
      </c>
      <c r="Y772" s="256" t="s">
        <v>116</v>
      </c>
      <c r="Z772" s="310">
        <v>45184</v>
      </c>
      <c r="AA772" s="200">
        <f>IFERROR(VLOOKUP(F772&amp;K772&amp;M772,製品マスタ!$M$5:$AM$4999,27,FALSE),"")</f>
        <v>0</v>
      </c>
      <c r="AB772" s="312"/>
      <c r="AC772" s="313"/>
      <c r="AD772" s="51" t="str">
        <f>IF(F772="","",+F772&amp;K772)</f>
        <v>3SNMLBMNGTBF25</v>
      </c>
      <c r="AE772" s="52">
        <f>+M772*N772*O772/1000</f>
        <v>13612.5</v>
      </c>
      <c r="AF772" s="41">
        <f>IF(AD772="","",VLOOKUP(AD772,原価マスタ!$A$2:$AJ$1693,13,FALSE))</f>
        <v>97.5</v>
      </c>
      <c r="AG772" s="45">
        <f>IF(AF772="","",+AE772*AF772/100)</f>
        <v>13272.1875</v>
      </c>
      <c r="AH772" s="28"/>
      <c r="AI772" s="28"/>
      <c r="AJ772" s="28"/>
      <c r="AK772" s="28"/>
      <c r="AL772" s="12"/>
      <c r="AM772" s="12"/>
      <c r="AN772" s="12"/>
      <c r="AO772" s="12"/>
      <c r="AP772" s="12"/>
      <c r="AQ772" s="13"/>
      <c r="AR772" s="14"/>
    </row>
    <row r="773" spans="1:44" s="16" customFormat="1" ht="30.95" hidden="1" customHeight="1" x14ac:dyDescent="0.2">
      <c r="A773" s="303"/>
      <c r="B773" s="304"/>
      <c r="C773" s="305"/>
      <c r="D773" s="306"/>
      <c r="E773" s="306"/>
      <c r="F773" s="255"/>
      <c r="G773" s="256"/>
      <c r="H773" s="256"/>
      <c r="I773" s="200"/>
      <c r="J773" s="307"/>
      <c r="K773" s="200"/>
      <c r="L773" s="200"/>
      <c r="M773" s="308"/>
      <c r="N773" s="308"/>
      <c r="O773" s="309"/>
      <c r="P773" s="310"/>
      <c r="Q773" s="260"/>
      <c r="R773" s="261"/>
      <c r="S773" s="261"/>
      <c r="T773" s="311"/>
      <c r="U773" s="261"/>
      <c r="V773" s="256"/>
      <c r="W773" s="256"/>
      <c r="X773" s="256"/>
      <c r="Y773" s="256"/>
      <c r="Z773" s="310"/>
      <c r="AA773" s="200"/>
      <c r="AB773" s="312"/>
      <c r="AC773" s="313"/>
      <c r="AD773" s="51"/>
      <c r="AE773" s="314"/>
      <c r="AF773" s="315"/>
      <c r="AG773" s="309"/>
      <c r="AH773" s="28"/>
      <c r="AI773" s="28"/>
      <c r="AJ773" s="28"/>
      <c r="AK773" s="28"/>
      <c r="AL773" s="12"/>
      <c r="AM773" s="12"/>
      <c r="AN773" s="12"/>
      <c r="AO773" s="12"/>
      <c r="AP773" s="12"/>
      <c r="AQ773" s="13"/>
      <c r="AR773" s="14"/>
    </row>
    <row r="774" spans="1:44" s="16" customFormat="1" ht="30.75" hidden="1" customHeight="1" x14ac:dyDescent="0.2">
      <c r="A774" s="35"/>
      <c r="B774" s="36"/>
      <c r="C774" s="43"/>
      <c r="D774" s="29">
        <v>3725628</v>
      </c>
      <c r="E774" s="29">
        <v>4151477</v>
      </c>
      <c r="F774" s="255" t="s">
        <v>1889</v>
      </c>
      <c r="G774" s="256" t="s">
        <v>269</v>
      </c>
      <c r="H774" s="256" t="s">
        <v>1079</v>
      </c>
      <c r="I774" s="200" t="s">
        <v>1890</v>
      </c>
      <c r="J774" s="30" t="s">
        <v>463</v>
      </c>
      <c r="K774" s="200">
        <v>25</v>
      </c>
      <c r="L774" s="200" t="s">
        <v>78</v>
      </c>
      <c r="M774" s="37">
        <v>1110</v>
      </c>
      <c r="N774" s="37">
        <v>12100</v>
      </c>
      <c r="O774" s="45">
        <v>1</v>
      </c>
      <c r="P774" s="54"/>
      <c r="Q774" s="260">
        <v>1050</v>
      </c>
      <c r="R774" s="261">
        <v>1050</v>
      </c>
      <c r="S774" s="261">
        <f>IF(D774="","",IF(J774="リード付け",N774,VLOOKUP(D774,契約台帳!$A$3:$P$4986,16,FALSE)))</f>
        <v>6000</v>
      </c>
      <c r="T774" s="38">
        <v>2</v>
      </c>
      <c r="U774" s="261">
        <f ca="1">IF(D774="","",IF(OFFSET(D774,-2,0)=D774,"",VLOOKUP(D774,契約台帳!$A$3:$R$4986,18,FALSE)))</f>
        <v>2</v>
      </c>
      <c r="V774" s="256" t="s">
        <v>272</v>
      </c>
      <c r="W774" s="256">
        <v>1250</v>
      </c>
      <c r="X774" s="256">
        <v>1</v>
      </c>
      <c r="Y774" s="256" t="s">
        <v>1365</v>
      </c>
      <c r="Z774" s="54" t="s">
        <v>1016</v>
      </c>
      <c r="AA774" s="200" t="s">
        <v>1470</v>
      </c>
      <c r="AB774" s="31"/>
      <c r="AC774" s="184"/>
      <c r="AD774" s="51"/>
      <c r="AE774" s="52"/>
      <c r="AF774" s="41"/>
      <c r="AG774" s="45"/>
      <c r="AH774" s="28"/>
      <c r="AI774" s="28"/>
      <c r="AJ774" s="28"/>
      <c r="AK774" s="28"/>
      <c r="AL774" s="12"/>
      <c r="AM774" s="12"/>
      <c r="AN774" s="12"/>
      <c r="AO774" s="12"/>
      <c r="AP774" s="12"/>
      <c r="AQ774" s="13"/>
      <c r="AR774" s="14"/>
    </row>
    <row r="775" spans="1:44" s="16" customFormat="1" ht="30.95" hidden="1" customHeight="1" x14ac:dyDescent="0.2">
      <c r="A775" s="303"/>
      <c r="B775" s="304"/>
      <c r="C775" s="305"/>
      <c r="D775" s="306"/>
      <c r="E775" s="306"/>
      <c r="F775" s="255"/>
      <c r="G775" s="256"/>
      <c r="H775" s="256"/>
      <c r="I775" s="200"/>
      <c r="J775" s="307"/>
      <c r="K775" s="200"/>
      <c r="L775" s="200"/>
      <c r="M775" s="308"/>
      <c r="N775" s="308"/>
      <c r="O775" s="309"/>
      <c r="P775" s="310"/>
      <c r="Q775" s="260"/>
      <c r="R775" s="261"/>
      <c r="S775" s="261"/>
      <c r="T775" s="311"/>
      <c r="U775" s="261"/>
      <c r="V775" s="256"/>
      <c r="W775" s="256"/>
      <c r="X775" s="256"/>
      <c r="Y775" s="256"/>
      <c r="Z775" s="310"/>
      <c r="AA775" s="200"/>
      <c r="AB775" s="312"/>
      <c r="AC775" s="313"/>
      <c r="AD775" s="51"/>
      <c r="AE775" s="314"/>
      <c r="AF775" s="315"/>
      <c r="AG775" s="309"/>
      <c r="AH775" s="28"/>
      <c r="AI775" s="28"/>
      <c r="AJ775" s="28"/>
      <c r="AK775" s="28"/>
      <c r="AL775" s="12"/>
      <c r="AM775" s="12"/>
      <c r="AN775" s="12"/>
      <c r="AO775" s="12"/>
      <c r="AP775" s="12"/>
      <c r="AQ775" s="13"/>
      <c r="AR775" s="14"/>
    </row>
    <row r="776" spans="1:44" s="16" customFormat="1" ht="30.95" hidden="1" customHeight="1" x14ac:dyDescent="0.2">
      <c r="A776" s="35" t="s">
        <v>561</v>
      </c>
      <c r="B776" s="36" t="s">
        <v>442</v>
      </c>
      <c r="C776" s="305"/>
      <c r="D776" s="306" t="s">
        <v>1276</v>
      </c>
      <c r="E776" s="306" t="s">
        <v>1468</v>
      </c>
      <c r="F776" s="255"/>
      <c r="G776" s="256"/>
      <c r="H776" s="256"/>
      <c r="I776" s="200" t="s">
        <v>1469</v>
      </c>
      <c r="J776" s="307" t="s">
        <v>463</v>
      </c>
      <c r="K776" s="200">
        <v>25</v>
      </c>
      <c r="L776" s="200" t="s">
        <v>78</v>
      </c>
      <c r="M776" s="308">
        <v>1110</v>
      </c>
      <c r="N776" s="308">
        <v>700</v>
      </c>
      <c r="O776" s="309">
        <v>1</v>
      </c>
      <c r="P776" s="310"/>
      <c r="Q776" s="260">
        <v>1050</v>
      </c>
      <c r="R776" s="261">
        <v>1050</v>
      </c>
      <c r="S776" s="261">
        <v>500</v>
      </c>
      <c r="T776" s="311">
        <v>1</v>
      </c>
      <c r="U776" s="261"/>
      <c r="V776" s="256" t="s">
        <v>272</v>
      </c>
      <c r="W776" s="256">
        <v>1250</v>
      </c>
      <c r="X776" s="256">
        <v>1</v>
      </c>
      <c r="Y776" s="256" t="s">
        <v>61</v>
      </c>
      <c r="Z776" s="310" t="s">
        <v>1016</v>
      </c>
      <c r="AA776" s="200" t="s">
        <v>1470</v>
      </c>
      <c r="AB776" s="312"/>
      <c r="AC776" s="313"/>
      <c r="AD776" s="51"/>
      <c r="AE776" s="314"/>
      <c r="AF776" s="315"/>
      <c r="AG776" s="309"/>
      <c r="AH776" s="28"/>
      <c r="AI776" s="28"/>
      <c r="AJ776" s="28"/>
      <c r="AK776" s="28"/>
      <c r="AL776" s="12"/>
      <c r="AM776" s="12"/>
      <c r="AN776" s="12"/>
      <c r="AO776" s="12"/>
      <c r="AP776" s="12"/>
      <c r="AQ776" s="13"/>
      <c r="AR776" s="14"/>
    </row>
    <row r="777" spans="1:44" s="16" customFormat="1" ht="30.95" hidden="1" customHeight="1" x14ac:dyDescent="0.2">
      <c r="A777" s="303"/>
      <c r="B777" s="304"/>
      <c r="C777" s="305"/>
      <c r="D777" s="306"/>
      <c r="E777" s="306"/>
      <c r="F777" s="255"/>
      <c r="G777" s="256"/>
      <c r="H777" s="256"/>
      <c r="I777" s="200"/>
      <c r="J777" s="307"/>
      <c r="K777" s="200"/>
      <c r="L777" s="200"/>
      <c r="M777" s="308"/>
      <c r="N777" s="308"/>
      <c r="O777" s="309"/>
      <c r="P777" s="310"/>
      <c r="Q777" s="260"/>
      <c r="R777" s="261"/>
      <c r="S777" s="261"/>
      <c r="T777" s="311"/>
      <c r="U777" s="261"/>
      <c r="V777" s="256"/>
      <c r="W777" s="256"/>
      <c r="X777" s="256"/>
      <c r="Y777" s="256"/>
      <c r="Z777" s="310"/>
      <c r="AA777" s="200"/>
      <c r="AB777" s="312"/>
      <c r="AC777" s="313"/>
      <c r="AD777" s="51"/>
      <c r="AE777" s="314"/>
      <c r="AF777" s="315"/>
      <c r="AG777" s="309"/>
      <c r="AH777" s="28"/>
      <c r="AI777" s="28"/>
      <c r="AJ777" s="28"/>
      <c r="AK777" s="28"/>
      <c r="AL777" s="12"/>
      <c r="AM777" s="12"/>
      <c r="AN777" s="12"/>
      <c r="AO777" s="12"/>
      <c r="AP777" s="12"/>
      <c r="AQ777" s="13"/>
      <c r="AR777" s="14"/>
    </row>
    <row r="778" spans="1:44" s="16" customFormat="1" ht="30.95" hidden="1" customHeight="1" x14ac:dyDescent="0.2">
      <c r="A778" s="303"/>
      <c r="B778" s="304"/>
      <c r="C778" s="305"/>
      <c r="D778" s="306" t="s">
        <v>1276</v>
      </c>
      <c r="E778" s="306" t="s">
        <v>1468</v>
      </c>
      <c r="F778" s="255"/>
      <c r="G778" s="256"/>
      <c r="H778" s="256"/>
      <c r="I778" s="200" t="s">
        <v>1469</v>
      </c>
      <c r="J778" s="307" t="s">
        <v>463</v>
      </c>
      <c r="K778" s="200">
        <v>25</v>
      </c>
      <c r="L778" s="200" t="s">
        <v>78</v>
      </c>
      <c r="M778" s="308">
        <v>1110</v>
      </c>
      <c r="N778" s="308">
        <v>1200</v>
      </c>
      <c r="O778" s="309">
        <v>1</v>
      </c>
      <c r="P778" s="310"/>
      <c r="Q778" s="260">
        <v>1050</v>
      </c>
      <c r="R778" s="261">
        <v>1050</v>
      </c>
      <c r="S778" s="261">
        <v>1000</v>
      </c>
      <c r="T778" s="311">
        <v>1</v>
      </c>
      <c r="U778" s="261" t="str">
        <f ca="1">IF(D778="","",IF(OFFSET(D778,-2,0)=D778,"",VLOOKUP(D778,契約台帳!$A$3:$R$4986,18,FALSE)))</f>
        <v/>
      </c>
      <c r="V778" s="256" t="s">
        <v>272</v>
      </c>
      <c r="W778" s="256">
        <v>1250</v>
      </c>
      <c r="X778" s="256">
        <v>1</v>
      </c>
      <c r="Y778" s="256" t="s">
        <v>61</v>
      </c>
      <c r="Z778" s="310" t="s">
        <v>1016</v>
      </c>
      <c r="AA778" s="200" t="s">
        <v>1470</v>
      </c>
      <c r="AB778" s="312"/>
      <c r="AC778" s="313"/>
      <c r="AD778" s="51"/>
      <c r="AE778" s="314"/>
      <c r="AF778" s="315"/>
      <c r="AG778" s="309"/>
      <c r="AH778" s="28"/>
      <c r="AI778" s="28"/>
      <c r="AJ778" s="28"/>
      <c r="AK778" s="28"/>
      <c r="AL778" s="12"/>
      <c r="AM778" s="12"/>
      <c r="AN778" s="12"/>
      <c r="AO778" s="12"/>
      <c r="AP778" s="12"/>
      <c r="AQ778" s="13"/>
      <c r="AR778" s="14"/>
    </row>
    <row r="779" spans="1:44" s="16" customFormat="1" ht="30.95" hidden="1" customHeight="1" x14ac:dyDescent="0.2">
      <c r="A779" s="303"/>
      <c r="B779" s="304"/>
      <c r="C779" s="305"/>
      <c r="D779" s="306"/>
      <c r="E779" s="306"/>
      <c r="F779" s="255"/>
      <c r="G779" s="256"/>
      <c r="H779" s="256"/>
      <c r="I779" s="200"/>
      <c r="J779" s="307"/>
      <c r="K779" s="200"/>
      <c r="L779" s="200"/>
      <c r="M779" s="308"/>
      <c r="N779" s="308"/>
      <c r="O779" s="309"/>
      <c r="P779" s="310"/>
      <c r="Q779" s="260"/>
      <c r="R779" s="261"/>
      <c r="S779" s="261"/>
      <c r="T779" s="311"/>
      <c r="U779" s="261"/>
      <c r="V779" s="256"/>
      <c r="W779" s="256"/>
      <c r="X779" s="256"/>
      <c r="Y779" s="256"/>
      <c r="Z779" s="310"/>
      <c r="AA779" s="200"/>
      <c r="AB779" s="312"/>
      <c r="AC779" s="313"/>
      <c r="AD779" s="51"/>
      <c r="AE779" s="314"/>
      <c r="AF779" s="315"/>
      <c r="AG779" s="309"/>
      <c r="AH779" s="28"/>
      <c r="AI779" s="28"/>
      <c r="AJ779" s="28"/>
      <c r="AK779" s="28"/>
      <c r="AL779" s="12"/>
      <c r="AM779" s="12"/>
      <c r="AN779" s="12"/>
      <c r="AO779" s="12"/>
      <c r="AP779" s="12"/>
      <c r="AQ779" s="13"/>
      <c r="AR779" s="14"/>
    </row>
    <row r="780" spans="1:44" s="16" customFormat="1" ht="30.95" hidden="1" customHeight="1" x14ac:dyDescent="0.2">
      <c r="A780" s="303"/>
      <c r="B780" s="304"/>
      <c r="C780" s="305"/>
      <c r="D780" s="306" t="s">
        <v>1276</v>
      </c>
      <c r="E780" s="306" t="s">
        <v>1468</v>
      </c>
      <c r="F780" s="255"/>
      <c r="G780" s="256"/>
      <c r="H780" s="256"/>
      <c r="I780" s="200" t="s">
        <v>1469</v>
      </c>
      <c r="J780" s="307" t="s">
        <v>463</v>
      </c>
      <c r="K780" s="200">
        <v>25</v>
      </c>
      <c r="L780" s="200" t="s">
        <v>78</v>
      </c>
      <c r="M780" s="308">
        <v>1110</v>
      </c>
      <c r="N780" s="308">
        <v>700</v>
      </c>
      <c r="O780" s="309">
        <v>1</v>
      </c>
      <c r="P780" s="310"/>
      <c r="Q780" s="260">
        <v>1050</v>
      </c>
      <c r="R780" s="261">
        <v>1050</v>
      </c>
      <c r="S780" s="261">
        <v>500</v>
      </c>
      <c r="T780" s="311">
        <v>1</v>
      </c>
      <c r="U780" s="261" t="str">
        <f ca="1">IF(D780="","",IF(OFFSET(D780,-2,0)=D780,"",VLOOKUP(D780,契約台帳!$A$3:$R$4986,18,FALSE)))</f>
        <v/>
      </c>
      <c r="V780" s="256" t="s">
        <v>272</v>
      </c>
      <c r="W780" s="256">
        <v>1250</v>
      </c>
      <c r="X780" s="256">
        <v>1</v>
      </c>
      <c r="Y780" s="256" t="s">
        <v>61</v>
      </c>
      <c r="Z780" s="310" t="s">
        <v>1016</v>
      </c>
      <c r="AA780" s="200" t="s">
        <v>1470</v>
      </c>
      <c r="AB780" s="312"/>
      <c r="AC780" s="313"/>
      <c r="AD780" s="51"/>
      <c r="AE780" s="314"/>
      <c r="AF780" s="315"/>
      <c r="AG780" s="309"/>
      <c r="AH780" s="28"/>
      <c r="AI780" s="28"/>
      <c r="AJ780" s="28"/>
      <c r="AK780" s="28"/>
      <c r="AL780" s="12"/>
      <c r="AM780" s="12"/>
      <c r="AN780" s="12"/>
      <c r="AO780" s="12"/>
      <c r="AP780" s="12"/>
      <c r="AQ780" s="13"/>
      <c r="AR780" s="14"/>
    </row>
    <row r="781" spans="1:44" s="16" customFormat="1" ht="30.95" hidden="1" customHeight="1" x14ac:dyDescent="0.2">
      <c r="A781" s="303"/>
      <c r="B781" s="304"/>
      <c r="C781" s="305"/>
      <c r="D781" s="306"/>
      <c r="E781" s="306"/>
      <c r="F781" s="255"/>
      <c r="G781" s="256"/>
      <c r="H781" s="256"/>
      <c r="I781" s="200"/>
      <c r="J781" s="307"/>
      <c r="K781" s="200"/>
      <c r="L781" s="200"/>
      <c r="M781" s="308"/>
      <c r="N781" s="308"/>
      <c r="O781" s="309"/>
      <c r="P781" s="310"/>
      <c r="Q781" s="260"/>
      <c r="R781" s="261"/>
      <c r="S781" s="261"/>
      <c r="T781" s="311"/>
      <c r="U781" s="261"/>
      <c r="V781" s="256"/>
      <c r="W781" s="256"/>
      <c r="X781" s="256"/>
      <c r="Y781" s="256"/>
      <c r="Z781" s="310"/>
      <c r="AA781" s="200"/>
      <c r="AB781" s="312"/>
      <c r="AC781" s="313"/>
      <c r="AD781" s="51"/>
      <c r="AE781" s="314"/>
      <c r="AF781" s="315"/>
      <c r="AG781" s="309"/>
      <c r="AH781" s="28"/>
      <c r="AI781" s="28"/>
      <c r="AJ781" s="28"/>
      <c r="AK781" s="28"/>
      <c r="AL781" s="12"/>
      <c r="AM781" s="12"/>
      <c r="AN781" s="12"/>
      <c r="AO781" s="12"/>
      <c r="AP781" s="12"/>
      <c r="AQ781" s="13"/>
      <c r="AR781" s="14"/>
    </row>
    <row r="782" spans="1:44" s="16" customFormat="1" ht="30.75" hidden="1" customHeight="1" x14ac:dyDescent="0.2">
      <c r="A782" s="35"/>
      <c r="B782" s="36"/>
      <c r="C782" s="43"/>
      <c r="D782" s="29">
        <v>3725629</v>
      </c>
      <c r="E782" s="29">
        <v>4151478</v>
      </c>
      <c r="F782" s="255" t="s">
        <v>1668</v>
      </c>
      <c r="G782" s="256" t="s">
        <v>269</v>
      </c>
      <c r="H782" s="256" t="s">
        <v>1079</v>
      </c>
      <c r="I782" s="200" t="s">
        <v>1669</v>
      </c>
      <c r="J782" s="30" t="s">
        <v>463</v>
      </c>
      <c r="K782" s="200">
        <v>25</v>
      </c>
      <c r="L782" s="200" t="s">
        <v>78</v>
      </c>
      <c r="M782" s="37">
        <v>1110</v>
      </c>
      <c r="N782" s="37">
        <v>12100</v>
      </c>
      <c r="O782" s="45">
        <v>1</v>
      </c>
      <c r="P782" s="54"/>
      <c r="Q782" s="260">
        <v>1050</v>
      </c>
      <c r="R782" s="261">
        <v>1050</v>
      </c>
      <c r="S782" s="261">
        <f>IF(D782="","",IF(J782="リード付け",N782,VLOOKUP(D782,契約台帳!$A$3:$P$4986,16,FALSE)))</f>
        <v>6000</v>
      </c>
      <c r="T782" s="38">
        <v>2</v>
      </c>
      <c r="U782" s="261">
        <f ca="1">IF(D782="","",IF(OFFSET(D782,-2,0)=D782,"",VLOOKUP(D782,契約台帳!$A$3:$R$4986,18,FALSE)))</f>
        <v>2</v>
      </c>
      <c r="V782" s="256" t="s">
        <v>272</v>
      </c>
      <c r="W782" s="256">
        <v>1250</v>
      </c>
      <c r="X782" s="256">
        <v>1</v>
      </c>
      <c r="Y782" s="256" t="s">
        <v>61</v>
      </c>
      <c r="Z782" s="54" t="s">
        <v>1016</v>
      </c>
      <c r="AA782" s="200" t="s">
        <v>1470</v>
      </c>
      <c r="AB782" s="31"/>
      <c r="AC782" s="184"/>
      <c r="AD782" s="51"/>
      <c r="AE782" s="52"/>
      <c r="AF782" s="41"/>
      <c r="AG782" s="45"/>
      <c r="AH782" s="28"/>
      <c r="AI782" s="28"/>
      <c r="AJ782" s="28"/>
      <c r="AK782" s="28"/>
      <c r="AL782" s="12"/>
      <c r="AM782" s="12"/>
      <c r="AN782" s="12"/>
      <c r="AO782" s="12"/>
      <c r="AP782" s="12"/>
      <c r="AQ782" s="13"/>
      <c r="AR782" s="14"/>
    </row>
    <row r="783" spans="1:44" s="16" customFormat="1" ht="30.95" hidden="1" customHeight="1" x14ac:dyDescent="0.2">
      <c r="A783" s="303"/>
      <c r="B783" s="304"/>
      <c r="C783" s="305"/>
      <c r="D783" s="306"/>
      <c r="E783" s="306"/>
      <c r="F783" s="255"/>
      <c r="G783" s="256"/>
      <c r="H783" s="256"/>
      <c r="I783" s="200"/>
      <c r="J783" s="307"/>
      <c r="K783" s="200"/>
      <c r="L783" s="200"/>
      <c r="M783" s="308"/>
      <c r="N783" s="308"/>
      <c r="O783" s="309"/>
      <c r="P783" s="310"/>
      <c r="Q783" s="260"/>
      <c r="R783" s="261"/>
      <c r="S783" s="261"/>
      <c r="T783" s="311"/>
      <c r="U783" s="261"/>
      <c r="V783" s="256"/>
      <c r="W783" s="256"/>
      <c r="X783" s="256"/>
      <c r="Y783" s="256"/>
      <c r="Z783" s="310"/>
      <c r="AA783" s="200"/>
      <c r="AB783" s="312"/>
      <c r="AC783" s="313"/>
      <c r="AD783" s="51"/>
      <c r="AE783" s="314"/>
      <c r="AF783" s="315"/>
      <c r="AG783" s="309"/>
      <c r="AH783" s="28"/>
      <c r="AI783" s="28"/>
      <c r="AJ783" s="28"/>
      <c r="AK783" s="28"/>
      <c r="AL783" s="12"/>
      <c r="AM783" s="12"/>
      <c r="AN783" s="12"/>
      <c r="AO783" s="12"/>
      <c r="AP783" s="12"/>
      <c r="AQ783" s="13"/>
      <c r="AR783" s="14"/>
    </row>
    <row r="784" spans="1:44" s="16" customFormat="1" ht="30.75" hidden="1" customHeight="1" x14ac:dyDescent="0.2">
      <c r="A784" s="35" t="s">
        <v>562</v>
      </c>
      <c r="B784" s="36" t="s">
        <v>443</v>
      </c>
      <c r="C784" s="43"/>
      <c r="D784" s="29">
        <v>3723648</v>
      </c>
      <c r="E784" s="29">
        <v>4151459</v>
      </c>
      <c r="F784" s="255" t="s">
        <v>2807</v>
      </c>
      <c r="G784" s="256" t="s">
        <v>19</v>
      </c>
      <c r="H784" s="256" t="s">
        <v>233</v>
      </c>
      <c r="I784" s="200" t="s">
        <v>234</v>
      </c>
      <c r="J784" s="30" t="s">
        <v>447</v>
      </c>
      <c r="K784" s="200">
        <v>50</v>
      </c>
      <c r="L784" s="200" t="s">
        <v>168</v>
      </c>
      <c r="M784" s="37">
        <v>1120</v>
      </c>
      <c r="N784" s="37">
        <v>12000</v>
      </c>
      <c r="O784" s="45">
        <v>1</v>
      </c>
      <c r="P784" s="54"/>
      <c r="Q784" s="260">
        <v>1120</v>
      </c>
      <c r="R784" s="261">
        <v>1120</v>
      </c>
      <c r="S784" s="261">
        <f>IF(D784="","",IF(J784="リード付け",N784,VLOOKUP(D784,契約台帳!$A$3:$P$4986,16,FALSE)))</f>
        <v>4000</v>
      </c>
      <c r="T784" s="38">
        <v>3</v>
      </c>
      <c r="U784" s="261">
        <f ca="1">IF(D784="","",IF(OFFSET(D784,-2,0)=D784,"",VLOOKUP(D784,契約台帳!$A$3:$R$4986,18,FALSE)))</f>
        <v>4</v>
      </c>
      <c r="V784" s="256" t="s">
        <v>829</v>
      </c>
      <c r="W784" s="256">
        <v>1125</v>
      </c>
      <c r="X784" s="256">
        <v>2</v>
      </c>
      <c r="Y784" s="256" t="s">
        <v>116</v>
      </c>
      <c r="Z784" s="54">
        <v>45188</v>
      </c>
      <c r="AA784" s="200">
        <f>IFERROR(VLOOKUP(F784&amp;K784&amp;M784,製品マスタ!$M$5:$AM$4999,27,FALSE),"")</f>
        <v>0</v>
      </c>
      <c r="AB784" s="31"/>
      <c r="AC784" s="184"/>
      <c r="AD784" s="51" t="str">
        <f>IF(F784="","",+F784&amp;K784)</f>
        <v>3SYMLBMSNMBF50</v>
      </c>
      <c r="AE784" s="52">
        <f>+M784*N784*O784/1000</f>
        <v>13440</v>
      </c>
      <c r="AF784" s="41">
        <f>IF(AD784="","",VLOOKUP(AD784,原価マスタ!$A$2:$AJ$1693,13,FALSE))</f>
        <v>98.8</v>
      </c>
      <c r="AG784" s="45">
        <f>IF(AF784="","",+AE784*AF784/100)</f>
        <v>13278.72</v>
      </c>
      <c r="AH784" s="28"/>
      <c r="AI784" s="28"/>
      <c r="AJ784" s="28"/>
      <c r="AK784" s="28"/>
      <c r="AL784" s="12"/>
      <c r="AM784" s="12"/>
      <c r="AN784" s="12"/>
      <c r="AO784" s="12"/>
      <c r="AP784" s="12"/>
      <c r="AQ784" s="13"/>
      <c r="AR784" s="14"/>
    </row>
    <row r="785" spans="1:44" s="16" customFormat="1" ht="30.95" hidden="1" customHeight="1" x14ac:dyDescent="0.2">
      <c r="A785" s="303"/>
      <c r="B785" s="304"/>
      <c r="C785" s="305"/>
      <c r="D785" s="306"/>
      <c r="E785" s="306"/>
      <c r="F785" s="255"/>
      <c r="G785" s="256"/>
      <c r="H785" s="256"/>
      <c r="I785" s="200"/>
      <c r="J785" s="307"/>
      <c r="K785" s="200"/>
      <c r="L785" s="200"/>
      <c r="M785" s="308"/>
      <c r="N785" s="308"/>
      <c r="O785" s="309"/>
      <c r="P785" s="310"/>
      <c r="Q785" s="260"/>
      <c r="R785" s="261"/>
      <c r="S785" s="261"/>
      <c r="T785" s="311"/>
      <c r="U785" s="261"/>
      <c r="V785" s="256"/>
      <c r="W785" s="256"/>
      <c r="X785" s="256"/>
      <c r="Y785" s="256"/>
      <c r="Z785" s="310"/>
      <c r="AA785" s="200"/>
      <c r="AB785" s="312"/>
      <c r="AC785" s="313"/>
      <c r="AD785" s="51"/>
      <c r="AE785" s="314"/>
      <c r="AF785" s="315"/>
      <c r="AG785" s="309"/>
      <c r="AH785" s="28"/>
      <c r="AI785" s="28"/>
      <c r="AJ785" s="28"/>
      <c r="AK785" s="28"/>
      <c r="AL785" s="12"/>
      <c r="AM785" s="12"/>
      <c r="AN785" s="12"/>
      <c r="AO785" s="12"/>
      <c r="AP785" s="12"/>
      <c r="AQ785" s="13"/>
      <c r="AR785" s="14"/>
    </row>
    <row r="786" spans="1:44" s="16" customFormat="1" ht="30.75" hidden="1" customHeight="1" x14ac:dyDescent="0.2">
      <c r="A786" s="35"/>
      <c r="B786" s="36"/>
      <c r="C786" s="43"/>
      <c r="D786" s="29">
        <v>3723648</v>
      </c>
      <c r="E786" s="29">
        <v>4151459</v>
      </c>
      <c r="F786" s="255" t="s">
        <v>2807</v>
      </c>
      <c r="G786" s="256" t="s">
        <v>19</v>
      </c>
      <c r="H786" s="256" t="s">
        <v>233</v>
      </c>
      <c r="I786" s="200" t="s">
        <v>234</v>
      </c>
      <c r="J786" s="30" t="s">
        <v>447</v>
      </c>
      <c r="K786" s="200">
        <v>50</v>
      </c>
      <c r="L786" s="200" t="s">
        <v>168</v>
      </c>
      <c r="M786" s="37">
        <v>1120</v>
      </c>
      <c r="N786" s="37">
        <v>12000</v>
      </c>
      <c r="O786" s="45">
        <v>1</v>
      </c>
      <c r="P786" s="54"/>
      <c r="Q786" s="260">
        <v>1120</v>
      </c>
      <c r="R786" s="261">
        <v>1120</v>
      </c>
      <c r="S786" s="261">
        <f>IF(D786="","",IF(J786="リード付け",N786,VLOOKUP(D786,契約台帳!$A$3:$P$4986,16,FALSE)))</f>
        <v>4000</v>
      </c>
      <c r="T786" s="38">
        <v>1</v>
      </c>
      <c r="U786" s="261" t="str">
        <f ca="1">IF(D786="","",IF(OFFSET(D786,-2,0)=D786,"",VLOOKUP(D786,契約台帳!$A$3:$R$4986,18,FALSE)))</f>
        <v/>
      </c>
      <c r="V786" s="256" t="s">
        <v>829</v>
      </c>
      <c r="W786" s="256">
        <v>1125</v>
      </c>
      <c r="X786" s="256">
        <v>2</v>
      </c>
      <c r="Y786" s="256" t="s">
        <v>116</v>
      </c>
      <c r="Z786" s="54">
        <v>45188</v>
      </c>
      <c r="AA786" s="200">
        <f>IFERROR(VLOOKUP(F786&amp;K786&amp;M786,製品マスタ!$M$5:$AM$4999,27,FALSE),"")</f>
        <v>0</v>
      </c>
      <c r="AB786" s="31"/>
      <c r="AC786" s="184"/>
      <c r="AD786" s="51" t="str">
        <f>IF(F786="","",+F786&amp;K786)</f>
        <v>3SYMLBMSNMBF50</v>
      </c>
      <c r="AE786" s="52">
        <f>+M786*N786*O786/1000</f>
        <v>13440</v>
      </c>
      <c r="AF786" s="41">
        <f>IF(AD786="","",VLOOKUP(AD786,原価マスタ!$A$2:$AJ$1693,13,FALSE))</f>
        <v>98.8</v>
      </c>
      <c r="AG786" s="45">
        <f>IF(AF786="","",+AE786*AF786/100)</f>
        <v>13278.72</v>
      </c>
      <c r="AH786" s="28"/>
      <c r="AI786" s="28"/>
      <c r="AJ786" s="28"/>
      <c r="AK786" s="28"/>
      <c r="AL786" s="12"/>
      <c r="AM786" s="12"/>
      <c r="AN786" s="12"/>
      <c r="AO786" s="12"/>
      <c r="AP786" s="12"/>
      <c r="AQ786" s="13"/>
      <c r="AR786" s="14"/>
    </row>
    <row r="787" spans="1:44" s="16" customFormat="1" ht="30.75" hidden="1" customHeight="1" x14ac:dyDescent="0.2">
      <c r="A787" s="35"/>
      <c r="B787" s="36"/>
      <c r="C787" s="43"/>
      <c r="D787" s="29">
        <v>3723649</v>
      </c>
      <c r="E787" s="29"/>
      <c r="F787" s="255" t="s">
        <v>2807</v>
      </c>
      <c r="G787" s="256" t="s">
        <v>19</v>
      </c>
      <c r="H787" s="256" t="s">
        <v>233</v>
      </c>
      <c r="I787" s="200" t="s">
        <v>234</v>
      </c>
      <c r="J787" s="30" t="s">
        <v>447</v>
      </c>
      <c r="K787" s="200">
        <v>50</v>
      </c>
      <c r="L787" s="200" t="s">
        <v>168</v>
      </c>
      <c r="M787" s="37">
        <v>1120</v>
      </c>
      <c r="N787" s="37"/>
      <c r="O787" s="45"/>
      <c r="P787" s="54"/>
      <c r="Q787" s="260">
        <v>1120</v>
      </c>
      <c r="R787" s="261">
        <v>1120</v>
      </c>
      <c r="S787" s="261">
        <f>IF(D787="","",IF(J787="リード付け",N787,VLOOKUP(D787,契約台帳!$A$3:$P$4986,16,FALSE)))</f>
        <v>4000</v>
      </c>
      <c r="T787" s="38">
        <v>2</v>
      </c>
      <c r="U787" s="261">
        <f ca="1">IF(D787="","",IF(OFFSET(D787,-2,0)=D787,"",VLOOKUP(D787,契約台帳!$A$3:$R$4986,18,FALSE)))</f>
        <v>4</v>
      </c>
      <c r="V787" s="256" t="s">
        <v>829</v>
      </c>
      <c r="W787" s="256">
        <v>1125</v>
      </c>
      <c r="X787" s="256">
        <v>2</v>
      </c>
      <c r="Y787" s="256" t="s">
        <v>116</v>
      </c>
      <c r="Z787" s="54"/>
      <c r="AA787" s="200" t="s">
        <v>928</v>
      </c>
      <c r="AB787" s="31"/>
      <c r="AC787" s="184"/>
      <c r="AD787" s="51"/>
      <c r="AE787" s="52"/>
      <c r="AF787" s="41"/>
      <c r="AG787" s="45" t="str">
        <f>IF(AF787="","",+AE787*AF787/100)</f>
        <v/>
      </c>
      <c r="AH787" s="28"/>
      <c r="AI787" s="28"/>
      <c r="AJ787" s="28"/>
      <c r="AK787" s="28"/>
      <c r="AL787" s="12"/>
      <c r="AM787" s="12"/>
      <c r="AN787" s="12"/>
      <c r="AO787" s="12"/>
      <c r="AP787" s="12"/>
      <c r="AQ787" s="13"/>
      <c r="AR787" s="14"/>
    </row>
    <row r="788" spans="1:44" s="16" customFormat="1" ht="30.95" hidden="1" customHeight="1" x14ac:dyDescent="0.2">
      <c r="A788" s="303"/>
      <c r="B788" s="304"/>
      <c r="C788" s="305"/>
      <c r="D788" s="306"/>
      <c r="E788" s="306"/>
      <c r="F788" s="255"/>
      <c r="G788" s="256"/>
      <c r="H788" s="256"/>
      <c r="I788" s="200"/>
      <c r="J788" s="307"/>
      <c r="K788" s="200"/>
      <c r="L788" s="200"/>
      <c r="M788" s="308"/>
      <c r="N788" s="308"/>
      <c r="O788" s="309"/>
      <c r="P788" s="310"/>
      <c r="Q788" s="260"/>
      <c r="R788" s="261"/>
      <c r="S788" s="261"/>
      <c r="T788" s="311"/>
      <c r="U788" s="261"/>
      <c r="V788" s="256"/>
      <c r="W788" s="256"/>
      <c r="X788" s="256"/>
      <c r="Y788" s="256"/>
      <c r="Z788" s="310"/>
      <c r="AA788" s="200"/>
      <c r="AB788" s="312"/>
      <c r="AC788" s="313"/>
      <c r="AD788" s="51"/>
      <c r="AE788" s="314"/>
      <c r="AF788" s="315"/>
      <c r="AG788" s="309"/>
      <c r="AH788" s="28"/>
      <c r="AI788" s="28"/>
      <c r="AJ788" s="28"/>
      <c r="AK788" s="28"/>
      <c r="AL788" s="12"/>
      <c r="AM788" s="12"/>
      <c r="AN788" s="12"/>
      <c r="AO788" s="12"/>
      <c r="AP788" s="12"/>
      <c r="AQ788" s="13"/>
      <c r="AR788" s="14"/>
    </row>
    <row r="789" spans="1:44" s="16" customFormat="1" ht="30.75" hidden="1" customHeight="1" x14ac:dyDescent="0.2">
      <c r="A789" s="35"/>
      <c r="B789" s="36"/>
      <c r="C789" s="43"/>
      <c r="D789" s="29">
        <v>3723649</v>
      </c>
      <c r="E789" s="29">
        <v>4151460</v>
      </c>
      <c r="F789" s="255" t="s">
        <v>2807</v>
      </c>
      <c r="G789" s="256" t="s">
        <v>19</v>
      </c>
      <c r="H789" s="256" t="s">
        <v>233</v>
      </c>
      <c r="I789" s="200" t="s">
        <v>234</v>
      </c>
      <c r="J789" s="30" t="s">
        <v>447</v>
      </c>
      <c r="K789" s="200">
        <v>50</v>
      </c>
      <c r="L789" s="200" t="s">
        <v>168</v>
      </c>
      <c r="M789" s="37">
        <v>1120</v>
      </c>
      <c r="N789" s="37">
        <v>8000</v>
      </c>
      <c r="O789" s="45">
        <v>1</v>
      </c>
      <c r="P789" s="54"/>
      <c r="Q789" s="260">
        <v>1120</v>
      </c>
      <c r="R789" s="261">
        <v>1120</v>
      </c>
      <c r="S789" s="261">
        <f>IF(D789="","",IF(J789="リード付け",N789,VLOOKUP(D789,契約台帳!$A$3:$P$4986,16,FALSE)))</f>
        <v>4000</v>
      </c>
      <c r="T789" s="38">
        <v>2</v>
      </c>
      <c r="U789" s="261" t="str">
        <f ca="1">IF(D789="","",IF(OFFSET(D789,-2,0)=D789,"",VLOOKUP(D789,契約台帳!$A$3:$R$4986,18,FALSE)))</f>
        <v/>
      </c>
      <c r="V789" s="256" t="s">
        <v>829</v>
      </c>
      <c r="W789" s="256">
        <v>1125</v>
      </c>
      <c r="X789" s="256">
        <v>2</v>
      </c>
      <c r="Y789" s="256" t="s">
        <v>116</v>
      </c>
      <c r="Z789" s="54">
        <v>45188</v>
      </c>
      <c r="AA789" s="200">
        <f>IFERROR(VLOOKUP(F789&amp;K789&amp;M789,製品マスタ!$M$5:$AM$4999,27,FALSE),"")</f>
        <v>0</v>
      </c>
      <c r="AB789" s="31"/>
      <c r="AC789" s="184"/>
      <c r="AD789" s="51" t="str">
        <f>IF(F789="","",+F789&amp;K789)</f>
        <v>3SYMLBMSNMBF50</v>
      </c>
      <c r="AE789" s="52">
        <f>+M789*N789*O789/1000</f>
        <v>8960</v>
      </c>
      <c r="AF789" s="41">
        <f>IF(AD789="","",VLOOKUP(AD789,原価マスタ!$A$2:$AJ$1693,13,FALSE))</f>
        <v>98.8</v>
      </c>
      <c r="AG789" s="45">
        <f>IF(AF789="","",+AE789*AF789/100)</f>
        <v>8852.48</v>
      </c>
      <c r="AH789" s="28"/>
      <c r="AI789" s="28"/>
      <c r="AJ789" s="28"/>
      <c r="AK789" s="28"/>
      <c r="AL789" s="12"/>
      <c r="AM789" s="12"/>
      <c r="AN789" s="12"/>
      <c r="AO789" s="12"/>
      <c r="AP789" s="12"/>
      <c r="AQ789" s="13"/>
      <c r="AR789" s="14"/>
    </row>
    <row r="790" spans="1:44" s="16" customFormat="1" ht="30.95" hidden="1" customHeight="1" x14ac:dyDescent="0.2">
      <c r="A790" s="303"/>
      <c r="B790" s="304"/>
      <c r="C790" s="305"/>
      <c r="D790" s="306"/>
      <c r="E790" s="306"/>
      <c r="F790" s="255"/>
      <c r="G790" s="256"/>
      <c r="H790" s="256"/>
      <c r="I790" s="200"/>
      <c r="J790" s="307"/>
      <c r="K790" s="200"/>
      <c r="L790" s="200"/>
      <c r="M790" s="308"/>
      <c r="N790" s="308"/>
      <c r="O790" s="309"/>
      <c r="P790" s="310"/>
      <c r="Q790" s="260"/>
      <c r="R790" s="261"/>
      <c r="S790" s="261"/>
      <c r="T790" s="311"/>
      <c r="U790" s="261"/>
      <c r="V790" s="256"/>
      <c r="W790" s="256"/>
      <c r="X790" s="256"/>
      <c r="Y790" s="256"/>
      <c r="Z790" s="310"/>
      <c r="AA790" s="200"/>
      <c r="AB790" s="312"/>
      <c r="AC790" s="313"/>
      <c r="AD790" s="51"/>
      <c r="AE790" s="314"/>
      <c r="AF790" s="315"/>
      <c r="AG790" s="309"/>
      <c r="AH790" s="28"/>
      <c r="AI790" s="28"/>
      <c r="AJ790" s="28"/>
      <c r="AK790" s="28"/>
      <c r="AL790" s="12"/>
      <c r="AM790" s="12"/>
      <c r="AN790" s="12"/>
      <c r="AO790" s="12"/>
      <c r="AP790" s="12"/>
      <c r="AQ790" s="13"/>
      <c r="AR790" s="14"/>
    </row>
    <row r="791" spans="1:44" s="16" customFormat="1" ht="30.75" hidden="1" customHeight="1" x14ac:dyDescent="0.2">
      <c r="A791" s="35"/>
      <c r="B791" s="36"/>
      <c r="C791" s="43"/>
      <c r="D791" s="29">
        <v>3723646</v>
      </c>
      <c r="E791" s="29">
        <v>4151467</v>
      </c>
      <c r="F791" s="255" t="s">
        <v>2808</v>
      </c>
      <c r="G791" s="256" t="s">
        <v>19</v>
      </c>
      <c r="H791" s="256" t="s">
        <v>235</v>
      </c>
      <c r="I791" s="200" t="s">
        <v>236</v>
      </c>
      <c r="J791" s="30" t="s">
        <v>447</v>
      </c>
      <c r="K791" s="200">
        <v>25</v>
      </c>
      <c r="L791" s="200" t="s">
        <v>168</v>
      </c>
      <c r="M791" s="37">
        <v>1120</v>
      </c>
      <c r="N791" s="37">
        <v>8000</v>
      </c>
      <c r="O791" s="45">
        <v>1</v>
      </c>
      <c r="P791" s="54"/>
      <c r="Q791" s="260">
        <v>1120</v>
      </c>
      <c r="R791" s="261">
        <v>1120</v>
      </c>
      <c r="S791" s="261">
        <f>IF(D791="","",IF(J791="リード付け",N791,VLOOKUP(D791,契約台帳!$A$3:$P$4986,16,FALSE)))</f>
        <v>8000</v>
      </c>
      <c r="T791" s="38">
        <v>1</v>
      </c>
      <c r="U791" s="261">
        <f ca="1">IF(D791="","",IF(OFFSET(D791,-2,0)=D791,"",VLOOKUP(D791,契約台帳!$A$3:$R$4986,18,FALSE)))</f>
        <v>1</v>
      </c>
      <c r="V791" s="256" t="s">
        <v>829</v>
      </c>
      <c r="W791" s="256">
        <v>1125</v>
      </c>
      <c r="X791" s="256">
        <v>2</v>
      </c>
      <c r="Y791" s="256" t="s">
        <v>116</v>
      </c>
      <c r="Z791" s="54">
        <v>45188</v>
      </c>
      <c r="AA791" s="200">
        <f>IFERROR(VLOOKUP(F791&amp;K791&amp;M791,製品マスタ!$M$5:$AM$4999,27,FALSE),"")</f>
        <v>0</v>
      </c>
      <c r="AB791" s="31"/>
      <c r="AC791" s="184"/>
      <c r="AD791" s="51" t="str">
        <f>IF(F791="","",+F791&amp;K791)</f>
        <v>3SYMLBMSNMBZF25</v>
      </c>
      <c r="AE791" s="52">
        <f>+M791*N791*O791/1000</f>
        <v>8960</v>
      </c>
      <c r="AF791" s="41">
        <f>IF(AD791="","",VLOOKUP(AD791,原価マスタ!$A$2:$AJ$1693,13,FALSE))</f>
        <v>98.3</v>
      </c>
      <c r="AG791" s="45">
        <f>IF(AF791="","",+AE791*AF791/100)</f>
        <v>8807.68</v>
      </c>
      <c r="AH791" s="28"/>
      <c r="AI791" s="28"/>
      <c r="AJ791" s="28"/>
      <c r="AK791" s="28"/>
      <c r="AL791" s="12"/>
      <c r="AM791" s="12"/>
      <c r="AN791" s="12"/>
      <c r="AO791" s="12"/>
      <c r="AP791" s="12"/>
      <c r="AQ791" s="13"/>
      <c r="AR791" s="14"/>
    </row>
    <row r="792" spans="1:44" s="16" customFormat="1" ht="30.95" hidden="1" customHeight="1" x14ac:dyDescent="0.2">
      <c r="A792" s="303"/>
      <c r="B792" s="304"/>
      <c r="C792" s="305"/>
      <c r="D792" s="306"/>
      <c r="E792" s="306"/>
      <c r="F792" s="255"/>
      <c r="G792" s="256"/>
      <c r="H792" s="256"/>
      <c r="I792" s="200"/>
      <c r="J792" s="307"/>
      <c r="K792" s="200"/>
      <c r="L792" s="200"/>
      <c r="M792" s="308"/>
      <c r="N792" s="308"/>
      <c r="O792" s="309"/>
      <c r="P792" s="310"/>
      <c r="Q792" s="260"/>
      <c r="R792" s="261"/>
      <c r="S792" s="261"/>
      <c r="T792" s="311"/>
      <c r="U792" s="261"/>
      <c r="V792" s="256"/>
      <c r="W792" s="256"/>
      <c r="X792" s="256"/>
      <c r="Y792" s="256"/>
      <c r="Z792" s="310"/>
      <c r="AA792" s="200"/>
      <c r="AB792" s="312"/>
      <c r="AC792" s="313"/>
      <c r="AD792" s="51"/>
      <c r="AE792" s="314"/>
      <c r="AF792" s="315"/>
      <c r="AG792" s="309"/>
      <c r="AH792" s="28"/>
      <c r="AI792" s="28"/>
      <c r="AJ792" s="28"/>
      <c r="AK792" s="28"/>
      <c r="AL792" s="12"/>
      <c r="AM792" s="12"/>
      <c r="AN792" s="12"/>
      <c r="AO792" s="12"/>
      <c r="AP792" s="12"/>
      <c r="AQ792" s="13"/>
      <c r="AR792" s="14"/>
    </row>
    <row r="793" spans="1:44" s="16" customFormat="1" ht="30.95" hidden="1" customHeight="1" x14ac:dyDescent="0.2">
      <c r="A793" s="303"/>
      <c r="B793" s="304"/>
      <c r="C793" s="305"/>
      <c r="D793" s="211">
        <v>3723632</v>
      </c>
      <c r="E793" s="29">
        <v>4151448</v>
      </c>
      <c r="F793" s="255" t="s">
        <v>2809</v>
      </c>
      <c r="G793" s="256" t="s">
        <v>19</v>
      </c>
      <c r="H793" s="256" t="s">
        <v>211</v>
      </c>
      <c r="I793" s="200" t="s">
        <v>370</v>
      </c>
      <c r="J793" s="30" t="s">
        <v>447</v>
      </c>
      <c r="K793" s="200">
        <v>50</v>
      </c>
      <c r="L793" s="200" t="s">
        <v>161</v>
      </c>
      <c r="M793" s="37">
        <v>1050</v>
      </c>
      <c r="N793" s="37">
        <v>12300</v>
      </c>
      <c r="O793" s="45">
        <v>1</v>
      </c>
      <c r="P793" s="54"/>
      <c r="Q793" s="260">
        <v>1050</v>
      </c>
      <c r="R793" s="261">
        <v>1050</v>
      </c>
      <c r="S793" s="261">
        <f>IF(D793="","",IF(J793="リード付け",N793,VLOOKUP(D793,契約台帳!$A$3:$P$4986,16,FALSE)))</f>
        <v>4100</v>
      </c>
      <c r="T793" s="38">
        <v>3</v>
      </c>
      <c r="U793" s="261">
        <f ca="1">IF(D793="","",IF(OFFSET(D793,-2,0)=D793,"",VLOOKUP(D793,契約台帳!$A$3:$R$4986,18,FALSE)))</f>
        <v>3</v>
      </c>
      <c r="V793" s="256" t="s">
        <v>806</v>
      </c>
      <c r="W793" s="256">
        <v>1055</v>
      </c>
      <c r="X793" s="256">
        <v>2</v>
      </c>
      <c r="Y793" s="256" t="s">
        <v>116</v>
      </c>
      <c r="Z793" s="54">
        <v>45196</v>
      </c>
      <c r="AA793" s="200">
        <f>IFERROR(VLOOKUP(F793&amp;K793&amp;M793,製品マスタ!$M$5:$AM$4999,27,FALSE),"")</f>
        <v>0</v>
      </c>
      <c r="AB793" s="312"/>
      <c r="AC793" s="313"/>
      <c r="AD793" s="51" t="str">
        <f>IF(F793="","",+F793&amp;K793)</f>
        <v>3SNMLBMNGKBF50</v>
      </c>
      <c r="AE793" s="52">
        <f>+M793*N793*O793/1000</f>
        <v>12915</v>
      </c>
      <c r="AF793" s="41">
        <f>IF(AD793="","",VLOOKUP(AD793,原価マスタ!$A$2:$AJ$1693,13,FALSE))</f>
        <v>98</v>
      </c>
      <c r="AG793" s="45">
        <f>IF(AF793="","",+AE793*AF793/100)</f>
        <v>12656.7</v>
      </c>
      <c r="AH793" s="28"/>
      <c r="AI793" s="28"/>
      <c r="AJ793" s="28"/>
      <c r="AK793" s="28"/>
      <c r="AL793" s="12"/>
      <c r="AM793" s="12"/>
      <c r="AN793" s="12"/>
      <c r="AO793" s="12"/>
      <c r="AP793" s="12"/>
      <c r="AQ793" s="13"/>
      <c r="AR793" s="14"/>
    </row>
    <row r="794" spans="1:44" s="16" customFormat="1" ht="30.95" hidden="1" customHeight="1" x14ac:dyDescent="0.2">
      <c r="A794" s="303"/>
      <c r="B794" s="304"/>
      <c r="C794" s="305"/>
      <c r="D794" s="306"/>
      <c r="E794" s="306"/>
      <c r="F794" s="255"/>
      <c r="G794" s="256"/>
      <c r="H794" s="256"/>
      <c r="I794" s="200"/>
      <c r="J794" s="307"/>
      <c r="K794" s="200"/>
      <c r="L794" s="200"/>
      <c r="M794" s="308"/>
      <c r="N794" s="308"/>
      <c r="O794" s="309"/>
      <c r="P794" s="310"/>
      <c r="Q794" s="260"/>
      <c r="R794" s="261"/>
      <c r="S794" s="261"/>
      <c r="T794" s="311"/>
      <c r="U794" s="261"/>
      <c r="V794" s="256"/>
      <c r="W794" s="256"/>
      <c r="X794" s="256"/>
      <c r="Y794" s="256"/>
      <c r="Z794" s="310"/>
      <c r="AA794" s="200"/>
      <c r="AB794" s="312"/>
      <c r="AC794" s="313"/>
      <c r="AD794" s="51"/>
      <c r="AE794" s="314"/>
      <c r="AF794" s="315"/>
      <c r="AG794" s="309"/>
      <c r="AH794" s="28"/>
      <c r="AI794" s="28"/>
      <c r="AJ794" s="28"/>
      <c r="AK794" s="28"/>
      <c r="AL794" s="12"/>
      <c r="AM794" s="12"/>
      <c r="AN794" s="12"/>
      <c r="AO794" s="12"/>
      <c r="AP794" s="12"/>
      <c r="AQ794" s="13"/>
      <c r="AR794" s="14"/>
    </row>
    <row r="795" spans="1:44" s="16" customFormat="1" ht="30.75" hidden="1" customHeight="1" x14ac:dyDescent="0.2">
      <c r="A795" s="35"/>
      <c r="B795" s="36"/>
      <c r="C795" s="43"/>
      <c r="D795" s="29">
        <v>3723629</v>
      </c>
      <c r="E795" s="29">
        <v>4151451</v>
      </c>
      <c r="F795" s="255" t="s">
        <v>1603</v>
      </c>
      <c r="G795" s="256" t="s">
        <v>19</v>
      </c>
      <c r="H795" s="256" t="s">
        <v>212</v>
      </c>
      <c r="I795" s="200" t="s">
        <v>213</v>
      </c>
      <c r="J795" s="30" t="s">
        <v>447</v>
      </c>
      <c r="K795" s="200">
        <v>50</v>
      </c>
      <c r="L795" s="200" t="s">
        <v>215</v>
      </c>
      <c r="M795" s="37">
        <v>1120</v>
      </c>
      <c r="N795" s="37">
        <v>12000</v>
      </c>
      <c r="O795" s="45">
        <v>6</v>
      </c>
      <c r="P795" s="54"/>
      <c r="Q795" s="260">
        <v>1120</v>
      </c>
      <c r="R795" s="261">
        <v>1120</v>
      </c>
      <c r="S795" s="261">
        <f>IF(D795="","",IF(J795="リード付け",N795,VLOOKUP(D795,契約台帳!$A$3:$P$4986,16,FALSE)))</f>
        <v>4000</v>
      </c>
      <c r="T795" s="38">
        <v>18</v>
      </c>
      <c r="U795" s="261">
        <f ca="1">IF(D795="","",IF(OFFSET(D795,-2,0)=D795,"",VLOOKUP(D795,契約台帳!$A$3:$R$4986,18,FALSE)))</f>
        <v>18</v>
      </c>
      <c r="V795" s="256" t="s">
        <v>806</v>
      </c>
      <c r="W795" s="256">
        <v>1125</v>
      </c>
      <c r="X795" s="256">
        <v>2</v>
      </c>
      <c r="Y795" s="256" t="s">
        <v>116</v>
      </c>
      <c r="Z795" s="54">
        <v>45189</v>
      </c>
      <c r="AA795" s="200">
        <f>IFERROR(VLOOKUP(F795&amp;K795&amp;M795,製品マスタ!$M$5:$AM$4999,27,FALSE),"")</f>
        <v>0</v>
      </c>
      <c r="AB795" s="31"/>
      <c r="AC795" s="184"/>
      <c r="AD795" s="51" t="str">
        <f>IF(F795="","",+F795&amp;K795)</f>
        <v>3SNMLBMNGKKBF50</v>
      </c>
      <c r="AE795" s="52">
        <f>+M795*N795*O795/1000</f>
        <v>80640</v>
      </c>
      <c r="AF795" s="41">
        <f>IF(AD795="","",VLOOKUP(AD795,原価マスタ!$A$2:$AJ$1693,13,FALSE))</f>
        <v>99</v>
      </c>
      <c r="AG795" s="45">
        <f>IF(AF795="","",+AE795*AF795/100)</f>
        <v>79833.600000000006</v>
      </c>
      <c r="AH795" s="28"/>
      <c r="AI795" s="28"/>
      <c r="AJ795" s="28"/>
      <c r="AK795" s="28"/>
      <c r="AL795" s="12"/>
      <c r="AM795" s="12"/>
      <c r="AN795" s="12"/>
      <c r="AO795" s="12"/>
      <c r="AP795" s="12"/>
      <c r="AQ795" s="13"/>
      <c r="AR795" s="14"/>
    </row>
    <row r="796" spans="1:44" s="16" customFormat="1" ht="30.95" hidden="1" customHeight="1" x14ac:dyDescent="0.2">
      <c r="A796" s="303"/>
      <c r="B796" s="304"/>
      <c r="C796" s="305"/>
      <c r="D796" s="306"/>
      <c r="E796" s="306"/>
      <c r="F796" s="255"/>
      <c r="G796" s="256"/>
      <c r="H796" s="256"/>
      <c r="I796" s="200"/>
      <c r="J796" s="307"/>
      <c r="K796" s="200"/>
      <c r="L796" s="200"/>
      <c r="M796" s="308"/>
      <c r="N796" s="308"/>
      <c r="O796" s="309"/>
      <c r="P796" s="310"/>
      <c r="Q796" s="260"/>
      <c r="R796" s="261"/>
      <c r="S796" s="261"/>
      <c r="T796" s="311"/>
      <c r="U796" s="261"/>
      <c r="V796" s="256"/>
      <c r="W796" s="256"/>
      <c r="X796" s="256"/>
      <c r="Y796" s="256"/>
      <c r="Z796" s="310"/>
      <c r="AA796" s="200"/>
      <c r="AB796" s="312"/>
      <c r="AC796" s="313"/>
      <c r="AD796" s="51"/>
      <c r="AE796" s="314"/>
      <c r="AF796" s="315"/>
      <c r="AG796" s="309"/>
      <c r="AH796" s="28"/>
      <c r="AI796" s="28"/>
      <c r="AJ796" s="28"/>
      <c r="AK796" s="28"/>
      <c r="AL796" s="12"/>
      <c r="AM796" s="12"/>
      <c r="AN796" s="12"/>
      <c r="AO796" s="12"/>
      <c r="AP796" s="12"/>
      <c r="AQ796" s="13"/>
      <c r="AR796" s="14"/>
    </row>
    <row r="797" spans="1:44" s="16" customFormat="1" ht="30.75" hidden="1" customHeight="1" x14ac:dyDescent="0.2">
      <c r="A797" s="35" t="s">
        <v>563</v>
      </c>
      <c r="B797" s="36" t="s">
        <v>444</v>
      </c>
      <c r="C797" s="43"/>
      <c r="D797" s="29">
        <v>3723637</v>
      </c>
      <c r="E797" s="29">
        <v>4151455</v>
      </c>
      <c r="F797" s="255" t="s">
        <v>2806</v>
      </c>
      <c r="G797" s="256" t="s">
        <v>19</v>
      </c>
      <c r="H797" s="256" t="s">
        <v>216</v>
      </c>
      <c r="I797" s="200" t="s">
        <v>217</v>
      </c>
      <c r="J797" s="30" t="s">
        <v>447</v>
      </c>
      <c r="K797" s="200">
        <v>50</v>
      </c>
      <c r="L797" s="200" t="s">
        <v>189</v>
      </c>
      <c r="M797" s="37">
        <v>1120</v>
      </c>
      <c r="N797" s="37">
        <v>10000</v>
      </c>
      <c r="O797" s="45">
        <v>6</v>
      </c>
      <c r="P797" s="54"/>
      <c r="Q797" s="260">
        <v>1120</v>
      </c>
      <c r="R797" s="261">
        <v>1120</v>
      </c>
      <c r="S797" s="261">
        <f>IF(D797="","",IF(J797="リード付け",N797,VLOOKUP(D797,契約台帳!$A$3:$P$4986,16,FALSE)))</f>
        <v>5000</v>
      </c>
      <c r="T797" s="38">
        <v>12</v>
      </c>
      <c r="U797" s="261">
        <f ca="1">IF(D797="","",IF(OFFSET(D797,-2,0)=D797,"",VLOOKUP(D797,契約台帳!$A$3:$R$4986,18,FALSE)))</f>
        <v>34</v>
      </c>
      <c r="V797" s="256" t="s">
        <v>806</v>
      </c>
      <c r="W797" s="256">
        <v>1125</v>
      </c>
      <c r="X797" s="256">
        <v>2</v>
      </c>
      <c r="Y797" s="256" t="s">
        <v>116</v>
      </c>
      <c r="Z797" s="54">
        <v>45190</v>
      </c>
      <c r="AA797" s="200" t="str">
        <f>IFERROR(VLOOKUP(F797&amp;K797&amp;M797,製品マスタ!$M$5:$AM$4999,27,FALSE),"")</f>
        <v>原反ケース再利用</v>
      </c>
      <c r="AB797" s="31"/>
      <c r="AC797" s="184"/>
      <c r="AD797" s="51" t="str">
        <f>IF(F797="","",+F797&amp;K797)</f>
        <v>3SNMLBMNGTBF50</v>
      </c>
      <c r="AE797" s="52">
        <f>+M797*N797*O797/1000</f>
        <v>67200</v>
      </c>
      <c r="AF797" s="41">
        <f>IF(AD797="","",VLOOKUP(AD797,原価マスタ!$A$2:$AJ$1693,13,FALSE))</f>
        <v>99</v>
      </c>
      <c r="AG797" s="45">
        <f>IF(AF797="","",+AE797*AF797/100)</f>
        <v>66528</v>
      </c>
      <c r="AH797" s="28"/>
      <c r="AI797" s="28"/>
      <c r="AJ797" s="28"/>
      <c r="AK797" s="28"/>
      <c r="AL797" s="12"/>
      <c r="AM797" s="12"/>
      <c r="AN797" s="12"/>
      <c r="AO797" s="12"/>
      <c r="AP797" s="12"/>
      <c r="AQ797" s="13"/>
      <c r="AR797" s="14"/>
    </row>
    <row r="798" spans="1:44" s="16" customFormat="1" ht="30.95" hidden="1" customHeight="1" x14ac:dyDescent="0.2">
      <c r="A798" s="303"/>
      <c r="B798" s="304"/>
      <c r="C798" s="305"/>
      <c r="D798" s="306"/>
      <c r="E798" s="306"/>
      <c r="F798" s="255"/>
      <c r="G798" s="256"/>
      <c r="H798" s="256"/>
      <c r="I798" s="200"/>
      <c r="J798" s="307"/>
      <c r="K798" s="200"/>
      <c r="L798" s="200"/>
      <c r="M798" s="308"/>
      <c r="N798" s="308"/>
      <c r="O798" s="309"/>
      <c r="P798" s="310"/>
      <c r="Q798" s="260"/>
      <c r="R798" s="261"/>
      <c r="S798" s="261"/>
      <c r="T798" s="311"/>
      <c r="U798" s="261"/>
      <c r="V798" s="256"/>
      <c r="W798" s="256"/>
      <c r="X798" s="256"/>
      <c r="Y798" s="256"/>
      <c r="Z798" s="310"/>
      <c r="AA798" s="200"/>
      <c r="AB798" s="312"/>
      <c r="AC798" s="313"/>
      <c r="AD798" s="51"/>
      <c r="AE798" s="314"/>
      <c r="AF798" s="315"/>
      <c r="AG798" s="309"/>
      <c r="AH798" s="28"/>
      <c r="AI798" s="28"/>
      <c r="AJ798" s="28"/>
      <c r="AK798" s="28"/>
      <c r="AL798" s="12"/>
      <c r="AM798" s="12"/>
      <c r="AN798" s="12"/>
      <c r="AO798" s="12"/>
      <c r="AP798" s="12"/>
      <c r="AQ798" s="13"/>
      <c r="AR798" s="14"/>
    </row>
    <row r="799" spans="1:44" s="16" customFormat="1" ht="30.95" hidden="1" customHeight="1" x14ac:dyDescent="0.2">
      <c r="A799" s="303" t="s">
        <v>564</v>
      </c>
      <c r="B799" s="304" t="s">
        <v>445</v>
      </c>
      <c r="C799" s="305"/>
      <c r="D799" s="306"/>
      <c r="E799" s="306"/>
      <c r="F799" s="255"/>
      <c r="G799" s="256"/>
      <c r="H799" s="256"/>
      <c r="I799" s="200"/>
      <c r="J799" s="307" t="s">
        <v>448</v>
      </c>
      <c r="K799" s="200"/>
      <c r="L799" s="200"/>
      <c r="M799" s="308"/>
      <c r="N799" s="308"/>
      <c r="O799" s="309"/>
      <c r="P799" s="310"/>
      <c r="Q799" s="260"/>
      <c r="R799" s="261"/>
      <c r="S799" s="261"/>
      <c r="T799" s="311"/>
      <c r="U799" s="261"/>
      <c r="V799" s="256"/>
      <c r="W799" s="256"/>
      <c r="X799" s="256"/>
      <c r="Y799" s="256"/>
      <c r="Z799" s="310"/>
      <c r="AA799" s="200"/>
      <c r="AB799" s="312"/>
      <c r="AC799" s="313"/>
      <c r="AD799" s="51"/>
      <c r="AE799" s="314"/>
      <c r="AF799" s="315"/>
      <c r="AG799" s="309"/>
      <c r="AH799" s="28"/>
      <c r="AI799" s="28"/>
      <c r="AJ799" s="28"/>
      <c r="AK799" s="28"/>
      <c r="AL799" s="12"/>
      <c r="AM799" s="12"/>
      <c r="AN799" s="12"/>
      <c r="AO799" s="12"/>
      <c r="AP799" s="12"/>
      <c r="AQ799" s="13"/>
      <c r="AR799" s="14"/>
    </row>
    <row r="800" spans="1:44" s="16" customFormat="1" ht="30.95" hidden="1" customHeight="1" x14ac:dyDescent="0.2">
      <c r="A800" s="303"/>
      <c r="B800" s="304"/>
      <c r="C800" s="305"/>
      <c r="D800" s="306"/>
      <c r="E800" s="306"/>
      <c r="F800" s="255"/>
      <c r="G800" s="256"/>
      <c r="H800" s="256"/>
      <c r="I800" s="200"/>
      <c r="J800" s="307"/>
      <c r="K800" s="200"/>
      <c r="L800" s="200"/>
      <c r="M800" s="308"/>
      <c r="N800" s="308"/>
      <c r="O800" s="309"/>
      <c r="P800" s="310"/>
      <c r="Q800" s="260"/>
      <c r="R800" s="261"/>
      <c r="S800" s="261"/>
      <c r="T800" s="311"/>
      <c r="U800" s="261"/>
      <c r="V800" s="256"/>
      <c r="W800" s="256"/>
      <c r="X800" s="256"/>
      <c r="Y800" s="256"/>
      <c r="Z800" s="310"/>
      <c r="AA800" s="200"/>
      <c r="AB800" s="312"/>
      <c r="AC800" s="313"/>
      <c r="AD800" s="51"/>
      <c r="AE800" s="314"/>
      <c r="AF800" s="315"/>
      <c r="AG800" s="309"/>
      <c r="AH800" s="28"/>
      <c r="AI800" s="28"/>
      <c r="AJ800" s="28"/>
      <c r="AK800" s="28"/>
      <c r="AL800" s="12"/>
      <c r="AM800" s="12"/>
      <c r="AN800" s="12"/>
      <c r="AO800" s="12"/>
      <c r="AP800" s="12"/>
      <c r="AQ800" s="13"/>
      <c r="AR800" s="14"/>
    </row>
    <row r="801" spans="1:44" s="16" customFormat="1" ht="30.95" hidden="1" customHeight="1" x14ac:dyDescent="0.2">
      <c r="A801" s="303" t="s">
        <v>565</v>
      </c>
      <c r="B801" s="304" t="s">
        <v>446</v>
      </c>
      <c r="C801" s="305"/>
      <c r="D801" s="306"/>
      <c r="E801" s="306"/>
      <c r="F801" s="255"/>
      <c r="G801" s="256"/>
      <c r="H801" s="256"/>
      <c r="I801" s="200"/>
      <c r="J801" s="307" t="s">
        <v>448</v>
      </c>
      <c r="K801" s="200"/>
      <c r="L801" s="200"/>
      <c r="M801" s="308"/>
      <c r="N801" s="308"/>
      <c r="O801" s="309"/>
      <c r="P801" s="310"/>
      <c r="Q801" s="260"/>
      <c r="R801" s="261"/>
      <c r="S801" s="261"/>
      <c r="T801" s="311"/>
      <c r="U801" s="261"/>
      <c r="V801" s="256"/>
      <c r="W801" s="256"/>
      <c r="X801" s="256"/>
      <c r="Y801" s="256"/>
      <c r="Z801" s="310"/>
      <c r="AA801" s="200"/>
      <c r="AB801" s="312"/>
      <c r="AC801" s="313"/>
      <c r="AD801" s="51"/>
      <c r="AE801" s="314"/>
      <c r="AF801" s="315"/>
      <c r="AG801" s="309"/>
      <c r="AH801" s="28"/>
      <c r="AI801" s="28"/>
      <c r="AJ801" s="28"/>
      <c r="AK801" s="28"/>
      <c r="AL801" s="12"/>
      <c r="AM801" s="12"/>
      <c r="AN801" s="12"/>
      <c r="AO801" s="12"/>
      <c r="AP801" s="12"/>
      <c r="AQ801" s="13"/>
      <c r="AR801" s="14"/>
    </row>
    <row r="802" spans="1:44" s="16" customFormat="1" ht="30.95" hidden="1" customHeight="1" x14ac:dyDescent="0.2">
      <c r="A802" s="303"/>
      <c r="B802" s="304"/>
      <c r="C802" s="305"/>
      <c r="D802" s="306"/>
      <c r="E802" s="306"/>
      <c r="F802" s="255"/>
      <c r="G802" s="256"/>
      <c r="H802" s="256"/>
      <c r="I802" s="200"/>
      <c r="J802" s="307"/>
      <c r="K802" s="200"/>
      <c r="L802" s="200"/>
      <c r="M802" s="308"/>
      <c r="N802" s="308"/>
      <c r="O802" s="309"/>
      <c r="P802" s="310"/>
      <c r="Q802" s="260"/>
      <c r="R802" s="261"/>
      <c r="S802" s="261"/>
      <c r="T802" s="311"/>
      <c r="U802" s="261"/>
      <c r="V802" s="256"/>
      <c r="W802" s="256"/>
      <c r="X802" s="256"/>
      <c r="Y802" s="256"/>
      <c r="Z802" s="310"/>
      <c r="AA802" s="200"/>
      <c r="AB802" s="312"/>
      <c r="AC802" s="313"/>
      <c r="AD802" s="51"/>
      <c r="AE802" s="314"/>
      <c r="AF802" s="315"/>
      <c r="AG802" s="309"/>
      <c r="AH802" s="28"/>
      <c r="AI802" s="28"/>
      <c r="AJ802" s="28"/>
      <c r="AK802" s="28"/>
      <c r="AL802" s="12"/>
      <c r="AM802" s="12"/>
      <c r="AN802" s="12"/>
      <c r="AO802" s="12"/>
      <c r="AP802" s="12"/>
      <c r="AQ802" s="13"/>
      <c r="AR802" s="14"/>
    </row>
    <row r="803" spans="1:44" s="16" customFormat="1" ht="30.95" hidden="1" customHeight="1" x14ac:dyDescent="0.2">
      <c r="A803" s="303" t="s">
        <v>566</v>
      </c>
      <c r="B803" s="304" t="s">
        <v>462</v>
      </c>
      <c r="C803" s="305"/>
      <c r="D803" s="306"/>
      <c r="E803" s="306"/>
      <c r="F803" s="255"/>
      <c r="G803" s="256"/>
      <c r="H803" s="256"/>
      <c r="I803" s="200"/>
      <c r="J803" s="307" t="s">
        <v>448</v>
      </c>
      <c r="K803" s="200"/>
      <c r="L803" s="200"/>
      <c r="M803" s="308"/>
      <c r="N803" s="308"/>
      <c r="O803" s="309"/>
      <c r="P803" s="310"/>
      <c r="Q803" s="260"/>
      <c r="R803" s="261"/>
      <c r="S803" s="261"/>
      <c r="T803" s="311"/>
      <c r="U803" s="261"/>
      <c r="V803" s="256"/>
      <c r="W803" s="256"/>
      <c r="X803" s="256"/>
      <c r="Y803" s="256"/>
      <c r="Z803" s="310"/>
      <c r="AA803" s="200"/>
      <c r="AB803" s="312"/>
      <c r="AC803" s="313"/>
      <c r="AD803" s="51"/>
      <c r="AE803" s="314"/>
      <c r="AF803" s="315"/>
      <c r="AG803" s="309"/>
      <c r="AH803" s="28"/>
      <c r="AI803" s="28"/>
      <c r="AJ803" s="28"/>
      <c r="AK803" s="28"/>
      <c r="AL803" s="12"/>
      <c r="AM803" s="12"/>
      <c r="AN803" s="12"/>
      <c r="AO803" s="12"/>
      <c r="AP803" s="12"/>
      <c r="AQ803" s="13"/>
      <c r="AR803" s="14"/>
    </row>
    <row r="804" spans="1:44" s="16" customFormat="1" ht="30.95" hidden="1" customHeight="1" x14ac:dyDescent="0.2">
      <c r="A804" s="303"/>
      <c r="B804" s="304"/>
      <c r="C804" s="305"/>
      <c r="D804" s="306"/>
      <c r="E804" s="306"/>
      <c r="F804" s="255"/>
      <c r="G804" s="256"/>
      <c r="H804" s="256"/>
      <c r="I804" s="200"/>
      <c r="J804" s="307"/>
      <c r="K804" s="200"/>
      <c r="L804" s="200"/>
      <c r="M804" s="308"/>
      <c r="N804" s="308"/>
      <c r="O804" s="309"/>
      <c r="P804" s="310"/>
      <c r="Q804" s="260"/>
      <c r="R804" s="261"/>
      <c r="S804" s="261"/>
      <c r="T804" s="311"/>
      <c r="U804" s="261"/>
      <c r="V804" s="256"/>
      <c r="W804" s="256"/>
      <c r="X804" s="256"/>
      <c r="Y804" s="256"/>
      <c r="Z804" s="310"/>
      <c r="AA804" s="200"/>
      <c r="AB804" s="312"/>
      <c r="AC804" s="313"/>
      <c r="AD804" s="51"/>
      <c r="AE804" s="314"/>
      <c r="AF804" s="315"/>
      <c r="AG804" s="309"/>
      <c r="AH804" s="28"/>
      <c r="AI804" s="28"/>
      <c r="AJ804" s="28"/>
      <c r="AK804" s="28"/>
      <c r="AL804" s="12"/>
      <c r="AM804" s="12"/>
      <c r="AN804" s="12"/>
      <c r="AO804" s="12"/>
      <c r="AP804" s="12"/>
      <c r="AQ804" s="13"/>
      <c r="AR804" s="14"/>
    </row>
    <row r="805" spans="1:44" s="16" customFormat="1" ht="30.75" hidden="1" customHeight="1" x14ac:dyDescent="0.2">
      <c r="A805" s="35" t="s">
        <v>567</v>
      </c>
      <c r="B805" s="36" t="s">
        <v>688</v>
      </c>
      <c r="C805" s="43"/>
      <c r="D805" s="29">
        <v>3723637</v>
      </c>
      <c r="E805" s="29">
        <v>4151455</v>
      </c>
      <c r="F805" s="255" t="s">
        <v>2806</v>
      </c>
      <c r="G805" s="256" t="s">
        <v>19</v>
      </c>
      <c r="H805" s="256" t="s">
        <v>216</v>
      </c>
      <c r="I805" s="200" t="s">
        <v>217</v>
      </c>
      <c r="J805" s="30" t="s">
        <v>447</v>
      </c>
      <c r="K805" s="200">
        <v>50</v>
      </c>
      <c r="L805" s="200" t="s">
        <v>189</v>
      </c>
      <c r="M805" s="37">
        <v>1120</v>
      </c>
      <c r="N805" s="37">
        <v>10000</v>
      </c>
      <c r="O805" s="45">
        <v>5</v>
      </c>
      <c r="P805" s="54"/>
      <c r="Q805" s="260">
        <v>1120</v>
      </c>
      <c r="R805" s="261">
        <v>1120</v>
      </c>
      <c r="S805" s="261">
        <f>IF(D805="","",IF(J805="リード付け",N805,VLOOKUP(D805,契約台帳!$A$3:$P$4986,16,FALSE)))</f>
        <v>5000</v>
      </c>
      <c r="T805" s="38">
        <v>10</v>
      </c>
      <c r="U805" s="261">
        <f ca="1">IF(D805="","",IF(OFFSET(D805,-2,0)=D805,"",VLOOKUP(D805,契約台帳!$A$3:$R$4986,18,FALSE)))</f>
        <v>34</v>
      </c>
      <c r="V805" s="256" t="s">
        <v>806</v>
      </c>
      <c r="W805" s="256">
        <v>1125</v>
      </c>
      <c r="X805" s="256">
        <v>2</v>
      </c>
      <c r="Y805" s="256" t="s">
        <v>116</v>
      </c>
      <c r="Z805" s="54">
        <v>45191</v>
      </c>
      <c r="AA805" s="200" t="str">
        <f>IFERROR(VLOOKUP(F805&amp;K805&amp;M805,製品マスタ!$M$5:$AM$4999,27,FALSE),"")</f>
        <v>原反ケース再利用</v>
      </c>
      <c r="AB805" s="31"/>
      <c r="AC805" s="184"/>
      <c r="AD805" s="51" t="str">
        <f>IF(F805="","",+F805&amp;K805)</f>
        <v>3SNMLBMNGTBF50</v>
      </c>
      <c r="AE805" s="52">
        <f>+M805*N805*O805/1000</f>
        <v>56000</v>
      </c>
      <c r="AF805" s="41">
        <f>IF(AD805="","",VLOOKUP(AD805,原価マスタ!$A$2:$AJ$1693,13,FALSE))</f>
        <v>99</v>
      </c>
      <c r="AG805" s="45">
        <f>IF(AF805="","",+AE805*AF805/100)</f>
        <v>55440</v>
      </c>
      <c r="AH805" s="28"/>
      <c r="AI805" s="28"/>
      <c r="AJ805" s="28"/>
      <c r="AK805" s="28"/>
      <c r="AL805" s="12"/>
      <c r="AM805" s="12"/>
      <c r="AN805" s="12"/>
      <c r="AO805" s="12"/>
      <c r="AP805" s="12"/>
      <c r="AQ805" s="13"/>
      <c r="AR805" s="14"/>
    </row>
    <row r="806" spans="1:44" s="16" customFormat="1" ht="30.95" hidden="1" customHeight="1" x14ac:dyDescent="0.2">
      <c r="A806" s="303"/>
      <c r="B806" s="304"/>
      <c r="C806" s="305"/>
      <c r="D806" s="306"/>
      <c r="E806" s="306"/>
      <c r="F806" s="255"/>
      <c r="G806" s="256"/>
      <c r="H806" s="256"/>
      <c r="I806" s="200"/>
      <c r="J806" s="307"/>
      <c r="K806" s="200"/>
      <c r="L806" s="200"/>
      <c r="M806" s="308"/>
      <c r="N806" s="308"/>
      <c r="O806" s="309"/>
      <c r="P806" s="310"/>
      <c r="Q806" s="260"/>
      <c r="R806" s="261"/>
      <c r="S806" s="261"/>
      <c r="T806" s="311"/>
      <c r="U806" s="261"/>
      <c r="V806" s="256"/>
      <c r="W806" s="256"/>
      <c r="X806" s="256"/>
      <c r="Y806" s="256"/>
      <c r="Z806" s="310"/>
      <c r="AA806" s="200"/>
      <c r="AB806" s="312"/>
      <c r="AC806" s="313"/>
      <c r="AD806" s="51"/>
      <c r="AE806" s="314"/>
      <c r="AF806" s="315"/>
      <c r="AG806" s="309"/>
      <c r="AH806" s="28"/>
      <c r="AI806" s="28"/>
      <c r="AJ806" s="28"/>
      <c r="AK806" s="28"/>
      <c r="AL806" s="12"/>
      <c r="AM806" s="12"/>
      <c r="AN806" s="12"/>
      <c r="AO806" s="12"/>
      <c r="AP806" s="12"/>
      <c r="AQ806" s="13"/>
      <c r="AR806" s="14"/>
    </row>
    <row r="807" spans="1:44" s="16" customFormat="1" ht="30.75" hidden="1" customHeight="1" x14ac:dyDescent="0.2">
      <c r="A807" s="35" t="s">
        <v>568</v>
      </c>
      <c r="B807" s="36" t="s">
        <v>442</v>
      </c>
      <c r="C807" s="43"/>
      <c r="D807" s="29">
        <v>3723637</v>
      </c>
      <c r="E807" s="29">
        <v>4151455</v>
      </c>
      <c r="F807" s="255" t="s">
        <v>2806</v>
      </c>
      <c r="G807" s="256" t="s">
        <v>19</v>
      </c>
      <c r="H807" s="256" t="s">
        <v>216</v>
      </c>
      <c r="I807" s="200" t="s">
        <v>217</v>
      </c>
      <c r="J807" s="30" t="s">
        <v>447</v>
      </c>
      <c r="K807" s="200">
        <v>50</v>
      </c>
      <c r="L807" s="200" t="s">
        <v>189</v>
      </c>
      <c r="M807" s="37">
        <v>1120</v>
      </c>
      <c r="N807" s="37">
        <v>10000</v>
      </c>
      <c r="O807" s="45">
        <v>5</v>
      </c>
      <c r="P807" s="54"/>
      <c r="Q807" s="260">
        <v>1120</v>
      </c>
      <c r="R807" s="261">
        <v>1120</v>
      </c>
      <c r="S807" s="261">
        <f>IF(D807="","",IF(J807="リード付け",N807,VLOOKUP(D807,契約台帳!$A$3:$P$4986,16,FALSE)))</f>
        <v>5000</v>
      </c>
      <c r="T807" s="38">
        <v>10</v>
      </c>
      <c r="U807" s="261" t="str">
        <f ca="1">IF(D807="","",IF(OFFSET(D807,-2,0)=D807,"",VLOOKUP(D807,契約台帳!$A$3:$R$4986,18,FALSE)))</f>
        <v/>
      </c>
      <c r="V807" s="256" t="s">
        <v>806</v>
      </c>
      <c r="W807" s="256">
        <v>1125</v>
      </c>
      <c r="X807" s="256">
        <v>2</v>
      </c>
      <c r="Y807" s="256" t="s">
        <v>116</v>
      </c>
      <c r="Z807" s="54">
        <v>45194</v>
      </c>
      <c r="AA807" s="200" t="str">
        <f>IFERROR(VLOOKUP(F807&amp;K807&amp;M807,製品マスタ!$M$5:$AM$4999,27,FALSE),"")</f>
        <v>原反ケース再利用</v>
      </c>
      <c r="AB807" s="31"/>
      <c r="AC807" s="184"/>
      <c r="AD807" s="51" t="str">
        <f>IF(F807="","",+F807&amp;K807)</f>
        <v>3SNMLBMNGTBF50</v>
      </c>
      <c r="AE807" s="52">
        <f>+M807*N807*O807/1000</f>
        <v>56000</v>
      </c>
      <c r="AF807" s="41">
        <f>IF(AD807="","",VLOOKUP(AD807,原価マスタ!$A$2:$AJ$1693,13,FALSE))</f>
        <v>99</v>
      </c>
      <c r="AG807" s="45">
        <f>IF(AF807="","",+AE807*AF807/100)</f>
        <v>55440</v>
      </c>
      <c r="AH807" s="28"/>
      <c r="AI807" s="28"/>
      <c r="AJ807" s="28"/>
      <c r="AK807" s="28"/>
      <c r="AL807" s="12"/>
      <c r="AM807" s="12"/>
      <c r="AN807" s="12"/>
      <c r="AO807" s="12"/>
      <c r="AP807" s="12"/>
      <c r="AQ807" s="13"/>
      <c r="AR807" s="14"/>
    </row>
    <row r="808" spans="1:44" s="16" customFormat="1" ht="30.95" hidden="1" customHeight="1" x14ac:dyDescent="0.2">
      <c r="A808" s="303"/>
      <c r="B808" s="304"/>
      <c r="C808" s="305"/>
      <c r="D808" s="306"/>
      <c r="E808" s="306"/>
      <c r="F808" s="255"/>
      <c r="G808" s="256"/>
      <c r="H808" s="256"/>
      <c r="I808" s="200"/>
      <c r="J808" s="307"/>
      <c r="K808" s="200"/>
      <c r="L808" s="200"/>
      <c r="M808" s="308"/>
      <c r="N808" s="308"/>
      <c r="O808" s="309"/>
      <c r="P808" s="310"/>
      <c r="Q808" s="260"/>
      <c r="R808" s="261"/>
      <c r="S808" s="261"/>
      <c r="T808" s="311"/>
      <c r="U808" s="261"/>
      <c r="V808" s="256"/>
      <c r="W808" s="256"/>
      <c r="X808" s="256"/>
      <c r="Y808" s="256"/>
      <c r="Z808" s="310"/>
      <c r="AA808" s="200"/>
      <c r="AB808" s="312"/>
      <c r="AC808" s="313"/>
      <c r="AD808" s="51"/>
      <c r="AE808" s="314"/>
      <c r="AF808" s="315"/>
      <c r="AG808" s="309"/>
      <c r="AH808" s="28"/>
      <c r="AI808" s="28"/>
      <c r="AJ808" s="28"/>
      <c r="AK808" s="28"/>
      <c r="AL808" s="12"/>
      <c r="AM808" s="12"/>
      <c r="AN808" s="12"/>
      <c r="AO808" s="12"/>
      <c r="AP808" s="12"/>
      <c r="AQ808" s="13"/>
      <c r="AR808" s="14"/>
    </row>
    <row r="809" spans="1:44" s="16" customFormat="1" ht="30.75" hidden="1" customHeight="1" x14ac:dyDescent="0.2">
      <c r="A809" s="35" t="s">
        <v>569</v>
      </c>
      <c r="B809" s="36" t="s">
        <v>443</v>
      </c>
      <c r="C809" s="43"/>
      <c r="D809" s="29">
        <v>3723637</v>
      </c>
      <c r="E809" s="29">
        <v>4151455</v>
      </c>
      <c r="F809" s="255" t="s">
        <v>2806</v>
      </c>
      <c r="G809" s="256" t="s">
        <v>19</v>
      </c>
      <c r="H809" s="256" t="s">
        <v>216</v>
      </c>
      <c r="I809" s="200" t="s">
        <v>217</v>
      </c>
      <c r="J809" s="30" t="s">
        <v>447</v>
      </c>
      <c r="K809" s="200">
        <v>50</v>
      </c>
      <c r="L809" s="200" t="s">
        <v>189</v>
      </c>
      <c r="M809" s="37">
        <v>1120</v>
      </c>
      <c r="N809" s="37">
        <v>10000</v>
      </c>
      <c r="O809" s="45">
        <v>1</v>
      </c>
      <c r="P809" s="54"/>
      <c r="Q809" s="260">
        <v>1120</v>
      </c>
      <c r="R809" s="261">
        <v>1120</v>
      </c>
      <c r="S809" s="261">
        <f>IF(D809="","",IF(J809="リード付け",N809,VLOOKUP(D809,契約台帳!$A$3:$P$4986,16,FALSE)))</f>
        <v>5000</v>
      </c>
      <c r="T809" s="38">
        <v>2</v>
      </c>
      <c r="U809" s="261" t="str">
        <f ca="1">IF(D809="","",IF(OFFSET(D809,-2,0)=D809,"",VLOOKUP(D809,契約台帳!$A$3:$R$4986,18,FALSE)))</f>
        <v/>
      </c>
      <c r="V809" s="256" t="s">
        <v>806</v>
      </c>
      <c r="W809" s="256">
        <v>1125</v>
      </c>
      <c r="X809" s="256">
        <v>2</v>
      </c>
      <c r="Y809" s="256" t="s">
        <v>116</v>
      </c>
      <c r="Z809" s="54">
        <v>45195</v>
      </c>
      <c r="AA809" s="200" t="str">
        <f>IFERROR(VLOOKUP(F809&amp;K809&amp;M809,製品マスタ!$M$5:$AM$4999,27,FALSE),"")</f>
        <v>原反ケース再利用</v>
      </c>
      <c r="AB809" s="31"/>
      <c r="AC809" s="184"/>
      <c r="AD809" s="51" t="str">
        <f>IF(F809="","",+F809&amp;K809)</f>
        <v>3SNMLBMNGTBF50</v>
      </c>
      <c r="AE809" s="52">
        <f>+M809*N809*O809/1000</f>
        <v>11200</v>
      </c>
      <c r="AF809" s="41">
        <f>IF(AD809="","",VLOOKUP(AD809,原価マスタ!$A$2:$AJ$1693,13,FALSE))</f>
        <v>99</v>
      </c>
      <c r="AG809" s="45">
        <f>IF(AF809="","",+AE809*AF809/100)</f>
        <v>11088</v>
      </c>
      <c r="AH809" s="28"/>
      <c r="AI809" s="28"/>
      <c r="AJ809" s="28"/>
      <c r="AK809" s="28"/>
      <c r="AL809" s="12"/>
      <c r="AM809" s="12"/>
      <c r="AN809" s="12"/>
      <c r="AO809" s="12"/>
      <c r="AP809" s="12"/>
      <c r="AQ809" s="13"/>
      <c r="AR809" s="14"/>
    </row>
    <row r="810" spans="1:44" s="16" customFormat="1" ht="30.95" hidden="1" customHeight="1" x14ac:dyDescent="0.2">
      <c r="A810" s="303"/>
      <c r="B810" s="304"/>
      <c r="C810" s="305"/>
      <c r="D810" s="306"/>
      <c r="E810" s="306"/>
      <c r="F810" s="255"/>
      <c r="G810" s="256"/>
      <c r="H810" s="256"/>
      <c r="I810" s="200"/>
      <c r="J810" s="307"/>
      <c r="K810" s="200"/>
      <c r="L810" s="200"/>
      <c r="M810" s="308"/>
      <c r="N810" s="308"/>
      <c r="O810" s="309"/>
      <c r="P810" s="310"/>
      <c r="Q810" s="260"/>
      <c r="R810" s="261"/>
      <c r="S810" s="261"/>
      <c r="T810" s="311"/>
      <c r="U810" s="261"/>
      <c r="V810" s="256"/>
      <c r="W810" s="256"/>
      <c r="X810" s="256"/>
      <c r="Y810" s="256"/>
      <c r="Z810" s="310"/>
      <c r="AA810" s="200"/>
      <c r="AB810" s="312"/>
      <c r="AC810" s="313"/>
      <c r="AD810" s="51"/>
      <c r="AE810" s="314"/>
      <c r="AF810" s="315"/>
      <c r="AG810" s="309"/>
      <c r="AH810" s="28"/>
      <c r="AI810" s="28"/>
      <c r="AJ810" s="28"/>
      <c r="AK810" s="28"/>
      <c r="AL810" s="12"/>
      <c r="AM810" s="12"/>
      <c r="AN810" s="12"/>
      <c r="AO810" s="12"/>
      <c r="AP810" s="12"/>
      <c r="AQ810" s="13"/>
      <c r="AR810" s="14"/>
    </row>
    <row r="811" spans="1:44" s="16" customFormat="1" ht="30.75" hidden="1" customHeight="1" x14ac:dyDescent="0.2">
      <c r="A811" s="35"/>
      <c r="B811" s="36"/>
      <c r="C811" s="43"/>
      <c r="D811" s="29">
        <v>3723647</v>
      </c>
      <c r="E811" s="29">
        <v>4151457</v>
      </c>
      <c r="F811" s="255" t="s">
        <v>2810</v>
      </c>
      <c r="G811" s="256" t="s">
        <v>19</v>
      </c>
      <c r="H811" s="256" t="s">
        <v>224</v>
      </c>
      <c r="I811" s="200" t="s">
        <v>225</v>
      </c>
      <c r="J811" s="30" t="s">
        <v>447</v>
      </c>
      <c r="K811" s="200">
        <v>50</v>
      </c>
      <c r="L811" s="200" t="s">
        <v>189</v>
      </c>
      <c r="M811" s="37">
        <v>1120</v>
      </c>
      <c r="N811" s="37">
        <v>10000</v>
      </c>
      <c r="O811" s="45">
        <v>1</v>
      </c>
      <c r="P811" s="54"/>
      <c r="Q811" s="260">
        <v>1120</v>
      </c>
      <c r="R811" s="261">
        <v>1120</v>
      </c>
      <c r="S811" s="261">
        <f>IF(D811="","",IF(J811="リード付け",N811,VLOOKUP(D811,契約台帳!$A$3:$P$4986,16,FALSE)))</f>
        <v>5000</v>
      </c>
      <c r="T811" s="38">
        <v>2</v>
      </c>
      <c r="U811" s="261">
        <f ca="1">IF(D811="","",IF(OFFSET(D811,-2,0)=D811,"",VLOOKUP(D811,契約台帳!$A$3:$R$4986,18,FALSE)))</f>
        <v>2</v>
      </c>
      <c r="V811" s="256" t="s">
        <v>806</v>
      </c>
      <c r="W811" s="256">
        <v>1125</v>
      </c>
      <c r="X811" s="256">
        <v>2</v>
      </c>
      <c r="Y811" s="256" t="s">
        <v>116</v>
      </c>
      <c r="Z811" s="54">
        <v>45195</v>
      </c>
      <c r="AA811" s="200" t="str">
        <f>IFERROR(VLOOKUP(F811&amp;K811&amp;M811,製品マスタ!$M$5:$AM$4999,27,FALSE),"")</f>
        <v>原反ケース再利用</v>
      </c>
      <c r="AB811" s="31"/>
      <c r="AC811" s="184"/>
      <c r="AD811" s="51" t="str">
        <f>IF(F811="","",+F811&amp;K811)</f>
        <v>3SYMLBMSBBF50</v>
      </c>
      <c r="AE811" s="52">
        <f>+M811*N811*O811/1000</f>
        <v>11200</v>
      </c>
      <c r="AF811" s="41">
        <f>IF(AD811="","",VLOOKUP(AD811,原価マスタ!$A$2:$AJ$1693,13,FALSE))</f>
        <v>99</v>
      </c>
      <c r="AG811" s="45">
        <f>IF(AF811="","",+AE811*AF811/100)</f>
        <v>11088</v>
      </c>
      <c r="AH811" s="28"/>
      <c r="AI811" s="28"/>
      <c r="AJ811" s="28"/>
      <c r="AK811" s="28"/>
      <c r="AL811" s="12"/>
      <c r="AM811" s="12"/>
      <c r="AN811" s="12"/>
      <c r="AO811" s="12"/>
      <c r="AP811" s="12"/>
      <c r="AQ811" s="13"/>
      <c r="AR811" s="14"/>
    </row>
    <row r="812" spans="1:44" s="16" customFormat="1" ht="30.95" hidden="1" customHeight="1" x14ac:dyDescent="0.2">
      <c r="A812" s="303"/>
      <c r="B812" s="304"/>
      <c r="C812" s="305"/>
      <c r="D812" s="306"/>
      <c r="E812" s="306"/>
      <c r="F812" s="255"/>
      <c r="G812" s="256"/>
      <c r="H812" s="256"/>
      <c r="I812" s="200"/>
      <c r="J812" s="307"/>
      <c r="K812" s="200"/>
      <c r="L812" s="200"/>
      <c r="M812" s="308"/>
      <c r="N812" s="308"/>
      <c r="O812" s="309"/>
      <c r="P812" s="310"/>
      <c r="Q812" s="260"/>
      <c r="R812" s="261"/>
      <c r="S812" s="261"/>
      <c r="T812" s="311"/>
      <c r="U812" s="261"/>
      <c r="V812" s="256"/>
      <c r="W812" s="256"/>
      <c r="X812" s="256"/>
      <c r="Y812" s="256"/>
      <c r="Z812" s="310"/>
      <c r="AA812" s="200"/>
      <c r="AB812" s="312"/>
      <c r="AC812" s="313"/>
      <c r="AD812" s="51"/>
      <c r="AE812" s="314"/>
      <c r="AF812" s="315"/>
      <c r="AG812" s="309"/>
      <c r="AH812" s="28"/>
      <c r="AI812" s="28"/>
      <c r="AJ812" s="28"/>
      <c r="AK812" s="28"/>
      <c r="AL812" s="12"/>
      <c r="AM812" s="12"/>
      <c r="AN812" s="12"/>
      <c r="AO812" s="12"/>
      <c r="AP812" s="12"/>
      <c r="AQ812" s="13"/>
      <c r="AR812" s="14"/>
    </row>
    <row r="813" spans="1:44" s="16" customFormat="1" ht="30.75" hidden="1" customHeight="1" x14ac:dyDescent="0.2">
      <c r="A813" s="35"/>
      <c r="B813" s="36"/>
      <c r="C813" s="43"/>
      <c r="D813" s="29">
        <v>3723650</v>
      </c>
      <c r="E813" s="29">
        <v>4151458</v>
      </c>
      <c r="F813" s="255" t="s">
        <v>2810</v>
      </c>
      <c r="G813" s="256" t="s">
        <v>19</v>
      </c>
      <c r="H813" s="256" t="s">
        <v>224</v>
      </c>
      <c r="I813" s="200" t="s">
        <v>225</v>
      </c>
      <c r="J813" s="30" t="s">
        <v>447</v>
      </c>
      <c r="K813" s="200">
        <v>50</v>
      </c>
      <c r="L813" s="200" t="s">
        <v>189</v>
      </c>
      <c r="M813" s="37">
        <v>1120</v>
      </c>
      <c r="N813" s="37">
        <v>10000</v>
      </c>
      <c r="O813" s="45">
        <v>1</v>
      </c>
      <c r="P813" s="54"/>
      <c r="Q813" s="260">
        <v>1120</v>
      </c>
      <c r="R813" s="261">
        <v>1120</v>
      </c>
      <c r="S813" s="261">
        <f>IF(D813="","",IF(J813="リード付け",N813,VLOOKUP(D813,契約台帳!$A$3:$P$4986,16,FALSE)))</f>
        <v>5000</v>
      </c>
      <c r="T813" s="38">
        <v>2</v>
      </c>
      <c r="U813" s="261">
        <f ca="1">IF(D813="","",IF(OFFSET(D813,-2,0)=D813,"",VLOOKUP(D813,契約台帳!$A$3:$R$4986,18,FALSE)))</f>
        <v>2</v>
      </c>
      <c r="V813" s="256" t="s">
        <v>806</v>
      </c>
      <c r="W813" s="256">
        <v>1125</v>
      </c>
      <c r="X813" s="256">
        <v>2</v>
      </c>
      <c r="Y813" s="256" t="s">
        <v>116</v>
      </c>
      <c r="Z813" s="54">
        <v>45195</v>
      </c>
      <c r="AA813" s="200" t="str">
        <f>IFERROR(VLOOKUP(F813&amp;K813&amp;M813,製品マスタ!$M$5:$AM$4999,27,FALSE),"")</f>
        <v>原反ケース再利用</v>
      </c>
      <c r="AB813" s="31"/>
      <c r="AC813" s="184"/>
      <c r="AD813" s="51" t="str">
        <f>IF(F813="","",+F813&amp;K813)</f>
        <v>3SYMLBMSBBF50</v>
      </c>
      <c r="AE813" s="52">
        <f>+M813*N813*O813/1000</f>
        <v>11200</v>
      </c>
      <c r="AF813" s="41">
        <f>IF(AD813="","",VLOOKUP(AD813,原価マスタ!$A$2:$AJ$1693,13,FALSE))</f>
        <v>99</v>
      </c>
      <c r="AG813" s="45">
        <f>IF(AF813="","",+AE813*AF813/100)</f>
        <v>11088</v>
      </c>
      <c r="AH813" s="28"/>
      <c r="AI813" s="28"/>
      <c r="AJ813" s="28"/>
      <c r="AK813" s="28"/>
      <c r="AL813" s="12"/>
      <c r="AM813" s="12"/>
      <c r="AN813" s="12"/>
      <c r="AO813" s="12"/>
      <c r="AP813" s="12"/>
      <c r="AQ813" s="13"/>
      <c r="AR813" s="14"/>
    </row>
    <row r="814" spans="1:44" s="16" customFormat="1" ht="30.95" hidden="1" customHeight="1" x14ac:dyDescent="0.2">
      <c r="A814" s="303"/>
      <c r="B814" s="304"/>
      <c r="C814" s="305"/>
      <c r="D814" s="306"/>
      <c r="E814" s="306"/>
      <c r="F814" s="255"/>
      <c r="G814" s="256"/>
      <c r="H814" s="256"/>
      <c r="I814" s="200"/>
      <c r="J814" s="307"/>
      <c r="K814" s="200"/>
      <c r="L814" s="200"/>
      <c r="M814" s="308"/>
      <c r="N814" s="308"/>
      <c r="O814" s="309"/>
      <c r="P814" s="310"/>
      <c r="Q814" s="260"/>
      <c r="R814" s="261"/>
      <c r="S814" s="261"/>
      <c r="T814" s="311"/>
      <c r="U814" s="261"/>
      <c r="V814" s="256"/>
      <c r="W814" s="256"/>
      <c r="X814" s="256"/>
      <c r="Y814" s="256"/>
      <c r="Z814" s="310"/>
      <c r="AA814" s="200"/>
      <c r="AB814" s="312"/>
      <c r="AC814" s="313"/>
      <c r="AD814" s="51"/>
      <c r="AE814" s="314"/>
      <c r="AF814" s="315"/>
      <c r="AG814" s="309"/>
      <c r="AH814" s="28"/>
      <c r="AI814" s="28"/>
      <c r="AJ814" s="28"/>
      <c r="AK814" s="28"/>
      <c r="AL814" s="12"/>
      <c r="AM814" s="12"/>
      <c r="AN814" s="12"/>
      <c r="AO814" s="12"/>
      <c r="AP814" s="12"/>
      <c r="AQ814" s="13"/>
      <c r="AR814" s="14"/>
    </row>
    <row r="815" spans="1:44" s="16" customFormat="1" ht="30.75" hidden="1" customHeight="1" x14ac:dyDescent="0.2">
      <c r="A815" s="35"/>
      <c r="B815" s="36"/>
      <c r="C815" s="43"/>
      <c r="D815" s="29">
        <v>3723627</v>
      </c>
      <c r="E815" s="29">
        <v>4151470</v>
      </c>
      <c r="F815" s="255" t="s">
        <v>1603</v>
      </c>
      <c r="G815" s="256" t="s">
        <v>19</v>
      </c>
      <c r="H815" s="256" t="s">
        <v>212</v>
      </c>
      <c r="I815" s="200" t="s">
        <v>213</v>
      </c>
      <c r="J815" s="30" t="s">
        <v>447</v>
      </c>
      <c r="K815" s="200">
        <v>25</v>
      </c>
      <c r="L815" s="200" t="s">
        <v>214</v>
      </c>
      <c r="M815" s="37">
        <v>1120</v>
      </c>
      <c r="N815" s="37">
        <v>8000</v>
      </c>
      <c r="O815" s="45">
        <v>2</v>
      </c>
      <c r="P815" s="54"/>
      <c r="Q815" s="260">
        <v>1120</v>
      </c>
      <c r="R815" s="261">
        <v>1120</v>
      </c>
      <c r="S815" s="261">
        <f>IF(D815="","",IF(J815="リード付け",N815,VLOOKUP(D815,契約台帳!$A$3:$P$4986,16,FALSE)))</f>
        <v>4000</v>
      </c>
      <c r="T815" s="38">
        <v>4</v>
      </c>
      <c r="U815" s="261">
        <f ca="1">IF(D815="","",IF(OFFSET(D815,-2,0)=D815,"",VLOOKUP(D815,契約台帳!$A$3:$R$4986,18,FALSE)))</f>
        <v>4</v>
      </c>
      <c r="V815" s="256" t="s">
        <v>806</v>
      </c>
      <c r="W815" s="256">
        <v>1125</v>
      </c>
      <c r="X815" s="256">
        <v>2</v>
      </c>
      <c r="Y815" s="256" t="s">
        <v>116</v>
      </c>
      <c r="Z815" s="54">
        <v>45196</v>
      </c>
      <c r="AA815" s="200">
        <f>IFERROR(VLOOKUP(F815&amp;K815&amp;M815,製品マスタ!$M$5:$AM$4999,27,FALSE),"")</f>
        <v>0</v>
      </c>
      <c r="AB815" s="31"/>
      <c r="AC815" s="184"/>
      <c r="AD815" s="51" t="str">
        <f>IF(F815="","",+F815&amp;K815)</f>
        <v>3SNMLBMNGKKBF25</v>
      </c>
      <c r="AE815" s="52">
        <f>+M815*N815*O815/1000</f>
        <v>17920</v>
      </c>
      <c r="AF815" s="41">
        <f>IF(AD815="","",VLOOKUP(AD815,原価マスタ!$A$2:$AJ$1693,13,FALSE))</f>
        <v>96</v>
      </c>
      <c r="AG815" s="45">
        <f>IF(AF815="","",+AE815*AF815/100)</f>
        <v>17203.2</v>
      </c>
      <c r="AH815" s="28"/>
      <c r="AI815" s="28"/>
      <c r="AJ815" s="28"/>
      <c r="AK815" s="28"/>
      <c r="AL815" s="12"/>
      <c r="AM815" s="12"/>
      <c r="AN815" s="12"/>
      <c r="AO815" s="12"/>
      <c r="AP815" s="12"/>
      <c r="AQ815" s="13"/>
      <c r="AR815" s="14"/>
    </row>
    <row r="816" spans="1:44" s="16" customFormat="1" ht="30.95" hidden="1" customHeight="1" x14ac:dyDescent="0.2">
      <c r="A816" s="303"/>
      <c r="B816" s="304"/>
      <c r="C816" s="305"/>
      <c r="D816" s="306"/>
      <c r="E816" s="306"/>
      <c r="F816" s="255"/>
      <c r="G816" s="256"/>
      <c r="H816" s="256"/>
      <c r="I816" s="200"/>
      <c r="J816" s="307"/>
      <c r="K816" s="200"/>
      <c r="L816" s="200"/>
      <c r="M816" s="308"/>
      <c r="N816" s="308"/>
      <c r="O816" s="309"/>
      <c r="P816" s="310"/>
      <c r="Q816" s="260"/>
      <c r="R816" s="261"/>
      <c r="S816" s="261"/>
      <c r="T816" s="311"/>
      <c r="U816" s="261"/>
      <c r="V816" s="256"/>
      <c r="W816" s="256"/>
      <c r="X816" s="256"/>
      <c r="Y816" s="256"/>
      <c r="Z816" s="310"/>
      <c r="AA816" s="200"/>
      <c r="AB816" s="312"/>
      <c r="AC816" s="313"/>
      <c r="AD816" s="51"/>
      <c r="AE816" s="314"/>
      <c r="AF816" s="315"/>
      <c r="AG816" s="309"/>
      <c r="AH816" s="28"/>
      <c r="AI816" s="28"/>
      <c r="AJ816" s="28"/>
      <c r="AK816" s="28"/>
      <c r="AL816" s="12"/>
      <c r="AM816" s="12"/>
      <c r="AN816" s="12"/>
      <c r="AO816" s="12"/>
      <c r="AP816" s="12"/>
      <c r="AQ816" s="13"/>
      <c r="AR816" s="14"/>
    </row>
    <row r="817" spans="1:44" s="16" customFormat="1" ht="30.75" hidden="1" customHeight="1" x14ac:dyDescent="0.2">
      <c r="A817" s="35" t="s">
        <v>570</v>
      </c>
      <c r="B817" s="36" t="s">
        <v>444</v>
      </c>
      <c r="C817" s="43"/>
      <c r="D817" s="29">
        <v>3723630</v>
      </c>
      <c r="E817" s="29">
        <v>4151452</v>
      </c>
      <c r="F817" s="255" t="s">
        <v>1603</v>
      </c>
      <c r="G817" s="256" t="s">
        <v>19</v>
      </c>
      <c r="H817" s="256" t="s">
        <v>212</v>
      </c>
      <c r="I817" s="200" t="s">
        <v>213</v>
      </c>
      <c r="J817" s="30" t="s">
        <v>447</v>
      </c>
      <c r="K817" s="200">
        <v>50</v>
      </c>
      <c r="L817" s="200" t="s">
        <v>215</v>
      </c>
      <c r="M817" s="37">
        <v>1120</v>
      </c>
      <c r="N817" s="37">
        <v>12000</v>
      </c>
      <c r="O817" s="45">
        <v>1</v>
      </c>
      <c r="P817" s="54"/>
      <c r="Q817" s="260">
        <v>1120</v>
      </c>
      <c r="R817" s="261">
        <v>1120</v>
      </c>
      <c r="S817" s="261">
        <f>IF(D817="","",IF(J817="リード付け",N817,VLOOKUP(D817,契約台帳!$A$3:$P$4986,16,FALSE)))</f>
        <v>4000</v>
      </c>
      <c r="T817" s="38">
        <v>3</v>
      </c>
      <c r="U817" s="261">
        <f ca="1">IF(D817="","",IF(OFFSET(D817,-2,0)=D817,"",VLOOKUP(D817,契約台帳!$A$3:$R$4986,18,FALSE)))</f>
        <v>9</v>
      </c>
      <c r="V817" s="256" t="s">
        <v>806</v>
      </c>
      <c r="W817" s="256">
        <v>1125</v>
      </c>
      <c r="X817" s="256">
        <v>2</v>
      </c>
      <c r="Y817" s="256" t="s">
        <v>116</v>
      </c>
      <c r="Z817" s="54">
        <v>45196</v>
      </c>
      <c r="AA817" s="200">
        <f>IFERROR(VLOOKUP(F817&amp;K817&amp;M817,製品マスタ!$M$5:$AM$4999,27,FALSE),"")</f>
        <v>0</v>
      </c>
      <c r="AB817" s="31"/>
      <c r="AC817" s="184"/>
      <c r="AD817" s="51" t="str">
        <f>IF(F817="","",+F817&amp;K817)</f>
        <v>3SNMLBMNGKKBF50</v>
      </c>
      <c r="AE817" s="52">
        <f>+M817*N817*O817/1000</f>
        <v>13440</v>
      </c>
      <c r="AF817" s="41">
        <f>IF(AD817="","",VLOOKUP(AD817,原価マスタ!$A$2:$AJ$1693,13,FALSE))</f>
        <v>99</v>
      </c>
      <c r="AG817" s="45">
        <f>IF(AF817="","",+AE817*AF817/100)</f>
        <v>13305.6</v>
      </c>
      <c r="AH817" s="28"/>
      <c r="AI817" s="28"/>
      <c r="AJ817" s="28"/>
      <c r="AK817" s="28"/>
      <c r="AL817" s="12"/>
      <c r="AM817" s="12"/>
      <c r="AN817" s="12"/>
      <c r="AO817" s="12"/>
      <c r="AP817" s="12"/>
      <c r="AQ817" s="13"/>
      <c r="AR817" s="14"/>
    </row>
    <row r="818" spans="1:44" s="16" customFormat="1" ht="30.95" hidden="1" customHeight="1" x14ac:dyDescent="0.2">
      <c r="A818" s="303"/>
      <c r="B818" s="304"/>
      <c r="C818" s="305"/>
      <c r="D818" s="306"/>
      <c r="E818" s="306"/>
      <c r="F818" s="255"/>
      <c r="G818" s="256"/>
      <c r="H818" s="256"/>
      <c r="I818" s="200"/>
      <c r="J818" s="307"/>
      <c r="K818" s="200"/>
      <c r="L818" s="200"/>
      <c r="M818" s="308"/>
      <c r="N818" s="308"/>
      <c r="O818" s="309"/>
      <c r="P818" s="310"/>
      <c r="Q818" s="260"/>
      <c r="R818" s="261"/>
      <c r="S818" s="261"/>
      <c r="T818" s="311"/>
      <c r="U818" s="261"/>
      <c r="V818" s="256"/>
      <c r="W818" s="256"/>
      <c r="X818" s="256"/>
      <c r="Y818" s="256"/>
      <c r="Z818" s="310"/>
      <c r="AA818" s="200"/>
      <c r="AB818" s="312"/>
      <c r="AC818" s="313"/>
      <c r="AD818" s="51"/>
      <c r="AE818" s="314"/>
      <c r="AF818" s="315"/>
      <c r="AG818" s="309"/>
      <c r="AH818" s="28"/>
      <c r="AI818" s="28"/>
      <c r="AJ818" s="28"/>
      <c r="AK818" s="28"/>
      <c r="AL818" s="12"/>
      <c r="AM818" s="12"/>
      <c r="AN818" s="12"/>
      <c r="AO818" s="12"/>
      <c r="AP818" s="12"/>
      <c r="AQ818" s="13"/>
      <c r="AR818" s="14"/>
    </row>
    <row r="819" spans="1:44" s="16" customFormat="1" ht="30.75" hidden="1" customHeight="1" x14ac:dyDescent="0.2">
      <c r="A819" s="35"/>
      <c r="B819" s="36"/>
      <c r="C819" s="43"/>
      <c r="D819" s="29">
        <v>3723631</v>
      </c>
      <c r="E819" s="29">
        <v>4151447</v>
      </c>
      <c r="F819" s="255" t="s">
        <v>2809</v>
      </c>
      <c r="G819" s="256" t="s">
        <v>19</v>
      </c>
      <c r="H819" s="256" t="s">
        <v>211</v>
      </c>
      <c r="I819" s="200" t="s">
        <v>370</v>
      </c>
      <c r="J819" s="30" t="s">
        <v>447</v>
      </c>
      <c r="K819" s="200">
        <v>38</v>
      </c>
      <c r="L819" s="200" t="s">
        <v>154</v>
      </c>
      <c r="M819" s="37">
        <v>1005</v>
      </c>
      <c r="N819" s="37">
        <v>8200</v>
      </c>
      <c r="O819" s="45">
        <v>1</v>
      </c>
      <c r="P819" s="54"/>
      <c r="Q819" s="260">
        <v>1005</v>
      </c>
      <c r="R819" s="261">
        <v>1000</v>
      </c>
      <c r="S819" s="261">
        <f>IF(D819="","",IF(J819="リード付け",N819,VLOOKUP(D819,契約台帳!$A$3:$P$4986,16,FALSE)))</f>
        <v>4100</v>
      </c>
      <c r="T819" s="38">
        <v>2</v>
      </c>
      <c r="U819" s="261">
        <f ca="1">IF(D819="","",IF(OFFSET(D819,-2,0)=D819,"",VLOOKUP(D819,契約台帳!$A$3:$R$4986,18,FALSE)))</f>
        <v>2</v>
      </c>
      <c r="V819" s="256" t="s">
        <v>806</v>
      </c>
      <c r="W819" s="256">
        <v>1015</v>
      </c>
      <c r="X819" s="256">
        <v>2</v>
      </c>
      <c r="Y819" s="256" t="s">
        <v>116</v>
      </c>
      <c r="Z819" s="54">
        <v>45197</v>
      </c>
      <c r="AA819" s="200">
        <f>IFERROR(VLOOKUP(F819&amp;K819&amp;M819,製品マスタ!$M$5:$AM$4999,27,FALSE),"")</f>
        <v>0</v>
      </c>
      <c r="AB819" s="31"/>
      <c r="AC819" s="184"/>
      <c r="AD819" s="51" t="str">
        <f>IF(F819="","",+F819&amp;K819)</f>
        <v>3SNMLBMNGKBF38</v>
      </c>
      <c r="AE819" s="52">
        <f>+M819*N819*O819/1000</f>
        <v>8241</v>
      </c>
      <c r="AF819" s="41">
        <f>IF(AD819="","",VLOOKUP(AD819,原価マスタ!$A$2:$AJ$1693,13,FALSE))</f>
        <v>97.2</v>
      </c>
      <c r="AG819" s="45">
        <f>IF(AF819="","",+AE819*AF819/100)</f>
        <v>8010.2520000000004</v>
      </c>
      <c r="AH819" s="28"/>
      <c r="AI819" s="28"/>
      <c r="AJ819" s="28"/>
      <c r="AK819" s="28"/>
      <c r="AL819" s="12"/>
      <c r="AM819" s="12"/>
      <c r="AN819" s="12"/>
      <c r="AO819" s="12"/>
      <c r="AP819" s="12"/>
      <c r="AQ819" s="13"/>
      <c r="AR819" s="14"/>
    </row>
    <row r="820" spans="1:44" s="16" customFormat="1" ht="30.95" hidden="1" customHeight="1" x14ac:dyDescent="0.2">
      <c r="A820" s="303"/>
      <c r="B820" s="304"/>
      <c r="C820" s="305"/>
      <c r="D820" s="306"/>
      <c r="E820" s="306"/>
      <c r="F820" s="255"/>
      <c r="G820" s="256"/>
      <c r="H820" s="256"/>
      <c r="I820" s="200"/>
      <c r="J820" s="307"/>
      <c r="K820" s="200"/>
      <c r="L820" s="200"/>
      <c r="M820" s="308"/>
      <c r="N820" s="308"/>
      <c r="O820" s="309"/>
      <c r="P820" s="310"/>
      <c r="Q820" s="260"/>
      <c r="R820" s="261"/>
      <c r="S820" s="261"/>
      <c r="T820" s="311"/>
      <c r="U820" s="261"/>
      <c r="V820" s="256"/>
      <c r="W820" s="256"/>
      <c r="X820" s="256"/>
      <c r="Y820" s="256"/>
      <c r="Z820" s="310"/>
      <c r="AA820" s="200"/>
      <c r="AB820" s="312"/>
      <c r="AC820" s="313"/>
      <c r="AD820" s="51"/>
      <c r="AE820" s="314"/>
      <c r="AF820" s="315"/>
      <c r="AG820" s="309"/>
      <c r="AH820" s="28"/>
      <c r="AI820" s="28"/>
      <c r="AJ820" s="28"/>
      <c r="AK820" s="28"/>
      <c r="AL820" s="12"/>
      <c r="AM820" s="12"/>
      <c r="AN820" s="12"/>
      <c r="AO820" s="12"/>
      <c r="AP820" s="12"/>
      <c r="AQ820" s="13"/>
      <c r="AR820" s="14"/>
    </row>
    <row r="821" spans="1:44" s="16" customFormat="1" ht="30.75" hidden="1" customHeight="1" x14ac:dyDescent="0.2">
      <c r="A821" s="35"/>
      <c r="B821" s="36"/>
      <c r="C821" s="43"/>
      <c r="D821" s="29">
        <v>3723638</v>
      </c>
      <c r="E821" s="29">
        <v>4151464</v>
      </c>
      <c r="F821" s="255" t="s">
        <v>2811</v>
      </c>
      <c r="G821" s="256" t="s">
        <v>19</v>
      </c>
      <c r="H821" s="256" t="s">
        <v>218</v>
      </c>
      <c r="I821" s="200" t="s">
        <v>219</v>
      </c>
      <c r="J821" s="30" t="s">
        <v>447</v>
      </c>
      <c r="K821" s="200">
        <v>25</v>
      </c>
      <c r="L821" s="200" t="s">
        <v>220</v>
      </c>
      <c r="M821" s="37">
        <v>1005</v>
      </c>
      <c r="N821" s="37">
        <v>16000</v>
      </c>
      <c r="O821" s="45">
        <v>1</v>
      </c>
      <c r="P821" s="54"/>
      <c r="Q821" s="260">
        <v>1005</v>
      </c>
      <c r="R821" s="261">
        <v>1000</v>
      </c>
      <c r="S821" s="261">
        <f>IF(D821="","",IF(J821="リード付け",N821,VLOOKUP(D821,契約台帳!$A$3:$P$4986,16,FALSE)))</f>
        <v>4000</v>
      </c>
      <c r="T821" s="38">
        <v>4</v>
      </c>
      <c r="U821" s="261">
        <f ca="1">IF(D821="","",IF(OFFSET(D821,-2,0)=D821,"",VLOOKUP(D821,契約台帳!$A$3:$R$4986,18,FALSE)))</f>
        <v>8</v>
      </c>
      <c r="V821" s="256" t="s">
        <v>806</v>
      </c>
      <c r="W821" s="256">
        <v>1015</v>
      </c>
      <c r="X821" s="256">
        <v>2</v>
      </c>
      <c r="Y821" s="256" t="s">
        <v>116</v>
      </c>
      <c r="Z821" s="54">
        <v>45197</v>
      </c>
      <c r="AA821" s="200">
        <f>IFERROR(VLOOKUP(F821&amp;K821&amp;M821,製品マスタ!$M$5:$AM$4999,27,FALSE),"")</f>
        <v>0</v>
      </c>
      <c r="AB821" s="31"/>
      <c r="AC821" s="184"/>
      <c r="AD821" s="51" t="str">
        <f>IF(F821="","",+F821&amp;K821)</f>
        <v>3SNMLBMNNGKBF25</v>
      </c>
      <c r="AE821" s="52">
        <f>+M821*N821*O821/1000</f>
        <v>16080</v>
      </c>
      <c r="AF821" s="41">
        <f>IF(AD821="","",VLOOKUP(AD821,原価マスタ!$A$2:$AJ$1693,13,FALSE))</f>
        <v>98.3</v>
      </c>
      <c r="AG821" s="45">
        <f>IF(AF821="","",+AE821*AF821/100)</f>
        <v>15806.64</v>
      </c>
      <c r="AH821" s="28"/>
      <c r="AI821" s="28"/>
      <c r="AJ821" s="28"/>
      <c r="AK821" s="28"/>
      <c r="AL821" s="12"/>
      <c r="AM821" s="12"/>
      <c r="AN821" s="12"/>
      <c r="AO821" s="12"/>
      <c r="AP821" s="12"/>
      <c r="AQ821" s="13"/>
      <c r="AR821" s="14"/>
    </row>
    <row r="822" spans="1:44" s="16" customFormat="1" ht="30.95" hidden="1" customHeight="1" x14ac:dyDescent="0.2">
      <c r="A822" s="303"/>
      <c r="B822" s="304"/>
      <c r="C822" s="305"/>
      <c r="D822" s="306"/>
      <c r="E822" s="306"/>
      <c r="F822" s="255"/>
      <c r="G822" s="256"/>
      <c r="H822" s="256"/>
      <c r="I822" s="200"/>
      <c r="J822" s="307"/>
      <c r="K822" s="200"/>
      <c r="L822" s="200"/>
      <c r="M822" s="308"/>
      <c r="N822" s="308"/>
      <c r="O822" s="309"/>
      <c r="P822" s="310"/>
      <c r="Q822" s="260"/>
      <c r="R822" s="261"/>
      <c r="S822" s="261"/>
      <c r="T822" s="311"/>
      <c r="U822" s="261"/>
      <c r="V822" s="256"/>
      <c r="W822" s="256"/>
      <c r="X822" s="256"/>
      <c r="Y822" s="256"/>
      <c r="Z822" s="310"/>
      <c r="AA822" s="200"/>
      <c r="AB822" s="312"/>
      <c r="AC822" s="313"/>
      <c r="AD822" s="51"/>
      <c r="AE822" s="314"/>
      <c r="AF822" s="315"/>
      <c r="AG822" s="309"/>
      <c r="AH822" s="28"/>
      <c r="AI822" s="28"/>
      <c r="AJ822" s="28"/>
      <c r="AK822" s="28"/>
      <c r="AL822" s="12"/>
      <c r="AM822" s="12"/>
      <c r="AN822" s="12"/>
      <c r="AO822" s="12"/>
      <c r="AP822" s="12"/>
      <c r="AQ822" s="13"/>
      <c r="AR822" s="14"/>
    </row>
    <row r="823" spans="1:44" s="16" customFormat="1" ht="30.75" hidden="1" customHeight="1" x14ac:dyDescent="0.2">
      <c r="A823" s="35"/>
      <c r="B823" s="36"/>
      <c r="C823" s="43"/>
      <c r="D823" s="29">
        <v>3723638</v>
      </c>
      <c r="E823" s="29">
        <v>4151464</v>
      </c>
      <c r="F823" s="255" t="s">
        <v>2811</v>
      </c>
      <c r="G823" s="256" t="s">
        <v>19</v>
      </c>
      <c r="H823" s="256" t="s">
        <v>218</v>
      </c>
      <c r="I823" s="200" t="s">
        <v>219</v>
      </c>
      <c r="J823" s="30" t="s">
        <v>447</v>
      </c>
      <c r="K823" s="200">
        <v>25</v>
      </c>
      <c r="L823" s="200" t="s">
        <v>220</v>
      </c>
      <c r="M823" s="37">
        <v>1005</v>
      </c>
      <c r="N823" s="37">
        <v>8000</v>
      </c>
      <c r="O823" s="45">
        <v>2</v>
      </c>
      <c r="P823" s="54"/>
      <c r="Q823" s="260">
        <v>1005</v>
      </c>
      <c r="R823" s="261">
        <v>1000</v>
      </c>
      <c r="S823" s="261">
        <f>IF(D823="","",IF(J823="リード付け",N823,VLOOKUP(D823,契約台帳!$A$3:$P$4986,16,FALSE)))</f>
        <v>4000</v>
      </c>
      <c r="T823" s="38">
        <v>4</v>
      </c>
      <c r="U823" s="261" t="str">
        <f ca="1">IF(D823="","",IF(OFFSET(D823,-2,0)=D823,"",VLOOKUP(D823,契約台帳!$A$3:$R$4986,18,FALSE)))</f>
        <v/>
      </c>
      <c r="V823" s="256" t="s">
        <v>806</v>
      </c>
      <c r="W823" s="256">
        <v>1015</v>
      </c>
      <c r="X823" s="256">
        <v>2</v>
      </c>
      <c r="Y823" s="256" t="s">
        <v>116</v>
      </c>
      <c r="Z823" s="54">
        <v>45197</v>
      </c>
      <c r="AA823" s="200">
        <f>IFERROR(VLOOKUP(F823&amp;K823&amp;M823,製品マスタ!$M$5:$AM$4999,27,FALSE),"")</f>
        <v>0</v>
      </c>
      <c r="AB823" s="31"/>
      <c r="AC823" s="184"/>
      <c r="AD823" s="51" t="str">
        <f>IF(F823="","",+F823&amp;K823)</f>
        <v>3SNMLBMNNGKBF25</v>
      </c>
      <c r="AE823" s="52">
        <f>+M823*N823*O823/1000</f>
        <v>16080</v>
      </c>
      <c r="AF823" s="41">
        <f>IF(AD823="","",VLOOKUP(AD823,原価マスタ!$A$2:$AJ$1693,13,FALSE))</f>
        <v>98.3</v>
      </c>
      <c r="AG823" s="45">
        <f>IF(AF823="","",+AE823*AF823/100)</f>
        <v>15806.64</v>
      </c>
      <c r="AH823" s="28"/>
      <c r="AI823" s="28"/>
      <c r="AJ823" s="28"/>
      <c r="AK823" s="28"/>
      <c r="AL823" s="12"/>
      <c r="AM823" s="12"/>
      <c r="AN823" s="12"/>
      <c r="AO823" s="12"/>
      <c r="AP823" s="12"/>
      <c r="AQ823" s="13"/>
      <c r="AR823" s="14"/>
    </row>
    <row r="824" spans="1:44" s="16" customFormat="1" ht="30.95" hidden="1" customHeight="1" x14ac:dyDescent="0.2">
      <c r="A824" s="303"/>
      <c r="B824" s="304"/>
      <c r="C824" s="305"/>
      <c r="D824" s="306"/>
      <c r="E824" s="306"/>
      <c r="F824" s="255"/>
      <c r="G824" s="256"/>
      <c r="H824" s="256"/>
      <c r="I824" s="200"/>
      <c r="J824" s="307"/>
      <c r="K824" s="200"/>
      <c r="L824" s="200"/>
      <c r="M824" s="308"/>
      <c r="N824" s="308"/>
      <c r="O824" s="309"/>
      <c r="P824" s="310"/>
      <c r="Q824" s="260"/>
      <c r="R824" s="261"/>
      <c r="S824" s="261"/>
      <c r="T824" s="311"/>
      <c r="U824" s="261"/>
      <c r="V824" s="256"/>
      <c r="W824" s="256"/>
      <c r="X824" s="256"/>
      <c r="Y824" s="256"/>
      <c r="Z824" s="310"/>
      <c r="AA824" s="200"/>
      <c r="AB824" s="312"/>
      <c r="AC824" s="313"/>
      <c r="AD824" s="51"/>
      <c r="AE824" s="314"/>
      <c r="AF824" s="315"/>
      <c r="AG824" s="309"/>
      <c r="AH824" s="28"/>
      <c r="AI824" s="28"/>
      <c r="AJ824" s="28"/>
      <c r="AK824" s="28"/>
      <c r="AL824" s="12"/>
      <c r="AM824" s="12"/>
      <c r="AN824" s="12"/>
      <c r="AO824" s="12"/>
      <c r="AP824" s="12"/>
      <c r="AQ824" s="13"/>
      <c r="AR824" s="14"/>
    </row>
    <row r="825" spans="1:44" s="16" customFormat="1" ht="30.75" hidden="1" customHeight="1" x14ac:dyDescent="0.2">
      <c r="A825" s="35"/>
      <c r="B825" s="36"/>
      <c r="C825" s="43"/>
      <c r="D825" s="29">
        <v>3723639</v>
      </c>
      <c r="E825" s="29">
        <v>4151473</v>
      </c>
      <c r="F825" s="255" t="s">
        <v>2811</v>
      </c>
      <c r="G825" s="256" t="s">
        <v>19</v>
      </c>
      <c r="H825" s="256" t="s">
        <v>218</v>
      </c>
      <c r="I825" s="200" t="s">
        <v>219</v>
      </c>
      <c r="J825" s="30" t="s">
        <v>447</v>
      </c>
      <c r="K825" s="200">
        <v>50</v>
      </c>
      <c r="L825" s="200" t="s">
        <v>168</v>
      </c>
      <c r="M825" s="37">
        <v>1000</v>
      </c>
      <c r="N825" s="37">
        <v>12000</v>
      </c>
      <c r="O825" s="45">
        <v>4</v>
      </c>
      <c r="P825" s="54"/>
      <c r="Q825" s="260">
        <v>1000</v>
      </c>
      <c r="R825" s="261">
        <v>1000</v>
      </c>
      <c r="S825" s="261">
        <f>IF(D825="","",IF(J825="リード付け",N825,VLOOKUP(D825,契約台帳!$A$3:$P$4986,16,FALSE)))</f>
        <v>4000</v>
      </c>
      <c r="T825" s="38">
        <v>12</v>
      </c>
      <c r="U825" s="261">
        <f ca="1">IF(D825="","",IF(OFFSET(D825,-2,0)=D825,"",VLOOKUP(D825,契約台帳!$A$3:$R$4986,18,FALSE)))</f>
        <v>12</v>
      </c>
      <c r="V825" s="256" t="s">
        <v>806</v>
      </c>
      <c r="W825" s="256">
        <v>1005</v>
      </c>
      <c r="X825" s="256">
        <v>2</v>
      </c>
      <c r="Y825" s="256" t="s">
        <v>116</v>
      </c>
      <c r="Z825" s="54">
        <v>45197</v>
      </c>
      <c r="AA825" s="200" t="str">
        <f>IFERROR(VLOOKUP(F825&amp;K825&amp;M825,製品マスタ!$M$5:$AM$4999,27,FALSE),"")</f>
        <v>原反ケース再利用</v>
      </c>
      <c r="AB825" s="31"/>
      <c r="AC825" s="184"/>
      <c r="AD825" s="51" t="str">
        <f>IF(F825="","",+F825&amp;K825)</f>
        <v>3SNMLBMNNGKBF50</v>
      </c>
      <c r="AE825" s="52">
        <f>+M825*N825*O825/1000</f>
        <v>48000</v>
      </c>
      <c r="AF825" s="41">
        <f>IF(AD825="","",VLOOKUP(AD825,原価マスタ!$A$2:$AJ$1693,13,FALSE))</f>
        <v>99</v>
      </c>
      <c r="AG825" s="45">
        <f>IF(AF825="","",+AE825*AF825/100)</f>
        <v>47520</v>
      </c>
      <c r="AH825" s="28"/>
      <c r="AI825" s="28"/>
      <c r="AJ825" s="28"/>
      <c r="AK825" s="28"/>
      <c r="AL825" s="12"/>
      <c r="AM825" s="12"/>
      <c r="AN825" s="12"/>
      <c r="AO825" s="12"/>
      <c r="AP825" s="12"/>
      <c r="AQ825" s="13"/>
      <c r="AR825" s="14"/>
    </row>
    <row r="826" spans="1:44" s="16" customFormat="1" ht="30.95" hidden="1" customHeight="1" x14ac:dyDescent="0.2">
      <c r="A826" s="303"/>
      <c r="B826" s="304"/>
      <c r="C826" s="305"/>
      <c r="D826" s="306"/>
      <c r="E826" s="306"/>
      <c r="F826" s="255"/>
      <c r="G826" s="256"/>
      <c r="H826" s="256"/>
      <c r="I826" s="200"/>
      <c r="J826" s="307"/>
      <c r="K826" s="200"/>
      <c r="L826" s="200"/>
      <c r="M826" s="308"/>
      <c r="N826" s="308"/>
      <c r="O826" s="309"/>
      <c r="P826" s="310"/>
      <c r="Q826" s="260"/>
      <c r="R826" s="261"/>
      <c r="S826" s="261"/>
      <c r="T826" s="311"/>
      <c r="U826" s="261"/>
      <c r="V826" s="256"/>
      <c r="W826" s="256"/>
      <c r="X826" s="256"/>
      <c r="Y826" s="256"/>
      <c r="Z826" s="310"/>
      <c r="AA826" s="200"/>
      <c r="AB826" s="312"/>
      <c r="AC826" s="313"/>
      <c r="AD826" s="51"/>
      <c r="AE826" s="314"/>
      <c r="AF826" s="315"/>
      <c r="AG826" s="309"/>
      <c r="AH826" s="28"/>
      <c r="AI826" s="28"/>
      <c r="AJ826" s="28"/>
      <c r="AK826" s="28"/>
      <c r="AL826" s="12"/>
      <c r="AM826" s="12"/>
      <c r="AN826" s="12"/>
      <c r="AO826" s="12"/>
      <c r="AP826" s="12"/>
      <c r="AQ826" s="13"/>
      <c r="AR826" s="14"/>
    </row>
    <row r="827" spans="1:44" s="16" customFormat="1" ht="30.75" hidden="1" customHeight="1" x14ac:dyDescent="0.2">
      <c r="A827" s="35"/>
      <c r="B827" s="36"/>
      <c r="C827" s="43"/>
      <c r="D827" s="29">
        <v>3725014</v>
      </c>
      <c r="E827" s="29">
        <v>4151474</v>
      </c>
      <c r="F827" s="255" t="s">
        <v>2811</v>
      </c>
      <c r="G827" s="256" t="s">
        <v>19</v>
      </c>
      <c r="H827" s="256" t="s">
        <v>218</v>
      </c>
      <c r="I827" s="200" t="s">
        <v>219</v>
      </c>
      <c r="J827" s="30" t="s">
        <v>447</v>
      </c>
      <c r="K827" s="200">
        <v>50</v>
      </c>
      <c r="L827" s="200" t="s">
        <v>168</v>
      </c>
      <c r="M827" s="37">
        <v>1000</v>
      </c>
      <c r="N827" s="37">
        <v>12000</v>
      </c>
      <c r="O827" s="45">
        <v>2</v>
      </c>
      <c r="P827" s="54"/>
      <c r="Q827" s="260">
        <v>1000</v>
      </c>
      <c r="R827" s="261">
        <v>1000</v>
      </c>
      <c r="S827" s="261">
        <f>IF(D827="","",IF(J827="リード付け",N827,VLOOKUP(D827,契約台帳!$A$3:$P$4986,16,FALSE)))</f>
        <v>4000</v>
      </c>
      <c r="T827" s="38">
        <v>6</v>
      </c>
      <c r="U827" s="261">
        <f ca="1">IF(D827="","",IF(OFFSET(D827,-2,0)=D827,"",VLOOKUP(D827,契約台帳!$A$3:$R$4986,18,FALSE)))</f>
        <v>6</v>
      </c>
      <c r="V827" s="256" t="s">
        <v>806</v>
      </c>
      <c r="W827" s="256">
        <v>1005</v>
      </c>
      <c r="X827" s="256">
        <v>2</v>
      </c>
      <c r="Y827" s="256" t="s">
        <v>116</v>
      </c>
      <c r="Z827" s="54">
        <v>45198</v>
      </c>
      <c r="AA827" s="200" t="str">
        <f>IFERROR(VLOOKUP(F827&amp;K827&amp;M827,製品マスタ!$M$5:$AM$4999,27,FALSE),"")</f>
        <v>原反ケース再利用</v>
      </c>
      <c r="AB827" s="31"/>
      <c r="AC827" s="184"/>
      <c r="AD827" s="51" t="str">
        <f>IF(F827="","",+F827&amp;K827)</f>
        <v>3SNMLBMNNGKBF50</v>
      </c>
      <c r="AE827" s="52">
        <f>+M827*N827*O827/1000</f>
        <v>24000</v>
      </c>
      <c r="AF827" s="41">
        <f>IF(AD827="","",VLOOKUP(AD827,原価マスタ!$A$2:$AJ$1693,13,FALSE))</f>
        <v>99</v>
      </c>
      <c r="AG827" s="45">
        <f>IF(AF827="","",+AE827*AF827/100)</f>
        <v>23760</v>
      </c>
      <c r="AH827" s="28"/>
      <c r="AI827" s="28"/>
      <c r="AJ827" s="28"/>
      <c r="AK827" s="28"/>
      <c r="AL827" s="12"/>
      <c r="AM827" s="12"/>
      <c r="AN827" s="12"/>
      <c r="AO827" s="12"/>
      <c r="AP827" s="12"/>
      <c r="AQ827" s="13"/>
      <c r="AR827" s="14"/>
    </row>
    <row r="828" spans="1:44" s="16" customFormat="1" ht="30.95" hidden="1" customHeight="1" x14ac:dyDescent="0.2">
      <c r="A828" s="303"/>
      <c r="B828" s="304"/>
      <c r="C828" s="305"/>
      <c r="D828" s="306"/>
      <c r="E828" s="306"/>
      <c r="F828" s="255"/>
      <c r="G828" s="256"/>
      <c r="H828" s="256"/>
      <c r="I828" s="200"/>
      <c r="J828" s="307"/>
      <c r="K828" s="200"/>
      <c r="L828" s="200"/>
      <c r="M828" s="308"/>
      <c r="N828" s="308"/>
      <c r="O828" s="309"/>
      <c r="P828" s="310"/>
      <c r="Q828" s="260"/>
      <c r="R828" s="261"/>
      <c r="S828" s="261"/>
      <c r="T828" s="311"/>
      <c r="U828" s="261"/>
      <c r="V828" s="256"/>
      <c r="W828" s="256"/>
      <c r="X828" s="256"/>
      <c r="Y828" s="256"/>
      <c r="Z828" s="310"/>
      <c r="AA828" s="200"/>
      <c r="AB828" s="312"/>
      <c r="AC828" s="313"/>
      <c r="AD828" s="51"/>
      <c r="AE828" s="314"/>
      <c r="AF828" s="315"/>
      <c r="AG828" s="309"/>
      <c r="AH828" s="28"/>
      <c r="AI828" s="28"/>
      <c r="AJ828" s="28"/>
      <c r="AK828" s="28"/>
      <c r="AL828" s="12"/>
      <c r="AM828" s="12"/>
      <c r="AN828" s="12"/>
      <c r="AO828" s="12"/>
      <c r="AP828" s="12"/>
      <c r="AQ828" s="13"/>
      <c r="AR828" s="14"/>
    </row>
    <row r="829" spans="1:44" s="16" customFormat="1" ht="30.75" hidden="1" customHeight="1" x14ac:dyDescent="0.2">
      <c r="A829" s="35" t="s">
        <v>1607</v>
      </c>
      <c r="B829" s="36" t="s">
        <v>1608</v>
      </c>
      <c r="C829" s="43"/>
      <c r="D829" s="29">
        <v>3725012</v>
      </c>
      <c r="E829" s="29">
        <v>4151471</v>
      </c>
      <c r="F829" s="255" t="s">
        <v>1603</v>
      </c>
      <c r="G829" s="256" t="s">
        <v>19</v>
      </c>
      <c r="H829" s="256" t="s">
        <v>212</v>
      </c>
      <c r="I829" s="200" t="s">
        <v>213</v>
      </c>
      <c r="J829" s="30" t="s">
        <v>447</v>
      </c>
      <c r="K829" s="200">
        <v>25</v>
      </c>
      <c r="L829" s="200" t="s">
        <v>214</v>
      </c>
      <c r="M829" s="37">
        <v>1120</v>
      </c>
      <c r="N829" s="37">
        <v>12000</v>
      </c>
      <c r="O829" s="45">
        <v>1</v>
      </c>
      <c r="P829" s="54"/>
      <c r="Q829" s="260">
        <v>1120</v>
      </c>
      <c r="R829" s="261">
        <v>1120</v>
      </c>
      <c r="S829" s="261">
        <f>IF(D829="","",IF(J829="リード付け",N829,VLOOKUP(D829,契約台帳!$A$3:$P$4986,16,FALSE)))</f>
        <v>4000</v>
      </c>
      <c r="T829" s="38">
        <v>3</v>
      </c>
      <c r="U829" s="261">
        <f ca="1">IF(D829="","",IF(OFFSET(D829,-2,0)=D829,"",VLOOKUP(D829,契約台帳!$A$3:$R$4986,18,FALSE)))</f>
        <v>7</v>
      </c>
      <c r="V829" s="256" t="s">
        <v>806</v>
      </c>
      <c r="W829" s="256">
        <v>1125</v>
      </c>
      <c r="X829" s="256">
        <v>2</v>
      </c>
      <c r="Y829" s="256" t="s">
        <v>116</v>
      </c>
      <c r="Z829" s="54">
        <v>45198</v>
      </c>
      <c r="AA829" s="200">
        <f>IFERROR(VLOOKUP(F829&amp;K829&amp;M829,製品マスタ!$M$5:$AM$4999,27,FALSE),"")</f>
        <v>0</v>
      </c>
      <c r="AB829" s="31"/>
      <c r="AC829" s="184"/>
      <c r="AD829" s="51" t="str">
        <f>IF(F829="","",+F829&amp;K829)</f>
        <v>3SNMLBMNGKKBF25</v>
      </c>
      <c r="AE829" s="52">
        <f>+M829*N829*O829/1000</f>
        <v>13440</v>
      </c>
      <c r="AF829" s="41">
        <f>IF(AD829="","",VLOOKUP(AD829,原価マスタ!$A$2:$AJ$1693,13,FALSE))</f>
        <v>96</v>
      </c>
      <c r="AG829" s="45">
        <f>IF(AF829="","",+AE829*AF829/100)</f>
        <v>12902.4</v>
      </c>
      <c r="AH829" s="28"/>
      <c r="AI829" s="28"/>
      <c r="AJ829" s="28"/>
      <c r="AK829" s="28"/>
      <c r="AL829" s="12"/>
      <c r="AM829" s="12"/>
      <c r="AN829" s="12"/>
      <c r="AO829" s="12"/>
      <c r="AP829" s="12"/>
      <c r="AQ829" s="13"/>
      <c r="AR829" s="14"/>
    </row>
    <row r="830" spans="1:44" s="16" customFormat="1" ht="30.95" hidden="1" customHeight="1" x14ac:dyDescent="0.2">
      <c r="A830" s="303"/>
      <c r="B830" s="304"/>
      <c r="C830" s="305"/>
      <c r="D830" s="306"/>
      <c r="E830" s="306"/>
      <c r="F830" s="255"/>
      <c r="G830" s="256"/>
      <c r="H830" s="256"/>
      <c r="I830" s="200"/>
      <c r="J830" s="307"/>
      <c r="K830" s="200"/>
      <c r="L830" s="200"/>
      <c r="M830" s="308"/>
      <c r="N830" s="308"/>
      <c r="O830" s="309"/>
      <c r="P830" s="310"/>
      <c r="Q830" s="260"/>
      <c r="R830" s="261"/>
      <c r="S830" s="261"/>
      <c r="T830" s="311"/>
      <c r="U830" s="261"/>
      <c r="V830" s="256"/>
      <c r="W830" s="256"/>
      <c r="X830" s="256"/>
      <c r="Y830" s="256"/>
      <c r="Z830" s="310"/>
      <c r="AA830" s="200"/>
      <c r="AB830" s="312"/>
      <c r="AC830" s="313"/>
      <c r="AD830" s="51"/>
      <c r="AE830" s="314"/>
      <c r="AF830" s="315"/>
      <c r="AG830" s="309"/>
      <c r="AH830" s="28"/>
      <c r="AI830" s="28"/>
      <c r="AJ830" s="28"/>
      <c r="AK830" s="28"/>
      <c r="AL830" s="12"/>
      <c r="AM830" s="12"/>
      <c r="AN830" s="12"/>
      <c r="AO830" s="12"/>
      <c r="AP830" s="12"/>
      <c r="AQ830" s="13"/>
      <c r="AR830" s="14"/>
    </row>
    <row r="831" spans="1:44" s="16" customFormat="1" ht="30.75" hidden="1" customHeight="1" x14ac:dyDescent="0.2">
      <c r="A831" s="35"/>
      <c r="B831" s="36"/>
      <c r="C831" s="43"/>
      <c r="D831" s="29">
        <v>3725012</v>
      </c>
      <c r="E831" s="29">
        <v>4151471</v>
      </c>
      <c r="F831" s="255" t="s">
        <v>1603</v>
      </c>
      <c r="G831" s="256" t="s">
        <v>19</v>
      </c>
      <c r="H831" s="256" t="s">
        <v>212</v>
      </c>
      <c r="I831" s="200" t="s">
        <v>213</v>
      </c>
      <c r="J831" s="30" t="s">
        <v>447</v>
      </c>
      <c r="K831" s="200">
        <v>25</v>
      </c>
      <c r="L831" s="200" t="s">
        <v>214</v>
      </c>
      <c r="M831" s="37">
        <v>1120</v>
      </c>
      <c r="N831" s="37">
        <v>8000</v>
      </c>
      <c r="O831" s="45">
        <v>2</v>
      </c>
      <c r="P831" s="54"/>
      <c r="Q831" s="260">
        <v>1120</v>
      </c>
      <c r="R831" s="261">
        <v>1120</v>
      </c>
      <c r="S831" s="261">
        <f>IF(D831="","",IF(J831="リード付け",N831,VLOOKUP(D831,契約台帳!$A$3:$P$4986,16,FALSE)))</f>
        <v>4000</v>
      </c>
      <c r="T831" s="38">
        <v>4</v>
      </c>
      <c r="U831" s="261" t="str">
        <f ca="1">IF(D831="","",IF(OFFSET(D831,-2,0)=D831,"",VLOOKUP(D831,契約台帳!$A$3:$R$4986,18,FALSE)))</f>
        <v/>
      </c>
      <c r="V831" s="256" t="s">
        <v>806</v>
      </c>
      <c r="W831" s="256">
        <v>1125</v>
      </c>
      <c r="X831" s="256">
        <v>2</v>
      </c>
      <c r="Y831" s="256" t="s">
        <v>116</v>
      </c>
      <c r="Z831" s="54">
        <v>45198</v>
      </c>
      <c r="AA831" s="200">
        <f>IFERROR(VLOOKUP(F831&amp;K831&amp;M831,製品マスタ!$M$5:$AM$4999,27,FALSE),"")</f>
        <v>0</v>
      </c>
      <c r="AB831" s="31"/>
      <c r="AC831" s="184"/>
      <c r="AD831" s="51" t="str">
        <f>IF(F831="","",+F831&amp;K831)</f>
        <v>3SNMLBMNGKKBF25</v>
      </c>
      <c r="AE831" s="52">
        <f>+M831*N831*O831/1000</f>
        <v>17920</v>
      </c>
      <c r="AF831" s="41">
        <f>IF(AD831="","",VLOOKUP(AD831,原価マスタ!$A$2:$AJ$1693,13,FALSE))</f>
        <v>96</v>
      </c>
      <c r="AG831" s="45">
        <f>IF(AF831="","",+AE831*AF831/100)</f>
        <v>17203.2</v>
      </c>
      <c r="AH831" s="28"/>
      <c r="AI831" s="28"/>
      <c r="AJ831" s="28"/>
      <c r="AK831" s="28"/>
      <c r="AL831" s="12"/>
      <c r="AM831" s="12"/>
      <c r="AN831" s="12"/>
      <c r="AO831" s="12"/>
      <c r="AP831" s="12"/>
      <c r="AQ831" s="13"/>
      <c r="AR831" s="14"/>
    </row>
    <row r="832" spans="1:44" s="16" customFormat="1" ht="30.95" hidden="1" customHeight="1" x14ac:dyDescent="0.2">
      <c r="A832" s="303"/>
      <c r="B832" s="304"/>
      <c r="C832" s="305"/>
      <c r="D832" s="306"/>
      <c r="E832" s="306"/>
      <c r="F832" s="255"/>
      <c r="G832" s="256"/>
      <c r="H832" s="256"/>
      <c r="I832" s="200"/>
      <c r="J832" s="307"/>
      <c r="K832" s="200"/>
      <c r="L832" s="200"/>
      <c r="M832" s="308"/>
      <c r="N832" s="308"/>
      <c r="O832" s="309"/>
      <c r="P832" s="310"/>
      <c r="Q832" s="260"/>
      <c r="R832" s="261"/>
      <c r="S832" s="261"/>
      <c r="T832" s="311"/>
      <c r="U832" s="261"/>
      <c r="V832" s="256"/>
      <c r="W832" s="256"/>
      <c r="X832" s="256"/>
      <c r="Y832" s="256"/>
      <c r="Z832" s="310"/>
      <c r="AA832" s="200"/>
      <c r="AB832" s="312"/>
      <c r="AC832" s="313"/>
      <c r="AD832" s="51"/>
      <c r="AE832" s="314"/>
      <c r="AF832" s="315"/>
      <c r="AG832" s="309"/>
      <c r="AH832" s="28"/>
      <c r="AI832" s="28"/>
      <c r="AJ832" s="28"/>
      <c r="AK832" s="28"/>
      <c r="AL832" s="12"/>
      <c r="AM832" s="12"/>
      <c r="AN832" s="12"/>
      <c r="AO832" s="12"/>
      <c r="AP832" s="12"/>
      <c r="AQ832" s="13"/>
      <c r="AR832" s="14"/>
    </row>
    <row r="833" spans="1:44" s="16" customFormat="1" ht="30.75" hidden="1" customHeight="1" x14ac:dyDescent="0.2">
      <c r="A833" s="35"/>
      <c r="B833" s="36"/>
      <c r="C833" s="43"/>
      <c r="D833" s="29">
        <v>3725013</v>
      </c>
      <c r="E833" s="29">
        <v>4151472</v>
      </c>
      <c r="F833" s="255" t="s">
        <v>2806</v>
      </c>
      <c r="G833" s="256" t="s">
        <v>19</v>
      </c>
      <c r="H833" s="256" t="s">
        <v>216</v>
      </c>
      <c r="I833" s="200" t="s">
        <v>217</v>
      </c>
      <c r="J833" s="30" t="s">
        <v>447</v>
      </c>
      <c r="K833" s="200">
        <v>50</v>
      </c>
      <c r="L833" s="200" t="s">
        <v>189</v>
      </c>
      <c r="M833" s="37">
        <v>1120</v>
      </c>
      <c r="N833" s="37">
        <v>10000</v>
      </c>
      <c r="O833" s="45">
        <v>3</v>
      </c>
      <c r="P833" s="54"/>
      <c r="Q833" s="260">
        <v>1120</v>
      </c>
      <c r="R833" s="261">
        <v>1120</v>
      </c>
      <c r="S833" s="261">
        <f>IF(D833="","",IF(J833="リード付け",N833,VLOOKUP(D833,契約台帳!$A$3:$P$4986,16,FALSE)))</f>
        <v>5000</v>
      </c>
      <c r="T833" s="38">
        <v>6</v>
      </c>
      <c r="U833" s="261">
        <f ca="1">IF(D833="","",IF(OFFSET(D833,-2,0)=D833,"",VLOOKUP(D833,契約台帳!$A$3:$R$4986,18,FALSE)))</f>
        <v>28</v>
      </c>
      <c r="V833" s="256" t="s">
        <v>806</v>
      </c>
      <c r="W833" s="256">
        <v>1125</v>
      </c>
      <c r="X833" s="256">
        <v>2</v>
      </c>
      <c r="Y833" s="256" t="s">
        <v>116</v>
      </c>
      <c r="Z833" s="54">
        <v>45201</v>
      </c>
      <c r="AA833" s="200" t="str">
        <f>IFERROR(VLOOKUP(F833&amp;K833&amp;M833,製品マスタ!$M$5:$AM$4999,27,FALSE),"")</f>
        <v>原反ケース再利用</v>
      </c>
      <c r="AB833" s="31"/>
      <c r="AC833" s="184"/>
      <c r="AD833" s="51" t="str">
        <f>IF(F833="","",+F833&amp;K833)</f>
        <v>3SNMLBMNGTBF50</v>
      </c>
      <c r="AE833" s="52">
        <f>+M833*N833*O833/1000</f>
        <v>33600</v>
      </c>
      <c r="AF833" s="41">
        <f>IF(AD833="","",VLOOKUP(AD833,原価マスタ!$A$2:$AJ$1693,13,FALSE))</f>
        <v>99</v>
      </c>
      <c r="AG833" s="45">
        <f>IF(AF833="","",+AE833*AF833/100)</f>
        <v>33264</v>
      </c>
      <c r="AH833" s="28"/>
      <c r="AI833" s="28"/>
      <c r="AJ833" s="28"/>
      <c r="AK833" s="28"/>
      <c r="AL833" s="12"/>
      <c r="AM833" s="12"/>
      <c r="AN833" s="12"/>
      <c r="AO833" s="12"/>
      <c r="AP833" s="12"/>
      <c r="AQ833" s="13"/>
      <c r="AR833" s="14"/>
    </row>
    <row r="834" spans="1:44" s="16" customFormat="1" ht="30.95" hidden="1" customHeight="1" x14ac:dyDescent="0.2">
      <c r="A834" s="303"/>
      <c r="B834" s="304"/>
      <c r="C834" s="305"/>
      <c r="D834" s="306"/>
      <c r="E834" s="306"/>
      <c r="F834" s="255"/>
      <c r="G834" s="256"/>
      <c r="H834" s="256"/>
      <c r="I834" s="200"/>
      <c r="J834" s="307"/>
      <c r="K834" s="200"/>
      <c r="L834" s="200"/>
      <c r="M834" s="308"/>
      <c r="N834" s="308"/>
      <c r="O834" s="309"/>
      <c r="P834" s="310"/>
      <c r="Q834" s="260"/>
      <c r="R834" s="261"/>
      <c r="S834" s="261"/>
      <c r="T834" s="311"/>
      <c r="U834" s="261"/>
      <c r="V834" s="256"/>
      <c r="W834" s="256"/>
      <c r="X834" s="256"/>
      <c r="Y834" s="256"/>
      <c r="Z834" s="310"/>
      <c r="AA834" s="200"/>
      <c r="AB834" s="312"/>
      <c r="AC834" s="313"/>
      <c r="AD834" s="51"/>
      <c r="AE834" s="314"/>
      <c r="AF834" s="315"/>
      <c r="AG834" s="309"/>
      <c r="AH834" s="28"/>
      <c r="AI834" s="28"/>
      <c r="AJ834" s="28"/>
      <c r="AK834" s="28"/>
      <c r="AL834" s="12"/>
      <c r="AM834" s="12"/>
      <c r="AN834" s="12"/>
      <c r="AO834" s="12"/>
      <c r="AP834" s="12"/>
      <c r="AQ834" s="13"/>
      <c r="AR834" s="14"/>
    </row>
    <row r="835" spans="1:44" s="16" customFormat="1" ht="30.95" hidden="1" customHeight="1" x14ac:dyDescent="0.2">
      <c r="A835" s="303" t="s">
        <v>571</v>
      </c>
      <c r="B835" s="304" t="s">
        <v>446</v>
      </c>
      <c r="C835" s="305"/>
      <c r="D835" s="306"/>
      <c r="E835" s="306"/>
      <c r="F835" s="255"/>
      <c r="G835" s="256"/>
      <c r="H835" s="256"/>
      <c r="I835" s="200"/>
      <c r="J835" s="307" t="s">
        <v>448</v>
      </c>
      <c r="K835" s="200"/>
      <c r="L835" s="200"/>
      <c r="M835" s="308"/>
      <c r="N835" s="308"/>
      <c r="O835" s="309"/>
      <c r="P835" s="310"/>
      <c r="Q835" s="260"/>
      <c r="R835" s="261"/>
      <c r="S835" s="261"/>
      <c r="T835" s="311"/>
      <c r="U835" s="261"/>
      <c r="V835" s="256"/>
      <c r="W835" s="256"/>
      <c r="X835" s="256"/>
      <c r="Y835" s="256"/>
      <c r="Z835" s="310"/>
      <c r="AA835" s="200"/>
      <c r="AB835" s="312"/>
      <c r="AC835" s="313"/>
      <c r="AD835" s="51"/>
      <c r="AE835" s="314"/>
      <c r="AF835" s="315"/>
      <c r="AG835" s="309"/>
      <c r="AH835" s="28"/>
      <c r="AI835" s="28"/>
      <c r="AJ835" s="28"/>
      <c r="AK835" s="28"/>
      <c r="AL835" s="12"/>
      <c r="AM835" s="12"/>
      <c r="AN835" s="12"/>
      <c r="AO835" s="12"/>
      <c r="AP835" s="12"/>
      <c r="AQ835" s="13"/>
      <c r="AR835" s="14"/>
    </row>
    <row r="836" spans="1:44" s="16" customFormat="1" ht="30.95" hidden="1" customHeight="1" x14ac:dyDescent="0.2">
      <c r="A836" s="303"/>
      <c r="B836" s="304"/>
      <c r="C836" s="305"/>
      <c r="D836" s="306"/>
      <c r="E836" s="306"/>
      <c r="F836" s="255"/>
      <c r="G836" s="256"/>
      <c r="H836" s="256"/>
      <c r="I836" s="200"/>
      <c r="J836" s="307"/>
      <c r="K836" s="200"/>
      <c r="L836" s="200"/>
      <c r="M836" s="308"/>
      <c r="N836" s="308"/>
      <c r="O836" s="309"/>
      <c r="P836" s="310"/>
      <c r="Q836" s="260"/>
      <c r="R836" s="261"/>
      <c r="S836" s="261"/>
      <c r="T836" s="311"/>
      <c r="U836" s="261"/>
      <c r="V836" s="256"/>
      <c r="W836" s="256"/>
      <c r="X836" s="256"/>
      <c r="Y836" s="256"/>
      <c r="Z836" s="310"/>
      <c r="AA836" s="200"/>
      <c r="AB836" s="312"/>
      <c r="AC836" s="313"/>
      <c r="AD836" s="51"/>
      <c r="AE836" s="314"/>
      <c r="AF836" s="315"/>
      <c r="AG836" s="309"/>
      <c r="AH836" s="28"/>
      <c r="AI836" s="28"/>
      <c r="AJ836" s="28"/>
      <c r="AK836" s="28"/>
      <c r="AL836" s="12"/>
      <c r="AM836" s="12"/>
      <c r="AN836" s="12"/>
      <c r="AO836" s="12"/>
      <c r="AP836" s="12"/>
      <c r="AQ836" s="13"/>
      <c r="AR836" s="14"/>
    </row>
    <row r="837" spans="1:44" s="16" customFormat="1" ht="30.75" hidden="1" customHeight="1" x14ac:dyDescent="0.2">
      <c r="A837" s="35" t="s">
        <v>572</v>
      </c>
      <c r="B837" s="36" t="s">
        <v>462</v>
      </c>
      <c r="C837" s="43"/>
      <c r="D837" s="29">
        <v>3725013</v>
      </c>
      <c r="E837" s="29">
        <v>4151472</v>
      </c>
      <c r="F837" s="255" t="s">
        <v>2806</v>
      </c>
      <c r="G837" s="256" t="s">
        <v>19</v>
      </c>
      <c r="H837" s="256" t="s">
        <v>216</v>
      </c>
      <c r="I837" s="200" t="s">
        <v>217</v>
      </c>
      <c r="J837" s="30" t="s">
        <v>447</v>
      </c>
      <c r="K837" s="200">
        <v>50</v>
      </c>
      <c r="L837" s="200" t="s">
        <v>189</v>
      </c>
      <c r="M837" s="37">
        <v>1120</v>
      </c>
      <c r="N837" s="37">
        <v>10000</v>
      </c>
      <c r="O837" s="45">
        <v>5</v>
      </c>
      <c r="P837" s="54"/>
      <c r="Q837" s="260">
        <v>1120</v>
      </c>
      <c r="R837" s="261">
        <v>1120</v>
      </c>
      <c r="S837" s="261">
        <f>IF(D837="","",IF(J837="リード付け",N837,VLOOKUP(D837,契約台帳!$A$3:$P$4986,16,FALSE)))</f>
        <v>5000</v>
      </c>
      <c r="T837" s="38">
        <v>10</v>
      </c>
      <c r="U837" s="261">
        <f ca="1">IF(D837="","",IF(OFFSET(D837,-2,0)=D837,"",VLOOKUP(D837,契約台帳!$A$3:$R$4986,18,FALSE)))</f>
        <v>28</v>
      </c>
      <c r="V837" s="256" t="s">
        <v>806</v>
      </c>
      <c r="W837" s="256">
        <v>1125</v>
      </c>
      <c r="X837" s="256">
        <v>2</v>
      </c>
      <c r="Y837" s="256" t="s">
        <v>116</v>
      </c>
      <c r="Z837" s="54">
        <v>45201</v>
      </c>
      <c r="AA837" s="200" t="str">
        <f>IFERROR(VLOOKUP(F837&amp;K837&amp;M837,製品マスタ!$M$5:$AM$4999,27,FALSE),"")</f>
        <v>原反ケース再利用</v>
      </c>
      <c r="AB837" s="31"/>
      <c r="AC837" s="184"/>
      <c r="AD837" s="51" t="str">
        <f>IF(F837="","",+F837&amp;K837)</f>
        <v>3SNMLBMNGTBF50</v>
      </c>
      <c r="AE837" s="52">
        <f>+M837*N837*O837/1000</f>
        <v>56000</v>
      </c>
      <c r="AF837" s="41">
        <f>IF(AD837="","",VLOOKUP(AD837,原価マスタ!$A$2:$AJ$1693,13,FALSE))</f>
        <v>99</v>
      </c>
      <c r="AG837" s="45">
        <f>IF(AF837="","",+AE837*AF837/100)</f>
        <v>55440</v>
      </c>
      <c r="AH837" s="28"/>
      <c r="AI837" s="28"/>
      <c r="AJ837" s="28"/>
      <c r="AK837" s="28"/>
      <c r="AL837" s="12"/>
      <c r="AM837" s="12"/>
      <c r="AN837" s="12"/>
      <c r="AO837" s="12"/>
      <c r="AP837" s="12"/>
      <c r="AQ837" s="13"/>
      <c r="AR837" s="14"/>
    </row>
    <row r="838" spans="1:44" s="16" customFormat="1" ht="30.95" hidden="1" customHeight="1" x14ac:dyDescent="0.2">
      <c r="A838" s="303"/>
      <c r="B838" s="304"/>
      <c r="C838" s="305"/>
      <c r="D838" s="306"/>
      <c r="E838" s="306"/>
      <c r="F838" s="255"/>
      <c r="G838" s="256"/>
      <c r="H838" s="256"/>
      <c r="I838" s="200"/>
      <c r="J838" s="307"/>
      <c r="K838" s="200"/>
      <c r="L838" s="200"/>
      <c r="M838" s="308"/>
      <c r="N838" s="308"/>
      <c r="O838" s="309"/>
      <c r="P838" s="310"/>
      <c r="Q838" s="260"/>
      <c r="R838" s="261"/>
      <c r="S838" s="261"/>
      <c r="T838" s="311"/>
      <c r="U838" s="261"/>
      <c r="V838" s="256"/>
      <c r="W838" s="256"/>
      <c r="X838" s="256"/>
      <c r="Y838" s="256"/>
      <c r="Z838" s="310"/>
      <c r="AA838" s="200"/>
      <c r="AB838" s="312"/>
      <c r="AC838" s="313"/>
      <c r="AD838" s="51"/>
      <c r="AE838" s="314"/>
      <c r="AF838" s="315"/>
      <c r="AG838" s="309"/>
      <c r="AH838" s="28"/>
      <c r="AI838" s="28"/>
      <c r="AJ838" s="28"/>
      <c r="AK838" s="28"/>
      <c r="AL838" s="12"/>
      <c r="AM838" s="12"/>
      <c r="AN838" s="12"/>
      <c r="AO838" s="12"/>
      <c r="AP838" s="12"/>
      <c r="AQ838" s="13"/>
      <c r="AR838" s="14"/>
    </row>
    <row r="839" spans="1:44" s="225" customFormat="1" ht="30.95" hidden="1" customHeight="1" x14ac:dyDescent="0.2">
      <c r="A839" s="317"/>
      <c r="B839" s="318"/>
      <c r="C839" s="319"/>
      <c r="D839" s="320"/>
      <c r="E839" s="320"/>
      <c r="F839" s="263"/>
      <c r="G839" s="264"/>
      <c r="H839" s="264"/>
      <c r="I839" s="265"/>
      <c r="J839" s="321"/>
      <c r="K839" s="265"/>
      <c r="L839" s="265"/>
      <c r="M839" s="322"/>
      <c r="N839" s="322"/>
      <c r="O839" s="323"/>
      <c r="P839" s="316"/>
      <c r="Q839" s="266"/>
      <c r="R839" s="267"/>
      <c r="S839" s="267"/>
      <c r="T839" s="324"/>
      <c r="U839" s="267"/>
      <c r="V839" s="264"/>
      <c r="W839" s="264"/>
      <c r="X839" s="264"/>
      <c r="Y839" s="264"/>
      <c r="Z839" s="316"/>
      <c r="AA839" s="265"/>
      <c r="AB839" s="325"/>
      <c r="AC839" s="326"/>
      <c r="AD839" s="219"/>
      <c r="AE839" s="327"/>
      <c r="AF839" s="328"/>
      <c r="AG839" s="329">
        <f>SUM(AG740:AG837)</f>
        <v>754244.45700000005</v>
      </c>
      <c r="AH839" s="221"/>
      <c r="AI839" s="221"/>
      <c r="AJ839" s="221"/>
      <c r="AK839" s="221"/>
      <c r="AL839" s="222"/>
      <c r="AM839" s="222"/>
      <c r="AN839" s="222"/>
      <c r="AO839" s="222"/>
      <c r="AP839" s="222"/>
      <c r="AQ839" s="223"/>
      <c r="AR839" s="224"/>
    </row>
    <row r="840" spans="1:44" s="16" customFormat="1" ht="30.95" hidden="1" customHeight="1" x14ac:dyDescent="0.2">
      <c r="A840" s="303"/>
      <c r="B840" s="304"/>
      <c r="C840" s="305"/>
      <c r="D840" s="306"/>
      <c r="E840" s="306"/>
      <c r="F840" s="255"/>
      <c r="G840" s="256"/>
      <c r="H840" s="256"/>
      <c r="I840" s="200"/>
      <c r="J840" s="307"/>
      <c r="K840" s="200"/>
      <c r="L840" s="200"/>
      <c r="M840" s="308"/>
      <c r="N840" s="308"/>
      <c r="O840" s="309"/>
      <c r="P840" s="310"/>
      <c r="Q840" s="260"/>
      <c r="R840" s="261"/>
      <c r="S840" s="261"/>
      <c r="T840" s="311"/>
      <c r="U840" s="261"/>
      <c r="V840" s="256"/>
      <c r="W840" s="256"/>
      <c r="X840" s="256"/>
      <c r="Y840" s="256"/>
      <c r="Z840" s="310"/>
      <c r="AA840" s="200"/>
      <c r="AB840" s="312"/>
      <c r="AC840" s="313"/>
      <c r="AD840" s="51"/>
      <c r="AE840" s="314"/>
      <c r="AF840" s="315"/>
      <c r="AG840" s="309"/>
      <c r="AH840" s="28"/>
      <c r="AI840" s="28"/>
      <c r="AJ840" s="28"/>
      <c r="AK840" s="28"/>
      <c r="AL840" s="12"/>
      <c r="AM840" s="12"/>
      <c r="AN840" s="12"/>
      <c r="AO840" s="12"/>
      <c r="AP840" s="12"/>
      <c r="AQ840" s="13"/>
      <c r="AR840" s="14"/>
    </row>
    <row r="841" spans="1:44" s="16" customFormat="1" ht="30.75" hidden="1" customHeight="1" x14ac:dyDescent="0.2">
      <c r="A841" s="35" t="s">
        <v>573</v>
      </c>
      <c r="B841" s="36" t="s">
        <v>688</v>
      </c>
      <c r="C841" s="43"/>
      <c r="D841" s="29">
        <v>3725013</v>
      </c>
      <c r="E841" s="29">
        <v>4151472</v>
      </c>
      <c r="F841" s="255" t="s">
        <v>2806</v>
      </c>
      <c r="G841" s="256" t="s">
        <v>19</v>
      </c>
      <c r="H841" s="256" t="s">
        <v>216</v>
      </c>
      <c r="I841" s="200" t="s">
        <v>217</v>
      </c>
      <c r="J841" s="30" t="s">
        <v>447</v>
      </c>
      <c r="K841" s="200">
        <v>50</v>
      </c>
      <c r="L841" s="200" t="s">
        <v>189</v>
      </c>
      <c r="M841" s="37">
        <v>1120</v>
      </c>
      <c r="N841" s="37">
        <v>10000</v>
      </c>
      <c r="O841" s="45">
        <v>3</v>
      </c>
      <c r="P841" s="54"/>
      <c r="Q841" s="260">
        <v>1120</v>
      </c>
      <c r="R841" s="261">
        <v>1120</v>
      </c>
      <c r="S841" s="261">
        <f>IF(D841="","",IF(J841="リード付け",N841,VLOOKUP(D841,契約台帳!$A$3:$P$4986,16,FALSE)))</f>
        <v>5000</v>
      </c>
      <c r="T841" s="38">
        <v>6</v>
      </c>
      <c r="U841" s="261">
        <f ca="1">IF(D841="","",IF(OFFSET(D841,-2,0)=D841,"",VLOOKUP(D841,契約台帳!$A$3:$R$4986,18,FALSE)))</f>
        <v>28</v>
      </c>
      <c r="V841" s="256" t="s">
        <v>806</v>
      </c>
      <c r="W841" s="256">
        <v>1125</v>
      </c>
      <c r="X841" s="256">
        <v>2</v>
      </c>
      <c r="Y841" s="256" t="s">
        <v>116</v>
      </c>
      <c r="Z841" s="54">
        <v>45201</v>
      </c>
      <c r="AA841" s="200" t="str">
        <f>IFERROR(VLOOKUP(F841&amp;K841&amp;M841,製品マスタ!$M$5:$AM$4999,27,FALSE),"")</f>
        <v>原反ケース再利用</v>
      </c>
      <c r="AB841" s="31"/>
      <c r="AC841" s="184"/>
      <c r="AD841" s="51" t="str">
        <f>IF(F841="","",+F841&amp;K841)</f>
        <v>3SNMLBMNGTBF50</v>
      </c>
      <c r="AE841" s="52">
        <f>+M841*N841*O841/1000</f>
        <v>33600</v>
      </c>
      <c r="AF841" s="41">
        <f>IF(AD841="","",VLOOKUP(AD841,原価マスタ!$A$2:$AJ$1693,13,FALSE))</f>
        <v>99</v>
      </c>
      <c r="AG841" s="45">
        <f>IF(AF841="","",+AE841*AF841/100)</f>
        <v>33264</v>
      </c>
      <c r="AH841" s="28"/>
      <c r="AI841" s="28"/>
      <c r="AJ841" s="28"/>
      <c r="AK841" s="28"/>
      <c r="AL841" s="12"/>
      <c r="AM841" s="12"/>
      <c r="AN841" s="12"/>
      <c r="AO841" s="12"/>
      <c r="AP841" s="12"/>
      <c r="AQ841" s="13"/>
      <c r="AR841" s="14"/>
    </row>
    <row r="842" spans="1:44" s="16" customFormat="1" ht="30.95" hidden="1" customHeight="1" x14ac:dyDescent="0.2">
      <c r="A842" s="303"/>
      <c r="B842" s="304"/>
      <c r="C842" s="305"/>
      <c r="D842" s="306"/>
      <c r="E842" s="306"/>
      <c r="F842" s="255"/>
      <c r="G842" s="256"/>
      <c r="H842" s="256"/>
      <c r="I842" s="200"/>
      <c r="J842" s="307"/>
      <c r="K842" s="200"/>
      <c r="L842" s="200"/>
      <c r="M842" s="308"/>
      <c r="N842" s="308"/>
      <c r="O842" s="309"/>
      <c r="P842" s="310"/>
      <c r="Q842" s="260"/>
      <c r="R842" s="261"/>
      <c r="S842" s="261"/>
      <c r="T842" s="311"/>
      <c r="U842" s="261"/>
      <c r="V842" s="256"/>
      <c r="W842" s="256"/>
      <c r="X842" s="256"/>
      <c r="Y842" s="256"/>
      <c r="Z842" s="310"/>
      <c r="AA842" s="200"/>
      <c r="AB842" s="312"/>
      <c r="AC842" s="313"/>
      <c r="AD842" s="51"/>
      <c r="AE842" s="314"/>
      <c r="AF842" s="315"/>
      <c r="AG842" s="309"/>
      <c r="AH842" s="28"/>
      <c r="AI842" s="28"/>
      <c r="AJ842" s="28"/>
      <c r="AK842" s="28"/>
      <c r="AL842" s="12"/>
      <c r="AM842" s="12"/>
      <c r="AN842" s="12"/>
      <c r="AO842" s="12"/>
      <c r="AP842" s="12"/>
      <c r="AQ842" s="13"/>
      <c r="AR842" s="14"/>
    </row>
    <row r="843" spans="1:44" s="16" customFormat="1" ht="30.95" hidden="1" customHeight="1" x14ac:dyDescent="0.2">
      <c r="A843" s="303" t="s">
        <v>1609</v>
      </c>
      <c r="B843" s="304" t="s">
        <v>1610</v>
      </c>
      <c r="C843" s="305"/>
      <c r="D843" s="29">
        <v>3725627</v>
      </c>
      <c r="E843" s="29">
        <v>4151480</v>
      </c>
      <c r="F843" s="255" t="s">
        <v>2804</v>
      </c>
      <c r="G843" s="256" t="s">
        <v>269</v>
      </c>
      <c r="H843" s="256" t="s">
        <v>325</v>
      </c>
      <c r="I843" s="200" t="s">
        <v>326</v>
      </c>
      <c r="J843" s="30" t="s">
        <v>970</v>
      </c>
      <c r="K843" s="200">
        <v>9</v>
      </c>
      <c r="L843" s="200" t="s">
        <v>327</v>
      </c>
      <c r="M843" s="37">
        <v>1400</v>
      </c>
      <c r="N843" s="37">
        <v>12000</v>
      </c>
      <c r="O843" s="45">
        <v>1</v>
      </c>
      <c r="P843" s="54"/>
      <c r="Q843" s="260">
        <v>1200</v>
      </c>
      <c r="R843" s="261">
        <v>1200</v>
      </c>
      <c r="S843" s="261">
        <f>IF(D843="","",IF(J843="リード付け",N843,VLOOKUP(D843,契約台帳!$A$3:$P$4986,16,FALSE)))</f>
        <v>2000</v>
      </c>
      <c r="T843" s="38">
        <v>6</v>
      </c>
      <c r="U843" s="261">
        <f ca="1">IF(D843="","",IF(OFFSET(D843,-2,0)=D843,"",VLOOKUP(D843,契約台帳!$A$3:$R$4986,18,FALSE)))</f>
        <v>12</v>
      </c>
      <c r="V843" s="256" t="s">
        <v>2812</v>
      </c>
      <c r="W843" s="256">
        <v>1220</v>
      </c>
      <c r="X843" s="256">
        <v>2</v>
      </c>
      <c r="Y843" s="256" t="s">
        <v>324</v>
      </c>
      <c r="Z843" s="54" t="s">
        <v>1016</v>
      </c>
      <c r="AA843" s="200" t="s">
        <v>1467</v>
      </c>
      <c r="AB843" s="31"/>
      <c r="AC843" s="313"/>
      <c r="AD843" s="51"/>
      <c r="AE843" s="314">
        <f>+M843*N843*O843/1000</f>
        <v>16800</v>
      </c>
      <c r="AF843" s="315"/>
      <c r="AG843" s="309"/>
      <c r="AH843" s="28"/>
      <c r="AI843" s="28"/>
      <c r="AJ843" s="28"/>
      <c r="AK843" s="28"/>
      <c r="AL843" s="12"/>
      <c r="AM843" s="12"/>
      <c r="AN843" s="12"/>
      <c r="AO843" s="12"/>
      <c r="AP843" s="12"/>
      <c r="AQ843" s="13"/>
      <c r="AR843" s="14"/>
    </row>
    <row r="844" spans="1:44" s="16" customFormat="1" ht="30.95" hidden="1" customHeight="1" x14ac:dyDescent="0.2">
      <c r="A844" s="303"/>
      <c r="B844" s="304"/>
      <c r="C844" s="305"/>
      <c r="D844" s="306"/>
      <c r="E844" s="306"/>
      <c r="F844" s="255"/>
      <c r="G844" s="256"/>
      <c r="H844" s="256"/>
      <c r="I844" s="200"/>
      <c r="J844" s="307"/>
      <c r="K844" s="200"/>
      <c r="L844" s="200"/>
      <c r="M844" s="308"/>
      <c r="N844" s="308"/>
      <c r="O844" s="309"/>
      <c r="P844" s="310"/>
      <c r="Q844" s="260"/>
      <c r="R844" s="261"/>
      <c r="S844" s="261"/>
      <c r="T844" s="311"/>
      <c r="U844" s="261"/>
      <c r="V844" s="256"/>
      <c r="W844" s="256"/>
      <c r="X844" s="256"/>
      <c r="Y844" s="256"/>
      <c r="Z844" s="310"/>
      <c r="AA844" s="200"/>
      <c r="AB844" s="312"/>
      <c r="AC844" s="313"/>
      <c r="AD844" s="51"/>
      <c r="AE844" s="314"/>
      <c r="AF844" s="315"/>
      <c r="AG844" s="309"/>
      <c r="AH844" s="28"/>
      <c r="AI844" s="28"/>
      <c r="AJ844" s="28"/>
      <c r="AK844" s="28"/>
      <c r="AL844" s="12"/>
      <c r="AM844" s="12"/>
      <c r="AN844" s="12"/>
      <c r="AO844" s="12"/>
      <c r="AP844" s="12"/>
      <c r="AQ844" s="13"/>
      <c r="AR844" s="14"/>
    </row>
    <row r="845" spans="1:44" s="16" customFormat="1" ht="30.95" hidden="1" customHeight="1" x14ac:dyDescent="0.2">
      <c r="A845" s="303" t="s">
        <v>1611</v>
      </c>
      <c r="B845" s="304" t="s">
        <v>1612</v>
      </c>
      <c r="C845" s="305"/>
      <c r="D845" s="29">
        <v>3725627</v>
      </c>
      <c r="E845" s="29">
        <v>4151480</v>
      </c>
      <c r="F845" s="255" t="s">
        <v>2804</v>
      </c>
      <c r="G845" s="256" t="s">
        <v>269</v>
      </c>
      <c r="H845" s="256" t="s">
        <v>325</v>
      </c>
      <c r="I845" s="200" t="s">
        <v>326</v>
      </c>
      <c r="J845" s="30" t="s">
        <v>970</v>
      </c>
      <c r="K845" s="200">
        <v>9</v>
      </c>
      <c r="L845" s="200" t="s">
        <v>327</v>
      </c>
      <c r="M845" s="37">
        <v>1400</v>
      </c>
      <c r="N845" s="37">
        <v>12000</v>
      </c>
      <c r="O845" s="45">
        <v>1</v>
      </c>
      <c r="P845" s="54"/>
      <c r="Q845" s="260">
        <v>1200</v>
      </c>
      <c r="R845" s="261">
        <v>1200</v>
      </c>
      <c r="S845" s="261">
        <f>IF(D845="","",IF(J845="リード付け",N845,VLOOKUP(D845,契約台帳!$A$3:$P$4986,16,FALSE)))</f>
        <v>2000</v>
      </c>
      <c r="T845" s="38">
        <v>6</v>
      </c>
      <c r="U845" s="261" t="str">
        <f ca="1">IF(D845="","",IF(OFFSET(D845,-2,0)=D845,"",VLOOKUP(D845,契約台帳!$A$3:$R$4986,18,FALSE)))</f>
        <v/>
      </c>
      <c r="V845" s="256" t="s">
        <v>2812</v>
      </c>
      <c r="W845" s="256">
        <v>1220</v>
      </c>
      <c r="X845" s="256">
        <v>2</v>
      </c>
      <c r="Y845" s="256" t="s">
        <v>324</v>
      </c>
      <c r="Z845" s="54" t="s">
        <v>1016</v>
      </c>
      <c r="AA845" s="200" t="s">
        <v>1467</v>
      </c>
      <c r="AB845" s="31"/>
      <c r="AC845" s="313"/>
      <c r="AD845" s="51"/>
      <c r="AE845" s="314">
        <f>+M845*N845*O845/1000</f>
        <v>16800</v>
      </c>
      <c r="AF845" s="315"/>
      <c r="AG845" s="309"/>
      <c r="AH845" s="28"/>
      <c r="AI845" s="28"/>
      <c r="AJ845" s="28"/>
      <c r="AK845" s="28"/>
      <c r="AL845" s="12"/>
      <c r="AM845" s="12"/>
      <c r="AN845" s="12"/>
      <c r="AO845" s="12"/>
      <c r="AP845" s="12"/>
      <c r="AQ845" s="13"/>
      <c r="AR845" s="14"/>
    </row>
    <row r="846" spans="1:44" s="16" customFormat="1" ht="30.95" hidden="1" customHeight="1" x14ac:dyDescent="0.2">
      <c r="A846" s="303"/>
      <c r="B846" s="304"/>
      <c r="C846" s="305"/>
      <c r="D846" s="306"/>
      <c r="E846" s="306"/>
      <c r="F846" s="255"/>
      <c r="G846" s="256"/>
      <c r="H846" s="256"/>
      <c r="I846" s="200"/>
      <c r="J846" s="307"/>
      <c r="K846" s="200"/>
      <c r="L846" s="200"/>
      <c r="M846" s="308"/>
      <c r="N846" s="308"/>
      <c r="O846" s="309"/>
      <c r="P846" s="310"/>
      <c r="Q846" s="260"/>
      <c r="R846" s="261"/>
      <c r="S846" s="261"/>
      <c r="T846" s="311"/>
      <c r="U846" s="261"/>
      <c r="V846" s="256"/>
      <c r="W846" s="256"/>
      <c r="X846" s="256"/>
      <c r="Y846" s="256"/>
      <c r="Z846" s="310"/>
      <c r="AA846" s="200"/>
      <c r="AB846" s="312"/>
      <c r="AC846" s="313"/>
      <c r="AD846" s="51"/>
      <c r="AE846" s="314"/>
      <c r="AF846" s="315"/>
      <c r="AG846" s="309"/>
      <c r="AH846" s="28"/>
      <c r="AI846" s="28"/>
      <c r="AJ846" s="28"/>
      <c r="AK846" s="28"/>
      <c r="AL846" s="12"/>
      <c r="AM846" s="12"/>
      <c r="AN846" s="12"/>
      <c r="AO846" s="12"/>
      <c r="AP846" s="12"/>
      <c r="AQ846" s="13"/>
      <c r="AR846" s="14"/>
    </row>
    <row r="847" spans="1:44" s="16" customFormat="1" ht="30.95" hidden="1" customHeight="1" x14ac:dyDescent="0.2">
      <c r="A847" s="303" t="s">
        <v>582</v>
      </c>
      <c r="B847" s="304" t="s">
        <v>444</v>
      </c>
      <c r="C847" s="305"/>
      <c r="D847" s="29">
        <v>3727589</v>
      </c>
      <c r="E847" s="29">
        <v>4170122</v>
      </c>
      <c r="F847" s="255" t="str">
        <f>IF(D847="","",VLOOKUP(D847,契約台帳!$A$3:$K$4986,6,FALSE)&amp;VLOOKUP(D847,契約台帳!$A$3:$K$4986,7,FALSE)&amp;VLOOKUP(D847,契約台帳!$A$3:$K$4986,8,FALSE)&amp;VLOOKUP(D847,契約台帳!$A$3:$K$4986,9,FALSE)&amp;VLOOKUP(D847,契約台帳!$A$3:$K$4986,11,FALSE))</f>
        <v>3SNMLBMSF</v>
      </c>
      <c r="G847" s="256" t="str">
        <f>IF(D847="","",VLOOKUP(F847,製品マスタ!$G$5:$H$4999,2,FALSE))</f>
        <v>S</v>
      </c>
      <c r="H847" s="256" t="str">
        <f>IF(D847="","",VLOOKUP(F847,製品マスタ!$G$5:$K$4999,5,FALSE))</f>
        <v>MSF</v>
      </c>
      <c r="I847" s="200" t="str">
        <f>IF(D847="","",VLOOKUP(F847,製品マスタ!$G$5:$L$4999,6,FALSE))</f>
        <v>メタルミー　Ｓ</v>
      </c>
      <c r="J847" s="30" t="s">
        <v>464</v>
      </c>
      <c r="K847" s="200">
        <f>IF(D847="","",VLOOKUP(D847,契約台帳!$A$3:$L$4986,12,FALSE))</f>
        <v>25</v>
      </c>
      <c r="L847" s="200" t="str">
        <f>IF(D847="","",INDEX(製品マスタ!$Q$5:$Q$4999,MATCH(F847&amp;K847,製品マスタ!$AO$5:$AO$4999,0)))</f>
        <v>T62M</v>
      </c>
      <c r="M847" s="37">
        <v>1240</v>
      </c>
      <c r="N847" s="37">
        <v>12200</v>
      </c>
      <c r="O847" s="45">
        <v>1</v>
      </c>
      <c r="P847" s="54">
        <v>45197</v>
      </c>
      <c r="Q847" s="260">
        <f>IF(D847="","",IF(J847="リード付け",M847,VLOOKUP(D847,契約台帳!$A$3:$N$4986,14,FALSE)))</f>
        <v>1240</v>
      </c>
      <c r="R847" s="261">
        <f>IF(D847="","",IF(J847="リード付け",M847,VLOOKUP(D847,契約台帳!$A$3:$O$4986,15,FALSE)))</f>
        <v>1240</v>
      </c>
      <c r="S847" s="261">
        <f>IF(D847="","",IF(J847="リード付け",N847,VLOOKUP(D847,契約台帳!$A$3:$P$4986,16,FALSE)))</f>
        <v>12200</v>
      </c>
      <c r="T847" s="38">
        <v>1</v>
      </c>
      <c r="U847" s="261">
        <f ca="1">IF(D847="","",IF(OFFSET(D847,-2,0)=D847,"",VLOOKUP(D847,契約台帳!$A$3:$R$4986,18,FALSE)))</f>
        <v>6</v>
      </c>
      <c r="V847" s="256" t="str">
        <f>IF(J847="巻返し",VLOOKUP(F847&amp;K847&amp;M847,製品マスタ!$M$5:$AD$4999,18,FALSE),IF(J847="リード付け","原反コア",IF(J847="スリット",VLOOKUP(F847&amp;K847&amp;Q847,製品マスタ!$N$5:$AD$4999,17,FALSE),"")))</f>
        <v>原反コア</v>
      </c>
      <c r="W847" s="256" t="str">
        <f>IF(J847="巻返し",VLOOKUP(F847&amp;K847&amp;M847,製品マスタ!$M$5:$AE$4999,19,FALSE),IF(J847="リード付け","-",IF(J847="スリット",VLOOKUP(F847&amp;K847&amp;Q847,製品マスタ!$N$5:$AE$4999,18,FALSE),"")))</f>
        <v>-</v>
      </c>
      <c r="X847" s="256">
        <f>IF(D847="","",VLOOKUP(D847,契約台帳!$A$3:$Q$4986,17,FALSE))</f>
        <v>1</v>
      </c>
      <c r="Y847" s="256" t="str">
        <f>IF(D847="","",VLOOKUP(D847,契約台帳!$A$3:$E$4986,5,FALSE))</f>
        <v xml:space="preserve">日精㈱東京支店      </v>
      </c>
      <c r="Z847" s="310"/>
      <c r="AA847" s="200">
        <f>IFERROR(VLOOKUP(F847&amp;K847&amp;M847,製品マスタ!$M$5:$AM$4999,27,FALSE),"")</f>
        <v>0</v>
      </c>
      <c r="AB847" s="312"/>
      <c r="AC847" s="313"/>
      <c r="AD847" s="51"/>
      <c r="AE847" s="314">
        <f>+M847*N847*O847/1000</f>
        <v>15128</v>
      </c>
      <c r="AF847" s="315"/>
      <c r="AG847" s="309"/>
      <c r="AH847" s="28"/>
      <c r="AI847" s="28"/>
      <c r="AJ847" s="28"/>
      <c r="AK847" s="28"/>
      <c r="AL847" s="12"/>
      <c r="AM847" s="12"/>
      <c r="AN847" s="12"/>
      <c r="AO847" s="12"/>
      <c r="AP847" s="12"/>
      <c r="AQ847" s="13"/>
      <c r="AR847" s="14"/>
    </row>
    <row r="848" spans="1:44" s="16" customFormat="1" ht="30.95" hidden="1" customHeight="1" x14ac:dyDescent="0.2">
      <c r="A848" s="303"/>
      <c r="B848" s="304"/>
      <c r="C848" s="305"/>
      <c r="D848" s="306"/>
      <c r="E848" s="306"/>
      <c r="F848" s="255"/>
      <c r="G848" s="256"/>
      <c r="H848" s="256"/>
      <c r="I848" s="200"/>
      <c r="J848" s="307"/>
      <c r="K848" s="200"/>
      <c r="L848" s="200"/>
      <c r="M848" s="308"/>
      <c r="N848" s="308"/>
      <c r="O848" s="309"/>
      <c r="P848" s="310"/>
      <c r="Q848" s="260"/>
      <c r="R848" s="261"/>
      <c r="S848" s="261"/>
      <c r="T848" s="311"/>
      <c r="U848" s="261"/>
      <c r="V848" s="256"/>
      <c r="W848" s="256"/>
      <c r="X848" s="256"/>
      <c r="Y848" s="256"/>
      <c r="Z848" s="310"/>
      <c r="AA848" s="200"/>
      <c r="AB848" s="312"/>
      <c r="AC848" s="313"/>
      <c r="AD848" s="51"/>
      <c r="AE848" s="314"/>
      <c r="AF848" s="315"/>
      <c r="AG848" s="309"/>
      <c r="AH848" s="28"/>
      <c r="AI848" s="28"/>
      <c r="AJ848" s="28"/>
      <c r="AK848" s="28"/>
      <c r="AL848" s="12"/>
      <c r="AM848" s="12"/>
      <c r="AN848" s="12"/>
      <c r="AO848" s="12"/>
      <c r="AP848" s="12"/>
      <c r="AQ848" s="13"/>
      <c r="AR848" s="14"/>
    </row>
    <row r="849" spans="1:44" s="16" customFormat="1" ht="30.95" hidden="1" customHeight="1" x14ac:dyDescent="0.2">
      <c r="A849" s="303"/>
      <c r="B849" s="304"/>
      <c r="C849" s="305"/>
      <c r="D849" s="29">
        <v>3727599</v>
      </c>
      <c r="E849" s="29">
        <v>4170124</v>
      </c>
      <c r="F849" s="255" t="str">
        <f>IF(D849="","",VLOOKUP(D849,契約台帳!$A$3:$K$4986,6,FALSE)&amp;VLOOKUP(D849,契約台帳!$A$3:$K$4986,7,FALSE)&amp;VLOOKUP(D849,契約台帳!$A$3:$K$4986,8,FALSE)&amp;VLOOKUP(D849,契約台帳!$A$3:$K$4986,9,FALSE)&amp;VLOOKUP(D849,契約台帳!$A$3:$K$4986,11,FALSE))</f>
        <v>3SNMLBMNGTBF</v>
      </c>
      <c r="G849" s="256" t="str">
        <f>IF(D849="","",VLOOKUP(F849,製品マスタ!$G$5:$H$4999,2,FALSE))</f>
        <v>S</v>
      </c>
      <c r="H849" s="256" t="str">
        <f>IF(D849="","",VLOOKUP(F849,製品マスタ!$G$5:$K$4999,5,FALSE))</f>
        <v>MNGTBF</v>
      </c>
      <c r="I849" s="200" t="str">
        <f>IF(D849="","",VLOOKUP(F849,製品マスタ!$G$5:$L$4999,6,FALSE))</f>
        <v>メタルミー　ネーマー　銀艶　Ｂ</v>
      </c>
      <c r="J849" s="30" t="s">
        <v>464</v>
      </c>
      <c r="K849" s="200">
        <f>IF(D849="","",VLOOKUP(D849,契約台帳!$A$3:$L$4986,12,FALSE))</f>
        <v>25</v>
      </c>
      <c r="L849" s="200" t="str">
        <f>IF(D849="","",INDEX(製品マスタ!$Q$5:$Q$4999,MATCH(F849&amp;K849,製品マスタ!$AO$5:$AO$4999,0)))</f>
        <v>T62M</v>
      </c>
      <c r="M849" s="37">
        <v>1125</v>
      </c>
      <c r="N849" s="37">
        <v>12100</v>
      </c>
      <c r="O849" s="45">
        <v>1</v>
      </c>
      <c r="P849" s="54">
        <v>45197</v>
      </c>
      <c r="Q849" s="260">
        <f>IF(D849="","",IF(J849="リード付け",M849,VLOOKUP(D849,契約台帳!$A$3:$N$4986,14,FALSE)))</f>
        <v>1125</v>
      </c>
      <c r="R849" s="261">
        <f>IF(D849="","",IF(J849="リード付け",M849,VLOOKUP(D849,契約台帳!$A$3:$O$4986,15,FALSE)))</f>
        <v>1125</v>
      </c>
      <c r="S849" s="261">
        <f>IF(D849="","",IF(J849="リード付け",N849,VLOOKUP(D849,契約台帳!$A$3:$P$4986,16,FALSE)))</f>
        <v>12100</v>
      </c>
      <c r="T849" s="38">
        <v>1</v>
      </c>
      <c r="U849" s="261">
        <f ca="1">IF(D849="","",IF(OFFSET(D849,-2,0)=D849,"",VLOOKUP(D849,契約台帳!$A$3:$R$4986,18,FALSE)))</f>
        <v>3</v>
      </c>
      <c r="V849" s="256" t="str">
        <f>IF(J849="巻返し",VLOOKUP(F849&amp;K849&amp;M849,製品マスタ!$M$5:$AD$4999,18,FALSE),IF(J849="リード付け","原反コア",IF(J849="スリット",VLOOKUP(F849&amp;K849&amp;Q849,製品マスタ!$N$5:$AD$4999,17,FALSE),"")))</f>
        <v>原反コア</v>
      </c>
      <c r="W849" s="256" t="str">
        <f>IF(J849="巻返し",VLOOKUP(F849&amp;K849&amp;M849,製品マスタ!$M$5:$AE$4999,19,FALSE),IF(J849="リード付け","-",IF(J849="スリット",VLOOKUP(F849&amp;K849&amp;Q849,製品マスタ!$N$5:$AE$4999,18,FALSE),"")))</f>
        <v>-</v>
      </c>
      <c r="X849" s="256">
        <f>IF(D849="","",VLOOKUP(D849,契約台帳!$A$3:$Q$4986,17,FALSE))</f>
        <v>2</v>
      </c>
      <c r="Y849" s="256" t="str">
        <f>IF(D849="","",VLOOKUP(D849,契約台帳!$A$3:$E$4986,5,FALSE))</f>
        <v xml:space="preserve">リンテック㈱        </v>
      </c>
      <c r="Z849" s="310"/>
      <c r="AA849" s="200">
        <f>IFERROR(VLOOKUP(F849&amp;K849&amp;M849,製品マスタ!$M$5:$AM$4999,27,FALSE),"")</f>
        <v>0</v>
      </c>
      <c r="AB849" s="312"/>
      <c r="AC849" s="313"/>
      <c r="AD849" s="51"/>
      <c r="AE849" s="314">
        <f>+M849*N849*O849/1000</f>
        <v>13612.5</v>
      </c>
      <c r="AF849" s="315"/>
      <c r="AG849" s="309"/>
      <c r="AH849" s="28"/>
      <c r="AI849" s="28"/>
      <c r="AJ849" s="28"/>
      <c r="AK849" s="28"/>
      <c r="AL849" s="12"/>
      <c r="AM849" s="12"/>
      <c r="AN849" s="12"/>
      <c r="AO849" s="12"/>
      <c r="AP849" s="12"/>
      <c r="AQ849" s="13"/>
      <c r="AR849" s="14"/>
    </row>
    <row r="850" spans="1:44" s="16" customFormat="1" ht="30.95" hidden="1" customHeight="1" x14ac:dyDescent="0.2">
      <c r="A850" s="303"/>
      <c r="B850" s="304"/>
      <c r="C850" s="305"/>
      <c r="D850" s="306"/>
      <c r="E850" s="306"/>
      <c r="F850" s="255"/>
      <c r="G850" s="256"/>
      <c r="H850" s="256"/>
      <c r="I850" s="200"/>
      <c r="J850" s="307"/>
      <c r="K850" s="200"/>
      <c r="L850" s="200"/>
      <c r="M850" s="308"/>
      <c r="N850" s="308"/>
      <c r="O850" s="309"/>
      <c r="P850" s="310"/>
      <c r="Q850" s="260"/>
      <c r="R850" s="261"/>
      <c r="S850" s="261"/>
      <c r="T850" s="311"/>
      <c r="U850" s="261"/>
      <c r="V850" s="256"/>
      <c r="W850" s="256"/>
      <c r="X850" s="256"/>
      <c r="Y850" s="256"/>
      <c r="Z850" s="310"/>
      <c r="AA850" s="200"/>
      <c r="AB850" s="312"/>
      <c r="AC850" s="313"/>
      <c r="AD850" s="51"/>
      <c r="AE850" s="314"/>
      <c r="AF850" s="315"/>
      <c r="AG850" s="309"/>
      <c r="AH850" s="28"/>
      <c r="AI850" s="28"/>
      <c r="AJ850" s="28"/>
      <c r="AK850" s="28"/>
      <c r="AL850" s="12"/>
      <c r="AM850" s="12"/>
      <c r="AN850" s="12"/>
      <c r="AO850" s="12"/>
      <c r="AP850" s="12"/>
      <c r="AQ850" s="13"/>
      <c r="AR850" s="14"/>
    </row>
    <row r="851" spans="1:44" s="16" customFormat="1" ht="30.95" hidden="1" customHeight="1" x14ac:dyDescent="0.2">
      <c r="A851" s="303"/>
      <c r="B851" s="304"/>
      <c r="C851" s="305"/>
      <c r="D851" s="29">
        <v>3727586</v>
      </c>
      <c r="E851" s="29">
        <v>4170121</v>
      </c>
      <c r="F851" s="255" t="str">
        <f>IF(D851="","",VLOOKUP(D851,契約台帳!$A$3:$K$4986,6,FALSE)&amp;VLOOKUP(D851,契約台帳!$A$3:$K$4986,7,FALSE)&amp;VLOOKUP(D851,契約台帳!$A$3:$K$4986,8,FALSE)&amp;VLOOKUP(D851,契約台帳!$A$3:$K$4986,9,FALSE)&amp;VLOOKUP(D851,契約台帳!$A$3:$K$4986,11,FALSE))</f>
        <v>3SNMLBMSF</v>
      </c>
      <c r="G851" s="256" t="str">
        <f>IF(D851="","",VLOOKUP(F851,製品マスタ!$G$5:$H$4999,2,FALSE))</f>
        <v>S</v>
      </c>
      <c r="H851" s="256" t="str">
        <f>IF(D851="","",VLOOKUP(F851,製品マスタ!$G$5:$K$4999,5,FALSE))</f>
        <v>MSF</v>
      </c>
      <c r="I851" s="200" t="str">
        <f>IF(D851="","",VLOOKUP(F851,製品マスタ!$G$5:$L$4999,6,FALSE))</f>
        <v>メタルミー　Ｓ</v>
      </c>
      <c r="J851" s="30" t="s">
        <v>464</v>
      </c>
      <c r="K851" s="200">
        <f>IF(D851="","",VLOOKUP(D851,契約台帳!$A$3:$L$4986,12,FALSE))</f>
        <v>25</v>
      </c>
      <c r="L851" s="200" t="str">
        <f>IF(D851="","",INDEX(製品マスタ!$Q$5:$Q$4999,MATCH(F851&amp;K851,製品マスタ!$AO$5:$AO$4999,0)))</f>
        <v>T62M</v>
      </c>
      <c r="M851" s="37">
        <v>1020</v>
      </c>
      <c r="N851" s="37">
        <v>12100</v>
      </c>
      <c r="O851" s="45">
        <v>1</v>
      </c>
      <c r="P851" s="206">
        <v>45196</v>
      </c>
      <c r="Q851" s="260">
        <f>IF(D851="","",IF(J851="リード付け",M851,VLOOKUP(D851,契約台帳!$A$3:$N$4986,14,FALSE)))</f>
        <v>1020</v>
      </c>
      <c r="R851" s="261">
        <f>IF(D851="","",IF(J851="リード付け",M851,VLOOKUP(D851,契約台帳!$A$3:$O$4986,15,FALSE)))</f>
        <v>1020</v>
      </c>
      <c r="S851" s="261">
        <f>IF(D851="","",IF(J851="リード付け",N851,VLOOKUP(D851,契約台帳!$A$3:$P$4986,16,FALSE)))</f>
        <v>12100</v>
      </c>
      <c r="T851" s="38">
        <v>1</v>
      </c>
      <c r="U851" s="261">
        <f ca="1">IF(D851="","",IF(OFFSET(D851,-2,0)=D851,"",VLOOKUP(D851,契約台帳!$A$3:$R$4986,18,FALSE)))</f>
        <v>12</v>
      </c>
      <c r="V851" s="256" t="str">
        <f>IF(J851="巻返し",VLOOKUP(F851&amp;K851&amp;M851,製品マスタ!$M$5:$AD$4999,18,FALSE),IF(J851="リード付け","原反コア",IF(J851="スリット",VLOOKUP(F851&amp;K851&amp;Q851,製品マスタ!$N$5:$AD$4999,17,FALSE),"")))</f>
        <v>原反コア</v>
      </c>
      <c r="W851" s="256" t="str">
        <f>IF(J851="巻返し",VLOOKUP(F851&amp;K851&amp;M851,製品マスタ!$M$5:$AE$4999,19,FALSE),IF(J851="リード付け","-",IF(J851="スリット",VLOOKUP(F851&amp;K851&amp;Q851,製品マスタ!$N$5:$AE$4999,18,FALSE),"")))</f>
        <v>-</v>
      </c>
      <c r="X851" s="256">
        <f>IF(D851="","",VLOOKUP(D851,契約台帳!$A$3:$Q$4986,17,FALSE))</f>
        <v>1</v>
      </c>
      <c r="Y851" s="256" t="str">
        <f>IF(D851="","",VLOOKUP(D851,契約台帳!$A$3:$E$4986,5,FALSE))</f>
        <v xml:space="preserve">日東シンコー㈱      </v>
      </c>
      <c r="Z851" s="310"/>
      <c r="AA851" s="200">
        <f>IFERROR(VLOOKUP(F851&amp;K851&amp;M851,製品マスタ!$M$5:$AM$4999,27,FALSE),"")</f>
        <v>0</v>
      </c>
      <c r="AB851" s="312"/>
      <c r="AC851" s="313"/>
      <c r="AD851" s="51"/>
      <c r="AE851" s="314">
        <f>+M851*N851*O851/1000</f>
        <v>12342</v>
      </c>
      <c r="AF851" s="315"/>
      <c r="AG851" s="309"/>
      <c r="AH851" s="28"/>
      <c r="AI851" s="28"/>
      <c r="AJ851" s="28"/>
      <c r="AK851" s="28"/>
      <c r="AL851" s="12"/>
      <c r="AM851" s="12"/>
      <c r="AN851" s="12"/>
      <c r="AO851" s="12"/>
      <c r="AP851" s="12"/>
      <c r="AQ851" s="13"/>
      <c r="AR851" s="14"/>
    </row>
    <row r="852" spans="1:44" s="16" customFormat="1" ht="30.95" hidden="1" customHeight="1" x14ac:dyDescent="0.2">
      <c r="A852" s="303"/>
      <c r="B852" s="304"/>
      <c r="C852" s="305"/>
      <c r="D852" s="306"/>
      <c r="E852" s="306"/>
      <c r="F852" s="255"/>
      <c r="G852" s="256"/>
      <c r="H852" s="256"/>
      <c r="I852" s="200"/>
      <c r="J852" s="307"/>
      <c r="K852" s="200"/>
      <c r="L852" s="200"/>
      <c r="M852" s="308"/>
      <c r="N852" s="308"/>
      <c r="O852" s="309"/>
      <c r="P852" s="310"/>
      <c r="Q852" s="260"/>
      <c r="R852" s="261"/>
      <c r="S852" s="261"/>
      <c r="T852" s="311"/>
      <c r="U852" s="261"/>
      <c r="V852" s="256"/>
      <c r="W852" s="256"/>
      <c r="X852" s="256"/>
      <c r="Y852" s="256"/>
      <c r="Z852" s="310"/>
      <c r="AA852" s="200"/>
      <c r="AB852" s="312"/>
      <c r="AC852" s="313"/>
      <c r="AD852" s="51"/>
      <c r="AE852" s="314"/>
      <c r="AF852" s="315"/>
      <c r="AG852" s="309"/>
      <c r="AH852" s="28"/>
      <c r="AI852" s="28"/>
      <c r="AJ852" s="28"/>
      <c r="AK852" s="28"/>
      <c r="AL852" s="12"/>
      <c r="AM852" s="12"/>
      <c r="AN852" s="12"/>
      <c r="AO852" s="12"/>
      <c r="AP852" s="12"/>
      <c r="AQ852" s="13"/>
      <c r="AR852" s="14"/>
    </row>
    <row r="853" spans="1:44" s="16" customFormat="1" ht="30.95" hidden="1" customHeight="1" x14ac:dyDescent="0.2">
      <c r="A853" s="303"/>
      <c r="B853" s="304"/>
      <c r="C853" s="305"/>
      <c r="D853" s="29">
        <v>3727598</v>
      </c>
      <c r="E853" s="29">
        <v>4170123</v>
      </c>
      <c r="F853" s="255" t="str">
        <f>IF(D853="","",VLOOKUP(D853,契約台帳!$A$3:$K$4986,6,FALSE)&amp;VLOOKUP(D853,契約台帳!$A$3:$K$4986,7,FALSE)&amp;VLOOKUP(D853,契約台帳!$A$3:$K$4986,8,FALSE)&amp;VLOOKUP(D853,契約台帳!$A$3:$K$4986,9,FALSE)&amp;VLOOKUP(D853,契約台帳!$A$3:$K$4986,11,FALSE))</f>
        <v>3SNMLBMNGTBF</v>
      </c>
      <c r="G853" s="256" t="str">
        <f>IF(D853="","",VLOOKUP(F853,製品マスタ!$G$5:$H$4999,2,FALSE))</f>
        <v>S</v>
      </c>
      <c r="H853" s="256" t="str">
        <f>IF(D853="","",VLOOKUP(F853,製品マスタ!$G$5:$K$4999,5,FALSE))</f>
        <v>MNGTBF</v>
      </c>
      <c r="I853" s="200" t="str">
        <f>IF(D853="","",VLOOKUP(F853,製品マスタ!$G$5:$L$4999,6,FALSE))</f>
        <v>メタルミー　ネーマー　銀艶　Ｂ</v>
      </c>
      <c r="J853" s="30" t="s">
        <v>464</v>
      </c>
      <c r="K853" s="200">
        <f>IF(D853="","",VLOOKUP(D853,契約台帳!$A$3:$L$4986,12,FALSE))</f>
        <v>25</v>
      </c>
      <c r="L853" s="200" t="str">
        <f>IF(D853="","",INDEX(製品マスタ!$Q$5:$Q$4999,MATCH(F853&amp;K853,製品マスタ!$AO$5:$AO$4999,0)))</f>
        <v>T62M</v>
      </c>
      <c r="M853" s="37">
        <v>1125</v>
      </c>
      <c r="N853" s="37">
        <v>12100</v>
      </c>
      <c r="O853" s="45">
        <v>5</v>
      </c>
      <c r="P853" s="54">
        <v>45197</v>
      </c>
      <c r="Q853" s="260">
        <f>IF(D853="","",IF(J853="リード付け",M853,VLOOKUP(D853,契約台帳!$A$3:$N$4986,14,FALSE)))</f>
        <v>1125</v>
      </c>
      <c r="R853" s="261">
        <f>IF(D853="","",IF(J853="リード付け",M853,VLOOKUP(D853,契約台帳!$A$3:$O$4986,15,FALSE)))</f>
        <v>1125</v>
      </c>
      <c r="S853" s="261">
        <f>IF(D853="","",IF(J853="リード付け",N853,VLOOKUP(D853,契約台帳!$A$3:$P$4986,16,FALSE)))</f>
        <v>12100</v>
      </c>
      <c r="T853" s="38">
        <v>5</v>
      </c>
      <c r="U853" s="261">
        <f ca="1">IF(D853="","",IF(OFFSET(D853,-2,0)=D853,"",VLOOKUP(D853,契約台帳!$A$3:$R$4986,18,FALSE)))</f>
        <v>15</v>
      </c>
      <c r="V853" s="256" t="str">
        <f>IF(J853="巻返し",VLOOKUP(F853&amp;K853&amp;M853,製品マスタ!$M$5:$AD$4999,18,FALSE),IF(J853="リード付け","原反コア",IF(J853="スリット",VLOOKUP(F853&amp;K853&amp;Q853,製品マスタ!$N$5:$AD$4999,17,FALSE),"")))</f>
        <v>原反コア</v>
      </c>
      <c r="W853" s="256" t="str">
        <f>IF(J853="巻返し",VLOOKUP(F853&amp;K853&amp;M853,製品マスタ!$M$5:$AE$4999,19,FALSE),IF(J853="リード付け","-",IF(J853="スリット",VLOOKUP(F853&amp;K853&amp;Q853,製品マスタ!$N$5:$AE$4999,18,FALSE),"")))</f>
        <v>-</v>
      </c>
      <c r="X853" s="256">
        <f>IF(D853="","",VLOOKUP(D853,契約台帳!$A$3:$Q$4986,17,FALSE))</f>
        <v>2</v>
      </c>
      <c r="Y853" s="256" t="str">
        <f>IF(D853="","",VLOOKUP(D853,契約台帳!$A$3:$E$4986,5,FALSE))</f>
        <v xml:space="preserve">リンテック㈱        </v>
      </c>
      <c r="Z853" s="310"/>
      <c r="AA853" s="200">
        <f>IFERROR(VLOOKUP(F853&amp;K853&amp;M853,製品マスタ!$M$5:$AM$4999,27,FALSE),"")</f>
        <v>0</v>
      </c>
      <c r="AB853" s="312"/>
      <c r="AC853" s="313"/>
      <c r="AD853" s="51"/>
      <c r="AE853" s="314">
        <f>+M853*N853*O853/1000</f>
        <v>68062.5</v>
      </c>
      <c r="AF853" s="315"/>
      <c r="AG853" s="309"/>
      <c r="AH853" s="28"/>
      <c r="AI853" s="28"/>
      <c r="AJ853" s="28"/>
      <c r="AK853" s="28"/>
      <c r="AL853" s="12"/>
      <c r="AM853" s="12"/>
      <c r="AN853" s="12"/>
      <c r="AO853" s="12"/>
      <c r="AP853" s="12"/>
      <c r="AQ853" s="13"/>
      <c r="AR853" s="14"/>
    </row>
    <row r="854" spans="1:44" s="16" customFormat="1" ht="30.95" hidden="1" customHeight="1" x14ac:dyDescent="0.2">
      <c r="A854" s="303"/>
      <c r="B854" s="304"/>
      <c r="C854" s="305"/>
      <c r="D854" s="306"/>
      <c r="E854" s="306"/>
      <c r="F854" s="255"/>
      <c r="G854" s="256"/>
      <c r="H854" s="256"/>
      <c r="I854" s="200"/>
      <c r="J854" s="307"/>
      <c r="K854" s="200"/>
      <c r="L854" s="200"/>
      <c r="M854" s="308"/>
      <c r="N854" s="308"/>
      <c r="O854" s="309"/>
      <c r="P854" s="310"/>
      <c r="Q854" s="260"/>
      <c r="R854" s="261"/>
      <c r="S854" s="261"/>
      <c r="T854" s="311"/>
      <c r="U854" s="261"/>
      <c r="V854" s="256"/>
      <c r="W854" s="256"/>
      <c r="X854" s="256"/>
      <c r="Y854" s="256"/>
      <c r="Z854" s="310"/>
      <c r="AA854" s="200"/>
      <c r="AB854" s="312"/>
      <c r="AC854" s="313"/>
      <c r="AD854" s="51"/>
      <c r="AE854" s="314"/>
      <c r="AF854" s="315"/>
      <c r="AG854" s="309"/>
      <c r="AH854" s="28"/>
      <c r="AI854" s="28"/>
      <c r="AJ854" s="28"/>
      <c r="AK854" s="28"/>
      <c r="AL854" s="12"/>
      <c r="AM854" s="12"/>
      <c r="AN854" s="12"/>
      <c r="AO854" s="12"/>
      <c r="AP854" s="12"/>
      <c r="AQ854" s="13"/>
      <c r="AR854" s="14"/>
    </row>
    <row r="855" spans="1:44" s="16" customFormat="1" ht="30.95" hidden="1" customHeight="1" x14ac:dyDescent="0.2">
      <c r="A855" s="303" t="s">
        <v>583</v>
      </c>
      <c r="B855" s="304" t="s">
        <v>445</v>
      </c>
      <c r="C855" s="305"/>
      <c r="D855" s="306"/>
      <c r="E855" s="306"/>
      <c r="F855" s="255"/>
      <c r="G855" s="256"/>
      <c r="H855" s="256"/>
      <c r="I855" s="200"/>
      <c r="J855" s="307" t="s">
        <v>448</v>
      </c>
      <c r="K855" s="200"/>
      <c r="L855" s="200"/>
      <c r="M855" s="308"/>
      <c r="N855" s="308"/>
      <c r="O855" s="309"/>
      <c r="P855" s="310"/>
      <c r="Q855" s="260"/>
      <c r="R855" s="261"/>
      <c r="S855" s="261"/>
      <c r="T855" s="311"/>
      <c r="U855" s="261"/>
      <c r="V855" s="256"/>
      <c r="W855" s="256"/>
      <c r="X855" s="256"/>
      <c r="Y855" s="256"/>
      <c r="Z855" s="310"/>
      <c r="AA855" s="200"/>
      <c r="AB855" s="312"/>
      <c r="AC855" s="313"/>
      <c r="AD855" s="51"/>
      <c r="AE855" s="314"/>
      <c r="AF855" s="315"/>
      <c r="AG855" s="309"/>
      <c r="AH855" s="28"/>
      <c r="AI855" s="28"/>
      <c r="AJ855" s="28"/>
      <c r="AK855" s="28"/>
      <c r="AL855" s="12"/>
      <c r="AM855" s="12"/>
      <c r="AN855" s="12"/>
      <c r="AO855" s="12"/>
      <c r="AP855" s="12"/>
      <c r="AQ855" s="13"/>
      <c r="AR855" s="14"/>
    </row>
    <row r="856" spans="1:44" s="16" customFormat="1" ht="30.95" hidden="1" customHeight="1" x14ac:dyDescent="0.2">
      <c r="A856" s="303"/>
      <c r="B856" s="304"/>
      <c r="C856" s="305"/>
      <c r="D856" s="306"/>
      <c r="E856" s="306"/>
      <c r="F856" s="255"/>
      <c r="G856" s="256"/>
      <c r="H856" s="256"/>
      <c r="I856" s="200"/>
      <c r="J856" s="307"/>
      <c r="K856" s="200"/>
      <c r="L856" s="200"/>
      <c r="M856" s="308"/>
      <c r="N856" s="308"/>
      <c r="O856" s="309"/>
      <c r="P856" s="310"/>
      <c r="Q856" s="260"/>
      <c r="R856" s="261"/>
      <c r="S856" s="261"/>
      <c r="T856" s="311"/>
      <c r="U856" s="261"/>
      <c r="V856" s="256"/>
      <c r="W856" s="256"/>
      <c r="X856" s="256"/>
      <c r="Y856" s="256"/>
      <c r="Z856" s="310"/>
      <c r="AA856" s="200"/>
      <c r="AB856" s="312"/>
      <c r="AC856" s="313"/>
      <c r="AD856" s="51"/>
      <c r="AE856" s="314"/>
      <c r="AF856" s="315"/>
      <c r="AG856" s="309"/>
      <c r="AH856" s="28"/>
      <c r="AI856" s="28"/>
      <c r="AJ856" s="28"/>
      <c r="AK856" s="28"/>
      <c r="AL856" s="12"/>
      <c r="AM856" s="12"/>
      <c r="AN856" s="12"/>
      <c r="AO856" s="12"/>
      <c r="AP856" s="12"/>
      <c r="AQ856" s="13"/>
      <c r="AR856" s="14"/>
    </row>
    <row r="857" spans="1:44" s="16" customFormat="1" ht="30.95" hidden="1" customHeight="1" x14ac:dyDescent="0.2">
      <c r="A857" s="303" t="s">
        <v>584</v>
      </c>
      <c r="B857" s="304" t="s">
        <v>446</v>
      </c>
      <c r="C857" s="305"/>
      <c r="D857" s="306"/>
      <c r="E857" s="306"/>
      <c r="F857" s="255"/>
      <c r="G857" s="256"/>
      <c r="H857" s="256"/>
      <c r="I857" s="200"/>
      <c r="J857" s="307" t="s">
        <v>448</v>
      </c>
      <c r="K857" s="200"/>
      <c r="L857" s="200"/>
      <c r="M857" s="308"/>
      <c r="N857" s="308"/>
      <c r="O857" s="309"/>
      <c r="P857" s="310"/>
      <c r="Q857" s="260"/>
      <c r="R857" s="261"/>
      <c r="S857" s="261"/>
      <c r="T857" s="311"/>
      <c r="U857" s="261"/>
      <c r="V857" s="256"/>
      <c r="W857" s="256"/>
      <c r="X857" s="256"/>
      <c r="Y857" s="256"/>
      <c r="Z857" s="310"/>
      <c r="AA857" s="200"/>
      <c r="AB857" s="312"/>
      <c r="AC857" s="313"/>
      <c r="AD857" s="51"/>
      <c r="AE857" s="314"/>
      <c r="AF857" s="315"/>
      <c r="AG857" s="309"/>
      <c r="AH857" s="28"/>
      <c r="AI857" s="28"/>
      <c r="AJ857" s="28"/>
      <c r="AK857" s="28"/>
      <c r="AL857" s="12"/>
      <c r="AM857" s="12"/>
      <c r="AN857" s="12"/>
      <c r="AO857" s="12"/>
      <c r="AP857" s="12"/>
      <c r="AQ857" s="13"/>
      <c r="AR857" s="14"/>
    </row>
    <row r="858" spans="1:44" s="16" customFormat="1" ht="30.95" hidden="1" customHeight="1" x14ac:dyDescent="0.2">
      <c r="A858" s="303"/>
      <c r="B858" s="304"/>
      <c r="C858" s="305"/>
      <c r="D858" s="306"/>
      <c r="E858" s="306"/>
      <c r="F858" s="255"/>
      <c r="G858" s="256"/>
      <c r="H858" s="256"/>
      <c r="I858" s="200"/>
      <c r="J858" s="307"/>
      <c r="K858" s="200"/>
      <c r="L858" s="200"/>
      <c r="M858" s="308"/>
      <c r="N858" s="308"/>
      <c r="O858" s="309"/>
      <c r="P858" s="310"/>
      <c r="Q858" s="260"/>
      <c r="R858" s="261"/>
      <c r="S858" s="261"/>
      <c r="T858" s="311"/>
      <c r="U858" s="261"/>
      <c r="V858" s="256"/>
      <c r="W858" s="256"/>
      <c r="X858" s="256"/>
      <c r="Y858" s="256"/>
      <c r="Z858" s="310"/>
      <c r="AA858" s="200"/>
      <c r="AB858" s="312"/>
      <c r="AC858" s="313"/>
      <c r="AD858" s="51"/>
      <c r="AE858" s="314"/>
      <c r="AF858" s="315"/>
      <c r="AG858" s="309"/>
      <c r="AH858" s="28"/>
      <c r="AI858" s="28"/>
      <c r="AJ858" s="28"/>
      <c r="AK858" s="28"/>
      <c r="AL858" s="12"/>
      <c r="AM858" s="12"/>
      <c r="AN858" s="12"/>
      <c r="AO858" s="12"/>
      <c r="AP858" s="12"/>
      <c r="AQ858" s="13"/>
      <c r="AR858" s="14"/>
    </row>
    <row r="859" spans="1:44" s="16" customFormat="1" ht="30.95" hidden="1" customHeight="1" x14ac:dyDescent="0.2">
      <c r="A859" s="35" t="s">
        <v>585</v>
      </c>
      <c r="B859" s="36" t="s">
        <v>462</v>
      </c>
      <c r="C859" s="43"/>
      <c r="D859" s="29"/>
      <c r="E859" s="29"/>
      <c r="F859" s="255"/>
      <c r="G859" s="256"/>
      <c r="H859" s="256"/>
      <c r="I859" s="200"/>
      <c r="J859" s="307"/>
      <c r="K859" s="200"/>
      <c r="L859" s="200"/>
      <c r="M859" s="37"/>
      <c r="N859" s="37"/>
      <c r="O859" s="45"/>
      <c r="P859" s="54"/>
      <c r="Q859" s="260"/>
      <c r="R859" s="261"/>
      <c r="S859" s="261"/>
      <c r="T859" s="38"/>
      <c r="U859" s="261"/>
      <c r="V859" s="256"/>
      <c r="W859" s="256"/>
      <c r="X859" s="256"/>
      <c r="Y859" s="256"/>
      <c r="Z859" s="54"/>
      <c r="AA859" s="200"/>
      <c r="AB859" s="31"/>
      <c r="AC859" s="184"/>
      <c r="AD859" s="51"/>
      <c r="AE859" s="52"/>
      <c r="AF859" s="41"/>
      <c r="AG859" s="45"/>
      <c r="AH859" s="28"/>
      <c r="AI859" s="28"/>
      <c r="AJ859" s="28"/>
      <c r="AK859" s="28"/>
      <c r="AL859" s="12"/>
      <c r="AM859" s="12"/>
      <c r="AN859" s="12"/>
      <c r="AO859" s="12"/>
      <c r="AP859" s="12"/>
      <c r="AQ859" s="13"/>
      <c r="AR859" s="14"/>
    </row>
    <row r="860" spans="1:44" s="16" customFormat="1" ht="30.95" hidden="1" customHeight="1" x14ac:dyDescent="0.2">
      <c r="A860" s="303"/>
      <c r="B860" s="304"/>
      <c r="C860" s="305"/>
      <c r="D860" s="306"/>
      <c r="E860" s="306"/>
      <c r="F860" s="255"/>
      <c r="G860" s="256"/>
      <c r="H860" s="256"/>
      <c r="I860" s="200"/>
      <c r="J860" s="307"/>
      <c r="K860" s="200"/>
      <c r="L860" s="200"/>
      <c r="M860" s="308"/>
      <c r="N860" s="308"/>
      <c r="O860" s="309"/>
      <c r="P860" s="310"/>
      <c r="Q860" s="260"/>
      <c r="R860" s="261"/>
      <c r="S860" s="261"/>
      <c r="T860" s="311"/>
      <c r="U860" s="261"/>
      <c r="V860" s="256"/>
      <c r="W860" s="256"/>
      <c r="X860" s="256"/>
      <c r="Y860" s="256"/>
      <c r="Z860" s="310"/>
      <c r="AA860" s="200"/>
      <c r="AB860" s="312"/>
      <c r="AC860" s="313"/>
      <c r="AD860" s="51"/>
      <c r="AE860" s="314"/>
      <c r="AF860" s="315"/>
      <c r="AG860" s="309"/>
      <c r="AH860" s="28"/>
      <c r="AI860" s="28"/>
      <c r="AJ860" s="28"/>
      <c r="AK860" s="28"/>
      <c r="AL860" s="12"/>
      <c r="AM860" s="12"/>
      <c r="AN860" s="12"/>
      <c r="AO860" s="12"/>
      <c r="AP860" s="12"/>
      <c r="AQ860" s="13"/>
      <c r="AR860" s="14"/>
    </row>
    <row r="861" spans="1:44" s="16" customFormat="1" ht="30.95" hidden="1" customHeight="1" x14ac:dyDescent="0.2">
      <c r="A861" s="303" t="s">
        <v>1599</v>
      </c>
      <c r="B861" s="304" t="s">
        <v>1600</v>
      </c>
      <c r="C861" s="305"/>
      <c r="D861" s="29"/>
      <c r="E861" s="29"/>
      <c r="F861" s="255"/>
      <c r="G861" s="256"/>
      <c r="H861" s="256"/>
      <c r="I861" s="200"/>
      <c r="J861" s="30"/>
      <c r="K861" s="200"/>
      <c r="L861" s="200"/>
      <c r="M861" s="37"/>
      <c r="N861" s="37"/>
      <c r="O861" s="45"/>
      <c r="P861" s="54"/>
      <c r="Q861" s="260"/>
      <c r="R861" s="261"/>
      <c r="S861" s="261"/>
      <c r="T861" s="38"/>
      <c r="U861" s="261"/>
      <c r="V861" s="256"/>
      <c r="W861" s="256"/>
      <c r="X861" s="256"/>
      <c r="Y861" s="256"/>
      <c r="Z861" s="310"/>
      <c r="AA861" s="200"/>
      <c r="AB861" s="312"/>
      <c r="AC861" s="313"/>
      <c r="AD861" s="51"/>
      <c r="AE861" s="314"/>
      <c r="AF861" s="315"/>
      <c r="AG861" s="309"/>
      <c r="AH861" s="28"/>
      <c r="AI861" s="28"/>
      <c r="AJ861" s="28"/>
      <c r="AK861" s="28"/>
      <c r="AL861" s="12"/>
      <c r="AM861" s="12"/>
      <c r="AN861" s="12"/>
      <c r="AO861" s="12"/>
      <c r="AP861" s="12"/>
      <c r="AQ861" s="13"/>
      <c r="AR861" s="14"/>
    </row>
    <row r="862" spans="1:44" s="16" customFormat="1" ht="30.95" hidden="1" customHeight="1" x14ac:dyDescent="0.2">
      <c r="A862" s="303"/>
      <c r="B862" s="304"/>
      <c r="C862" s="305"/>
      <c r="D862" s="306"/>
      <c r="E862" s="306"/>
      <c r="F862" s="255"/>
      <c r="G862" s="256"/>
      <c r="H862" s="256"/>
      <c r="I862" s="200"/>
      <c r="J862" s="307"/>
      <c r="K862" s="200"/>
      <c r="L862" s="200"/>
      <c r="M862" s="308"/>
      <c r="N862" s="308"/>
      <c r="O862" s="309"/>
      <c r="P862" s="310"/>
      <c r="Q862" s="260"/>
      <c r="R862" s="261"/>
      <c r="S862" s="261"/>
      <c r="T862" s="311"/>
      <c r="U862" s="261"/>
      <c r="V862" s="256"/>
      <c r="W862" s="256"/>
      <c r="X862" s="256"/>
      <c r="Y862" s="256"/>
      <c r="Z862" s="310"/>
      <c r="AA862" s="200"/>
      <c r="AB862" s="312"/>
      <c r="AC862" s="313"/>
      <c r="AD862" s="51"/>
      <c r="AE862" s="314"/>
      <c r="AF862" s="315"/>
      <c r="AG862" s="309"/>
      <c r="AH862" s="28"/>
      <c r="AI862" s="28"/>
      <c r="AJ862" s="28"/>
      <c r="AK862" s="28"/>
      <c r="AL862" s="12"/>
      <c r="AM862" s="12"/>
      <c r="AN862" s="12"/>
      <c r="AO862" s="12"/>
      <c r="AP862" s="12"/>
      <c r="AQ862" s="13"/>
      <c r="AR862" s="14"/>
    </row>
    <row r="863" spans="1:44" s="16" customFormat="1" ht="30.95" hidden="1" customHeight="1" x14ac:dyDescent="0.2">
      <c r="A863" s="35" t="s">
        <v>587</v>
      </c>
      <c r="B863" s="36" t="s">
        <v>442</v>
      </c>
      <c r="C863" s="305"/>
      <c r="D863" s="29">
        <v>3727599</v>
      </c>
      <c r="E863" s="29">
        <v>4151502</v>
      </c>
      <c r="F863" s="255" t="str">
        <f>IF(D863="","",VLOOKUP(D863,契約台帳!$A$3:$K$4986,6,FALSE)&amp;VLOOKUP(D863,契約台帳!$A$3:$K$4986,7,FALSE)&amp;VLOOKUP(D863,契約台帳!$A$3:$K$4986,8,FALSE)&amp;VLOOKUP(D863,契約台帳!$A$3:$K$4986,9,FALSE)&amp;VLOOKUP(D863,契約台帳!$A$3:$K$4986,11,FALSE))</f>
        <v>3SNMLBMNGTBF</v>
      </c>
      <c r="G863" s="256" t="str">
        <f>IF(D863="","",VLOOKUP(F863,製品マスタ!$G$5:$H$4999,2,FALSE))</f>
        <v>S</v>
      </c>
      <c r="H863" s="256" t="str">
        <f>IF(D863="","",VLOOKUP(F863,製品マスタ!$G$5:$K$4999,5,FALSE))</f>
        <v>MNGTBF</v>
      </c>
      <c r="I863" s="200" t="str">
        <f>IF(D863="","",VLOOKUP(F863,製品マスタ!$G$5:$L$4999,6,FALSE))</f>
        <v>メタルミー　ネーマー　銀艶　Ｂ</v>
      </c>
      <c r="J863" s="30" t="s">
        <v>447</v>
      </c>
      <c r="K863" s="200">
        <f>IF(D863="","",VLOOKUP(D863,契約台帳!$A$3:$L$4986,12,FALSE))</f>
        <v>25</v>
      </c>
      <c r="L863" s="200" t="str">
        <f>IF(D863="","",INDEX(製品マスタ!$Q$5:$Q$4999,MATCH(F863&amp;K863,製品マスタ!$AO$5:$AO$4999,0)))</f>
        <v>T62M</v>
      </c>
      <c r="M863" s="37">
        <v>1125</v>
      </c>
      <c r="N863" s="37">
        <v>12100</v>
      </c>
      <c r="O863" s="45">
        <v>1</v>
      </c>
      <c r="P863" s="54"/>
      <c r="Q863" s="260">
        <f>IF(D863="","",IF(J863="リード付け",M863,VLOOKUP(D863,契約台帳!$A$3:$N$4986,14,FALSE)))</f>
        <v>1125</v>
      </c>
      <c r="R863" s="261">
        <f>IF(D863="","",IF(J863="リード付け",M863,VLOOKUP(D863,契約台帳!$A$3:$O$4986,15,FALSE)))</f>
        <v>1120</v>
      </c>
      <c r="S863" s="261">
        <f>IF(D863="","",IF(J863="リード付け",N863,VLOOKUP(D863,契約台帳!$A$3:$P$4986,16,FALSE)))</f>
        <v>4000</v>
      </c>
      <c r="T863" s="38">
        <v>3</v>
      </c>
      <c r="U863" s="261">
        <f ca="1">IF(D863="","",IF(OFFSET(D863,-2,0)=D863,"",VLOOKUP(D863,契約台帳!$A$3:$R$4986,18,FALSE)))</f>
        <v>3</v>
      </c>
      <c r="V863" s="256" t="str">
        <f>IF(J863="巻返し",VLOOKUP(F863&amp;K863&amp;M863,製品マスタ!$M$5:$AD$4999,18,FALSE),IF(J863="リード付け","原反コア",IF(J863="スリット",VLOOKUP(F863&amp;K863&amp;Q863,製品マスタ!$N$5:$AD$4999,17,FALSE),"")))</f>
        <v>6ｲﾝﾁSｺｱ</v>
      </c>
      <c r="W863" s="256">
        <f>IF(J863="巻返し",VLOOKUP(F863&amp;K863&amp;M863,製品マスタ!$M$5:$AE$4999,19,FALSE),IF(J863="リード付け","-",IF(J863="スリット",VLOOKUP(F863&amp;K863&amp;Q863,製品マスタ!$N$5:$AE$4999,18,FALSE),"")))</f>
        <v>1130</v>
      </c>
      <c r="X863" s="256">
        <f>IF(D863="","",VLOOKUP(D863,契約台帳!$A$3:$Q$4986,17,FALSE))</f>
        <v>2</v>
      </c>
      <c r="Y863" s="256" t="str">
        <f>IF(D863="","",VLOOKUP(D863,契約台帳!$A$3:$E$4986,5,FALSE))</f>
        <v xml:space="preserve">リンテック㈱        </v>
      </c>
      <c r="Z863" s="310">
        <v>45209</v>
      </c>
      <c r="AA863" s="200">
        <f>IFERROR(VLOOKUP(F863&amp;K863&amp;M863,製品マスタ!$M$5:$AM$4999,27,FALSE),"")</f>
        <v>0</v>
      </c>
      <c r="AB863" s="312"/>
      <c r="AC863" s="313"/>
      <c r="AD863" s="51" t="str">
        <f>IF(F863="","",+F863&amp;K863)</f>
        <v>3SNMLBMNGTBF25</v>
      </c>
      <c r="AE863" s="52">
        <f>+M863*N863*O863/1000</f>
        <v>13612.5</v>
      </c>
      <c r="AF863" s="41">
        <f>IF(AD863="","",VLOOKUP(AD863,原価マスタ!$A$2:$AJ$1693,13,FALSE))</f>
        <v>97.5</v>
      </c>
      <c r="AG863" s="45">
        <f>IF(AF863="","",+AE863*AF863/100)</f>
        <v>13272.1875</v>
      </c>
      <c r="AH863" s="28"/>
      <c r="AI863" s="28"/>
      <c r="AJ863" s="28"/>
      <c r="AK863" s="28"/>
      <c r="AL863" s="12"/>
      <c r="AM863" s="12"/>
      <c r="AN863" s="12"/>
      <c r="AO863" s="12"/>
      <c r="AP863" s="12"/>
      <c r="AQ863" s="13"/>
      <c r="AR863" s="14"/>
    </row>
    <row r="864" spans="1:44" s="16" customFormat="1" ht="30.95" hidden="1" customHeight="1" x14ac:dyDescent="0.2">
      <c r="A864" s="303"/>
      <c r="B864" s="304"/>
      <c r="C864" s="305"/>
      <c r="D864" s="306"/>
      <c r="E864" s="306"/>
      <c r="F864" s="255"/>
      <c r="G864" s="256"/>
      <c r="H864" s="256"/>
      <c r="I864" s="200"/>
      <c r="J864" s="307"/>
      <c r="K864" s="200"/>
      <c r="L864" s="200"/>
      <c r="M864" s="308"/>
      <c r="N864" s="308"/>
      <c r="O864" s="309"/>
      <c r="P864" s="310"/>
      <c r="Q864" s="260"/>
      <c r="R864" s="261"/>
      <c r="S864" s="261"/>
      <c r="T864" s="311"/>
      <c r="U864" s="261"/>
      <c r="V864" s="256"/>
      <c r="W864" s="256"/>
      <c r="X864" s="256"/>
      <c r="Y864" s="256"/>
      <c r="Z864" s="310"/>
      <c r="AA864" s="200"/>
      <c r="AB864" s="312"/>
      <c r="AC864" s="313"/>
      <c r="AD864" s="51"/>
      <c r="AE864" s="314"/>
      <c r="AF864" s="315"/>
      <c r="AG864" s="309"/>
      <c r="AH864" s="28"/>
      <c r="AI864" s="28"/>
      <c r="AJ864" s="28"/>
      <c r="AK864" s="28"/>
      <c r="AL864" s="12"/>
      <c r="AM864" s="12"/>
      <c r="AN864" s="12"/>
      <c r="AO864" s="12"/>
      <c r="AP864" s="12"/>
      <c r="AQ864" s="13"/>
      <c r="AR864" s="14"/>
    </row>
    <row r="865" spans="1:44" s="16" customFormat="1" ht="30.95" hidden="1" customHeight="1" x14ac:dyDescent="0.2">
      <c r="A865" s="35" t="s">
        <v>1624</v>
      </c>
      <c r="B865" s="36" t="s">
        <v>1625</v>
      </c>
      <c r="C865" s="305"/>
      <c r="D865" s="29">
        <v>3727598</v>
      </c>
      <c r="E865" s="29">
        <v>4151501</v>
      </c>
      <c r="F865" s="255" t="str">
        <f>IF(D865="","",VLOOKUP(D865,契約台帳!$A$3:$K$4986,6,FALSE)&amp;VLOOKUP(D865,契約台帳!$A$3:$K$4986,7,FALSE)&amp;VLOOKUP(D865,契約台帳!$A$3:$K$4986,8,FALSE)&amp;VLOOKUP(D865,契約台帳!$A$3:$K$4986,9,FALSE)&amp;VLOOKUP(D865,契約台帳!$A$3:$K$4986,11,FALSE))</f>
        <v>3SNMLBMNGTBF</v>
      </c>
      <c r="G865" s="256" t="str">
        <f>IF(D865="","",VLOOKUP(F865,製品マスタ!$G$5:$H$4999,2,FALSE))</f>
        <v>S</v>
      </c>
      <c r="H865" s="256" t="str">
        <f>IF(D865="","",VLOOKUP(F865,製品マスタ!$G$5:$K$4999,5,FALSE))</f>
        <v>MNGTBF</v>
      </c>
      <c r="I865" s="200" t="str">
        <f>IF(D865="","",VLOOKUP(F865,製品マスタ!$G$5:$L$4999,6,FALSE))</f>
        <v>メタルミー　ネーマー　銀艶　Ｂ</v>
      </c>
      <c r="J865" s="30" t="s">
        <v>447</v>
      </c>
      <c r="K865" s="200">
        <f>IF(D865="","",VLOOKUP(D865,契約台帳!$A$3:$L$4986,12,FALSE))</f>
        <v>25</v>
      </c>
      <c r="L865" s="200" t="str">
        <f>IF(D865="","",INDEX(製品マスタ!$Q$5:$Q$4999,MATCH(F865&amp;K865,製品マスタ!$AO$5:$AO$4999,0)))</f>
        <v>T62M</v>
      </c>
      <c r="M865" s="37">
        <v>1005</v>
      </c>
      <c r="N865" s="37">
        <v>12100</v>
      </c>
      <c r="O865" s="45">
        <v>3</v>
      </c>
      <c r="P865" s="54"/>
      <c r="Q865" s="260">
        <f>IF(D865="","",IF(J865="リード付け",M865,VLOOKUP(D865,契約台帳!$A$3:$N$4986,14,FALSE)))</f>
        <v>1005</v>
      </c>
      <c r="R865" s="261">
        <f>IF(D865="","",IF(J865="リード付け",M865,VLOOKUP(D865,契約台帳!$A$3:$O$4986,15,FALSE)))</f>
        <v>1000</v>
      </c>
      <c r="S865" s="261">
        <f>IF(D865="","",IF(J865="リード付け",N865,VLOOKUP(D865,契約台帳!$A$3:$P$4986,16,FALSE)))</f>
        <v>4000</v>
      </c>
      <c r="T865" s="38">
        <v>9</v>
      </c>
      <c r="U865" s="261">
        <f ca="1">IF(D865="","",IF(OFFSET(D865,-2,0)=D865,"",VLOOKUP(D865,契約台帳!$A$3:$R$4986,18,FALSE)))</f>
        <v>15</v>
      </c>
      <c r="V865" s="256" t="str">
        <f>IF(J865="巻返し",VLOOKUP(F865&amp;K865&amp;M865,製品マスタ!$M$5:$AD$4999,18,FALSE),IF(J865="リード付け","原反コア",IF(J865="スリット",VLOOKUP(F865&amp;K865&amp;Q865,製品マスタ!$N$5:$AD$4999,17,FALSE),"")))</f>
        <v>6ｲﾝﾁSｺｱ</v>
      </c>
      <c r="W865" s="256">
        <f>IF(J865="巻返し",VLOOKUP(F865&amp;K865&amp;M865,製品マスタ!$M$5:$AE$4999,19,FALSE),IF(J865="リード付け","-",IF(J865="スリット",VLOOKUP(F865&amp;K865&amp;Q865,製品マスタ!$N$5:$AE$4999,18,FALSE),"")))</f>
        <v>1015</v>
      </c>
      <c r="X865" s="256">
        <f>IF(D865="","",VLOOKUP(D865,契約台帳!$A$3:$Q$4986,17,FALSE))</f>
        <v>2</v>
      </c>
      <c r="Y865" s="256" t="str">
        <f>IF(D865="","",VLOOKUP(D865,契約台帳!$A$3:$E$4986,5,FALSE))</f>
        <v xml:space="preserve">リンテック㈱        </v>
      </c>
      <c r="Z865" s="310">
        <v>45210</v>
      </c>
      <c r="AA865" s="200"/>
      <c r="AB865" s="312"/>
      <c r="AC865" s="313"/>
      <c r="AD865" s="51" t="str">
        <f>IF(F865="","",+F865&amp;K865)</f>
        <v>3SNMLBMNGTBF25</v>
      </c>
      <c r="AE865" s="52">
        <f>+M865*N865*O865/1000</f>
        <v>36481.5</v>
      </c>
      <c r="AF865" s="41">
        <f>IF(AD865="","",VLOOKUP(AD865,原価マスタ!$A$2:$AJ$1693,13,FALSE))</f>
        <v>97.5</v>
      </c>
      <c r="AG865" s="45">
        <f>IF(AF865="","",+AE865*AF865/100)</f>
        <v>35569.462500000001</v>
      </c>
      <c r="AH865" s="28"/>
      <c r="AI865" s="28"/>
      <c r="AJ865" s="28"/>
      <c r="AK865" s="28"/>
      <c r="AL865" s="12"/>
      <c r="AM865" s="12"/>
      <c r="AN865" s="12"/>
      <c r="AO865" s="12"/>
      <c r="AP865" s="12"/>
      <c r="AQ865" s="13"/>
      <c r="AR865" s="14"/>
    </row>
    <row r="866" spans="1:44" s="16" customFormat="1" ht="30.95" hidden="1" customHeight="1" x14ac:dyDescent="0.2">
      <c r="A866" s="303"/>
      <c r="B866" s="304"/>
      <c r="C866" s="305"/>
      <c r="D866" s="306"/>
      <c r="E866" s="306"/>
      <c r="F866" s="255"/>
      <c r="G866" s="256"/>
      <c r="H866" s="256"/>
      <c r="I866" s="200"/>
      <c r="J866" s="307"/>
      <c r="K866" s="200"/>
      <c r="L866" s="200"/>
      <c r="M866" s="308"/>
      <c r="N866" s="308"/>
      <c r="O866" s="309"/>
      <c r="P866" s="310"/>
      <c r="Q866" s="260"/>
      <c r="R866" s="261"/>
      <c r="S866" s="261"/>
      <c r="T866" s="311"/>
      <c r="U866" s="261"/>
      <c r="V866" s="256"/>
      <c r="W866" s="256"/>
      <c r="X866" s="256"/>
      <c r="Y866" s="256"/>
      <c r="Z866" s="310"/>
      <c r="AA866" s="200"/>
      <c r="AB866" s="312"/>
      <c r="AC866" s="313"/>
      <c r="AD866" s="51"/>
      <c r="AE866" s="314"/>
      <c r="AF866" s="315"/>
      <c r="AG866" s="309"/>
      <c r="AH866" s="28"/>
      <c r="AI866" s="28"/>
      <c r="AJ866" s="28"/>
      <c r="AK866" s="28"/>
      <c r="AL866" s="12"/>
      <c r="AM866" s="12"/>
      <c r="AN866" s="12"/>
      <c r="AO866" s="12"/>
      <c r="AP866" s="12"/>
      <c r="AQ866" s="13"/>
      <c r="AR866" s="14"/>
    </row>
    <row r="867" spans="1:44" s="16" customFormat="1" ht="30.95" hidden="1" customHeight="1" x14ac:dyDescent="0.2">
      <c r="A867" s="35" t="s">
        <v>1626</v>
      </c>
      <c r="B867" s="36" t="s">
        <v>1627</v>
      </c>
      <c r="C867" s="305"/>
      <c r="D867" s="29">
        <v>3727598</v>
      </c>
      <c r="E867" s="29">
        <v>4151501</v>
      </c>
      <c r="F867" s="255" t="str">
        <f>IF(D867="","",VLOOKUP(D867,契約台帳!$A$3:$K$4986,6,FALSE)&amp;VLOOKUP(D867,契約台帳!$A$3:$K$4986,7,FALSE)&amp;VLOOKUP(D867,契約台帳!$A$3:$K$4986,8,FALSE)&amp;VLOOKUP(D867,契約台帳!$A$3:$K$4986,9,FALSE)&amp;VLOOKUP(D867,契約台帳!$A$3:$K$4986,11,FALSE))</f>
        <v>3SNMLBMNGTBF</v>
      </c>
      <c r="G867" s="256" t="str">
        <f>IF(D867="","",VLOOKUP(F867,製品マスタ!$G$5:$H$4999,2,FALSE))</f>
        <v>S</v>
      </c>
      <c r="H867" s="256" t="str">
        <f>IF(D867="","",VLOOKUP(F867,製品マスタ!$G$5:$K$4999,5,FALSE))</f>
        <v>MNGTBF</v>
      </c>
      <c r="I867" s="200" t="str">
        <f>IF(D867="","",VLOOKUP(F867,製品マスタ!$G$5:$L$4999,6,FALSE))</f>
        <v>メタルミー　ネーマー　銀艶　Ｂ</v>
      </c>
      <c r="J867" s="30" t="s">
        <v>447</v>
      </c>
      <c r="K867" s="200">
        <f>IF(D867="","",VLOOKUP(D867,契約台帳!$A$3:$L$4986,12,FALSE))</f>
        <v>25</v>
      </c>
      <c r="L867" s="200" t="str">
        <f>IF(D867="","",INDEX(製品マスタ!$Q$5:$Q$4999,MATCH(F867&amp;K867,製品マスタ!$AO$5:$AO$4999,0)))</f>
        <v>T62M</v>
      </c>
      <c r="M867" s="37">
        <v>1005</v>
      </c>
      <c r="N867" s="37">
        <v>12100</v>
      </c>
      <c r="O867" s="45">
        <v>2</v>
      </c>
      <c r="P867" s="54"/>
      <c r="Q867" s="260">
        <f>IF(D867="","",IF(J867="リード付け",M867,VLOOKUP(D867,契約台帳!$A$3:$N$4986,14,FALSE)))</f>
        <v>1005</v>
      </c>
      <c r="R867" s="261">
        <f>IF(D867="","",IF(J867="リード付け",M867,VLOOKUP(D867,契約台帳!$A$3:$O$4986,15,FALSE)))</f>
        <v>1000</v>
      </c>
      <c r="S867" s="261">
        <f>IF(D867="","",IF(J867="リード付け",N867,VLOOKUP(D867,契約台帳!$A$3:$P$4986,16,FALSE)))</f>
        <v>4000</v>
      </c>
      <c r="T867" s="38">
        <v>6</v>
      </c>
      <c r="U867" s="261" t="str">
        <f ca="1">IF(D867="","",IF(OFFSET(D867,-2,0)=D867,"",VLOOKUP(D867,契約台帳!$A$3:$R$4986,18,FALSE)))</f>
        <v/>
      </c>
      <c r="V867" s="256" t="str">
        <f>IF(J867="巻返し",VLOOKUP(F867&amp;K867&amp;M867,製品マスタ!$M$5:$AD$4999,18,FALSE),IF(J867="リード付け","原反コア",IF(J867="スリット",VLOOKUP(F867&amp;K867&amp;Q867,製品マスタ!$N$5:$AD$4999,17,FALSE),"")))</f>
        <v>6ｲﾝﾁSｺｱ</v>
      </c>
      <c r="W867" s="256">
        <f>IF(J867="巻返し",VLOOKUP(F867&amp;K867&amp;M867,製品マスタ!$M$5:$AE$4999,19,FALSE),IF(J867="リード付け","-",IF(J867="スリット",VLOOKUP(F867&amp;K867&amp;Q867,製品マスタ!$N$5:$AE$4999,18,FALSE),"")))</f>
        <v>1015</v>
      </c>
      <c r="X867" s="256">
        <f>IF(D867="","",VLOOKUP(D867,契約台帳!$A$3:$Q$4986,17,FALSE))</f>
        <v>2</v>
      </c>
      <c r="Y867" s="256" t="str">
        <f>IF(D867="","",VLOOKUP(D867,契約台帳!$A$3:$E$4986,5,FALSE))</f>
        <v xml:space="preserve">リンテック㈱        </v>
      </c>
      <c r="Z867" s="310">
        <v>45210</v>
      </c>
      <c r="AA867" s="200">
        <f>IFERROR(VLOOKUP(F867&amp;K867&amp;M867,製品マスタ!$M$5:$AM$4999,27,FALSE),"")</f>
        <v>0</v>
      </c>
      <c r="AB867" s="312"/>
      <c r="AC867" s="313"/>
      <c r="AD867" s="51" t="str">
        <f>IF(F867="","",+F867&amp;K867)</f>
        <v>3SNMLBMNGTBF25</v>
      </c>
      <c r="AE867" s="52">
        <f>+M867*N867*O867/1000</f>
        <v>24321</v>
      </c>
      <c r="AF867" s="41">
        <f>IF(AD867="","",VLOOKUP(AD867,原価マスタ!$A$2:$AJ$1693,13,FALSE))</f>
        <v>97.5</v>
      </c>
      <c r="AG867" s="45">
        <f>IF(AF867="","",+AE867*AF867/100)</f>
        <v>23712.974999999999</v>
      </c>
      <c r="AH867" s="28"/>
      <c r="AI867" s="28"/>
      <c r="AJ867" s="28"/>
      <c r="AK867" s="28"/>
      <c r="AL867" s="12"/>
      <c r="AM867" s="12"/>
      <c r="AN867" s="12"/>
      <c r="AO867" s="12"/>
      <c r="AP867" s="12"/>
      <c r="AQ867" s="13"/>
      <c r="AR867" s="14"/>
    </row>
    <row r="868" spans="1:44" s="16" customFormat="1" ht="30.95" hidden="1" customHeight="1" x14ac:dyDescent="0.2">
      <c r="A868" s="303"/>
      <c r="B868" s="304"/>
      <c r="C868" s="305"/>
      <c r="D868" s="306"/>
      <c r="E868" s="306"/>
      <c r="F868" s="255"/>
      <c r="G868" s="256"/>
      <c r="H868" s="256"/>
      <c r="I868" s="200"/>
      <c r="J868" s="307"/>
      <c r="K868" s="200"/>
      <c r="L868" s="200"/>
      <c r="M868" s="308"/>
      <c r="N868" s="308"/>
      <c r="O868" s="309"/>
      <c r="P868" s="310"/>
      <c r="Q868" s="260"/>
      <c r="R868" s="261"/>
      <c r="S868" s="261"/>
      <c r="T868" s="311"/>
      <c r="U868" s="261"/>
      <c r="V868" s="256"/>
      <c r="W868" s="256"/>
      <c r="X868" s="256"/>
      <c r="Y868" s="256"/>
      <c r="Z868" s="310"/>
      <c r="AA868" s="200"/>
      <c r="AB868" s="312"/>
      <c r="AC868" s="313"/>
      <c r="AD868" s="51"/>
      <c r="AE868" s="314"/>
      <c r="AF868" s="315"/>
      <c r="AG868" s="309"/>
      <c r="AH868" s="28"/>
      <c r="AI868" s="28"/>
      <c r="AJ868" s="28"/>
      <c r="AK868" s="28"/>
      <c r="AL868" s="12"/>
      <c r="AM868" s="12"/>
      <c r="AN868" s="12"/>
      <c r="AO868" s="12"/>
      <c r="AP868" s="12"/>
      <c r="AQ868" s="13"/>
      <c r="AR868" s="14"/>
    </row>
    <row r="869" spans="1:44" s="16" customFormat="1" ht="30.95" hidden="1" customHeight="1" x14ac:dyDescent="0.2">
      <c r="A869" s="303" t="s">
        <v>1628</v>
      </c>
      <c r="B869" s="304" t="s">
        <v>1629</v>
      </c>
      <c r="C869" s="305"/>
      <c r="D869" s="306"/>
      <c r="E869" s="306"/>
      <c r="F869" s="255"/>
      <c r="G869" s="256"/>
      <c r="H869" s="256"/>
      <c r="I869" s="200"/>
      <c r="J869" s="307" t="s">
        <v>448</v>
      </c>
      <c r="K869" s="200"/>
      <c r="L869" s="200"/>
      <c r="M869" s="308"/>
      <c r="N869" s="308"/>
      <c r="O869" s="309"/>
      <c r="P869" s="310"/>
      <c r="Q869" s="260"/>
      <c r="R869" s="261"/>
      <c r="S869" s="261"/>
      <c r="T869" s="311"/>
      <c r="U869" s="261"/>
      <c r="V869" s="256"/>
      <c r="W869" s="256"/>
      <c r="X869" s="256"/>
      <c r="Y869" s="256"/>
      <c r="Z869" s="310"/>
      <c r="AA869" s="200"/>
      <c r="AB869" s="312"/>
      <c r="AC869" s="313"/>
      <c r="AD869" s="51"/>
      <c r="AE869" s="314"/>
      <c r="AF869" s="315"/>
      <c r="AG869" s="309"/>
      <c r="AH869" s="28"/>
      <c r="AI869" s="28"/>
      <c r="AJ869" s="28"/>
      <c r="AK869" s="28"/>
      <c r="AL869" s="12"/>
      <c r="AM869" s="12"/>
      <c r="AN869" s="12"/>
      <c r="AO869" s="12"/>
      <c r="AP869" s="12"/>
      <c r="AQ869" s="13"/>
      <c r="AR869" s="14"/>
    </row>
    <row r="870" spans="1:44" s="16" customFormat="1" ht="30.95" hidden="1" customHeight="1" x14ac:dyDescent="0.2">
      <c r="A870" s="303"/>
      <c r="B870" s="304"/>
      <c r="C870" s="305"/>
      <c r="D870" s="306"/>
      <c r="E870" s="306"/>
      <c r="F870" s="255"/>
      <c r="G870" s="256"/>
      <c r="H870" s="256"/>
      <c r="I870" s="200"/>
      <c r="J870" s="307"/>
      <c r="K870" s="200"/>
      <c r="L870" s="200"/>
      <c r="M870" s="308"/>
      <c r="N870" s="308"/>
      <c r="O870" s="309"/>
      <c r="P870" s="310"/>
      <c r="Q870" s="260"/>
      <c r="R870" s="261"/>
      <c r="S870" s="261"/>
      <c r="T870" s="311"/>
      <c r="U870" s="261"/>
      <c r="V870" s="256"/>
      <c r="W870" s="256"/>
      <c r="X870" s="256"/>
      <c r="Y870" s="256"/>
      <c r="Z870" s="310"/>
      <c r="AA870" s="200"/>
      <c r="AB870" s="312"/>
      <c r="AC870" s="313"/>
      <c r="AD870" s="51"/>
      <c r="AE870" s="314"/>
      <c r="AF870" s="315"/>
      <c r="AG870" s="309"/>
      <c r="AH870" s="28"/>
      <c r="AI870" s="28"/>
      <c r="AJ870" s="28"/>
      <c r="AK870" s="28"/>
      <c r="AL870" s="12"/>
      <c r="AM870" s="12"/>
      <c r="AN870" s="12"/>
      <c r="AO870" s="12"/>
      <c r="AP870" s="12"/>
      <c r="AQ870" s="13"/>
      <c r="AR870" s="14"/>
    </row>
    <row r="871" spans="1:44" s="16" customFormat="1" ht="30.95" hidden="1" customHeight="1" x14ac:dyDescent="0.2">
      <c r="A871" s="303" t="s">
        <v>1630</v>
      </c>
      <c r="B871" s="304" t="s">
        <v>1631</v>
      </c>
      <c r="C871" s="305"/>
      <c r="D871" s="306"/>
      <c r="E871" s="306"/>
      <c r="F871" s="255"/>
      <c r="G871" s="256"/>
      <c r="H871" s="256"/>
      <c r="I871" s="200"/>
      <c r="J871" s="307" t="s">
        <v>448</v>
      </c>
      <c r="K871" s="200"/>
      <c r="L871" s="200"/>
      <c r="M871" s="308"/>
      <c r="N871" s="308"/>
      <c r="O871" s="309"/>
      <c r="P871" s="310"/>
      <c r="Q871" s="260"/>
      <c r="R871" s="261"/>
      <c r="S871" s="261"/>
      <c r="T871" s="311"/>
      <c r="U871" s="261"/>
      <c r="V871" s="256"/>
      <c r="W871" s="256"/>
      <c r="X871" s="256"/>
      <c r="Y871" s="256"/>
      <c r="Z871" s="310"/>
      <c r="AA871" s="200"/>
      <c r="AB871" s="312"/>
      <c r="AC871" s="313"/>
      <c r="AD871" s="51"/>
      <c r="AE871" s="314"/>
      <c r="AF871" s="315"/>
      <c r="AG871" s="309"/>
      <c r="AH871" s="28"/>
      <c r="AI871" s="28"/>
      <c r="AJ871" s="28"/>
      <c r="AK871" s="28"/>
      <c r="AL871" s="12"/>
      <c r="AM871" s="12"/>
      <c r="AN871" s="12"/>
      <c r="AO871" s="12"/>
      <c r="AP871" s="12"/>
      <c r="AQ871" s="13"/>
      <c r="AR871" s="14"/>
    </row>
    <row r="872" spans="1:44" s="16" customFormat="1" ht="30.95" hidden="1" customHeight="1" x14ac:dyDescent="0.2">
      <c r="A872" s="303"/>
      <c r="B872" s="304"/>
      <c r="C872" s="305"/>
      <c r="D872" s="306"/>
      <c r="E872" s="306"/>
      <c r="F872" s="255"/>
      <c r="G872" s="256"/>
      <c r="H872" s="256"/>
      <c r="I872" s="200"/>
      <c r="J872" s="307"/>
      <c r="K872" s="200"/>
      <c r="L872" s="200"/>
      <c r="M872" s="308"/>
      <c r="N872" s="308"/>
      <c r="O872" s="309"/>
      <c r="P872" s="310"/>
      <c r="Q872" s="260"/>
      <c r="R872" s="261"/>
      <c r="S872" s="261"/>
      <c r="T872" s="311"/>
      <c r="U872" s="261"/>
      <c r="V872" s="256"/>
      <c r="W872" s="256"/>
      <c r="X872" s="256"/>
      <c r="Y872" s="256"/>
      <c r="Z872" s="310"/>
      <c r="AA872" s="200"/>
      <c r="AB872" s="312"/>
      <c r="AC872" s="313"/>
      <c r="AD872" s="51"/>
      <c r="AE872" s="314"/>
      <c r="AF872" s="315"/>
      <c r="AG872" s="309"/>
      <c r="AH872" s="28"/>
      <c r="AI872" s="28"/>
      <c r="AJ872" s="28"/>
      <c r="AK872" s="28"/>
      <c r="AL872" s="12"/>
      <c r="AM872" s="12"/>
      <c r="AN872" s="12"/>
      <c r="AO872" s="12"/>
      <c r="AP872" s="12"/>
      <c r="AQ872" s="13"/>
      <c r="AR872" s="14"/>
    </row>
    <row r="873" spans="1:44" s="16" customFormat="1" ht="30.95" hidden="1" customHeight="1" x14ac:dyDescent="0.2">
      <c r="A873" s="303" t="s">
        <v>1632</v>
      </c>
      <c r="B873" s="304" t="s">
        <v>1633</v>
      </c>
      <c r="C873" s="305"/>
      <c r="D873" s="306"/>
      <c r="E873" s="306"/>
      <c r="F873" s="255"/>
      <c r="G873" s="256"/>
      <c r="H873" s="256"/>
      <c r="I873" s="200"/>
      <c r="J873" s="307" t="s">
        <v>448</v>
      </c>
      <c r="K873" s="200"/>
      <c r="L873" s="200"/>
      <c r="M873" s="308"/>
      <c r="N873" s="308"/>
      <c r="O873" s="309"/>
      <c r="P873" s="310"/>
      <c r="Q873" s="260"/>
      <c r="R873" s="261"/>
      <c r="S873" s="261"/>
      <c r="T873" s="311"/>
      <c r="U873" s="261"/>
      <c r="V873" s="256"/>
      <c r="W873" s="256"/>
      <c r="X873" s="256"/>
      <c r="Y873" s="256"/>
      <c r="Z873" s="310"/>
      <c r="AA873" s="200"/>
      <c r="AB873" s="312"/>
      <c r="AC873" s="313"/>
      <c r="AD873" s="51"/>
      <c r="AE873" s="314"/>
      <c r="AF873" s="315"/>
      <c r="AG873" s="309"/>
      <c r="AH873" s="28"/>
      <c r="AI873" s="28"/>
      <c r="AJ873" s="28"/>
      <c r="AK873" s="28"/>
      <c r="AL873" s="12"/>
      <c r="AM873" s="12"/>
      <c r="AN873" s="12"/>
      <c r="AO873" s="12"/>
      <c r="AP873" s="12"/>
      <c r="AQ873" s="13"/>
      <c r="AR873" s="14"/>
    </row>
    <row r="874" spans="1:44" s="16" customFormat="1" ht="30.95" hidden="1" customHeight="1" x14ac:dyDescent="0.2">
      <c r="A874" s="303"/>
      <c r="B874" s="304"/>
      <c r="C874" s="305"/>
      <c r="D874" s="306"/>
      <c r="E874" s="306"/>
      <c r="F874" s="255"/>
      <c r="G874" s="256"/>
      <c r="H874" s="256"/>
      <c r="I874" s="200"/>
      <c r="J874" s="307"/>
      <c r="K874" s="200"/>
      <c r="L874" s="200"/>
      <c r="M874" s="308"/>
      <c r="N874" s="308"/>
      <c r="O874" s="309"/>
      <c r="P874" s="310"/>
      <c r="Q874" s="260"/>
      <c r="R874" s="261"/>
      <c r="S874" s="261"/>
      <c r="T874" s="311"/>
      <c r="U874" s="261"/>
      <c r="V874" s="256"/>
      <c r="W874" s="256"/>
      <c r="X874" s="256"/>
      <c r="Y874" s="256"/>
      <c r="Z874" s="310"/>
      <c r="AA874" s="200"/>
      <c r="AB874" s="312"/>
      <c r="AC874" s="313"/>
      <c r="AD874" s="51"/>
      <c r="AE874" s="314"/>
      <c r="AF874" s="315"/>
      <c r="AG874" s="309"/>
      <c r="AH874" s="28"/>
      <c r="AI874" s="28"/>
      <c r="AJ874" s="28"/>
      <c r="AK874" s="28"/>
      <c r="AL874" s="12"/>
      <c r="AM874" s="12"/>
      <c r="AN874" s="12"/>
      <c r="AO874" s="12"/>
      <c r="AP874" s="12"/>
      <c r="AQ874" s="13"/>
      <c r="AR874" s="14"/>
    </row>
    <row r="875" spans="1:44" s="16" customFormat="1" ht="30.95" hidden="1" customHeight="1" x14ac:dyDescent="0.2">
      <c r="A875" s="35" t="s">
        <v>593</v>
      </c>
      <c r="B875" s="36" t="s">
        <v>688</v>
      </c>
      <c r="C875" s="305"/>
      <c r="D875" s="29">
        <v>3727587</v>
      </c>
      <c r="E875" s="29">
        <v>4151497</v>
      </c>
      <c r="F875" s="255" t="str">
        <f>IF(D875="","",VLOOKUP(D875,契約台帳!$A$3:$K$4986,6,FALSE)&amp;VLOOKUP(D875,契約台帳!$A$3:$K$4986,7,FALSE)&amp;VLOOKUP(D875,契約台帳!$A$3:$K$4986,8,FALSE)&amp;VLOOKUP(D875,契約台帳!$A$3:$K$4986,9,FALSE)&amp;VLOOKUP(D875,契約台帳!$A$3:$K$4986,11,FALSE))</f>
        <v>3SNMLBMTSF</v>
      </c>
      <c r="G875" s="256" t="str">
        <f>IF(D875="","",VLOOKUP(F875,製品マスタ!$G$5:$H$4999,2,FALSE))</f>
        <v>S</v>
      </c>
      <c r="H875" s="256" t="str">
        <f>IF(D875="","",VLOOKUP(F875,製品マスタ!$G$5:$K$4999,5,FALSE))</f>
        <v>MTSF</v>
      </c>
      <c r="I875" s="200" t="str">
        <f>IF(D875="","",VLOOKUP(F875,製品マスタ!$G$5:$L$4999,6,FALSE))</f>
        <v>メタルミー　ＴＳ</v>
      </c>
      <c r="J875" s="30" t="s">
        <v>447</v>
      </c>
      <c r="K875" s="200">
        <f>IF(D875="","",VLOOKUP(D875,契約台帳!$A$3:$L$4986,12,FALSE))</f>
        <v>50</v>
      </c>
      <c r="L875" s="200" t="str">
        <f>IF(D875="","",INDEX(製品マスタ!$Q$5:$Q$4999,MATCH(F875&amp;K875,製品マスタ!$AO$5:$AO$4999,0)))</f>
        <v>T62M</v>
      </c>
      <c r="M875" s="37">
        <v>1255</v>
      </c>
      <c r="N875" s="37">
        <v>12200</v>
      </c>
      <c r="O875" s="45">
        <v>1</v>
      </c>
      <c r="P875" s="54"/>
      <c r="Q875" s="260">
        <f>IF(D875="","",IF(J875="リード付け",M875,VLOOKUP(D875,契約台帳!$A$3:$N$4986,14,FALSE)))</f>
        <v>1255</v>
      </c>
      <c r="R875" s="261">
        <f>IF(D875="","",IF(J875="リード付け",M875,VLOOKUP(D875,契約台帳!$A$3:$O$4986,15,FALSE)))</f>
        <v>1250</v>
      </c>
      <c r="S875" s="261">
        <f>IF(D875="","",IF(J875="リード付け",N875,VLOOKUP(D875,契約台帳!$A$3:$P$4986,16,FALSE)))</f>
        <v>2000</v>
      </c>
      <c r="T875" s="38">
        <v>6</v>
      </c>
      <c r="U875" s="261">
        <f ca="1">IF(D875="","",IF(OFFSET(D875,-2,0)=D875,"",VLOOKUP(D875,契約台帳!$A$3:$R$4986,18,FALSE)))</f>
        <v>9</v>
      </c>
      <c r="V875" s="256" t="str">
        <f>IF(J875="巻返し",VLOOKUP(F875&amp;K875&amp;M875,製品マスタ!$M$5:$AD$4999,18,FALSE),IF(J875="リード付け","原反コア",IF(J875="スリット",VLOOKUP(F875&amp;K875&amp;Q875,製品マスタ!$N$5:$AD$4999,17,FALSE),"")))</f>
        <v>3ｲﾝﾁSｺｱ</v>
      </c>
      <c r="W875" s="256">
        <f>IF(J875="巻返し",VLOOKUP(F875&amp;K875&amp;M875,製品マスタ!$M$5:$AE$4999,19,FALSE),IF(J875="リード付け","-",IF(J875="スリット",VLOOKUP(F875&amp;K875&amp;Q875,製品マスタ!$N$5:$AE$4999,18,FALSE),"")))</f>
        <v>1260</v>
      </c>
      <c r="X875" s="256">
        <f>IF(D875="","",VLOOKUP(D875,契約台帳!$A$3:$Q$4986,17,FALSE))</f>
        <v>2</v>
      </c>
      <c r="Y875" s="256" t="str">
        <f>IF(D875="","",VLOOKUP(D875,契約台帳!$A$3:$E$4986,5,FALSE))</f>
        <v xml:space="preserve">日東電工㈱豊橋工場  </v>
      </c>
      <c r="Z875" s="310">
        <v>45212</v>
      </c>
      <c r="AA875" s="200"/>
      <c r="AB875" s="312"/>
      <c r="AC875" s="313"/>
      <c r="AD875" s="51" t="str">
        <f>IF(F875="","",+F875&amp;K875)</f>
        <v>3SNMLBMTSF50</v>
      </c>
      <c r="AE875" s="52">
        <f>+M875*N875*O875/1000</f>
        <v>15311</v>
      </c>
      <c r="AF875" s="41">
        <f>IF(AD875="","",VLOOKUP(AD875,原価マスタ!$A$2:$AJ$1693,13,FALSE))</f>
        <v>95</v>
      </c>
      <c r="AG875" s="45">
        <f>IF(AF875="","",+AE875*AF875/100)</f>
        <v>14545.45</v>
      </c>
      <c r="AH875" s="28"/>
      <c r="AI875" s="28"/>
      <c r="AJ875" s="28"/>
      <c r="AK875" s="28"/>
      <c r="AL875" s="12"/>
      <c r="AM875" s="12"/>
      <c r="AN875" s="12"/>
      <c r="AO875" s="12"/>
      <c r="AP875" s="12"/>
      <c r="AQ875" s="13"/>
      <c r="AR875" s="14"/>
    </row>
    <row r="876" spans="1:44" s="16" customFormat="1" ht="30.95" hidden="1" customHeight="1" x14ac:dyDescent="0.2">
      <c r="A876" s="303"/>
      <c r="B876" s="304"/>
      <c r="C876" s="305"/>
      <c r="D876" s="306"/>
      <c r="E876" s="306"/>
      <c r="F876" s="255"/>
      <c r="G876" s="256"/>
      <c r="H876" s="256"/>
      <c r="I876" s="200"/>
      <c r="J876" s="307"/>
      <c r="K876" s="200"/>
      <c r="L876" s="200"/>
      <c r="M876" s="308"/>
      <c r="N876" s="308"/>
      <c r="O876" s="309"/>
      <c r="P876" s="310"/>
      <c r="Q876" s="260"/>
      <c r="R876" s="261"/>
      <c r="S876" s="261"/>
      <c r="T876" s="311"/>
      <c r="U876" s="261"/>
      <c r="V876" s="256"/>
      <c r="W876" s="256"/>
      <c r="X876" s="256"/>
      <c r="Y876" s="256"/>
      <c r="Z876" s="310"/>
      <c r="AA876" s="200"/>
      <c r="AB876" s="312"/>
      <c r="AC876" s="313"/>
      <c r="AD876" s="51" t="str">
        <f>IF(F876="","",+F876&amp;K876)</f>
        <v/>
      </c>
      <c r="AE876" s="52">
        <f>+M876*N876*O876/1000</f>
        <v>0</v>
      </c>
      <c r="AF876" s="41" t="str">
        <f>IF(AD876="","",VLOOKUP(AD876,原価マスタ!$A$2:$AJ$1693,13,FALSE))</f>
        <v/>
      </c>
      <c r="AG876" s="45" t="str">
        <f>IF(AF876="","",+AE876*AF876/100)</f>
        <v/>
      </c>
      <c r="AH876" s="28"/>
      <c r="AI876" s="28"/>
      <c r="AJ876" s="28"/>
      <c r="AK876" s="28"/>
      <c r="AL876" s="12"/>
      <c r="AM876" s="12"/>
      <c r="AN876" s="12"/>
      <c r="AO876" s="12"/>
      <c r="AP876" s="12"/>
      <c r="AQ876" s="13"/>
      <c r="AR876" s="14"/>
    </row>
    <row r="877" spans="1:44" s="16" customFormat="1" ht="30.95" hidden="1" customHeight="1" x14ac:dyDescent="0.2">
      <c r="A877" s="303"/>
      <c r="B877" s="304"/>
      <c r="C877" s="305"/>
      <c r="D877" s="29">
        <v>3727587</v>
      </c>
      <c r="E877" s="29">
        <v>4151497</v>
      </c>
      <c r="F877" s="255" t="str">
        <f>IF(D877="","",VLOOKUP(D877,契約台帳!$A$3:$K$4986,6,FALSE)&amp;VLOOKUP(D877,契約台帳!$A$3:$K$4986,7,FALSE)&amp;VLOOKUP(D877,契約台帳!$A$3:$K$4986,8,FALSE)&amp;VLOOKUP(D877,契約台帳!$A$3:$K$4986,9,FALSE)&amp;VLOOKUP(D877,契約台帳!$A$3:$K$4986,11,FALSE))</f>
        <v>3SNMLBMTSF</v>
      </c>
      <c r="G877" s="256" t="str">
        <f>IF(D877="","",VLOOKUP(F877,製品マスタ!$G$5:$H$4999,2,FALSE))</f>
        <v>S</v>
      </c>
      <c r="H877" s="256" t="str">
        <f>IF(D877="","",VLOOKUP(F877,製品マスタ!$G$5:$K$4999,5,FALSE))</f>
        <v>MTSF</v>
      </c>
      <c r="I877" s="200" t="str">
        <f>IF(D877="","",VLOOKUP(F877,製品マスタ!$G$5:$L$4999,6,FALSE))</f>
        <v>メタルミー　ＴＳ</v>
      </c>
      <c r="J877" s="30" t="s">
        <v>447</v>
      </c>
      <c r="K877" s="200">
        <f>IF(D877="","",VLOOKUP(D877,契約台帳!$A$3:$L$4986,12,FALSE))</f>
        <v>50</v>
      </c>
      <c r="L877" s="200" t="str">
        <f>IF(D877="","",INDEX(製品マスタ!$Q$5:$Q$4999,MATCH(F877&amp;K877,製品マスタ!$AO$5:$AO$4999,0)))</f>
        <v>T62M</v>
      </c>
      <c r="M877" s="37">
        <v>1255</v>
      </c>
      <c r="N877" s="37">
        <v>6100</v>
      </c>
      <c r="O877" s="45">
        <v>1</v>
      </c>
      <c r="P877" s="54"/>
      <c r="Q877" s="260">
        <f>IF(D877="","",IF(J877="リード付け",M877,VLOOKUP(D877,契約台帳!$A$3:$N$4986,14,FALSE)))</f>
        <v>1255</v>
      </c>
      <c r="R877" s="261">
        <f>IF(D877="","",IF(J877="リード付け",M877,VLOOKUP(D877,契約台帳!$A$3:$O$4986,15,FALSE)))</f>
        <v>1250</v>
      </c>
      <c r="S877" s="261">
        <f>IF(D877="","",IF(J877="リード付け",N877,VLOOKUP(D877,契約台帳!$A$3:$P$4986,16,FALSE)))</f>
        <v>2000</v>
      </c>
      <c r="T877" s="38">
        <v>3</v>
      </c>
      <c r="U877" s="261" t="str">
        <f ca="1">IF(D877="","",IF(OFFSET(D877,-2,0)=D877,"",VLOOKUP(D877,契約台帳!$A$3:$R$4986,18,FALSE)))</f>
        <v/>
      </c>
      <c r="V877" s="256" t="str">
        <f>IF(J877="巻返し",VLOOKUP(F877&amp;K877&amp;M877,製品マスタ!$M$5:$AD$4999,18,FALSE),IF(J877="リード付け","原反コア",IF(J877="スリット",VLOOKUP(F877&amp;K877&amp;Q877,製品マスタ!$N$5:$AD$4999,17,FALSE),"")))</f>
        <v>3ｲﾝﾁSｺｱ</v>
      </c>
      <c r="W877" s="256">
        <f>IF(J877="巻返し",VLOOKUP(F877&amp;K877&amp;M877,製品マスタ!$M$5:$AE$4999,19,FALSE),IF(J877="リード付け","-",IF(J877="スリット",VLOOKUP(F877&amp;K877&amp;Q877,製品マスタ!$N$5:$AE$4999,18,FALSE),"")))</f>
        <v>1260</v>
      </c>
      <c r="X877" s="256">
        <f>IF(D877="","",VLOOKUP(D877,契約台帳!$A$3:$Q$4986,17,FALSE))</f>
        <v>2</v>
      </c>
      <c r="Y877" s="256" t="str">
        <f>IF(D877="","",VLOOKUP(D877,契約台帳!$A$3:$E$4986,5,FALSE))</f>
        <v xml:space="preserve">日東電工㈱豊橋工場  </v>
      </c>
      <c r="Z877" s="310">
        <v>45212</v>
      </c>
      <c r="AA877" s="200"/>
      <c r="AB877" s="312"/>
      <c r="AC877" s="313"/>
      <c r="AD877" s="51" t="str">
        <f>IF(F877="","",+F877&amp;K877)</f>
        <v>3SNMLBMTSF50</v>
      </c>
      <c r="AE877" s="52">
        <f>+M877*N877*O877/1000</f>
        <v>7655.5</v>
      </c>
      <c r="AF877" s="41">
        <f>IF(AD877="","",VLOOKUP(AD877,原価マスタ!$A$2:$AJ$1693,13,FALSE))</f>
        <v>95</v>
      </c>
      <c r="AG877" s="45">
        <f>IF(AF877="","",+AE877*AF877/100)</f>
        <v>7272.7250000000004</v>
      </c>
      <c r="AH877" s="28"/>
      <c r="AI877" s="28"/>
      <c r="AJ877" s="28"/>
      <c r="AK877" s="28"/>
      <c r="AL877" s="12"/>
      <c r="AM877" s="12"/>
      <c r="AN877" s="12"/>
      <c r="AO877" s="12"/>
      <c r="AP877" s="12"/>
      <c r="AQ877" s="13"/>
      <c r="AR877" s="14"/>
    </row>
    <row r="878" spans="1:44" s="16" customFormat="1" ht="30.95" hidden="1" customHeight="1" x14ac:dyDescent="0.2">
      <c r="A878" s="303"/>
      <c r="B878" s="304"/>
      <c r="C878" s="305"/>
      <c r="D878" s="306"/>
      <c r="E878" s="306"/>
      <c r="F878" s="255"/>
      <c r="G878" s="256"/>
      <c r="H878" s="256"/>
      <c r="I878" s="200"/>
      <c r="J878" s="307"/>
      <c r="K878" s="200"/>
      <c r="L878" s="200"/>
      <c r="M878" s="308"/>
      <c r="N878" s="308"/>
      <c r="O878" s="309"/>
      <c r="P878" s="310"/>
      <c r="Q878" s="260"/>
      <c r="R878" s="261"/>
      <c r="S878" s="261"/>
      <c r="T878" s="311"/>
      <c r="U878" s="261"/>
      <c r="V878" s="256"/>
      <c r="W878" s="256"/>
      <c r="X878" s="256"/>
      <c r="Y878" s="256"/>
      <c r="Z878" s="310"/>
      <c r="AA878" s="200"/>
      <c r="AB878" s="312"/>
      <c r="AC878" s="313"/>
      <c r="AD878" s="51"/>
      <c r="AE878" s="314"/>
      <c r="AF878" s="315"/>
      <c r="AG878" s="309"/>
      <c r="AH878" s="28"/>
      <c r="AI878" s="28"/>
      <c r="AJ878" s="28"/>
      <c r="AK878" s="28"/>
      <c r="AL878" s="12"/>
      <c r="AM878" s="12"/>
      <c r="AN878" s="12"/>
      <c r="AO878" s="12"/>
      <c r="AP878" s="12"/>
      <c r="AQ878" s="13"/>
      <c r="AR878" s="14"/>
    </row>
    <row r="879" spans="1:44" s="16" customFormat="1" ht="30.95" hidden="1" customHeight="1" x14ac:dyDescent="0.2">
      <c r="A879" s="35" t="s">
        <v>594</v>
      </c>
      <c r="B879" s="36" t="s">
        <v>442</v>
      </c>
      <c r="C879" s="305"/>
      <c r="D879" s="29">
        <v>3727589</v>
      </c>
      <c r="E879" s="29">
        <v>4151500</v>
      </c>
      <c r="F879" s="255" t="str">
        <f>IF(D879="","",VLOOKUP(D879,契約台帳!$A$3:$K$4986,6,FALSE)&amp;VLOOKUP(D879,契約台帳!$A$3:$K$4986,7,FALSE)&amp;VLOOKUP(D879,契約台帳!$A$3:$K$4986,8,FALSE)&amp;VLOOKUP(D879,契約台帳!$A$3:$K$4986,9,FALSE)&amp;VLOOKUP(D879,契約台帳!$A$3:$K$4986,11,FALSE))</f>
        <v>3SNMLBMSF</v>
      </c>
      <c r="G879" s="256" t="str">
        <f>IF(D879="","",VLOOKUP(F879,製品マスタ!$G$5:$H$4999,2,FALSE))</f>
        <v>S</v>
      </c>
      <c r="H879" s="256" t="str">
        <f>IF(D879="","",VLOOKUP(F879,製品マスタ!$G$5:$K$4999,5,FALSE))</f>
        <v>MSF</v>
      </c>
      <c r="I879" s="200" t="str">
        <f>IF(D879="","",VLOOKUP(F879,製品マスタ!$G$5:$L$4999,6,FALSE))</f>
        <v>メタルミー　Ｓ</v>
      </c>
      <c r="J879" s="30" t="s">
        <v>447</v>
      </c>
      <c r="K879" s="200">
        <f>IF(D879="","",VLOOKUP(D879,契約台帳!$A$3:$L$4986,12,FALSE))</f>
        <v>25</v>
      </c>
      <c r="L879" s="200" t="str">
        <f>IF(D879="","",INDEX(製品マスタ!$Q$5:$Q$4999,MATCH(F879&amp;K879,製品マスタ!$AO$5:$AO$4999,0)))</f>
        <v>T62M</v>
      </c>
      <c r="M879" s="37">
        <v>1240</v>
      </c>
      <c r="N879" s="37">
        <v>12200</v>
      </c>
      <c r="O879" s="45">
        <v>1</v>
      </c>
      <c r="P879" s="54"/>
      <c r="Q879" s="260">
        <f>IF(D879="","",IF(J879="リード付け",M879,VLOOKUP(D879,契約台帳!$A$3:$N$4986,14,FALSE)))</f>
        <v>1240</v>
      </c>
      <c r="R879" s="261">
        <f>IF(D879="","",IF(J879="リード付け",M879,VLOOKUP(D879,契約台帳!$A$3:$O$4986,15,FALSE)))</f>
        <v>1240</v>
      </c>
      <c r="S879" s="261">
        <f>IF(D879="","",IF(J879="リード付け",N879,VLOOKUP(D879,契約台帳!$A$3:$P$4986,16,FALSE)))</f>
        <v>2000</v>
      </c>
      <c r="T879" s="38">
        <v>6</v>
      </c>
      <c r="U879" s="261">
        <f ca="1">IF(D879="","",IF(OFFSET(D879,-2,0)=D879,"",VLOOKUP(D879,契約台帳!$A$3:$R$4986,18,FALSE)))</f>
        <v>6</v>
      </c>
      <c r="V879" s="256" t="str">
        <f>IF(J879="巻返し",VLOOKUP(F879&amp;K879&amp;M879,製品マスタ!$M$5:$AD$4999,18,FALSE),IF(J879="リード付け","原反コア",IF(J879="スリット",VLOOKUP(F879&amp;K879&amp;Q879,製品マスタ!$N$5:$AD$4999,17,FALSE),"")))</f>
        <v>3ｲﾝﾁSｺｱ</v>
      </c>
      <c r="W879" s="256">
        <f>IF(J879="巻返し",VLOOKUP(F879&amp;K879&amp;M879,製品マスタ!$M$5:$AE$4999,19,FALSE),IF(J879="リード付け","-",IF(J879="スリット",VLOOKUP(F879&amp;K879&amp;Q879,製品マスタ!$N$5:$AE$4999,18,FALSE),"")))</f>
        <v>1245</v>
      </c>
      <c r="X879" s="256">
        <f>IF(D879="","",VLOOKUP(D879,契約台帳!$A$3:$Q$4986,17,FALSE))</f>
        <v>1</v>
      </c>
      <c r="Y879" s="256" t="str">
        <f>IF(D879="","",VLOOKUP(D879,契約台帳!$A$3:$E$4986,5,FALSE))</f>
        <v xml:space="preserve">日精㈱東京支店      </v>
      </c>
      <c r="Z879" s="310">
        <v>45215</v>
      </c>
      <c r="AA879" s="200"/>
      <c r="AB879" s="312"/>
      <c r="AC879" s="313"/>
      <c r="AD879" s="51" t="str">
        <f>IF(F879="","",+F879&amp;K879)</f>
        <v>3SNMLBMSF25</v>
      </c>
      <c r="AE879" s="52">
        <f>+M879*N879*O879/1000</f>
        <v>15128</v>
      </c>
      <c r="AF879" s="41">
        <f>IF(AD879="","",VLOOKUP(AD879,原価マスタ!$A$2:$AJ$1693,13,FALSE))</f>
        <v>97</v>
      </c>
      <c r="AG879" s="45">
        <f>IF(AF879="","",+AE879*AF879/100)</f>
        <v>14674.16</v>
      </c>
      <c r="AH879" s="28"/>
      <c r="AI879" s="28"/>
      <c r="AJ879" s="28"/>
      <c r="AK879" s="28"/>
      <c r="AL879" s="12"/>
      <c r="AM879" s="12"/>
      <c r="AN879" s="12"/>
      <c r="AO879" s="12"/>
      <c r="AP879" s="12"/>
      <c r="AQ879" s="13"/>
      <c r="AR879" s="14"/>
    </row>
    <row r="880" spans="1:44" s="16" customFormat="1" ht="30.95" hidden="1" customHeight="1" x14ac:dyDescent="0.2">
      <c r="A880" s="303"/>
      <c r="B880" s="304"/>
      <c r="C880" s="305"/>
      <c r="D880" s="306"/>
      <c r="E880" s="306"/>
      <c r="F880" s="255"/>
      <c r="G880" s="256"/>
      <c r="H880" s="256"/>
      <c r="I880" s="200"/>
      <c r="J880" s="307"/>
      <c r="K880" s="200"/>
      <c r="L880" s="200"/>
      <c r="M880" s="308"/>
      <c r="N880" s="308"/>
      <c r="O880" s="309"/>
      <c r="P880" s="310"/>
      <c r="Q880" s="260"/>
      <c r="R880" s="261"/>
      <c r="S880" s="261"/>
      <c r="T880" s="311"/>
      <c r="U880" s="261"/>
      <c r="V880" s="256"/>
      <c r="W880" s="256"/>
      <c r="X880" s="256"/>
      <c r="Y880" s="256"/>
      <c r="Z880" s="310"/>
      <c r="AA880" s="200"/>
      <c r="AB880" s="312"/>
      <c r="AC880" s="313"/>
      <c r="AD880" s="51"/>
      <c r="AE880" s="314"/>
      <c r="AF880" s="315"/>
      <c r="AG880" s="309"/>
      <c r="AH880" s="28"/>
      <c r="AI880" s="28"/>
      <c r="AJ880" s="28"/>
      <c r="AK880" s="28"/>
      <c r="AL880" s="12"/>
      <c r="AM880" s="12"/>
      <c r="AN880" s="12"/>
      <c r="AO880" s="12"/>
      <c r="AP880" s="12"/>
      <c r="AQ880" s="13"/>
      <c r="AR880" s="14"/>
    </row>
    <row r="881" spans="1:44" s="16" customFormat="1" ht="30.95" hidden="1" customHeight="1" x14ac:dyDescent="0.2">
      <c r="A881" s="35"/>
      <c r="B881" s="36"/>
      <c r="C881" s="305"/>
      <c r="D881" s="29">
        <v>3727586</v>
      </c>
      <c r="E881" s="29">
        <v>4151499</v>
      </c>
      <c r="F881" s="255" t="str">
        <f>IF(D881="","",VLOOKUP(D881,契約台帳!$A$3:$K$4986,6,FALSE)&amp;VLOOKUP(D881,契約台帳!$A$3:$K$4986,7,FALSE)&amp;VLOOKUP(D881,契約台帳!$A$3:$K$4986,8,FALSE)&amp;VLOOKUP(D881,契約台帳!$A$3:$K$4986,9,FALSE)&amp;VLOOKUP(D881,契約台帳!$A$3:$K$4986,11,FALSE))</f>
        <v>3SNMLBMSF</v>
      </c>
      <c r="G881" s="256" t="str">
        <f>IF(D881="","",VLOOKUP(F881,製品マスタ!$G$5:$H$4999,2,FALSE))</f>
        <v>S</v>
      </c>
      <c r="H881" s="256" t="str">
        <f>IF(D881="","",VLOOKUP(F881,製品マスタ!$G$5:$K$4999,5,FALSE))</f>
        <v>MSF</v>
      </c>
      <c r="I881" s="200" t="str">
        <f>IF(D881="","",VLOOKUP(F881,製品マスタ!$G$5:$L$4999,6,FALSE))</f>
        <v>メタルミー　Ｓ</v>
      </c>
      <c r="J881" s="30" t="s">
        <v>447</v>
      </c>
      <c r="K881" s="200">
        <f>IF(D881="","",VLOOKUP(D881,契約台帳!$A$3:$L$4986,12,FALSE))</f>
        <v>25</v>
      </c>
      <c r="L881" s="200" t="str">
        <f>IF(D881="","",INDEX(製品マスタ!$Q$5:$Q$4999,MATCH(F881&amp;K881,製品マスタ!$AO$5:$AO$4999,0)))</f>
        <v>T62M</v>
      </c>
      <c r="M881" s="37">
        <v>1020</v>
      </c>
      <c r="N881" s="37">
        <v>12100</v>
      </c>
      <c r="O881" s="45">
        <v>1</v>
      </c>
      <c r="P881" s="54"/>
      <c r="Q881" s="260">
        <f>IF(D881="","",IF(J881="リード付け",M881,VLOOKUP(D881,契約台帳!$A$3:$N$4986,14,FALSE)))</f>
        <v>510</v>
      </c>
      <c r="R881" s="261">
        <f>IF(D881="","",IF(J881="リード付け",M881,VLOOKUP(D881,契約台帳!$A$3:$O$4986,15,FALSE)))</f>
        <v>510</v>
      </c>
      <c r="S881" s="261">
        <f>IF(D881="","",IF(J881="リード付け",N881,VLOOKUP(D881,契約台帳!$A$3:$P$4986,16,FALSE)))</f>
        <v>2000</v>
      </c>
      <c r="T881" s="38">
        <v>12</v>
      </c>
      <c r="U881" s="261">
        <f ca="1">IF(D881="","",IF(OFFSET(D881,-2,0)=D881,"",VLOOKUP(D881,契約台帳!$A$3:$R$4986,18,FALSE)))</f>
        <v>12</v>
      </c>
      <c r="V881" s="256" t="str">
        <f>IF(J881="巻返し",VLOOKUP(F881&amp;K881&amp;M881,製品マスタ!$M$5:$AD$4999,18,FALSE),IF(J881="リード付け","原反コア",IF(J881="スリット",VLOOKUP(F881&amp;K881&amp;Q881,製品マスタ!$N$5:$AD$4999,17,FALSE),"")))</f>
        <v>3ｲﾝﾁSｺｱ</v>
      </c>
      <c r="W881" s="256">
        <f>IF(J881="巻返し",VLOOKUP(F881&amp;K881&amp;M881,製品マスタ!$M$5:$AE$4999,19,FALSE),IF(J881="リード付け","-",IF(J881="スリット",VLOOKUP(F881&amp;K881&amp;Q881,製品マスタ!$N$5:$AE$4999,18,FALSE),"")))</f>
        <v>1005</v>
      </c>
      <c r="X881" s="256">
        <f>IF(D881="","",VLOOKUP(D881,契約台帳!$A$3:$Q$4986,17,FALSE))</f>
        <v>1</v>
      </c>
      <c r="Y881" s="256" t="str">
        <f>IF(D881="","",VLOOKUP(D881,契約台帳!$A$3:$E$4986,5,FALSE))</f>
        <v xml:space="preserve">日東シンコー㈱      </v>
      </c>
      <c r="Z881" s="310">
        <v>45215</v>
      </c>
      <c r="AA881" s="200">
        <f>IFERROR(VLOOKUP(F881&amp;K881&amp;M881,製品マスタ!$M$5:$AM$4999,27,FALSE),"")</f>
        <v>0</v>
      </c>
      <c r="AB881" s="312"/>
      <c r="AC881" s="313"/>
      <c r="AD881" s="51" t="str">
        <f>IF(F881="","",+F881&amp;K881)</f>
        <v>3SNMLBMSF25</v>
      </c>
      <c r="AE881" s="52">
        <f>+M881*N881*O881/1000</f>
        <v>12342</v>
      </c>
      <c r="AF881" s="41">
        <f>IF(AD881="","",VLOOKUP(AD881,原価マスタ!$A$2:$AJ$1693,13,FALSE))</f>
        <v>97</v>
      </c>
      <c r="AG881" s="45">
        <f>IF(AF881="","",+AE881*AF881/100)</f>
        <v>11971.74</v>
      </c>
      <c r="AH881" s="28"/>
      <c r="AI881" s="28"/>
      <c r="AJ881" s="28"/>
      <c r="AK881" s="28"/>
      <c r="AL881" s="12"/>
      <c r="AM881" s="12"/>
      <c r="AN881" s="12"/>
      <c r="AO881" s="12"/>
      <c r="AP881" s="12"/>
      <c r="AQ881" s="13"/>
      <c r="AR881" s="14"/>
    </row>
    <row r="882" spans="1:44" s="16" customFormat="1" ht="30.95" hidden="1" customHeight="1" x14ac:dyDescent="0.2">
      <c r="A882" s="303"/>
      <c r="B882" s="304"/>
      <c r="C882" s="305"/>
      <c r="D882" s="306"/>
      <c r="E882" s="306"/>
      <c r="F882" s="255"/>
      <c r="G882" s="256"/>
      <c r="H882" s="256"/>
      <c r="I882" s="200"/>
      <c r="J882" s="307"/>
      <c r="K882" s="200"/>
      <c r="L882" s="200"/>
      <c r="M882" s="308"/>
      <c r="N882" s="308"/>
      <c r="O882" s="309"/>
      <c r="P882" s="310"/>
      <c r="Q882" s="260"/>
      <c r="R882" s="261"/>
      <c r="S882" s="261"/>
      <c r="T882" s="311"/>
      <c r="U882" s="261"/>
      <c r="V882" s="256"/>
      <c r="W882" s="256"/>
      <c r="X882" s="256"/>
      <c r="Y882" s="256"/>
      <c r="Z882" s="310"/>
      <c r="AA882" s="200"/>
      <c r="AB882" s="312"/>
      <c r="AC882" s="313"/>
      <c r="AD882" s="51"/>
      <c r="AE882" s="314"/>
      <c r="AF882" s="315"/>
      <c r="AG882" s="309"/>
      <c r="AH882" s="28"/>
      <c r="AI882" s="28"/>
      <c r="AJ882" s="28"/>
      <c r="AK882" s="28"/>
      <c r="AL882" s="12"/>
      <c r="AM882" s="12"/>
      <c r="AN882" s="12"/>
      <c r="AO882" s="12"/>
      <c r="AP882" s="12"/>
      <c r="AQ882" s="13"/>
      <c r="AR882" s="14"/>
    </row>
    <row r="883" spans="1:44" s="16" customFormat="1" ht="30.95" hidden="1" customHeight="1" x14ac:dyDescent="0.2">
      <c r="A883" s="35" t="s">
        <v>595</v>
      </c>
      <c r="B883" s="36" t="s">
        <v>443</v>
      </c>
      <c r="C883" s="305"/>
      <c r="D883" s="29">
        <v>3727611</v>
      </c>
      <c r="E883" s="29">
        <v>4151498</v>
      </c>
      <c r="F883" s="255" t="str">
        <f>IF(D883="","",VLOOKUP(D883,契約台帳!$A$3:$K$4986,6,FALSE)&amp;VLOOKUP(D883,契約台帳!$A$3:$K$4986,7,FALSE)&amp;VLOOKUP(D883,契約台帳!$A$3:$K$4986,8,FALSE)&amp;VLOOKUP(D883,契約台帳!$A$3:$K$4986,9,FALSE)&amp;VLOOKUP(D883,契約台帳!$A$3:$K$4986,11,FALSE))</f>
        <v>3SNMLBMNQR66F</v>
      </c>
      <c r="G883" s="256" t="str">
        <f>IF(D883="","",VLOOKUP(F883,製品マスタ!$G$5:$H$4999,2,FALSE))</f>
        <v>S</v>
      </c>
      <c r="H883" s="256" t="str">
        <f>IF(D883="","",VLOOKUP(F883,製品マスタ!$G$5:$K$4999,5,FALSE))</f>
        <v>MNQR66F</v>
      </c>
      <c r="I883" s="200" t="str">
        <f>IF(D883="","",VLOOKUP(F883,製品マスタ!$G$5:$L$4999,6,FALSE))</f>
        <v>ＱＲ６６蒸着品</v>
      </c>
      <c r="J883" s="30" t="s">
        <v>447</v>
      </c>
      <c r="K883" s="200">
        <f>IF(D883="","",VLOOKUP(D883,契約台帳!$A$3:$L$4986,12,FALSE))</f>
        <v>25</v>
      </c>
      <c r="L883" s="200" t="str">
        <f>IF(D883="","",INDEX(製品マスタ!$Q$5:$Q$4999,MATCH(F883&amp;K883,製品マスタ!$AO$5:$AO$4999,0)))</f>
        <v>E315</v>
      </c>
      <c r="M883" s="37">
        <v>1100</v>
      </c>
      <c r="N883" s="37">
        <v>24000</v>
      </c>
      <c r="O883" s="45">
        <v>2</v>
      </c>
      <c r="P883" s="54"/>
      <c r="Q883" s="260">
        <f>IF(D883="","",IF(J883="リード付け",M883,VLOOKUP(D883,契約台帳!$A$3:$N$4986,14,FALSE)))</f>
        <v>1100</v>
      </c>
      <c r="R883" s="261">
        <f>IF(D883="","",IF(J883="リード付け",M883,VLOOKUP(D883,契約台帳!$A$3:$O$4986,15,FALSE)))</f>
        <v>1100</v>
      </c>
      <c r="S883" s="261">
        <f>IF(D883="","",IF(J883="リード付け",N883,VLOOKUP(D883,契約台帳!$A$3:$P$4986,16,FALSE)))</f>
        <v>6000</v>
      </c>
      <c r="T883" s="38">
        <v>8</v>
      </c>
      <c r="U883" s="261">
        <f ca="1">IF(D883="","",IF(OFFSET(D883,-2,0)=D883,"",VLOOKUP(D883,契約台帳!$A$3:$R$4986,18,FALSE)))</f>
        <v>8</v>
      </c>
      <c r="V883" s="256" t="str">
        <f>IF(J883="巻返し",VLOOKUP(F883&amp;K883&amp;M883,製品マスタ!$M$5:$AD$4999,18,FALSE),IF(J883="リード付け","原反コア",IF(J883="スリット",VLOOKUP(F883&amp;K883&amp;Q883,製品マスタ!$N$5:$AD$4999,17,FALSE),"")))</f>
        <v>6ｲﾝﾁMｺｱ</v>
      </c>
      <c r="W883" s="256">
        <f>IF(J883="巻返し",VLOOKUP(F883&amp;K883&amp;M883,製品マスタ!$M$5:$AE$4999,19,FALSE),IF(J883="リード付け","-",IF(J883="スリット",VLOOKUP(F883&amp;K883&amp;Q883,製品マスタ!$N$5:$AE$4999,18,FALSE),"")))</f>
        <v>1110</v>
      </c>
      <c r="X883" s="256">
        <f>IF(D883="","",VLOOKUP(D883,契約台帳!$A$3:$Q$4986,17,FALSE))</f>
        <v>2</v>
      </c>
      <c r="Y883" s="256" t="str">
        <f>IF(D883="","",VLOOKUP(D883,契約台帳!$A$3:$E$4986,5,FALSE))</f>
        <v xml:space="preserve">リンテック㈱        </v>
      </c>
      <c r="Z883" s="310">
        <v>45216</v>
      </c>
      <c r="AA883" s="200" t="str">
        <f>IFERROR(VLOOKUP(F883&amp;K883&amp;M883,製品マスタ!$M$5:$AM$4999,27,FALSE),"")</f>
        <v>原反ケース再利用</v>
      </c>
      <c r="AB883" s="312"/>
      <c r="AC883" s="313"/>
      <c r="AD883" s="51" t="str">
        <f>IF(F883="","",+F883&amp;K883)</f>
        <v>3SNMLBMNQR66F25</v>
      </c>
      <c r="AE883" s="52">
        <f>+M883*N883*O883/1000</f>
        <v>52800</v>
      </c>
      <c r="AF883" s="41">
        <f>IF(AD883="","",VLOOKUP(AD883,原価マスタ!$A$2:$AJ$1693,13,FALSE))</f>
        <v>98</v>
      </c>
      <c r="AG883" s="45">
        <f>IF(AF883="","",+AE883*AF883/100)</f>
        <v>51744</v>
      </c>
      <c r="AH883" s="28"/>
      <c r="AI883" s="28"/>
      <c r="AJ883" s="28"/>
      <c r="AK883" s="28"/>
      <c r="AL883" s="12"/>
      <c r="AM883" s="12"/>
      <c r="AN883" s="12"/>
      <c r="AO883" s="12"/>
      <c r="AP883" s="12"/>
      <c r="AQ883" s="13"/>
      <c r="AR883" s="14"/>
    </row>
    <row r="884" spans="1:44" s="16" customFormat="1" ht="30.95" hidden="1" customHeight="1" x14ac:dyDescent="0.2">
      <c r="A884" s="303"/>
      <c r="B884" s="304"/>
      <c r="C884" s="305"/>
      <c r="D884" s="306"/>
      <c r="E884" s="306"/>
      <c r="F884" s="255"/>
      <c r="G884" s="256"/>
      <c r="H884" s="256"/>
      <c r="I884" s="200"/>
      <c r="J884" s="307"/>
      <c r="K884" s="200"/>
      <c r="L884" s="200"/>
      <c r="M884" s="308"/>
      <c r="N884" s="308"/>
      <c r="O884" s="309"/>
      <c r="P884" s="310"/>
      <c r="Q884" s="260"/>
      <c r="R884" s="261"/>
      <c r="S884" s="261"/>
      <c r="T884" s="311"/>
      <c r="U884" s="261"/>
      <c r="V884" s="256"/>
      <c r="W884" s="256"/>
      <c r="X884" s="256"/>
      <c r="Y884" s="256"/>
      <c r="Z884" s="310"/>
      <c r="AA884" s="200"/>
      <c r="AB884" s="312"/>
      <c r="AC884" s="313"/>
      <c r="AD884" s="51"/>
      <c r="AE884" s="314"/>
      <c r="AF884" s="315"/>
      <c r="AG884" s="309"/>
      <c r="AH884" s="28"/>
      <c r="AI884" s="28"/>
      <c r="AJ884" s="28"/>
      <c r="AK884" s="28"/>
      <c r="AL884" s="12"/>
      <c r="AM884" s="12"/>
      <c r="AN884" s="12"/>
      <c r="AO884" s="12"/>
      <c r="AP884" s="12"/>
      <c r="AQ884" s="13"/>
      <c r="AR884" s="14"/>
    </row>
    <row r="885" spans="1:44" s="16" customFormat="1" ht="30.95" hidden="1" customHeight="1" x14ac:dyDescent="0.2">
      <c r="A885" s="35" t="s">
        <v>596</v>
      </c>
      <c r="B885" s="36" t="s">
        <v>444</v>
      </c>
      <c r="C885" s="305"/>
      <c r="D885" s="29">
        <v>3725013</v>
      </c>
      <c r="E885" s="29">
        <v>4151481</v>
      </c>
      <c r="F885" s="255" t="str">
        <f>IF(D885="","",VLOOKUP(D885,契約台帳!$A$3:$K$4986,6,FALSE)&amp;VLOOKUP(D885,契約台帳!$A$3:$K$4986,7,FALSE)&amp;VLOOKUP(D885,契約台帳!$A$3:$K$4986,8,FALSE)&amp;VLOOKUP(D885,契約台帳!$A$3:$K$4986,9,FALSE)&amp;VLOOKUP(D885,契約台帳!$A$3:$K$4986,11,FALSE))</f>
        <v>3SNMLBMNGTBF</v>
      </c>
      <c r="G885" s="256" t="str">
        <f>IF(D885="","",VLOOKUP(F885,製品マスタ!$G$5:$H$4999,2,FALSE))</f>
        <v>S</v>
      </c>
      <c r="H885" s="256" t="str">
        <f>IF(D885="","",VLOOKUP(F885,製品マスタ!$G$5:$K$4999,5,FALSE))</f>
        <v>MNGTBF</v>
      </c>
      <c r="I885" s="200" t="str">
        <f>IF(D885="","",VLOOKUP(F885,製品マスタ!$G$5:$L$4999,6,FALSE))</f>
        <v>メタルミー　ネーマー　銀艶　Ｂ</v>
      </c>
      <c r="J885" s="30" t="s">
        <v>447</v>
      </c>
      <c r="K885" s="200">
        <f>IF(D885="","",VLOOKUP(D885,契約台帳!$A$3:$L$4986,12,FALSE))</f>
        <v>50</v>
      </c>
      <c r="L885" s="200" t="str">
        <f>IF(D885="","",INDEX(製品マスタ!$Q$5:$Q$4999,MATCH(F885&amp;K885,製品マスタ!$AO$5:$AO$4999,0)))</f>
        <v>T62</v>
      </c>
      <c r="M885" s="37">
        <v>1120</v>
      </c>
      <c r="N885" s="37">
        <v>10000</v>
      </c>
      <c r="O885" s="45">
        <v>3</v>
      </c>
      <c r="P885" s="54"/>
      <c r="Q885" s="260">
        <f>IF(D885="","",IF(J885="リード付け",M885,VLOOKUP(D885,契約台帳!$A$3:$N$4986,14,FALSE)))</f>
        <v>1120</v>
      </c>
      <c r="R885" s="261">
        <f>IF(D885="","",IF(J885="リード付け",M885,VLOOKUP(D885,契約台帳!$A$3:$O$4986,15,FALSE)))</f>
        <v>1120</v>
      </c>
      <c r="S885" s="261">
        <f>IF(D885="","",IF(J885="リード付け",N885,VLOOKUP(D885,契約台帳!$A$3:$P$4986,16,FALSE)))</f>
        <v>5000</v>
      </c>
      <c r="T885" s="38">
        <v>6</v>
      </c>
      <c r="U885" s="261">
        <f ca="1">IF(D885="","",IF(OFFSET(D885,-2,0)=D885,"",VLOOKUP(D885,契約台帳!$A$3:$R$4986,18,FALSE)))</f>
        <v>28</v>
      </c>
      <c r="V885" s="256" t="str">
        <f>IF(J885="巻返し",VLOOKUP(F885&amp;K885&amp;M885,製品マスタ!$M$5:$AD$4999,18,FALSE),IF(J885="リード付け","原反コア",IF(J885="スリット",VLOOKUP(F885&amp;K885&amp;Q885,製品マスタ!$N$5:$AD$4999,17,FALSE),"")))</f>
        <v>6ｲﾝﾁSｺｱ</v>
      </c>
      <c r="W885" s="256">
        <f>IF(J885="巻返し",VLOOKUP(F885&amp;K885&amp;M885,製品マスタ!$M$5:$AE$4999,19,FALSE),IF(J885="リード付け","-",IF(J885="スリット",VLOOKUP(F885&amp;K885&amp;Q885,製品マスタ!$N$5:$AE$4999,18,FALSE),"")))</f>
        <v>1125</v>
      </c>
      <c r="X885" s="256">
        <f>IF(D885="","",VLOOKUP(D885,契約台帳!$A$3:$Q$4986,17,FALSE))</f>
        <v>2</v>
      </c>
      <c r="Y885" s="256" t="str">
        <f>IF(D885="","",VLOOKUP(D885,契約台帳!$A$3:$E$4986,5,FALSE))</f>
        <v>リンテック㈱</v>
      </c>
      <c r="Z885" s="310">
        <v>45217</v>
      </c>
      <c r="AA885" s="200" t="str">
        <f>IFERROR(VLOOKUP(F885&amp;K885&amp;M885,製品マスタ!$M$5:$AM$4999,27,FALSE),"")</f>
        <v>原反ケース再利用</v>
      </c>
      <c r="AB885" s="312"/>
      <c r="AC885" s="313"/>
      <c r="AD885" s="51" t="str">
        <f>IF(F885="","",+F885&amp;K885)</f>
        <v>3SNMLBMNGTBF50</v>
      </c>
      <c r="AE885" s="52">
        <f>+M885*N885*O885/1000</f>
        <v>33600</v>
      </c>
      <c r="AF885" s="41">
        <f>IF(AD885="","",VLOOKUP(AD885,原価マスタ!$A$2:$AJ$1693,13,FALSE))</f>
        <v>99</v>
      </c>
      <c r="AG885" s="45">
        <f>IF(AF885="","",+AE885*AF885/100)</f>
        <v>33264</v>
      </c>
      <c r="AH885" s="28"/>
      <c r="AI885" s="28"/>
      <c r="AJ885" s="28"/>
      <c r="AK885" s="28"/>
      <c r="AL885" s="12"/>
      <c r="AM885" s="12"/>
      <c r="AN885" s="12"/>
      <c r="AO885" s="12"/>
      <c r="AP885" s="12"/>
      <c r="AQ885" s="13"/>
      <c r="AR885" s="14"/>
    </row>
    <row r="886" spans="1:44" s="16" customFormat="1" ht="30.95" hidden="1" customHeight="1" x14ac:dyDescent="0.2">
      <c r="A886" s="303"/>
      <c r="B886" s="304"/>
      <c r="C886" s="305"/>
      <c r="D886" s="306"/>
      <c r="E886" s="306"/>
      <c r="F886" s="255"/>
      <c r="G886" s="256"/>
      <c r="H886" s="256"/>
      <c r="I886" s="200"/>
      <c r="J886" s="307"/>
      <c r="K886" s="200"/>
      <c r="L886" s="200"/>
      <c r="M886" s="308"/>
      <c r="N886" s="308"/>
      <c r="O886" s="309"/>
      <c r="P886" s="310"/>
      <c r="Q886" s="260"/>
      <c r="R886" s="261"/>
      <c r="S886" s="261"/>
      <c r="T886" s="311"/>
      <c r="U886" s="261"/>
      <c r="V886" s="256"/>
      <c r="W886" s="256"/>
      <c r="X886" s="256"/>
      <c r="Y886" s="256"/>
      <c r="Z886" s="310"/>
      <c r="AA886" s="200"/>
      <c r="AB886" s="312"/>
      <c r="AC886" s="313"/>
      <c r="AD886" s="51"/>
      <c r="AE886" s="314"/>
      <c r="AF886" s="315"/>
      <c r="AG886" s="309"/>
      <c r="AH886" s="28"/>
      <c r="AI886" s="28"/>
      <c r="AJ886" s="28"/>
      <c r="AK886" s="28"/>
      <c r="AL886" s="12"/>
      <c r="AM886" s="12"/>
      <c r="AN886" s="12"/>
      <c r="AO886" s="12"/>
      <c r="AP886" s="12"/>
      <c r="AQ886" s="13"/>
      <c r="AR886" s="14"/>
    </row>
    <row r="887" spans="1:44" s="16" customFormat="1" ht="30.95" hidden="1" customHeight="1" x14ac:dyDescent="0.2">
      <c r="A887" s="35"/>
      <c r="B887" s="36"/>
      <c r="C887" s="305"/>
      <c r="D887" s="29">
        <v>3727600</v>
      </c>
      <c r="E887" s="29">
        <v>4151489</v>
      </c>
      <c r="F887" s="255" t="str">
        <f>IF(D887="","",VLOOKUP(D887,契約台帳!$A$3:$K$4986,6,FALSE)&amp;VLOOKUP(D887,契約台帳!$A$3:$K$4986,7,FALSE)&amp;VLOOKUP(D887,契約台帳!$A$3:$K$4986,8,FALSE)&amp;VLOOKUP(D887,契約台帳!$A$3:$K$4986,9,FALSE)&amp;VLOOKUP(D887,契約台帳!$A$3:$K$4986,11,FALSE))</f>
        <v>3SNMLBMNGTBF</v>
      </c>
      <c r="G887" s="256" t="str">
        <f>IF(D887="","",VLOOKUP(F887,製品マスタ!$G$5:$H$4999,2,FALSE))</f>
        <v>S</v>
      </c>
      <c r="H887" s="256" t="str">
        <f>IF(D887="","",VLOOKUP(F887,製品マスタ!$G$5:$K$4999,5,FALSE))</f>
        <v>MNGTBF</v>
      </c>
      <c r="I887" s="200" t="str">
        <f>IF(D887="","",VLOOKUP(F887,製品マスタ!$G$5:$L$4999,6,FALSE))</f>
        <v>メタルミー　ネーマー　銀艶　Ｂ</v>
      </c>
      <c r="J887" s="30" t="s">
        <v>447</v>
      </c>
      <c r="K887" s="200">
        <f>IF(D887="","",VLOOKUP(D887,契約台帳!$A$3:$L$4986,12,FALSE))</f>
        <v>50</v>
      </c>
      <c r="L887" s="200" t="str">
        <f>IF(D887="","",INDEX(製品マスタ!$Q$5:$Q$4999,MATCH(F887&amp;K887,製品マスタ!$AO$5:$AO$4999,0)))</f>
        <v>T62</v>
      </c>
      <c r="M887" s="37">
        <v>1120</v>
      </c>
      <c r="N887" s="37">
        <v>10000</v>
      </c>
      <c r="O887" s="45">
        <v>2</v>
      </c>
      <c r="P887" s="54"/>
      <c r="Q887" s="260">
        <f>IF(D887="","",IF(J887="リード付け",M887,VLOOKUP(D887,契約台帳!$A$3:$N$4986,14,FALSE)))</f>
        <v>1120</v>
      </c>
      <c r="R887" s="261">
        <f>IF(D887="","",IF(J887="リード付け",M887,VLOOKUP(D887,契約台帳!$A$3:$O$4986,15,FALSE)))</f>
        <v>1120</v>
      </c>
      <c r="S887" s="261">
        <f>IF(D887="","",IF(J887="リード付け",N887,VLOOKUP(D887,契約台帳!$A$3:$P$4986,16,FALSE)))</f>
        <v>5000</v>
      </c>
      <c r="T887" s="38">
        <v>4</v>
      </c>
      <c r="U887" s="261">
        <f ca="1">IF(D887="","",IF(OFFSET(D887,-2,0)=D887,"",VLOOKUP(D887,契約台帳!$A$3:$R$4986,18,FALSE)))</f>
        <v>36</v>
      </c>
      <c r="V887" s="256" t="str">
        <f>IF(J887="巻返し",VLOOKUP(F887&amp;K887&amp;M887,製品マスタ!$M$5:$AD$4999,18,FALSE),IF(J887="リード付け","原反コア",IF(J887="スリット",VLOOKUP(F887&amp;K887&amp;Q887,製品マスタ!$N$5:$AD$4999,17,FALSE),"")))</f>
        <v>6ｲﾝﾁSｺｱ</v>
      </c>
      <c r="W887" s="256">
        <f>IF(J887="巻返し",VLOOKUP(F887&amp;K887&amp;M887,製品マスタ!$M$5:$AE$4999,19,FALSE),IF(J887="リード付け","-",IF(J887="スリット",VLOOKUP(F887&amp;K887&amp;Q887,製品マスタ!$N$5:$AE$4999,18,FALSE),"")))</f>
        <v>1125</v>
      </c>
      <c r="X887" s="256">
        <f>IF(D887="","",VLOOKUP(D887,契約台帳!$A$3:$Q$4986,17,FALSE))</f>
        <v>2</v>
      </c>
      <c r="Y887" s="256" t="str">
        <f>IF(D887="","",VLOOKUP(D887,契約台帳!$A$3:$E$4986,5,FALSE))</f>
        <v xml:space="preserve">リンテック㈱        </v>
      </c>
      <c r="Z887" s="310">
        <v>45217</v>
      </c>
      <c r="AA887" s="200" t="str">
        <f>IFERROR(VLOOKUP(F887&amp;K887&amp;M887,製品マスタ!$M$5:$AM$4999,27,FALSE),"")</f>
        <v>原反ケース再利用</v>
      </c>
      <c r="AB887" s="312"/>
      <c r="AC887" s="313"/>
      <c r="AD887" s="51" t="str">
        <f>IF(F887="","",+F887&amp;K887)</f>
        <v>3SNMLBMNGTBF50</v>
      </c>
      <c r="AE887" s="52">
        <f>+M887*N887*O887/1000</f>
        <v>22400</v>
      </c>
      <c r="AF887" s="41">
        <f>IF(AD887="","",VLOOKUP(AD887,原価マスタ!$A$2:$AJ$1693,13,FALSE))</f>
        <v>99</v>
      </c>
      <c r="AG887" s="45">
        <f>IF(AF887="","",+AE887*AF887/100)</f>
        <v>22176</v>
      </c>
      <c r="AH887" s="28"/>
      <c r="AI887" s="28"/>
      <c r="AJ887" s="28"/>
      <c r="AK887" s="28"/>
      <c r="AL887" s="12"/>
      <c r="AM887" s="12"/>
      <c r="AN887" s="12"/>
      <c r="AO887" s="12"/>
      <c r="AP887" s="12"/>
      <c r="AQ887" s="13"/>
      <c r="AR887" s="14"/>
    </row>
    <row r="888" spans="1:44" s="16" customFormat="1" ht="30.95" hidden="1" customHeight="1" x14ac:dyDescent="0.2">
      <c r="A888" s="303"/>
      <c r="B888" s="304"/>
      <c r="C888" s="305"/>
      <c r="D888" s="306"/>
      <c r="E888" s="306"/>
      <c r="F888" s="255"/>
      <c r="G888" s="256"/>
      <c r="H888" s="256"/>
      <c r="I888" s="200"/>
      <c r="J888" s="307"/>
      <c r="K888" s="200"/>
      <c r="L888" s="200"/>
      <c r="M888" s="308"/>
      <c r="N888" s="308"/>
      <c r="O888" s="309"/>
      <c r="P888" s="310"/>
      <c r="Q888" s="260"/>
      <c r="R888" s="261"/>
      <c r="S888" s="261"/>
      <c r="T888" s="311"/>
      <c r="U888" s="261"/>
      <c r="V888" s="256"/>
      <c r="W888" s="256"/>
      <c r="X888" s="256"/>
      <c r="Y888" s="256"/>
      <c r="Z888" s="310"/>
      <c r="AA888" s="200"/>
      <c r="AB888" s="312"/>
      <c r="AC888" s="313"/>
      <c r="AD888" s="51"/>
      <c r="AE888" s="314"/>
      <c r="AF888" s="315"/>
      <c r="AG888" s="309"/>
      <c r="AH888" s="28"/>
      <c r="AI888" s="28"/>
      <c r="AJ888" s="28"/>
      <c r="AK888" s="28"/>
      <c r="AL888" s="12"/>
      <c r="AM888" s="12"/>
      <c r="AN888" s="12"/>
      <c r="AO888" s="12"/>
      <c r="AP888" s="12"/>
      <c r="AQ888" s="13"/>
      <c r="AR888" s="14"/>
    </row>
    <row r="889" spans="1:44" s="16" customFormat="1" ht="30.95" hidden="1" customHeight="1" x14ac:dyDescent="0.2">
      <c r="A889" s="303" t="s">
        <v>597</v>
      </c>
      <c r="B889" s="304" t="s">
        <v>445</v>
      </c>
      <c r="C889" s="305"/>
      <c r="D889" s="29">
        <v>3727600</v>
      </c>
      <c r="E889" s="29">
        <v>4151489</v>
      </c>
      <c r="F889" s="255" t="str">
        <f>IF(D889="","",VLOOKUP(D889,契約台帳!$A$3:$K$4986,6,FALSE)&amp;VLOOKUP(D889,契約台帳!$A$3:$K$4986,7,FALSE)&amp;VLOOKUP(D889,契約台帳!$A$3:$K$4986,8,FALSE)&amp;VLOOKUP(D889,契約台帳!$A$3:$K$4986,9,FALSE)&amp;VLOOKUP(D889,契約台帳!$A$3:$K$4986,11,FALSE))</f>
        <v>3SNMLBMNGTBF</v>
      </c>
      <c r="G889" s="256" t="str">
        <f>IF(D889="","",VLOOKUP(F889,製品マスタ!$G$5:$H$4999,2,FALSE))</f>
        <v>S</v>
      </c>
      <c r="H889" s="256" t="str">
        <f>IF(D889="","",VLOOKUP(F889,製品マスタ!$G$5:$K$4999,5,FALSE))</f>
        <v>MNGTBF</v>
      </c>
      <c r="I889" s="200" t="str">
        <f>IF(D889="","",VLOOKUP(F889,製品マスタ!$G$5:$L$4999,6,FALSE))</f>
        <v>メタルミー　ネーマー　銀艶　Ｂ</v>
      </c>
      <c r="J889" s="30" t="s">
        <v>447</v>
      </c>
      <c r="K889" s="200">
        <f>IF(D889="","",VLOOKUP(D889,契約台帳!$A$3:$L$4986,12,FALSE))</f>
        <v>50</v>
      </c>
      <c r="L889" s="200" t="str">
        <f>IF(D889="","",INDEX(製品マスタ!$Q$5:$Q$4999,MATCH(F889&amp;K889,製品マスタ!$AO$5:$AO$4999,0)))</f>
        <v>T62</v>
      </c>
      <c r="M889" s="37">
        <v>1120</v>
      </c>
      <c r="N889" s="37">
        <v>10000</v>
      </c>
      <c r="O889" s="45">
        <v>5</v>
      </c>
      <c r="P889" s="54"/>
      <c r="Q889" s="260">
        <f>IF(D889="","",IF(J889="リード付け",M889,VLOOKUP(D889,契約台帳!$A$3:$N$4986,14,FALSE)))</f>
        <v>1120</v>
      </c>
      <c r="R889" s="261">
        <f>IF(D889="","",IF(J889="リード付け",M889,VLOOKUP(D889,契約台帳!$A$3:$O$4986,15,FALSE)))</f>
        <v>1120</v>
      </c>
      <c r="S889" s="261">
        <f>IF(D889="","",IF(J889="リード付け",N889,VLOOKUP(D889,契約台帳!$A$3:$P$4986,16,FALSE)))</f>
        <v>5000</v>
      </c>
      <c r="T889" s="38">
        <v>10</v>
      </c>
      <c r="U889" s="261" t="str">
        <f ca="1">IF(D889="","",IF(OFFSET(D889,-2,0)=D889,"",VLOOKUP(D889,契約台帳!$A$3:$R$4986,18,FALSE)))</f>
        <v/>
      </c>
      <c r="V889" s="256" t="str">
        <f>IF(J889="巻返し",VLOOKUP(F889&amp;K889&amp;M889,製品マスタ!$M$5:$AD$4999,18,FALSE),IF(J889="リード付け","原反コア",IF(J889="スリット",VLOOKUP(F889&amp;K889&amp;Q889,製品マスタ!$N$5:$AD$4999,17,FALSE),"")))</f>
        <v>6ｲﾝﾁSｺｱ</v>
      </c>
      <c r="W889" s="256">
        <f>IF(J889="巻返し",VLOOKUP(F889&amp;K889&amp;M889,製品マスタ!$M$5:$AE$4999,19,FALSE),IF(J889="リード付け","-",IF(J889="スリット",VLOOKUP(F889&amp;K889&amp;Q889,製品マスタ!$N$5:$AE$4999,18,FALSE),"")))</f>
        <v>1125</v>
      </c>
      <c r="X889" s="256">
        <f>IF(D889="","",VLOOKUP(D889,契約台帳!$A$3:$Q$4986,17,FALSE))</f>
        <v>2</v>
      </c>
      <c r="Y889" s="256" t="str">
        <f>IF(D889="","",VLOOKUP(D889,契約台帳!$A$3:$E$4986,5,FALSE))</f>
        <v xml:space="preserve">リンテック㈱        </v>
      </c>
      <c r="Z889" s="310">
        <v>45217</v>
      </c>
      <c r="AA889" s="200" t="str">
        <f>IFERROR(VLOOKUP(F889&amp;K889&amp;M889,製品マスタ!$M$5:$AM$4999,27,FALSE),"")</f>
        <v>原反ケース再利用</v>
      </c>
      <c r="AB889" s="312"/>
      <c r="AC889" s="313"/>
      <c r="AD889" s="51" t="str">
        <f>IF(F889="","",+F889&amp;K889)</f>
        <v>3SNMLBMNGTBF50</v>
      </c>
      <c r="AE889" s="52">
        <f>+M889*N889*O889/1000</f>
        <v>56000</v>
      </c>
      <c r="AF889" s="41">
        <f>IF(AD889="","",VLOOKUP(AD889,原価マスタ!$A$2:$AJ$1693,13,FALSE))</f>
        <v>99</v>
      </c>
      <c r="AG889" s="45">
        <f>IF(AF889="","",+AE889*AF889/100)</f>
        <v>55440</v>
      </c>
      <c r="AH889" s="28"/>
      <c r="AI889" s="28"/>
      <c r="AJ889" s="28"/>
      <c r="AK889" s="28"/>
      <c r="AL889" s="12"/>
      <c r="AM889" s="12"/>
      <c r="AN889" s="12"/>
      <c r="AO889" s="12"/>
      <c r="AP889" s="12"/>
      <c r="AQ889" s="13"/>
      <c r="AR889" s="14"/>
    </row>
    <row r="890" spans="1:44" s="16" customFormat="1" ht="30.95" hidden="1" customHeight="1" x14ac:dyDescent="0.2">
      <c r="A890" s="303"/>
      <c r="B890" s="304"/>
      <c r="C890" s="305"/>
      <c r="D890" s="306"/>
      <c r="E890" s="306"/>
      <c r="F890" s="255"/>
      <c r="G890" s="256"/>
      <c r="H890" s="256"/>
      <c r="I890" s="200"/>
      <c r="J890" s="307"/>
      <c r="K890" s="200"/>
      <c r="L890" s="200"/>
      <c r="M890" s="308"/>
      <c r="N890" s="308"/>
      <c r="O890" s="309"/>
      <c r="P890" s="310"/>
      <c r="Q890" s="260"/>
      <c r="R890" s="261"/>
      <c r="S890" s="261"/>
      <c r="T890" s="311"/>
      <c r="U890" s="261"/>
      <c r="V890" s="256"/>
      <c r="W890" s="256"/>
      <c r="X890" s="256"/>
      <c r="Y890" s="256"/>
      <c r="Z890" s="310"/>
      <c r="AA890" s="200"/>
      <c r="AB890" s="312"/>
      <c r="AC890" s="313"/>
      <c r="AD890" s="51"/>
      <c r="AE890" s="314"/>
      <c r="AF890" s="315"/>
      <c r="AG890" s="309"/>
      <c r="AH890" s="28"/>
      <c r="AI890" s="28"/>
      <c r="AJ890" s="28"/>
      <c r="AK890" s="28"/>
      <c r="AL890" s="12"/>
      <c r="AM890" s="12"/>
      <c r="AN890" s="12"/>
      <c r="AO890" s="12"/>
      <c r="AP890" s="12"/>
      <c r="AQ890" s="13"/>
      <c r="AR890" s="14"/>
    </row>
    <row r="891" spans="1:44" s="16" customFormat="1" ht="30.95" hidden="1" customHeight="1" x14ac:dyDescent="0.2">
      <c r="A891" s="303" t="s">
        <v>1636</v>
      </c>
      <c r="B891" s="304" t="s">
        <v>1631</v>
      </c>
      <c r="C891" s="305"/>
      <c r="D891" s="306"/>
      <c r="E891" s="306"/>
      <c r="F891" s="255"/>
      <c r="G891" s="256"/>
      <c r="H891" s="256"/>
      <c r="I891" s="200"/>
      <c r="J891" s="307" t="s">
        <v>1637</v>
      </c>
      <c r="K891" s="200"/>
      <c r="L891" s="200"/>
      <c r="M891" s="308"/>
      <c r="N891" s="308"/>
      <c r="O891" s="309"/>
      <c r="P891" s="310"/>
      <c r="Q891" s="260"/>
      <c r="R891" s="261"/>
      <c r="S891" s="261"/>
      <c r="T891" s="311"/>
      <c r="U891" s="261"/>
      <c r="V891" s="256"/>
      <c r="W891" s="256"/>
      <c r="X891" s="256"/>
      <c r="Y891" s="256"/>
      <c r="Z891" s="310"/>
      <c r="AA891" s="200"/>
      <c r="AB891" s="312"/>
      <c r="AC891" s="313"/>
      <c r="AD891" s="51"/>
      <c r="AE891" s="314"/>
      <c r="AF891" s="315"/>
      <c r="AG891" s="309"/>
      <c r="AH891" s="28"/>
      <c r="AI891" s="28"/>
      <c r="AJ891" s="28"/>
      <c r="AK891" s="28"/>
      <c r="AL891" s="12"/>
      <c r="AM891" s="12"/>
      <c r="AN891" s="12"/>
      <c r="AO891" s="12"/>
      <c r="AP891" s="12"/>
      <c r="AQ891" s="13"/>
      <c r="AR891" s="14"/>
    </row>
    <row r="892" spans="1:44" s="16" customFormat="1" ht="30.95" hidden="1" customHeight="1" x14ac:dyDescent="0.2">
      <c r="A892" s="303"/>
      <c r="B892" s="304"/>
      <c r="C892" s="305"/>
      <c r="D892" s="306"/>
      <c r="E892" s="306"/>
      <c r="F892" s="255"/>
      <c r="G892" s="256"/>
      <c r="H892" s="256"/>
      <c r="I892" s="200"/>
      <c r="J892" s="307"/>
      <c r="K892" s="200"/>
      <c r="L892" s="200"/>
      <c r="M892" s="308"/>
      <c r="N892" s="308"/>
      <c r="O892" s="309"/>
      <c r="P892" s="310"/>
      <c r="Q892" s="260"/>
      <c r="R892" s="261"/>
      <c r="S892" s="261"/>
      <c r="T892" s="311"/>
      <c r="U892" s="261"/>
      <c r="V892" s="256"/>
      <c r="W892" s="256"/>
      <c r="X892" s="256"/>
      <c r="Y892" s="256"/>
      <c r="Z892" s="310"/>
      <c r="AA892" s="200"/>
      <c r="AB892" s="312"/>
      <c r="AC892" s="313"/>
      <c r="AD892" s="51"/>
      <c r="AE892" s="314"/>
      <c r="AF892" s="315"/>
      <c r="AG892" s="309"/>
      <c r="AH892" s="28"/>
      <c r="AI892" s="28"/>
      <c r="AJ892" s="28"/>
      <c r="AK892" s="28"/>
      <c r="AL892" s="12"/>
      <c r="AM892" s="12"/>
      <c r="AN892" s="12"/>
      <c r="AO892" s="12"/>
      <c r="AP892" s="12"/>
      <c r="AQ892" s="13"/>
      <c r="AR892" s="14"/>
    </row>
    <row r="893" spans="1:44" s="16" customFormat="1" ht="30.95" hidden="1" customHeight="1" x14ac:dyDescent="0.2">
      <c r="A893" s="303" t="s">
        <v>599</v>
      </c>
      <c r="B893" s="304" t="s">
        <v>462</v>
      </c>
      <c r="C893" s="305"/>
      <c r="D893" s="29">
        <v>3727600</v>
      </c>
      <c r="E893" s="29">
        <v>4151489</v>
      </c>
      <c r="F893" s="255" t="str">
        <f>IF(D893="","",VLOOKUP(D893,契約台帳!$A$3:$K$4986,6,FALSE)&amp;VLOOKUP(D893,契約台帳!$A$3:$K$4986,7,FALSE)&amp;VLOOKUP(D893,契約台帳!$A$3:$K$4986,8,FALSE)&amp;VLOOKUP(D893,契約台帳!$A$3:$K$4986,9,FALSE)&amp;VLOOKUP(D893,契約台帳!$A$3:$K$4986,11,FALSE))</f>
        <v>3SNMLBMNGTBF</v>
      </c>
      <c r="G893" s="256" t="str">
        <f>IF(D893="","",VLOOKUP(F893,製品マスタ!$G$5:$H$4999,2,FALSE))</f>
        <v>S</v>
      </c>
      <c r="H893" s="256" t="str">
        <f>IF(D893="","",VLOOKUP(F893,製品マスタ!$G$5:$K$4999,5,FALSE))</f>
        <v>MNGTBF</v>
      </c>
      <c r="I893" s="200" t="str">
        <f>IF(D893="","",VLOOKUP(F893,製品マスタ!$G$5:$L$4999,6,FALSE))</f>
        <v>メタルミー　ネーマー　銀艶　Ｂ</v>
      </c>
      <c r="J893" s="30" t="s">
        <v>447</v>
      </c>
      <c r="K893" s="200">
        <f>IF(D893="","",VLOOKUP(D893,契約台帳!$A$3:$L$4986,12,FALSE))</f>
        <v>50</v>
      </c>
      <c r="L893" s="200" t="str">
        <f>IF(D893="","",INDEX(製品マスタ!$Q$5:$Q$4999,MATCH(F893&amp;K893,製品マスタ!$AO$5:$AO$4999,0)))</f>
        <v>T62</v>
      </c>
      <c r="M893" s="37">
        <v>1120</v>
      </c>
      <c r="N893" s="37">
        <v>10000</v>
      </c>
      <c r="O893" s="45">
        <v>5</v>
      </c>
      <c r="P893" s="54"/>
      <c r="Q893" s="260">
        <f>IF(D893="","",IF(J893="リード付け",M893,VLOOKUP(D893,契約台帳!$A$3:$N$4986,14,FALSE)))</f>
        <v>1120</v>
      </c>
      <c r="R893" s="261">
        <f>IF(D893="","",IF(J893="リード付け",M893,VLOOKUP(D893,契約台帳!$A$3:$O$4986,15,FALSE)))</f>
        <v>1120</v>
      </c>
      <c r="S893" s="261">
        <f>IF(D893="","",IF(J893="リード付け",N893,VLOOKUP(D893,契約台帳!$A$3:$P$4986,16,FALSE)))</f>
        <v>5000</v>
      </c>
      <c r="T893" s="38">
        <v>10</v>
      </c>
      <c r="U893" s="261">
        <f ca="1">IF(D893="","",IF(OFFSET(D893,-2,0)=D893,"",VLOOKUP(D893,契約台帳!$A$3:$R$4986,18,FALSE)))</f>
        <v>36</v>
      </c>
      <c r="V893" s="256" t="str">
        <f>IF(J893="巻返し",VLOOKUP(F893&amp;K893&amp;M893,製品マスタ!$M$5:$AD$4999,18,FALSE),IF(J893="リード付け","原反コア",IF(J893="スリット",VLOOKUP(F893&amp;K893&amp;Q893,製品マスタ!$N$5:$AD$4999,17,FALSE),"")))</f>
        <v>6ｲﾝﾁSｺｱ</v>
      </c>
      <c r="W893" s="256">
        <f>IF(J893="巻返し",VLOOKUP(F893&amp;K893&amp;M893,製品マスタ!$M$5:$AE$4999,19,FALSE),IF(J893="リード付け","-",IF(J893="スリット",VLOOKUP(F893&amp;K893&amp;Q893,製品マスタ!$N$5:$AE$4999,18,FALSE),"")))</f>
        <v>1125</v>
      </c>
      <c r="X893" s="256">
        <f>IF(D893="","",VLOOKUP(D893,契約台帳!$A$3:$Q$4986,17,FALSE))</f>
        <v>2</v>
      </c>
      <c r="Y893" s="256" t="str">
        <f>IF(D893="","",VLOOKUP(D893,契約台帳!$A$3:$E$4986,5,FALSE))</f>
        <v xml:space="preserve">リンテック㈱        </v>
      </c>
      <c r="Z893" s="310">
        <v>45218</v>
      </c>
      <c r="AA893" s="200" t="str">
        <f>IFERROR(VLOOKUP(F893&amp;K893&amp;M893,製品マスタ!$M$5:$AM$4999,27,FALSE),"")</f>
        <v>原反ケース再利用</v>
      </c>
      <c r="AB893" s="312"/>
      <c r="AC893" s="313"/>
      <c r="AD893" s="51" t="str">
        <f>IF(F893="","",+F893&amp;K893)</f>
        <v>3SNMLBMNGTBF50</v>
      </c>
      <c r="AE893" s="52">
        <f>+M893*N893*O893/1000</f>
        <v>56000</v>
      </c>
      <c r="AF893" s="41">
        <f>IF(AD893="","",VLOOKUP(AD893,原価マスタ!$A$2:$AJ$1693,13,FALSE))</f>
        <v>99</v>
      </c>
      <c r="AG893" s="45">
        <f>IF(AF893="","",+AE893*AF893/100)</f>
        <v>55440</v>
      </c>
      <c r="AH893" s="28"/>
      <c r="AI893" s="28"/>
      <c r="AJ893" s="28"/>
      <c r="AK893" s="28"/>
      <c r="AL893" s="12"/>
      <c r="AM893" s="12"/>
      <c r="AN893" s="12"/>
      <c r="AO893" s="12"/>
      <c r="AP893" s="12"/>
      <c r="AQ893" s="13"/>
      <c r="AR893" s="14"/>
    </row>
    <row r="894" spans="1:44" s="16" customFormat="1" ht="30.95" hidden="1" customHeight="1" x14ac:dyDescent="0.2">
      <c r="A894" s="303"/>
      <c r="B894" s="304"/>
      <c r="C894" s="305"/>
      <c r="D894" s="306"/>
      <c r="E894" s="306"/>
      <c r="F894" s="255"/>
      <c r="G894" s="256"/>
      <c r="H894" s="256"/>
      <c r="I894" s="200"/>
      <c r="J894" s="307"/>
      <c r="K894" s="200"/>
      <c r="L894" s="200"/>
      <c r="M894" s="308"/>
      <c r="N894" s="308"/>
      <c r="O894" s="309"/>
      <c r="P894" s="310"/>
      <c r="Q894" s="260"/>
      <c r="R894" s="261"/>
      <c r="S894" s="261"/>
      <c r="T894" s="311"/>
      <c r="U894" s="261"/>
      <c r="V894" s="256"/>
      <c r="W894" s="256"/>
      <c r="X894" s="256"/>
      <c r="Y894" s="256"/>
      <c r="Z894" s="310"/>
      <c r="AA894" s="200"/>
      <c r="AB894" s="312"/>
      <c r="AC894" s="313"/>
      <c r="AD894" s="51"/>
      <c r="AE894" s="314"/>
      <c r="AF894" s="315"/>
      <c r="AG894" s="309"/>
      <c r="AH894" s="28"/>
      <c r="AI894" s="28"/>
      <c r="AJ894" s="28"/>
      <c r="AK894" s="28"/>
      <c r="AL894" s="12"/>
      <c r="AM894" s="12"/>
      <c r="AN894" s="12"/>
      <c r="AO894" s="12"/>
      <c r="AP894" s="12"/>
      <c r="AQ894" s="13"/>
      <c r="AR894" s="14"/>
    </row>
    <row r="895" spans="1:44" s="16" customFormat="1" ht="30.95" hidden="1" customHeight="1" x14ac:dyDescent="0.2">
      <c r="A895" s="35" t="s">
        <v>600</v>
      </c>
      <c r="B895" s="36" t="s">
        <v>688</v>
      </c>
      <c r="C895" s="305"/>
      <c r="D895" s="29">
        <v>3727600</v>
      </c>
      <c r="E895" s="29">
        <v>4151489</v>
      </c>
      <c r="F895" s="255" t="str">
        <f>IF(D895="","",VLOOKUP(D895,契約台帳!$A$3:$K$4986,6,FALSE)&amp;VLOOKUP(D895,契約台帳!$A$3:$K$4986,7,FALSE)&amp;VLOOKUP(D895,契約台帳!$A$3:$K$4986,8,FALSE)&amp;VLOOKUP(D895,契約台帳!$A$3:$K$4986,9,FALSE)&amp;VLOOKUP(D895,契約台帳!$A$3:$K$4986,11,FALSE))</f>
        <v>3SNMLBMNGTBF</v>
      </c>
      <c r="G895" s="256" t="str">
        <f>IF(D895="","",VLOOKUP(F895,製品マスタ!$G$5:$H$4999,2,FALSE))</f>
        <v>S</v>
      </c>
      <c r="H895" s="256" t="str">
        <f>IF(D895="","",VLOOKUP(F895,製品マスタ!$G$5:$K$4999,5,FALSE))</f>
        <v>MNGTBF</v>
      </c>
      <c r="I895" s="200" t="str">
        <f>IF(D895="","",VLOOKUP(F895,製品マスタ!$G$5:$L$4999,6,FALSE))</f>
        <v>メタルミー　ネーマー　銀艶　Ｂ</v>
      </c>
      <c r="J895" s="30" t="s">
        <v>447</v>
      </c>
      <c r="K895" s="200">
        <f>IF(D895="","",VLOOKUP(D895,契約台帳!$A$3:$L$4986,12,FALSE))</f>
        <v>50</v>
      </c>
      <c r="L895" s="200" t="str">
        <f>IF(D895="","",INDEX(製品マスタ!$Q$5:$Q$4999,MATCH(F895&amp;K895,製品マスタ!$AO$5:$AO$4999,0)))</f>
        <v>T62</v>
      </c>
      <c r="M895" s="37">
        <v>1120</v>
      </c>
      <c r="N895" s="37">
        <v>10000</v>
      </c>
      <c r="O895" s="45">
        <v>5</v>
      </c>
      <c r="P895" s="54"/>
      <c r="Q895" s="260">
        <f>IF(D895="","",IF(J895="リード付け",M895,VLOOKUP(D895,契約台帳!$A$3:$N$4986,14,FALSE)))</f>
        <v>1120</v>
      </c>
      <c r="R895" s="261">
        <f>IF(D895="","",IF(J895="リード付け",M895,VLOOKUP(D895,契約台帳!$A$3:$O$4986,15,FALSE)))</f>
        <v>1120</v>
      </c>
      <c r="S895" s="261">
        <f>IF(D895="","",IF(J895="リード付け",N895,VLOOKUP(D895,契約台帳!$A$3:$P$4986,16,FALSE)))</f>
        <v>5000</v>
      </c>
      <c r="T895" s="38">
        <v>10</v>
      </c>
      <c r="U895" s="261" t="str">
        <f ca="1">IF(D895="","",IF(OFFSET(D895,-2,0)=D895,"",VLOOKUP(D895,契約台帳!$A$3:$R$4986,18,FALSE)))</f>
        <v/>
      </c>
      <c r="V895" s="256" t="str">
        <f>IF(J895="巻返し",VLOOKUP(F895&amp;K895&amp;M895,製品マスタ!$M$5:$AD$4999,18,FALSE),IF(J895="リード付け","原反コア",IF(J895="スリット",VLOOKUP(F895&amp;K895&amp;Q895,製品マスタ!$N$5:$AD$4999,17,FALSE),"")))</f>
        <v>6ｲﾝﾁSｺｱ</v>
      </c>
      <c r="W895" s="256">
        <f>IF(J895="巻返し",VLOOKUP(F895&amp;K895&amp;M895,製品マスタ!$M$5:$AE$4999,19,FALSE),IF(J895="リード付け","-",IF(J895="スリット",VLOOKUP(F895&amp;K895&amp;Q895,製品マスタ!$N$5:$AE$4999,18,FALSE),"")))</f>
        <v>1125</v>
      </c>
      <c r="X895" s="256">
        <f>IF(D895="","",VLOOKUP(D895,契約台帳!$A$3:$Q$4986,17,FALSE))</f>
        <v>2</v>
      </c>
      <c r="Y895" s="256" t="str">
        <f>IF(D895="","",VLOOKUP(D895,契約台帳!$A$3:$E$4986,5,FALSE))</f>
        <v xml:space="preserve">リンテック㈱        </v>
      </c>
      <c r="Z895" s="310">
        <v>45219</v>
      </c>
      <c r="AA895" s="200" t="str">
        <f>IFERROR(VLOOKUP(F895&amp;K895&amp;M895,製品マスタ!$M$5:$AM$4999,27,FALSE),"")</f>
        <v>原反ケース再利用</v>
      </c>
      <c r="AB895" s="312"/>
      <c r="AC895" s="313"/>
      <c r="AD895" s="51" t="str">
        <f>IF(F895="","",+F895&amp;K895)</f>
        <v>3SNMLBMNGTBF50</v>
      </c>
      <c r="AE895" s="52">
        <f>+M895*N895*O895/1000</f>
        <v>56000</v>
      </c>
      <c r="AF895" s="41">
        <f>IF(AD895="","",VLOOKUP(AD895,原価マスタ!$A$2:$AJ$1693,13,FALSE))</f>
        <v>99</v>
      </c>
      <c r="AG895" s="45">
        <f>IF(AF895="","",+AE895*AF895/100)</f>
        <v>55440</v>
      </c>
      <c r="AH895" s="28"/>
      <c r="AI895" s="28"/>
      <c r="AJ895" s="28"/>
      <c r="AK895" s="28"/>
      <c r="AL895" s="12"/>
      <c r="AM895" s="12"/>
      <c r="AN895" s="12"/>
      <c r="AO895" s="12"/>
      <c r="AP895" s="12"/>
      <c r="AQ895" s="13"/>
      <c r="AR895" s="14"/>
    </row>
    <row r="896" spans="1:44" s="16" customFormat="1" ht="30.95" hidden="1" customHeight="1" x14ac:dyDescent="0.2">
      <c r="A896" s="303"/>
      <c r="B896" s="304"/>
      <c r="C896" s="305"/>
      <c r="D896" s="306"/>
      <c r="E896" s="306"/>
      <c r="F896" s="255"/>
      <c r="G896" s="256"/>
      <c r="H896" s="256"/>
      <c r="I896" s="200"/>
      <c r="J896" s="307"/>
      <c r="K896" s="200"/>
      <c r="L896" s="200"/>
      <c r="M896" s="308"/>
      <c r="N896" s="308"/>
      <c r="O896" s="309"/>
      <c r="P896" s="310"/>
      <c r="Q896" s="260"/>
      <c r="R896" s="261"/>
      <c r="S896" s="261"/>
      <c r="T896" s="311"/>
      <c r="U896" s="261"/>
      <c r="V896" s="256"/>
      <c r="W896" s="256"/>
      <c r="X896" s="256"/>
      <c r="Y896" s="256"/>
      <c r="Z896" s="310"/>
      <c r="AA896" s="200"/>
      <c r="AB896" s="312"/>
      <c r="AC896" s="313"/>
      <c r="AD896" s="51"/>
      <c r="AE896" s="314"/>
      <c r="AF896" s="315"/>
      <c r="AG896" s="309"/>
      <c r="AH896" s="28"/>
      <c r="AI896" s="28"/>
      <c r="AJ896" s="28"/>
      <c r="AK896" s="28"/>
      <c r="AL896" s="12"/>
      <c r="AM896" s="12"/>
      <c r="AN896" s="12"/>
      <c r="AO896" s="12"/>
      <c r="AP896" s="12"/>
      <c r="AQ896" s="13"/>
      <c r="AR896" s="14"/>
    </row>
    <row r="897" spans="1:44" s="16" customFormat="1" ht="30.95" hidden="1" customHeight="1" x14ac:dyDescent="0.2">
      <c r="A897" s="35" t="s">
        <v>622</v>
      </c>
      <c r="B897" s="36" t="s">
        <v>442</v>
      </c>
      <c r="C897" s="305"/>
      <c r="D897" s="29">
        <v>3727600</v>
      </c>
      <c r="E897" s="29">
        <v>4151489</v>
      </c>
      <c r="F897" s="255" t="str">
        <f>IF(D897="","",VLOOKUP(D897,契約台帳!$A$3:$K$4986,6,FALSE)&amp;VLOOKUP(D897,契約台帳!$A$3:$K$4986,7,FALSE)&amp;VLOOKUP(D897,契約台帳!$A$3:$K$4986,8,FALSE)&amp;VLOOKUP(D897,契約台帳!$A$3:$K$4986,9,FALSE)&amp;VLOOKUP(D897,契約台帳!$A$3:$K$4986,11,FALSE))</f>
        <v>3SNMLBMNGTBF</v>
      </c>
      <c r="G897" s="256" t="str">
        <f>IF(D897="","",VLOOKUP(F897,製品マスタ!$G$5:$H$4999,2,FALSE))</f>
        <v>S</v>
      </c>
      <c r="H897" s="256" t="str">
        <f>IF(D897="","",VLOOKUP(F897,製品マスタ!$G$5:$K$4999,5,FALSE))</f>
        <v>MNGTBF</v>
      </c>
      <c r="I897" s="200" t="str">
        <f>IF(D897="","",VLOOKUP(F897,製品マスタ!$G$5:$L$4999,6,FALSE))</f>
        <v>メタルミー　ネーマー　銀艶　Ｂ</v>
      </c>
      <c r="J897" s="30" t="s">
        <v>447</v>
      </c>
      <c r="K897" s="200">
        <f>IF(D897="","",VLOOKUP(D897,契約台帳!$A$3:$L$4986,12,FALSE))</f>
        <v>50</v>
      </c>
      <c r="L897" s="200" t="str">
        <f>IF(D897="","",INDEX(製品マスタ!$Q$5:$Q$4999,MATCH(F897&amp;K897,製品マスタ!$AO$5:$AO$4999,0)))</f>
        <v>T62</v>
      </c>
      <c r="M897" s="37">
        <v>1120</v>
      </c>
      <c r="N897" s="37">
        <v>10000</v>
      </c>
      <c r="O897" s="45">
        <v>1</v>
      </c>
      <c r="P897" s="54"/>
      <c r="Q897" s="260">
        <f>IF(D897="","",IF(J897="リード付け",M897,VLOOKUP(D897,契約台帳!$A$3:$N$4986,14,FALSE)))</f>
        <v>1120</v>
      </c>
      <c r="R897" s="261">
        <f>IF(D897="","",IF(J897="リード付け",M897,VLOOKUP(D897,契約台帳!$A$3:$O$4986,15,FALSE)))</f>
        <v>1120</v>
      </c>
      <c r="S897" s="261">
        <f>IF(D897="","",IF(J897="リード付け",N897,VLOOKUP(D897,契約台帳!$A$3:$P$4986,16,FALSE)))</f>
        <v>5000</v>
      </c>
      <c r="T897" s="38">
        <v>2</v>
      </c>
      <c r="U897" s="261" t="str">
        <f ca="1">IF(D897="","",IF(OFFSET(D897,-2,0)=D897,"",VLOOKUP(D897,契約台帳!$A$3:$R$4986,18,FALSE)))</f>
        <v/>
      </c>
      <c r="V897" s="256" t="str">
        <f>IF(J897="巻返し",VLOOKUP(F897&amp;K897&amp;M897,製品マスタ!$M$5:$AD$4999,18,FALSE),IF(J897="リード付け","原反コア",IF(J897="スリット",VLOOKUP(F897&amp;K897&amp;Q897,製品マスタ!$N$5:$AD$4999,17,FALSE),"")))</f>
        <v>6ｲﾝﾁSｺｱ</v>
      </c>
      <c r="W897" s="256">
        <f>IF(J897="巻返し",VLOOKUP(F897&amp;K897&amp;M897,製品マスタ!$M$5:$AE$4999,19,FALSE),IF(J897="リード付け","-",IF(J897="スリット",VLOOKUP(F897&amp;K897&amp;Q897,製品マスタ!$N$5:$AE$4999,18,FALSE),"")))</f>
        <v>1125</v>
      </c>
      <c r="X897" s="256">
        <f>IF(D897="","",VLOOKUP(D897,契約台帳!$A$3:$Q$4986,17,FALSE))</f>
        <v>2</v>
      </c>
      <c r="Y897" s="256" t="str">
        <f>IF(D897="","",VLOOKUP(D897,契約台帳!$A$3:$E$4986,5,FALSE))</f>
        <v xml:space="preserve">リンテック㈱        </v>
      </c>
      <c r="Z897" s="310">
        <v>45222</v>
      </c>
      <c r="AA897" s="200" t="str">
        <f>IFERROR(VLOOKUP(F897&amp;K897&amp;M897,製品マスタ!$M$5:$AM$4999,27,FALSE),"")</f>
        <v>原反ケース再利用</v>
      </c>
      <c r="AB897" s="312"/>
      <c r="AC897" s="313"/>
      <c r="AD897" s="51" t="str">
        <f>IF(F897="","",+F897&amp;K897)</f>
        <v>3SNMLBMNGTBF50</v>
      </c>
      <c r="AE897" s="52">
        <f>+M897*N897*O897/1000</f>
        <v>11200</v>
      </c>
      <c r="AF897" s="41">
        <f>IF(AD897="","",VLOOKUP(AD897,原価マスタ!$A$2:$AJ$1693,13,FALSE))</f>
        <v>99</v>
      </c>
      <c r="AG897" s="45">
        <f>IF(AF897="","",+AE897*AF897/100)</f>
        <v>11088</v>
      </c>
      <c r="AH897" s="28"/>
      <c r="AI897" s="28"/>
      <c r="AJ897" s="28"/>
      <c r="AK897" s="28"/>
      <c r="AL897" s="12"/>
      <c r="AM897" s="12"/>
      <c r="AN897" s="12"/>
      <c r="AO897" s="12"/>
      <c r="AP897" s="12"/>
      <c r="AQ897" s="13"/>
      <c r="AR897" s="14"/>
    </row>
    <row r="898" spans="1:44" s="16" customFormat="1" ht="30.95" hidden="1" customHeight="1" x14ac:dyDescent="0.2">
      <c r="A898" s="303"/>
      <c r="B898" s="304"/>
      <c r="C898" s="305"/>
      <c r="D898" s="306"/>
      <c r="E898" s="306"/>
      <c r="F898" s="255"/>
      <c r="G898" s="256"/>
      <c r="H898" s="256"/>
      <c r="I898" s="200"/>
      <c r="J898" s="307"/>
      <c r="K898" s="200"/>
      <c r="L898" s="200"/>
      <c r="M898" s="308"/>
      <c r="N898" s="308"/>
      <c r="O898" s="309"/>
      <c r="P898" s="310"/>
      <c r="Q898" s="260"/>
      <c r="R898" s="261"/>
      <c r="S898" s="261"/>
      <c r="T898" s="311"/>
      <c r="U898" s="261"/>
      <c r="V898" s="256"/>
      <c r="W898" s="256"/>
      <c r="X898" s="256"/>
      <c r="Y898" s="256"/>
      <c r="Z898" s="310"/>
      <c r="AA898" s="200"/>
      <c r="AB898" s="312"/>
      <c r="AC898" s="313"/>
      <c r="AD898" s="51"/>
      <c r="AE898" s="314"/>
      <c r="AF898" s="315"/>
      <c r="AG898" s="309"/>
      <c r="AH898" s="28"/>
      <c r="AI898" s="28"/>
      <c r="AJ898" s="28"/>
      <c r="AK898" s="28"/>
      <c r="AL898" s="12"/>
      <c r="AM898" s="12"/>
      <c r="AN898" s="12"/>
      <c r="AO898" s="12"/>
      <c r="AP898" s="12"/>
      <c r="AQ898" s="13"/>
      <c r="AR898" s="14"/>
    </row>
    <row r="899" spans="1:44" s="16" customFormat="1" ht="30.95" hidden="1" customHeight="1" x14ac:dyDescent="0.2">
      <c r="A899" s="35"/>
      <c r="B899" s="36"/>
      <c r="C899" s="305"/>
      <c r="D899" s="29">
        <v>3727612</v>
      </c>
      <c r="E899" s="29">
        <v>4151494</v>
      </c>
      <c r="F899" s="255" t="str">
        <f>IF(D899="","",VLOOKUP(D899,契約台帳!$A$3:$K$4986,6,FALSE)&amp;VLOOKUP(D899,契約台帳!$A$3:$K$4986,7,FALSE)&amp;VLOOKUP(D899,契約台帳!$A$3:$K$4986,8,FALSE)&amp;VLOOKUP(D899,契約台帳!$A$3:$K$4986,9,FALSE)&amp;VLOOKUP(D899,契約台帳!$A$3:$K$4986,11,FALSE))</f>
        <v>3SYMLBMSBBF</v>
      </c>
      <c r="G899" s="256" t="str">
        <f>IF(D899="","",VLOOKUP(F899,製品マスタ!$G$5:$H$4999,2,FALSE))</f>
        <v>S</v>
      </c>
      <c r="H899" s="256" t="str">
        <f>IF(D899="","",VLOOKUP(F899,製品マスタ!$G$5:$K$4999,5,FALSE))</f>
        <v>MSBBF</v>
      </c>
      <c r="I899" s="200" t="str">
        <f>IF(D899="","",VLOOKUP(F899,製品マスタ!$G$5:$L$4999,6,FALSE))</f>
        <v>ＭＥＴＡＬＵＭＹ　ＳＩＬＶＥＲ　ＢＲＩＧＨＴ　Ｔ６２Ｍ　Ｂ</v>
      </c>
      <c r="J899" s="30" t="s">
        <v>447</v>
      </c>
      <c r="K899" s="200">
        <f>IF(D899="","",VLOOKUP(D899,契約台帳!$A$3:$L$4986,12,FALSE))</f>
        <v>50</v>
      </c>
      <c r="L899" s="200" t="str">
        <f>IF(D899="","",INDEX(製品マスタ!$Q$5:$Q$4999,MATCH(F899&amp;K899,製品マスタ!$AO$5:$AO$4999,0)))</f>
        <v>T62</v>
      </c>
      <c r="M899" s="37">
        <v>1120</v>
      </c>
      <c r="N899" s="37">
        <v>10000</v>
      </c>
      <c r="O899" s="45">
        <v>1</v>
      </c>
      <c r="P899" s="54"/>
      <c r="Q899" s="260">
        <f>IF(D899="","",IF(J899="リード付け",M899,VLOOKUP(D899,契約台帳!$A$3:$N$4986,14,FALSE)))</f>
        <v>1120</v>
      </c>
      <c r="R899" s="261">
        <f>IF(D899="","",IF(J899="リード付け",M899,VLOOKUP(D899,契約台帳!$A$3:$O$4986,15,FALSE)))</f>
        <v>1120</v>
      </c>
      <c r="S899" s="261">
        <f>IF(D899="","",IF(J899="リード付け",N899,VLOOKUP(D899,契約台帳!$A$3:$P$4986,16,FALSE)))</f>
        <v>5000</v>
      </c>
      <c r="T899" s="38">
        <v>2</v>
      </c>
      <c r="U899" s="261">
        <f ca="1">IF(D899="","",IF(OFFSET(D899,-2,0)=D899,"",VLOOKUP(D899,契約台帳!$A$3:$R$4986,18,FALSE)))</f>
        <v>2</v>
      </c>
      <c r="V899" s="256" t="str">
        <f>IF(J899="巻返し",VLOOKUP(F899&amp;K899&amp;M899,製品マスタ!$M$5:$AD$4999,18,FALSE),IF(J899="リード付け","原反コア",IF(J899="スリット",VLOOKUP(F899&amp;K899&amp;Q899,製品マスタ!$N$5:$AD$4999,17,FALSE),"")))</f>
        <v>6ｲﾝﾁSｺｱ</v>
      </c>
      <c r="W899" s="256">
        <f>IF(J899="巻返し",VLOOKUP(F899&amp;K899&amp;M899,製品マスタ!$M$5:$AE$4999,19,FALSE),IF(J899="リード付け","-",IF(J899="スリット",VLOOKUP(F899&amp;K899&amp;Q899,製品マスタ!$N$5:$AE$4999,18,FALSE),"")))</f>
        <v>1125</v>
      </c>
      <c r="X899" s="256">
        <f>IF(D899="","",VLOOKUP(D899,契約台帳!$A$3:$Q$4986,17,FALSE))</f>
        <v>2</v>
      </c>
      <c r="Y899" s="256" t="str">
        <f>IF(D899="","",VLOOKUP(D899,契約台帳!$A$3:$E$4986,5,FALSE))</f>
        <v xml:space="preserve">リンテック㈱        </v>
      </c>
      <c r="Z899" s="310">
        <v>45222</v>
      </c>
      <c r="AA899" s="200" t="str">
        <f>IFERROR(VLOOKUP(F899&amp;K899&amp;M899,製品マスタ!$M$5:$AM$4999,27,FALSE),"")</f>
        <v>原反ケース再利用</v>
      </c>
      <c r="AB899" s="312"/>
      <c r="AC899" s="313"/>
      <c r="AD899" s="51" t="str">
        <f>IF(F899="","",+F899&amp;K899)</f>
        <v>3SYMLBMSBBF50</v>
      </c>
      <c r="AE899" s="52">
        <f>+M899*N899*O899/1000</f>
        <v>11200</v>
      </c>
      <c r="AF899" s="41">
        <f>IF(AD899="","",VLOOKUP(AD899,原価マスタ!$A$2:$AJ$1693,13,FALSE))</f>
        <v>99</v>
      </c>
      <c r="AG899" s="45">
        <f>IF(AF899="","",+AE899*AF899/100)</f>
        <v>11088</v>
      </c>
      <c r="AH899" s="28"/>
      <c r="AI899" s="28"/>
      <c r="AJ899" s="28"/>
      <c r="AK899" s="28"/>
      <c r="AL899" s="12"/>
      <c r="AM899" s="12"/>
      <c r="AN899" s="12"/>
      <c r="AO899" s="12"/>
      <c r="AP899" s="12"/>
      <c r="AQ899" s="13"/>
      <c r="AR899" s="14"/>
    </row>
    <row r="900" spans="1:44" s="16" customFormat="1" ht="30.95" hidden="1" customHeight="1" x14ac:dyDescent="0.2">
      <c r="A900" s="303"/>
      <c r="B900" s="304"/>
      <c r="C900" s="305"/>
      <c r="D900" s="306"/>
      <c r="E900" s="306"/>
      <c r="F900" s="255"/>
      <c r="G900" s="256"/>
      <c r="H900" s="256"/>
      <c r="I900" s="200"/>
      <c r="J900" s="307"/>
      <c r="K900" s="200"/>
      <c r="L900" s="200"/>
      <c r="M900" s="308"/>
      <c r="N900" s="308"/>
      <c r="O900" s="309"/>
      <c r="P900" s="310"/>
      <c r="Q900" s="260"/>
      <c r="R900" s="261"/>
      <c r="S900" s="261"/>
      <c r="T900" s="311"/>
      <c r="U900" s="261"/>
      <c r="V900" s="256"/>
      <c r="W900" s="256"/>
      <c r="X900" s="256"/>
      <c r="Y900" s="256"/>
      <c r="Z900" s="310"/>
      <c r="AA900" s="200"/>
      <c r="AB900" s="312"/>
      <c r="AC900" s="313"/>
      <c r="AD900" s="51"/>
      <c r="AE900" s="314"/>
      <c r="AF900" s="315"/>
      <c r="AG900" s="309"/>
      <c r="AH900" s="28"/>
      <c r="AI900" s="28"/>
      <c r="AJ900" s="28"/>
      <c r="AK900" s="28"/>
      <c r="AL900" s="12"/>
      <c r="AM900" s="12"/>
      <c r="AN900" s="12"/>
      <c r="AO900" s="12"/>
      <c r="AP900" s="12"/>
      <c r="AQ900" s="13"/>
      <c r="AR900" s="14"/>
    </row>
    <row r="901" spans="1:44" s="16" customFormat="1" ht="30.95" hidden="1" customHeight="1" x14ac:dyDescent="0.2">
      <c r="A901" s="35"/>
      <c r="B901" s="36"/>
      <c r="C901" s="305"/>
      <c r="D901" s="29">
        <v>3727597</v>
      </c>
      <c r="E901" s="29">
        <v>4151483</v>
      </c>
      <c r="F901" s="255" t="str">
        <f>IF(D901="","",VLOOKUP(D901,契約台帳!$A$3:$K$4986,6,FALSE)&amp;VLOOKUP(D901,契約台帳!$A$3:$K$4986,7,FALSE)&amp;VLOOKUP(D901,契約台帳!$A$3:$K$4986,8,FALSE)&amp;VLOOKUP(D901,契約台帳!$A$3:$K$4986,9,FALSE)&amp;VLOOKUP(D901,契約台帳!$A$3:$K$4986,11,FALSE))</f>
        <v>3SNMLBMNGKBF</v>
      </c>
      <c r="G901" s="256" t="str">
        <f>IF(D901="","",VLOOKUP(F901,製品マスタ!$G$5:$H$4999,2,FALSE))</f>
        <v>S</v>
      </c>
      <c r="H901" s="256" t="str">
        <f>IF(D901="","",VLOOKUP(F901,製品マスタ!$G$5:$K$4999,5,FALSE))</f>
        <v>MNGKBF</v>
      </c>
      <c r="I901" s="200" t="str">
        <f>IF(D901="","",VLOOKUP(F901,製品マスタ!$G$5:$L$4999,6,FALSE))</f>
        <v>メタルミー　ネーマー銀消　Ｂ</v>
      </c>
      <c r="J901" s="30" t="s">
        <v>447</v>
      </c>
      <c r="K901" s="200">
        <f>IF(D901="","",VLOOKUP(D901,契約台帳!$A$3:$L$4986,12,FALSE))</f>
        <v>50</v>
      </c>
      <c r="L901" s="200" t="str">
        <f>IF(D901="","",INDEX(製品マスタ!$Q$5:$Q$4999,MATCH(F901&amp;K901,製品マスタ!$AO$5:$AO$4999,0)))</f>
        <v>MAT</v>
      </c>
      <c r="M901" s="37">
        <v>1050</v>
      </c>
      <c r="N901" s="37">
        <v>12300</v>
      </c>
      <c r="O901" s="45">
        <v>1</v>
      </c>
      <c r="P901" s="54"/>
      <c r="Q901" s="260">
        <f>IF(D901="","",IF(J901="リード付け",M901,VLOOKUP(D901,契約台帳!$A$3:$N$4986,14,FALSE)))</f>
        <v>1050</v>
      </c>
      <c r="R901" s="261">
        <f>IF(D901="","",IF(J901="リード付け",M901,VLOOKUP(D901,契約台帳!$A$3:$O$4986,15,FALSE)))</f>
        <v>1050</v>
      </c>
      <c r="S901" s="261">
        <f>IF(D901="","",IF(J901="リード付け",N901,VLOOKUP(D901,契約台帳!$A$3:$P$4986,16,FALSE)))</f>
        <v>4100</v>
      </c>
      <c r="T901" s="38">
        <v>3</v>
      </c>
      <c r="U901" s="261">
        <f ca="1">IF(D901="","",IF(OFFSET(D901,-2,0)=D901,"",VLOOKUP(D901,契約台帳!$A$3:$R$4986,18,FALSE)))</f>
        <v>5</v>
      </c>
      <c r="V901" s="256" t="str">
        <f>IF(J901="巻返し",VLOOKUP(F901&amp;K901&amp;M901,製品マスタ!$M$5:$AD$4999,18,FALSE),IF(J901="リード付け","原反コア",IF(J901="スリット",VLOOKUP(F901&amp;K901&amp;Q901,製品マスタ!$N$5:$AD$4999,17,FALSE),"")))</f>
        <v>6ｲﾝﾁSｺｱ</v>
      </c>
      <c r="W901" s="256">
        <f>IF(J901="巻返し",VLOOKUP(F901&amp;K901&amp;M901,製品マスタ!$M$5:$AE$4999,19,FALSE),IF(J901="リード付け","-",IF(J901="スリット",VLOOKUP(F901&amp;K901&amp;Q901,製品マスタ!$N$5:$AE$4999,18,FALSE),"")))</f>
        <v>1055</v>
      </c>
      <c r="X901" s="256">
        <f>IF(D901="","",VLOOKUP(D901,契約台帳!$A$3:$Q$4986,17,FALSE))</f>
        <v>2</v>
      </c>
      <c r="Y901" s="256" t="str">
        <f>IF(D901="","",VLOOKUP(D901,契約台帳!$A$3:$E$4986,5,FALSE))</f>
        <v xml:space="preserve">リンテック㈱        </v>
      </c>
      <c r="Z901" s="310">
        <v>45222</v>
      </c>
      <c r="AA901" s="200">
        <f>IFERROR(VLOOKUP(F901&amp;K901&amp;M901,製品マスタ!$M$5:$AM$4999,27,FALSE),"")</f>
        <v>0</v>
      </c>
      <c r="AB901" s="312"/>
      <c r="AC901" s="313"/>
      <c r="AD901" s="51" t="str">
        <f>IF(F901="","",+F901&amp;K901)</f>
        <v>3SNMLBMNGKBF50</v>
      </c>
      <c r="AE901" s="52">
        <f>+M901*N901*O901/1000</f>
        <v>12915</v>
      </c>
      <c r="AF901" s="41">
        <f>IF(AD901="","",VLOOKUP(AD901,原価マスタ!$A$2:$AJ$1693,13,FALSE))</f>
        <v>98</v>
      </c>
      <c r="AG901" s="45">
        <f>IF(AF901="","",+AE901*AF901/100)</f>
        <v>12656.7</v>
      </c>
      <c r="AH901" s="28"/>
      <c r="AI901" s="28"/>
      <c r="AJ901" s="28"/>
      <c r="AK901" s="28"/>
      <c r="AL901" s="12"/>
      <c r="AM901" s="12"/>
      <c r="AN901" s="12"/>
      <c r="AO901" s="12"/>
      <c r="AP901" s="12"/>
      <c r="AQ901" s="13"/>
      <c r="AR901" s="14"/>
    </row>
    <row r="902" spans="1:44" s="16" customFormat="1" ht="30.95" hidden="1" customHeight="1" x14ac:dyDescent="0.2">
      <c r="A902" s="303"/>
      <c r="B902" s="304"/>
      <c r="C902" s="305"/>
      <c r="D902" s="306"/>
      <c r="E902" s="306"/>
      <c r="F902" s="255"/>
      <c r="G902" s="256"/>
      <c r="H902" s="256"/>
      <c r="I902" s="200"/>
      <c r="J902" s="307"/>
      <c r="K902" s="200"/>
      <c r="L902" s="200"/>
      <c r="M902" s="308"/>
      <c r="N902" s="308"/>
      <c r="O902" s="309"/>
      <c r="P902" s="310"/>
      <c r="Q902" s="260"/>
      <c r="R902" s="261"/>
      <c r="S902" s="261"/>
      <c r="T902" s="311"/>
      <c r="U902" s="261"/>
      <c r="V902" s="256"/>
      <c r="W902" s="256"/>
      <c r="X902" s="256"/>
      <c r="Y902" s="256"/>
      <c r="Z902" s="310"/>
      <c r="AA902" s="200"/>
      <c r="AB902" s="312"/>
      <c r="AC902" s="313"/>
      <c r="AD902" s="51"/>
      <c r="AE902" s="314"/>
      <c r="AF902" s="315"/>
      <c r="AG902" s="309"/>
      <c r="AH902" s="28"/>
      <c r="AI902" s="28"/>
      <c r="AJ902" s="28"/>
      <c r="AK902" s="28"/>
      <c r="AL902" s="12"/>
      <c r="AM902" s="12"/>
      <c r="AN902" s="12"/>
      <c r="AO902" s="12"/>
      <c r="AP902" s="12"/>
      <c r="AQ902" s="13"/>
      <c r="AR902" s="14"/>
    </row>
    <row r="903" spans="1:44" s="16" customFormat="1" ht="30.95" hidden="1" customHeight="1" x14ac:dyDescent="0.2">
      <c r="A903" s="35"/>
      <c r="B903" s="36"/>
      <c r="C903" s="305"/>
      <c r="D903" s="29">
        <v>3727597</v>
      </c>
      <c r="E903" s="29">
        <v>4151483</v>
      </c>
      <c r="F903" s="255" t="str">
        <f>IF(D903="","",VLOOKUP(D903,契約台帳!$A$3:$K$4986,6,FALSE)&amp;VLOOKUP(D903,契約台帳!$A$3:$K$4986,7,FALSE)&amp;VLOOKUP(D903,契約台帳!$A$3:$K$4986,8,FALSE)&amp;VLOOKUP(D903,契約台帳!$A$3:$K$4986,9,FALSE)&amp;VLOOKUP(D903,契約台帳!$A$3:$K$4986,11,FALSE))</f>
        <v>3SNMLBMNGKBF</v>
      </c>
      <c r="G903" s="256" t="str">
        <f>IF(D903="","",VLOOKUP(F903,製品マスタ!$G$5:$H$4999,2,FALSE))</f>
        <v>S</v>
      </c>
      <c r="H903" s="256" t="str">
        <f>IF(D903="","",VLOOKUP(F903,製品マスタ!$G$5:$K$4999,5,FALSE))</f>
        <v>MNGKBF</v>
      </c>
      <c r="I903" s="200" t="str">
        <f>IF(D903="","",VLOOKUP(F903,製品マスタ!$G$5:$L$4999,6,FALSE))</f>
        <v>メタルミー　ネーマー銀消　Ｂ</v>
      </c>
      <c r="J903" s="30" t="s">
        <v>447</v>
      </c>
      <c r="K903" s="200">
        <f>IF(D903="","",VLOOKUP(D903,契約台帳!$A$3:$L$4986,12,FALSE))</f>
        <v>50</v>
      </c>
      <c r="L903" s="200" t="str">
        <f>IF(D903="","",INDEX(製品マスタ!$Q$5:$Q$4999,MATCH(F903&amp;K903,製品マスタ!$AO$5:$AO$4999,0)))</f>
        <v>MAT</v>
      </c>
      <c r="M903" s="37">
        <v>1050</v>
      </c>
      <c r="N903" s="37">
        <v>8200</v>
      </c>
      <c r="O903" s="45">
        <v>1</v>
      </c>
      <c r="P903" s="54"/>
      <c r="Q903" s="260">
        <f>IF(D903="","",IF(J903="リード付け",M903,VLOOKUP(D903,契約台帳!$A$3:$N$4986,14,FALSE)))</f>
        <v>1050</v>
      </c>
      <c r="R903" s="261">
        <f>IF(D903="","",IF(J903="リード付け",M903,VLOOKUP(D903,契約台帳!$A$3:$O$4986,15,FALSE)))</f>
        <v>1050</v>
      </c>
      <c r="S903" s="261">
        <f>IF(D903="","",IF(J903="リード付け",N903,VLOOKUP(D903,契約台帳!$A$3:$P$4986,16,FALSE)))</f>
        <v>4100</v>
      </c>
      <c r="T903" s="38">
        <v>2</v>
      </c>
      <c r="U903" s="261" t="str">
        <f ca="1">IF(D903="","",IF(OFFSET(D903,-2,0)=D903,"",VLOOKUP(D903,契約台帳!$A$3:$R$4986,18,FALSE)))</f>
        <v/>
      </c>
      <c r="V903" s="256" t="str">
        <f>IF(J903="巻返し",VLOOKUP(F903&amp;K903&amp;M903,製品マスタ!$M$5:$AD$4999,18,FALSE),IF(J903="リード付け","原反コア",IF(J903="スリット",VLOOKUP(F903&amp;K903&amp;Q903,製品マスタ!$N$5:$AD$4999,17,FALSE),"")))</f>
        <v>6ｲﾝﾁSｺｱ</v>
      </c>
      <c r="W903" s="256">
        <f>IF(J903="巻返し",VLOOKUP(F903&amp;K903&amp;M903,製品マスタ!$M$5:$AE$4999,19,FALSE),IF(J903="リード付け","-",IF(J903="スリット",VLOOKUP(F903&amp;K903&amp;Q903,製品マスタ!$N$5:$AE$4999,18,FALSE),"")))</f>
        <v>1055</v>
      </c>
      <c r="X903" s="256">
        <f>IF(D903="","",VLOOKUP(D903,契約台帳!$A$3:$Q$4986,17,FALSE))</f>
        <v>2</v>
      </c>
      <c r="Y903" s="256" t="str">
        <f>IF(D903="","",VLOOKUP(D903,契約台帳!$A$3:$E$4986,5,FALSE))</f>
        <v xml:space="preserve">リンテック㈱        </v>
      </c>
      <c r="Z903" s="310">
        <v>45222</v>
      </c>
      <c r="AA903" s="200">
        <f>IFERROR(VLOOKUP(F903&amp;K903&amp;M903,製品マスタ!$M$5:$AM$4999,27,FALSE),"")</f>
        <v>0</v>
      </c>
      <c r="AB903" s="312"/>
      <c r="AC903" s="313"/>
      <c r="AD903" s="51" t="str">
        <f>IF(F903="","",+F903&amp;K903)</f>
        <v>3SNMLBMNGKBF50</v>
      </c>
      <c r="AE903" s="52">
        <f>+M903*N903*O903/1000</f>
        <v>8610</v>
      </c>
      <c r="AF903" s="41">
        <f>IF(AD903="","",VLOOKUP(AD903,原価マスタ!$A$2:$AJ$1693,13,FALSE))</f>
        <v>98</v>
      </c>
      <c r="AG903" s="45">
        <f>IF(AF903="","",+AE903*AF903/100)</f>
        <v>8437.7999999999993</v>
      </c>
      <c r="AH903" s="28"/>
      <c r="AI903" s="28"/>
      <c r="AJ903" s="28"/>
      <c r="AK903" s="28"/>
      <c r="AL903" s="12"/>
      <c r="AM903" s="12"/>
      <c r="AN903" s="12"/>
      <c r="AO903" s="12"/>
      <c r="AP903" s="12"/>
      <c r="AQ903" s="13"/>
      <c r="AR903" s="14"/>
    </row>
    <row r="904" spans="1:44" s="16" customFormat="1" ht="30.95" hidden="1" customHeight="1" x14ac:dyDescent="0.2">
      <c r="A904" s="303"/>
      <c r="B904" s="304"/>
      <c r="C904" s="305"/>
      <c r="D904" s="306"/>
      <c r="E904" s="306"/>
      <c r="F904" s="255"/>
      <c r="G904" s="256"/>
      <c r="H904" s="256"/>
      <c r="I904" s="200"/>
      <c r="J904" s="307"/>
      <c r="K904" s="200"/>
      <c r="L904" s="200"/>
      <c r="M904" s="308"/>
      <c r="N904" s="308"/>
      <c r="O904" s="309"/>
      <c r="P904" s="310"/>
      <c r="Q904" s="260"/>
      <c r="R904" s="261"/>
      <c r="S904" s="261"/>
      <c r="T904" s="311"/>
      <c r="U904" s="261"/>
      <c r="V904" s="256"/>
      <c r="W904" s="256"/>
      <c r="X904" s="256"/>
      <c r="Y904" s="256"/>
      <c r="Z904" s="310"/>
      <c r="AA904" s="200"/>
      <c r="AB904" s="312"/>
      <c r="AC904" s="313"/>
      <c r="AD904" s="51"/>
      <c r="AE904" s="314"/>
      <c r="AF904" s="315"/>
      <c r="AG904" s="309"/>
      <c r="AH904" s="28"/>
      <c r="AI904" s="28"/>
      <c r="AJ904" s="28"/>
      <c r="AK904" s="28"/>
      <c r="AL904" s="12"/>
      <c r="AM904" s="12"/>
      <c r="AN904" s="12"/>
      <c r="AO904" s="12"/>
      <c r="AP904" s="12"/>
      <c r="AQ904" s="13"/>
      <c r="AR904" s="14"/>
    </row>
    <row r="905" spans="1:44" s="16" customFormat="1" ht="30.95" hidden="1" customHeight="1" x14ac:dyDescent="0.2">
      <c r="A905" s="35"/>
      <c r="B905" s="36"/>
      <c r="C905" s="305"/>
      <c r="D905" s="29">
        <v>3727596</v>
      </c>
      <c r="E905" s="29">
        <v>4151482</v>
      </c>
      <c r="F905" s="255" t="str">
        <f>IF(D905="","",VLOOKUP(D905,契約台帳!$A$3:$K$4986,6,FALSE)&amp;VLOOKUP(D905,契約台帳!$A$3:$K$4986,7,FALSE)&amp;VLOOKUP(D905,契約台帳!$A$3:$K$4986,8,FALSE)&amp;VLOOKUP(D905,契約台帳!$A$3:$K$4986,9,FALSE)&amp;VLOOKUP(D905,契約台帳!$A$3:$K$4986,11,FALSE))</f>
        <v>3SNMLBMNGKBF</v>
      </c>
      <c r="G905" s="256" t="str">
        <f>IF(D905="","",VLOOKUP(F905,製品マスタ!$G$5:$H$4999,2,FALSE))</f>
        <v>S</v>
      </c>
      <c r="H905" s="256" t="str">
        <f>IF(D905="","",VLOOKUP(F905,製品マスタ!$G$5:$K$4999,5,FALSE))</f>
        <v>MNGKBF</v>
      </c>
      <c r="I905" s="200" t="str">
        <f>IF(D905="","",VLOOKUP(F905,製品マスタ!$G$5:$L$4999,6,FALSE))</f>
        <v>メタルミー　ネーマー銀消　Ｂ</v>
      </c>
      <c r="J905" s="30" t="s">
        <v>447</v>
      </c>
      <c r="K905" s="200">
        <f>IF(D905="","",VLOOKUP(D905,契約台帳!$A$3:$L$4986,12,FALSE))</f>
        <v>38</v>
      </c>
      <c r="L905" s="200" t="str">
        <f>IF(D905="","",INDEX(製品マスタ!$Q$5:$Q$4999,MATCH(F905&amp;K905,製品マスタ!$AO$5:$AO$4999,0)))</f>
        <v>LUMIMAT</v>
      </c>
      <c r="M905" s="37">
        <v>1005</v>
      </c>
      <c r="N905" s="37">
        <v>8200</v>
      </c>
      <c r="O905" s="45">
        <v>1</v>
      </c>
      <c r="P905" s="54"/>
      <c r="Q905" s="260">
        <f>IF(D905="","",IF(J905="リード付け",M905,VLOOKUP(D905,契約台帳!$A$3:$N$4986,14,FALSE)))</f>
        <v>1005</v>
      </c>
      <c r="R905" s="261">
        <f>IF(D905="","",IF(J905="リード付け",M905,VLOOKUP(D905,契約台帳!$A$3:$O$4986,15,FALSE)))</f>
        <v>1000</v>
      </c>
      <c r="S905" s="261">
        <f>IF(D905="","",IF(J905="リード付け",N905,VLOOKUP(D905,契約台帳!$A$3:$P$4986,16,FALSE)))</f>
        <v>4100</v>
      </c>
      <c r="T905" s="38">
        <v>2</v>
      </c>
      <c r="U905" s="261">
        <f ca="1">IF(D905="","",IF(OFFSET(D905,-2,0)=D905,"",VLOOKUP(D905,契約台帳!$A$3:$R$4986,18,FALSE)))</f>
        <v>2</v>
      </c>
      <c r="V905" s="256" t="str">
        <f>IF(J905="巻返し",VLOOKUP(F905&amp;K905&amp;M905,製品マスタ!$M$5:$AD$4999,18,FALSE),IF(J905="リード付け","原反コア",IF(J905="スリット",VLOOKUP(F905&amp;K905&amp;Q905,製品マスタ!$N$5:$AD$4999,17,FALSE),"")))</f>
        <v>6ｲﾝﾁSｺｱ</v>
      </c>
      <c r="W905" s="256">
        <f>IF(J905="巻返し",VLOOKUP(F905&amp;K905&amp;M905,製品マスタ!$M$5:$AE$4999,19,FALSE),IF(J905="リード付け","-",IF(J905="スリット",VLOOKUP(F905&amp;K905&amp;Q905,製品マスタ!$N$5:$AE$4999,18,FALSE),"")))</f>
        <v>1015</v>
      </c>
      <c r="X905" s="256">
        <f>IF(D905="","",VLOOKUP(D905,契約台帳!$A$3:$Q$4986,17,FALSE))</f>
        <v>2</v>
      </c>
      <c r="Y905" s="256" t="str">
        <f>IF(D905="","",VLOOKUP(D905,契約台帳!$A$3:$E$4986,5,FALSE))</f>
        <v xml:space="preserve">リンテック㈱        </v>
      </c>
      <c r="Z905" s="310">
        <v>45222</v>
      </c>
      <c r="AA905" s="200">
        <f>IFERROR(VLOOKUP(F905&amp;K905&amp;M905,製品マスタ!$M$5:$AM$4999,27,FALSE),"")</f>
        <v>0</v>
      </c>
      <c r="AB905" s="312"/>
      <c r="AC905" s="313"/>
      <c r="AD905" s="51" t="str">
        <f>IF(F905="","",+F905&amp;K905)</f>
        <v>3SNMLBMNGKBF38</v>
      </c>
      <c r="AE905" s="52">
        <f>+M905*N905*O905/1000</f>
        <v>8241</v>
      </c>
      <c r="AF905" s="41">
        <f>IF(AD905="","",VLOOKUP(AD905,原価マスタ!$A$2:$AJ$1693,13,FALSE))</f>
        <v>97.2</v>
      </c>
      <c r="AG905" s="45">
        <f>IF(AF905="","",+AE905*AF905/100)</f>
        <v>8010.2520000000004</v>
      </c>
      <c r="AH905" s="28"/>
      <c r="AI905" s="28"/>
      <c r="AJ905" s="28"/>
      <c r="AK905" s="28"/>
      <c r="AL905" s="12"/>
      <c r="AM905" s="12"/>
      <c r="AN905" s="12"/>
      <c r="AO905" s="12"/>
      <c r="AP905" s="12"/>
      <c r="AQ905" s="13"/>
      <c r="AR905" s="14"/>
    </row>
    <row r="906" spans="1:44" s="16" customFormat="1" ht="30.95" hidden="1" customHeight="1" x14ac:dyDescent="0.2">
      <c r="A906" s="303"/>
      <c r="B906" s="304"/>
      <c r="C906" s="305"/>
      <c r="D906" s="306"/>
      <c r="E906" s="306"/>
      <c r="F906" s="255"/>
      <c r="G906" s="256"/>
      <c r="H906" s="256"/>
      <c r="I906" s="200"/>
      <c r="J906" s="307"/>
      <c r="K906" s="200"/>
      <c r="L906" s="200"/>
      <c r="M906" s="308"/>
      <c r="N906" s="308"/>
      <c r="O906" s="309"/>
      <c r="P906" s="310"/>
      <c r="Q906" s="260"/>
      <c r="R906" s="261"/>
      <c r="S906" s="261"/>
      <c r="T906" s="311"/>
      <c r="U906" s="261"/>
      <c r="V906" s="256"/>
      <c r="W906" s="256"/>
      <c r="X906" s="256"/>
      <c r="Y906" s="256"/>
      <c r="Z906" s="310"/>
      <c r="AA906" s="200"/>
      <c r="AB906" s="312"/>
      <c r="AC906" s="313"/>
      <c r="AD906" s="51"/>
      <c r="AE906" s="314"/>
      <c r="AF906" s="315"/>
      <c r="AG906" s="309"/>
      <c r="AH906" s="28"/>
      <c r="AI906" s="28"/>
      <c r="AJ906" s="28"/>
      <c r="AK906" s="28"/>
      <c r="AL906" s="12"/>
      <c r="AM906" s="12"/>
      <c r="AN906" s="12"/>
      <c r="AO906" s="12"/>
      <c r="AP906" s="12"/>
      <c r="AQ906" s="13"/>
      <c r="AR906" s="14"/>
    </row>
    <row r="907" spans="1:44" s="16" customFormat="1" ht="30.95" hidden="1" customHeight="1" x14ac:dyDescent="0.2">
      <c r="A907" s="35" t="s">
        <v>623</v>
      </c>
      <c r="B907" s="36" t="s">
        <v>443</v>
      </c>
      <c r="C907" s="305"/>
      <c r="D907" s="29">
        <v>3727608</v>
      </c>
      <c r="E907" s="29">
        <v>4151490</v>
      </c>
      <c r="F907" s="255" t="str">
        <f>IF(D907="","",VLOOKUP(D907,契約台帳!$A$3:$K$4986,6,FALSE)&amp;VLOOKUP(D907,契約台帳!$A$3:$K$4986,7,FALSE)&amp;VLOOKUP(D907,契約台帳!$A$3:$K$4986,8,FALSE)&amp;VLOOKUP(D907,契約台帳!$A$3:$K$4986,9,FALSE)&amp;VLOOKUP(D907,契約台帳!$A$3:$K$4986,11,FALSE))</f>
        <v>3SNMLBMNGTBF</v>
      </c>
      <c r="G907" s="256" t="str">
        <f>IF(D907="","",VLOOKUP(F907,製品マスタ!$G$5:$H$4999,2,FALSE))</f>
        <v>S</v>
      </c>
      <c r="H907" s="256" t="str">
        <f>IF(D907="","",VLOOKUP(F907,製品マスタ!$G$5:$K$4999,5,FALSE))</f>
        <v>MNGTBF</v>
      </c>
      <c r="I907" s="200" t="str">
        <f>IF(D907="","",VLOOKUP(F907,製品マスタ!$G$5:$L$4999,6,FALSE))</f>
        <v>メタルミー　ネーマー　銀艶　Ｂ</v>
      </c>
      <c r="J907" s="30" t="s">
        <v>447</v>
      </c>
      <c r="K907" s="200">
        <f>IF(D907="","",VLOOKUP(D907,契約台帳!$A$3:$L$4986,12,FALSE))</f>
        <v>50</v>
      </c>
      <c r="L907" s="200" t="str">
        <f>IF(D907="","",INDEX(製品マスタ!$Q$5:$Q$4999,MATCH(F907&amp;K907,製品マスタ!$AO$5:$AO$4999,0)))</f>
        <v>T62</v>
      </c>
      <c r="M907" s="37">
        <v>1120</v>
      </c>
      <c r="N907" s="37">
        <v>10000</v>
      </c>
      <c r="O907" s="45">
        <v>5</v>
      </c>
      <c r="P907" s="54"/>
      <c r="Q907" s="260">
        <f>IF(D907="","",IF(J907="リード付け",M907,VLOOKUP(D907,契約台帳!$A$3:$N$4986,14,FALSE)))</f>
        <v>1120</v>
      </c>
      <c r="R907" s="261">
        <f>IF(D907="","",IF(J907="リード付け",M907,VLOOKUP(D907,契約台帳!$A$3:$O$4986,15,FALSE)))</f>
        <v>1120</v>
      </c>
      <c r="S907" s="261">
        <f>IF(D907="","",IF(J907="リード付け",N907,VLOOKUP(D907,契約台帳!$A$3:$P$4986,16,FALSE)))</f>
        <v>5000</v>
      </c>
      <c r="T907" s="38">
        <v>10</v>
      </c>
      <c r="U907" s="261">
        <f ca="1">IF(D907="","",IF(OFFSET(D907,-2,0)=D907,"",VLOOKUP(D907,契約台帳!$A$3:$R$4986,18,FALSE)))</f>
        <v>46</v>
      </c>
      <c r="V907" s="256" t="str">
        <f>IF(J907="巻返し",VLOOKUP(F907&amp;K907&amp;M907,製品マスタ!$M$5:$AD$4999,18,FALSE),IF(J907="リード付け","原反コア",IF(J907="スリット",VLOOKUP(F907&amp;K907&amp;Q907,製品マスタ!$N$5:$AD$4999,17,FALSE),"")))</f>
        <v>6ｲﾝﾁSｺｱ</v>
      </c>
      <c r="W907" s="256">
        <f>IF(J907="巻返し",VLOOKUP(F907&amp;K907&amp;M907,製品マスタ!$M$5:$AE$4999,19,FALSE),IF(J907="リード付け","-",IF(J907="スリット",VLOOKUP(F907&amp;K907&amp;Q907,製品マスタ!$N$5:$AE$4999,18,FALSE),"")))</f>
        <v>1125</v>
      </c>
      <c r="X907" s="256">
        <f>IF(D907="","",VLOOKUP(D907,契約台帳!$A$3:$Q$4986,17,FALSE))</f>
        <v>2</v>
      </c>
      <c r="Y907" s="256" t="str">
        <f>IF(D907="","",VLOOKUP(D907,契約台帳!$A$3:$E$4986,5,FALSE))</f>
        <v xml:space="preserve">リンテック㈱        </v>
      </c>
      <c r="Z907" s="310">
        <v>45223</v>
      </c>
      <c r="AA907" s="200" t="str">
        <f>IFERROR(VLOOKUP(F907&amp;K907&amp;M907,製品マスタ!$M$5:$AM$4999,27,FALSE),"")</f>
        <v>原反ケース再利用</v>
      </c>
      <c r="AB907" s="312"/>
      <c r="AC907" s="313"/>
      <c r="AD907" s="51" t="str">
        <f>IF(F907="","",+F907&amp;K907)</f>
        <v>3SNMLBMNGTBF50</v>
      </c>
      <c r="AE907" s="52">
        <f>+M907*N907*O907/1000</f>
        <v>56000</v>
      </c>
      <c r="AF907" s="41">
        <f>IF(AD907="","",VLOOKUP(AD907,原価マスタ!$A$2:$AJ$1693,13,FALSE))</f>
        <v>99</v>
      </c>
      <c r="AG907" s="45">
        <f>IF(AF907="","",+AE907*AF907/100)</f>
        <v>55440</v>
      </c>
      <c r="AH907" s="28"/>
      <c r="AI907" s="28"/>
      <c r="AJ907" s="28"/>
      <c r="AK907" s="28"/>
      <c r="AL907" s="12"/>
      <c r="AM907" s="12"/>
      <c r="AN907" s="12"/>
      <c r="AO907" s="12"/>
      <c r="AP907" s="12"/>
      <c r="AQ907" s="13"/>
      <c r="AR907" s="14"/>
    </row>
    <row r="908" spans="1:44" s="16" customFormat="1" ht="30.95" hidden="1" customHeight="1" x14ac:dyDescent="0.2">
      <c r="A908" s="303"/>
      <c r="B908" s="304"/>
      <c r="C908" s="305"/>
      <c r="D908" s="306"/>
      <c r="E908" s="306"/>
      <c r="F908" s="255"/>
      <c r="G908" s="256"/>
      <c r="H908" s="256"/>
      <c r="I908" s="200"/>
      <c r="J908" s="307"/>
      <c r="K908" s="200"/>
      <c r="L908" s="200"/>
      <c r="M908" s="308"/>
      <c r="N908" s="308"/>
      <c r="O908" s="309"/>
      <c r="P908" s="310"/>
      <c r="Q908" s="260"/>
      <c r="R908" s="261"/>
      <c r="S908" s="261"/>
      <c r="T908" s="311"/>
      <c r="U908" s="261"/>
      <c r="V908" s="256"/>
      <c r="W908" s="256"/>
      <c r="X908" s="256"/>
      <c r="Y908" s="256"/>
      <c r="Z908" s="310"/>
      <c r="AA908" s="200"/>
      <c r="AB908" s="312"/>
      <c r="AC908" s="313"/>
      <c r="AD908" s="51"/>
      <c r="AE908" s="314"/>
      <c r="AF908" s="315"/>
      <c r="AG908" s="309"/>
      <c r="AH908" s="28"/>
      <c r="AI908" s="28"/>
      <c r="AJ908" s="28"/>
      <c r="AK908" s="28"/>
      <c r="AL908" s="12"/>
      <c r="AM908" s="12"/>
      <c r="AN908" s="12"/>
      <c r="AO908" s="12"/>
      <c r="AP908" s="12"/>
      <c r="AQ908" s="13"/>
      <c r="AR908" s="14"/>
    </row>
    <row r="909" spans="1:44" s="16" customFormat="1" ht="30.95" hidden="1" customHeight="1" x14ac:dyDescent="0.2">
      <c r="A909" s="35" t="s">
        <v>624</v>
      </c>
      <c r="B909" s="36" t="s">
        <v>444</v>
      </c>
      <c r="C909" s="305"/>
      <c r="D909" s="29">
        <v>3729607</v>
      </c>
      <c r="E909" s="29" t="s">
        <v>1670</v>
      </c>
      <c r="F909" s="255" t="s">
        <v>1668</v>
      </c>
      <c r="G909" s="256" t="s">
        <v>269</v>
      </c>
      <c r="H909" s="256" t="s">
        <v>1079</v>
      </c>
      <c r="I909" s="200" t="s">
        <v>1669</v>
      </c>
      <c r="J909" s="30" t="s">
        <v>970</v>
      </c>
      <c r="K909" s="200">
        <v>25</v>
      </c>
      <c r="L909" s="200" t="s">
        <v>78</v>
      </c>
      <c r="M909" s="37">
        <v>1110</v>
      </c>
      <c r="N909" s="37">
        <v>12100</v>
      </c>
      <c r="O909" s="45">
        <v>3</v>
      </c>
      <c r="P909" s="54"/>
      <c r="Q909" s="260">
        <v>1050</v>
      </c>
      <c r="R909" s="261">
        <v>1050</v>
      </c>
      <c r="S909" s="261">
        <v>6000</v>
      </c>
      <c r="T909" s="38">
        <v>6</v>
      </c>
      <c r="U909" s="261">
        <v>6</v>
      </c>
      <c r="V909" s="256" t="s">
        <v>272</v>
      </c>
      <c r="W909" s="256">
        <v>1250</v>
      </c>
      <c r="X909" s="256">
        <v>2</v>
      </c>
      <c r="Y909" s="256" t="s">
        <v>61</v>
      </c>
      <c r="Z909" s="54" t="s">
        <v>1254</v>
      </c>
      <c r="AA909" s="200" t="s">
        <v>1470</v>
      </c>
      <c r="AB909" s="31"/>
      <c r="AC909" s="313"/>
      <c r="AD909" s="51"/>
      <c r="AE909" s="314"/>
      <c r="AF909" s="315"/>
      <c r="AG909" s="309"/>
      <c r="AH909" s="28"/>
      <c r="AI909" s="28"/>
      <c r="AJ909" s="28"/>
      <c r="AK909" s="28"/>
      <c r="AL909" s="12"/>
      <c r="AM909" s="12"/>
      <c r="AN909" s="12"/>
      <c r="AO909" s="12"/>
      <c r="AP909" s="12"/>
      <c r="AQ909" s="13"/>
      <c r="AR909" s="14"/>
    </row>
    <row r="910" spans="1:44" s="16" customFormat="1" ht="30.95" hidden="1" customHeight="1" x14ac:dyDescent="0.2">
      <c r="A910" s="303"/>
      <c r="B910" s="304"/>
      <c r="C910" s="305"/>
      <c r="D910" s="306"/>
      <c r="E910" s="306"/>
      <c r="F910" s="255"/>
      <c r="G910" s="256"/>
      <c r="H910" s="256"/>
      <c r="I910" s="200"/>
      <c r="J910" s="307"/>
      <c r="K910" s="200"/>
      <c r="L910" s="200"/>
      <c r="M910" s="308"/>
      <c r="N910" s="308"/>
      <c r="O910" s="309"/>
      <c r="P910" s="310"/>
      <c r="Q910" s="260"/>
      <c r="R910" s="261"/>
      <c r="S910" s="261"/>
      <c r="T910" s="311"/>
      <c r="U910" s="261"/>
      <c r="V910" s="256"/>
      <c r="W910" s="256"/>
      <c r="X910" s="256"/>
      <c r="Y910" s="256"/>
      <c r="Z910" s="310"/>
      <c r="AA910" s="200"/>
      <c r="AB910" s="312"/>
      <c r="AC910" s="313"/>
      <c r="AD910" s="51"/>
      <c r="AE910" s="314"/>
      <c r="AF910" s="315"/>
      <c r="AG910" s="309"/>
      <c r="AH910" s="28"/>
      <c r="AI910" s="28"/>
      <c r="AJ910" s="28"/>
      <c r="AK910" s="28"/>
      <c r="AL910" s="12"/>
      <c r="AM910" s="12"/>
      <c r="AN910" s="12"/>
      <c r="AO910" s="12"/>
      <c r="AP910" s="12"/>
      <c r="AQ910" s="13"/>
      <c r="AR910" s="14"/>
    </row>
    <row r="911" spans="1:44" s="16" customFormat="1" ht="30.95" hidden="1" customHeight="1" x14ac:dyDescent="0.2">
      <c r="A911" s="303" t="s">
        <v>1641</v>
      </c>
      <c r="B911" s="304" t="s">
        <v>1629</v>
      </c>
      <c r="C911" s="305"/>
      <c r="D911" s="306"/>
      <c r="E911" s="306"/>
      <c r="F911" s="255"/>
      <c r="G911" s="256"/>
      <c r="H911" s="256"/>
      <c r="I911" s="200"/>
      <c r="J911" s="307"/>
      <c r="K911" s="200"/>
      <c r="L911" s="200"/>
      <c r="M911" s="308"/>
      <c r="N911" s="308"/>
      <c r="O911" s="309"/>
      <c r="P911" s="310"/>
      <c r="Q911" s="260"/>
      <c r="R911" s="261"/>
      <c r="S911" s="261"/>
      <c r="T911" s="311"/>
      <c r="U911" s="261"/>
      <c r="V911" s="256"/>
      <c r="W911" s="256"/>
      <c r="X911" s="256"/>
      <c r="Y911" s="256"/>
      <c r="Z911" s="310"/>
      <c r="AA911" s="200"/>
      <c r="AB911" s="312"/>
      <c r="AC911" s="313"/>
      <c r="AD911" s="51"/>
      <c r="AE911" s="314"/>
      <c r="AF911" s="315"/>
      <c r="AG911" s="309"/>
      <c r="AH911" s="28"/>
      <c r="AI911" s="28"/>
      <c r="AJ911" s="28"/>
      <c r="AK911" s="28"/>
      <c r="AL911" s="12"/>
      <c r="AM911" s="12"/>
      <c r="AN911" s="12"/>
      <c r="AO911" s="12"/>
      <c r="AP911" s="12"/>
      <c r="AQ911" s="13"/>
      <c r="AR911" s="14"/>
    </row>
    <row r="912" spans="1:44" s="16" customFormat="1" ht="30.95" hidden="1" customHeight="1" x14ac:dyDescent="0.2">
      <c r="A912" s="303"/>
      <c r="B912" s="304"/>
      <c r="C912" s="305"/>
      <c r="D912" s="306"/>
      <c r="E912" s="306"/>
      <c r="F912" s="255"/>
      <c r="G912" s="256"/>
      <c r="H912" s="256"/>
      <c r="I912" s="200"/>
      <c r="J912" s="307"/>
      <c r="K912" s="200"/>
      <c r="L912" s="200"/>
      <c r="M912" s="308"/>
      <c r="N912" s="308"/>
      <c r="O912" s="309"/>
      <c r="P912" s="310"/>
      <c r="Q912" s="260"/>
      <c r="R912" s="261"/>
      <c r="S912" s="261"/>
      <c r="T912" s="311"/>
      <c r="U912" s="261"/>
      <c r="V912" s="256"/>
      <c r="W912" s="256"/>
      <c r="X912" s="256"/>
      <c r="Y912" s="256"/>
      <c r="Z912" s="310"/>
      <c r="AA912" s="200"/>
      <c r="AB912" s="312"/>
      <c r="AC912" s="313"/>
      <c r="AD912" s="51"/>
      <c r="AE912" s="314"/>
      <c r="AF912" s="315"/>
      <c r="AG912" s="309"/>
      <c r="AH912" s="28"/>
      <c r="AI912" s="28"/>
      <c r="AJ912" s="28"/>
      <c r="AK912" s="28"/>
      <c r="AL912" s="12"/>
      <c r="AM912" s="12"/>
      <c r="AN912" s="12"/>
      <c r="AO912" s="12"/>
      <c r="AP912" s="12"/>
      <c r="AQ912" s="13"/>
      <c r="AR912" s="14"/>
    </row>
    <row r="913" spans="1:44" s="16" customFormat="1" ht="30.95" hidden="1" customHeight="1" x14ac:dyDescent="0.2">
      <c r="A913" s="303" t="s">
        <v>1642</v>
      </c>
      <c r="B913" s="304" t="s">
        <v>1631</v>
      </c>
      <c r="C913" s="305"/>
      <c r="D913" s="306"/>
      <c r="E913" s="306"/>
      <c r="F913" s="255"/>
      <c r="G913" s="256"/>
      <c r="H913" s="256"/>
      <c r="I913" s="200"/>
      <c r="J913" s="307"/>
      <c r="K913" s="200"/>
      <c r="L913" s="200"/>
      <c r="M913" s="308"/>
      <c r="N913" s="308"/>
      <c r="O913" s="309"/>
      <c r="P913" s="310"/>
      <c r="Q913" s="260"/>
      <c r="R913" s="261"/>
      <c r="S913" s="261"/>
      <c r="T913" s="311"/>
      <c r="U913" s="261"/>
      <c r="V913" s="256"/>
      <c r="W913" s="256"/>
      <c r="X913" s="256"/>
      <c r="Y913" s="256"/>
      <c r="Z913" s="310"/>
      <c r="AA913" s="200"/>
      <c r="AB913" s="312"/>
      <c r="AC913" s="313"/>
      <c r="AD913" s="51"/>
      <c r="AE913" s="314"/>
      <c r="AF913" s="315"/>
      <c r="AG913" s="309"/>
      <c r="AH913" s="28"/>
      <c r="AI913" s="28"/>
      <c r="AJ913" s="28"/>
      <c r="AK913" s="28"/>
      <c r="AL913" s="12"/>
      <c r="AM913" s="12"/>
      <c r="AN913" s="12"/>
      <c r="AO913" s="12"/>
      <c r="AP913" s="12"/>
      <c r="AQ913" s="13"/>
      <c r="AR913" s="14"/>
    </row>
    <row r="914" spans="1:44" s="16" customFormat="1" ht="30.95" hidden="1" customHeight="1" x14ac:dyDescent="0.2">
      <c r="A914" s="303"/>
      <c r="B914" s="304"/>
      <c r="C914" s="305"/>
      <c r="D914" s="306"/>
      <c r="E914" s="306"/>
      <c r="F914" s="255"/>
      <c r="G914" s="256"/>
      <c r="H914" s="256"/>
      <c r="I914" s="200"/>
      <c r="J914" s="307"/>
      <c r="K914" s="200"/>
      <c r="L914" s="200"/>
      <c r="M914" s="308"/>
      <c r="N914" s="308"/>
      <c r="O914" s="309"/>
      <c r="P914" s="310"/>
      <c r="Q914" s="260"/>
      <c r="R914" s="261"/>
      <c r="S914" s="261"/>
      <c r="T914" s="311"/>
      <c r="U914" s="261"/>
      <c r="V914" s="256"/>
      <c r="W914" s="256"/>
      <c r="X914" s="256"/>
      <c r="Y914" s="256"/>
      <c r="Z914" s="310"/>
      <c r="AA914" s="200"/>
      <c r="AB914" s="312"/>
      <c r="AC914" s="313"/>
      <c r="AD914" s="51"/>
      <c r="AE914" s="314"/>
      <c r="AF914" s="315"/>
      <c r="AG914" s="309"/>
      <c r="AH914" s="28"/>
      <c r="AI914" s="28"/>
      <c r="AJ914" s="28"/>
      <c r="AK914" s="28"/>
      <c r="AL914" s="12"/>
      <c r="AM914" s="12"/>
      <c r="AN914" s="12"/>
      <c r="AO914" s="12"/>
      <c r="AP914" s="12"/>
      <c r="AQ914" s="13"/>
      <c r="AR914" s="14"/>
    </row>
    <row r="915" spans="1:44" s="16" customFormat="1" ht="30.75" hidden="1" customHeight="1" x14ac:dyDescent="0.2">
      <c r="A915" s="35" t="s">
        <v>631</v>
      </c>
      <c r="B915" s="36" t="s">
        <v>462</v>
      </c>
      <c r="C915" s="43"/>
      <c r="D915" s="29">
        <v>3727594</v>
      </c>
      <c r="E915" s="29">
        <v>4151485</v>
      </c>
      <c r="F915" s="255" t="str">
        <f>IF(D915="","",VLOOKUP(D915,契約台帳!$A$3:$K$4986,6,FALSE)&amp;VLOOKUP(D915,契約台帳!$A$3:$K$4986,7,FALSE)&amp;VLOOKUP(D915,契約台帳!$A$3:$K$4986,8,FALSE)&amp;VLOOKUP(D915,契約台帳!$A$3:$K$4986,9,FALSE)&amp;VLOOKUP(D915,契約台帳!$A$3:$K$4986,11,FALSE))</f>
        <v>3SNMLBMNGKKBF</v>
      </c>
      <c r="G915" s="256" t="str">
        <f>IF(D915="","",VLOOKUP(F915,製品マスタ!$G$5:$H$4999,2,FALSE))</f>
        <v>S</v>
      </c>
      <c r="H915" s="256" t="str">
        <f>IF(D915="","",VLOOKUP(F915,製品マスタ!$G$5:$K$4999,5,FALSE))</f>
        <v>MNGKKBF</v>
      </c>
      <c r="I915" s="200" t="str">
        <f>IF(D915="","",VLOOKUP(F915,製品マスタ!$G$5:$L$4999,6,FALSE))</f>
        <v>メタルミー　ネーマー銀消改　Ｂ</v>
      </c>
      <c r="J915" s="30" t="s">
        <v>447</v>
      </c>
      <c r="K915" s="200">
        <f>IF(D915="","",VLOOKUP(D915,契約台帳!$A$3:$L$4986,12,FALSE))</f>
        <v>50</v>
      </c>
      <c r="L915" s="200" t="str">
        <f>IF(D915="","",INDEX(製品マスタ!$Q$5:$Q$4999,MATCH(F915&amp;K915,製品マスタ!$AO$5:$AO$4999,0)))</f>
        <v>S99-MAT</v>
      </c>
      <c r="M915" s="37">
        <v>1120</v>
      </c>
      <c r="N915" s="37">
        <v>12000</v>
      </c>
      <c r="O915" s="45">
        <v>3</v>
      </c>
      <c r="P915" s="54"/>
      <c r="Q915" s="260">
        <f>IF(D915="","",IF(J915="リード付け",M915,VLOOKUP(D915,契約台帳!$A$3:$N$4986,14,FALSE)))</f>
        <v>1120</v>
      </c>
      <c r="R915" s="261">
        <f>IF(D915="","",IF(J915="リード付け",M915,VLOOKUP(D915,契約台帳!$A$3:$O$4986,15,FALSE)))</f>
        <v>1120</v>
      </c>
      <c r="S915" s="261">
        <f>IF(D915="","",IF(J915="リード付け",N915,VLOOKUP(D915,契約台帳!$A$3:$P$4986,16,FALSE)))</f>
        <v>4000</v>
      </c>
      <c r="T915" s="38">
        <v>9</v>
      </c>
      <c r="U915" s="261">
        <f ca="1">IF(D915="","",IF(OFFSET(D915,-2,0)=D915,"",VLOOKUP(D915,契約台帳!$A$3:$R$4986,18,FALSE)))</f>
        <v>18</v>
      </c>
      <c r="V915" s="256" t="s">
        <v>806</v>
      </c>
      <c r="W915" s="256">
        <f>IF(J915="巻返し",VLOOKUP(F915&amp;K915&amp;M915,製品マスタ!$M$5:$AE$4999,19,FALSE),IF(J915="リード付け","-",IF(J915="スリット",VLOOKUP(F915&amp;K915&amp;Q915,製品マスタ!$N$5:$AE$4999,18,FALSE),"")))</f>
        <v>1125</v>
      </c>
      <c r="X915" s="256">
        <f>IF(D915="","",VLOOKUP(D915,契約台帳!$A$3:$Q$4986,17,FALSE))</f>
        <v>2</v>
      </c>
      <c r="Y915" s="256" t="str">
        <f>IF(D915="","",VLOOKUP(D915,契約台帳!$A$3:$E$4986,5,FALSE))</f>
        <v xml:space="preserve">リンテック㈱        </v>
      </c>
      <c r="Z915" s="54">
        <v>45225</v>
      </c>
      <c r="AA915" s="200">
        <f>IFERROR(VLOOKUP(F915&amp;K915&amp;M915,製品マスタ!$M$5:$AM$4999,27,FALSE),"")</f>
        <v>0</v>
      </c>
      <c r="AB915" s="31"/>
      <c r="AC915" s="184"/>
      <c r="AD915" s="51" t="str">
        <f>IF(F915="","",+F915&amp;K915)</f>
        <v>3SNMLBMNGKKBF50</v>
      </c>
      <c r="AE915" s="52">
        <f>+M915*N915*O915/1000</f>
        <v>40320</v>
      </c>
      <c r="AF915" s="41">
        <f>IF(AD915="","",VLOOKUP(AD915,原価マスタ!$A$2:$AJ$1693,13,FALSE))</f>
        <v>99</v>
      </c>
      <c r="AG915" s="45">
        <f>IF(AF915="","",+AE915*AF915/100)</f>
        <v>39916.800000000003</v>
      </c>
      <c r="AH915" s="28"/>
      <c r="AI915" s="28"/>
      <c r="AJ915" s="28"/>
      <c r="AK915" s="28"/>
      <c r="AL915" s="12"/>
      <c r="AM915" s="12"/>
      <c r="AN915" s="12"/>
      <c r="AO915" s="12"/>
      <c r="AP915" s="12"/>
      <c r="AQ915" s="13"/>
      <c r="AR915" s="14"/>
    </row>
    <row r="916" spans="1:44" s="16" customFormat="1" ht="30.95" hidden="1" customHeight="1" x14ac:dyDescent="0.2">
      <c r="A916" s="303"/>
      <c r="B916" s="304"/>
      <c r="C916" s="305"/>
      <c r="D916" s="306"/>
      <c r="E916" s="306"/>
      <c r="F916" s="255"/>
      <c r="G916" s="256"/>
      <c r="H916" s="256"/>
      <c r="I916" s="200"/>
      <c r="J916" s="307"/>
      <c r="K916" s="200"/>
      <c r="L916" s="200"/>
      <c r="M916" s="308"/>
      <c r="N916" s="308"/>
      <c r="O916" s="309"/>
      <c r="P916" s="310"/>
      <c r="Q916" s="260"/>
      <c r="R916" s="261"/>
      <c r="S916" s="261"/>
      <c r="T916" s="311"/>
      <c r="U916" s="261"/>
      <c r="V916" s="256"/>
      <c r="W916" s="256"/>
      <c r="X916" s="256"/>
      <c r="Y916" s="256"/>
      <c r="Z916" s="310"/>
      <c r="AA916" s="200"/>
      <c r="AB916" s="312"/>
      <c r="AC916" s="313"/>
      <c r="AD916" s="51"/>
      <c r="AE916" s="314"/>
      <c r="AF916" s="315"/>
      <c r="AG916" s="309"/>
      <c r="AH916" s="28"/>
      <c r="AI916" s="28"/>
      <c r="AJ916" s="28"/>
      <c r="AK916" s="28"/>
      <c r="AL916" s="12"/>
      <c r="AM916" s="12"/>
      <c r="AN916" s="12"/>
      <c r="AO916" s="12"/>
      <c r="AP916" s="12"/>
      <c r="AQ916" s="13"/>
      <c r="AR916" s="14"/>
    </row>
    <row r="917" spans="1:44" s="16" customFormat="1" ht="30.95" hidden="1" customHeight="1" x14ac:dyDescent="0.2">
      <c r="A917" s="35"/>
      <c r="B917" s="36"/>
      <c r="C917" s="305"/>
      <c r="D917" s="29">
        <v>3727593</v>
      </c>
      <c r="E917" s="29">
        <v>4151484</v>
      </c>
      <c r="F917" s="255" t="str">
        <f>IF(D917="","",VLOOKUP(D917,契約台帳!$A$3:$K$4986,6,FALSE)&amp;VLOOKUP(D917,契約台帳!$A$3:$K$4986,7,FALSE)&amp;VLOOKUP(D917,契約台帳!$A$3:$K$4986,8,FALSE)&amp;VLOOKUP(D917,契約台帳!$A$3:$K$4986,9,FALSE)&amp;VLOOKUP(D917,契約台帳!$A$3:$K$4986,11,FALSE))</f>
        <v>3SNMLBMNGKKBF</v>
      </c>
      <c r="G917" s="256" t="str">
        <f>IF(D917="","",VLOOKUP(F917,製品マスタ!$G$5:$H$4999,2,FALSE))</f>
        <v>S</v>
      </c>
      <c r="H917" s="256" t="str">
        <f>IF(D917="","",VLOOKUP(F917,製品マスタ!$G$5:$K$4999,5,FALSE))</f>
        <v>MNGKKBF</v>
      </c>
      <c r="I917" s="200" t="str">
        <f>IF(D917="","",VLOOKUP(F917,製品マスタ!$G$5:$L$4999,6,FALSE))</f>
        <v>メタルミー　ネーマー銀消改　Ｂ</v>
      </c>
      <c r="J917" s="30" t="s">
        <v>447</v>
      </c>
      <c r="K917" s="200">
        <f>IF(D917="","",VLOOKUP(D917,契約台帳!$A$3:$L$4986,12,FALSE))</f>
        <v>25</v>
      </c>
      <c r="L917" s="200" t="str">
        <f>IF(D917="","",INDEX(製品マスタ!$Q$5:$Q$4999,MATCH(F917&amp;K917,製品マスタ!$AO$5:$AO$4999,0)))</f>
        <v>FMATS99</v>
      </c>
      <c r="M917" s="37">
        <v>1120</v>
      </c>
      <c r="N917" s="37">
        <v>12000</v>
      </c>
      <c r="O917" s="45">
        <v>1</v>
      </c>
      <c r="P917" s="54"/>
      <c r="Q917" s="260">
        <f>IF(D917="","",IF(J917="リード付け",M917,VLOOKUP(D917,契約台帳!$A$3:$N$4986,14,FALSE)))</f>
        <v>1120</v>
      </c>
      <c r="R917" s="261">
        <f>IF(D917="","",IF(J917="リード付け",M917,VLOOKUP(D917,契約台帳!$A$3:$O$4986,15,FALSE)))</f>
        <v>1120</v>
      </c>
      <c r="S917" s="261">
        <f>IF(D917="","",IF(J917="リード付け",N917,VLOOKUP(D917,契約台帳!$A$3:$P$4986,16,FALSE)))</f>
        <v>4000</v>
      </c>
      <c r="T917" s="38">
        <v>3</v>
      </c>
      <c r="U917" s="261">
        <f ca="1">IF(D917="","",IF(OFFSET(D917,-2,0)=D917,"",VLOOKUP(D917,契約台帳!$A$3:$R$4986,18,FALSE)))</f>
        <v>3</v>
      </c>
      <c r="V917" s="256" t="str">
        <f>IF(J917="巻返し",VLOOKUP(F917&amp;K917&amp;M917,製品マスタ!$M$5:$AD$4999,18,FALSE),IF(J917="リード付け","原反コア",IF(J917="スリット",VLOOKUP(F917&amp;K917&amp;Q917,製品マスタ!$N$5:$AD$4999,17,FALSE),"")))</f>
        <v>6ｲﾝﾁSｺｱ</v>
      </c>
      <c r="W917" s="256">
        <f>IF(J917="巻返し",VLOOKUP(F917&amp;K917&amp;M917,製品マスタ!$M$5:$AE$4999,19,FALSE),IF(J917="リード付け","-",IF(J917="スリット",VLOOKUP(F917&amp;K917&amp;Q917,製品マスタ!$N$5:$AE$4999,18,FALSE),"")))</f>
        <v>1125</v>
      </c>
      <c r="X917" s="256">
        <f>IF(D917="","",VLOOKUP(D917,契約台帳!$A$3:$Q$4986,17,FALSE))</f>
        <v>2</v>
      </c>
      <c r="Y917" s="256" t="str">
        <f>IF(D917="","",VLOOKUP(D917,契約台帳!$A$3:$E$4986,5,FALSE))</f>
        <v xml:space="preserve">リンテック㈱        </v>
      </c>
      <c r="Z917" s="310">
        <v>45225</v>
      </c>
      <c r="AA917" s="200">
        <f>IFERROR(VLOOKUP(F917&amp;K917&amp;M917,製品マスタ!$M$5:$AM$4999,27,FALSE),"")</f>
        <v>0</v>
      </c>
      <c r="AB917" s="312"/>
      <c r="AC917" s="313"/>
      <c r="AD917" s="51" t="str">
        <f>IF(F917="","",+F917&amp;K917)</f>
        <v>3SNMLBMNGKKBF25</v>
      </c>
      <c r="AE917" s="52">
        <f>+M917*N917*O917/1000</f>
        <v>13440</v>
      </c>
      <c r="AF917" s="41">
        <f>IF(AD917="","",VLOOKUP(AD917,原価マスタ!$A$2:$AJ$1693,13,FALSE))</f>
        <v>96</v>
      </c>
      <c r="AG917" s="45">
        <f>IF(AF917="","",+AE917*AF917/100)</f>
        <v>12902.4</v>
      </c>
      <c r="AH917" s="28"/>
      <c r="AI917" s="28"/>
      <c r="AJ917" s="28"/>
      <c r="AK917" s="28"/>
      <c r="AL917" s="12"/>
      <c r="AM917" s="12"/>
      <c r="AN917" s="12"/>
      <c r="AO917" s="12"/>
      <c r="AP917" s="12"/>
      <c r="AQ917" s="13"/>
      <c r="AR917" s="14"/>
    </row>
    <row r="918" spans="1:44" s="16" customFormat="1" ht="30.95" hidden="1" customHeight="1" x14ac:dyDescent="0.2">
      <c r="A918" s="303"/>
      <c r="B918" s="304"/>
      <c r="C918" s="305"/>
      <c r="D918" s="306"/>
      <c r="E918" s="306"/>
      <c r="F918" s="255"/>
      <c r="G918" s="256"/>
      <c r="H918" s="256"/>
      <c r="I918" s="200"/>
      <c r="J918" s="307"/>
      <c r="K918" s="200"/>
      <c r="L918" s="200"/>
      <c r="M918" s="308"/>
      <c r="N918" s="308"/>
      <c r="O918" s="309"/>
      <c r="P918" s="310"/>
      <c r="Q918" s="260"/>
      <c r="R918" s="261"/>
      <c r="S918" s="261"/>
      <c r="T918" s="311"/>
      <c r="U918" s="261"/>
      <c r="V918" s="256"/>
      <c r="W918" s="256"/>
      <c r="X918" s="256"/>
      <c r="Y918" s="256"/>
      <c r="Z918" s="310"/>
      <c r="AA918" s="200"/>
      <c r="AB918" s="312"/>
      <c r="AC918" s="313"/>
      <c r="AD918" s="51"/>
      <c r="AE918" s="314"/>
      <c r="AF918" s="315"/>
      <c r="AG918" s="309"/>
      <c r="AH918" s="28"/>
      <c r="AI918" s="28"/>
      <c r="AJ918" s="28"/>
      <c r="AK918" s="28"/>
      <c r="AL918" s="12"/>
      <c r="AM918" s="12"/>
      <c r="AN918" s="12"/>
      <c r="AO918" s="12"/>
      <c r="AP918" s="12"/>
      <c r="AQ918" s="13"/>
      <c r="AR918" s="14"/>
    </row>
    <row r="919" spans="1:44" s="16" customFormat="1" ht="30.95" hidden="1" customHeight="1" x14ac:dyDescent="0.2">
      <c r="A919" s="35" t="s">
        <v>634</v>
      </c>
      <c r="B919" s="36" t="s">
        <v>688</v>
      </c>
      <c r="C919" s="305"/>
      <c r="D919" s="29">
        <v>3727608</v>
      </c>
      <c r="E919" s="29">
        <v>4151490</v>
      </c>
      <c r="F919" s="255" t="str">
        <f>IF(D919="","",VLOOKUP(D919,契約台帳!$A$3:$K$4986,6,FALSE)&amp;VLOOKUP(D919,契約台帳!$A$3:$K$4986,7,FALSE)&amp;VLOOKUP(D919,契約台帳!$A$3:$K$4986,8,FALSE)&amp;VLOOKUP(D919,契約台帳!$A$3:$K$4986,9,FALSE)&amp;VLOOKUP(D919,契約台帳!$A$3:$K$4986,11,FALSE))</f>
        <v>3SNMLBMNGTBF</v>
      </c>
      <c r="G919" s="256" t="str">
        <f>IF(D919="","",VLOOKUP(F919,製品マスタ!$G$5:$H$4999,2,FALSE))</f>
        <v>S</v>
      </c>
      <c r="H919" s="256" t="str">
        <f>IF(D919="","",VLOOKUP(F919,製品マスタ!$G$5:$K$4999,5,FALSE))</f>
        <v>MNGTBF</v>
      </c>
      <c r="I919" s="200" t="str">
        <f>IF(D919="","",VLOOKUP(F919,製品マスタ!$G$5:$L$4999,6,FALSE))</f>
        <v>メタルミー　ネーマー　銀艶　Ｂ</v>
      </c>
      <c r="J919" s="30" t="s">
        <v>447</v>
      </c>
      <c r="K919" s="200">
        <f>IF(D919="","",VLOOKUP(D919,契約台帳!$A$3:$L$4986,12,FALSE))</f>
        <v>50</v>
      </c>
      <c r="L919" s="200" t="str">
        <f>IF(D919="","",INDEX(製品マスタ!$Q$5:$Q$4999,MATCH(F919&amp;K919,製品マスタ!$AO$5:$AO$4999,0)))</f>
        <v>T62</v>
      </c>
      <c r="M919" s="37">
        <v>1120</v>
      </c>
      <c r="N919" s="37">
        <v>10000</v>
      </c>
      <c r="O919" s="45">
        <v>5</v>
      </c>
      <c r="P919" s="54"/>
      <c r="Q919" s="260">
        <f>IF(D919="","",IF(J919="リード付け",M919,VLOOKUP(D919,契約台帳!$A$3:$N$4986,14,FALSE)))</f>
        <v>1120</v>
      </c>
      <c r="R919" s="261">
        <f>IF(D919="","",IF(J919="リード付け",M919,VLOOKUP(D919,契約台帳!$A$3:$O$4986,15,FALSE)))</f>
        <v>1120</v>
      </c>
      <c r="S919" s="261">
        <f>IF(D919="","",IF(J919="リード付け",N919,VLOOKUP(D919,契約台帳!$A$3:$P$4986,16,FALSE)))</f>
        <v>5000</v>
      </c>
      <c r="T919" s="38">
        <v>10</v>
      </c>
      <c r="U919" s="261">
        <f ca="1">IF(D919="","",IF(OFFSET(D919,-2,0)=D919,"",VLOOKUP(D919,契約台帳!$A$3:$R$4986,18,FALSE)))</f>
        <v>46</v>
      </c>
      <c r="V919" s="256" t="str">
        <f>IF(J919="巻返し",VLOOKUP(F919&amp;K919&amp;M919,製品マスタ!$M$5:$AD$4999,18,FALSE),IF(J919="リード付け","原反コア",IF(J919="スリット",VLOOKUP(F919&amp;K919&amp;Q919,製品マスタ!$N$5:$AD$4999,17,FALSE),"")))</f>
        <v>6ｲﾝﾁSｺｱ</v>
      </c>
      <c r="W919" s="256">
        <f>IF(J919="巻返し",VLOOKUP(F919&amp;K919&amp;M919,製品マスタ!$M$5:$AE$4999,19,FALSE),IF(J919="リード付け","-",IF(J919="スリット",VLOOKUP(F919&amp;K919&amp;Q919,製品マスタ!$N$5:$AE$4999,18,FALSE),"")))</f>
        <v>1125</v>
      </c>
      <c r="X919" s="256">
        <f>IF(D919="","",VLOOKUP(D919,契約台帳!$A$3:$Q$4986,17,FALSE))</f>
        <v>2</v>
      </c>
      <c r="Y919" s="256" t="str">
        <f>IF(D919="","",VLOOKUP(D919,契約台帳!$A$3:$E$4986,5,FALSE))</f>
        <v xml:space="preserve">リンテック㈱        </v>
      </c>
      <c r="Z919" s="310">
        <v>45226</v>
      </c>
      <c r="AA919" s="200" t="str">
        <f>IFERROR(VLOOKUP(F919&amp;K919&amp;M919,製品マスタ!$M$5:$AM$4999,27,FALSE),"")</f>
        <v>原反ケース再利用</v>
      </c>
      <c r="AB919" s="312"/>
      <c r="AC919" s="313"/>
      <c r="AD919" s="51" t="str">
        <f>IF(F919="","",+F919&amp;K919)</f>
        <v>3SNMLBMNGTBF50</v>
      </c>
      <c r="AE919" s="52">
        <f>+M919*N919*O919/1000</f>
        <v>56000</v>
      </c>
      <c r="AF919" s="41">
        <f>IF(AD919="","",VLOOKUP(AD919,原価マスタ!$A$2:$AJ$1693,13,FALSE))</f>
        <v>99</v>
      </c>
      <c r="AG919" s="45">
        <f>IF(AF919="","",+AE919*AF919/100)</f>
        <v>55440</v>
      </c>
      <c r="AH919" s="28"/>
      <c r="AI919" s="28"/>
      <c r="AJ919" s="28"/>
      <c r="AK919" s="28"/>
      <c r="AL919" s="12"/>
      <c r="AM919" s="12"/>
      <c r="AN919" s="12"/>
      <c r="AO919" s="12"/>
      <c r="AP919" s="12"/>
      <c r="AQ919" s="13"/>
      <c r="AR919" s="14"/>
    </row>
    <row r="920" spans="1:44" s="16" customFormat="1" ht="30.95" hidden="1" customHeight="1" x14ac:dyDescent="0.2">
      <c r="A920" s="303"/>
      <c r="B920" s="304"/>
      <c r="C920" s="305"/>
      <c r="D920" s="306"/>
      <c r="E920" s="306"/>
      <c r="F920" s="255"/>
      <c r="G920" s="256"/>
      <c r="H920" s="256"/>
      <c r="I920" s="200"/>
      <c r="J920" s="307"/>
      <c r="K920" s="200"/>
      <c r="L920" s="200"/>
      <c r="M920" s="308"/>
      <c r="N920" s="308"/>
      <c r="O920" s="309"/>
      <c r="P920" s="310"/>
      <c r="Q920" s="260"/>
      <c r="R920" s="261"/>
      <c r="S920" s="261"/>
      <c r="T920" s="311"/>
      <c r="U920" s="261"/>
      <c r="V920" s="256"/>
      <c r="W920" s="256"/>
      <c r="X920" s="256"/>
      <c r="Y920" s="256"/>
      <c r="Z920" s="310"/>
      <c r="AA920" s="200"/>
      <c r="AB920" s="312"/>
      <c r="AC920" s="313"/>
      <c r="AD920" s="51"/>
      <c r="AE920" s="314"/>
      <c r="AF920" s="315"/>
      <c r="AG920" s="309"/>
      <c r="AH920" s="28"/>
      <c r="AI920" s="28"/>
      <c r="AJ920" s="28"/>
      <c r="AK920" s="28"/>
      <c r="AL920" s="12"/>
      <c r="AM920" s="12"/>
      <c r="AN920" s="12"/>
      <c r="AO920" s="12"/>
      <c r="AP920" s="12"/>
      <c r="AQ920" s="13"/>
      <c r="AR920" s="14"/>
    </row>
    <row r="921" spans="1:44" s="16" customFormat="1" ht="30.95" hidden="1" customHeight="1" x14ac:dyDescent="0.2">
      <c r="A921" s="35" t="s">
        <v>635</v>
      </c>
      <c r="B921" s="36" t="s">
        <v>442</v>
      </c>
      <c r="C921" s="305"/>
      <c r="D921" s="29">
        <v>3727608</v>
      </c>
      <c r="E921" s="29">
        <v>4151490</v>
      </c>
      <c r="F921" s="255" t="str">
        <f>IF(D921="","",VLOOKUP(D921,契約台帳!$A$3:$K$4986,6,FALSE)&amp;VLOOKUP(D921,契約台帳!$A$3:$K$4986,7,FALSE)&amp;VLOOKUP(D921,契約台帳!$A$3:$K$4986,8,FALSE)&amp;VLOOKUP(D921,契約台帳!$A$3:$K$4986,9,FALSE)&amp;VLOOKUP(D921,契約台帳!$A$3:$K$4986,11,FALSE))</f>
        <v>3SNMLBMNGTBF</v>
      </c>
      <c r="G921" s="256" t="str">
        <f>IF(D921="","",VLOOKUP(F921,製品マスタ!$G$5:$H$4999,2,FALSE))</f>
        <v>S</v>
      </c>
      <c r="H921" s="256" t="str">
        <f>IF(D921="","",VLOOKUP(F921,製品マスタ!$G$5:$K$4999,5,FALSE))</f>
        <v>MNGTBF</v>
      </c>
      <c r="I921" s="200" t="str">
        <f>IF(D921="","",VLOOKUP(F921,製品マスタ!$G$5:$L$4999,6,FALSE))</f>
        <v>メタルミー　ネーマー　銀艶　Ｂ</v>
      </c>
      <c r="J921" s="30" t="s">
        <v>447</v>
      </c>
      <c r="K921" s="200">
        <f>IF(D921="","",VLOOKUP(D921,契約台帳!$A$3:$L$4986,12,FALSE))</f>
        <v>50</v>
      </c>
      <c r="L921" s="200" t="str">
        <f>IF(D921="","",INDEX(製品マスタ!$Q$5:$Q$4999,MATCH(F921&amp;K921,製品マスタ!$AO$5:$AO$4999,0)))</f>
        <v>T62</v>
      </c>
      <c r="M921" s="37">
        <v>1120</v>
      </c>
      <c r="N921" s="37">
        <v>10000</v>
      </c>
      <c r="O921" s="45">
        <v>5</v>
      </c>
      <c r="P921" s="54"/>
      <c r="Q921" s="260">
        <f>IF(D921="","",IF(J921="リード付け",M921,VLOOKUP(D921,契約台帳!$A$3:$N$4986,14,FALSE)))</f>
        <v>1120</v>
      </c>
      <c r="R921" s="261">
        <f>IF(D921="","",IF(J921="リード付け",M921,VLOOKUP(D921,契約台帳!$A$3:$O$4986,15,FALSE)))</f>
        <v>1120</v>
      </c>
      <c r="S921" s="261">
        <f>IF(D921="","",IF(J921="リード付け",N921,VLOOKUP(D921,契約台帳!$A$3:$P$4986,16,FALSE)))</f>
        <v>5000</v>
      </c>
      <c r="T921" s="38">
        <v>10</v>
      </c>
      <c r="U921" s="261" t="str">
        <f ca="1">IF(D921="","",IF(OFFSET(D921,-2,0)=D921,"",VLOOKUP(D921,契約台帳!$A$3:$R$4986,18,FALSE)))</f>
        <v/>
      </c>
      <c r="V921" s="256" t="str">
        <f>IF(J921="巻返し",VLOOKUP(F921&amp;K921&amp;M921,製品マスタ!$M$5:$AD$4999,18,FALSE),IF(J921="リード付け","原反コア",IF(J921="スリット",VLOOKUP(F921&amp;K921&amp;Q921,製品マスタ!$N$5:$AD$4999,17,FALSE),"")))</f>
        <v>6ｲﾝﾁSｺｱ</v>
      </c>
      <c r="W921" s="256">
        <f>IF(J921="巻返し",VLOOKUP(F921&amp;K921&amp;M921,製品マスタ!$M$5:$AE$4999,19,FALSE),IF(J921="リード付け","-",IF(J921="スリット",VLOOKUP(F921&amp;K921&amp;Q921,製品マスタ!$N$5:$AE$4999,18,FALSE),"")))</f>
        <v>1125</v>
      </c>
      <c r="X921" s="256">
        <f>IF(D921="","",VLOOKUP(D921,契約台帳!$A$3:$Q$4986,17,FALSE))</f>
        <v>2</v>
      </c>
      <c r="Y921" s="256" t="str">
        <f>IF(D921="","",VLOOKUP(D921,契約台帳!$A$3:$E$4986,5,FALSE))</f>
        <v xml:space="preserve">リンテック㈱        </v>
      </c>
      <c r="Z921" s="310">
        <v>45229</v>
      </c>
      <c r="AA921" s="200" t="str">
        <f>IFERROR(VLOOKUP(F921&amp;K921&amp;M921,製品マスタ!$M$5:$AM$4999,27,FALSE),"")</f>
        <v>原反ケース再利用</v>
      </c>
      <c r="AB921" s="312"/>
      <c r="AC921" s="313"/>
      <c r="AD921" s="51" t="str">
        <f>IF(F921="","",+F921&amp;K921)</f>
        <v>3SNMLBMNGTBF50</v>
      </c>
      <c r="AE921" s="52">
        <f>+M921*N921*O921/1000</f>
        <v>56000</v>
      </c>
      <c r="AF921" s="41">
        <f>IF(AD921="","",VLOOKUP(AD921,原価マスタ!$A$2:$AJ$1693,13,FALSE))</f>
        <v>99</v>
      </c>
      <c r="AG921" s="45">
        <f>IF(AF921="","",+AE921*AF921/100)</f>
        <v>55440</v>
      </c>
      <c r="AH921" s="28"/>
      <c r="AI921" s="28"/>
      <c r="AJ921" s="28"/>
      <c r="AK921" s="28"/>
      <c r="AL921" s="12"/>
      <c r="AM921" s="12"/>
      <c r="AN921" s="12"/>
      <c r="AO921" s="12"/>
      <c r="AP921" s="12"/>
      <c r="AQ921" s="13"/>
      <c r="AR921" s="14"/>
    </row>
    <row r="922" spans="1:44" s="16" customFormat="1" ht="30.95" hidden="1" customHeight="1" x14ac:dyDescent="0.2">
      <c r="A922" s="303"/>
      <c r="B922" s="304"/>
      <c r="C922" s="305"/>
      <c r="D922" s="306"/>
      <c r="E922" s="306"/>
      <c r="F922" s="255"/>
      <c r="G922" s="256"/>
      <c r="H922" s="256"/>
      <c r="I922" s="200"/>
      <c r="J922" s="307"/>
      <c r="K922" s="200"/>
      <c r="L922" s="200"/>
      <c r="M922" s="308"/>
      <c r="N922" s="308"/>
      <c r="O922" s="309"/>
      <c r="P922" s="310"/>
      <c r="Q922" s="260"/>
      <c r="R922" s="261"/>
      <c r="S922" s="261"/>
      <c r="T922" s="311"/>
      <c r="U922" s="261"/>
      <c r="V922" s="256"/>
      <c r="W922" s="256"/>
      <c r="X922" s="256"/>
      <c r="Y922" s="256"/>
      <c r="Z922" s="310"/>
      <c r="AA922" s="200"/>
      <c r="AB922" s="312"/>
      <c r="AC922" s="313"/>
      <c r="AD922" s="51"/>
      <c r="AE922" s="314"/>
      <c r="AF922" s="315"/>
      <c r="AG922" s="309"/>
      <c r="AH922" s="28"/>
      <c r="AI922" s="28"/>
      <c r="AJ922" s="28"/>
      <c r="AK922" s="28"/>
      <c r="AL922" s="12"/>
      <c r="AM922" s="12"/>
      <c r="AN922" s="12"/>
      <c r="AO922" s="12"/>
      <c r="AP922" s="12"/>
      <c r="AQ922" s="13"/>
      <c r="AR922" s="14"/>
    </row>
    <row r="923" spans="1:44" s="16" customFormat="1" ht="30.95" hidden="1" customHeight="1" x14ac:dyDescent="0.2">
      <c r="A923" s="35" t="s">
        <v>636</v>
      </c>
      <c r="B923" s="36" t="s">
        <v>443</v>
      </c>
      <c r="C923" s="305"/>
      <c r="D923" s="29">
        <v>3727608</v>
      </c>
      <c r="E923" s="29">
        <v>4151490</v>
      </c>
      <c r="F923" s="255" t="str">
        <f>IF(D923="","",VLOOKUP(D923,契約台帳!$A$3:$K$4986,6,FALSE)&amp;VLOOKUP(D923,契約台帳!$A$3:$K$4986,7,FALSE)&amp;VLOOKUP(D923,契約台帳!$A$3:$K$4986,8,FALSE)&amp;VLOOKUP(D923,契約台帳!$A$3:$K$4986,9,FALSE)&amp;VLOOKUP(D923,契約台帳!$A$3:$K$4986,11,FALSE))</f>
        <v>3SNMLBMNGTBF</v>
      </c>
      <c r="G923" s="256" t="str">
        <f>IF(D923="","",VLOOKUP(F923,製品マスタ!$G$5:$H$4999,2,FALSE))</f>
        <v>S</v>
      </c>
      <c r="H923" s="256" t="str">
        <f>IF(D923="","",VLOOKUP(F923,製品マスタ!$G$5:$K$4999,5,FALSE))</f>
        <v>MNGTBF</v>
      </c>
      <c r="I923" s="200" t="str">
        <f>IF(D923="","",VLOOKUP(F923,製品マスタ!$G$5:$L$4999,6,FALSE))</f>
        <v>メタルミー　ネーマー　銀艶　Ｂ</v>
      </c>
      <c r="J923" s="30" t="s">
        <v>447</v>
      </c>
      <c r="K923" s="200">
        <f>IF(D923="","",VLOOKUP(D923,契約台帳!$A$3:$L$4986,12,FALSE))</f>
        <v>50</v>
      </c>
      <c r="L923" s="200" t="str">
        <f>IF(D923="","",INDEX(製品マスタ!$Q$5:$Q$4999,MATCH(F923&amp;K923,製品マスタ!$AO$5:$AO$4999,0)))</f>
        <v>T62</v>
      </c>
      <c r="M923" s="37">
        <v>1120</v>
      </c>
      <c r="N923" s="37">
        <v>10000</v>
      </c>
      <c r="O923" s="45">
        <v>5</v>
      </c>
      <c r="P923" s="54"/>
      <c r="Q923" s="260">
        <f>IF(D923="","",IF(J923="リード付け",M923,VLOOKUP(D923,契約台帳!$A$3:$N$4986,14,FALSE)))</f>
        <v>1120</v>
      </c>
      <c r="R923" s="261">
        <f>IF(D923="","",IF(J923="リード付け",M923,VLOOKUP(D923,契約台帳!$A$3:$O$4986,15,FALSE)))</f>
        <v>1120</v>
      </c>
      <c r="S923" s="261">
        <f>IF(D923="","",IF(J923="リード付け",N923,VLOOKUP(D923,契約台帳!$A$3:$P$4986,16,FALSE)))</f>
        <v>5000</v>
      </c>
      <c r="T923" s="38">
        <v>10</v>
      </c>
      <c r="U923" s="261" t="str">
        <f ca="1">IF(D923="","",IF(OFFSET(D923,-2,0)=D923,"",VLOOKUP(D923,契約台帳!$A$3:$R$4986,18,FALSE)))</f>
        <v/>
      </c>
      <c r="V923" s="256" t="str">
        <f>IF(J923="巻返し",VLOOKUP(F923&amp;K923&amp;M923,製品マスタ!$M$5:$AD$4999,18,FALSE),IF(J923="リード付け","原反コア",IF(J923="スリット",VLOOKUP(F923&amp;K923&amp;Q923,製品マスタ!$N$5:$AD$4999,17,FALSE),"")))</f>
        <v>6ｲﾝﾁSｺｱ</v>
      </c>
      <c r="W923" s="256">
        <f>IF(J923="巻返し",VLOOKUP(F923&amp;K923&amp;M923,製品マスタ!$M$5:$AE$4999,19,FALSE),IF(J923="リード付け","-",IF(J923="スリット",VLOOKUP(F923&amp;K923&amp;Q923,製品マスタ!$N$5:$AE$4999,18,FALSE),"")))</f>
        <v>1125</v>
      </c>
      <c r="X923" s="256">
        <f>IF(D923="","",VLOOKUP(D923,契約台帳!$A$3:$Q$4986,17,FALSE))</f>
        <v>2</v>
      </c>
      <c r="Y923" s="256" t="str">
        <f>IF(D923="","",VLOOKUP(D923,契約台帳!$A$3:$E$4986,5,FALSE))</f>
        <v xml:space="preserve">リンテック㈱        </v>
      </c>
      <c r="Z923" s="310">
        <v>45230</v>
      </c>
      <c r="AA923" s="200" t="str">
        <f>IFERROR(VLOOKUP(F923&amp;K923&amp;M923,製品マスタ!$M$5:$AM$4999,27,FALSE),"")</f>
        <v>原反ケース再利用</v>
      </c>
      <c r="AB923" s="312"/>
      <c r="AC923" s="313"/>
      <c r="AD923" s="51" t="str">
        <f>IF(F923="","",+F923&amp;K923)</f>
        <v>3SNMLBMNGTBF50</v>
      </c>
      <c r="AE923" s="52">
        <f>+M923*N923*O923/1000</f>
        <v>56000</v>
      </c>
      <c r="AF923" s="41">
        <f>IF(AD923="","",VLOOKUP(AD923,原価マスタ!$A$2:$AJ$1693,13,FALSE))</f>
        <v>99</v>
      </c>
      <c r="AG923" s="45">
        <f>IF(AF923="","",+AE923*AF923/100)</f>
        <v>55440</v>
      </c>
      <c r="AH923" s="28"/>
      <c r="AI923" s="28"/>
      <c r="AJ923" s="28"/>
      <c r="AK923" s="28"/>
      <c r="AL923" s="12"/>
      <c r="AM923" s="12"/>
      <c r="AN923" s="12"/>
      <c r="AO923" s="12"/>
      <c r="AP923" s="12"/>
      <c r="AQ923" s="13"/>
      <c r="AR923" s="14"/>
    </row>
    <row r="924" spans="1:44" s="16" customFormat="1" ht="30.95" hidden="1" customHeight="1" x14ac:dyDescent="0.2">
      <c r="A924" s="303"/>
      <c r="B924" s="304"/>
      <c r="C924" s="305"/>
      <c r="D924" s="306"/>
      <c r="E924" s="306"/>
      <c r="F924" s="255"/>
      <c r="G924" s="256"/>
      <c r="H924" s="256"/>
      <c r="I924" s="200"/>
      <c r="J924" s="307"/>
      <c r="K924" s="200"/>
      <c r="L924" s="200"/>
      <c r="M924" s="308"/>
      <c r="N924" s="308"/>
      <c r="O924" s="309"/>
      <c r="P924" s="310"/>
      <c r="Q924" s="260"/>
      <c r="R924" s="261"/>
      <c r="S924" s="261"/>
      <c r="T924" s="311"/>
      <c r="U924" s="261"/>
      <c r="V924" s="256"/>
      <c r="W924" s="256"/>
      <c r="X924" s="256"/>
      <c r="Y924" s="256"/>
      <c r="Z924" s="310"/>
      <c r="AA924" s="200"/>
      <c r="AB924" s="312"/>
      <c r="AC924" s="313"/>
      <c r="AD924" s="51"/>
      <c r="AE924" s="314"/>
      <c r="AF924" s="315"/>
      <c r="AG924" s="309"/>
      <c r="AH924" s="28"/>
      <c r="AI924" s="28"/>
      <c r="AJ924" s="28"/>
      <c r="AK924" s="28"/>
      <c r="AL924" s="12"/>
      <c r="AM924" s="12"/>
      <c r="AN924" s="12"/>
      <c r="AO924" s="12"/>
      <c r="AP924" s="12"/>
      <c r="AQ924" s="13"/>
      <c r="AR924" s="14"/>
    </row>
    <row r="925" spans="1:44" s="225" customFormat="1" ht="30.95" hidden="1" customHeight="1" x14ac:dyDescent="0.2">
      <c r="A925" s="317"/>
      <c r="B925" s="318"/>
      <c r="C925" s="319"/>
      <c r="D925" s="320"/>
      <c r="E925" s="320"/>
      <c r="F925" s="263"/>
      <c r="G925" s="264"/>
      <c r="H925" s="264"/>
      <c r="I925" s="265"/>
      <c r="J925" s="321"/>
      <c r="K925" s="265"/>
      <c r="L925" s="265"/>
      <c r="M925" s="322"/>
      <c r="N925" s="322"/>
      <c r="O925" s="323"/>
      <c r="P925" s="316"/>
      <c r="Q925" s="266"/>
      <c r="R925" s="267"/>
      <c r="S925" s="267"/>
      <c r="T925" s="324"/>
      <c r="U925" s="267"/>
      <c r="V925" s="264"/>
      <c r="W925" s="264"/>
      <c r="X925" s="264"/>
      <c r="Y925" s="264"/>
      <c r="Z925" s="316"/>
      <c r="AA925" s="265"/>
      <c r="AB925" s="325"/>
      <c r="AC925" s="326"/>
      <c r="AD925" s="219"/>
      <c r="AE925" s="327"/>
      <c r="AF925" s="328"/>
      <c r="AG925" s="329">
        <f>SUM(AG863:AG924)</f>
        <v>720382.652</v>
      </c>
      <c r="AH925" s="221"/>
      <c r="AI925" s="221"/>
      <c r="AJ925" s="221"/>
      <c r="AK925" s="221"/>
      <c r="AL925" s="222"/>
      <c r="AM925" s="222"/>
      <c r="AN925" s="222"/>
      <c r="AO925" s="222"/>
      <c r="AP925" s="222"/>
      <c r="AQ925" s="223"/>
      <c r="AR925" s="224"/>
    </row>
    <row r="926" spans="1:44" s="16" customFormat="1" ht="30.95" hidden="1" customHeight="1" x14ac:dyDescent="0.2">
      <c r="A926" s="303"/>
      <c r="B926" s="304"/>
      <c r="C926" s="305"/>
      <c r="D926" s="306"/>
      <c r="E926" s="306"/>
      <c r="F926" s="255"/>
      <c r="G926" s="256"/>
      <c r="H926" s="256"/>
      <c r="I926" s="200"/>
      <c r="J926" s="307"/>
      <c r="K926" s="200"/>
      <c r="L926" s="200"/>
      <c r="M926" s="308"/>
      <c r="N926" s="308"/>
      <c r="O926" s="309"/>
      <c r="P926" s="310"/>
      <c r="Q926" s="260"/>
      <c r="R926" s="261"/>
      <c r="S926" s="261"/>
      <c r="T926" s="311"/>
      <c r="U926" s="261"/>
      <c r="V926" s="256"/>
      <c r="W926" s="256"/>
      <c r="X926" s="256"/>
      <c r="Y926" s="256"/>
      <c r="Z926" s="310"/>
      <c r="AA926" s="200"/>
      <c r="AB926" s="312"/>
      <c r="AC926" s="313"/>
      <c r="AD926" s="51"/>
      <c r="AE926" s="314"/>
      <c r="AF926" s="315"/>
      <c r="AG926" s="309"/>
      <c r="AH926" s="28"/>
      <c r="AI926" s="28"/>
      <c r="AJ926" s="28"/>
      <c r="AK926" s="28"/>
      <c r="AL926" s="12"/>
      <c r="AM926" s="12"/>
      <c r="AN926" s="12"/>
      <c r="AO926" s="12"/>
      <c r="AP926" s="12"/>
      <c r="AQ926" s="13"/>
      <c r="AR926" s="14"/>
    </row>
    <row r="927" spans="1:44" s="16" customFormat="1" ht="30.95" hidden="1" customHeight="1" x14ac:dyDescent="0.2">
      <c r="A927" s="35" t="s">
        <v>637</v>
      </c>
      <c r="B927" s="36" t="s">
        <v>444</v>
      </c>
      <c r="C927" s="305"/>
      <c r="D927" s="29">
        <v>3727608</v>
      </c>
      <c r="E927" s="29">
        <v>4151490</v>
      </c>
      <c r="F927" s="255" t="str">
        <f>IF(D927="","",VLOOKUP(D927,契約台帳!$A$3:$K$4986,6,FALSE)&amp;VLOOKUP(D927,契約台帳!$A$3:$K$4986,7,FALSE)&amp;VLOOKUP(D927,契約台帳!$A$3:$K$4986,8,FALSE)&amp;VLOOKUP(D927,契約台帳!$A$3:$K$4986,9,FALSE)&amp;VLOOKUP(D927,契約台帳!$A$3:$K$4986,11,FALSE))</f>
        <v>3SNMLBMNGTBF</v>
      </c>
      <c r="G927" s="256" t="str">
        <f>IF(D927="","",VLOOKUP(F927,製品マスタ!$G$5:$H$4999,2,FALSE))</f>
        <v>S</v>
      </c>
      <c r="H927" s="256" t="str">
        <f>IF(D927="","",VLOOKUP(F927,製品マスタ!$G$5:$K$4999,5,FALSE))</f>
        <v>MNGTBF</v>
      </c>
      <c r="I927" s="200" t="str">
        <f>IF(D927="","",VLOOKUP(F927,製品マスタ!$G$5:$L$4999,6,FALSE))</f>
        <v>メタルミー　ネーマー　銀艶　Ｂ</v>
      </c>
      <c r="J927" s="30" t="s">
        <v>447</v>
      </c>
      <c r="K927" s="200">
        <f>IF(D927="","",VLOOKUP(D927,契約台帳!$A$3:$L$4986,12,FALSE))</f>
        <v>50</v>
      </c>
      <c r="L927" s="200" t="str">
        <f>IF(D927="","",INDEX(製品マスタ!$Q$5:$Q$4999,MATCH(F927&amp;K927,製品マスタ!$AO$5:$AO$4999,0)))</f>
        <v>T62</v>
      </c>
      <c r="M927" s="37">
        <v>1120</v>
      </c>
      <c r="N927" s="37">
        <v>10000</v>
      </c>
      <c r="O927" s="45">
        <v>3</v>
      </c>
      <c r="P927" s="54"/>
      <c r="Q927" s="260">
        <f>IF(D927="","",IF(J927="リード付け",M927,VLOOKUP(D927,契約台帳!$A$3:$N$4986,14,FALSE)))</f>
        <v>1120</v>
      </c>
      <c r="R927" s="261">
        <f>IF(D927="","",IF(J927="リード付け",M927,VLOOKUP(D927,契約台帳!$A$3:$O$4986,15,FALSE)))</f>
        <v>1120</v>
      </c>
      <c r="S927" s="261">
        <f>IF(D927="","",IF(J927="リード付け",N927,VLOOKUP(D927,契約台帳!$A$3:$P$4986,16,FALSE)))</f>
        <v>5000</v>
      </c>
      <c r="T927" s="38">
        <v>6</v>
      </c>
      <c r="U927" s="261">
        <f ca="1">IF(D927="","",IF(OFFSET(D927,-2,0)=D927,"",VLOOKUP(D927,契約台帳!$A$3:$R$4986,18,FALSE)))</f>
        <v>46</v>
      </c>
      <c r="V927" s="256" t="str">
        <f>IF(J927="巻返し",VLOOKUP(F927&amp;K927&amp;M927,製品マスタ!$M$5:$AD$4999,18,FALSE),IF(J927="リード付け","原反コア",IF(J927="スリット",VLOOKUP(F927&amp;K927&amp;Q927,製品マスタ!$N$5:$AD$4999,17,FALSE),"")))</f>
        <v>6ｲﾝﾁSｺｱ</v>
      </c>
      <c r="W927" s="256">
        <f>IF(J927="巻返し",VLOOKUP(F927&amp;K927&amp;M927,製品マスタ!$M$5:$AE$4999,19,FALSE),IF(J927="リード付け","-",IF(J927="スリット",VLOOKUP(F927&amp;K927&amp;Q927,製品マスタ!$N$5:$AE$4999,18,FALSE),"")))</f>
        <v>1125</v>
      </c>
      <c r="X927" s="256">
        <f>IF(D927="","",VLOOKUP(D927,契約台帳!$A$3:$Q$4986,17,FALSE))</f>
        <v>2</v>
      </c>
      <c r="Y927" s="256" t="str">
        <f>IF(D927="","",VLOOKUP(D927,契約台帳!$A$3:$E$4986,5,FALSE))</f>
        <v xml:space="preserve">リンテック㈱        </v>
      </c>
      <c r="Z927" s="310">
        <v>45231</v>
      </c>
      <c r="AA927" s="200" t="str">
        <f>IFERROR(VLOOKUP(F927&amp;K927&amp;M927,製品マスタ!$M$5:$AM$4999,27,FALSE),"")</f>
        <v>原反ケース再利用</v>
      </c>
      <c r="AB927" s="312"/>
      <c r="AC927" s="313"/>
      <c r="AD927" s="51" t="str">
        <f>IF(F927="","",+F927&amp;K927)</f>
        <v>3SNMLBMNGTBF50</v>
      </c>
      <c r="AE927" s="52">
        <f>+M927*N927*O927/1000</f>
        <v>33600</v>
      </c>
      <c r="AF927" s="41">
        <f>IF(AD927="","",VLOOKUP(AD927,原価マスタ!$A$2:$AJ$1693,13,FALSE))</f>
        <v>99</v>
      </c>
      <c r="AG927" s="45">
        <f>IF(AF927="","",+AE927*AF927/100)</f>
        <v>33264</v>
      </c>
      <c r="AH927" s="28"/>
      <c r="AI927" s="28"/>
      <c r="AJ927" s="28"/>
      <c r="AK927" s="28"/>
      <c r="AL927" s="12"/>
      <c r="AM927" s="12"/>
      <c r="AN927" s="12"/>
      <c r="AO927" s="12"/>
      <c r="AP927" s="12"/>
      <c r="AQ927" s="13"/>
      <c r="AR927" s="14"/>
    </row>
    <row r="928" spans="1:44" s="16" customFormat="1" ht="30.95" hidden="1" customHeight="1" x14ac:dyDescent="0.2">
      <c r="A928" s="303"/>
      <c r="B928" s="304"/>
      <c r="C928" s="305"/>
      <c r="D928" s="306"/>
      <c r="E928" s="306"/>
      <c r="F928" s="255"/>
      <c r="G928" s="256"/>
      <c r="H928" s="256"/>
      <c r="I928" s="200"/>
      <c r="J928" s="307"/>
      <c r="K928" s="200"/>
      <c r="L928" s="200"/>
      <c r="M928" s="308"/>
      <c r="N928" s="308"/>
      <c r="O928" s="309"/>
      <c r="P928" s="310"/>
      <c r="Q928" s="260"/>
      <c r="R928" s="261"/>
      <c r="S928" s="261"/>
      <c r="T928" s="311"/>
      <c r="U928" s="261"/>
      <c r="V928" s="256"/>
      <c r="W928" s="256"/>
      <c r="X928" s="256"/>
      <c r="Y928" s="256"/>
      <c r="Z928" s="310"/>
      <c r="AA928" s="200"/>
      <c r="AB928" s="312"/>
      <c r="AC928" s="313"/>
      <c r="AD928" s="51"/>
      <c r="AE928" s="314"/>
      <c r="AF928" s="315"/>
      <c r="AG928" s="309"/>
      <c r="AH928" s="28"/>
      <c r="AI928" s="28"/>
      <c r="AJ928" s="28"/>
      <c r="AK928" s="28"/>
      <c r="AL928" s="12"/>
      <c r="AM928" s="12"/>
      <c r="AN928" s="12"/>
      <c r="AO928" s="12"/>
      <c r="AP928" s="12"/>
      <c r="AQ928" s="13"/>
      <c r="AR928" s="14"/>
    </row>
    <row r="929" spans="1:44" s="16" customFormat="1" ht="30.95" hidden="1" customHeight="1" x14ac:dyDescent="0.2">
      <c r="A929" s="303" t="s">
        <v>1649</v>
      </c>
      <c r="B929" s="304" t="s">
        <v>1629</v>
      </c>
      <c r="C929" s="305"/>
      <c r="D929" s="306"/>
      <c r="E929" s="306"/>
      <c r="F929" s="255"/>
      <c r="G929" s="256"/>
      <c r="H929" s="256"/>
      <c r="I929" s="200"/>
      <c r="J929" s="307" t="s">
        <v>1637</v>
      </c>
      <c r="K929" s="200"/>
      <c r="L929" s="200"/>
      <c r="M929" s="308"/>
      <c r="N929" s="308"/>
      <c r="O929" s="309"/>
      <c r="P929" s="310"/>
      <c r="Q929" s="260"/>
      <c r="R929" s="261"/>
      <c r="S929" s="261"/>
      <c r="T929" s="311"/>
      <c r="U929" s="261"/>
      <c r="V929" s="256"/>
      <c r="W929" s="256"/>
      <c r="X929" s="256"/>
      <c r="Y929" s="256"/>
      <c r="Z929" s="310"/>
      <c r="AA929" s="200"/>
      <c r="AB929" s="312"/>
      <c r="AC929" s="313"/>
      <c r="AD929" s="51"/>
      <c r="AE929" s="314"/>
      <c r="AF929" s="315"/>
      <c r="AG929" s="309"/>
      <c r="AH929" s="28"/>
      <c r="AI929" s="28"/>
      <c r="AJ929" s="28"/>
      <c r="AK929" s="28"/>
      <c r="AL929" s="12"/>
      <c r="AM929" s="12"/>
      <c r="AN929" s="12"/>
      <c r="AO929" s="12"/>
      <c r="AP929" s="12"/>
      <c r="AQ929" s="13"/>
      <c r="AR929" s="14"/>
    </row>
    <row r="930" spans="1:44" s="16" customFormat="1" ht="30.95" hidden="1" customHeight="1" x14ac:dyDescent="0.2">
      <c r="A930" s="303"/>
      <c r="B930" s="304"/>
      <c r="C930" s="305"/>
      <c r="D930" s="306"/>
      <c r="E930" s="306"/>
      <c r="F930" s="255"/>
      <c r="G930" s="256"/>
      <c r="H930" s="256"/>
      <c r="I930" s="200"/>
      <c r="J930" s="307"/>
      <c r="K930" s="200"/>
      <c r="L930" s="200"/>
      <c r="M930" s="308"/>
      <c r="N930" s="308"/>
      <c r="O930" s="309"/>
      <c r="P930" s="310"/>
      <c r="Q930" s="260"/>
      <c r="R930" s="261"/>
      <c r="S930" s="261"/>
      <c r="T930" s="311"/>
      <c r="U930" s="261"/>
      <c r="V930" s="256"/>
      <c r="W930" s="256"/>
      <c r="X930" s="256"/>
      <c r="Y930" s="256"/>
      <c r="Z930" s="310"/>
      <c r="AA930" s="200"/>
      <c r="AB930" s="312"/>
      <c r="AC930" s="313"/>
      <c r="AD930" s="51"/>
      <c r="AE930" s="314"/>
      <c r="AF930" s="315"/>
      <c r="AG930" s="309"/>
      <c r="AH930" s="28"/>
      <c r="AI930" s="28"/>
      <c r="AJ930" s="28"/>
      <c r="AK930" s="28"/>
      <c r="AL930" s="12"/>
      <c r="AM930" s="12"/>
      <c r="AN930" s="12"/>
      <c r="AO930" s="12"/>
      <c r="AP930" s="12"/>
      <c r="AQ930" s="13"/>
      <c r="AR930" s="14"/>
    </row>
    <row r="931" spans="1:44" s="16" customFormat="1" ht="30.95" hidden="1" customHeight="1" x14ac:dyDescent="0.2">
      <c r="A931" s="303" t="s">
        <v>1650</v>
      </c>
      <c r="B931" s="304" t="s">
        <v>1631</v>
      </c>
      <c r="C931" s="305"/>
      <c r="D931" s="306"/>
      <c r="E931" s="306"/>
      <c r="F931" s="255"/>
      <c r="G931" s="256"/>
      <c r="H931" s="256"/>
      <c r="I931" s="200"/>
      <c r="J931" s="307" t="s">
        <v>1637</v>
      </c>
      <c r="K931" s="200"/>
      <c r="L931" s="200"/>
      <c r="M931" s="308"/>
      <c r="N931" s="308"/>
      <c r="O931" s="309"/>
      <c r="P931" s="310"/>
      <c r="Q931" s="260"/>
      <c r="R931" s="261"/>
      <c r="S931" s="261"/>
      <c r="T931" s="311"/>
      <c r="U931" s="261"/>
      <c r="V931" s="256"/>
      <c r="W931" s="256"/>
      <c r="X931" s="256"/>
      <c r="Y931" s="256"/>
      <c r="Z931" s="310"/>
      <c r="AA931" s="200"/>
      <c r="AB931" s="312"/>
      <c r="AC931" s="313"/>
      <c r="AD931" s="51"/>
      <c r="AE931" s="314"/>
      <c r="AF931" s="315"/>
      <c r="AG931" s="309"/>
      <c r="AH931" s="28"/>
      <c r="AI931" s="28"/>
      <c r="AJ931" s="28"/>
      <c r="AK931" s="28"/>
      <c r="AL931" s="12"/>
      <c r="AM931" s="12"/>
      <c r="AN931" s="12"/>
      <c r="AO931" s="12"/>
      <c r="AP931" s="12"/>
      <c r="AQ931" s="13"/>
      <c r="AR931" s="14"/>
    </row>
    <row r="932" spans="1:44" s="16" customFormat="1" ht="30.95" hidden="1" customHeight="1" x14ac:dyDescent="0.2">
      <c r="A932" s="303"/>
      <c r="B932" s="304"/>
      <c r="C932" s="305"/>
      <c r="D932" s="306"/>
      <c r="E932" s="306"/>
      <c r="F932" s="255"/>
      <c r="G932" s="256"/>
      <c r="H932" s="256"/>
      <c r="I932" s="200"/>
      <c r="J932" s="307"/>
      <c r="K932" s="200"/>
      <c r="L932" s="200"/>
      <c r="M932" s="308"/>
      <c r="N932" s="308"/>
      <c r="O932" s="309"/>
      <c r="P932" s="310"/>
      <c r="Q932" s="260"/>
      <c r="R932" s="261"/>
      <c r="S932" s="261"/>
      <c r="T932" s="311"/>
      <c r="U932" s="261"/>
      <c r="V932" s="256"/>
      <c r="W932" s="256"/>
      <c r="X932" s="256"/>
      <c r="Y932" s="256"/>
      <c r="Z932" s="310"/>
      <c r="AA932" s="200"/>
      <c r="AB932" s="312"/>
      <c r="AC932" s="313"/>
      <c r="AD932" s="51"/>
      <c r="AE932" s="314"/>
      <c r="AF932" s="315"/>
      <c r="AG932" s="309"/>
      <c r="AH932" s="28"/>
      <c r="AI932" s="28"/>
      <c r="AJ932" s="28"/>
      <c r="AK932" s="28"/>
      <c r="AL932" s="12"/>
      <c r="AM932" s="12"/>
      <c r="AN932" s="12"/>
      <c r="AO932" s="12"/>
      <c r="AP932" s="12"/>
      <c r="AQ932" s="13"/>
      <c r="AR932" s="14"/>
    </row>
    <row r="933" spans="1:44" s="16" customFormat="1" ht="30.75" hidden="1" customHeight="1" x14ac:dyDescent="0.2">
      <c r="A933" s="35" t="s">
        <v>638</v>
      </c>
      <c r="B933" s="36" t="s">
        <v>462</v>
      </c>
      <c r="C933" s="43"/>
      <c r="D933" s="29">
        <v>3728961</v>
      </c>
      <c r="E933" s="29">
        <v>4151505</v>
      </c>
      <c r="F933" s="255" t="e">
        <f>IF(D933="","",VLOOKUP(D933,契約台帳!$A$3:$K$4986,6,FALSE)&amp;VLOOKUP(D933,契約台帳!$A$3:$K$4986,7,FALSE)&amp;VLOOKUP(D933,契約台帳!$A$3:$K$4986,8,FALSE)&amp;VLOOKUP(D933,契約台帳!$A$3:$K$4986,9,FALSE)&amp;VLOOKUP(D933,契約台帳!$A$3:$K$4986,11,FALSE))</f>
        <v>#N/A</v>
      </c>
      <c r="G933" s="256" t="s">
        <v>452</v>
      </c>
      <c r="H933" s="256" t="s">
        <v>212</v>
      </c>
      <c r="I933" s="200" t="s">
        <v>1652</v>
      </c>
      <c r="J933" s="30" t="s">
        <v>447</v>
      </c>
      <c r="K933" s="200">
        <v>75</v>
      </c>
      <c r="L933" s="200" t="s">
        <v>215</v>
      </c>
      <c r="M933" s="37">
        <v>1000</v>
      </c>
      <c r="N933" s="37">
        <v>6000</v>
      </c>
      <c r="O933" s="45">
        <v>5</v>
      </c>
      <c r="P933" s="54"/>
      <c r="Q933" s="260">
        <v>1000</v>
      </c>
      <c r="R933" s="261">
        <v>1000</v>
      </c>
      <c r="S933" s="261">
        <v>2000</v>
      </c>
      <c r="T933" s="38">
        <v>15</v>
      </c>
      <c r="U933" s="261">
        <v>19</v>
      </c>
      <c r="V933" s="256" t="s">
        <v>806</v>
      </c>
      <c r="W933" s="256">
        <v>1005</v>
      </c>
      <c r="X933" s="256">
        <v>2</v>
      </c>
      <c r="Y933" s="256" t="s">
        <v>116</v>
      </c>
      <c r="Z933" s="54" t="s">
        <v>1016</v>
      </c>
      <c r="AA933" s="200" t="s">
        <v>1467</v>
      </c>
      <c r="AB933" s="31"/>
      <c r="AC933" s="184"/>
      <c r="AD933" s="51"/>
      <c r="AE933" s="52">
        <f>+M933*N933*O933/1000</f>
        <v>30000</v>
      </c>
      <c r="AF933" s="41" t="str">
        <f>IF(AD933="","",VLOOKUP(AD933,原価マスタ!$A$2:$AJ$1693,13,FALSE))</f>
        <v/>
      </c>
      <c r="AG933" s="45" t="str">
        <f>IF(AF933="","",+AE933*AF933/100)</f>
        <v/>
      </c>
      <c r="AH933" s="28"/>
      <c r="AI933" s="28"/>
      <c r="AJ933" s="28"/>
      <c r="AK933" s="28"/>
      <c r="AL933" s="12"/>
      <c r="AM933" s="12"/>
      <c r="AN933" s="12"/>
      <c r="AO933" s="12"/>
      <c r="AP933" s="12"/>
      <c r="AQ933" s="13"/>
      <c r="AR933" s="14"/>
    </row>
    <row r="934" spans="1:44" s="16" customFormat="1" ht="30.95" hidden="1" customHeight="1" x14ac:dyDescent="0.2">
      <c r="A934" s="303"/>
      <c r="B934" s="304"/>
      <c r="C934" s="305"/>
      <c r="D934" s="306"/>
      <c r="E934" s="306"/>
      <c r="F934" s="255"/>
      <c r="G934" s="256"/>
      <c r="H934" s="256"/>
      <c r="I934" s="200"/>
      <c r="J934" s="307"/>
      <c r="K934" s="200"/>
      <c r="L934" s="200"/>
      <c r="M934" s="308"/>
      <c r="N934" s="308"/>
      <c r="O934" s="309"/>
      <c r="P934" s="310"/>
      <c r="Q934" s="260"/>
      <c r="R934" s="261"/>
      <c r="S934" s="261"/>
      <c r="T934" s="311"/>
      <c r="U934" s="261"/>
      <c r="V934" s="256"/>
      <c r="W934" s="256"/>
      <c r="X934" s="256"/>
      <c r="Y934" s="256"/>
      <c r="Z934" s="310"/>
      <c r="AA934" s="200"/>
      <c r="AB934" s="312"/>
      <c r="AC934" s="313"/>
      <c r="AD934" s="51"/>
      <c r="AE934" s="314"/>
      <c r="AF934" s="315"/>
      <c r="AG934" s="309"/>
      <c r="AH934" s="28"/>
      <c r="AI934" s="28"/>
      <c r="AJ934" s="28"/>
      <c r="AK934" s="28"/>
      <c r="AL934" s="12"/>
      <c r="AM934" s="12"/>
      <c r="AN934" s="12"/>
      <c r="AO934" s="12"/>
      <c r="AP934" s="12"/>
      <c r="AQ934" s="13"/>
      <c r="AR934" s="14"/>
    </row>
    <row r="935" spans="1:44" s="16" customFormat="1" ht="30.95" hidden="1" customHeight="1" x14ac:dyDescent="0.2">
      <c r="A935" s="303"/>
      <c r="B935" s="304"/>
      <c r="C935" s="305"/>
      <c r="D935" s="29">
        <v>3728961</v>
      </c>
      <c r="E935" s="29">
        <v>4151505</v>
      </c>
      <c r="F935" s="255" t="e">
        <f>IF(D935="","",VLOOKUP(D935,契約台帳!$A$3:$K$4986,6,FALSE)&amp;VLOOKUP(D935,契約台帳!$A$3:$K$4986,7,FALSE)&amp;VLOOKUP(D935,契約台帳!$A$3:$K$4986,8,FALSE)&amp;VLOOKUP(D935,契約台帳!$A$3:$K$4986,9,FALSE)&amp;VLOOKUP(D935,契約台帳!$A$3:$K$4986,11,FALSE))</f>
        <v>#N/A</v>
      </c>
      <c r="G935" s="256" t="s">
        <v>452</v>
      </c>
      <c r="H935" s="256" t="s">
        <v>212</v>
      </c>
      <c r="I935" s="200" t="s">
        <v>1652</v>
      </c>
      <c r="J935" s="30" t="s">
        <v>447</v>
      </c>
      <c r="K935" s="200">
        <v>75</v>
      </c>
      <c r="L935" s="200" t="s">
        <v>215</v>
      </c>
      <c r="M935" s="37">
        <v>1000</v>
      </c>
      <c r="N935" s="37">
        <v>4000</v>
      </c>
      <c r="O935" s="45">
        <v>2</v>
      </c>
      <c r="P935" s="54"/>
      <c r="Q935" s="260">
        <v>1000</v>
      </c>
      <c r="R935" s="261">
        <v>1000</v>
      </c>
      <c r="S935" s="261">
        <v>2000</v>
      </c>
      <c r="T935" s="38">
        <v>4</v>
      </c>
      <c r="U935" s="261">
        <v>19</v>
      </c>
      <c r="V935" s="256" t="s">
        <v>806</v>
      </c>
      <c r="W935" s="256">
        <v>1005</v>
      </c>
      <c r="X935" s="256">
        <v>2</v>
      </c>
      <c r="Y935" s="256" t="s">
        <v>116</v>
      </c>
      <c r="Z935" s="310" t="s">
        <v>1016</v>
      </c>
      <c r="AA935" s="200" t="s">
        <v>1467</v>
      </c>
      <c r="AB935" s="312"/>
      <c r="AC935" s="313"/>
      <c r="AD935" s="51"/>
      <c r="AE935" s="314">
        <f>+M935*N935*O935/1000</f>
        <v>8000</v>
      </c>
      <c r="AF935" s="315"/>
      <c r="AG935" s="309"/>
      <c r="AH935" s="28"/>
      <c r="AI935" s="28"/>
      <c r="AJ935" s="28"/>
      <c r="AK935" s="28"/>
      <c r="AL935" s="12"/>
      <c r="AM935" s="12"/>
      <c r="AN935" s="12"/>
      <c r="AO935" s="12"/>
      <c r="AP935" s="12"/>
      <c r="AQ935" s="13"/>
      <c r="AR935" s="14"/>
    </row>
    <row r="936" spans="1:44" s="16" customFormat="1" ht="30.95" hidden="1" customHeight="1" x14ac:dyDescent="0.2">
      <c r="A936" s="303"/>
      <c r="B936" s="304"/>
      <c r="C936" s="305"/>
      <c r="D936" s="306"/>
      <c r="E936" s="306"/>
      <c r="F936" s="255"/>
      <c r="G936" s="256"/>
      <c r="H936" s="256"/>
      <c r="I936" s="200"/>
      <c r="J936" s="307"/>
      <c r="K936" s="200"/>
      <c r="L936" s="200"/>
      <c r="M936" s="308"/>
      <c r="N936" s="308"/>
      <c r="O936" s="309"/>
      <c r="P936" s="310"/>
      <c r="Q936" s="260"/>
      <c r="R936" s="261"/>
      <c r="S936" s="261"/>
      <c r="T936" s="311"/>
      <c r="U936" s="261"/>
      <c r="V936" s="256"/>
      <c r="W936" s="256"/>
      <c r="X936" s="256"/>
      <c r="Y936" s="256"/>
      <c r="Z936" s="310"/>
      <c r="AA936" s="200"/>
      <c r="AB936" s="312"/>
      <c r="AC936" s="313"/>
      <c r="AD936" s="51"/>
      <c r="AE936" s="314"/>
      <c r="AF936" s="315"/>
      <c r="AG936" s="309"/>
      <c r="AH936" s="28"/>
      <c r="AI936" s="28"/>
      <c r="AJ936" s="28"/>
      <c r="AK936" s="28"/>
      <c r="AL936" s="12"/>
      <c r="AM936" s="12"/>
      <c r="AN936" s="12"/>
      <c r="AO936" s="12"/>
      <c r="AP936" s="12"/>
      <c r="AQ936" s="13"/>
      <c r="AR936" s="14"/>
    </row>
    <row r="937" spans="1:44" s="16" customFormat="1" ht="30.95" hidden="1" customHeight="1" x14ac:dyDescent="0.2">
      <c r="A937" s="303" t="s">
        <v>1799</v>
      </c>
      <c r="B937" s="304" t="s">
        <v>1800</v>
      </c>
      <c r="C937" s="305"/>
      <c r="D937" s="29">
        <v>3731354</v>
      </c>
      <c r="E937" s="29">
        <v>4170126</v>
      </c>
      <c r="F937" s="255" t="str">
        <f>IF(D937="","",VLOOKUP(D937,契約台帳!$A$3:$K$4986,6,FALSE)&amp;VLOOKUP(D937,契約台帳!$A$3:$K$4986,7,FALSE)&amp;VLOOKUP(D937,契約台帳!$A$3:$K$4986,8,FALSE)&amp;VLOOKUP(D937,契約台帳!$A$3:$K$4986,9,FALSE)&amp;VLOOKUP(D937,契約台帳!$A$3:$K$4986,11,FALSE))</f>
        <v>3SNMLBMNGTBF</v>
      </c>
      <c r="G937" s="256" t="str">
        <f>IF(D937="","",VLOOKUP(F937,製品マスタ!$G$5:$H$4999,2,FALSE))</f>
        <v>S</v>
      </c>
      <c r="H937" s="256" t="str">
        <f>IF(D937="","",VLOOKUP(F937,製品マスタ!$G$5:$K$4999,5,FALSE))</f>
        <v>MNGTBF</v>
      </c>
      <c r="I937" s="200" t="str">
        <f>IF(D937="","",VLOOKUP(F937,製品マスタ!$G$5:$L$4999,6,FALSE))</f>
        <v>メタルミー　ネーマー　銀艶　Ｂ</v>
      </c>
      <c r="J937" s="30" t="s">
        <v>464</v>
      </c>
      <c r="K937" s="200">
        <f>IF(D937="","",VLOOKUP(D937,契約台帳!$A$3:$L$4986,12,FALSE))</f>
        <v>25</v>
      </c>
      <c r="L937" s="200" t="str">
        <f>IF(D937="","",INDEX(製品マスタ!$Q$5:$Q$4999,MATCH(F937&amp;K937,製品マスタ!$AO$5:$AO$4999,0)))</f>
        <v>T62M</v>
      </c>
      <c r="M937" s="37">
        <v>1125</v>
      </c>
      <c r="N937" s="37">
        <v>12100</v>
      </c>
      <c r="O937" s="45">
        <v>1</v>
      </c>
      <c r="P937" s="206">
        <v>45229</v>
      </c>
      <c r="Q937" s="260">
        <f>IF(D937="","",IF(J937="リード付け",M937,VLOOKUP(D937,契約台帳!$A$3:$N$4986,14,FALSE)))</f>
        <v>1125</v>
      </c>
      <c r="R937" s="261">
        <f>IF(D937="","",IF(J937="リード付け",M937,VLOOKUP(D937,契約台帳!$A$3:$O$4986,15,FALSE)))</f>
        <v>1125</v>
      </c>
      <c r="S937" s="261">
        <f>IF(D937="","",IF(J937="リード付け",N937,VLOOKUP(D937,契約台帳!$A$3:$P$4986,16,FALSE)))</f>
        <v>12100</v>
      </c>
      <c r="T937" s="38">
        <v>1</v>
      </c>
      <c r="U937" s="261">
        <f ca="1">IF(D937="","",IF(OFFSET(D937,-2,0)=D937,"",VLOOKUP(D937,契約台帳!$A$3:$R$4986,18,FALSE)))</f>
        <v>3</v>
      </c>
      <c r="V937" s="256" t="str">
        <f>IF(J937="巻返し",VLOOKUP(F937&amp;K937&amp;M937,製品マスタ!$M$5:$AD$4999,18,FALSE),IF(J937="リード付け","原反コア",IF(J937="スリット",VLOOKUP(F937&amp;K937&amp;Q937,製品マスタ!$N$5:$AD$4999,17,FALSE),"")))</f>
        <v>原反コア</v>
      </c>
      <c r="W937" s="256" t="str">
        <f>IF(J937="巻返し",VLOOKUP(F937&amp;K937&amp;M937,製品マスタ!$M$5:$AE$4999,19,FALSE),IF(J937="リード付け","-",IF(J937="スリット",VLOOKUP(F937&amp;K937&amp;Q937,製品マスタ!$N$5:$AE$4999,18,FALSE),"")))</f>
        <v>-</v>
      </c>
      <c r="X937" s="256">
        <f>IF(D937="","",VLOOKUP(D937,契約台帳!$A$3:$Q$4986,17,FALSE))</f>
        <v>2</v>
      </c>
      <c r="Y937" s="256" t="str">
        <f>IF(D937="","",VLOOKUP(D937,契約台帳!$A$3:$E$4986,5,FALSE))</f>
        <v>リンテック㈱</v>
      </c>
      <c r="Z937" s="310"/>
      <c r="AA937" s="200">
        <f>IFERROR(VLOOKUP(F937&amp;K937&amp;M937,製品マスタ!$M$5:$AM$4999,27,FALSE),"")</f>
        <v>0</v>
      </c>
      <c r="AB937" s="312"/>
      <c r="AC937" s="313"/>
      <c r="AD937" s="51"/>
      <c r="AE937" s="314">
        <f>+M937*N937*O937/1000</f>
        <v>13612.5</v>
      </c>
      <c r="AF937" s="315"/>
      <c r="AG937" s="309"/>
      <c r="AH937" s="28"/>
      <c r="AI937" s="28"/>
      <c r="AJ937" s="28"/>
      <c r="AK937" s="28"/>
      <c r="AL937" s="12"/>
      <c r="AM937" s="12"/>
      <c r="AN937" s="12"/>
      <c r="AO937" s="12"/>
      <c r="AP937" s="12"/>
      <c r="AQ937" s="13"/>
      <c r="AR937" s="14"/>
    </row>
    <row r="938" spans="1:44" s="16" customFormat="1" ht="30.95" hidden="1" customHeight="1" x14ac:dyDescent="0.2">
      <c r="A938" s="303"/>
      <c r="B938" s="304"/>
      <c r="C938" s="305"/>
      <c r="D938" s="306"/>
      <c r="E938" s="306"/>
      <c r="F938" s="255"/>
      <c r="G938" s="256"/>
      <c r="H938" s="256"/>
      <c r="I938" s="200"/>
      <c r="J938" s="307"/>
      <c r="K938" s="200"/>
      <c r="L938" s="200"/>
      <c r="M938" s="308"/>
      <c r="N938" s="308"/>
      <c r="O938" s="309"/>
      <c r="P938" s="310"/>
      <c r="Q938" s="260"/>
      <c r="R938" s="261"/>
      <c r="S938" s="261"/>
      <c r="T938" s="311"/>
      <c r="U938" s="261"/>
      <c r="V938" s="256"/>
      <c r="W938" s="256"/>
      <c r="X938" s="256"/>
      <c r="Y938" s="256"/>
      <c r="Z938" s="310"/>
      <c r="AA938" s="200"/>
      <c r="AB938" s="312"/>
      <c r="AC938" s="313"/>
      <c r="AD938" s="51"/>
      <c r="AE938" s="314"/>
      <c r="AF938" s="315"/>
      <c r="AG938" s="309"/>
      <c r="AH938" s="28"/>
      <c r="AI938" s="28"/>
      <c r="AJ938" s="28"/>
      <c r="AK938" s="28"/>
      <c r="AL938" s="12"/>
      <c r="AM938" s="12"/>
      <c r="AN938" s="12"/>
      <c r="AO938" s="12"/>
      <c r="AP938" s="12"/>
      <c r="AQ938" s="13"/>
      <c r="AR938" s="14"/>
    </row>
    <row r="939" spans="1:44" s="16" customFormat="1" ht="30.95" hidden="1" customHeight="1" x14ac:dyDescent="0.2">
      <c r="A939" s="35"/>
      <c r="B939" s="36"/>
      <c r="C939" s="43"/>
      <c r="D939" s="29">
        <v>3731341</v>
      </c>
      <c r="E939" s="29">
        <v>4170127</v>
      </c>
      <c r="F939" s="255" t="str">
        <f>IF(D939="","",VLOOKUP(D939,契約台帳!$A$3:$K$4986,6,FALSE)&amp;VLOOKUP(D939,契約台帳!$A$3:$K$4986,7,FALSE)&amp;VLOOKUP(D939,契約台帳!$A$3:$K$4986,8,FALSE)&amp;VLOOKUP(D939,契約台帳!$A$3:$K$4986,9,FALSE)&amp;VLOOKUP(D939,契約台帳!$A$3:$K$4986,11,FALSE))</f>
        <v>3SNMLBMTSF</v>
      </c>
      <c r="G939" s="256" t="str">
        <f>IF(D939="","",VLOOKUP(F939,製品マスタ!$G$5:$H$4999,2,FALSE))</f>
        <v>S</v>
      </c>
      <c r="H939" s="256" t="str">
        <f>IF(D939="","",VLOOKUP(F939,製品マスタ!$G$5:$K$4999,5,FALSE))</f>
        <v>MTSF</v>
      </c>
      <c r="I939" s="200" t="str">
        <f>IF(D939="","",VLOOKUP(F939,製品マスタ!$G$5:$L$4999,6,FALSE))</f>
        <v>メタルミー　ＴＳ</v>
      </c>
      <c r="J939" s="30" t="s">
        <v>464</v>
      </c>
      <c r="K939" s="200">
        <f>IF(D939="","",VLOOKUP(D939,契約台帳!$A$3:$L$4986,12,FALSE))</f>
        <v>75</v>
      </c>
      <c r="L939" s="200" t="str">
        <f>IF(D939="","",INDEX(製品マスタ!$Q$5:$Q$4999,MATCH(F939&amp;K939,製品マスタ!$AO$5:$AO$4999,0)))</f>
        <v>T60</v>
      </c>
      <c r="M939" s="37">
        <v>1100</v>
      </c>
      <c r="N939" s="37">
        <v>2000</v>
      </c>
      <c r="O939" s="45">
        <v>1</v>
      </c>
      <c r="P939" s="206">
        <v>45229</v>
      </c>
      <c r="Q939" s="260">
        <f>IF(D939="","",IF(J939="リード付け",M939,VLOOKUP(D939,契約台帳!$A$3:$N$4986,14,FALSE)))</f>
        <v>1100</v>
      </c>
      <c r="R939" s="261">
        <f>IF(D939="","",IF(J939="リード付け",M939,VLOOKUP(D939,契約台帳!$A$3:$O$4986,15,FALSE)))</f>
        <v>1100</v>
      </c>
      <c r="S939" s="261">
        <f>IF(D939="","",IF(J939="リード付け",N939,VLOOKUP(D939,契約台帳!$A$3:$P$4986,16,FALSE)))</f>
        <v>2000</v>
      </c>
      <c r="T939" s="38">
        <v>1</v>
      </c>
      <c r="U939" s="261">
        <f ca="1">IF(D939="","",IF(OFFSET(D939,-2,0)=D939,"",VLOOKUP(D939,契約台帳!$A$3:$R$4986,18,FALSE)))</f>
        <v>2</v>
      </c>
      <c r="V939" s="256" t="str">
        <f>IF(J939="巻返し",VLOOKUP(F939&amp;K939&amp;M939,製品マスタ!$M$5:$AD$4999,18,FALSE),IF(J939="リード付け","原反コア",IF(J939="スリット",VLOOKUP(F939&amp;K939&amp;Q939,製品マスタ!$N$5:$AD$4999,17,FALSE),"")))</f>
        <v>原反コア</v>
      </c>
      <c r="W939" s="256" t="str">
        <f>IF(J939="巻返し",VLOOKUP(F939&amp;K939&amp;M939,製品マスタ!$M$5:$AE$4999,19,FALSE),IF(J939="リード付け","-",IF(J939="スリット",VLOOKUP(F939&amp;K939&amp;Q939,製品マスタ!$N$5:$AE$4999,18,FALSE),"")))</f>
        <v>-</v>
      </c>
      <c r="X939" s="256">
        <f>IF(D939="","",VLOOKUP(D939,契約台帳!$A$3:$Q$4986,17,FALSE))</f>
        <v>2</v>
      </c>
      <c r="Y939" s="256" t="str">
        <f>IF(D939="","",VLOOKUP(D939,契約台帳!$A$3:$E$4986,5,FALSE))</f>
        <v>パナック㈱亀山工場</v>
      </c>
      <c r="Z939" s="54"/>
      <c r="AA939" s="200">
        <f>IFERROR(VLOOKUP(F939&amp;K939&amp;M939,製品マスタ!$M$5:$AM$4999,27,FALSE),"")</f>
        <v>0</v>
      </c>
      <c r="AB939" s="31"/>
      <c r="AC939" s="184"/>
      <c r="AD939" s="51"/>
      <c r="AE939" s="52"/>
      <c r="AF939" s="41"/>
      <c r="AG939" s="45"/>
      <c r="AH939" s="28"/>
      <c r="AI939" s="28"/>
      <c r="AJ939" s="28"/>
      <c r="AK939" s="28"/>
      <c r="AL939" s="12"/>
      <c r="AM939" s="12"/>
      <c r="AN939" s="12"/>
      <c r="AO939" s="12"/>
      <c r="AP939" s="12"/>
      <c r="AQ939" s="13"/>
      <c r="AR939" s="14"/>
    </row>
    <row r="940" spans="1:44" s="16" customFormat="1" ht="30.95" hidden="1" customHeight="1" x14ac:dyDescent="0.2">
      <c r="A940" s="303"/>
      <c r="B940" s="304"/>
      <c r="C940" s="305"/>
      <c r="D940" s="306"/>
      <c r="E940" s="306"/>
      <c r="F940" s="255"/>
      <c r="G940" s="256"/>
      <c r="H940" s="256"/>
      <c r="I940" s="200"/>
      <c r="J940" s="307"/>
      <c r="K940" s="200"/>
      <c r="L940" s="200"/>
      <c r="M940" s="308"/>
      <c r="N940" s="308"/>
      <c r="O940" s="309"/>
      <c r="P940" s="310"/>
      <c r="Q940" s="260"/>
      <c r="R940" s="261"/>
      <c r="S940" s="261"/>
      <c r="T940" s="311"/>
      <c r="U940" s="261"/>
      <c r="V940" s="256"/>
      <c r="W940" s="256"/>
      <c r="X940" s="256"/>
      <c r="Y940" s="256"/>
      <c r="Z940" s="310"/>
      <c r="AA940" s="200"/>
      <c r="AB940" s="312"/>
      <c r="AC940" s="313"/>
      <c r="AD940" s="51"/>
      <c r="AE940" s="314"/>
      <c r="AF940" s="315"/>
      <c r="AG940" s="309"/>
      <c r="AH940" s="28"/>
      <c r="AI940" s="28"/>
      <c r="AJ940" s="28"/>
      <c r="AK940" s="28"/>
      <c r="AL940" s="12"/>
      <c r="AM940" s="12"/>
      <c r="AN940" s="12"/>
      <c r="AO940" s="12"/>
      <c r="AP940" s="12"/>
      <c r="AQ940" s="13"/>
      <c r="AR940" s="14"/>
    </row>
    <row r="941" spans="1:44" s="16" customFormat="1" ht="30.95" hidden="1" customHeight="1" x14ac:dyDescent="0.2">
      <c r="A941" s="303"/>
      <c r="B941" s="304"/>
      <c r="C941" s="305"/>
      <c r="D941" s="29">
        <v>3731340</v>
      </c>
      <c r="E941" s="29">
        <v>4170128</v>
      </c>
      <c r="F941" s="255" t="str">
        <f>IF(D941="","",VLOOKUP(D941,契約台帳!$A$3:$K$4986,6,FALSE)&amp;VLOOKUP(D941,契約台帳!$A$3:$K$4986,7,FALSE)&amp;VLOOKUP(D941,契約台帳!$A$3:$K$4986,8,FALSE)&amp;VLOOKUP(D941,契約台帳!$A$3:$K$4986,9,FALSE)&amp;VLOOKUP(D941,契約台帳!$A$3:$K$4986,11,FALSE))</f>
        <v>3SNMLBMSF</v>
      </c>
      <c r="G941" s="256" t="str">
        <f>IF(D941="","",VLOOKUP(F941,製品マスタ!$G$5:$H$4999,2,FALSE))</f>
        <v>S</v>
      </c>
      <c r="H941" s="256" t="str">
        <f>IF(D941="","",VLOOKUP(F941,製品マスタ!$G$5:$K$4999,5,FALSE))</f>
        <v>MSF</v>
      </c>
      <c r="I941" s="200" t="str">
        <f>IF(D941="","",VLOOKUP(F941,製品マスタ!$G$5:$L$4999,6,FALSE))</f>
        <v>メタルミー　Ｓ</v>
      </c>
      <c r="J941" s="30" t="s">
        <v>464</v>
      </c>
      <c r="K941" s="200">
        <f>IF(D941="","",VLOOKUP(D941,契約台帳!$A$3:$L$4986,12,FALSE))</f>
        <v>25</v>
      </c>
      <c r="L941" s="200" t="str">
        <f>IF(D941="","",INDEX(製品マスタ!$Q$5:$Q$4999,MATCH(F941&amp;K941,製品マスタ!$AO$5:$AO$4999,0)))</f>
        <v>T62M</v>
      </c>
      <c r="M941" s="37">
        <v>1020</v>
      </c>
      <c r="N941" s="37">
        <v>12100</v>
      </c>
      <c r="O941" s="45">
        <v>1</v>
      </c>
      <c r="P941" s="206">
        <v>45229</v>
      </c>
      <c r="Q941" s="260">
        <f>IF(D941="","",IF(J941="リード付け",M941,VLOOKUP(D941,契約台帳!$A$3:$N$4986,14,FALSE)))</f>
        <v>1020</v>
      </c>
      <c r="R941" s="261">
        <f>IF(D941="","",IF(J941="リード付け",M941,VLOOKUP(D941,契約台帳!$A$3:$O$4986,15,FALSE)))</f>
        <v>1020</v>
      </c>
      <c r="S941" s="261">
        <f>IF(D941="","",IF(J941="リード付け",N941,VLOOKUP(D941,契約台帳!$A$3:$P$4986,16,FALSE)))</f>
        <v>12100</v>
      </c>
      <c r="T941" s="38">
        <v>1</v>
      </c>
      <c r="U941" s="261">
        <f ca="1">IF(D941="","",IF(OFFSET(D941,-2,0)=D941,"",VLOOKUP(D941,契約台帳!$A$3:$R$4986,18,FALSE)))</f>
        <v>4</v>
      </c>
      <c r="V941" s="256" t="str">
        <f>IF(J941="巻返し",VLOOKUP(F941&amp;K941&amp;M941,製品マスタ!$M$5:$AD$4999,18,FALSE),IF(J941="リード付け","原反コア",IF(J941="スリット",VLOOKUP(F941&amp;K941&amp;Q941,製品マスタ!$N$5:$AD$4999,17,FALSE),"")))</f>
        <v>原反コア</v>
      </c>
      <c r="W941" s="256" t="str">
        <f>IF(J941="巻返し",VLOOKUP(F941&amp;K941&amp;M941,製品マスタ!$M$5:$AE$4999,19,FALSE),IF(J941="リード付け","-",IF(J941="スリット",VLOOKUP(F941&amp;K941&amp;Q941,製品マスタ!$N$5:$AE$4999,18,FALSE),"")))</f>
        <v>-</v>
      </c>
      <c r="X941" s="256">
        <f>IF(D941="","",VLOOKUP(D941,契約台帳!$A$3:$Q$4986,17,FALSE))</f>
        <v>2</v>
      </c>
      <c r="Y941" s="256" t="str">
        <f>IF(D941="","",VLOOKUP(D941,契約台帳!$A$3:$E$4986,5,FALSE))</f>
        <v>パナック㈱亀山工場</v>
      </c>
      <c r="Z941" s="310"/>
      <c r="AA941" s="200">
        <f>IFERROR(VLOOKUP(F941&amp;K941&amp;M941,製品マスタ!$M$5:$AM$4999,27,FALSE),"")</f>
        <v>0</v>
      </c>
      <c r="AB941" s="312"/>
      <c r="AC941" s="313"/>
      <c r="AD941" s="51"/>
      <c r="AE941" s="314">
        <f>+M941*N941*O941/1000</f>
        <v>12342</v>
      </c>
      <c r="AF941" s="315"/>
      <c r="AG941" s="309"/>
      <c r="AH941" s="28"/>
      <c r="AI941" s="28"/>
      <c r="AJ941" s="28"/>
      <c r="AK941" s="28"/>
      <c r="AL941" s="12"/>
      <c r="AM941" s="12"/>
      <c r="AN941" s="12"/>
      <c r="AO941" s="12"/>
      <c r="AP941" s="12"/>
      <c r="AQ941" s="13"/>
      <c r="AR941" s="14"/>
    </row>
    <row r="942" spans="1:44" s="16" customFormat="1" ht="30.95" hidden="1" customHeight="1" x14ac:dyDescent="0.2">
      <c r="A942" s="303"/>
      <c r="B942" s="304"/>
      <c r="C942" s="305"/>
      <c r="D942" s="306"/>
      <c r="E942" s="306"/>
      <c r="F942" s="255"/>
      <c r="G942" s="256"/>
      <c r="H942" s="256"/>
      <c r="I942" s="200"/>
      <c r="J942" s="307"/>
      <c r="K942" s="200"/>
      <c r="L942" s="200"/>
      <c r="M942" s="308"/>
      <c r="N942" s="308"/>
      <c r="O942" s="309"/>
      <c r="P942" s="310"/>
      <c r="Q942" s="260"/>
      <c r="R942" s="261"/>
      <c r="S942" s="261"/>
      <c r="T942" s="311"/>
      <c r="U942" s="261"/>
      <c r="V942" s="256"/>
      <c r="W942" s="256"/>
      <c r="X942" s="256"/>
      <c r="Y942" s="256"/>
      <c r="Z942" s="310"/>
      <c r="AA942" s="200"/>
      <c r="AB942" s="312"/>
      <c r="AC942" s="313"/>
      <c r="AD942" s="51"/>
      <c r="AE942" s="314"/>
      <c r="AF942" s="315"/>
      <c r="AG942" s="309"/>
      <c r="AH942" s="28"/>
      <c r="AI942" s="28"/>
      <c r="AJ942" s="28"/>
      <c r="AK942" s="28"/>
      <c r="AL942" s="12"/>
      <c r="AM942" s="12"/>
      <c r="AN942" s="12"/>
      <c r="AO942" s="12"/>
      <c r="AP942" s="12"/>
      <c r="AQ942" s="13"/>
      <c r="AR942" s="14"/>
    </row>
    <row r="943" spans="1:44" s="16" customFormat="1" ht="30.95" hidden="1" customHeight="1" x14ac:dyDescent="0.2">
      <c r="A943" s="303"/>
      <c r="B943" s="304"/>
      <c r="C943" s="305"/>
      <c r="D943" s="29">
        <v>3731353</v>
      </c>
      <c r="E943" s="29">
        <v>4170125</v>
      </c>
      <c r="F943" s="255" t="str">
        <f>IF(D943="","",VLOOKUP(D943,契約台帳!$A$3:$K$4986,6,FALSE)&amp;VLOOKUP(D943,契約台帳!$A$3:$K$4986,7,FALSE)&amp;VLOOKUP(D943,契約台帳!$A$3:$K$4986,8,FALSE)&amp;VLOOKUP(D943,契約台帳!$A$3:$K$4986,9,FALSE)&amp;VLOOKUP(D943,契約台帳!$A$3:$K$4986,11,FALSE))</f>
        <v>3SNMLBMNGTBF</v>
      </c>
      <c r="G943" s="256" t="str">
        <f>IF(D943="","",VLOOKUP(F943,製品マスタ!$G$5:$H$4999,2,FALSE))</f>
        <v>S</v>
      </c>
      <c r="H943" s="256" t="str">
        <f>IF(D943="","",VLOOKUP(F943,製品マスタ!$G$5:$K$4999,5,FALSE))</f>
        <v>MNGTBF</v>
      </c>
      <c r="I943" s="200" t="str">
        <f>IF(D943="","",VLOOKUP(F943,製品マスタ!$G$5:$L$4999,6,FALSE))</f>
        <v>メタルミー　ネーマー　銀艶　Ｂ</v>
      </c>
      <c r="J943" s="30" t="s">
        <v>464</v>
      </c>
      <c r="K943" s="200">
        <f>IF(D943="","",VLOOKUP(D943,契約台帳!$A$3:$L$4986,12,FALSE))</f>
        <v>25</v>
      </c>
      <c r="L943" s="200" t="str">
        <f>IF(D943="","",INDEX(製品マスタ!$Q$5:$Q$4999,MATCH(F943&amp;K943,製品マスタ!$AO$5:$AO$4999,0)))</f>
        <v>T62M</v>
      </c>
      <c r="M943" s="37">
        <v>1005</v>
      </c>
      <c r="N943" s="37">
        <v>12100</v>
      </c>
      <c r="O943" s="45">
        <v>6</v>
      </c>
      <c r="P943" s="206">
        <v>45229</v>
      </c>
      <c r="Q943" s="260">
        <f>IF(D943="","",IF(J943="リード付け",M943,VLOOKUP(D943,契約台帳!$A$3:$N$4986,14,FALSE)))</f>
        <v>1005</v>
      </c>
      <c r="R943" s="261">
        <f>IF(D943="","",IF(J943="リード付け",M943,VLOOKUP(D943,契約台帳!$A$3:$O$4986,15,FALSE)))</f>
        <v>1005</v>
      </c>
      <c r="S943" s="261">
        <f>IF(D943="","",IF(J943="リード付け",N943,VLOOKUP(D943,契約台帳!$A$3:$P$4986,16,FALSE)))</f>
        <v>12100</v>
      </c>
      <c r="T943" s="38">
        <v>6</v>
      </c>
      <c r="U943" s="261">
        <f ca="1">IF(D943="","",IF(OFFSET(D943,-2,0)=D943,"",VLOOKUP(D943,契約台帳!$A$3:$R$4986,18,FALSE)))</f>
        <v>18</v>
      </c>
      <c r="V943" s="256" t="str">
        <f>IF(J943="巻返し",VLOOKUP(F943&amp;K943&amp;M943,製品マスタ!$M$5:$AD$4999,18,FALSE),IF(J943="リード付け","原反コア",IF(J943="スリット",VLOOKUP(F943&amp;K943&amp;Q943,製品マスタ!$N$5:$AD$4999,17,FALSE),"")))</f>
        <v>原反コア</v>
      </c>
      <c r="W943" s="256" t="str">
        <f>IF(J943="巻返し",VLOOKUP(F943&amp;K943&amp;M943,製品マスタ!$M$5:$AE$4999,19,FALSE),IF(J943="リード付け","-",IF(J943="スリット",VLOOKUP(F943&amp;K943&amp;Q943,製品マスタ!$N$5:$AE$4999,18,FALSE),"")))</f>
        <v>-</v>
      </c>
      <c r="X943" s="256">
        <f>IF(D943="","",VLOOKUP(D943,契約台帳!$A$3:$Q$4986,17,FALSE))</f>
        <v>2</v>
      </c>
      <c r="Y943" s="256" t="str">
        <f>IF(D943="","",VLOOKUP(D943,契約台帳!$A$3:$E$4986,5,FALSE))</f>
        <v>リンテック㈱</v>
      </c>
      <c r="Z943" s="310"/>
      <c r="AA943" s="200">
        <f>IFERROR(VLOOKUP(F943&amp;K943&amp;M943,製品マスタ!$M$5:$AM$4999,27,FALSE),"")</f>
        <v>0</v>
      </c>
      <c r="AB943" s="312"/>
      <c r="AC943" s="313"/>
      <c r="AD943" s="51"/>
      <c r="AE943" s="314">
        <f>+M943*N943*O943/1000</f>
        <v>72963</v>
      </c>
      <c r="AF943" s="315"/>
      <c r="AG943" s="309"/>
      <c r="AH943" s="28"/>
      <c r="AI943" s="28"/>
      <c r="AJ943" s="28"/>
      <c r="AK943" s="28"/>
      <c r="AL943" s="12"/>
      <c r="AM943" s="12"/>
      <c r="AN943" s="12"/>
      <c r="AO943" s="12"/>
      <c r="AP943" s="12"/>
      <c r="AQ943" s="13"/>
      <c r="AR943" s="14"/>
    </row>
    <row r="944" spans="1:44" s="16" customFormat="1" ht="30.95" hidden="1" customHeight="1" x14ac:dyDescent="0.2">
      <c r="A944" s="303"/>
      <c r="B944" s="304"/>
      <c r="C944" s="305"/>
      <c r="D944" s="306"/>
      <c r="E944" s="306"/>
      <c r="F944" s="255"/>
      <c r="G944" s="256"/>
      <c r="H944" s="256"/>
      <c r="I944" s="200"/>
      <c r="J944" s="307"/>
      <c r="K944" s="200"/>
      <c r="L944" s="200"/>
      <c r="M944" s="308"/>
      <c r="N944" s="308"/>
      <c r="O944" s="309"/>
      <c r="P944" s="310"/>
      <c r="Q944" s="260"/>
      <c r="R944" s="261"/>
      <c r="S944" s="261"/>
      <c r="T944" s="311"/>
      <c r="U944" s="261"/>
      <c r="V944" s="256"/>
      <c r="W944" s="256"/>
      <c r="X944" s="256"/>
      <c r="Y944" s="256"/>
      <c r="Z944" s="310"/>
      <c r="AA944" s="200"/>
      <c r="AB944" s="312"/>
      <c r="AC944" s="313"/>
      <c r="AD944" s="51"/>
      <c r="AE944" s="314"/>
      <c r="AF944" s="315"/>
      <c r="AG944" s="309"/>
      <c r="AH944" s="28"/>
      <c r="AI944" s="28"/>
      <c r="AJ944" s="28"/>
      <c r="AK944" s="28"/>
      <c r="AL944" s="12"/>
      <c r="AM944" s="12"/>
      <c r="AN944" s="12"/>
      <c r="AO944" s="12"/>
      <c r="AP944" s="12"/>
      <c r="AQ944" s="13"/>
      <c r="AR944" s="14"/>
    </row>
    <row r="945" spans="1:44" s="16" customFormat="1" ht="30.95" hidden="1" customHeight="1" x14ac:dyDescent="0.2">
      <c r="A945" s="303"/>
      <c r="B945" s="304"/>
      <c r="C945" s="305"/>
      <c r="D945" s="29">
        <v>3731357</v>
      </c>
      <c r="E945" s="29">
        <v>4170129</v>
      </c>
      <c r="F945" s="255" t="str">
        <f>IF(D945="","",VLOOKUP(D945,契約台帳!$A$3:$K$4986,6,FALSE)&amp;VLOOKUP(D945,契約台帳!$A$3:$K$4986,7,FALSE)&amp;VLOOKUP(D945,契約台帳!$A$3:$K$4986,8,FALSE)&amp;VLOOKUP(D945,契約台帳!$A$3:$K$4986,9,FALSE)&amp;VLOOKUP(D945,契約台帳!$A$3:$K$4986,11,FALSE))</f>
        <v>3SNMLBMNNGKBF</v>
      </c>
      <c r="G945" s="256" t="str">
        <f>IF(D945="","",VLOOKUP(F945,製品マスタ!$G$5:$H$4999,2,FALSE))</f>
        <v>S</v>
      </c>
      <c r="H945" s="256" t="str">
        <f>IF(D945="","",VLOOKUP(F945,製品マスタ!$G$5:$K$4999,5,FALSE))</f>
        <v>MNNGKBF</v>
      </c>
      <c r="I945" s="200" t="str">
        <f>IF(D945="","",VLOOKUP(F945,製品マスタ!$G$5:$L$4999,6,FALSE))</f>
        <v>メタルミー　ニューネーマー銀消　Ｂ</v>
      </c>
      <c r="J945" s="30" t="s">
        <v>464</v>
      </c>
      <c r="K945" s="200">
        <f>IF(D945="","",VLOOKUP(D945,契約台帳!$A$3:$L$4986,12,FALSE))</f>
        <v>25</v>
      </c>
      <c r="L945" s="200" t="str">
        <f>IF(D945="","",INDEX(製品マスタ!$Q$5:$Q$4999,MATCH(F945&amp;K945,製品マスタ!$AO$5:$AO$4999,0)))</f>
        <v>X44C</v>
      </c>
      <c r="M945" s="37">
        <v>1005</v>
      </c>
      <c r="N945" s="37">
        <v>8000</v>
      </c>
      <c r="O945" s="45">
        <v>1</v>
      </c>
      <c r="P945" s="206">
        <v>45229</v>
      </c>
      <c r="Q945" s="260">
        <f>IF(D945="","",IF(J945="リード付け",M945,VLOOKUP(D945,契約台帳!$A$3:$N$4986,14,FALSE)))</f>
        <v>1005</v>
      </c>
      <c r="R945" s="261">
        <f>IF(D945="","",IF(J945="リード付け",M945,VLOOKUP(D945,契約台帳!$A$3:$O$4986,15,FALSE)))</f>
        <v>1005</v>
      </c>
      <c r="S945" s="261">
        <f>IF(D945="","",IF(J945="リード付け",N945,VLOOKUP(D945,契約台帳!$A$3:$P$4986,16,FALSE)))</f>
        <v>8000</v>
      </c>
      <c r="T945" s="38">
        <v>1</v>
      </c>
      <c r="U945" s="261">
        <f ca="1">IF(D945="","",IF(OFFSET(D945,-2,0)=D945,"",VLOOKUP(D945,契約台帳!$A$3:$R$4986,18,FALSE)))</f>
        <v>2</v>
      </c>
      <c r="V945" s="256" t="str">
        <f>IF(J945="巻返し",VLOOKUP(F945&amp;K945&amp;M945,製品マスタ!$M$5:$AD$4999,18,FALSE),IF(J945="リード付け","原反コア",IF(J945="スリット",VLOOKUP(F945&amp;K945&amp;Q945,製品マスタ!$N$5:$AD$4999,17,FALSE),"")))</f>
        <v>原反コア</v>
      </c>
      <c r="W945" s="256" t="str">
        <f>IF(J945="巻返し",VLOOKUP(F945&amp;K945&amp;M945,製品マスタ!$M$5:$AE$4999,19,FALSE),IF(J945="リード付け","-",IF(J945="スリット",VLOOKUP(F945&amp;K945&amp;Q945,製品マスタ!$N$5:$AE$4999,18,FALSE),"")))</f>
        <v>-</v>
      </c>
      <c r="X945" s="256">
        <f>IF(D945="","",VLOOKUP(D945,契約台帳!$A$3:$Q$4986,17,FALSE))</f>
        <v>2</v>
      </c>
      <c r="Y945" s="256" t="str">
        <f>IF(D945="","",VLOOKUP(D945,契約台帳!$A$3:$E$4986,5,FALSE))</f>
        <v>リンテック㈱</v>
      </c>
      <c r="Z945" s="310"/>
      <c r="AA945" s="200">
        <f>IFERROR(VLOOKUP(F945&amp;K945&amp;M945,製品マスタ!$M$5:$AM$4999,27,FALSE),"")</f>
        <v>0</v>
      </c>
      <c r="AB945" s="312"/>
      <c r="AC945" s="313"/>
      <c r="AD945" s="51"/>
      <c r="AE945" s="314">
        <f>+M945*N945*O945/1000</f>
        <v>8040</v>
      </c>
      <c r="AF945" s="315"/>
      <c r="AG945" s="309"/>
      <c r="AH945" s="28"/>
      <c r="AI945" s="28"/>
      <c r="AJ945" s="28"/>
      <c r="AK945" s="28"/>
      <c r="AL945" s="12"/>
      <c r="AM945" s="12"/>
      <c r="AN945" s="12"/>
      <c r="AO945" s="12"/>
      <c r="AP945" s="12"/>
      <c r="AQ945" s="13"/>
      <c r="AR945" s="14"/>
    </row>
    <row r="946" spans="1:44" s="16" customFormat="1" ht="30.95" hidden="1" customHeight="1" x14ac:dyDescent="0.2">
      <c r="A946" s="303"/>
      <c r="B946" s="304"/>
      <c r="C946" s="305"/>
      <c r="D946" s="306"/>
      <c r="E946" s="306"/>
      <c r="F946" s="255"/>
      <c r="G946" s="256"/>
      <c r="H946" s="256"/>
      <c r="I946" s="200"/>
      <c r="J946" s="307"/>
      <c r="K946" s="200"/>
      <c r="L946" s="200"/>
      <c r="M946" s="308"/>
      <c r="N946" s="308"/>
      <c r="O946" s="309"/>
      <c r="P946" s="310"/>
      <c r="Q946" s="260"/>
      <c r="R946" s="261"/>
      <c r="S946" s="261"/>
      <c r="T946" s="311"/>
      <c r="U946" s="261"/>
      <c r="V946" s="256"/>
      <c r="W946" s="256"/>
      <c r="X946" s="256"/>
      <c r="Y946" s="256"/>
      <c r="Z946" s="310"/>
      <c r="AA946" s="200"/>
      <c r="AB946" s="312"/>
      <c r="AC946" s="313"/>
      <c r="AD946" s="51"/>
      <c r="AE946" s="314"/>
      <c r="AF946" s="315"/>
      <c r="AG946" s="309"/>
      <c r="AH946" s="28"/>
      <c r="AI946" s="28"/>
      <c r="AJ946" s="28"/>
      <c r="AK946" s="28"/>
      <c r="AL946" s="12"/>
      <c r="AM946" s="12"/>
      <c r="AN946" s="12"/>
      <c r="AO946" s="12"/>
      <c r="AP946" s="12"/>
      <c r="AQ946" s="13"/>
      <c r="AR946" s="14"/>
    </row>
    <row r="947" spans="1:44" s="16" customFormat="1" ht="30.95" hidden="1" customHeight="1" x14ac:dyDescent="0.2">
      <c r="A947" s="303" t="s">
        <v>640</v>
      </c>
      <c r="B947" s="304" t="s">
        <v>442</v>
      </c>
      <c r="C947" s="305"/>
      <c r="D947" s="306"/>
      <c r="E947" s="306"/>
      <c r="F947" s="255"/>
      <c r="G947" s="256"/>
      <c r="H947" s="256"/>
      <c r="I947" s="200"/>
      <c r="J947" s="307"/>
      <c r="K947" s="200"/>
      <c r="L947" s="200"/>
      <c r="M947" s="308"/>
      <c r="N947" s="308"/>
      <c r="O947" s="309"/>
      <c r="P947" s="310"/>
      <c r="Q947" s="260"/>
      <c r="R947" s="261"/>
      <c r="S947" s="261"/>
      <c r="T947" s="311"/>
      <c r="U947" s="261"/>
      <c r="V947" s="256"/>
      <c r="W947" s="256"/>
      <c r="X947" s="256"/>
      <c r="Y947" s="256"/>
      <c r="Z947" s="310"/>
      <c r="AA947" s="200"/>
      <c r="AB947" s="312"/>
      <c r="AC947" s="313"/>
      <c r="AD947" s="51"/>
      <c r="AE947" s="314"/>
      <c r="AF947" s="315"/>
      <c r="AG947" s="309"/>
      <c r="AH947" s="28"/>
      <c r="AI947" s="28"/>
      <c r="AJ947" s="28"/>
      <c r="AK947" s="28"/>
      <c r="AL947" s="12"/>
      <c r="AM947" s="12"/>
      <c r="AN947" s="12"/>
      <c r="AO947" s="12"/>
      <c r="AP947" s="12"/>
      <c r="AQ947" s="13"/>
      <c r="AR947" s="14"/>
    </row>
    <row r="948" spans="1:44" s="16" customFormat="1" ht="30.95" hidden="1" customHeight="1" x14ac:dyDescent="0.2">
      <c r="A948" s="303"/>
      <c r="B948" s="304"/>
      <c r="C948" s="305"/>
      <c r="D948" s="306"/>
      <c r="E948" s="306"/>
      <c r="F948" s="255"/>
      <c r="G948" s="256"/>
      <c r="H948" s="256"/>
      <c r="I948" s="200"/>
      <c r="J948" s="307"/>
      <c r="K948" s="200"/>
      <c r="L948" s="200"/>
      <c r="M948" s="308"/>
      <c r="N948" s="308"/>
      <c r="O948" s="309"/>
      <c r="P948" s="310"/>
      <c r="Q948" s="260"/>
      <c r="R948" s="261"/>
      <c r="S948" s="261"/>
      <c r="T948" s="311"/>
      <c r="U948" s="261"/>
      <c r="V948" s="256"/>
      <c r="W948" s="256"/>
      <c r="X948" s="256"/>
      <c r="Y948" s="256"/>
      <c r="Z948" s="310"/>
      <c r="AA948" s="200"/>
      <c r="AB948" s="312"/>
      <c r="AC948" s="313"/>
      <c r="AD948" s="51"/>
      <c r="AE948" s="314"/>
      <c r="AF948" s="315"/>
      <c r="AG948" s="309"/>
      <c r="AH948" s="28"/>
      <c r="AI948" s="28"/>
      <c r="AJ948" s="28"/>
      <c r="AK948" s="28"/>
      <c r="AL948" s="12"/>
      <c r="AM948" s="12"/>
      <c r="AN948" s="12"/>
      <c r="AO948" s="12"/>
      <c r="AP948" s="12"/>
      <c r="AQ948" s="13"/>
      <c r="AR948" s="14"/>
    </row>
    <row r="949" spans="1:44" s="16" customFormat="1" ht="30.95" hidden="1" customHeight="1" x14ac:dyDescent="0.2">
      <c r="A949" s="35" t="s">
        <v>1750</v>
      </c>
      <c r="B949" s="36" t="s">
        <v>1751</v>
      </c>
      <c r="C949" s="43"/>
      <c r="D949" s="29"/>
      <c r="E949" s="278"/>
      <c r="F949" s="255"/>
      <c r="G949" s="256"/>
      <c r="H949" s="256"/>
      <c r="I949" s="200"/>
      <c r="J949" s="30"/>
      <c r="K949" s="200"/>
      <c r="L949" s="200"/>
      <c r="M949" s="37"/>
      <c r="N949" s="37"/>
      <c r="O949" s="45"/>
      <c r="P949" s="54"/>
      <c r="Q949" s="260"/>
      <c r="R949" s="261"/>
      <c r="S949" s="261"/>
      <c r="T949" s="38"/>
      <c r="U949" s="261"/>
      <c r="V949" s="256"/>
      <c r="W949" s="256"/>
      <c r="X949" s="256"/>
      <c r="Y949" s="256"/>
      <c r="Z949" s="54"/>
      <c r="AA949" s="200"/>
      <c r="AB949" s="31"/>
      <c r="AC949" s="184"/>
      <c r="AD949" s="51"/>
      <c r="AE949" s="52"/>
      <c r="AF949" s="41"/>
      <c r="AG949" s="45"/>
      <c r="AH949" s="28"/>
      <c r="AI949" s="28"/>
      <c r="AJ949" s="28"/>
      <c r="AK949" s="28"/>
      <c r="AL949" s="12"/>
      <c r="AM949" s="12"/>
      <c r="AN949" s="12"/>
      <c r="AO949" s="12"/>
      <c r="AP949" s="12"/>
      <c r="AQ949" s="13"/>
      <c r="AR949" s="14"/>
    </row>
    <row r="950" spans="1:44" s="16" customFormat="1" ht="30.95" hidden="1" customHeight="1" x14ac:dyDescent="0.2">
      <c r="A950" s="303"/>
      <c r="B950" s="304"/>
      <c r="C950" s="305"/>
      <c r="D950" s="306"/>
      <c r="E950" s="306"/>
      <c r="F950" s="255"/>
      <c r="G950" s="256"/>
      <c r="H950" s="256"/>
      <c r="I950" s="200"/>
      <c r="J950" s="307"/>
      <c r="K950" s="200"/>
      <c r="L950" s="200"/>
      <c r="M950" s="308"/>
      <c r="N950" s="308"/>
      <c r="O950" s="309"/>
      <c r="P950" s="310"/>
      <c r="Q950" s="260"/>
      <c r="R950" s="261"/>
      <c r="S950" s="261"/>
      <c r="T950" s="311"/>
      <c r="U950" s="261"/>
      <c r="V950" s="256"/>
      <c r="W950" s="256"/>
      <c r="X950" s="256"/>
      <c r="Y950" s="256"/>
      <c r="Z950" s="310"/>
      <c r="AA950" s="200"/>
      <c r="AB950" s="312"/>
      <c r="AC950" s="313"/>
      <c r="AD950" s="51"/>
      <c r="AE950" s="314"/>
      <c r="AF950" s="315"/>
      <c r="AG950" s="309"/>
      <c r="AH950" s="28"/>
      <c r="AI950" s="28"/>
      <c r="AJ950" s="28"/>
      <c r="AK950" s="28"/>
      <c r="AL950" s="12"/>
      <c r="AM950" s="12"/>
      <c r="AN950" s="12"/>
      <c r="AO950" s="12"/>
      <c r="AP950" s="12"/>
      <c r="AQ950" s="13"/>
      <c r="AR950" s="14"/>
    </row>
    <row r="951" spans="1:44" s="16" customFormat="1" ht="30.95" hidden="1" customHeight="1" x14ac:dyDescent="0.2">
      <c r="A951" s="303" t="s">
        <v>1752</v>
      </c>
      <c r="B951" s="304" t="s">
        <v>1755</v>
      </c>
      <c r="C951" s="305"/>
      <c r="D951" s="306"/>
      <c r="E951" s="306"/>
      <c r="F951" s="255"/>
      <c r="G951" s="256"/>
      <c r="H951" s="256"/>
      <c r="I951" s="200"/>
      <c r="J951" s="307" t="s">
        <v>1760</v>
      </c>
      <c r="K951" s="200"/>
      <c r="L951" s="200"/>
      <c r="M951" s="308"/>
      <c r="N951" s="308"/>
      <c r="O951" s="309"/>
      <c r="P951" s="310"/>
      <c r="Q951" s="260"/>
      <c r="R951" s="261"/>
      <c r="S951" s="261"/>
      <c r="T951" s="311"/>
      <c r="U951" s="261"/>
      <c r="V951" s="256"/>
      <c r="W951" s="256"/>
      <c r="X951" s="256"/>
      <c r="Y951" s="256"/>
      <c r="Z951" s="310"/>
      <c r="AA951" s="200"/>
      <c r="AB951" s="312"/>
      <c r="AC951" s="313"/>
      <c r="AD951" s="51"/>
      <c r="AE951" s="314"/>
      <c r="AF951" s="315"/>
      <c r="AG951" s="309"/>
      <c r="AH951" s="28"/>
      <c r="AI951" s="28"/>
      <c r="AJ951" s="28"/>
      <c r="AK951" s="28"/>
      <c r="AL951" s="12"/>
      <c r="AM951" s="12"/>
      <c r="AN951" s="12"/>
      <c r="AO951" s="12"/>
      <c r="AP951" s="12"/>
      <c r="AQ951" s="13"/>
      <c r="AR951" s="14"/>
    </row>
    <row r="952" spans="1:44" s="16" customFormat="1" ht="30.95" hidden="1" customHeight="1" x14ac:dyDescent="0.2">
      <c r="A952" s="303"/>
      <c r="B952" s="304"/>
      <c r="C952" s="305"/>
      <c r="D952" s="306"/>
      <c r="E952" s="306"/>
      <c r="F952" s="255"/>
      <c r="G952" s="256"/>
      <c r="H952" s="256"/>
      <c r="I952" s="200"/>
      <c r="J952" s="307"/>
      <c r="K952" s="200"/>
      <c r="L952" s="200"/>
      <c r="M952" s="308"/>
      <c r="N952" s="308"/>
      <c r="O952" s="309"/>
      <c r="P952" s="310"/>
      <c r="Q952" s="260"/>
      <c r="R952" s="261"/>
      <c r="S952" s="261"/>
      <c r="T952" s="311"/>
      <c r="U952" s="261"/>
      <c r="V952" s="256"/>
      <c r="W952" s="256"/>
      <c r="X952" s="256"/>
      <c r="Y952" s="256"/>
      <c r="Z952" s="310"/>
      <c r="AA952" s="200"/>
      <c r="AB952" s="312"/>
      <c r="AC952" s="313"/>
      <c r="AD952" s="51"/>
      <c r="AE952" s="314"/>
      <c r="AF952" s="315"/>
      <c r="AG952" s="309"/>
      <c r="AH952" s="28"/>
      <c r="AI952" s="28"/>
      <c r="AJ952" s="28"/>
      <c r="AK952" s="28"/>
      <c r="AL952" s="12"/>
      <c r="AM952" s="12"/>
      <c r="AN952" s="12"/>
      <c r="AO952" s="12"/>
      <c r="AP952" s="12"/>
      <c r="AQ952" s="13"/>
      <c r="AR952" s="14"/>
    </row>
    <row r="953" spans="1:44" s="16" customFormat="1" ht="30.95" hidden="1" customHeight="1" x14ac:dyDescent="0.2">
      <c r="A953" s="303" t="s">
        <v>1753</v>
      </c>
      <c r="B953" s="304" t="s">
        <v>1756</v>
      </c>
      <c r="C953" s="305"/>
      <c r="D953" s="306"/>
      <c r="E953" s="306"/>
      <c r="F953" s="255"/>
      <c r="G953" s="256"/>
      <c r="H953" s="256"/>
      <c r="I953" s="200"/>
      <c r="J953" s="307" t="s">
        <v>1760</v>
      </c>
      <c r="K953" s="200"/>
      <c r="L953" s="200"/>
      <c r="M953" s="308"/>
      <c r="N953" s="308"/>
      <c r="O953" s="309"/>
      <c r="P953" s="310"/>
      <c r="Q953" s="260"/>
      <c r="R953" s="261"/>
      <c r="S953" s="261"/>
      <c r="T953" s="311"/>
      <c r="U953" s="261"/>
      <c r="V953" s="256"/>
      <c r="W953" s="256"/>
      <c r="X953" s="256"/>
      <c r="Y953" s="256"/>
      <c r="Z953" s="310"/>
      <c r="AA953" s="200"/>
      <c r="AB953" s="312"/>
      <c r="AC953" s="313"/>
      <c r="AD953" s="51"/>
      <c r="AE953" s="314"/>
      <c r="AF953" s="315"/>
      <c r="AG953" s="309"/>
      <c r="AH953" s="28"/>
      <c r="AI953" s="28"/>
      <c r="AJ953" s="28"/>
      <c r="AK953" s="28"/>
      <c r="AL953" s="12"/>
      <c r="AM953" s="12"/>
      <c r="AN953" s="12"/>
      <c r="AO953" s="12"/>
      <c r="AP953" s="12"/>
      <c r="AQ953" s="13"/>
      <c r="AR953" s="14"/>
    </row>
    <row r="954" spans="1:44" s="16" customFormat="1" ht="30.95" hidden="1" customHeight="1" x14ac:dyDescent="0.2">
      <c r="A954" s="303"/>
      <c r="B954" s="304"/>
      <c r="C954" s="305"/>
      <c r="D954" s="306"/>
      <c r="E954" s="306"/>
      <c r="F954" s="255"/>
      <c r="G954" s="256"/>
      <c r="H954" s="256"/>
      <c r="I954" s="200"/>
      <c r="J954" s="307"/>
      <c r="K954" s="200"/>
      <c r="L954" s="200"/>
      <c r="M954" s="308"/>
      <c r="N954" s="308"/>
      <c r="O954" s="309"/>
      <c r="P954" s="310"/>
      <c r="Q954" s="260"/>
      <c r="R954" s="261"/>
      <c r="S954" s="261"/>
      <c r="T954" s="311"/>
      <c r="U954" s="261"/>
      <c r="V954" s="256"/>
      <c r="W954" s="256"/>
      <c r="X954" s="256"/>
      <c r="Y954" s="256"/>
      <c r="Z954" s="310"/>
      <c r="AA954" s="200"/>
      <c r="AB954" s="312"/>
      <c r="AC954" s="313"/>
      <c r="AD954" s="51"/>
      <c r="AE954" s="314"/>
      <c r="AF954" s="315"/>
      <c r="AG954" s="309"/>
      <c r="AH954" s="28"/>
      <c r="AI954" s="28"/>
      <c r="AJ954" s="28"/>
      <c r="AK954" s="28"/>
      <c r="AL954" s="12"/>
      <c r="AM954" s="12"/>
      <c r="AN954" s="12"/>
      <c r="AO954" s="12"/>
      <c r="AP954" s="12"/>
      <c r="AQ954" s="13"/>
      <c r="AR954" s="14"/>
    </row>
    <row r="955" spans="1:44" s="16" customFormat="1" ht="30.95" hidden="1" customHeight="1" x14ac:dyDescent="0.2">
      <c r="A955" s="303" t="s">
        <v>1754</v>
      </c>
      <c r="B955" s="304" t="s">
        <v>1757</v>
      </c>
      <c r="C955" s="305"/>
      <c r="D955" s="306"/>
      <c r="E955" s="306"/>
      <c r="F955" s="255"/>
      <c r="G955" s="256"/>
      <c r="H955" s="256"/>
      <c r="I955" s="200"/>
      <c r="J955" s="307" t="s">
        <v>1760</v>
      </c>
      <c r="K955" s="200"/>
      <c r="L955" s="200"/>
      <c r="M955" s="308"/>
      <c r="N955" s="308"/>
      <c r="O955" s="309"/>
      <c r="P955" s="310"/>
      <c r="Q955" s="260"/>
      <c r="R955" s="261"/>
      <c r="S955" s="261"/>
      <c r="T955" s="311"/>
      <c r="U955" s="261"/>
      <c r="V955" s="256"/>
      <c r="W955" s="256"/>
      <c r="X955" s="256"/>
      <c r="Y955" s="256"/>
      <c r="Z955" s="310"/>
      <c r="AA955" s="200"/>
      <c r="AB955" s="312"/>
      <c r="AC955" s="313"/>
      <c r="AD955" s="51"/>
      <c r="AE955" s="314"/>
      <c r="AF955" s="315"/>
      <c r="AG955" s="309"/>
      <c r="AH955" s="28"/>
      <c r="AI955" s="28"/>
      <c r="AJ955" s="28"/>
      <c r="AK955" s="28"/>
      <c r="AL955" s="12"/>
      <c r="AM955" s="12"/>
      <c r="AN955" s="12"/>
      <c r="AO955" s="12"/>
      <c r="AP955" s="12"/>
      <c r="AQ955" s="13"/>
      <c r="AR955" s="14"/>
    </row>
    <row r="956" spans="1:44" s="16" customFormat="1" ht="30.95" hidden="1" customHeight="1" x14ac:dyDescent="0.2">
      <c r="A956" s="303"/>
      <c r="B956" s="304"/>
      <c r="C956" s="305"/>
      <c r="D956" s="306"/>
      <c r="E956" s="306"/>
      <c r="F956" s="255"/>
      <c r="G956" s="256"/>
      <c r="H956" s="256"/>
      <c r="I956" s="200"/>
      <c r="J956" s="307"/>
      <c r="K956" s="200"/>
      <c r="L956" s="200"/>
      <c r="M956" s="308"/>
      <c r="N956" s="308"/>
      <c r="O956" s="309"/>
      <c r="P956" s="310"/>
      <c r="Q956" s="260"/>
      <c r="R956" s="261"/>
      <c r="S956" s="261"/>
      <c r="T956" s="311"/>
      <c r="U956" s="261"/>
      <c r="V956" s="256"/>
      <c r="W956" s="256"/>
      <c r="X956" s="256"/>
      <c r="Y956" s="256"/>
      <c r="Z956" s="310"/>
      <c r="AA956" s="200"/>
      <c r="AB956" s="312"/>
      <c r="AC956" s="313"/>
      <c r="AD956" s="51"/>
      <c r="AE956" s="314"/>
      <c r="AF956" s="315"/>
      <c r="AG956" s="309"/>
      <c r="AH956" s="28"/>
      <c r="AI956" s="28"/>
      <c r="AJ956" s="28"/>
      <c r="AK956" s="28"/>
      <c r="AL956" s="12"/>
      <c r="AM956" s="12"/>
      <c r="AN956" s="12"/>
      <c r="AO956" s="12"/>
      <c r="AP956" s="12"/>
      <c r="AQ956" s="13"/>
      <c r="AR956" s="14"/>
    </row>
    <row r="957" spans="1:44" s="16" customFormat="1" ht="30.95" hidden="1" customHeight="1" x14ac:dyDescent="0.2">
      <c r="A957" s="303" t="s">
        <v>1758</v>
      </c>
      <c r="B957" s="304" t="s">
        <v>1759</v>
      </c>
      <c r="C957" s="305"/>
      <c r="D957" s="306"/>
      <c r="E957" s="306"/>
      <c r="F957" s="255"/>
      <c r="G957" s="256"/>
      <c r="H957" s="256"/>
      <c r="I957" s="200"/>
      <c r="J957" s="307"/>
      <c r="K957" s="200"/>
      <c r="L957" s="200"/>
      <c r="M957" s="308"/>
      <c r="N957" s="308"/>
      <c r="O957" s="309"/>
      <c r="P957" s="310"/>
      <c r="Q957" s="260"/>
      <c r="R957" s="261"/>
      <c r="S957" s="261"/>
      <c r="T957" s="311"/>
      <c r="U957" s="261"/>
      <c r="V957" s="256"/>
      <c r="W957" s="256"/>
      <c r="X957" s="256"/>
      <c r="Y957" s="256"/>
      <c r="Z957" s="310"/>
      <c r="AA957" s="200"/>
      <c r="AB957" s="312"/>
      <c r="AC957" s="313"/>
      <c r="AD957" s="51"/>
      <c r="AE957" s="314"/>
      <c r="AF957" s="315"/>
      <c r="AG957" s="309"/>
      <c r="AH957" s="28"/>
      <c r="AI957" s="28"/>
      <c r="AJ957" s="28"/>
      <c r="AK957" s="28"/>
      <c r="AL957" s="12"/>
      <c r="AM957" s="12"/>
      <c r="AN957" s="12"/>
      <c r="AO957" s="12"/>
      <c r="AP957" s="12"/>
      <c r="AQ957" s="13"/>
      <c r="AR957" s="14"/>
    </row>
    <row r="958" spans="1:44" s="16" customFormat="1" ht="30.95" hidden="1" customHeight="1" x14ac:dyDescent="0.2">
      <c r="A958" s="303"/>
      <c r="B958" s="304"/>
      <c r="C958" s="305"/>
      <c r="D958" s="306"/>
      <c r="E958" s="306"/>
      <c r="F958" s="255"/>
      <c r="G958" s="256"/>
      <c r="H958" s="256"/>
      <c r="I958" s="200"/>
      <c r="J958" s="307"/>
      <c r="K958" s="200"/>
      <c r="L958" s="200"/>
      <c r="M958" s="308"/>
      <c r="N958" s="308"/>
      <c r="O958" s="309"/>
      <c r="P958" s="310"/>
      <c r="Q958" s="260"/>
      <c r="R958" s="261"/>
      <c r="S958" s="261"/>
      <c r="T958" s="311"/>
      <c r="U958" s="261"/>
      <c r="V958" s="256"/>
      <c r="W958" s="256"/>
      <c r="X958" s="256"/>
      <c r="Y958" s="256"/>
      <c r="Z958" s="310"/>
      <c r="AA958" s="200"/>
      <c r="AB958" s="312"/>
      <c r="AC958" s="313"/>
      <c r="AD958" s="51"/>
      <c r="AE958" s="314"/>
      <c r="AF958" s="315"/>
      <c r="AG958" s="309"/>
      <c r="AH958" s="28"/>
      <c r="AI958" s="28"/>
      <c r="AJ958" s="28"/>
      <c r="AK958" s="28"/>
      <c r="AL958" s="12"/>
      <c r="AM958" s="12"/>
      <c r="AN958" s="12"/>
      <c r="AO958" s="12"/>
      <c r="AP958" s="12"/>
      <c r="AQ958" s="13"/>
      <c r="AR958" s="14"/>
    </row>
    <row r="959" spans="1:44" s="16" customFormat="1" ht="30.95" hidden="1" customHeight="1" x14ac:dyDescent="0.2">
      <c r="A959" s="35" t="s">
        <v>1765</v>
      </c>
      <c r="B959" s="36" t="s">
        <v>1766</v>
      </c>
      <c r="C959" s="305"/>
      <c r="D959" s="29">
        <v>3731354</v>
      </c>
      <c r="E959" s="29">
        <v>4151534</v>
      </c>
      <c r="F959" s="255" t="str">
        <f>IF(D959="","",VLOOKUP(D959,契約台帳!$A$3:$K$4986,6,FALSE)&amp;VLOOKUP(D959,契約台帳!$A$3:$K$4986,7,FALSE)&amp;VLOOKUP(D959,契約台帳!$A$3:$K$4986,8,FALSE)&amp;VLOOKUP(D959,契約台帳!$A$3:$K$4986,9,FALSE)&amp;VLOOKUP(D959,契約台帳!$A$3:$K$4986,11,FALSE))</f>
        <v>3SNMLBMNGTBF</v>
      </c>
      <c r="G959" s="256" t="str">
        <f>IF(D959="","",VLOOKUP(F959,製品マスタ!$G$5:$H$4999,2,FALSE))</f>
        <v>S</v>
      </c>
      <c r="H959" s="256" t="str">
        <f>IF(D959="","",VLOOKUP(F959,製品マスタ!$G$5:$K$4999,5,FALSE))</f>
        <v>MNGTBF</v>
      </c>
      <c r="I959" s="200" t="str">
        <f>IF(D959="","",VLOOKUP(F959,製品マスタ!$G$5:$L$4999,6,FALSE))</f>
        <v>メタルミー　ネーマー　銀艶　Ｂ</v>
      </c>
      <c r="J959" s="30" t="s">
        <v>447</v>
      </c>
      <c r="K959" s="200">
        <f>IF(D959="","",VLOOKUP(D959,契約台帳!$A$3:$L$4986,12,FALSE))</f>
        <v>25</v>
      </c>
      <c r="L959" s="200" t="str">
        <f>IF(D959="","",INDEX(製品マスタ!$Q$5:$Q$4999,MATCH(F959&amp;K959,製品マスタ!$AO$5:$AO$4999,0)))</f>
        <v>T62M</v>
      </c>
      <c r="M959" s="37">
        <v>1125</v>
      </c>
      <c r="N959" s="37">
        <v>12100</v>
      </c>
      <c r="O959" s="45">
        <v>1</v>
      </c>
      <c r="P959" s="54"/>
      <c r="Q959" s="260">
        <f>IF(D959="","",IF(J959="リード付け",M959,VLOOKUP(D959,契約台帳!$A$3:$N$4986,14,FALSE)))</f>
        <v>1125</v>
      </c>
      <c r="R959" s="261">
        <f>IF(D959="","",IF(J959="リード付け",M959,VLOOKUP(D959,契約台帳!$A$3:$O$4986,15,FALSE)))</f>
        <v>1120</v>
      </c>
      <c r="S959" s="261">
        <f>IF(D959="","",IF(J959="リード付け",N959,VLOOKUP(D959,契約台帳!$A$3:$P$4986,16,FALSE)))</f>
        <v>4000</v>
      </c>
      <c r="T959" s="38">
        <v>3</v>
      </c>
      <c r="U959" s="261">
        <f ca="1">IF(D959="","",IF(OFFSET(D959,-2,0)=D959,"",VLOOKUP(D959,契約台帳!$A$3:$R$4986,18,FALSE)))</f>
        <v>3</v>
      </c>
      <c r="V959" s="256" t="str">
        <f>IF(J959="巻返し",VLOOKUP(F959&amp;K959&amp;M959,製品マスタ!$M$5:$AD$4999,18,FALSE),IF(J959="リード付け","原反コア",IF(J959="スリット",VLOOKUP(F959&amp;K959&amp;Q959,製品マスタ!$N$5:$AD$4999,17,FALSE),"")))</f>
        <v>6ｲﾝﾁSｺｱ</v>
      </c>
      <c r="W959" s="256">
        <f>IF(J959="巻返し",VLOOKUP(F959&amp;K959&amp;M959,製品マスタ!$M$5:$AE$4999,19,FALSE),IF(J959="リード付け","-",IF(J959="スリット",VLOOKUP(F959&amp;K959&amp;Q959,製品マスタ!$N$5:$AE$4999,18,FALSE),"")))</f>
        <v>1130</v>
      </c>
      <c r="X959" s="256">
        <f>IF(D959="","",VLOOKUP(D959,契約台帳!$A$3:$Q$4986,17,FALSE))</f>
        <v>2</v>
      </c>
      <c r="Y959" s="256" t="str">
        <f>IF(D959="","",VLOOKUP(D959,契約台帳!$A$3:$E$4986,5,FALSE))</f>
        <v>リンテック㈱</v>
      </c>
      <c r="Z959" s="310"/>
      <c r="AA959" s="200">
        <f>IFERROR(VLOOKUP(F959&amp;K959&amp;M959,製品マスタ!$M$5:$AM$4999,27,FALSE),"")</f>
        <v>0</v>
      </c>
      <c r="AB959" s="312"/>
      <c r="AC959" s="313"/>
      <c r="AD959" s="51" t="str">
        <f>IF(F959="","",+F959&amp;K959)</f>
        <v>3SNMLBMNGTBF25</v>
      </c>
      <c r="AE959" s="52">
        <f>+M959*N959*O959/1000</f>
        <v>13612.5</v>
      </c>
      <c r="AF959" s="41">
        <f>IF(AD959="","",VLOOKUP(AD959,原価マスタ!$A$2:$AJ$1693,13,FALSE))</f>
        <v>97.5</v>
      </c>
      <c r="AG959" s="45">
        <f>IF(AF959="","",+AE959*AF959/100)</f>
        <v>13272.1875</v>
      </c>
      <c r="AH959" s="28"/>
      <c r="AI959" s="28"/>
      <c r="AJ959" s="28"/>
      <c r="AK959" s="28"/>
      <c r="AL959" s="12"/>
      <c r="AM959" s="12"/>
      <c r="AN959" s="12"/>
      <c r="AO959" s="12"/>
      <c r="AP959" s="12"/>
      <c r="AQ959" s="13"/>
      <c r="AR959" s="14"/>
    </row>
    <row r="960" spans="1:44" s="16" customFormat="1" ht="30.95" hidden="1" customHeight="1" x14ac:dyDescent="0.2">
      <c r="A960" s="303"/>
      <c r="B960" s="304"/>
      <c r="C960" s="305"/>
      <c r="D960" s="306"/>
      <c r="E960" s="306"/>
      <c r="F960" s="255"/>
      <c r="G960" s="256"/>
      <c r="H960" s="256"/>
      <c r="I960" s="200"/>
      <c r="J960" s="307"/>
      <c r="K960" s="200"/>
      <c r="L960" s="200"/>
      <c r="M960" s="308"/>
      <c r="N960" s="308"/>
      <c r="O960" s="309"/>
      <c r="P960" s="310"/>
      <c r="Q960" s="260"/>
      <c r="R960" s="261"/>
      <c r="S960" s="261"/>
      <c r="T960" s="311"/>
      <c r="U960" s="261"/>
      <c r="V960" s="256"/>
      <c r="W960" s="256"/>
      <c r="X960" s="256"/>
      <c r="Y960" s="256"/>
      <c r="Z960" s="310"/>
      <c r="AA960" s="200"/>
      <c r="AB960" s="312"/>
      <c r="AC960" s="313"/>
      <c r="AD960" s="51"/>
      <c r="AE960" s="314"/>
      <c r="AF960" s="315"/>
      <c r="AG960" s="309"/>
      <c r="AH960" s="28"/>
      <c r="AI960" s="28"/>
      <c r="AJ960" s="28"/>
      <c r="AK960" s="28"/>
      <c r="AL960" s="12"/>
      <c r="AM960" s="12"/>
      <c r="AN960" s="12"/>
      <c r="AO960" s="12"/>
      <c r="AP960" s="12"/>
      <c r="AQ960" s="13"/>
      <c r="AR960" s="14"/>
    </row>
    <row r="961" spans="1:44" s="16" customFormat="1" ht="30.95" hidden="1" customHeight="1" x14ac:dyDescent="0.2">
      <c r="A961" s="35"/>
      <c r="B961" s="36"/>
      <c r="C961" s="305"/>
      <c r="D961" s="29">
        <v>3731371</v>
      </c>
      <c r="E961" s="29">
        <v>4151523</v>
      </c>
      <c r="F961" s="255" t="str">
        <f>IF(D961="","",VLOOKUP(D961,契約台帳!$A$3:$K$4986,6,FALSE)&amp;VLOOKUP(D961,契約台帳!$A$3:$K$4986,7,FALSE)&amp;VLOOKUP(D961,契約台帳!$A$3:$K$4986,8,FALSE)&amp;VLOOKUP(D961,契約台帳!$A$3:$K$4986,9,FALSE)&amp;VLOOKUP(D961,契約台帳!$A$3:$K$4986,11,FALSE))</f>
        <v>3SYMLBMSSMBF</v>
      </c>
      <c r="G961" s="256" t="str">
        <f>IF(D961="","",VLOOKUP(F961,製品マスタ!$G$5:$H$4999,2,FALSE))</f>
        <v>S</v>
      </c>
      <c r="H961" s="256" t="str">
        <f>IF(D961="","",VLOOKUP(F961,製品マスタ!$G$5:$K$4999,5,FALSE))</f>
        <v>MSSMBF</v>
      </c>
      <c r="I961" s="200" t="str">
        <f>IF(D961="","",VLOOKUP(F961,製品マスタ!$G$5:$L$4999,6,FALSE))</f>
        <v>ＭＥＴＡＬＵＭＹ　ＳＩＬＶＥＲ　Ｓ－ＭＡＴＴＥ　Ｓ２８ＭＭ　Ｂ</v>
      </c>
      <c r="J961" s="30" t="s">
        <v>447</v>
      </c>
      <c r="K961" s="200">
        <f>IF(D961="","",VLOOKUP(D961,契約台帳!$A$3:$L$4986,12,FALSE))</f>
        <v>25</v>
      </c>
      <c r="L961" s="200" t="str">
        <f>IF(D961="","",INDEX(製品マスタ!$Q$5:$Q$4999,MATCH(F961&amp;K961,製品マスタ!$AO$5:$AO$4999,0)))</f>
        <v>LI-MAT</v>
      </c>
      <c r="M961" s="37">
        <v>1120</v>
      </c>
      <c r="N961" s="37">
        <v>16000</v>
      </c>
      <c r="O961" s="45">
        <v>1</v>
      </c>
      <c r="P961" s="54"/>
      <c r="Q961" s="260">
        <f>IF(D961="","",IF(J961="リード付け",M961,VLOOKUP(D961,契約台帳!$A$3:$N$4986,14,FALSE)))</f>
        <v>1120</v>
      </c>
      <c r="R961" s="261">
        <f>IF(D961="","",IF(J961="リード付け",M961,VLOOKUP(D961,契約台帳!$A$3:$O$4986,15,FALSE)))</f>
        <v>1120</v>
      </c>
      <c r="S961" s="261">
        <f>IF(D961="","",IF(J961="リード付け",N961,VLOOKUP(D961,契約台帳!$A$3:$P$4986,16,FALSE)))</f>
        <v>8000</v>
      </c>
      <c r="T961" s="38">
        <v>2</v>
      </c>
      <c r="U961" s="261">
        <f ca="1">IF(D961="","",IF(OFFSET(D961,-2,0)=D961,"",VLOOKUP(D961,契約台帳!$A$3:$R$4986,18,FALSE)))</f>
        <v>2</v>
      </c>
      <c r="V961" s="256" t="str">
        <f>IF(J961="巻返し",VLOOKUP(F961&amp;K961&amp;M961,製品マスタ!$M$5:$AD$4999,18,FALSE),IF(J961="リード付け","原反コア",IF(J961="スリット",VLOOKUP(F961&amp;K961&amp;Q961,製品マスタ!$N$5:$AD$4999,17,FALSE),"")))</f>
        <v>6ｲﾝﾁSｺｱ</v>
      </c>
      <c r="W961" s="256">
        <f>IF(J961="巻返し",VLOOKUP(F961&amp;K961&amp;M961,製品マスタ!$M$5:$AE$4999,19,FALSE),IF(J961="リード付け","-",IF(J961="スリット",VLOOKUP(F961&amp;K961&amp;Q961,製品マスタ!$N$5:$AE$4999,18,FALSE),"")))</f>
        <v>1125</v>
      </c>
      <c r="X961" s="256">
        <f>IF(D961="","",VLOOKUP(D961,契約台帳!$A$3:$Q$4986,17,FALSE))</f>
        <v>2</v>
      </c>
      <c r="Y961" s="256" t="str">
        <f>IF(D961="","",VLOOKUP(D961,契約台帳!$A$3:$E$4986,5,FALSE))</f>
        <v>リンテック㈱</v>
      </c>
      <c r="Z961" s="310"/>
      <c r="AA961" s="200">
        <f>IFERROR(VLOOKUP(F961&amp;K961&amp;M961,製品マスタ!$M$5:$AM$4999,27,FALSE),"")</f>
        <v>0</v>
      </c>
      <c r="AB961" s="312"/>
      <c r="AC961" s="313"/>
      <c r="AD961" s="51" t="str">
        <f>IF(F961="","",+F961&amp;K961)</f>
        <v>3SYMLBMSSMBF25</v>
      </c>
      <c r="AE961" s="52">
        <f>+M961*N961*O961/1000</f>
        <v>17920</v>
      </c>
      <c r="AF961" s="41">
        <f>IF(AD961="","",VLOOKUP(AD961,原価マスタ!$A$2:$AJ$1693,13,FALSE))</f>
        <v>98</v>
      </c>
      <c r="AG961" s="45">
        <f>IF(AF961="","",+AE961*AF961/100)</f>
        <v>17561.599999999999</v>
      </c>
      <c r="AH961" s="28"/>
      <c r="AI961" s="28"/>
      <c r="AJ961" s="28"/>
      <c r="AK961" s="28"/>
      <c r="AL961" s="12"/>
      <c r="AM961" s="12"/>
      <c r="AN961" s="12"/>
      <c r="AO961" s="12"/>
      <c r="AP961" s="12"/>
      <c r="AQ961" s="13"/>
      <c r="AR961" s="14"/>
    </row>
    <row r="962" spans="1:44" s="16" customFormat="1" ht="30.95" hidden="1" customHeight="1" x14ac:dyDescent="0.2">
      <c r="A962" s="303"/>
      <c r="B962" s="304"/>
      <c r="C962" s="305"/>
      <c r="D962" s="306"/>
      <c r="E962" s="306"/>
      <c r="F962" s="255"/>
      <c r="G962" s="256"/>
      <c r="H962" s="256"/>
      <c r="I962" s="200"/>
      <c r="J962" s="307"/>
      <c r="K962" s="200"/>
      <c r="L962" s="200"/>
      <c r="M962" s="308"/>
      <c r="N962" s="308"/>
      <c r="O962" s="309"/>
      <c r="P962" s="310"/>
      <c r="Q962" s="260"/>
      <c r="R962" s="261"/>
      <c r="S962" s="261"/>
      <c r="T962" s="311"/>
      <c r="U962" s="261"/>
      <c r="V962" s="256"/>
      <c r="W962" s="256"/>
      <c r="X962" s="256"/>
      <c r="Y962" s="256"/>
      <c r="Z962" s="310"/>
      <c r="AA962" s="200"/>
      <c r="AB962" s="312"/>
      <c r="AC962" s="313"/>
      <c r="AD962" s="51"/>
      <c r="AE962" s="314"/>
      <c r="AF962" s="315"/>
      <c r="AG962" s="309"/>
      <c r="AH962" s="28"/>
      <c r="AI962" s="28"/>
      <c r="AJ962" s="28"/>
      <c r="AK962" s="28"/>
      <c r="AL962" s="12"/>
      <c r="AM962" s="12"/>
      <c r="AN962" s="12"/>
      <c r="AO962" s="12"/>
      <c r="AP962" s="12"/>
      <c r="AQ962" s="13"/>
      <c r="AR962" s="14"/>
    </row>
    <row r="963" spans="1:44" s="16" customFormat="1" ht="30.95" hidden="1" customHeight="1" x14ac:dyDescent="0.2">
      <c r="A963" s="35"/>
      <c r="B963" s="36"/>
      <c r="C963" s="305"/>
      <c r="D963" s="29">
        <v>3731372</v>
      </c>
      <c r="E963" s="29">
        <v>4151524</v>
      </c>
      <c r="F963" s="255" t="str">
        <f>IF(D963="","",VLOOKUP(D963,契約台帳!$A$3:$K$4986,6,FALSE)&amp;VLOOKUP(D963,契約台帳!$A$3:$K$4986,7,FALSE)&amp;VLOOKUP(D963,契約台帳!$A$3:$K$4986,8,FALSE)&amp;VLOOKUP(D963,契約台帳!$A$3:$K$4986,9,FALSE)&amp;VLOOKUP(D963,契約台帳!$A$3:$K$4986,11,FALSE))</f>
        <v>3SYMLBMSSMBF</v>
      </c>
      <c r="G963" s="256" t="str">
        <f>IF(D963="","",VLOOKUP(F963,製品マスタ!$G$5:$H$4999,2,FALSE))</f>
        <v>S</v>
      </c>
      <c r="H963" s="256" t="str">
        <f>IF(D963="","",VLOOKUP(F963,製品マスタ!$G$5:$K$4999,5,FALSE))</f>
        <v>MSSMBF</v>
      </c>
      <c r="I963" s="200" t="str">
        <f>IF(D963="","",VLOOKUP(F963,製品マスタ!$G$5:$L$4999,6,FALSE))</f>
        <v>ＭＥＴＡＬＵＭＹ　ＳＩＬＶＥＲ　Ｓ－ＭＡＴＴＥ　Ｓ２８ＭＭ　Ｂ</v>
      </c>
      <c r="J963" s="30" t="s">
        <v>447</v>
      </c>
      <c r="K963" s="200">
        <f>IF(D963="","",VLOOKUP(D963,契約台帳!$A$3:$L$4986,12,FALSE))</f>
        <v>25</v>
      </c>
      <c r="L963" s="200" t="str">
        <f>IF(D963="","",INDEX(製品マスタ!$Q$5:$Q$4999,MATCH(F963&amp;K963,製品マスタ!$AO$5:$AO$4999,0)))</f>
        <v>LI-MAT</v>
      </c>
      <c r="M963" s="37">
        <v>1120</v>
      </c>
      <c r="N963" s="37">
        <v>8000</v>
      </c>
      <c r="O963" s="45">
        <v>1</v>
      </c>
      <c r="P963" s="54"/>
      <c r="Q963" s="260">
        <f>IF(D963="","",IF(J963="リード付け",M963,VLOOKUP(D963,契約台帳!$A$3:$N$4986,14,FALSE)))</f>
        <v>1120</v>
      </c>
      <c r="R963" s="261">
        <f>IF(D963="","",IF(J963="リード付け",M963,VLOOKUP(D963,契約台帳!$A$3:$O$4986,15,FALSE)))</f>
        <v>1120</v>
      </c>
      <c r="S963" s="261">
        <f>IF(D963="","",IF(J963="リード付け",N963,VLOOKUP(D963,契約台帳!$A$3:$P$4986,16,FALSE)))</f>
        <v>8000</v>
      </c>
      <c r="T963" s="38">
        <v>1</v>
      </c>
      <c r="U963" s="261">
        <f ca="1">IF(D963="","",IF(OFFSET(D963,-2,0)=D963,"",VLOOKUP(D963,契約台帳!$A$3:$R$4986,18,FALSE)))</f>
        <v>1</v>
      </c>
      <c r="V963" s="256" t="str">
        <f>IF(J963="巻返し",VLOOKUP(F963&amp;K963&amp;M963,製品マスタ!$M$5:$AD$4999,18,FALSE),IF(J963="リード付け","原反コア",IF(J963="スリット",VLOOKUP(F963&amp;K963&amp;Q963,製品マスタ!$N$5:$AD$4999,17,FALSE),"")))</f>
        <v>6ｲﾝﾁSｺｱ</v>
      </c>
      <c r="W963" s="256">
        <f>IF(J963="巻返し",VLOOKUP(F963&amp;K963&amp;M963,製品マスタ!$M$5:$AE$4999,19,FALSE),IF(J963="リード付け","-",IF(J963="スリット",VLOOKUP(F963&amp;K963&amp;Q963,製品マスタ!$N$5:$AE$4999,18,FALSE),"")))</f>
        <v>1125</v>
      </c>
      <c r="X963" s="256">
        <f>IF(D963="","",VLOOKUP(D963,契約台帳!$A$3:$Q$4986,17,FALSE))</f>
        <v>2</v>
      </c>
      <c r="Y963" s="256" t="str">
        <f>IF(D963="","",VLOOKUP(D963,契約台帳!$A$3:$E$4986,5,FALSE))</f>
        <v>リンテック㈱</v>
      </c>
      <c r="Z963" s="310"/>
      <c r="AA963" s="200">
        <f>IFERROR(VLOOKUP(F963&amp;K963&amp;M963,製品マスタ!$M$5:$AM$4999,27,FALSE),"")</f>
        <v>0</v>
      </c>
      <c r="AB963" s="312"/>
      <c r="AC963" s="313"/>
      <c r="AD963" s="51" t="str">
        <f>IF(F963="","",+F963&amp;K963)</f>
        <v>3SYMLBMSSMBF25</v>
      </c>
      <c r="AE963" s="52">
        <f>+M963*N963*O963/1000</f>
        <v>8960</v>
      </c>
      <c r="AF963" s="41">
        <f>IF(AD963="","",VLOOKUP(AD963,原価マスタ!$A$2:$AJ$1693,13,FALSE))</f>
        <v>98</v>
      </c>
      <c r="AG963" s="45">
        <f>IF(AF963="","",+AE963*AF963/100)</f>
        <v>8780.7999999999993</v>
      </c>
      <c r="AH963" s="28"/>
      <c r="AI963" s="28"/>
      <c r="AJ963" s="28"/>
      <c r="AK963" s="28"/>
      <c r="AL963" s="12"/>
      <c r="AM963" s="12"/>
      <c r="AN963" s="12"/>
      <c r="AO963" s="12"/>
      <c r="AP963" s="12"/>
      <c r="AQ963" s="13"/>
      <c r="AR963" s="14"/>
    </row>
    <row r="964" spans="1:44" s="16" customFormat="1" ht="30.95" hidden="1" customHeight="1" x14ac:dyDescent="0.2">
      <c r="A964" s="303"/>
      <c r="B964" s="304"/>
      <c r="C964" s="305"/>
      <c r="D964" s="306"/>
      <c r="E964" s="306"/>
      <c r="F964" s="255"/>
      <c r="G964" s="256"/>
      <c r="H964" s="256"/>
      <c r="I964" s="200"/>
      <c r="J964" s="307"/>
      <c r="K964" s="200"/>
      <c r="L964" s="200"/>
      <c r="M964" s="308"/>
      <c r="N964" s="308"/>
      <c r="O964" s="309"/>
      <c r="P964" s="310"/>
      <c r="Q964" s="260"/>
      <c r="R964" s="261"/>
      <c r="S964" s="261"/>
      <c r="T964" s="311"/>
      <c r="U964" s="261"/>
      <c r="V964" s="256"/>
      <c r="W964" s="256"/>
      <c r="X964" s="256"/>
      <c r="Y964" s="256"/>
      <c r="Z964" s="310"/>
      <c r="AA964" s="200"/>
      <c r="AB964" s="312"/>
      <c r="AC964" s="313"/>
      <c r="AD964" s="51"/>
      <c r="AE964" s="314"/>
      <c r="AF964" s="315"/>
      <c r="AG964" s="309"/>
      <c r="AH964" s="28"/>
      <c r="AI964" s="28"/>
      <c r="AJ964" s="28"/>
      <c r="AK964" s="28"/>
      <c r="AL964" s="12"/>
      <c r="AM964" s="12"/>
      <c r="AN964" s="12"/>
      <c r="AO964" s="12"/>
      <c r="AP964" s="12"/>
      <c r="AQ964" s="13"/>
      <c r="AR964" s="14"/>
    </row>
    <row r="965" spans="1:44" s="16" customFormat="1" ht="30.95" hidden="1" customHeight="1" x14ac:dyDescent="0.2">
      <c r="A965" s="35" t="s">
        <v>643</v>
      </c>
      <c r="B965" s="36" t="s">
        <v>442</v>
      </c>
      <c r="C965" s="305"/>
      <c r="D965" s="29">
        <v>3731366</v>
      </c>
      <c r="E965" s="29">
        <v>4151531</v>
      </c>
      <c r="F965" s="255" t="str">
        <f>IF(D965="","",VLOOKUP(D965,契約台帳!$A$3:$K$4986,6,FALSE)&amp;VLOOKUP(D965,契約台帳!$A$3:$K$4986,7,FALSE)&amp;VLOOKUP(D965,契約台帳!$A$3:$K$4986,8,FALSE)&amp;VLOOKUP(D965,契約台帳!$A$3:$K$4986,9,FALSE)&amp;VLOOKUP(D965,契約台帳!$A$3:$K$4986,11,FALSE))</f>
        <v>3SNMLBMNQR66F</v>
      </c>
      <c r="G965" s="256" t="str">
        <f>IF(D965="","",VLOOKUP(F965,製品マスタ!$G$5:$H$4999,2,FALSE))</f>
        <v>S</v>
      </c>
      <c r="H965" s="256" t="str">
        <f>IF(D965="","",VLOOKUP(F965,製品マスタ!$G$5:$K$4999,5,FALSE))</f>
        <v>MNQR66F</v>
      </c>
      <c r="I965" s="200" t="str">
        <f>IF(D965="","",VLOOKUP(F965,製品マスタ!$G$5:$L$4999,6,FALSE))</f>
        <v>ＱＲ６６蒸着品</v>
      </c>
      <c r="J965" s="30" t="s">
        <v>447</v>
      </c>
      <c r="K965" s="200">
        <f>IF(D965="","",VLOOKUP(D965,契約台帳!$A$3:$L$4986,12,FALSE))</f>
        <v>25</v>
      </c>
      <c r="L965" s="200" t="str">
        <f>IF(D965="","",INDEX(製品マスタ!$Q$5:$Q$4999,MATCH(F965&amp;K965,製品マスタ!$AO$5:$AO$4999,0)))</f>
        <v>E315</v>
      </c>
      <c r="M965" s="37">
        <v>1100</v>
      </c>
      <c r="N965" s="37">
        <v>24000</v>
      </c>
      <c r="O965" s="45">
        <v>2</v>
      </c>
      <c r="P965" s="54"/>
      <c r="Q965" s="260">
        <f>IF(D965="","",IF(J965="リード付け",M965,VLOOKUP(D965,契約台帳!$A$3:$N$4986,14,FALSE)))</f>
        <v>1100</v>
      </c>
      <c r="R965" s="261">
        <f>IF(D965="","",IF(J965="リード付け",M965,VLOOKUP(D965,契約台帳!$A$3:$O$4986,15,FALSE)))</f>
        <v>1100</v>
      </c>
      <c r="S965" s="261">
        <f>IF(D965="","",IF(J965="リード付け",N965,VLOOKUP(D965,契約台帳!$A$3:$P$4986,16,FALSE)))</f>
        <v>6000</v>
      </c>
      <c r="T965" s="38">
        <v>8</v>
      </c>
      <c r="U965" s="261">
        <f ca="1">IF(D965="","",IF(OFFSET(D965,-2,0)=D965,"",VLOOKUP(D965,契約台帳!$A$3:$R$4986,18,FALSE)))</f>
        <v>12</v>
      </c>
      <c r="V965" s="256" t="str">
        <f>IF(J965="巻返し",VLOOKUP(F965&amp;K965&amp;M965,製品マスタ!$M$5:$AD$4999,18,FALSE),IF(J965="リード付け","原反コア",IF(J965="スリット",VLOOKUP(F965&amp;K965&amp;Q965,製品マスタ!$N$5:$AD$4999,17,FALSE),"")))</f>
        <v>6ｲﾝﾁMｺｱ</v>
      </c>
      <c r="W965" s="256">
        <f>IF(J965="巻返し",VLOOKUP(F965&amp;K965&amp;M965,製品マスタ!$M$5:$AE$4999,19,FALSE),IF(J965="リード付け","-",IF(J965="スリット",VLOOKUP(F965&amp;K965&amp;Q965,製品マスタ!$N$5:$AE$4999,18,FALSE),"")))</f>
        <v>1110</v>
      </c>
      <c r="X965" s="256">
        <f>IF(D965="","",VLOOKUP(D965,契約台帳!$A$3:$Q$4986,17,FALSE))</f>
        <v>2</v>
      </c>
      <c r="Y965" s="256" t="str">
        <f>IF(D965="","",VLOOKUP(D965,契約台帳!$A$3:$E$4986,5,FALSE))</f>
        <v>リンテック㈱</v>
      </c>
      <c r="Z965" s="310"/>
      <c r="AA965" s="200" t="str">
        <f>IFERROR(VLOOKUP(F965&amp;K965&amp;M965,製品マスタ!$M$5:$AM$4999,27,FALSE),"")</f>
        <v>原反ケース再利用</v>
      </c>
      <c r="AB965" s="312"/>
      <c r="AC965" s="313"/>
      <c r="AD965" s="51" t="str">
        <f>IF(F965="","",+F965&amp;K965)</f>
        <v>3SNMLBMNQR66F25</v>
      </c>
      <c r="AE965" s="52">
        <f>+M965*N965*O965/1000</f>
        <v>52800</v>
      </c>
      <c r="AF965" s="41">
        <f>IF(AD965="","",VLOOKUP(AD965,原価マスタ!$A$2:$AJ$1693,13,FALSE))</f>
        <v>98</v>
      </c>
      <c r="AG965" s="45">
        <f>IF(AF965="","",+AE965*AF965/100)</f>
        <v>51744</v>
      </c>
      <c r="AH965" s="28"/>
      <c r="AI965" s="28"/>
      <c r="AJ965" s="28"/>
      <c r="AK965" s="28"/>
      <c r="AL965" s="12"/>
      <c r="AM965" s="12"/>
      <c r="AN965" s="12"/>
      <c r="AO965" s="12"/>
      <c r="AP965" s="12"/>
      <c r="AQ965" s="13"/>
      <c r="AR965" s="14"/>
    </row>
    <row r="966" spans="1:44" s="16" customFormat="1" ht="30.95" hidden="1" customHeight="1" x14ac:dyDescent="0.2">
      <c r="A966" s="303"/>
      <c r="B966" s="304"/>
      <c r="C966" s="305"/>
      <c r="D966" s="306"/>
      <c r="E966" s="306"/>
      <c r="F966" s="255"/>
      <c r="G966" s="256"/>
      <c r="H966" s="256"/>
      <c r="I966" s="200"/>
      <c r="J966" s="307"/>
      <c r="K966" s="200"/>
      <c r="L966" s="200"/>
      <c r="M966" s="308"/>
      <c r="N966" s="308"/>
      <c r="O966" s="309"/>
      <c r="P966" s="310"/>
      <c r="Q966" s="260"/>
      <c r="R966" s="261"/>
      <c r="S966" s="261"/>
      <c r="T966" s="311"/>
      <c r="U966" s="261"/>
      <c r="V966" s="256"/>
      <c r="W966" s="256"/>
      <c r="X966" s="256"/>
      <c r="Y966" s="256"/>
      <c r="Z966" s="310"/>
      <c r="AA966" s="200"/>
      <c r="AB966" s="312"/>
      <c r="AC966" s="313"/>
      <c r="AD966" s="51"/>
      <c r="AE966" s="314"/>
      <c r="AF966" s="315"/>
      <c r="AG966" s="309"/>
      <c r="AH966" s="28"/>
      <c r="AI966" s="28"/>
      <c r="AJ966" s="28"/>
      <c r="AK966" s="28"/>
      <c r="AL966" s="12"/>
      <c r="AM966" s="12"/>
      <c r="AN966" s="12"/>
      <c r="AO966" s="12"/>
      <c r="AP966" s="12"/>
      <c r="AQ966" s="13"/>
      <c r="AR966" s="14"/>
    </row>
    <row r="967" spans="1:44" s="16" customFormat="1" ht="30.95" hidden="1" customHeight="1" x14ac:dyDescent="0.2">
      <c r="A967" s="35" t="s">
        <v>644</v>
      </c>
      <c r="B967" s="36" t="s">
        <v>443</v>
      </c>
      <c r="C967" s="305"/>
      <c r="D967" s="29">
        <v>3731366</v>
      </c>
      <c r="E967" s="29">
        <v>4151531</v>
      </c>
      <c r="F967" s="255" t="str">
        <f>IF(D967="","",VLOOKUP(D967,契約台帳!$A$3:$K$4986,6,FALSE)&amp;VLOOKUP(D967,契約台帳!$A$3:$K$4986,7,FALSE)&amp;VLOOKUP(D967,契約台帳!$A$3:$K$4986,8,FALSE)&amp;VLOOKUP(D967,契約台帳!$A$3:$K$4986,9,FALSE)&amp;VLOOKUP(D967,契約台帳!$A$3:$K$4986,11,FALSE))</f>
        <v>3SNMLBMNQR66F</v>
      </c>
      <c r="G967" s="256" t="str">
        <f>IF(D967="","",VLOOKUP(F967,製品マスタ!$G$5:$H$4999,2,FALSE))</f>
        <v>S</v>
      </c>
      <c r="H967" s="256" t="str">
        <f>IF(D967="","",VLOOKUP(F967,製品マスタ!$G$5:$K$4999,5,FALSE))</f>
        <v>MNQR66F</v>
      </c>
      <c r="I967" s="200" t="str">
        <f>IF(D967="","",VLOOKUP(F967,製品マスタ!$G$5:$L$4999,6,FALSE))</f>
        <v>ＱＲ６６蒸着品</v>
      </c>
      <c r="J967" s="30" t="s">
        <v>447</v>
      </c>
      <c r="K967" s="200">
        <f>IF(D967="","",VLOOKUP(D967,契約台帳!$A$3:$L$4986,12,FALSE))</f>
        <v>25</v>
      </c>
      <c r="L967" s="200" t="str">
        <f>IF(D967="","",INDEX(製品マスタ!$Q$5:$Q$4999,MATCH(F967&amp;K967,製品マスタ!$AO$5:$AO$4999,0)))</f>
        <v>E315</v>
      </c>
      <c r="M967" s="37">
        <v>1100</v>
      </c>
      <c r="N967" s="37">
        <v>24000</v>
      </c>
      <c r="O967" s="45">
        <v>1</v>
      </c>
      <c r="P967" s="54"/>
      <c r="Q967" s="260">
        <f>IF(D967="","",IF(J967="リード付け",M967,VLOOKUP(D967,契約台帳!$A$3:$N$4986,14,FALSE)))</f>
        <v>1100</v>
      </c>
      <c r="R967" s="261">
        <f>IF(D967="","",IF(J967="リード付け",M967,VLOOKUP(D967,契約台帳!$A$3:$O$4986,15,FALSE)))</f>
        <v>1100</v>
      </c>
      <c r="S967" s="261">
        <f>IF(D967="","",IF(J967="リード付け",N967,VLOOKUP(D967,契約台帳!$A$3:$P$4986,16,FALSE)))</f>
        <v>6000</v>
      </c>
      <c r="T967" s="38">
        <v>4</v>
      </c>
      <c r="U967" s="261" t="str">
        <f ca="1">IF(D967="","",IF(OFFSET(D967,-2,0)=D967,"",VLOOKUP(D967,契約台帳!$A$3:$R$4986,18,FALSE)))</f>
        <v/>
      </c>
      <c r="V967" s="256" t="str">
        <f>IF(J967="巻返し",VLOOKUP(F967&amp;K967&amp;M967,製品マスタ!$M$5:$AD$4999,18,FALSE),IF(J967="リード付け","原反コア",IF(J967="スリット",VLOOKUP(F967&amp;K967&amp;Q967,製品マスタ!$N$5:$AD$4999,17,FALSE),"")))</f>
        <v>6ｲﾝﾁMｺｱ</v>
      </c>
      <c r="W967" s="256">
        <f>IF(J967="巻返し",VLOOKUP(F967&amp;K967&amp;M967,製品マスタ!$M$5:$AE$4999,19,FALSE),IF(J967="リード付け","-",IF(J967="スリット",VLOOKUP(F967&amp;K967&amp;Q967,製品マスタ!$N$5:$AE$4999,18,FALSE),"")))</f>
        <v>1110</v>
      </c>
      <c r="X967" s="256">
        <f>IF(D967="","",VLOOKUP(D967,契約台帳!$A$3:$Q$4986,17,FALSE))</f>
        <v>2</v>
      </c>
      <c r="Y967" s="256" t="str">
        <f>IF(D967="","",VLOOKUP(D967,契約台帳!$A$3:$E$4986,5,FALSE))</f>
        <v>リンテック㈱</v>
      </c>
      <c r="Z967" s="310"/>
      <c r="AA967" s="200" t="str">
        <f>IFERROR(VLOOKUP(F967&amp;K967&amp;M967,製品マスタ!$M$5:$AM$4999,27,FALSE),"")</f>
        <v>原反ケース再利用</v>
      </c>
      <c r="AB967" s="312"/>
      <c r="AC967" s="313"/>
      <c r="AD967" s="51" t="str">
        <f>IF(F967="","",+F967&amp;K967)</f>
        <v>3SNMLBMNQR66F25</v>
      </c>
      <c r="AE967" s="52">
        <f>+M967*N967*O967/1000</f>
        <v>26400</v>
      </c>
      <c r="AF967" s="41">
        <f>IF(AD967="","",VLOOKUP(AD967,原価マスタ!$A$2:$AJ$1693,13,FALSE))</f>
        <v>98</v>
      </c>
      <c r="AG967" s="45">
        <f>IF(AF967="","",+AE967*AF967/100)</f>
        <v>25872</v>
      </c>
      <c r="AH967" s="28"/>
      <c r="AI967" s="28"/>
      <c r="AJ967" s="28"/>
      <c r="AK967" s="28"/>
      <c r="AL967" s="12"/>
      <c r="AM967" s="12"/>
      <c r="AN967" s="12"/>
      <c r="AO967" s="12"/>
      <c r="AP967" s="12"/>
      <c r="AQ967" s="13"/>
      <c r="AR967" s="14"/>
    </row>
    <row r="968" spans="1:44" s="16" customFormat="1" ht="30.95" hidden="1" customHeight="1" x14ac:dyDescent="0.2">
      <c r="A968" s="303"/>
      <c r="B968" s="304"/>
      <c r="C968" s="305"/>
      <c r="D968" s="306"/>
      <c r="E968" s="306"/>
      <c r="F968" s="255"/>
      <c r="G968" s="256"/>
      <c r="H968" s="256"/>
      <c r="I968" s="200"/>
      <c r="J968" s="307"/>
      <c r="K968" s="200"/>
      <c r="L968" s="200"/>
      <c r="M968" s="308"/>
      <c r="N968" s="308"/>
      <c r="O968" s="309"/>
      <c r="P968" s="310"/>
      <c r="Q968" s="260"/>
      <c r="R968" s="261"/>
      <c r="S968" s="261"/>
      <c r="T968" s="311"/>
      <c r="U968" s="261"/>
      <c r="V968" s="256"/>
      <c r="W968" s="256"/>
      <c r="X968" s="256"/>
      <c r="Y968" s="256"/>
      <c r="Z968" s="310"/>
      <c r="AA968" s="200"/>
      <c r="AB968" s="312"/>
      <c r="AC968" s="313"/>
      <c r="AD968" s="51"/>
      <c r="AE968" s="314"/>
      <c r="AF968" s="315"/>
      <c r="AG968" s="309"/>
      <c r="AH968" s="28"/>
      <c r="AI968" s="28"/>
      <c r="AJ968" s="28"/>
      <c r="AK968" s="28"/>
      <c r="AL968" s="12"/>
      <c r="AM968" s="12"/>
      <c r="AN968" s="12"/>
      <c r="AO968" s="12"/>
      <c r="AP968" s="12"/>
      <c r="AQ968" s="13"/>
      <c r="AR968" s="14"/>
    </row>
    <row r="969" spans="1:44" s="16" customFormat="1" ht="30.95" hidden="1" customHeight="1" x14ac:dyDescent="0.2">
      <c r="A969" s="35"/>
      <c r="B969" s="36"/>
      <c r="C969" s="305"/>
      <c r="D969" s="29">
        <v>3731365</v>
      </c>
      <c r="E969" s="29">
        <v>4151530</v>
      </c>
      <c r="F969" s="255" t="str">
        <f>IF(D969="","",VLOOKUP(D969,契約台帳!$A$3:$K$4986,6,FALSE)&amp;VLOOKUP(D969,契約台帳!$A$3:$K$4986,7,FALSE)&amp;VLOOKUP(D969,契約台帳!$A$3:$K$4986,8,FALSE)&amp;VLOOKUP(D969,契約台帳!$A$3:$K$4986,9,FALSE)&amp;VLOOKUP(D969,契約台帳!$A$3:$K$4986,11,FALSE))</f>
        <v>3SNMLBMNQR66F</v>
      </c>
      <c r="G969" s="256" t="str">
        <f>IF(D969="","",VLOOKUP(F969,製品マスタ!$G$5:$H$4999,2,FALSE))</f>
        <v>S</v>
      </c>
      <c r="H969" s="256" t="str">
        <f>IF(D969="","",VLOOKUP(F969,製品マスタ!$G$5:$K$4999,5,FALSE))</f>
        <v>MNQR66F</v>
      </c>
      <c r="I969" s="200" t="str">
        <f>IF(D969="","",VLOOKUP(F969,製品マスタ!$G$5:$L$4999,6,FALSE))</f>
        <v>ＱＲ６６蒸着品</v>
      </c>
      <c r="J969" s="30" t="s">
        <v>447</v>
      </c>
      <c r="K969" s="200">
        <f>IF(D969="","",VLOOKUP(D969,契約台帳!$A$3:$L$4986,12,FALSE))</f>
        <v>25</v>
      </c>
      <c r="L969" s="200" t="str">
        <f>IF(D969="","",INDEX(製品マスタ!$Q$5:$Q$4999,MATCH(F969&amp;K969,製品マスタ!$AO$5:$AO$4999,0)))</f>
        <v>E315</v>
      </c>
      <c r="M969" s="37">
        <v>1000</v>
      </c>
      <c r="N969" s="37">
        <v>24000</v>
      </c>
      <c r="O969" s="45">
        <v>2</v>
      </c>
      <c r="P969" s="54"/>
      <c r="Q969" s="260">
        <f>IF(D969="","",IF(J969="リード付け",M969,VLOOKUP(D969,契約台帳!$A$3:$N$4986,14,FALSE)))</f>
        <v>1000</v>
      </c>
      <c r="R969" s="261">
        <f>IF(D969="","",IF(J969="リード付け",M969,VLOOKUP(D969,契約台帳!$A$3:$O$4986,15,FALSE)))</f>
        <v>1000</v>
      </c>
      <c r="S969" s="261">
        <f>IF(D969="","",IF(J969="リード付け",N969,VLOOKUP(D969,契約台帳!$A$3:$P$4986,16,FALSE)))</f>
        <v>6000</v>
      </c>
      <c r="T969" s="38">
        <v>8</v>
      </c>
      <c r="U969" s="261">
        <f ca="1">IF(D969="","",IF(OFFSET(D969,-2,0)=D969,"",VLOOKUP(D969,契約台帳!$A$3:$R$4986,18,FALSE)))</f>
        <v>8</v>
      </c>
      <c r="V969" s="256" t="str">
        <f>IF(J969="巻返し",VLOOKUP(F969&amp;K969&amp;M969,製品マスタ!$M$5:$AD$4999,18,FALSE),IF(J969="リード付け","原反コア",IF(J969="スリット",VLOOKUP(F969&amp;K969&amp;Q969,製品マスタ!$N$5:$AD$4999,17,FALSE),"")))</f>
        <v>6ｲﾝﾁMｺｱ</v>
      </c>
      <c r="W969" s="256">
        <f>IF(J969="巻返し",VLOOKUP(F969&amp;K969&amp;M969,製品マスタ!$M$5:$AE$4999,19,FALSE),IF(J969="リード付け","-",IF(J969="スリット",VLOOKUP(F969&amp;K969&amp;Q969,製品マスタ!$N$5:$AE$4999,18,FALSE),"")))</f>
        <v>1010</v>
      </c>
      <c r="X969" s="256">
        <f>IF(D969="","",VLOOKUP(D969,契約台帳!$A$3:$Q$4986,17,FALSE))</f>
        <v>2</v>
      </c>
      <c r="Y969" s="256" t="str">
        <f>IF(D969="","",VLOOKUP(D969,契約台帳!$A$3:$E$4986,5,FALSE))</f>
        <v>リンテック㈱</v>
      </c>
      <c r="Z969" s="310"/>
      <c r="AA969" s="200" t="str">
        <f>IFERROR(VLOOKUP(F969&amp;K969&amp;M969,製品マスタ!$M$5:$AM$4999,27,FALSE),"")</f>
        <v>原反ケース再利用</v>
      </c>
      <c r="AB969" s="312"/>
      <c r="AC969" s="313"/>
      <c r="AD969" s="51" t="str">
        <f>IF(F969="","",+F969&amp;K969)</f>
        <v>3SNMLBMNQR66F25</v>
      </c>
      <c r="AE969" s="52">
        <f>+M969*N969*O969/1000</f>
        <v>48000</v>
      </c>
      <c r="AF969" s="41">
        <f>IF(AD969="","",VLOOKUP(AD969,原価マスタ!$A$2:$AJ$1693,13,FALSE))</f>
        <v>98</v>
      </c>
      <c r="AG969" s="45">
        <f>IF(AF969="","",+AE969*AF969/100)</f>
        <v>47040</v>
      </c>
      <c r="AH969" s="28"/>
      <c r="AI969" s="28"/>
      <c r="AJ969" s="28"/>
      <c r="AK969" s="28"/>
      <c r="AL969" s="12"/>
      <c r="AM969" s="12"/>
      <c r="AN969" s="12"/>
      <c r="AO969" s="12"/>
      <c r="AP969" s="12"/>
      <c r="AQ969" s="13"/>
      <c r="AR969" s="14"/>
    </row>
    <row r="970" spans="1:44" s="16" customFormat="1" ht="30.95" hidden="1" customHeight="1" x14ac:dyDescent="0.2">
      <c r="A970" s="303"/>
      <c r="B970" s="304"/>
      <c r="C970" s="305"/>
      <c r="D970" s="306"/>
      <c r="E970" s="306"/>
      <c r="F970" s="255"/>
      <c r="G970" s="256"/>
      <c r="H970" s="256"/>
      <c r="I970" s="200"/>
      <c r="J970" s="307"/>
      <c r="K970" s="200"/>
      <c r="L970" s="200"/>
      <c r="M970" s="308"/>
      <c r="N970" s="308"/>
      <c r="O970" s="309"/>
      <c r="P970" s="310"/>
      <c r="Q970" s="260"/>
      <c r="R970" s="261"/>
      <c r="S970" s="261"/>
      <c r="T970" s="311"/>
      <c r="U970" s="261"/>
      <c r="V970" s="256"/>
      <c r="W970" s="256"/>
      <c r="X970" s="256"/>
      <c r="Y970" s="256"/>
      <c r="Z970" s="310"/>
      <c r="AA970" s="200"/>
      <c r="AB970" s="312"/>
      <c r="AC970" s="313"/>
      <c r="AD970" s="51"/>
      <c r="AE970" s="314"/>
      <c r="AF970" s="315"/>
      <c r="AG970" s="309"/>
      <c r="AH970" s="28"/>
      <c r="AI970" s="28"/>
      <c r="AJ970" s="28"/>
      <c r="AK970" s="28"/>
      <c r="AL970" s="12"/>
      <c r="AM970" s="12"/>
      <c r="AN970" s="12"/>
      <c r="AO970" s="12"/>
      <c r="AP970" s="12"/>
      <c r="AQ970" s="13"/>
      <c r="AR970" s="14"/>
    </row>
    <row r="971" spans="1:44" s="16" customFormat="1" ht="30.95" hidden="1" customHeight="1" x14ac:dyDescent="0.2">
      <c r="A971" s="35" t="s">
        <v>645</v>
      </c>
      <c r="B971" s="36" t="s">
        <v>444</v>
      </c>
      <c r="C971" s="305"/>
      <c r="D971" s="29">
        <v>3731353</v>
      </c>
      <c r="E971" s="29">
        <v>4151533</v>
      </c>
      <c r="F971" s="255" t="str">
        <f>IF(D971="","",VLOOKUP(D971,契約台帳!$A$3:$K$4986,6,FALSE)&amp;VLOOKUP(D971,契約台帳!$A$3:$K$4986,7,FALSE)&amp;VLOOKUP(D971,契約台帳!$A$3:$K$4986,8,FALSE)&amp;VLOOKUP(D971,契約台帳!$A$3:$K$4986,9,FALSE)&amp;VLOOKUP(D971,契約台帳!$A$3:$K$4986,11,FALSE))</f>
        <v>3SNMLBMNGTBF</v>
      </c>
      <c r="G971" s="256" t="str">
        <f>IF(D971="","",VLOOKUP(F971,製品マスタ!$G$5:$H$4999,2,FALSE))</f>
        <v>S</v>
      </c>
      <c r="H971" s="256" t="str">
        <f>IF(D971="","",VLOOKUP(F971,製品マスタ!$G$5:$K$4999,5,FALSE))</f>
        <v>MNGTBF</v>
      </c>
      <c r="I971" s="200" t="str">
        <f>IF(D971="","",VLOOKUP(F971,製品マスタ!$G$5:$L$4999,6,FALSE))</f>
        <v>メタルミー　ネーマー　銀艶　Ｂ</v>
      </c>
      <c r="J971" s="30" t="s">
        <v>447</v>
      </c>
      <c r="K971" s="200">
        <f>IF(D971="","",VLOOKUP(D971,契約台帳!$A$3:$L$4986,12,FALSE))</f>
        <v>25</v>
      </c>
      <c r="L971" s="200" t="str">
        <f>IF(D971="","",INDEX(製品マスタ!$Q$5:$Q$4999,MATCH(F971&amp;K971,製品マスタ!$AO$5:$AO$4999,0)))</f>
        <v>T62M</v>
      </c>
      <c r="M971" s="37">
        <v>1005</v>
      </c>
      <c r="N971" s="37">
        <v>12100</v>
      </c>
      <c r="O971" s="45">
        <v>6</v>
      </c>
      <c r="P971" s="54"/>
      <c r="Q971" s="260">
        <f>IF(D971="","",IF(J971="リード付け",M971,VLOOKUP(D971,契約台帳!$A$3:$N$4986,14,FALSE)))</f>
        <v>1005</v>
      </c>
      <c r="R971" s="261">
        <f>IF(D971="","",IF(J971="リード付け",M971,VLOOKUP(D971,契約台帳!$A$3:$O$4986,15,FALSE)))</f>
        <v>1000</v>
      </c>
      <c r="S971" s="261">
        <f>IF(D971="","",IF(J971="リード付け",N971,VLOOKUP(D971,契約台帳!$A$3:$P$4986,16,FALSE)))</f>
        <v>4000</v>
      </c>
      <c r="T971" s="38">
        <v>18</v>
      </c>
      <c r="U971" s="261">
        <f ca="1">IF(D971="","",IF(OFFSET(D971,-2,0)=D971,"",VLOOKUP(D971,契約台帳!$A$3:$R$4986,18,FALSE)))</f>
        <v>18</v>
      </c>
      <c r="V971" s="256" t="str">
        <f>IF(J971="巻返し",VLOOKUP(F971&amp;K971&amp;M971,製品マスタ!$M$5:$AD$4999,18,FALSE),IF(J971="リード付け","原反コア",IF(J971="スリット",VLOOKUP(F971&amp;K971&amp;Q971,製品マスタ!$N$5:$AD$4999,17,FALSE),"")))</f>
        <v>6ｲﾝﾁSｺｱ</v>
      </c>
      <c r="W971" s="256">
        <f>IF(J971="巻返し",VLOOKUP(F971&amp;K971&amp;M971,製品マスタ!$M$5:$AE$4999,19,FALSE),IF(J971="リード付け","-",IF(J971="スリット",VLOOKUP(F971&amp;K971&amp;Q971,製品マスタ!$N$5:$AE$4999,18,FALSE),"")))</f>
        <v>1015</v>
      </c>
      <c r="X971" s="256">
        <f>IF(D971="","",VLOOKUP(D971,契約台帳!$A$3:$Q$4986,17,FALSE))</f>
        <v>2</v>
      </c>
      <c r="Y971" s="256" t="str">
        <f>IF(D971="","",VLOOKUP(D971,契約台帳!$A$3:$E$4986,5,FALSE))</f>
        <v>リンテック㈱</v>
      </c>
      <c r="Z971" s="310"/>
      <c r="AA971" s="200">
        <f>IFERROR(VLOOKUP(F971&amp;K971&amp;M971,製品マスタ!$M$5:$AM$4999,27,FALSE),"")</f>
        <v>0</v>
      </c>
      <c r="AB971" s="312"/>
      <c r="AC971" s="313"/>
      <c r="AD971" s="51" t="str">
        <f>IF(F971="","",+F971&amp;K971)</f>
        <v>3SNMLBMNGTBF25</v>
      </c>
      <c r="AE971" s="52">
        <f>+M971*N971*O971/1000</f>
        <v>72963</v>
      </c>
      <c r="AF971" s="41">
        <f>IF(AD971="","",VLOOKUP(AD971,原価マスタ!$A$2:$AJ$1693,13,FALSE))</f>
        <v>97.5</v>
      </c>
      <c r="AG971" s="45">
        <f>IF(AF971="","",+AE971*AF971/100)</f>
        <v>71138.925000000003</v>
      </c>
      <c r="AH971" s="28"/>
      <c r="AI971" s="28"/>
      <c r="AJ971" s="28"/>
      <c r="AK971" s="28"/>
      <c r="AL971" s="12"/>
      <c r="AM971" s="12"/>
      <c r="AN971" s="12"/>
      <c r="AO971" s="12"/>
      <c r="AP971" s="12"/>
      <c r="AQ971" s="13"/>
      <c r="AR971" s="14"/>
    </row>
    <row r="972" spans="1:44" s="16" customFormat="1" ht="30.95" hidden="1" customHeight="1" x14ac:dyDescent="0.2">
      <c r="A972" s="303"/>
      <c r="B972" s="304"/>
      <c r="C972" s="305"/>
      <c r="D972" s="306"/>
      <c r="E972" s="306"/>
      <c r="F972" s="255"/>
      <c r="G972" s="256"/>
      <c r="H972" s="256"/>
      <c r="I972" s="200"/>
      <c r="J972" s="307"/>
      <c r="K972" s="200"/>
      <c r="L972" s="200"/>
      <c r="M972" s="308"/>
      <c r="N972" s="308"/>
      <c r="O972" s="309"/>
      <c r="P972" s="310"/>
      <c r="Q972" s="260"/>
      <c r="R972" s="261"/>
      <c r="S972" s="261"/>
      <c r="T972" s="311"/>
      <c r="U972" s="261"/>
      <c r="V972" s="256"/>
      <c r="W972" s="256"/>
      <c r="X972" s="256"/>
      <c r="Y972" s="256"/>
      <c r="Z972" s="310"/>
      <c r="AA972" s="200"/>
      <c r="AB972" s="312"/>
      <c r="AC972" s="313"/>
      <c r="AD972" s="51"/>
      <c r="AE972" s="314"/>
      <c r="AF972" s="315"/>
      <c r="AG972" s="309"/>
      <c r="AH972" s="28"/>
      <c r="AI972" s="28"/>
      <c r="AJ972" s="28"/>
      <c r="AK972" s="28"/>
      <c r="AL972" s="12"/>
      <c r="AM972" s="12"/>
      <c r="AN972" s="12"/>
      <c r="AO972" s="12"/>
      <c r="AP972" s="12"/>
      <c r="AQ972" s="13"/>
      <c r="AR972" s="14"/>
    </row>
    <row r="973" spans="1:44" s="16" customFormat="1" ht="30.95" hidden="1" customHeight="1" x14ac:dyDescent="0.2">
      <c r="A973" s="303" t="s">
        <v>1769</v>
      </c>
      <c r="B973" s="304" t="s">
        <v>1770</v>
      </c>
      <c r="C973" s="305"/>
      <c r="D973" s="306"/>
      <c r="E973" s="306"/>
      <c r="F973" s="255"/>
      <c r="G973" s="256"/>
      <c r="H973" s="256"/>
      <c r="I973" s="200"/>
      <c r="J973" s="307" t="s">
        <v>448</v>
      </c>
      <c r="K973" s="200"/>
      <c r="L973" s="200"/>
      <c r="M973" s="308"/>
      <c r="N973" s="308"/>
      <c r="O973" s="309"/>
      <c r="P973" s="310"/>
      <c r="Q973" s="260"/>
      <c r="R973" s="261"/>
      <c r="S973" s="261"/>
      <c r="T973" s="311"/>
      <c r="U973" s="261"/>
      <c r="V973" s="256"/>
      <c r="W973" s="256"/>
      <c r="X973" s="256"/>
      <c r="Y973" s="256"/>
      <c r="Z973" s="310"/>
      <c r="AA973" s="200"/>
      <c r="AB973" s="312"/>
      <c r="AC973" s="313"/>
      <c r="AD973" s="51"/>
      <c r="AE973" s="314"/>
      <c r="AF973" s="315"/>
      <c r="AG973" s="309"/>
      <c r="AH973" s="28"/>
      <c r="AI973" s="28"/>
      <c r="AJ973" s="28"/>
      <c r="AK973" s="28"/>
      <c r="AL973" s="12"/>
      <c r="AM973" s="12"/>
      <c r="AN973" s="12"/>
      <c r="AO973" s="12"/>
      <c r="AP973" s="12"/>
      <c r="AQ973" s="13"/>
      <c r="AR973" s="14"/>
    </row>
    <row r="974" spans="1:44" s="16" customFormat="1" ht="30.95" hidden="1" customHeight="1" x14ac:dyDescent="0.2">
      <c r="A974" s="303"/>
      <c r="B974" s="304"/>
      <c r="C974" s="305"/>
      <c r="D974" s="306"/>
      <c r="E974" s="306"/>
      <c r="F974" s="255"/>
      <c r="G974" s="256"/>
      <c r="H974" s="256"/>
      <c r="I974" s="200"/>
      <c r="J974" s="307"/>
      <c r="K974" s="200"/>
      <c r="L974" s="200"/>
      <c r="M974" s="308"/>
      <c r="N974" s="308"/>
      <c r="O974" s="309"/>
      <c r="P974" s="310"/>
      <c r="Q974" s="260"/>
      <c r="R974" s="261"/>
      <c r="S974" s="261"/>
      <c r="T974" s="311"/>
      <c r="U974" s="261"/>
      <c r="V974" s="256"/>
      <c r="W974" s="256"/>
      <c r="X974" s="256"/>
      <c r="Y974" s="256"/>
      <c r="Z974" s="310"/>
      <c r="AA974" s="200"/>
      <c r="AB974" s="312"/>
      <c r="AC974" s="313"/>
      <c r="AD974" s="51"/>
      <c r="AE974" s="314"/>
      <c r="AF974" s="315"/>
      <c r="AG974" s="309"/>
      <c r="AH974" s="28"/>
      <c r="AI974" s="28"/>
      <c r="AJ974" s="28"/>
      <c r="AK974" s="28"/>
      <c r="AL974" s="12"/>
      <c r="AM974" s="12"/>
      <c r="AN974" s="12"/>
      <c r="AO974" s="12"/>
      <c r="AP974" s="12"/>
      <c r="AQ974" s="13"/>
      <c r="AR974" s="14"/>
    </row>
    <row r="975" spans="1:44" s="16" customFormat="1" ht="30.95" hidden="1" customHeight="1" x14ac:dyDescent="0.2">
      <c r="A975" s="303" t="s">
        <v>1771</v>
      </c>
      <c r="B975" s="304" t="s">
        <v>1772</v>
      </c>
      <c r="C975" s="305"/>
      <c r="D975" s="306"/>
      <c r="E975" s="306"/>
      <c r="F975" s="255"/>
      <c r="G975" s="256"/>
      <c r="H975" s="256"/>
      <c r="I975" s="200"/>
      <c r="J975" s="307" t="s">
        <v>448</v>
      </c>
      <c r="K975" s="200"/>
      <c r="L975" s="200"/>
      <c r="M975" s="308"/>
      <c r="N975" s="308"/>
      <c r="O975" s="309"/>
      <c r="P975" s="310"/>
      <c r="Q975" s="260"/>
      <c r="R975" s="261"/>
      <c r="S975" s="261"/>
      <c r="T975" s="311"/>
      <c r="U975" s="261"/>
      <c r="V975" s="256"/>
      <c r="W975" s="256"/>
      <c r="X975" s="256"/>
      <c r="Y975" s="256"/>
      <c r="Z975" s="310"/>
      <c r="AA975" s="200"/>
      <c r="AB975" s="312"/>
      <c r="AC975" s="313"/>
      <c r="AD975" s="51"/>
      <c r="AE975" s="314"/>
      <c r="AF975" s="315"/>
      <c r="AG975" s="309"/>
      <c r="AH975" s="28"/>
      <c r="AI975" s="28"/>
      <c r="AJ975" s="28"/>
      <c r="AK975" s="28"/>
      <c r="AL975" s="12"/>
      <c r="AM975" s="12"/>
      <c r="AN975" s="12"/>
      <c r="AO975" s="12"/>
      <c r="AP975" s="12"/>
      <c r="AQ975" s="13"/>
      <c r="AR975" s="14"/>
    </row>
    <row r="976" spans="1:44" s="16" customFormat="1" ht="30.95" hidden="1" customHeight="1" x14ac:dyDescent="0.2">
      <c r="A976" s="303"/>
      <c r="B976" s="304"/>
      <c r="C976" s="305"/>
      <c r="D976" s="306"/>
      <c r="E976" s="306"/>
      <c r="F976" s="255"/>
      <c r="G976" s="256"/>
      <c r="H976" s="256"/>
      <c r="I976" s="200"/>
      <c r="J976" s="307"/>
      <c r="K976" s="200"/>
      <c r="L976" s="200"/>
      <c r="M976" s="308"/>
      <c r="N976" s="308"/>
      <c r="O976" s="309"/>
      <c r="P976" s="310"/>
      <c r="Q976" s="260"/>
      <c r="R976" s="261"/>
      <c r="S976" s="261"/>
      <c r="T976" s="311"/>
      <c r="U976" s="261"/>
      <c r="V976" s="256"/>
      <c r="W976" s="256"/>
      <c r="X976" s="256"/>
      <c r="Y976" s="256"/>
      <c r="Z976" s="310"/>
      <c r="AA976" s="200"/>
      <c r="AB976" s="312"/>
      <c r="AC976" s="313"/>
      <c r="AD976" s="51"/>
      <c r="AE976" s="314"/>
      <c r="AF976" s="315"/>
      <c r="AG976" s="309"/>
      <c r="AH976" s="28"/>
      <c r="AI976" s="28"/>
      <c r="AJ976" s="28"/>
      <c r="AK976" s="28"/>
      <c r="AL976" s="12"/>
      <c r="AM976" s="12"/>
      <c r="AN976" s="12"/>
      <c r="AO976" s="12"/>
      <c r="AP976" s="12"/>
      <c r="AQ976" s="13"/>
      <c r="AR976" s="14"/>
    </row>
    <row r="977" spans="1:44" s="16" customFormat="1" ht="30.95" hidden="1" customHeight="1" x14ac:dyDescent="0.2">
      <c r="A977" s="35" t="s">
        <v>646</v>
      </c>
      <c r="B977" s="36" t="s">
        <v>462</v>
      </c>
      <c r="C977" s="305"/>
      <c r="D977" s="29">
        <v>3731342</v>
      </c>
      <c r="E977" s="29">
        <v>4151526</v>
      </c>
      <c r="F977" s="255" t="str">
        <f>IF(D977="","",VLOOKUP(D977,契約台帳!$A$3:$K$4986,6,FALSE)&amp;VLOOKUP(D977,契約台帳!$A$3:$K$4986,7,FALSE)&amp;VLOOKUP(D977,契約台帳!$A$3:$K$4986,8,FALSE)&amp;VLOOKUP(D977,契約台帳!$A$3:$K$4986,9,FALSE)&amp;VLOOKUP(D977,契約台帳!$A$3:$K$4986,11,FALSE))</f>
        <v>3SNMLBMTSF</v>
      </c>
      <c r="G977" s="256" t="str">
        <f>IF(D977="","",VLOOKUP(F977,製品マスタ!$G$5:$H$4999,2,FALSE))</f>
        <v>S</v>
      </c>
      <c r="H977" s="256" t="str">
        <f>IF(D977="","",VLOOKUP(F977,製品マスタ!$G$5:$K$4999,5,FALSE))</f>
        <v>MTSF</v>
      </c>
      <c r="I977" s="200" t="str">
        <f>IF(D977="","",VLOOKUP(F977,製品マスタ!$G$5:$L$4999,6,FALSE))</f>
        <v>メタルミー　ＴＳ</v>
      </c>
      <c r="J977" s="30" t="s">
        <v>447</v>
      </c>
      <c r="K977" s="200">
        <f>IF(D977="","",VLOOKUP(D977,契約台帳!$A$3:$L$4986,12,FALSE))</f>
        <v>50</v>
      </c>
      <c r="L977" s="200" t="str">
        <f>IF(D977="","",INDEX(製品マスタ!$Q$5:$Q$4999,MATCH(F977&amp;K977,製品マスタ!$AO$5:$AO$4999,0)))</f>
        <v>T62M</v>
      </c>
      <c r="M977" s="37">
        <v>1255</v>
      </c>
      <c r="N977" s="37">
        <v>12200</v>
      </c>
      <c r="O977" s="45">
        <v>3</v>
      </c>
      <c r="P977" s="54"/>
      <c r="Q977" s="260">
        <f>IF(D977="","",IF(J977="リード付け",M977,VLOOKUP(D977,契約台帳!$A$3:$N$4986,14,FALSE)))</f>
        <v>1255</v>
      </c>
      <c r="R977" s="261">
        <f>IF(D977="","",IF(J977="リード付け",M977,VLOOKUP(D977,契約台帳!$A$3:$O$4986,15,FALSE)))</f>
        <v>1250</v>
      </c>
      <c r="S977" s="261">
        <f>IF(D977="","",IF(J977="リード付け",N977,VLOOKUP(D977,契約台帳!$A$3:$P$4986,16,FALSE)))</f>
        <v>2000</v>
      </c>
      <c r="T977" s="38">
        <v>18</v>
      </c>
      <c r="U977" s="261">
        <f ca="1">IF(D977="","",IF(OFFSET(D977,-2,0)=D977,"",VLOOKUP(D977,契約台帳!$A$3:$R$4986,18,FALSE)))</f>
        <v>18</v>
      </c>
      <c r="V977" s="256" t="str">
        <f>IF(J977="巻返し",VLOOKUP(F977&amp;K977&amp;M977,製品マスタ!$M$5:$AD$4999,18,FALSE),IF(J977="リード付け","原反コア",IF(J977="スリット",VLOOKUP(F977&amp;K977&amp;Q977,製品マスタ!$N$5:$AD$4999,17,FALSE),"")))</f>
        <v>3ｲﾝﾁSｺｱ</v>
      </c>
      <c r="W977" s="256">
        <f>IF(J977="巻返し",VLOOKUP(F977&amp;K977&amp;M977,製品マスタ!$M$5:$AE$4999,19,FALSE),IF(J977="リード付け","-",IF(J977="スリット",VLOOKUP(F977&amp;K977&amp;Q977,製品マスタ!$N$5:$AE$4999,18,FALSE),"")))</f>
        <v>1260</v>
      </c>
      <c r="X977" s="256">
        <f>IF(D977="","",VLOOKUP(D977,契約台帳!$A$3:$Q$4986,17,FALSE))</f>
        <v>2</v>
      </c>
      <c r="Y977" s="256" t="str">
        <f>IF(D977="","",VLOOKUP(D977,契約台帳!$A$3:$E$4986,5,FALSE))</f>
        <v>日東電工㈱豊橋工場</v>
      </c>
      <c r="Z977" s="310"/>
      <c r="AA977" s="200">
        <f>IFERROR(VLOOKUP(F977&amp;K977&amp;M977,製品マスタ!$M$5:$AM$4999,27,FALSE),"")</f>
        <v>0</v>
      </c>
      <c r="AB977" s="312"/>
      <c r="AC977" s="313"/>
      <c r="AD977" s="51" t="str">
        <f>IF(F977="","",+F977&amp;K977)</f>
        <v>3SNMLBMTSF50</v>
      </c>
      <c r="AE977" s="52">
        <f>+M977*N977*O977/1000</f>
        <v>45933</v>
      </c>
      <c r="AF977" s="41">
        <f>IF(AD977="","",VLOOKUP(AD977,原価マスタ!$A$2:$AJ$1693,13,FALSE))</f>
        <v>95</v>
      </c>
      <c r="AG977" s="45">
        <f>IF(AF977="","",+AE977*AF977/100)</f>
        <v>43636.35</v>
      </c>
      <c r="AH977" s="28"/>
      <c r="AI977" s="28"/>
      <c r="AJ977" s="28"/>
      <c r="AK977" s="28"/>
      <c r="AL977" s="12"/>
      <c r="AM977" s="12"/>
      <c r="AN977" s="12"/>
      <c r="AO977" s="12"/>
      <c r="AP977" s="12"/>
      <c r="AQ977" s="13"/>
      <c r="AR977" s="14"/>
    </row>
    <row r="978" spans="1:44" s="16" customFormat="1" ht="30.95" hidden="1" customHeight="1" x14ac:dyDescent="0.2">
      <c r="A978" s="303"/>
      <c r="B978" s="304"/>
      <c r="C978" s="305"/>
      <c r="D978" s="306"/>
      <c r="E978" s="306"/>
      <c r="F978" s="255"/>
      <c r="G978" s="256"/>
      <c r="H978" s="256"/>
      <c r="I978" s="200"/>
      <c r="J978" s="307"/>
      <c r="K978" s="200"/>
      <c r="L978" s="200"/>
      <c r="M978" s="308"/>
      <c r="N978" s="308"/>
      <c r="O978" s="309"/>
      <c r="P978" s="310"/>
      <c r="Q978" s="260"/>
      <c r="R978" s="261"/>
      <c r="S978" s="261"/>
      <c r="T978" s="311"/>
      <c r="U978" s="261"/>
      <c r="V978" s="256"/>
      <c r="W978" s="256"/>
      <c r="X978" s="256"/>
      <c r="Y978" s="256"/>
      <c r="Z978" s="310"/>
      <c r="AA978" s="200"/>
      <c r="AB978" s="312"/>
      <c r="AC978" s="313"/>
      <c r="AD978" s="51"/>
      <c r="AE978" s="314"/>
      <c r="AF978" s="315"/>
      <c r="AG978" s="309"/>
      <c r="AH978" s="28"/>
      <c r="AI978" s="28"/>
      <c r="AJ978" s="28"/>
      <c r="AK978" s="28"/>
      <c r="AL978" s="12"/>
      <c r="AM978" s="12"/>
      <c r="AN978" s="12"/>
      <c r="AO978" s="12"/>
      <c r="AP978" s="12"/>
      <c r="AQ978" s="13"/>
      <c r="AR978" s="14"/>
    </row>
    <row r="979" spans="1:44" s="16" customFormat="1" ht="30.75" hidden="1" customHeight="1" x14ac:dyDescent="0.2">
      <c r="A979" s="35"/>
      <c r="B979" s="36"/>
      <c r="C979" s="43"/>
      <c r="D979" s="29">
        <v>3732871</v>
      </c>
      <c r="E979" s="29">
        <v>4151539</v>
      </c>
      <c r="F979" s="255" t="str">
        <f>IF(D979="","",VLOOKUP(D979,契約台帳!$A$3:$K$4986,6,FALSE)&amp;VLOOKUP(D979,契約台帳!$A$3:$K$4986,7,FALSE)&amp;VLOOKUP(D979,契約台帳!$A$3:$K$4986,8,FALSE)&amp;VLOOKUP(D979,契約台帳!$A$3:$K$4986,9,FALSE)&amp;VLOOKUP(D979,契約台帳!$A$3:$K$4986,11,FALSE))</f>
        <v>3HSNMLBMTSF</v>
      </c>
      <c r="G979" s="256" t="str">
        <f>IF(D979="","",VLOOKUP(F979,製品マスタ!$G$5:$H$4999,2,FALSE))</f>
        <v>S</v>
      </c>
      <c r="H979" s="256" t="str">
        <f>IF(D979="","",VLOOKUP(F979,製品マスタ!$G$5:$K$4999,5,FALSE))</f>
        <v>MTSF</v>
      </c>
      <c r="I979" s="200" t="str">
        <f>IF(D979="","",VLOOKUP(F979,製品マスタ!$G$5:$L$4999,6,FALSE))</f>
        <v>メタルミー　ＴＳ</v>
      </c>
      <c r="J979" s="30" t="s">
        <v>447</v>
      </c>
      <c r="K979" s="200">
        <f>IF(D979="","",VLOOKUP(D979,契約台帳!$A$3:$L$4986,12,FALSE))</f>
        <v>50</v>
      </c>
      <c r="L979" s="200" t="str">
        <f>IF(D979="","",INDEX(製品マスタ!$Q$5:$Q$4999,MATCH(F979&amp;K979,製品マスタ!$AO$5:$AO$4999,0)))</f>
        <v>T62M</v>
      </c>
      <c r="M979" s="37">
        <v>1195</v>
      </c>
      <c r="N979" s="37">
        <v>6100</v>
      </c>
      <c r="O979" s="45">
        <v>1</v>
      </c>
      <c r="P979" s="54"/>
      <c r="Q979" s="260">
        <f>IF(D979="","",IF(J979="リード付け",M979,VLOOKUP(D979,契約台帳!$A$3:$N$4986,14,FALSE)))</f>
        <v>1000</v>
      </c>
      <c r="R979" s="261">
        <f>IF(D979="","",IF(J979="リード付け",M979,VLOOKUP(D979,契約台帳!$A$3:$O$4986,15,FALSE)))</f>
        <v>1000</v>
      </c>
      <c r="S979" s="261">
        <f>IF(D979="","",IF(J979="リード付け",N979,VLOOKUP(D979,契約台帳!$A$3:$P$4986,16,FALSE)))</f>
        <v>1000</v>
      </c>
      <c r="T979" s="38">
        <v>6</v>
      </c>
      <c r="U979" s="261">
        <f ca="1">IF(D979="","",IF(OFFSET(D979,-2,0)=D979,"",VLOOKUP(D979,契約台帳!$A$3:$R$4986,18,FALSE)))</f>
        <v>6</v>
      </c>
      <c r="V979" s="256" t="s">
        <v>903</v>
      </c>
      <c r="W979" s="256">
        <v>1005</v>
      </c>
      <c r="X979" s="256">
        <f>IF(D979="","",VLOOKUP(D979,契約台帳!$A$3:$Q$4986,17,FALSE))</f>
        <v>2</v>
      </c>
      <c r="Y979" s="256" t="str">
        <f>IF(D979="","",VLOOKUP(D979,契約台帳!$A$3:$E$4986,5,FALSE))</f>
        <v>パナック㈱亀山工場</v>
      </c>
      <c r="Z979" s="54"/>
      <c r="AA979" s="200">
        <f>IFERROR(VLOOKUP(F979&amp;K979&amp;M979,製品マスタ!$M$5:$AM$4999,27,FALSE),"")</f>
        <v>0</v>
      </c>
      <c r="AB979" s="31"/>
      <c r="AC979" s="184"/>
      <c r="AD979" s="51" t="str">
        <f>IF(F979="","",+F979&amp;K979)</f>
        <v>3HSNMLBMTSF50</v>
      </c>
      <c r="AE979" s="52">
        <f>+M979*N979*O979/1000</f>
        <v>7289.5</v>
      </c>
      <c r="AF979" s="41" t="e">
        <f>IF(AD979="","",VLOOKUP(AD979,原価マスタ!$A$2:$AJ$1693,13,FALSE))</f>
        <v>#N/A</v>
      </c>
      <c r="AG979" s="45" t="e">
        <f>IF(AF979="","",+AE979*AF979/100)</f>
        <v>#N/A</v>
      </c>
      <c r="AH979" s="28"/>
      <c r="AI979" s="28"/>
      <c r="AJ979" s="28"/>
      <c r="AK979" s="28"/>
      <c r="AL979" s="12"/>
      <c r="AM979" s="12"/>
      <c r="AN979" s="12"/>
      <c r="AO979" s="12"/>
      <c r="AP979" s="12"/>
      <c r="AQ979" s="13"/>
      <c r="AR979" s="14"/>
    </row>
    <row r="980" spans="1:44" s="16" customFormat="1" ht="30.95" hidden="1" customHeight="1" x14ac:dyDescent="0.2">
      <c r="A980" s="303"/>
      <c r="B980" s="304"/>
      <c r="C980" s="305"/>
      <c r="D980" s="306"/>
      <c r="E980" s="306"/>
      <c r="F980" s="255"/>
      <c r="G980" s="256"/>
      <c r="H980" s="256"/>
      <c r="I980" s="200"/>
      <c r="J980" s="307"/>
      <c r="K980" s="200"/>
      <c r="L980" s="200"/>
      <c r="M980" s="308"/>
      <c r="N980" s="308"/>
      <c r="O980" s="309"/>
      <c r="P980" s="310"/>
      <c r="Q980" s="260"/>
      <c r="R980" s="261"/>
      <c r="S980" s="261"/>
      <c r="T980" s="311"/>
      <c r="U980" s="261"/>
      <c r="V980" s="256"/>
      <c r="W980" s="256"/>
      <c r="X980" s="256"/>
      <c r="Y980" s="256"/>
      <c r="Z980" s="310"/>
      <c r="AA980" s="200"/>
      <c r="AB980" s="312"/>
      <c r="AC980" s="313"/>
      <c r="AD980" s="51"/>
      <c r="AE980" s="314"/>
      <c r="AF980" s="315"/>
      <c r="AG980" s="309"/>
      <c r="AH980" s="28"/>
      <c r="AI980" s="28"/>
      <c r="AJ980" s="28"/>
      <c r="AK980" s="28"/>
      <c r="AL980" s="12"/>
      <c r="AM980" s="12"/>
      <c r="AN980" s="12"/>
      <c r="AO980" s="12"/>
      <c r="AP980" s="12"/>
      <c r="AQ980" s="13"/>
      <c r="AR980" s="14"/>
    </row>
    <row r="981" spans="1:44" s="16" customFormat="1" ht="30.95" hidden="1" customHeight="1" x14ac:dyDescent="0.2">
      <c r="A981" s="35" t="s">
        <v>647</v>
      </c>
      <c r="B981" s="36" t="s">
        <v>688</v>
      </c>
      <c r="C981" s="305"/>
      <c r="D981" s="29">
        <v>3731341</v>
      </c>
      <c r="E981" s="29">
        <v>4151535</v>
      </c>
      <c r="F981" s="255" t="str">
        <f>IF(D981="","",VLOOKUP(D981,契約台帳!$A$3:$K$4986,6,FALSE)&amp;VLOOKUP(D981,契約台帳!$A$3:$K$4986,7,FALSE)&amp;VLOOKUP(D981,契約台帳!$A$3:$K$4986,8,FALSE)&amp;VLOOKUP(D981,契約台帳!$A$3:$K$4986,9,FALSE)&amp;VLOOKUP(D981,契約台帳!$A$3:$K$4986,11,FALSE))</f>
        <v>3SNMLBMTSF</v>
      </c>
      <c r="G981" s="256" t="str">
        <f>IF(D981="","",VLOOKUP(F981,製品マスタ!$G$5:$H$4999,2,FALSE))</f>
        <v>S</v>
      </c>
      <c r="H981" s="256" t="str">
        <f>IF(D981="","",VLOOKUP(F981,製品マスタ!$G$5:$K$4999,5,FALSE))</f>
        <v>MTSF</v>
      </c>
      <c r="I981" s="200" t="str">
        <f>IF(D981="","",VLOOKUP(F981,製品マスタ!$G$5:$L$4999,6,FALSE))</f>
        <v>メタルミー　ＴＳ</v>
      </c>
      <c r="J981" s="30" t="s">
        <v>447</v>
      </c>
      <c r="K981" s="200">
        <f>IF(D981="","",VLOOKUP(D981,契約台帳!$A$3:$L$4986,12,FALSE))</f>
        <v>75</v>
      </c>
      <c r="L981" s="200" t="str">
        <f>IF(D981="","",INDEX(製品マスタ!$Q$5:$Q$4999,MATCH(F981&amp;K981,製品マスタ!$AO$5:$AO$4999,0)))</f>
        <v>T60</v>
      </c>
      <c r="M981" s="37">
        <v>1100</v>
      </c>
      <c r="N981" s="37">
        <v>2000</v>
      </c>
      <c r="O981" s="45">
        <v>1</v>
      </c>
      <c r="P981" s="54"/>
      <c r="Q981" s="260">
        <f>IF(D981="","",IF(J981="リード付け",M981,VLOOKUP(D981,契約台帳!$A$3:$N$4986,14,FALSE)))</f>
        <v>1000</v>
      </c>
      <c r="R981" s="261">
        <f>IF(D981="","",IF(J981="リード付け",M981,VLOOKUP(D981,契約台帳!$A$3:$O$4986,15,FALSE)))</f>
        <v>1000</v>
      </c>
      <c r="S981" s="261">
        <f>IF(D981="","",IF(J981="リード付け",N981,VLOOKUP(D981,契約台帳!$A$3:$P$4986,16,FALSE)))</f>
        <v>1000</v>
      </c>
      <c r="T981" s="38">
        <v>2</v>
      </c>
      <c r="U981" s="261">
        <f ca="1">IF(D981="","",IF(OFFSET(D981,-2,0)=D981,"",VLOOKUP(D981,契約台帳!$A$3:$R$4986,18,FALSE)))</f>
        <v>2</v>
      </c>
      <c r="V981" s="256" t="str">
        <f>IF(J981="巻返し",VLOOKUP(F981&amp;K981&amp;M981,製品マスタ!$M$5:$AD$4999,18,FALSE),IF(J981="リード付け","原反コア",IF(J981="スリット",VLOOKUP(F981&amp;K981&amp;Q981,製品マスタ!$N$5:$AD$4999,17,FALSE),"")))</f>
        <v>3ｲﾝﾁSｺｱ</v>
      </c>
      <c r="W981" s="256">
        <f>IF(J981="巻返し",VLOOKUP(F981&amp;K981&amp;M981,製品マスタ!$M$5:$AE$4999,19,FALSE),IF(J981="リード付け","-",IF(J981="スリット",VLOOKUP(F981&amp;K981&amp;Q981,製品マスタ!$N$5:$AE$4999,18,FALSE),"")))</f>
        <v>1005</v>
      </c>
      <c r="X981" s="256">
        <f>IF(D981="","",VLOOKUP(D981,契約台帳!$A$3:$Q$4986,17,FALSE))</f>
        <v>2</v>
      </c>
      <c r="Y981" s="256" t="str">
        <f>IF(D981="","",VLOOKUP(D981,契約台帳!$A$3:$E$4986,5,FALSE))</f>
        <v>パナック㈱亀山工場</v>
      </c>
      <c r="Z981" s="310"/>
      <c r="AA981" s="200">
        <f>IFERROR(VLOOKUP(F981&amp;K981&amp;M981,製品マスタ!$M$5:$AM$4999,27,FALSE),"")</f>
        <v>0</v>
      </c>
      <c r="AB981" s="312"/>
      <c r="AC981" s="313"/>
      <c r="AD981" s="51" t="str">
        <f>IF(F981="","",+F981&amp;K981)</f>
        <v>3SNMLBMTSF75</v>
      </c>
      <c r="AE981" s="52">
        <f>+M981*N981*O981/1000</f>
        <v>2200</v>
      </c>
      <c r="AF981" s="41">
        <f>IF(AD981="","",VLOOKUP(AD981,原価マスタ!$A$2:$AJ$1693,13,FALSE))</f>
        <v>86</v>
      </c>
      <c r="AG981" s="45">
        <f>IF(AF981="","",+AE981*AF981/100)</f>
        <v>1892</v>
      </c>
      <c r="AH981" s="28"/>
      <c r="AI981" s="28"/>
      <c r="AJ981" s="28"/>
      <c r="AK981" s="28"/>
      <c r="AL981" s="12"/>
      <c r="AM981" s="12"/>
      <c r="AN981" s="12"/>
      <c r="AO981" s="12"/>
      <c r="AP981" s="12"/>
      <c r="AQ981" s="13"/>
      <c r="AR981" s="14"/>
    </row>
    <row r="982" spans="1:44" s="16" customFormat="1" ht="30.95" hidden="1" customHeight="1" x14ac:dyDescent="0.2">
      <c r="A982" s="303"/>
      <c r="B982" s="304"/>
      <c r="C982" s="305"/>
      <c r="D982" s="306"/>
      <c r="E982" s="306"/>
      <c r="F982" s="255"/>
      <c r="G982" s="256"/>
      <c r="H982" s="256"/>
      <c r="I982" s="200"/>
      <c r="J982" s="307"/>
      <c r="K982" s="200"/>
      <c r="L982" s="200"/>
      <c r="M982" s="308"/>
      <c r="N982" s="308"/>
      <c r="O982" s="309"/>
      <c r="P982" s="310"/>
      <c r="Q982" s="260"/>
      <c r="R982" s="261"/>
      <c r="S982" s="261"/>
      <c r="T982" s="311"/>
      <c r="U982" s="261"/>
      <c r="V982" s="256"/>
      <c r="W982" s="256"/>
      <c r="X982" s="256"/>
      <c r="Y982" s="256"/>
      <c r="Z982" s="310"/>
      <c r="AA982" s="200"/>
      <c r="AB982" s="312"/>
      <c r="AC982" s="313"/>
      <c r="AD982" s="51"/>
      <c r="AE982" s="314"/>
      <c r="AF982" s="315"/>
      <c r="AG982" s="309"/>
      <c r="AH982" s="28"/>
      <c r="AI982" s="28"/>
      <c r="AJ982" s="28"/>
      <c r="AK982" s="28"/>
      <c r="AL982" s="12"/>
      <c r="AM982" s="12"/>
      <c r="AN982" s="12"/>
      <c r="AO982" s="12"/>
      <c r="AP982" s="12"/>
      <c r="AQ982" s="13"/>
      <c r="AR982" s="14"/>
    </row>
    <row r="983" spans="1:44" s="16" customFormat="1" ht="30.95" hidden="1" customHeight="1" x14ac:dyDescent="0.2">
      <c r="A983" s="35"/>
      <c r="B983" s="36"/>
      <c r="C983" s="305"/>
      <c r="D983" s="29">
        <v>3731340</v>
      </c>
      <c r="E983" s="29">
        <v>4151536</v>
      </c>
      <c r="F983" s="255" t="str">
        <f>IF(D983="","",VLOOKUP(D983,契約台帳!$A$3:$K$4986,6,FALSE)&amp;VLOOKUP(D983,契約台帳!$A$3:$K$4986,7,FALSE)&amp;VLOOKUP(D983,契約台帳!$A$3:$K$4986,8,FALSE)&amp;VLOOKUP(D983,契約台帳!$A$3:$K$4986,9,FALSE)&amp;VLOOKUP(D983,契約台帳!$A$3:$K$4986,11,FALSE))</f>
        <v>3SNMLBMSF</v>
      </c>
      <c r="G983" s="256" t="str">
        <f>IF(D983="","",VLOOKUP(F983,製品マスタ!$G$5:$H$4999,2,FALSE))</f>
        <v>S</v>
      </c>
      <c r="H983" s="256" t="str">
        <f>IF(D983="","",VLOOKUP(F983,製品マスタ!$G$5:$K$4999,5,FALSE))</f>
        <v>MSF</v>
      </c>
      <c r="I983" s="200" t="str">
        <f>IF(D983="","",VLOOKUP(F983,製品マスタ!$G$5:$L$4999,6,FALSE))</f>
        <v>メタルミー　Ｓ</v>
      </c>
      <c r="J983" s="30" t="s">
        <v>447</v>
      </c>
      <c r="K983" s="200">
        <f>IF(D983="","",VLOOKUP(D983,契約台帳!$A$3:$L$4986,12,FALSE))</f>
        <v>25</v>
      </c>
      <c r="L983" s="200" t="str">
        <f>IF(D983="","",INDEX(製品マスタ!$Q$5:$Q$4999,MATCH(F983&amp;K983,製品マスタ!$AO$5:$AO$4999,0)))</f>
        <v>T62M</v>
      </c>
      <c r="M983" s="37">
        <v>1020</v>
      </c>
      <c r="N983" s="37">
        <v>12100</v>
      </c>
      <c r="O983" s="45">
        <v>1</v>
      </c>
      <c r="P983" s="54"/>
      <c r="Q983" s="260">
        <f>IF(D983="","",IF(J983="リード付け",M983,VLOOKUP(D983,契約台帳!$A$3:$N$4986,14,FALSE)))</f>
        <v>1000</v>
      </c>
      <c r="R983" s="261">
        <f>IF(D983="","",IF(J983="リード付け",M983,VLOOKUP(D983,契約台帳!$A$3:$O$4986,15,FALSE)))</f>
        <v>1000</v>
      </c>
      <c r="S983" s="261">
        <f>IF(D983="","",IF(J983="リード付け",N983,VLOOKUP(D983,契約台帳!$A$3:$P$4986,16,FALSE)))</f>
        <v>2000</v>
      </c>
      <c r="T983" s="38">
        <v>4</v>
      </c>
      <c r="U983" s="261">
        <f ca="1">IF(D983="","",IF(OFFSET(D983,-2,0)=D983,"",VLOOKUP(D983,契約台帳!$A$3:$R$4986,18,FALSE)))</f>
        <v>4</v>
      </c>
      <c r="V983" s="256" t="str">
        <f>IF(J983="巻返し",VLOOKUP(F983&amp;K983&amp;M983,製品マスタ!$M$5:$AD$4999,18,FALSE),IF(J983="リード付け","原反コア",IF(J983="スリット",VLOOKUP(F983&amp;K983&amp;Q983,製品マスタ!$N$5:$AD$4999,17,FALSE),"")))</f>
        <v>3ｲﾝﾁSｺｱ</v>
      </c>
      <c r="W983" s="256">
        <f>IF(J983="巻返し",VLOOKUP(F983&amp;K983&amp;M983,製品マスタ!$M$5:$AE$4999,19,FALSE),IF(J983="リード付け","-",IF(J983="スリット",VLOOKUP(F983&amp;K983&amp;Q983,製品マスタ!$N$5:$AE$4999,18,FALSE),"")))</f>
        <v>1005</v>
      </c>
      <c r="X983" s="256">
        <f>IF(D983="","",VLOOKUP(D983,契約台帳!$A$3:$Q$4986,17,FALSE))</f>
        <v>2</v>
      </c>
      <c r="Y983" s="256" t="str">
        <f>IF(D983="","",VLOOKUP(D983,契約台帳!$A$3:$E$4986,5,FALSE))</f>
        <v>パナック㈱亀山工場</v>
      </c>
      <c r="Z983" s="310"/>
      <c r="AA983" s="200">
        <f>IFERROR(VLOOKUP(F983&amp;K983&amp;M983,製品マスタ!$M$5:$AM$4999,27,FALSE),"")</f>
        <v>0</v>
      </c>
      <c r="AB983" s="312"/>
      <c r="AC983" s="313"/>
      <c r="AD983" s="51" t="str">
        <f>IF(F983="","",+F983&amp;K983)</f>
        <v>3SNMLBMSF25</v>
      </c>
      <c r="AE983" s="52">
        <f>+M983*N983*O983/1000</f>
        <v>12342</v>
      </c>
      <c r="AF983" s="41">
        <f>IF(AD983="","",VLOOKUP(AD983,原価マスタ!$A$2:$AJ$1693,13,FALSE))</f>
        <v>97</v>
      </c>
      <c r="AG983" s="45">
        <f>IF(AF983="","",+AE983*AF983/100)</f>
        <v>11971.74</v>
      </c>
      <c r="AH983" s="28"/>
      <c r="AI983" s="28"/>
      <c r="AJ983" s="28"/>
      <c r="AK983" s="28"/>
      <c r="AL983" s="12"/>
      <c r="AM983" s="12"/>
      <c r="AN983" s="12"/>
      <c r="AO983" s="12"/>
      <c r="AP983" s="12"/>
      <c r="AQ983" s="13"/>
      <c r="AR983" s="14"/>
    </row>
    <row r="984" spans="1:44" s="16" customFormat="1" ht="30.95" hidden="1" customHeight="1" x14ac:dyDescent="0.2">
      <c r="A984" s="303"/>
      <c r="B984" s="304"/>
      <c r="C984" s="305"/>
      <c r="D984" s="306"/>
      <c r="E984" s="306"/>
      <c r="F984" s="255"/>
      <c r="G984" s="256"/>
      <c r="H984" s="256"/>
      <c r="I984" s="200"/>
      <c r="J984" s="307"/>
      <c r="K984" s="200"/>
      <c r="L984" s="200"/>
      <c r="M984" s="308"/>
      <c r="N984" s="308"/>
      <c r="O984" s="309"/>
      <c r="P984" s="310"/>
      <c r="Q984" s="260">
        <v>1020</v>
      </c>
      <c r="R984" s="261">
        <v>1020</v>
      </c>
      <c r="S984" s="261">
        <v>2000</v>
      </c>
      <c r="T984" s="311">
        <v>2</v>
      </c>
      <c r="U984" s="261">
        <v>2</v>
      </c>
      <c r="V984" s="256" t="s">
        <v>903</v>
      </c>
      <c r="W984" s="256">
        <v>1025</v>
      </c>
      <c r="X984" s="256">
        <v>2</v>
      </c>
      <c r="Y984" s="256" t="s">
        <v>17</v>
      </c>
      <c r="Z984" s="310"/>
      <c r="AA984" s="200"/>
      <c r="AB984" s="312"/>
      <c r="AC984" s="313"/>
      <c r="AD984" s="51"/>
      <c r="AE984" s="314"/>
      <c r="AF984" s="315"/>
      <c r="AG984" s="309"/>
      <c r="AH984" s="28"/>
      <c r="AI984" s="28"/>
      <c r="AJ984" s="28"/>
      <c r="AK984" s="28"/>
      <c r="AL984" s="12"/>
      <c r="AM984" s="12"/>
      <c r="AN984" s="12"/>
      <c r="AO984" s="12"/>
      <c r="AP984" s="12"/>
      <c r="AQ984" s="13"/>
      <c r="AR984" s="14"/>
    </row>
    <row r="985" spans="1:44" s="16" customFormat="1" ht="30.95" hidden="1" customHeight="1" x14ac:dyDescent="0.2">
      <c r="A985" s="303"/>
      <c r="B985" s="304"/>
      <c r="C985" s="305"/>
      <c r="D985" s="306"/>
      <c r="E985" s="306"/>
      <c r="F985" s="255"/>
      <c r="G985" s="256"/>
      <c r="H985" s="256"/>
      <c r="I985" s="200"/>
      <c r="J985" s="307"/>
      <c r="K985" s="200"/>
      <c r="L985" s="200"/>
      <c r="M985" s="308"/>
      <c r="N985" s="308"/>
      <c r="O985" s="309"/>
      <c r="P985" s="310"/>
      <c r="Q985" s="260"/>
      <c r="R985" s="261"/>
      <c r="S985" s="261"/>
      <c r="T985" s="311"/>
      <c r="U985" s="261"/>
      <c r="V985" s="256"/>
      <c r="W985" s="256"/>
      <c r="X985" s="256"/>
      <c r="Y985" s="256"/>
      <c r="Z985" s="310"/>
      <c r="AA985" s="200"/>
      <c r="AB985" s="312"/>
      <c r="AC985" s="313"/>
      <c r="AD985" s="51"/>
      <c r="AE985" s="314"/>
      <c r="AF985" s="315"/>
      <c r="AG985" s="309"/>
      <c r="AH985" s="28"/>
      <c r="AI985" s="28"/>
      <c r="AJ985" s="28"/>
      <c r="AK985" s="28"/>
      <c r="AL985" s="12"/>
      <c r="AM985" s="12"/>
      <c r="AN985" s="12"/>
      <c r="AO985" s="12"/>
      <c r="AP985" s="12"/>
      <c r="AQ985" s="13"/>
      <c r="AR985" s="14"/>
    </row>
    <row r="986" spans="1:44" s="16" customFormat="1" ht="30.95" hidden="1" customHeight="1" x14ac:dyDescent="0.2">
      <c r="A986" s="35" t="s">
        <v>649</v>
      </c>
      <c r="B986" s="36" t="s">
        <v>442</v>
      </c>
      <c r="C986" s="305"/>
      <c r="D986" s="29">
        <v>3732645</v>
      </c>
      <c r="E986" s="29">
        <v>4151532</v>
      </c>
      <c r="F986" s="255" t="str">
        <f>IF(D986="","",VLOOKUP(D986,契約台帳!$A$3:$K$4986,6,FALSE)&amp;VLOOKUP(D986,契約台帳!$A$3:$K$4986,7,FALSE)&amp;VLOOKUP(D986,契約台帳!$A$3:$K$4986,8,FALSE)&amp;VLOOKUP(D986,契約台帳!$A$3:$K$4986,9,FALSE)&amp;VLOOKUP(D986,契約台帳!$A$3:$K$4986,11,FALSE))</f>
        <v>3SNMLBMDMSJF</v>
      </c>
      <c r="G986" s="256" t="str">
        <f>IF(D986="","",VLOOKUP(F986,製品マスタ!$G$5:$H$4999,2,FALSE))</f>
        <v>S</v>
      </c>
      <c r="H986" s="256" t="str">
        <f>IF(D986="","",VLOOKUP(F986,製品マスタ!$G$5:$K$4999,5,FALSE))</f>
        <v>MDMSJF</v>
      </c>
      <c r="I986" s="200" t="str">
        <f>IF(D986="","",VLOOKUP(F986,製品マスタ!$G$5:$L$4999,6,FALSE))</f>
        <v>ＤＭＳ蒸着（Ｘ－４４）</v>
      </c>
      <c r="J986" s="30" t="s">
        <v>447</v>
      </c>
      <c r="K986" s="200">
        <f>IF(D986="","",VLOOKUP(D986,契約台帳!$A$3:$L$4986,12,FALSE))</f>
        <v>50</v>
      </c>
      <c r="L986" s="200" t="str">
        <f>IF(D986="","",INDEX(製品マスタ!$Q$5:$Q$4999,MATCH(F986&amp;K986,製品マスタ!$AO$5:$AO$4999,0)))</f>
        <v>X44</v>
      </c>
      <c r="M986" s="37">
        <v>1020</v>
      </c>
      <c r="N986" s="37">
        <v>8000</v>
      </c>
      <c r="O986" s="45">
        <v>1</v>
      </c>
      <c r="P986" s="54"/>
      <c r="Q986" s="260">
        <v>1000</v>
      </c>
      <c r="R986" s="261">
        <f>IF(D986="","",IF(J986="リード付け",M986,VLOOKUP(D986,契約台帳!$A$3:$O$4986,15,FALSE)))</f>
        <v>1000</v>
      </c>
      <c r="S986" s="261">
        <f>IF(D986="","",IF(J986="リード付け",N986,VLOOKUP(D986,契約台帳!$A$3:$P$4986,16,FALSE)))</f>
        <v>2000</v>
      </c>
      <c r="T986" s="38">
        <v>4</v>
      </c>
      <c r="U986" s="261">
        <f ca="1">IF(D986="","",IF(OFFSET(D986,-2,0)=D986,"",VLOOKUP(D986,契約台帳!$A$3:$R$4986,18,FALSE)))</f>
        <v>4</v>
      </c>
      <c r="V986" s="256" t="str">
        <f>IF(J986="巻返し",VLOOKUP(F986&amp;K986&amp;M986,製品マスタ!$M$5:$AD$4999,18,FALSE),IF(J986="リード付け","原反コア",IF(J986="スリット",VLOOKUP(F986&amp;K986&amp;Q986,製品マスタ!$N$5:$AD$4999,17,FALSE),"")))</f>
        <v>3ｲﾝﾁSｺｱ</v>
      </c>
      <c r="W986" s="256">
        <f>IF(J986="巻返し",VLOOKUP(F986&amp;K986&amp;M986,製品マスタ!$M$5:$AE$4999,19,FALSE),IF(J986="リード付け","-",IF(J986="スリット",VLOOKUP(F986&amp;K986&amp;Q986,製品マスタ!$N$5:$AE$4999,18,FALSE),"")))</f>
        <v>1005</v>
      </c>
      <c r="X986" s="256">
        <f>IF(D986="","",VLOOKUP(D986,契約台帳!$A$3:$Q$4986,17,FALSE))</f>
        <v>2</v>
      </c>
      <c r="Y986" s="256" t="str">
        <f>IF(D986="","",VLOOKUP(D986,契約台帳!$A$3:$E$4986,5,FALSE))</f>
        <v>五洋紙工㈱</v>
      </c>
      <c r="Z986" s="310"/>
      <c r="AA986" s="200">
        <f>IFERROR(VLOOKUP(F986&amp;K986&amp;M986,製品マスタ!$M$5:$AM$4999,27,FALSE),"")</f>
        <v>0</v>
      </c>
      <c r="AB986" s="312"/>
      <c r="AC986" s="313"/>
      <c r="AD986" s="51" t="str">
        <f>IF(F986="","",+F986&amp;K986)</f>
        <v>3SNMLBMDMSJF50</v>
      </c>
      <c r="AE986" s="52">
        <f>+M986*N986*O986/1000</f>
        <v>8160</v>
      </c>
      <c r="AF986" s="41">
        <v>97</v>
      </c>
      <c r="AG986" s="45">
        <f>IF(AF986="","",+AE986*AF986/100)</f>
        <v>7915.2</v>
      </c>
      <c r="AH986" s="28"/>
      <c r="AI986" s="28"/>
      <c r="AJ986" s="28"/>
      <c r="AK986" s="28"/>
      <c r="AL986" s="12"/>
      <c r="AM986" s="12"/>
      <c r="AN986" s="12"/>
      <c r="AO986" s="12"/>
      <c r="AP986" s="12"/>
      <c r="AQ986" s="13"/>
      <c r="AR986" s="14"/>
    </row>
    <row r="987" spans="1:44" s="16" customFormat="1" ht="30.95" hidden="1" customHeight="1" x14ac:dyDescent="0.2">
      <c r="A987" s="303"/>
      <c r="B987" s="304"/>
      <c r="C987" s="305"/>
      <c r="D987" s="306"/>
      <c r="E987" s="306"/>
      <c r="F987" s="255"/>
      <c r="G987" s="256"/>
      <c r="H987" s="256"/>
      <c r="I987" s="200"/>
      <c r="J987" s="307"/>
      <c r="K987" s="200"/>
      <c r="L987" s="200"/>
      <c r="M987" s="308"/>
      <c r="N987" s="308"/>
      <c r="O987" s="309"/>
      <c r="P987" s="310"/>
      <c r="Q987" s="260"/>
      <c r="R987" s="261"/>
      <c r="S987" s="261"/>
      <c r="T987" s="311"/>
      <c r="U987" s="261"/>
      <c r="V987" s="256"/>
      <c r="W987" s="256"/>
      <c r="X987" s="256"/>
      <c r="Y987" s="256"/>
      <c r="Z987" s="310"/>
      <c r="AA987" s="200"/>
      <c r="AB987" s="312"/>
      <c r="AC987" s="313"/>
      <c r="AD987" s="51"/>
      <c r="AE987" s="314"/>
      <c r="AF987" s="315"/>
      <c r="AG987" s="309"/>
      <c r="AH987" s="28"/>
      <c r="AI987" s="28"/>
      <c r="AJ987" s="28"/>
      <c r="AK987" s="28"/>
      <c r="AL987" s="12"/>
      <c r="AM987" s="12"/>
      <c r="AN987" s="12"/>
      <c r="AO987" s="12"/>
      <c r="AP987" s="12"/>
      <c r="AQ987" s="13"/>
      <c r="AR987" s="14"/>
    </row>
    <row r="988" spans="1:44" s="16" customFormat="1" ht="30.95" hidden="1" customHeight="1" x14ac:dyDescent="0.2">
      <c r="A988" s="35"/>
      <c r="B988" s="36"/>
      <c r="C988" s="305"/>
      <c r="D988" s="29">
        <v>3731374</v>
      </c>
      <c r="E988" s="29">
        <v>4151518</v>
      </c>
      <c r="F988" s="255" t="str">
        <f>IF(D988="","",VLOOKUP(D988,契約台帳!$A$3:$K$4986,6,FALSE)&amp;VLOOKUP(D988,契約台帳!$A$3:$K$4986,7,FALSE)&amp;VLOOKUP(D988,契約台帳!$A$3:$K$4986,8,FALSE)&amp;VLOOKUP(D988,契約台帳!$A$3:$K$4986,9,FALSE)&amp;VLOOKUP(D988,契約台帳!$A$3:$K$4986,11,FALSE))</f>
        <v>3SYMLBMSBBF</v>
      </c>
      <c r="G988" s="256" t="str">
        <f>IF(D988="","",VLOOKUP(F988,製品マスタ!$G$5:$H$4999,2,FALSE))</f>
        <v>S</v>
      </c>
      <c r="H988" s="256" t="str">
        <f>IF(D988="","",VLOOKUP(F988,製品マスタ!$G$5:$K$4999,5,FALSE))</f>
        <v>MSBBF</v>
      </c>
      <c r="I988" s="200" t="str">
        <f>IF(D988="","",VLOOKUP(F988,製品マスタ!$G$5:$L$4999,6,FALSE))</f>
        <v>ＭＥＴＡＬＵＭＹ　ＳＩＬＶＥＲ　ＢＲＩＧＨＴ　Ｔ６２Ｍ　Ｂ</v>
      </c>
      <c r="J988" s="30" t="s">
        <v>447</v>
      </c>
      <c r="K988" s="200">
        <f>IF(D988="","",VLOOKUP(D988,契約台帳!$A$3:$L$4986,12,FALSE))</f>
        <v>50</v>
      </c>
      <c r="L988" s="200" t="str">
        <f>IF(D988="","",INDEX(製品マスタ!$Q$5:$Q$4999,MATCH(F988&amp;K988,製品マスタ!$AO$5:$AO$4999,0)))</f>
        <v>T62</v>
      </c>
      <c r="M988" s="37">
        <v>1120</v>
      </c>
      <c r="N988" s="37">
        <v>10000</v>
      </c>
      <c r="O988" s="45">
        <v>1</v>
      </c>
      <c r="P988" s="54"/>
      <c r="Q988" s="260">
        <f>IF(D988="","",IF(J988="リード付け",M988,VLOOKUP(D988,契約台帳!$A$3:$N$4986,14,FALSE)))</f>
        <v>1120</v>
      </c>
      <c r="R988" s="261">
        <f>IF(D988="","",IF(J988="リード付け",M988,VLOOKUP(D988,契約台帳!$A$3:$O$4986,15,FALSE)))</f>
        <v>1120</v>
      </c>
      <c r="S988" s="261">
        <f>IF(D988="","",IF(J988="リード付け",N988,VLOOKUP(D988,契約台帳!$A$3:$P$4986,16,FALSE)))</f>
        <v>5000</v>
      </c>
      <c r="T988" s="38">
        <v>2</v>
      </c>
      <c r="U988" s="261">
        <f ca="1">IF(D988="","",IF(OFFSET(D988,-2,0)=D988,"",VLOOKUP(D988,契約台帳!$A$3:$R$4986,18,FALSE)))</f>
        <v>2</v>
      </c>
      <c r="V988" s="256" t="str">
        <f>IF(J988="巻返し",VLOOKUP(F988&amp;K988&amp;M988,製品マスタ!$M$5:$AD$4999,18,FALSE),IF(J988="リード付け","原反コア",IF(J988="スリット",VLOOKUP(F988&amp;K988&amp;Q988,製品マスタ!$N$5:$AD$4999,17,FALSE),"")))</f>
        <v>6ｲﾝﾁSｺｱ</v>
      </c>
      <c r="W988" s="256">
        <f>IF(J988="巻返し",VLOOKUP(F988&amp;K988&amp;M988,製品マスタ!$M$5:$AE$4999,19,FALSE),IF(J988="リード付け","-",IF(J988="スリット",VLOOKUP(F988&amp;K988&amp;Q988,製品マスタ!$N$5:$AE$4999,18,FALSE),"")))</f>
        <v>1125</v>
      </c>
      <c r="X988" s="256">
        <f>IF(D988="","",VLOOKUP(D988,契約台帳!$A$3:$Q$4986,17,FALSE))</f>
        <v>2</v>
      </c>
      <c r="Y988" s="256" t="str">
        <f>IF(D988="","",VLOOKUP(D988,契約台帳!$A$3:$E$4986,5,FALSE))</f>
        <v>リンテック㈱</v>
      </c>
      <c r="Z988" s="310"/>
      <c r="AA988" s="200" t="str">
        <f>IFERROR(VLOOKUP(F988&amp;K988&amp;M988,製品マスタ!$M$5:$AM$4999,27,FALSE),"")</f>
        <v>原反ケース再利用</v>
      </c>
      <c r="AB988" s="312"/>
      <c r="AC988" s="313"/>
      <c r="AD988" s="51" t="str">
        <f>IF(F988="","",+F988&amp;K988)</f>
        <v>3SYMLBMSBBF50</v>
      </c>
      <c r="AE988" s="52">
        <f>+M988*N988*O988/1000</f>
        <v>11200</v>
      </c>
      <c r="AF988" s="41">
        <f>IF(AD988="","",VLOOKUP(AD988,原価マスタ!$A$2:$AJ$1693,13,FALSE))</f>
        <v>99</v>
      </c>
      <c r="AG988" s="45">
        <f>IF(AF988="","",+AE988*AF988/100)</f>
        <v>11088</v>
      </c>
      <c r="AH988" s="28"/>
      <c r="AI988" s="28"/>
      <c r="AJ988" s="28"/>
      <c r="AK988" s="28"/>
      <c r="AL988" s="12"/>
      <c r="AM988" s="12"/>
      <c r="AN988" s="12"/>
      <c r="AO988" s="12"/>
      <c r="AP988" s="12"/>
      <c r="AQ988" s="13"/>
      <c r="AR988" s="14"/>
    </row>
    <row r="989" spans="1:44" s="16" customFormat="1" ht="30.95" hidden="1" customHeight="1" x14ac:dyDescent="0.2">
      <c r="A989" s="303"/>
      <c r="B989" s="304"/>
      <c r="C989" s="305"/>
      <c r="D989" s="306"/>
      <c r="E989" s="306"/>
      <c r="F989" s="255"/>
      <c r="G989" s="256"/>
      <c r="H989" s="256"/>
      <c r="I989" s="200"/>
      <c r="J989" s="307"/>
      <c r="K989" s="200"/>
      <c r="L989" s="200"/>
      <c r="M989" s="308"/>
      <c r="N989" s="308"/>
      <c r="O989" s="309"/>
      <c r="P989" s="310"/>
      <c r="Q989" s="260"/>
      <c r="R989" s="261"/>
      <c r="S989" s="261"/>
      <c r="T989" s="311"/>
      <c r="U989" s="261"/>
      <c r="V989" s="256"/>
      <c r="W989" s="256"/>
      <c r="X989" s="256"/>
      <c r="Y989" s="256"/>
      <c r="Z989" s="310"/>
      <c r="AA989" s="200"/>
      <c r="AB989" s="312"/>
      <c r="AC989" s="313"/>
      <c r="AD989" s="51"/>
      <c r="AE989" s="314"/>
      <c r="AF989" s="315"/>
      <c r="AG989" s="309"/>
      <c r="AH989" s="28"/>
      <c r="AI989" s="28"/>
      <c r="AJ989" s="28"/>
      <c r="AK989" s="28"/>
      <c r="AL989" s="12"/>
      <c r="AM989" s="12"/>
      <c r="AN989" s="12"/>
      <c r="AO989" s="12"/>
      <c r="AP989" s="12"/>
      <c r="AQ989" s="13"/>
      <c r="AR989" s="14"/>
    </row>
    <row r="990" spans="1:44" s="16" customFormat="1" ht="30.95" hidden="1" customHeight="1" x14ac:dyDescent="0.2">
      <c r="A990" s="35"/>
      <c r="B990" s="36"/>
      <c r="C990" s="305"/>
      <c r="D990" s="29">
        <v>3731376</v>
      </c>
      <c r="E990" s="29">
        <v>4151519</v>
      </c>
      <c r="F990" s="255" t="str">
        <f>IF(D990="","",VLOOKUP(D990,契約台帳!$A$3:$K$4986,6,FALSE)&amp;VLOOKUP(D990,契約台帳!$A$3:$K$4986,7,FALSE)&amp;VLOOKUP(D990,契約台帳!$A$3:$K$4986,8,FALSE)&amp;VLOOKUP(D990,契約台帳!$A$3:$K$4986,9,FALSE)&amp;VLOOKUP(D990,契約台帳!$A$3:$K$4986,11,FALSE))</f>
        <v>3SYMLBMSBBF</v>
      </c>
      <c r="G990" s="256" t="str">
        <f>IF(D990="","",VLOOKUP(F990,製品マスタ!$G$5:$H$4999,2,FALSE))</f>
        <v>S</v>
      </c>
      <c r="H990" s="256" t="str">
        <f>IF(D990="","",VLOOKUP(F990,製品マスタ!$G$5:$K$4999,5,FALSE))</f>
        <v>MSBBF</v>
      </c>
      <c r="I990" s="200" t="str">
        <f>IF(D990="","",VLOOKUP(F990,製品マスタ!$G$5:$L$4999,6,FALSE))</f>
        <v>ＭＥＴＡＬＵＭＹ　ＳＩＬＶＥＲ　ＢＲＩＧＨＴ　Ｔ６２Ｍ　Ｂ</v>
      </c>
      <c r="J990" s="30" t="s">
        <v>447</v>
      </c>
      <c r="K990" s="200">
        <f>IF(D990="","",VLOOKUP(D990,契約台帳!$A$3:$L$4986,12,FALSE))</f>
        <v>50</v>
      </c>
      <c r="L990" s="200" t="str">
        <f>IF(D990="","",INDEX(製品マスタ!$Q$5:$Q$4999,MATCH(F990&amp;K990,製品マスタ!$AO$5:$AO$4999,0)))</f>
        <v>T62</v>
      </c>
      <c r="M990" s="37">
        <v>1120</v>
      </c>
      <c r="N990" s="37">
        <v>10000</v>
      </c>
      <c r="O990" s="45">
        <v>1</v>
      </c>
      <c r="P990" s="54"/>
      <c r="Q990" s="260">
        <f>IF(D990="","",IF(J990="リード付け",M990,VLOOKUP(D990,契約台帳!$A$3:$N$4986,14,FALSE)))</f>
        <v>1120</v>
      </c>
      <c r="R990" s="261">
        <f>IF(D990="","",IF(J990="リード付け",M990,VLOOKUP(D990,契約台帳!$A$3:$O$4986,15,FALSE)))</f>
        <v>1120</v>
      </c>
      <c r="S990" s="261">
        <f>IF(D990="","",IF(J990="リード付け",N990,VLOOKUP(D990,契約台帳!$A$3:$P$4986,16,FALSE)))</f>
        <v>5000</v>
      </c>
      <c r="T990" s="38">
        <v>2</v>
      </c>
      <c r="U990" s="261">
        <f ca="1">IF(D990="","",IF(OFFSET(D990,-2,0)=D990,"",VLOOKUP(D990,契約台帳!$A$3:$R$4986,18,FALSE)))</f>
        <v>2</v>
      </c>
      <c r="V990" s="256" t="str">
        <f>IF(J990="巻返し",VLOOKUP(F990&amp;K990&amp;M990,製品マスタ!$M$5:$AD$4999,18,FALSE),IF(J990="リード付け","原反コア",IF(J990="スリット",VLOOKUP(F990&amp;K990&amp;Q990,製品マスタ!$N$5:$AD$4999,17,FALSE),"")))</f>
        <v>6ｲﾝﾁSｺｱ</v>
      </c>
      <c r="W990" s="256">
        <f>IF(J990="巻返し",VLOOKUP(F990&amp;K990&amp;M990,製品マスタ!$M$5:$AE$4999,19,FALSE),IF(J990="リード付け","-",IF(J990="スリット",VLOOKUP(F990&amp;K990&amp;Q990,製品マスタ!$N$5:$AE$4999,18,FALSE),"")))</f>
        <v>1125</v>
      </c>
      <c r="X990" s="256">
        <f>IF(D990="","",VLOOKUP(D990,契約台帳!$A$3:$Q$4986,17,FALSE))</f>
        <v>2</v>
      </c>
      <c r="Y990" s="256" t="str">
        <f>IF(D990="","",VLOOKUP(D990,契約台帳!$A$3:$E$4986,5,FALSE))</f>
        <v>リンテック㈱</v>
      </c>
      <c r="Z990" s="310"/>
      <c r="AA990" s="200" t="str">
        <f>IFERROR(VLOOKUP(F990&amp;K990&amp;M990,製品マスタ!$M$5:$AM$4999,27,FALSE),"")</f>
        <v>原反ケース再利用</v>
      </c>
      <c r="AB990" s="312"/>
      <c r="AC990" s="313"/>
      <c r="AD990" s="51" t="str">
        <f>IF(F990="","",+F990&amp;K990)</f>
        <v>3SYMLBMSBBF50</v>
      </c>
      <c r="AE990" s="52">
        <f>+M990*N990*O990/1000</f>
        <v>11200</v>
      </c>
      <c r="AF990" s="41">
        <f>IF(AD990="","",VLOOKUP(AD990,原価マスタ!$A$2:$AJ$1693,13,FALSE))</f>
        <v>99</v>
      </c>
      <c r="AG990" s="45">
        <f>IF(AF990="","",+AE990*AF990/100)</f>
        <v>11088</v>
      </c>
      <c r="AH990" s="28"/>
      <c r="AI990" s="28"/>
      <c r="AJ990" s="28"/>
      <c r="AK990" s="28"/>
      <c r="AL990" s="12"/>
      <c r="AM990" s="12"/>
      <c r="AN990" s="12"/>
      <c r="AO990" s="12"/>
      <c r="AP990" s="12"/>
      <c r="AQ990" s="13"/>
      <c r="AR990" s="14"/>
    </row>
    <row r="991" spans="1:44" s="16" customFormat="1" ht="30.95" hidden="1" customHeight="1" x14ac:dyDescent="0.2">
      <c r="A991" s="303"/>
      <c r="B991" s="304"/>
      <c r="C991" s="305"/>
      <c r="D991" s="306"/>
      <c r="E991" s="306"/>
      <c r="F991" s="255"/>
      <c r="G991" s="256"/>
      <c r="H991" s="256"/>
      <c r="I991" s="200"/>
      <c r="J991" s="307"/>
      <c r="K991" s="200"/>
      <c r="L991" s="200"/>
      <c r="M991" s="308"/>
      <c r="N991" s="308"/>
      <c r="O991" s="309"/>
      <c r="P991" s="310"/>
      <c r="Q991" s="260"/>
      <c r="R991" s="261"/>
      <c r="S991" s="261"/>
      <c r="T991" s="311"/>
      <c r="U991" s="261"/>
      <c r="V991" s="256"/>
      <c r="W991" s="256"/>
      <c r="X991" s="256"/>
      <c r="Y991" s="256"/>
      <c r="Z991" s="310"/>
      <c r="AA991" s="200"/>
      <c r="AB991" s="312"/>
      <c r="AC991" s="313"/>
      <c r="AD991" s="51"/>
      <c r="AE991" s="314"/>
      <c r="AF991" s="315"/>
      <c r="AG991" s="309"/>
      <c r="AH991" s="28"/>
      <c r="AI991" s="28"/>
      <c r="AJ991" s="28"/>
      <c r="AK991" s="28"/>
      <c r="AL991" s="12"/>
      <c r="AM991" s="12"/>
      <c r="AN991" s="12"/>
      <c r="AO991" s="12"/>
      <c r="AP991" s="12"/>
      <c r="AQ991" s="13"/>
      <c r="AR991" s="14"/>
    </row>
    <row r="992" spans="1:44" s="16" customFormat="1" ht="30.95" hidden="1" customHeight="1" x14ac:dyDescent="0.2">
      <c r="A992" s="35"/>
      <c r="B992" s="36"/>
      <c r="C992" s="305"/>
      <c r="D992" s="29">
        <v>3731355</v>
      </c>
      <c r="E992" s="29">
        <v>4151516</v>
      </c>
      <c r="F992" s="255" t="str">
        <f>IF(D992="","",VLOOKUP(D992,契約台帳!$A$3:$K$4986,6,FALSE)&amp;VLOOKUP(D992,契約台帳!$A$3:$K$4986,7,FALSE)&amp;VLOOKUP(D992,契約台帳!$A$3:$K$4986,8,FALSE)&amp;VLOOKUP(D992,契約台帳!$A$3:$K$4986,9,FALSE)&amp;VLOOKUP(D992,契約台帳!$A$3:$K$4986,11,FALSE))</f>
        <v>3SNMLBMNGTBF</v>
      </c>
      <c r="G992" s="256" t="str">
        <f>IF(D992="","",VLOOKUP(F992,製品マスタ!$G$5:$H$4999,2,FALSE))</f>
        <v>S</v>
      </c>
      <c r="H992" s="256" t="str">
        <f>IF(D992="","",VLOOKUP(F992,製品マスタ!$G$5:$K$4999,5,FALSE))</f>
        <v>MNGTBF</v>
      </c>
      <c r="I992" s="200" t="str">
        <f>IF(D992="","",VLOOKUP(F992,製品マスタ!$G$5:$L$4999,6,FALSE))</f>
        <v>メタルミー　ネーマー　銀艶　Ｂ</v>
      </c>
      <c r="J992" s="30" t="s">
        <v>447</v>
      </c>
      <c r="K992" s="200">
        <f>IF(D992="","",VLOOKUP(D992,契約台帳!$A$3:$L$4986,12,FALSE))</f>
        <v>50</v>
      </c>
      <c r="L992" s="200" t="str">
        <f>IF(D992="","",INDEX(製品マスタ!$Q$5:$Q$4999,MATCH(F992&amp;K992,製品マスタ!$AO$5:$AO$4999,0)))</f>
        <v>T62</v>
      </c>
      <c r="M992" s="37">
        <v>1120</v>
      </c>
      <c r="N992" s="37">
        <v>10000</v>
      </c>
      <c r="O992" s="45">
        <v>3</v>
      </c>
      <c r="P992" s="54"/>
      <c r="Q992" s="260">
        <f>IF(D992="","",IF(J992="リード付け",M992,VLOOKUP(D992,契約台帳!$A$3:$N$4986,14,FALSE)))</f>
        <v>1120</v>
      </c>
      <c r="R992" s="261">
        <f>IF(D992="","",IF(J992="リード付け",M992,VLOOKUP(D992,契約台帳!$A$3:$O$4986,15,FALSE)))</f>
        <v>1120</v>
      </c>
      <c r="S992" s="261">
        <f>IF(D992="","",IF(J992="リード付け",N992,VLOOKUP(D992,契約台帳!$A$3:$P$4986,16,FALSE)))</f>
        <v>5000</v>
      </c>
      <c r="T992" s="38">
        <v>6</v>
      </c>
      <c r="U992" s="261">
        <f ca="1">IF(D992="","",IF(OFFSET(D992,-2,0)=D992,"",VLOOKUP(D992,契約台帳!$A$3:$R$4986,18,FALSE)))</f>
        <v>30</v>
      </c>
      <c r="V992" s="256" t="str">
        <f>IF(J992="巻返し",VLOOKUP(F992&amp;K992&amp;M992,製品マスタ!$M$5:$AD$4999,18,FALSE),IF(J992="リード付け","原反コア",IF(J992="スリット",VLOOKUP(F992&amp;K992&amp;Q992,製品マスタ!$N$5:$AD$4999,17,FALSE),"")))</f>
        <v>6ｲﾝﾁSｺｱ</v>
      </c>
      <c r="W992" s="256">
        <f>IF(J992="巻返し",VLOOKUP(F992&amp;K992&amp;M992,製品マスタ!$M$5:$AE$4999,19,FALSE),IF(J992="リード付け","-",IF(J992="スリット",VLOOKUP(F992&amp;K992&amp;Q992,製品マスタ!$N$5:$AE$4999,18,FALSE),"")))</f>
        <v>1125</v>
      </c>
      <c r="X992" s="256">
        <f>IF(D992="","",VLOOKUP(D992,契約台帳!$A$3:$Q$4986,17,FALSE))</f>
        <v>2</v>
      </c>
      <c r="Y992" s="256" t="str">
        <f>IF(D992="","",VLOOKUP(D992,契約台帳!$A$3:$E$4986,5,FALSE))</f>
        <v>リンテック㈱</v>
      </c>
      <c r="Z992" s="310"/>
      <c r="AA992" s="200" t="str">
        <f>IFERROR(VLOOKUP(F992&amp;K992&amp;M992,製品マスタ!$M$5:$AM$4999,27,FALSE),"")</f>
        <v>原反ケース再利用</v>
      </c>
      <c r="AB992" s="312"/>
      <c r="AC992" s="313"/>
      <c r="AD992" s="51" t="str">
        <f>IF(F992="","",+F992&amp;K992)</f>
        <v>3SNMLBMNGTBF50</v>
      </c>
      <c r="AE992" s="52">
        <f>+M992*N992*O992/1000</f>
        <v>33600</v>
      </c>
      <c r="AF992" s="41">
        <f>IF(AD992="","",VLOOKUP(AD992,原価マスタ!$A$2:$AJ$1693,13,FALSE))</f>
        <v>99</v>
      </c>
      <c r="AG992" s="45">
        <f>IF(AF992="","",+AE992*AF992/100)</f>
        <v>33264</v>
      </c>
      <c r="AH992" s="28"/>
      <c r="AI992" s="28"/>
      <c r="AJ992" s="28"/>
      <c r="AK992" s="28"/>
      <c r="AL992" s="12"/>
      <c r="AM992" s="12"/>
      <c r="AN992" s="12"/>
      <c r="AO992" s="12"/>
      <c r="AP992" s="12"/>
      <c r="AQ992" s="13"/>
      <c r="AR992" s="14"/>
    </row>
    <row r="993" spans="1:44" s="16" customFormat="1" ht="30.95" hidden="1" customHeight="1" x14ac:dyDescent="0.2">
      <c r="A993" s="303"/>
      <c r="B993" s="304"/>
      <c r="C993" s="305"/>
      <c r="D993" s="306"/>
      <c r="E993" s="306"/>
      <c r="F993" s="255"/>
      <c r="G993" s="256"/>
      <c r="H993" s="256"/>
      <c r="I993" s="200"/>
      <c r="J993" s="307"/>
      <c r="K993" s="200"/>
      <c r="L993" s="200"/>
      <c r="M993" s="308"/>
      <c r="N993" s="308"/>
      <c r="O993" s="309"/>
      <c r="P993" s="310"/>
      <c r="Q993" s="260"/>
      <c r="R993" s="261"/>
      <c r="S993" s="261"/>
      <c r="T993" s="311"/>
      <c r="U993" s="261"/>
      <c r="V993" s="256"/>
      <c r="W993" s="256"/>
      <c r="X993" s="256"/>
      <c r="Y993" s="256"/>
      <c r="Z993" s="310"/>
      <c r="AA993" s="200"/>
      <c r="AB993" s="312"/>
      <c r="AC993" s="313"/>
      <c r="AD993" s="51"/>
      <c r="AE993" s="314"/>
      <c r="AF993" s="315"/>
      <c r="AG993" s="309"/>
      <c r="AH993" s="28"/>
      <c r="AI993" s="28"/>
      <c r="AJ993" s="28"/>
      <c r="AK993" s="28"/>
      <c r="AL993" s="12"/>
      <c r="AM993" s="12"/>
      <c r="AN993" s="12"/>
      <c r="AO993" s="12"/>
      <c r="AP993" s="12"/>
      <c r="AQ993" s="13"/>
      <c r="AR993" s="14"/>
    </row>
    <row r="994" spans="1:44" s="16" customFormat="1" ht="30.95" hidden="1" customHeight="1" x14ac:dyDescent="0.2">
      <c r="A994" s="35" t="s">
        <v>650</v>
      </c>
      <c r="B994" s="36" t="s">
        <v>443</v>
      </c>
      <c r="C994" s="305"/>
      <c r="D994" s="29">
        <v>3731355</v>
      </c>
      <c r="E994" s="29">
        <v>4151516</v>
      </c>
      <c r="F994" s="255" t="str">
        <f>IF(D994="","",VLOOKUP(D994,契約台帳!$A$3:$K$4986,6,FALSE)&amp;VLOOKUP(D994,契約台帳!$A$3:$K$4986,7,FALSE)&amp;VLOOKUP(D994,契約台帳!$A$3:$K$4986,8,FALSE)&amp;VLOOKUP(D994,契約台帳!$A$3:$K$4986,9,FALSE)&amp;VLOOKUP(D994,契約台帳!$A$3:$K$4986,11,FALSE))</f>
        <v>3SNMLBMNGTBF</v>
      </c>
      <c r="G994" s="256" t="str">
        <f>IF(D994="","",VLOOKUP(F994,製品マスタ!$G$5:$H$4999,2,FALSE))</f>
        <v>S</v>
      </c>
      <c r="H994" s="256" t="str">
        <f>IF(D994="","",VLOOKUP(F994,製品マスタ!$G$5:$K$4999,5,FALSE))</f>
        <v>MNGTBF</v>
      </c>
      <c r="I994" s="200" t="str">
        <f>IF(D994="","",VLOOKUP(F994,製品マスタ!$G$5:$L$4999,6,FALSE))</f>
        <v>メタルミー　ネーマー　銀艶　Ｂ</v>
      </c>
      <c r="J994" s="30" t="s">
        <v>447</v>
      </c>
      <c r="K994" s="200">
        <f>IF(D994="","",VLOOKUP(D994,契約台帳!$A$3:$L$4986,12,FALSE))</f>
        <v>50</v>
      </c>
      <c r="L994" s="200" t="str">
        <f>IF(D994="","",INDEX(製品マスタ!$Q$5:$Q$4999,MATCH(F994&amp;K994,製品マスタ!$AO$5:$AO$4999,0)))</f>
        <v>T62</v>
      </c>
      <c r="M994" s="37">
        <v>1120</v>
      </c>
      <c r="N994" s="37">
        <v>10000</v>
      </c>
      <c r="O994" s="45">
        <v>5</v>
      </c>
      <c r="P994" s="54"/>
      <c r="Q994" s="260">
        <f>IF(D994="","",IF(J994="リード付け",M994,VLOOKUP(D994,契約台帳!$A$3:$N$4986,14,FALSE)))</f>
        <v>1120</v>
      </c>
      <c r="R994" s="261">
        <f>IF(D994="","",IF(J994="リード付け",M994,VLOOKUP(D994,契約台帳!$A$3:$O$4986,15,FALSE)))</f>
        <v>1120</v>
      </c>
      <c r="S994" s="261">
        <f>IF(D994="","",IF(J994="リード付け",N994,VLOOKUP(D994,契約台帳!$A$3:$P$4986,16,FALSE)))</f>
        <v>5000</v>
      </c>
      <c r="T994" s="38">
        <v>10</v>
      </c>
      <c r="U994" s="261" t="str">
        <f ca="1">IF(D994="","",IF(OFFSET(D994,-2,0)=D994,"",VLOOKUP(D994,契約台帳!$A$3:$R$4986,18,FALSE)))</f>
        <v/>
      </c>
      <c r="V994" s="256" t="str">
        <f>IF(J994="巻返し",VLOOKUP(F994&amp;K994&amp;M994,製品マスタ!$M$5:$AD$4999,18,FALSE),IF(J994="リード付け","原反コア",IF(J994="スリット",VLOOKUP(F994&amp;K994&amp;Q994,製品マスタ!$N$5:$AD$4999,17,FALSE),"")))</f>
        <v>6ｲﾝﾁSｺｱ</v>
      </c>
      <c r="W994" s="256">
        <f>IF(J994="巻返し",VLOOKUP(F994&amp;K994&amp;M994,製品マスタ!$M$5:$AE$4999,19,FALSE),IF(J994="リード付け","-",IF(J994="スリット",VLOOKUP(F994&amp;K994&amp;Q994,製品マスタ!$N$5:$AE$4999,18,FALSE),"")))</f>
        <v>1125</v>
      </c>
      <c r="X994" s="256">
        <f>IF(D994="","",VLOOKUP(D994,契約台帳!$A$3:$Q$4986,17,FALSE))</f>
        <v>2</v>
      </c>
      <c r="Y994" s="256" t="str">
        <f>IF(D994="","",VLOOKUP(D994,契約台帳!$A$3:$E$4986,5,FALSE))</f>
        <v>リンテック㈱</v>
      </c>
      <c r="Z994" s="310"/>
      <c r="AA994" s="200" t="str">
        <f>IFERROR(VLOOKUP(F994&amp;K994&amp;M994,製品マスタ!$M$5:$AM$4999,27,FALSE),"")</f>
        <v>原反ケース再利用</v>
      </c>
      <c r="AB994" s="312"/>
      <c r="AC994" s="313"/>
      <c r="AD994" s="51" t="str">
        <f>IF(F994="","",+F994&amp;K994)</f>
        <v>3SNMLBMNGTBF50</v>
      </c>
      <c r="AE994" s="52">
        <f>+M994*N994*O994/1000</f>
        <v>56000</v>
      </c>
      <c r="AF994" s="41">
        <f>IF(AD994="","",VLOOKUP(AD994,原価マスタ!$A$2:$AJ$1693,13,FALSE))</f>
        <v>99</v>
      </c>
      <c r="AG994" s="45">
        <f>IF(AF994="","",+AE994*AF994/100)</f>
        <v>55440</v>
      </c>
      <c r="AH994" s="28"/>
      <c r="AI994" s="28"/>
      <c r="AJ994" s="28"/>
      <c r="AK994" s="28"/>
      <c r="AL994" s="12"/>
      <c r="AM994" s="12"/>
      <c r="AN994" s="12"/>
      <c r="AO994" s="12"/>
      <c r="AP994" s="12"/>
      <c r="AQ994" s="13"/>
      <c r="AR994" s="14"/>
    </row>
    <row r="995" spans="1:44" s="16" customFormat="1" ht="30.95" hidden="1" customHeight="1" x14ac:dyDescent="0.2">
      <c r="A995" s="303"/>
      <c r="B995" s="304"/>
      <c r="C995" s="305"/>
      <c r="D995" s="306"/>
      <c r="E995" s="306"/>
      <c r="F995" s="255"/>
      <c r="G995" s="256"/>
      <c r="H995" s="256"/>
      <c r="I995" s="200"/>
      <c r="J995" s="307"/>
      <c r="K995" s="200"/>
      <c r="L995" s="200"/>
      <c r="M995" s="308"/>
      <c r="N995" s="308"/>
      <c r="O995" s="309"/>
      <c r="P995" s="310"/>
      <c r="Q995" s="260"/>
      <c r="R995" s="261"/>
      <c r="S995" s="261"/>
      <c r="T995" s="311"/>
      <c r="U995" s="261"/>
      <c r="V995" s="256"/>
      <c r="W995" s="256"/>
      <c r="X995" s="256"/>
      <c r="Y995" s="256"/>
      <c r="Z995" s="310"/>
      <c r="AA995" s="200"/>
      <c r="AB995" s="312"/>
      <c r="AC995" s="313"/>
      <c r="AD995" s="51"/>
      <c r="AE995" s="314"/>
      <c r="AF995" s="315"/>
      <c r="AG995" s="309"/>
      <c r="AH995" s="28"/>
      <c r="AI995" s="28"/>
      <c r="AJ995" s="28"/>
      <c r="AK995" s="28"/>
      <c r="AL995" s="12"/>
      <c r="AM995" s="12"/>
      <c r="AN995" s="12"/>
      <c r="AO995" s="12"/>
      <c r="AP995" s="12"/>
      <c r="AQ995" s="13"/>
      <c r="AR995" s="14"/>
    </row>
    <row r="996" spans="1:44" s="16" customFormat="1" ht="30.95" hidden="1" customHeight="1" x14ac:dyDescent="0.2">
      <c r="A996" s="35" t="s">
        <v>651</v>
      </c>
      <c r="B996" s="36" t="s">
        <v>444</v>
      </c>
      <c r="C996" s="305"/>
      <c r="D996" s="29">
        <v>3731355</v>
      </c>
      <c r="E996" s="29">
        <v>4151516</v>
      </c>
      <c r="F996" s="255" t="str">
        <f>IF(D996="","",VLOOKUP(D996,契約台帳!$A$3:$K$4986,6,FALSE)&amp;VLOOKUP(D996,契約台帳!$A$3:$K$4986,7,FALSE)&amp;VLOOKUP(D996,契約台帳!$A$3:$K$4986,8,FALSE)&amp;VLOOKUP(D996,契約台帳!$A$3:$K$4986,9,FALSE)&amp;VLOOKUP(D996,契約台帳!$A$3:$K$4986,11,FALSE))</f>
        <v>3SNMLBMNGTBF</v>
      </c>
      <c r="G996" s="256" t="str">
        <f>IF(D996="","",VLOOKUP(F996,製品マスタ!$G$5:$H$4999,2,FALSE))</f>
        <v>S</v>
      </c>
      <c r="H996" s="256" t="str">
        <f>IF(D996="","",VLOOKUP(F996,製品マスタ!$G$5:$K$4999,5,FALSE))</f>
        <v>MNGTBF</v>
      </c>
      <c r="I996" s="200" t="str">
        <f>IF(D996="","",VLOOKUP(F996,製品マスタ!$G$5:$L$4999,6,FALSE))</f>
        <v>メタルミー　ネーマー　銀艶　Ｂ</v>
      </c>
      <c r="J996" s="30" t="s">
        <v>447</v>
      </c>
      <c r="K996" s="200">
        <f>IF(D996="","",VLOOKUP(D996,契約台帳!$A$3:$L$4986,12,FALSE))</f>
        <v>50</v>
      </c>
      <c r="L996" s="200" t="str">
        <f>IF(D996="","",INDEX(製品マスタ!$Q$5:$Q$4999,MATCH(F996&amp;K996,製品マスタ!$AO$5:$AO$4999,0)))</f>
        <v>T62</v>
      </c>
      <c r="M996" s="37">
        <v>1120</v>
      </c>
      <c r="N996" s="37">
        <v>10000</v>
      </c>
      <c r="O996" s="45">
        <v>5</v>
      </c>
      <c r="P996" s="54"/>
      <c r="Q996" s="260">
        <f>IF(D996="","",IF(J996="リード付け",M996,VLOOKUP(D996,契約台帳!$A$3:$N$4986,14,FALSE)))</f>
        <v>1120</v>
      </c>
      <c r="R996" s="261">
        <f>IF(D996="","",IF(J996="リード付け",M996,VLOOKUP(D996,契約台帳!$A$3:$O$4986,15,FALSE)))</f>
        <v>1120</v>
      </c>
      <c r="S996" s="261">
        <f>IF(D996="","",IF(J996="リード付け",N996,VLOOKUP(D996,契約台帳!$A$3:$P$4986,16,FALSE)))</f>
        <v>5000</v>
      </c>
      <c r="T996" s="38">
        <v>10</v>
      </c>
      <c r="U996" s="261" t="str">
        <f ca="1">IF(D996="","",IF(OFFSET(D996,-2,0)=D996,"",VLOOKUP(D996,契約台帳!$A$3:$R$4986,18,FALSE)))</f>
        <v/>
      </c>
      <c r="V996" s="256" t="str">
        <f>IF(J996="巻返し",VLOOKUP(F996&amp;K996&amp;M996,製品マスタ!$M$5:$AD$4999,18,FALSE),IF(J996="リード付け","原反コア",IF(J996="スリット",VLOOKUP(F996&amp;K996&amp;Q996,製品マスタ!$N$5:$AD$4999,17,FALSE),"")))</f>
        <v>6ｲﾝﾁSｺｱ</v>
      </c>
      <c r="W996" s="256">
        <f>IF(J996="巻返し",VLOOKUP(F996&amp;K996&amp;M996,製品マスタ!$M$5:$AE$4999,19,FALSE),IF(J996="リード付け","-",IF(J996="スリット",VLOOKUP(F996&amp;K996&amp;Q996,製品マスタ!$N$5:$AE$4999,18,FALSE),"")))</f>
        <v>1125</v>
      </c>
      <c r="X996" s="256">
        <f>IF(D996="","",VLOOKUP(D996,契約台帳!$A$3:$Q$4986,17,FALSE))</f>
        <v>2</v>
      </c>
      <c r="Y996" s="256" t="str">
        <f>IF(D996="","",VLOOKUP(D996,契約台帳!$A$3:$E$4986,5,FALSE))</f>
        <v>リンテック㈱</v>
      </c>
      <c r="Z996" s="310"/>
      <c r="AA996" s="200" t="str">
        <f>IFERROR(VLOOKUP(F996&amp;K996&amp;M996,製品マスタ!$M$5:$AM$4999,27,FALSE),"")</f>
        <v>原反ケース再利用</v>
      </c>
      <c r="AB996" s="312"/>
      <c r="AC996" s="313"/>
      <c r="AD996" s="51" t="str">
        <f>IF(F996="","",+F996&amp;K996)</f>
        <v>3SNMLBMNGTBF50</v>
      </c>
      <c r="AE996" s="52">
        <f>+M996*N996*O996/1000</f>
        <v>56000</v>
      </c>
      <c r="AF996" s="41">
        <f>IF(AD996="","",VLOOKUP(AD996,原価マスタ!$A$2:$AJ$1693,13,FALSE))</f>
        <v>99</v>
      </c>
      <c r="AG996" s="45">
        <f>IF(AF996="","",+AE996*AF996/100)</f>
        <v>55440</v>
      </c>
      <c r="AH996" s="28"/>
      <c r="AI996" s="28"/>
      <c r="AJ996" s="28"/>
      <c r="AK996" s="28"/>
      <c r="AL996" s="12"/>
      <c r="AM996" s="12"/>
      <c r="AN996" s="12"/>
      <c r="AO996" s="12"/>
      <c r="AP996" s="12"/>
      <c r="AQ996" s="13"/>
      <c r="AR996" s="14"/>
    </row>
    <row r="997" spans="1:44" s="16" customFormat="1" ht="30.95" hidden="1" customHeight="1" x14ac:dyDescent="0.2">
      <c r="A997" s="303"/>
      <c r="B997" s="304"/>
      <c r="C997" s="305"/>
      <c r="D997" s="306"/>
      <c r="E997" s="306"/>
      <c r="F997" s="255"/>
      <c r="G997" s="256"/>
      <c r="H997" s="256"/>
      <c r="I997" s="200"/>
      <c r="J997" s="307"/>
      <c r="K997" s="200"/>
      <c r="L997" s="200"/>
      <c r="M997" s="308"/>
      <c r="N997" s="308"/>
      <c r="O997" s="309"/>
      <c r="P997" s="310"/>
      <c r="Q997" s="260"/>
      <c r="R997" s="261"/>
      <c r="S997" s="261"/>
      <c r="T997" s="311"/>
      <c r="U997" s="261"/>
      <c r="V997" s="256"/>
      <c r="W997" s="256"/>
      <c r="X997" s="256"/>
      <c r="Y997" s="256"/>
      <c r="Z997" s="310"/>
      <c r="AA997" s="200"/>
      <c r="AB997" s="312"/>
      <c r="AC997" s="313"/>
      <c r="AD997" s="51"/>
      <c r="AE997" s="314"/>
      <c r="AF997" s="315"/>
      <c r="AG997" s="309"/>
      <c r="AH997" s="28"/>
      <c r="AI997" s="28"/>
      <c r="AJ997" s="28"/>
      <c r="AK997" s="28"/>
      <c r="AL997" s="12"/>
      <c r="AM997" s="12"/>
      <c r="AN997" s="12"/>
      <c r="AO997" s="12"/>
      <c r="AP997" s="12"/>
      <c r="AQ997" s="13"/>
      <c r="AR997" s="14"/>
    </row>
    <row r="998" spans="1:44" s="16" customFormat="1" ht="30.95" hidden="1" customHeight="1" x14ac:dyDescent="0.2">
      <c r="A998" s="303" t="s">
        <v>1774</v>
      </c>
      <c r="B998" s="304" t="s">
        <v>1770</v>
      </c>
      <c r="C998" s="305"/>
      <c r="D998" s="306"/>
      <c r="E998" s="306"/>
      <c r="F998" s="255"/>
      <c r="G998" s="256"/>
      <c r="H998" s="256"/>
      <c r="I998" s="200"/>
      <c r="J998" s="307" t="s">
        <v>448</v>
      </c>
      <c r="K998" s="200"/>
      <c r="L998" s="200"/>
      <c r="M998" s="308"/>
      <c r="N998" s="308"/>
      <c r="O998" s="309"/>
      <c r="P998" s="310"/>
      <c r="Q998" s="260"/>
      <c r="R998" s="261"/>
      <c r="S998" s="261"/>
      <c r="T998" s="311"/>
      <c r="U998" s="261"/>
      <c r="V998" s="256"/>
      <c r="W998" s="256"/>
      <c r="X998" s="256"/>
      <c r="Y998" s="256"/>
      <c r="Z998" s="310"/>
      <c r="AA998" s="200"/>
      <c r="AB998" s="312"/>
      <c r="AC998" s="313"/>
      <c r="AD998" s="51"/>
      <c r="AE998" s="314"/>
      <c r="AF998" s="315"/>
      <c r="AG998" s="309"/>
      <c r="AH998" s="28"/>
      <c r="AI998" s="28"/>
      <c r="AJ998" s="28"/>
      <c r="AK998" s="28"/>
      <c r="AL998" s="12"/>
      <c r="AM998" s="12"/>
      <c r="AN998" s="12"/>
      <c r="AO998" s="12"/>
      <c r="AP998" s="12"/>
      <c r="AQ998" s="13"/>
      <c r="AR998" s="14"/>
    </row>
    <row r="999" spans="1:44" s="16" customFormat="1" ht="30.95" hidden="1" customHeight="1" x14ac:dyDescent="0.2">
      <c r="A999" s="303"/>
      <c r="B999" s="304"/>
      <c r="C999" s="305"/>
      <c r="D999" s="306"/>
      <c r="E999" s="306"/>
      <c r="F999" s="255"/>
      <c r="G999" s="256"/>
      <c r="H999" s="256"/>
      <c r="I999" s="200"/>
      <c r="J999" s="307"/>
      <c r="K999" s="200"/>
      <c r="L999" s="200"/>
      <c r="M999" s="308"/>
      <c r="N999" s="308"/>
      <c r="O999" s="309"/>
      <c r="P999" s="310"/>
      <c r="Q999" s="260"/>
      <c r="R999" s="261"/>
      <c r="S999" s="261"/>
      <c r="T999" s="311"/>
      <c r="U999" s="261"/>
      <c r="V999" s="256"/>
      <c r="W999" s="256"/>
      <c r="X999" s="256"/>
      <c r="Y999" s="256"/>
      <c r="Z999" s="310"/>
      <c r="AA999" s="200"/>
      <c r="AB999" s="312"/>
      <c r="AC999" s="313"/>
      <c r="AD999" s="51"/>
      <c r="AE999" s="314"/>
      <c r="AF999" s="315"/>
      <c r="AG999" s="309"/>
      <c r="AH999" s="28"/>
      <c r="AI999" s="28"/>
      <c r="AJ999" s="28"/>
      <c r="AK999" s="28"/>
      <c r="AL999" s="12"/>
      <c r="AM999" s="12"/>
      <c r="AN999" s="12"/>
      <c r="AO999" s="12"/>
      <c r="AP999" s="12"/>
      <c r="AQ999" s="13"/>
      <c r="AR999" s="14"/>
    </row>
    <row r="1000" spans="1:44" s="16" customFormat="1" ht="30.95" hidden="1" customHeight="1" x14ac:dyDescent="0.2">
      <c r="A1000" s="303" t="s">
        <v>1775</v>
      </c>
      <c r="B1000" s="304" t="s">
        <v>1772</v>
      </c>
      <c r="C1000" s="305"/>
      <c r="D1000" s="306"/>
      <c r="E1000" s="306"/>
      <c r="F1000" s="255"/>
      <c r="G1000" s="256"/>
      <c r="H1000" s="256"/>
      <c r="I1000" s="200"/>
      <c r="J1000" s="307" t="s">
        <v>448</v>
      </c>
      <c r="K1000" s="200"/>
      <c r="L1000" s="200"/>
      <c r="M1000" s="308"/>
      <c r="N1000" s="308"/>
      <c r="O1000" s="309"/>
      <c r="P1000" s="310"/>
      <c r="Q1000" s="260"/>
      <c r="R1000" s="261"/>
      <c r="S1000" s="261"/>
      <c r="T1000" s="311"/>
      <c r="U1000" s="261"/>
      <c r="V1000" s="256"/>
      <c r="W1000" s="256"/>
      <c r="X1000" s="256"/>
      <c r="Y1000" s="256"/>
      <c r="Z1000" s="310"/>
      <c r="AA1000" s="200"/>
      <c r="AB1000" s="312"/>
      <c r="AC1000" s="313"/>
      <c r="AD1000" s="51"/>
      <c r="AE1000" s="314"/>
      <c r="AF1000" s="315"/>
      <c r="AG1000" s="309"/>
      <c r="AH1000" s="28"/>
      <c r="AI1000" s="28"/>
      <c r="AJ1000" s="28"/>
      <c r="AK1000" s="28"/>
      <c r="AL1000" s="12"/>
      <c r="AM1000" s="12"/>
      <c r="AN1000" s="12"/>
      <c r="AO1000" s="12"/>
      <c r="AP1000" s="12"/>
      <c r="AQ1000" s="13"/>
      <c r="AR1000" s="14"/>
    </row>
    <row r="1001" spans="1:44" s="16" customFormat="1" ht="30.95" hidden="1" customHeight="1" x14ac:dyDescent="0.2">
      <c r="A1001" s="303"/>
      <c r="B1001" s="304"/>
      <c r="C1001" s="305"/>
      <c r="D1001" s="306"/>
      <c r="E1001" s="306"/>
      <c r="F1001" s="255"/>
      <c r="G1001" s="256"/>
      <c r="H1001" s="256"/>
      <c r="I1001" s="200"/>
      <c r="J1001" s="307"/>
      <c r="K1001" s="200"/>
      <c r="L1001" s="200"/>
      <c r="M1001" s="308"/>
      <c r="N1001" s="308"/>
      <c r="O1001" s="309"/>
      <c r="P1001" s="310"/>
      <c r="Q1001" s="260"/>
      <c r="R1001" s="261"/>
      <c r="S1001" s="261"/>
      <c r="T1001" s="311"/>
      <c r="U1001" s="261"/>
      <c r="V1001" s="256"/>
      <c r="W1001" s="256"/>
      <c r="X1001" s="256"/>
      <c r="Y1001" s="256"/>
      <c r="Z1001" s="310"/>
      <c r="AA1001" s="200"/>
      <c r="AB1001" s="312"/>
      <c r="AC1001" s="313"/>
      <c r="AD1001" s="51"/>
      <c r="AE1001" s="314"/>
      <c r="AF1001" s="315"/>
      <c r="AG1001" s="309"/>
      <c r="AH1001" s="28"/>
      <c r="AI1001" s="28"/>
      <c r="AJ1001" s="28"/>
      <c r="AK1001" s="28"/>
      <c r="AL1001" s="12"/>
      <c r="AM1001" s="12"/>
      <c r="AN1001" s="12"/>
      <c r="AO1001" s="12"/>
      <c r="AP1001" s="12"/>
      <c r="AQ1001" s="13"/>
      <c r="AR1001" s="14"/>
    </row>
    <row r="1002" spans="1:44" s="16" customFormat="1" ht="30.95" hidden="1" customHeight="1" x14ac:dyDescent="0.2">
      <c r="A1002" s="35" t="s">
        <v>652</v>
      </c>
      <c r="B1002" s="36" t="s">
        <v>462</v>
      </c>
      <c r="C1002" s="305"/>
      <c r="D1002" s="29">
        <v>3731355</v>
      </c>
      <c r="E1002" s="29">
        <v>4151516</v>
      </c>
      <c r="F1002" s="255" t="str">
        <f>IF(D1002="","",VLOOKUP(D1002,契約台帳!$A$3:$K$4986,6,FALSE)&amp;VLOOKUP(D1002,契約台帳!$A$3:$K$4986,7,FALSE)&amp;VLOOKUP(D1002,契約台帳!$A$3:$K$4986,8,FALSE)&amp;VLOOKUP(D1002,契約台帳!$A$3:$K$4986,9,FALSE)&amp;VLOOKUP(D1002,契約台帳!$A$3:$K$4986,11,FALSE))</f>
        <v>3SNMLBMNGTBF</v>
      </c>
      <c r="G1002" s="256" t="str">
        <f>IF(D1002="","",VLOOKUP(F1002,製品マスタ!$G$5:$H$4999,2,FALSE))</f>
        <v>S</v>
      </c>
      <c r="H1002" s="256" t="str">
        <f>IF(D1002="","",VLOOKUP(F1002,製品マスタ!$G$5:$K$4999,5,FALSE))</f>
        <v>MNGTBF</v>
      </c>
      <c r="I1002" s="200" t="str">
        <f>IF(D1002="","",VLOOKUP(F1002,製品マスタ!$G$5:$L$4999,6,FALSE))</f>
        <v>メタルミー　ネーマー　銀艶　Ｂ</v>
      </c>
      <c r="J1002" s="30" t="s">
        <v>447</v>
      </c>
      <c r="K1002" s="200">
        <f>IF(D1002="","",VLOOKUP(D1002,契約台帳!$A$3:$L$4986,12,FALSE))</f>
        <v>50</v>
      </c>
      <c r="L1002" s="200" t="str">
        <f>IF(D1002="","",INDEX(製品マスタ!$Q$5:$Q$4999,MATCH(F1002&amp;K1002,製品マスタ!$AO$5:$AO$4999,0)))</f>
        <v>T62</v>
      </c>
      <c r="M1002" s="37">
        <v>1120</v>
      </c>
      <c r="N1002" s="37">
        <v>10000</v>
      </c>
      <c r="O1002" s="45">
        <v>1</v>
      </c>
      <c r="P1002" s="54"/>
      <c r="Q1002" s="260">
        <f>IF(D1002="","",IF(J1002="リード付け",M1002,VLOOKUP(D1002,契約台帳!$A$3:$N$4986,14,FALSE)))</f>
        <v>1120</v>
      </c>
      <c r="R1002" s="261">
        <f>IF(D1002="","",IF(J1002="リード付け",M1002,VLOOKUP(D1002,契約台帳!$A$3:$O$4986,15,FALSE)))</f>
        <v>1120</v>
      </c>
      <c r="S1002" s="261">
        <f>IF(D1002="","",IF(J1002="リード付け",N1002,VLOOKUP(D1002,契約台帳!$A$3:$P$4986,16,FALSE)))</f>
        <v>5000</v>
      </c>
      <c r="T1002" s="38">
        <v>2</v>
      </c>
      <c r="U1002" s="261">
        <f ca="1">IF(D1002="","",IF(OFFSET(D1002,-2,0)=D1002,"",VLOOKUP(D1002,契約台帳!$A$3:$R$4986,18,FALSE)))</f>
        <v>30</v>
      </c>
      <c r="V1002" s="256" t="str">
        <f>IF(J1002="巻返し",VLOOKUP(F1002&amp;K1002&amp;M1002,製品マスタ!$M$5:$AD$4999,18,FALSE),IF(J1002="リード付け","原反コア",IF(J1002="スリット",VLOOKUP(F1002&amp;K1002&amp;Q1002,製品マスタ!$N$5:$AD$4999,17,FALSE),"")))</f>
        <v>6ｲﾝﾁSｺｱ</v>
      </c>
      <c r="W1002" s="256">
        <f>IF(J1002="巻返し",VLOOKUP(F1002&amp;K1002&amp;M1002,製品マスタ!$M$5:$AE$4999,19,FALSE),IF(J1002="リード付け","-",IF(J1002="スリット",VLOOKUP(F1002&amp;K1002&amp;Q1002,製品マスタ!$N$5:$AE$4999,18,FALSE),"")))</f>
        <v>1125</v>
      </c>
      <c r="X1002" s="256">
        <f>IF(D1002="","",VLOOKUP(D1002,契約台帳!$A$3:$Q$4986,17,FALSE))</f>
        <v>2</v>
      </c>
      <c r="Y1002" s="256" t="str">
        <f>IF(D1002="","",VLOOKUP(D1002,契約台帳!$A$3:$E$4986,5,FALSE))</f>
        <v>リンテック㈱</v>
      </c>
      <c r="Z1002" s="310"/>
      <c r="AA1002" s="200" t="str">
        <f>IFERROR(VLOOKUP(F1002&amp;K1002&amp;M1002,製品マスタ!$M$5:$AM$4999,27,FALSE),"")</f>
        <v>原反ケース再利用</v>
      </c>
      <c r="AB1002" s="312"/>
      <c r="AC1002" s="313"/>
      <c r="AD1002" s="51" t="str">
        <f>IF(F1002="","",+F1002&amp;K1002)</f>
        <v>3SNMLBMNGTBF50</v>
      </c>
      <c r="AE1002" s="52">
        <f>+M1002*N1002*O1002/1000</f>
        <v>11200</v>
      </c>
      <c r="AF1002" s="41">
        <f>IF(AD1002="","",VLOOKUP(AD1002,原価マスタ!$A$2:$AJ$1693,13,FALSE))</f>
        <v>99</v>
      </c>
      <c r="AG1002" s="45">
        <f>IF(AF1002="","",+AE1002*AF1002/100)</f>
        <v>11088</v>
      </c>
      <c r="AH1002" s="28"/>
      <c r="AI1002" s="28"/>
      <c r="AJ1002" s="28"/>
      <c r="AK1002" s="28"/>
      <c r="AL1002" s="12"/>
      <c r="AM1002" s="12"/>
      <c r="AN1002" s="12"/>
      <c r="AO1002" s="12"/>
      <c r="AP1002" s="12"/>
      <c r="AQ1002" s="13"/>
      <c r="AR1002" s="14"/>
    </row>
    <row r="1003" spans="1:44" s="16" customFormat="1" ht="30.95" hidden="1" customHeight="1" x14ac:dyDescent="0.2">
      <c r="A1003" s="303"/>
      <c r="B1003" s="304"/>
      <c r="C1003" s="305"/>
      <c r="D1003" s="306"/>
      <c r="E1003" s="306"/>
      <c r="F1003" s="255"/>
      <c r="G1003" s="256"/>
      <c r="H1003" s="256"/>
      <c r="I1003" s="200"/>
      <c r="J1003" s="307"/>
      <c r="K1003" s="200"/>
      <c r="L1003" s="200"/>
      <c r="M1003" s="308"/>
      <c r="N1003" s="308"/>
      <c r="O1003" s="309"/>
      <c r="P1003" s="310"/>
      <c r="Q1003" s="260"/>
      <c r="R1003" s="261"/>
      <c r="S1003" s="261"/>
      <c r="T1003" s="311"/>
      <c r="U1003" s="261"/>
      <c r="V1003" s="256"/>
      <c r="W1003" s="256"/>
      <c r="X1003" s="256"/>
      <c r="Y1003" s="256"/>
      <c r="Z1003" s="310"/>
      <c r="AA1003" s="200"/>
      <c r="AB1003" s="312"/>
      <c r="AC1003" s="313"/>
      <c r="AD1003" s="51"/>
      <c r="AE1003" s="314"/>
      <c r="AF1003" s="315"/>
      <c r="AG1003" s="309"/>
      <c r="AH1003" s="28"/>
      <c r="AI1003" s="28"/>
      <c r="AJ1003" s="28"/>
      <c r="AK1003" s="28"/>
      <c r="AL1003" s="12"/>
      <c r="AM1003" s="12"/>
      <c r="AN1003" s="12"/>
      <c r="AO1003" s="12"/>
      <c r="AP1003" s="12"/>
      <c r="AQ1003" s="13"/>
      <c r="AR1003" s="14"/>
    </row>
    <row r="1004" spans="1:44" s="16" customFormat="1" ht="30.95" hidden="1" customHeight="1" x14ac:dyDescent="0.2">
      <c r="A1004" s="35"/>
      <c r="B1004" s="36"/>
      <c r="C1004" s="305"/>
      <c r="D1004" s="306">
        <v>3731357</v>
      </c>
      <c r="E1004" s="29">
        <v>4141054</v>
      </c>
      <c r="F1004" s="255" t="str">
        <f>IF(D1004="","",VLOOKUP(D1004,契約台帳!$A$3:$K$4986,6,FALSE)&amp;VLOOKUP(D1004,契約台帳!$A$3:$K$4986,7,FALSE)&amp;VLOOKUP(D1004,契約台帳!$A$3:$K$4986,8,FALSE)&amp;VLOOKUP(D1004,契約台帳!$A$3:$K$4986,9,FALSE)&amp;VLOOKUP(D1004,契約台帳!$A$3:$K$4986,11,FALSE))</f>
        <v>3SNMLBMNNGKBF</v>
      </c>
      <c r="G1004" s="256" t="str">
        <f>IF(D1004="","",VLOOKUP(F1004,製品マスタ!$G$5:$H$4999,2,FALSE))</f>
        <v>S</v>
      </c>
      <c r="H1004" s="256" t="str">
        <f>IF(D1004="","",VLOOKUP(F1004,製品マスタ!$G$5:$K$4999,5,FALSE))</f>
        <v>MNNGKBF</v>
      </c>
      <c r="I1004" s="200" t="str">
        <f>IF(D1004="","",VLOOKUP(F1004,製品マスタ!$G$5:$L$4999,6,FALSE))</f>
        <v>メタルミー　ニューネーマー銀消　Ｂ</v>
      </c>
      <c r="J1004" s="30" t="s">
        <v>447</v>
      </c>
      <c r="K1004" s="200">
        <f>IF(D1004="","",VLOOKUP(D1004,契約台帳!$A$3:$L$4986,12,FALSE))</f>
        <v>25</v>
      </c>
      <c r="L1004" s="200" t="str">
        <f>IF(D1004="","",INDEX(製品マスタ!$Q$5:$Q$4999,MATCH(F1004&amp;K1004,製品マスタ!$AO$5:$AO$4999,0)))</f>
        <v>X44C</v>
      </c>
      <c r="M1004" s="37">
        <v>1005</v>
      </c>
      <c r="N1004" s="37">
        <v>8000</v>
      </c>
      <c r="O1004" s="45">
        <v>1</v>
      </c>
      <c r="P1004" s="54"/>
      <c r="Q1004" s="260">
        <f>IF(D1004="","",IF(J1004="リード付け",M1004,VLOOKUP(D1004,契約台帳!$A$3:$N$4986,14,FALSE)))</f>
        <v>1005</v>
      </c>
      <c r="R1004" s="261">
        <f>IF(D1004="","",IF(J1004="リード付け",M1004,VLOOKUP(D1004,契約台帳!$A$3:$O$4986,15,FALSE)))</f>
        <v>1000</v>
      </c>
      <c r="S1004" s="261">
        <f>IF(D1004="","",IF(J1004="リード付け",N1004,VLOOKUP(D1004,契約台帳!$A$3:$P$4986,16,FALSE)))</f>
        <v>4000</v>
      </c>
      <c r="T1004" s="38">
        <v>2</v>
      </c>
      <c r="U1004" s="261">
        <f ca="1">IF(D1004="","",IF(OFFSET(D1004,-2,0)=D1004,"",VLOOKUP(D1004,契約台帳!$A$3:$R$4986,18,FALSE)))</f>
        <v>2</v>
      </c>
      <c r="V1004" s="256" t="str">
        <f>IF(J1004="巻返し",VLOOKUP(F1004&amp;K1004&amp;M1004,製品マスタ!$M$5:$AD$4999,18,FALSE),IF(J1004="リード付け","原反コア",IF(J1004="スリット",VLOOKUP(F1004&amp;K1004&amp;Q1004,製品マスタ!$N$5:$AD$4999,17,FALSE),"")))</f>
        <v>6ｲﾝﾁSｺｱ</v>
      </c>
      <c r="W1004" s="256">
        <f>IF(J1004="巻返し",VLOOKUP(F1004&amp;K1004&amp;M1004,製品マスタ!$M$5:$AE$4999,19,FALSE),IF(J1004="リード付け","-",IF(J1004="スリット",VLOOKUP(F1004&amp;K1004&amp;Q1004,製品マスタ!$N$5:$AE$4999,18,FALSE),"")))</f>
        <v>1015</v>
      </c>
      <c r="X1004" s="256">
        <f>IF(D1004="","",VLOOKUP(D1004,契約台帳!$A$3:$Q$4986,17,FALSE))</f>
        <v>2</v>
      </c>
      <c r="Y1004" s="256" t="str">
        <f>IF(D1004="","",VLOOKUP(D1004,契約台帳!$A$3:$E$4986,5,FALSE))</f>
        <v>リンテック㈱</v>
      </c>
      <c r="Z1004" s="310"/>
      <c r="AA1004" s="200" t="s">
        <v>1809</v>
      </c>
      <c r="AB1004" s="312"/>
      <c r="AC1004" s="313"/>
      <c r="AD1004" s="51" t="str">
        <f>IF(F1004="","",+F1004&amp;K1004)</f>
        <v>3SNMLBMNNGKBF25</v>
      </c>
      <c r="AE1004" s="314">
        <f>+M1004*N1004*O1004/1000</f>
        <v>8040</v>
      </c>
      <c r="AF1004" s="315">
        <f>IF(AD1004="","",VLOOKUP(AD1004,原価マスタ!$A$2:$AJ$1693,13,FALSE))</f>
        <v>98.3</v>
      </c>
      <c r="AG1004" s="309">
        <f>IF(AF1004="","",+AE1004*AF1004/100)</f>
        <v>7903.32</v>
      </c>
      <c r="AH1004" s="28"/>
      <c r="AI1004" s="28"/>
      <c r="AJ1004" s="28"/>
      <c r="AK1004" s="28"/>
      <c r="AL1004" s="12"/>
      <c r="AM1004" s="12"/>
      <c r="AN1004" s="12"/>
      <c r="AO1004" s="12"/>
      <c r="AP1004" s="12"/>
      <c r="AQ1004" s="13"/>
      <c r="AR1004" s="14"/>
    </row>
    <row r="1005" spans="1:44" s="16" customFormat="1" ht="30.95" hidden="1" customHeight="1" x14ac:dyDescent="0.2">
      <c r="A1005" s="303"/>
      <c r="B1005" s="304"/>
      <c r="C1005" s="305"/>
      <c r="D1005" s="306"/>
      <c r="E1005" s="306"/>
      <c r="F1005" s="255"/>
      <c r="G1005" s="256"/>
      <c r="H1005" s="256"/>
      <c r="I1005" s="200"/>
      <c r="J1005" s="307"/>
      <c r="K1005" s="200"/>
      <c r="L1005" s="200"/>
      <c r="M1005" s="308"/>
      <c r="N1005" s="308"/>
      <c r="O1005" s="309"/>
      <c r="P1005" s="310"/>
      <c r="Q1005" s="260"/>
      <c r="R1005" s="261"/>
      <c r="S1005" s="261"/>
      <c r="T1005" s="311"/>
      <c r="U1005" s="261"/>
      <c r="V1005" s="256"/>
      <c r="W1005" s="256"/>
      <c r="X1005" s="256"/>
      <c r="Y1005" s="256"/>
      <c r="Z1005" s="310"/>
      <c r="AA1005" s="200"/>
      <c r="AB1005" s="312"/>
      <c r="AC1005" s="313"/>
      <c r="AD1005" s="51"/>
      <c r="AE1005" s="314"/>
      <c r="AF1005" s="315"/>
      <c r="AG1005" s="309"/>
      <c r="AH1005" s="28"/>
      <c r="AI1005" s="28"/>
      <c r="AJ1005" s="28"/>
      <c r="AK1005" s="28"/>
      <c r="AL1005" s="12"/>
      <c r="AM1005" s="12"/>
      <c r="AN1005" s="12"/>
      <c r="AO1005" s="12"/>
      <c r="AP1005" s="12"/>
      <c r="AQ1005" s="13"/>
      <c r="AR1005" s="14"/>
    </row>
    <row r="1006" spans="1:44" s="16" customFormat="1" ht="30.95" hidden="1" customHeight="1" x14ac:dyDescent="0.2">
      <c r="A1006" s="35"/>
      <c r="B1006" s="36"/>
      <c r="C1006" s="305"/>
      <c r="D1006" s="29">
        <v>3731348</v>
      </c>
      <c r="E1006" s="29">
        <v>4151511</v>
      </c>
      <c r="F1006" s="255" t="str">
        <f>IF(D1006="","",VLOOKUP(D1006,契約台帳!$A$3:$K$4986,6,FALSE)&amp;VLOOKUP(D1006,契約台帳!$A$3:$K$4986,7,FALSE)&amp;VLOOKUP(D1006,契約台帳!$A$3:$K$4986,8,FALSE)&amp;VLOOKUP(D1006,契約台帳!$A$3:$K$4986,9,FALSE)&amp;VLOOKUP(D1006,契約台帳!$A$3:$K$4986,11,FALSE))</f>
        <v>3SNMLBMNGKKBF</v>
      </c>
      <c r="G1006" s="256" t="str">
        <f>IF(D1006="","",VLOOKUP(F1006,製品マスタ!$G$5:$H$4999,2,FALSE))</f>
        <v>S</v>
      </c>
      <c r="H1006" s="256" t="str">
        <f>IF(D1006="","",VLOOKUP(F1006,製品マスタ!$G$5:$K$4999,5,FALSE))</f>
        <v>MNGKKBF</v>
      </c>
      <c r="I1006" s="200" t="str">
        <f>IF(D1006="","",VLOOKUP(F1006,製品マスタ!$G$5:$L$4999,6,FALSE))</f>
        <v>メタルミー　ネーマー銀消改　Ｂ</v>
      </c>
      <c r="J1006" s="30" t="s">
        <v>447</v>
      </c>
      <c r="K1006" s="200">
        <f>IF(D1006="","",VLOOKUP(D1006,契約台帳!$A$3:$L$4986,12,FALSE))</f>
        <v>25</v>
      </c>
      <c r="L1006" s="200" t="str">
        <f>IF(D1006="","",INDEX(製品マスタ!$Q$5:$Q$4999,MATCH(F1006&amp;K1006,製品マスタ!$AO$5:$AO$4999,0)))</f>
        <v>FMATS99</v>
      </c>
      <c r="M1006" s="37">
        <v>1120</v>
      </c>
      <c r="N1006" s="37">
        <v>12000</v>
      </c>
      <c r="O1006" s="45">
        <v>2</v>
      </c>
      <c r="P1006" s="54"/>
      <c r="Q1006" s="260">
        <f>IF(D1006="","",IF(J1006="リード付け",M1006,VLOOKUP(D1006,契約台帳!$A$3:$N$4986,14,FALSE)))</f>
        <v>1120</v>
      </c>
      <c r="R1006" s="261">
        <f>IF(D1006="","",IF(J1006="リード付け",M1006,VLOOKUP(D1006,契約台帳!$A$3:$O$4986,15,FALSE)))</f>
        <v>1120</v>
      </c>
      <c r="S1006" s="261">
        <f>IF(D1006="","",IF(J1006="リード付け",N1006,VLOOKUP(D1006,契約台帳!$A$3:$P$4986,16,FALSE)))</f>
        <v>4000</v>
      </c>
      <c r="T1006" s="38">
        <v>6</v>
      </c>
      <c r="U1006" s="261">
        <f ca="1">IF(D1006="","",IF(OFFSET(D1006,-2,0)=D1006,"",VLOOKUP(D1006,契約台帳!$A$3:$R$4986,18,FALSE)))</f>
        <v>6</v>
      </c>
      <c r="V1006" s="256" t="str">
        <f>IF(J1006="巻返し",VLOOKUP(F1006&amp;K1006&amp;M1006,製品マスタ!$M$5:$AD$4999,18,FALSE),IF(J1006="リード付け","原反コア",IF(J1006="スリット",VLOOKUP(F1006&amp;K1006&amp;Q1006,製品マスタ!$N$5:$AD$4999,17,FALSE),"")))</f>
        <v>6ｲﾝﾁSｺｱ</v>
      </c>
      <c r="W1006" s="256">
        <f>IF(J1006="巻返し",VLOOKUP(F1006&amp;K1006&amp;M1006,製品マスタ!$M$5:$AE$4999,19,FALSE),IF(J1006="リード付け","-",IF(J1006="スリット",VLOOKUP(F1006&amp;K1006&amp;Q1006,製品マスタ!$N$5:$AE$4999,18,FALSE),"")))</f>
        <v>1125</v>
      </c>
      <c r="X1006" s="256">
        <f>IF(D1006="","",VLOOKUP(D1006,契約台帳!$A$3:$Q$4986,17,FALSE))</f>
        <v>2</v>
      </c>
      <c r="Y1006" s="256" t="str">
        <f>IF(D1006="","",VLOOKUP(D1006,契約台帳!$A$3:$E$4986,5,FALSE))</f>
        <v>リンテック㈱</v>
      </c>
      <c r="Z1006" s="310"/>
      <c r="AA1006" s="200">
        <f>IFERROR(VLOOKUP(F1006&amp;K1006&amp;M1006,製品マスタ!$M$5:$AM$4999,27,FALSE),"")</f>
        <v>0</v>
      </c>
      <c r="AB1006" s="312"/>
      <c r="AC1006" s="313"/>
      <c r="AD1006" s="51" t="str">
        <f>IF(F1006="","",+F1006&amp;K1006)</f>
        <v>3SNMLBMNGKKBF25</v>
      </c>
      <c r="AE1006" s="52">
        <f>+M1006*N1006*O1006/1000</f>
        <v>26880</v>
      </c>
      <c r="AF1006" s="41">
        <f>IF(AD1006="","",VLOOKUP(AD1006,原価マスタ!$A$2:$AJ$1693,13,FALSE))</f>
        <v>96</v>
      </c>
      <c r="AG1006" s="45">
        <f>IF(AF1006="","",+AE1006*AF1006/100)</f>
        <v>25804.799999999999</v>
      </c>
      <c r="AH1006" s="28"/>
      <c r="AI1006" s="28"/>
      <c r="AJ1006" s="28"/>
      <c r="AK1006" s="28"/>
      <c r="AL1006" s="12"/>
      <c r="AM1006" s="12"/>
      <c r="AN1006" s="12"/>
      <c r="AO1006" s="12"/>
      <c r="AP1006" s="12"/>
      <c r="AQ1006" s="13"/>
      <c r="AR1006" s="14"/>
    </row>
    <row r="1007" spans="1:44" s="16" customFormat="1" ht="30.95" hidden="1" customHeight="1" x14ac:dyDescent="0.2">
      <c r="A1007" s="303"/>
      <c r="B1007" s="304"/>
      <c r="C1007" s="305"/>
      <c r="D1007" s="306"/>
      <c r="E1007" s="306"/>
      <c r="F1007" s="255"/>
      <c r="G1007" s="256"/>
      <c r="H1007" s="256"/>
      <c r="I1007" s="200"/>
      <c r="J1007" s="307"/>
      <c r="K1007" s="200"/>
      <c r="L1007" s="200"/>
      <c r="M1007" s="308"/>
      <c r="N1007" s="308"/>
      <c r="O1007" s="309"/>
      <c r="P1007" s="310"/>
      <c r="Q1007" s="260"/>
      <c r="R1007" s="261"/>
      <c r="S1007" s="261"/>
      <c r="T1007" s="311"/>
      <c r="U1007" s="261"/>
      <c r="V1007" s="256"/>
      <c r="W1007" s="256"/>
      <c r="X1007" s="256"/>
      <c r="Y1007" s="256"/>
      <c r="Z1007" s="310"/>
      <c r="AA1007" s="200"/>
      <c r="AB1007" s="312"/>
      <c r="AC1007" s="313"/>
      <c r="AD1007" s="51"/>
      <c r="AE1007" s="314"/>
      <c r="AF1007" s="315"/>
      <c r="AG1007" s="309"/>
      <c r="AH1007" s="28"/>
      <c r="AI1007" s="28"/>
      <c r="AJ1007" s="28"/>
      <c r="AK1007" s="28"/>
      <c r="AL1007" s="12"/>
      <c r="AM1007" s="12"/>
      <c r="AN1007" s="12"/>
      <c r="AO1007" s="12"/>
      <c r="AP1007" s="12"/>
      <c r="AQ1007" s="13"/>
      <c r="AR1007" s="14"/>
    </row>
    <row r="1008" spans="1:44" s="16" customFormat="1" ht="30.95" hidden="1" customHeight="1" x14ac:dyDescent="0.2">
      <c r="A1008" s="35" t="s">
        <v>653</v>
      </c>
      <c r="B1008" s="36" t="s">
        <v>688</v>
      </c>
      <c r="C1008" s="305"/>
      <c r="D1008" s="29">
        <v>3731351</v>
      </c>
      <c r="E1008" s="29">
        <v>4151509</v>
      </c>
      <c r="F1008" s="255" t="str">
        <f>IF(D1008="","",VLOOKUP(D1008,契約台帳!$A$3:$K$4986,6,FALSE)&amp;VLOOKUP(D1008,契約台帳!$A$3:$K$4986,7,FALSE)&amp;VLOOKUP(D1008,契約台帳!$A$3:$K$4986,8,FALSE)&amp;VLOOKUP(D1008,契約台帳!$A$3:$K$4986,9,FALSE)&amp;VLOOKUP(D1008,契約台帳!$A$3:$K$4986,11,FALSE))</f>
        <v>3SNMLBMNGKBF</v>
      </c>
      <c r="G1008" s="256" t="str">
        <f>IF(D1008="","",VLOOKUP(F1008,製品マスタ!$G$5:$H$4999,2,FALSE))</f>
        <v>S</v>
      </c>
      <c r="H1008" s="256" t="str">
        <f>IF(D1008="","",VLOOKUP(F1008,製品マスタ!$G$5:$K$4999,5,FALSE))</f>
        <v>MNGKBF</v>
      </c>
      <c r="I1008" s="200" t="str">
        <f>IF(D1008="","",VLOOKUP(F1008,製品マスタ!$G$5:$L$4999,6,FALSE))</f>
        <v>メタルミー　ネーマー銀消　Ｂ</v>
      </c>
      <c r="J1008" s="30" t="s">
        <v>447</v>
      </c>
      <c r="K1008" s="200">
        <f>IF(D1008="","",VLOOKUP(D1008,契約台帳!$A$3:$L$4986,12,FALSE))</f>
        <v>50</v>
      </c>
      <c r="L1008" s="200" t="str">
        <f>IF(D1008="","",INDEX(製品マスタ!$Q$5:$Q$4999,MATCH(F1008&amp;K1008,製品マスタ!$AO$5:$AO$4999,0)))</f>
        <v>MAT</v>
      </c>
      <c r="M1008" s="37">
        <v>1050</v>
      </c>
      <c r="N1008" s="37">
        <v>12300</v>
      </c>
      <c r="O1008" s="45">
        <v>1</v>
      </c>
      <c r="P1008" s="54"/>
      <c r="Q1008" s="260">
        <f>IF(D1008="","",IF(J1008="リード付け",M1008,VLOOKUP(D1008,契約台帳!$A$3:$N$4986,14,FALSE)))</f>
        <v>1050</v>
      </c>
      <c r="R1008" s="261">
        <f>IF(D1008="","",IF(J1008="リード付け",M1008,VLOOKUP(D1008,契約台帳!$A$3:$O$4986,15,FALSE)))</f>
        <v>1050</v>
      </c>
      <c r="S1008" s="261">
        <f>IF(D1008="","",IF(J1008="リード付け",N1008,VLOOKUP(D1008,契約台帳!$A$3:$P$4986,16,FALSE)))</f>
        <v>4100</v>
      </c>
      <c r="T1008" s="38">
        <v>3</v>
      </c>
      <c r="U1008" s="261">
        <f ca="1">IF(D1008="","",IF(OFFSET(D1008,-2,0)=D1008,"",VLOOKUP(D1008,契約台帳!$A$3:$R$4986,18,FALSE)))</f>
        <v>5</v>
      </c>
      <c r="V1008" s="256" t="str">
        <f>IF(J1008="巻返し",VLOOKUP(F1008&amp;K1008&amp;M1008,製品マスタ!$M$5:$AD$4999,18,FALSE),IF(J1008="リード付け","原反コア",IF(J1008="スリット",VLOOKUP(F1008&amp;K1008&amp;Q1008,製品マスタ!$N$5:$AD$4999,17,FALSE),"")))</f>
        <v>6ｲﾝﾁSｺｱ</v>
      </c>
      <c r="W1008" s="256">
        <f>IF(J1008="巻返し",VLOOKUP(F1008&amp;K1008&amp;M1008,製品マスタ!$M$5:$AE$4999,19,FALSE),IF(J1008="リード付け","-",IF(J1008="スリット",VLOOKUP(F1008&amp;K1008&amp;Q1008,製品マスタ!$N$5:$AE$4999,18,FALSE),"")))</f>
        <v>1055</v>
      </c>
      <c r="X1008" s="256">
        <f>IF(D1008="","",VLOOKUP(D1008,契約台帳!$A$3:$Q$4986,17,FALSE))</f>
        <v>2</v>
      </c>
      <c r="Y1008" s="256" t="str">
        <f>IF(D1008="","",VLOOKUP(D1008,契約台帳!$A$3:$E$4986,5,FALSE))</f>
        <v>リンテック㈱</v>
      </c>
      <c r="Z1008" s="310"/>
      <c r="AA1008" s="200">
        <f>IFERROR(VLOOKUP(F1008&amp;K1008&amp;M1008,製品マスタ!$M$5:$AM$4999,27,FALSE),"")</f>
        <v>0</v>
      </c>
      <c r="AB1008" s="312"/>
      <c r="AC1008" s="313"/>
      <c r="AD1008" s="51" t="str">
        <f>IF(F1008="","",+F1008&amp;K1008)</f>
        <v>3SNMLBMNGKBF50</v>
      </c>
      <c r="AE1008" s="52">
        <f>+M1008*N1008*O1008/1000</f>
        <v>12915</v>
      </c>
      <c r="AF1008" s="41">
        <f>IF(AD1008="","",VLOOKUP(AD1008,原価マスタ!$A$2:$AJ$1693,13,FALSE))</f>
        <v>98</v>
      </c>
      <c r="AG1008" s="45">
        <f>IF(AF1008="","",+AE1008*AF1008/100)</f>
        <v>12656.7</v>
      </c>
      <c r="AH1008" s="28"/>
      <c r="AI1008" s="28"/>
      <c r="AJ1008" s="28"/>
      <c r="AK1008" s="28"/>
      <c r="AL1008" s="12"/>
      <c r="AM1008" s="12"/>
      <c r="AN1008" s="12"/>
      <c r="AO1008" s="12"/>
      <c r="AP1008" s="12"/>
      <c r="AQ1008" s="13"/>
      <c r="AR1008" s="14"/>
    </row>
    <row r="1009" spans="1:44" s="16" customFormat="1" ht="30.95" hidden="1" customHeight="1" x14ac:dyDescent="0.2">
      <c r="A1009" s="303"/>
      <c r="B1009" s="304"/>
      <c r="C1009" s="305"/>
      <c r="D1009" s="306"/>
      <c r="E1009" s="306"/>
      <c r="F1009" s="255"/>
      <c r="G1009" s="256"/>
      <c r="H1009" s="256"/>
      <c r="I1009" s="200"/>
      <c r="J1009" s="307"/>
      <c r="K1009" s="200"/>
      <c r="L1009" s="200"/>
      <c r="M1009" s="308"/>
      <c r="N1009" s="308"/>
      <c r="O1009" s="309"/>
      <c r="P1009" s="310"/>
      <c r="Q1009" s="260"/>
      <c r="R1009" s="261"/>
      <c r="S1009" s="261"/>
      <c r="T1009" s="311"/>
      <c r="U1009" s="261"/>
      <c r="V1009" s="256"/>
      <c r="W1009" s="256"/>
      <c r="X1009" s="256"/>
      <c r="Y1009" s="256"/>
      <c r="Z1009" s="310"/>
      <c r="AA1009" s="200"/>
      <c r="AB1009" s="312"/>
      <c r="AC1009" s="313"/>
      <c r="AD1009" s="51"/>
      <c r="AE1009" s="314"/>
      <c r="AF1009" s="315"/>
      <c r="AG1009" s="309"/>
      <c r="AH1009" s="28"/>
      <c r="AI1009" s="28"/>
      <c r="AJ1009" s="28"/>
      <c r="AK1009" s="28"/>
      <c r="AL1009" s="12"/>
      <c r="AM1009" s="12"/>
      <c r="AN1009" s="12"/>
      <c r="AO1009" s="12"/>
      <c r="AP1009" s="12"/>
      <c r="AQ1009" s="13"/>
      <c r="AR1009" s="14"/>
    </row>
    <row r="1010" spans="1:44" s="16" customFormat="1" ht="30.95" hidden="1" customHeight="1" x14ac:dyDescent="0.2">
      <c r="A1010" s="35"/>
      <c r="B1010" s="36"/>
      <c r="C1010" s="305"/>
      <c r="D1010" s="29">
        <v>3731351</v>
      </c>
      <c r="E1010" s="29">
        <v>4151509</v>
      </c>
      <c r="F1010" s="255" t="str">
        <f>IF(D1010="","",VLOOKUP(D1010,契約台帳!$A$3:$K$4986,6,FALSE)&amp;VLOOKUP(D1010,契約台帳!$A$3:$K$4986,7,FALSE)&amp;VLOOKUP(D1010,契約台帳!$A$3:$K$4986,8,FALSE)&amp;VLOOKUP(D1010,契約台帳!$A$3:$K$4986,9,FALSE)&amp;VLOOKUP(D1010,契約台帳!$A$3:$K$4986,11,FALSE))</f>
        <v>3SNMLBMNGKBF</v>
      </c>
      <c r="G1010" s="256" t="str">
        <f>IF(D1010="","",VLOOKUP(F1010,製品マスタ!$G$5:$H$4999,2,FALSE))</f>
        <v>S</v>
      </c>
      <c r="H1010" s="256" t="str">
        <f>IF(D1010="","",VLOOKUP(F1010,製品マスタ!$G$5:$K$4999,5,FALSE))</f>
        <v>MNGKBF</v>
      </c>
      <c r="I1010" s="200" t="str">
        <f>IF(D1010="","",VLOOKUP(F1010,製品マスタ!$G$5:$L$4999,6,FALSE))</f>
        <v>メタルミー　ネーマー銀消　Ｂ</v>
      </c>
      <c r="J1010" s="30" t="s">
        <v>447</v>
      </c>
      <c r="K1010" s="200">
        <f>IF(D1010="","",VLOOKUP(D1010,契約台帳!$A$3:$L$4986,12,FALSE))</f>
        <v>50</v>
      </c>
      <c r="L1010" s="200" t="str">
        <f>IF(D1010="","",INDEX(製品マスタ!$Q$5:$Q$4999,MATCH(F1010&amp;K1010,製品マスタ!$AO$5:$AO$4999,0)))</f>
        <v>MAT</v>
      </c>
      <c r="M1010" s="37">
        <v>1050</v>
      </c>
      <c r="N1010" s="37">
        <v>8200</v>
      </c>
      <c r="O1010" s="45">
        <v>1</v>
      </c>
      <c r="P1010" s="54"/>
      <c r="Q1010" s="260">
        <f>IF(D1010="","",IF(J1010="リード付け",M1010,VLOOKUP(D1010,契約台帳!$A$3:$N$4986,14,FALSE)))</f>
        <v>1050</v>
      </c>
      <c r="R1010" s="261">
        <f>IF(D1010="","",IF(J1010="リード付け",M1010,VLOOKUP(D1010,契約台帳!$A$3:$O$4986,15,FALSE)))</f>
        <v>1050</v>
      </c>
      <c r="S1010" s="261">
        <f>IF(D1010="","",IF(J1010="リード付け",N1010,VLOOKUP(D1010,契約台帳!$A$3:$P$4986,16,FALSE)))</f>
        <v>4100</v>
      </c>
      <c r="T1010" s="38">
        <v>2</v>
      </c>
      <c r="U1010" s="261" t="str">
        <f ca="1">IF(D1010="","",IF(OFFSET(D1010,-2,0)=D1010,"",VLOOKUP(D1010,契約台帳!$A$3:$R$4986,18,FALSE)))</f>
        <v/>
      </c>
      <c r="V1010" s="256" t="str">
        <f>IF(J1010="巻返し",VLOOKUP(F1010&amp;K1010&amp;M1010,製品マスタ!$M$5:$AD$4999,18,FALSE),IF(J1010="リード付け","原反コア",IF(J1010="スリット",VLOOKUP(F1010&amp;K1010&amp;Q1010,製品マスタ!$N$5:$AD$4999,17,FALSE),"")))</f>
        <v>6ｲﾝﾁSｺｱ</v>
      </c>
      <c r="W1010" s="256">
        <f>IF(J1010="巻返し",VLOOKUP(F1010&amp;K1010&amp;M1010,製品マスタ!$M$5:$AE$4999,19,FALSE),IF(J1010="リード付け","-",IF(J1010="スリット",VLOOKUP(F1010&amp;K1010&amp;Q1010,製品マスタ!$N$5:$AE$4999,18,FALSE),"")))</f>
        <v>1055</v>
      </c>
      <c r="X1010" s="256">
        <f>IF(D1010="","",VLOOKUP(D1010,契約台帳!$A$3:$Q$4986,17,FALSE))</f>
        <v>2</v>
      </c>
      <c r="Y1010" s="256" t="str">
        <f>IF(D1010="","",VLOOKUP(D1010,契約台帳!$A$3:$E$4986,5,FALSE))</f>
        <v>リンテック㈱</v>
      </c>
      <c r="Z1010" s="310"/>
      <c r="AA1010" s="200">
        <f>IFERROR(VLOOKUP(F1010&amp;K1010&amp;M1010,製品マスタ!$M$5:$AM$4999,27,FALSE),"")</f>
        <v>0</v>
      </c>
      <c r="AB1010" s="312"/>
      <c r="AC1010" s="313"/>
      <c r="AD1010" s="51" t="str">
        <f>IF(F1010="","",+F1010&amp;K1010)</f>
        <v>3SNMLBMNGKBF50</v>
      </c>
      <c r="AE1010" s="52">
        <f>+M1010*N1010*O1010/1000</f>
        <v>8610</v>
      </c>
      <c r="AF1010" s="41">
        <f>IF(AD1010="","",VLOOKUP(AD1010,原価マスタ!$A$2:$AJ$1693,13,FALSE))</f>
        <v>98</v>
      </c>
      <c r="AG1010" s="45">
        <f>IF(AF1010="","",+AE1010*AF1010/100)</f>
        <v>8437.7999999999993</v>
      </c>
      <c r="AH1010" s="28"/>
      <c r="AI1010" s="28"/>
      <c r="AJ1010" s="28"/>
      <c r="AK1010" s="28"/>
      <c r="AL1010" s="12"/>
      <c r="AM1010" s="12"/>
      <c r="AN1010" s="12"/>
      <c r="AO1010" s="12"/>
      <c r="AP1010" s="12"/>
      <c r="AQ1010" s="13"/>
      <c r="AR1010" s="14"/>
    </row>
    <row r="1011" spans="1:44" s="16" customFormat="1" ht="30.95" hidden="1" customHeight="1" x14ac:dyDescent="0.2">
      <c r="A1011" s="303"/>
      <c r="B1011" s="304"/>
      <c r="C1011" s="305"/>
      <c r="D1011" s="306"/>
      <c r="E1011" s="306"/>
      <c r="F1011" s="255"/>
      <c r="G1011" s="256"/>
      <c r="H1011" s="256"/>
      <c r="I1011" s="200"/>
      <c r="J1011" s="307"/>
      <c r="K1011" s="200"/>
      <c r="L1011" s="200"/>
      <c r="M1011" s="308"/>
      <c r="N1011" s="308"/>
      <c r="O1011" s="309"/>
      <c r="P1011" s="310"/>
      <c r="Q1011" s="260"/>
      <c r="R1011" s="261"/>
      <c r="S1011" s="261"/>
      <c r="T1011" s="311"/>
      <c r="U1011" s="261"/>
      <c r="V1011" s="256"/>
      <c r="W1011" s="256"/>
      <c r="X1011" s="256"/>
      <c r="Y1011" s="256"/>
      <c r="Z1011" s="310"/>
      <c r="AA1011" s="200"/>
      <c r="AB1011" s="312"/>
      <c r="AC1011" s="313"/>
      <c r="AD1011" s="51"/>
      <c r="AE1011" s="314"/>
      <c r="AF1011" s="315"/>
      <c r="AG1011" s="309"/>
      <c r="AH1011" s="28"/>
      <c r="AI1011" s="28"/>
      <c r="AJ1011" s="28"/>
      <c r="AK1011" s="28"/>
      <c r="AL1011" s="12"/>
      <c r="AM1011" s="12"/>
      <c r="AN1011" s="12"/>
      <c r="AO1011" s="12"/>
      <c r="AP1011" s="12"/>
      <c r="AQ1011" s="13"/>
      <c r="AR1011" s="14"/>
    </row>
    <row r="1012" spans="1:44" s="16" customFormat="1" ht="30.95" hidden="1" customHeight="1" x14ac:dyDescent="0.2">
      <c r="A1012" s="35"/>
      <c r="B1012" s="36"/>
      <c r="C1012" s="305"/>
      <c r="D1012" s="29">
        <v>3731347</v>
      </c>
      <c r="E1012" s="29">
        <v>4151510</v>
      </c>
      <c r="F1012" s="255" t="str">
        <f>IF(D1012="","",VLOOKUP(D1012,契約台帳!$A$3:$K$4986,6,FALSE)&amp;VLOOKUP(D1012,契約台帳!$A$3:$K$4986,7,FALSE)&amp;VLOOKUP(D1012,契約台帳!$A$3:$K$4986,8,FALSE)&amp;VLOOKUP(D1012,契約台帳!$A$3:$K$4986,9,FALSE)&amp;VLOOKUP(D1012,契約台帳!$A$3:$K$4986,11,FALSE))</f>
        <v>3SNMLBMNGKKBF</v>
      </c>
      <c r="G1012" s="256" t="str">
        <f>IF(D1012="","",VLOOKUP(F1012,製品マスタ!$G$5:$H$4999,2,FALSE))</f>
        <v>S</v>
      </c>
      <c r="H1012" s="256" t="str">
        <f>IF(D1012="","",VLOOKUP(F1012,製品マスタ!$G$5:$K$4999,5,FALSE))</f>
        <v>MNGKKBF</v>
      </c>
      <c r="I1012" s="200" t="str">
        <f>IF(D1012="","",VLOOKUP(F1012,製品マスタ!$G$5:$L$4999,6,FALSE))</f>
        <v>メタルミー　ネーマー銀消改　Ｂ</v>
      </c>
      <c r="J1012" s="30" t="s">
        <v>447</v>
      </c>
      <c r="K1012" s="200">
        <f>IF(D1012="","",VLOOKUP(D1012,契約台帳!$A$3:$L$4986,12,FALSE))</f>
        <v>25</v>
      </c>
      <c r="L1012" s="200" t="str">
        <f>IF(D1012="","",INDEX(製品マスタ!$Q$5:$Q$4999,MATCH(F1012&amp;K1012,製品マスタ!$AO$5:$AO$4999,0)))</f>
        <v>FMATS99</v>
      </c>
      <c r="M1012" s="37">
        <v>1000</v>
      </c>
      <c r="N1012" s="37">
        <v>8000</v>
      </c>
      <c r="O1012" s="45">
        <v>1</v>
      </c>
      <c r="P1012" s="54"/>
      <c r="Q1012" s="260">
        <f>IF(D1012="","",IF(J1012="リード付け",M1012,VLOOKUP(D1012,契約台帳!$A$3:$N$4986,14,FALSE)))</f>
        <v>1000</v>
      </c>
      <c r="R1012" s="261">
        <f>IF(D1012="","",IF(J1012="リード付け",M1012,VLOOKUP(D1012,契約台帳!$A$3:$O$4986,15,FALSE)))</f>
        <v>1000</v>
      </c>
      <c r="S1012" s="261">
        <f>IF(D1012="","",IF(J1012="リード付け",N1012,VLOOKUP(D1012,契約台帳!$A$3:$P$4986,16,FALSE)))</f>
        <v>4000</v>
      </c>
      <c r="T1012" s="38">
        <v>2</v>
      </c>
      <c r="U1012" s="261">
        <f ca="1">IF(D1012="","",IF(OFFSET(D1012,-2,0)=D1012,"",VLOOKUP(D1012,契約台帳!$A$3:$R$4986,18,FALSE)))</f>
        <v>2</v>
      </c>
      <c r="V1012" s="256" t="str">
        <f>IF(J1012="巻返し",VLOOKUP(F1012&amp;K1012&amp;M1012,製品マスタ!$M$5:$AD$4999,18,FALSE),IF(J1012="リード付け","原反コア",IF(J1012="スリット",VLOOKUP(F1012&amp;K1012&amp;Q1012,製品マスタ!$N$5:$AD$4999,17,FALSE),"")))</f>
        <v>6ｲﾝﾁSｺｱ</v>
      </c>
      <c r="W1012" s="256">
        <f>IF(J1012="巻返し",VLOOKUP(F1012&amp;K1012&amp;M1012,製品マスタ!$M$5:$AE$4999,19,FALSE),IF(J1012="リード付け","-",IF(J1012="スリット",VLOOKUP(F1012&amp;K1012&amp;Q1012,製品マスタ!$N$5:$AE$4999,18,FALSE),"")))</f>
        <v>1005</v>
      </c>
      <c r="X1012" s="256">
        <f>IF(D1012="","",VLOOKUP(D1012,契約台帳!$A$3:$Q$4986,17,FALSE))</f>
        <v>2</v>
      </c>
      <c r="Y1012" s="256" t="str">
        <f>IF(D1012="","",VLOOKUP(D1012,契約台帳!$A$3:$E$4986,5,FALSE))</f>
        <v>リンテック㈱</v>
      </c>
      <c r="Z1012" s="310"/>
      <c r="AA1012" s="200">
        <f>IFERROR(VLOOKUP(F1012&amp;K1012&amp;M1012,製品マスタ!$M$5:$AM$4999,27,FALSE),"")</f>
        <v>0</v>
      </c>
      <c r="AB1012" s="312"/>
      <c r="AC1012" s="313"/>
      <c r="AD1012" s="51" t="str">
        <f>IF(F1012="","",+F1012&amp;K1012)</f>
        <v>3SNMLBMNGKKBF25</v>
      </c>
      <c r="AE1012" s="52">
        <f>+M1012*N1012*O1012/1000</f>
        <v>8000</v>
      </c>
      <c r="AF1012" s="41">
        <f>IF(AD1012="","",VLOOKUP(AD1012,原価マスタ!$A$2:$AJ$1693,13,FALSE))</f>
        <v>96</v>
      </c>
      <c r="AG1012" s="45">
        <f>IF(AF1012="","",+AE1012*AF1012/100)</f>
        <v>7680</v>
      </c>
      <c r="AH1012" s="28"/>
      <c r="AI1012" s="28"/>
      <c r="AJ1012" s="28"/>
      <c r="AK1012" s="28"/>
      <c r="AL1012" s="12"/>
      <c r="AM1012" s="12"/>
      <c r="AN1012" s="12"/>
      <c r="AO1012" s="12"/>
      <c r="AP1012" s="12"/>
      <c r="AQ1012" s="13"/>
      <c r="AR1012" s="14"/>
    </row>
    <row r="1013" spans="1:44" s="16" customFormat="1" ht="30.95" hidden="1" customHeight="1" x14ac:dyDescent="0.2">
      <c r="A1013" s="303"/>
      <c r="B1013" s="304"/>
      <c r="C1013" s="305"/>
      <c r="D1013" s="306"/>
      <c r="E1013" s="306"/>
      <c r="F1013" s="255"/>
      <c r="G1013" s="256"/>
      <c r="H1013" s="256"/>
      <c r="I1013" s="200"/>
      <c r="J1013" s="307"/>
      <c r="K1013" s="200"/>
      <c r="L1013" s="200"/>
      <c r="M1013" s="308"/>
      <c r="N1013" s="308"/>
      <c r="O1013" s="309"/>
      <c r="P1013" s="310"/>
      <c r="Q1013" s="260"/>
      <c r="R1013" s="261"/>
      <c r="S1013" s="261"/>
      <c r="T1013" s="311"/>
      <c r="U1013" s="261"/>
      <c r="V1013" s="256"/>
      <c r="W1013" s="256"/>
      <c r="X1013" s="256"/>
      <c r="Y1013" s="256"/>
      <c r="Z1013" s="310"/>
      <c r="AA1013" s="200"/>
      <c r="AB1013" s="312"/>
      <c r="AC1013" s="313"/>
      <c r="AD1013" s="51"/>
      <c r="AE1013" s="314"/>
      <c r="AF1013" s="315"/>
      <c r="AG1013" s="309"/>
      <c r="AH1013" s="28"/>
      <c r="AI1013" s="28"/>
      <c r="AJ1013" s="28"/>
      <c r="AK1013" s="28"/>
      <c r="AL1013" s="12"/>
      <c r="AM1013" s="12"/>
      <c r="AN1013" s="12"/>
      <c r="AO1013" s="12"/>
      <c r="AP1013" s="12"/>
      <c r="AQ1013" s="13"/>
      <c r="AR1013" s="14"/>
    </row>
    <row r="1014" spans="1:44" s="16" customFormat="1" ht="30.95" hidden="1" customHeight="1" x14ac:dyDescent="0.2">
      <c r="A1014" s="35"/>
      <c r="B1014" s="36"/>
      <c r="C1014" s="305"/>
      <c r="D1014" s="29">
        <v>3727594</v>
      </c>
      <c r="E1014" s="29">
        <v>4151508</v>
      </c>
      <c r="F1014" s="255" t="str">
        <f>IF(D1014="","",VLOOKUP(D1014,契約台帳!$A$3:$K$4986,6,FALSE)&amp;VLOOKUP(D1014,契約台帳!$A$3:$K$4986,7,FALSE)&amp;VLOOKUP(D1014,契約台帳!$A$3:$K$4986,8,FALSE)&amp;VLOOKUP(D1014,契約台帳!$A$3:$K$4986,9,FALSE)&amp;VLOOKUP(D1014,契約台帳!$A$3:$K$4986,11,FALSE))</f>
        <v>3SNMLBMNGKKBF</v>
      </c>
      <c r="G1014" s="256" t="str">
        <f>IF(D1014="","",VLOOKUP(F1014,製品マスタ!$G$5:$H$4999,2,FALSE))</f>
        <v>S</v>
      </c>
      <c r="H1014" s="256" t="str">
        <f>IF(D1014="","",VLOOKUP(F1014,製品マスタ!$G$5:$K$4999,5,FALSE))</f>
        <v>MNGKKBF</v>
      </c>
      <c r="I1014" s="200" t="str">
        <f>IF(D1014="","",VLOOKUP(F1014,製品マスタ!$G$5:$L$4999,6,FALSE))</f>
        <v>メタルミー　ネーマー銀消改　Ｂ</v>
      </c>
      <c r="J1014" s="30" t="s">
        <v>447</v>
      </c>
      <c r="K1014" s="200">
        <f>IF(D1014="","",VLOOKUP(D1014,契約台帳!$A$3:$L$4986,12,FALSE))</f>
        <v>50</v>
      </c>
      <c r="L1014" s="200" t="str">
        <f>IF(D1014="","",INDEX(製品マスタ!$Q$5:$Q$4999,MATCH(F1014&amp;K1014,製品マスタ!$AO$5:$AO$4999,0)))</f>
        <v>S99-MAT</v>
      </c>
      <c r="M1014" s="37">
        <v>1120</v>
      </c>
      <c r="N1014" s="37">
        <v>12000</v>
      </c>
      <c r="O1014" s="45">
        <v>3</v>
      </c>
      <c r="P1014" s="54"/>
      <c r="Q1014" s="260">
        <f>IF(D1014="","",IF(J1014="リード付け",M1014,VLOOKUP(D1014,契約台帳!$A$3:$N$4986,14,FALSE)))</f>
        <v>1120</v>
      </c>
      <c r="R1014" s="261">
        <f>IF(D1014="","",IF(J1014="リード付け",M1014,VLOOKUP(D1014,契約台帳!$A$3:$O$4986,15,FALSE)))</f>
        <v>1120</v>
      </c>
      <c r="S1014" s="261">
        <f>IF(D1014="","",IF(J1014="リード付け",N1014,VLOOKUP(D1014,契約台帳!$A$3:$P$4986,16,FALSE)))</f>
        <v>4000</v>
      </c>
      <c r="T1014" s="38">
        <v>9</v>
      </c>
      <c r="U1014" s="261">
        <f ca="1">IF(D1014="","",IF(OFFSET(D1014,-2,0)=D1014,"",VLOOKUP(D1014,契約台帳!$A$3:$R$4986,18,FALSE)))</f>
        <v>18</v>
      </c>
      <c r="V1014" s="256" t="str">
        <f>IF(J1014="巻返し",VLOOKUP(F1014&amp;K1014&amp;M1014,製品マスタ!$M$5:$AD$4999,18,FALSE),IF(J1014="リード付け","原反コア",IF(J1014="スリット",VLOOKUP(F1014&amp;K1014&amp;Q1014,製品マスタ!$N$5:$AD$4999,17,FALSE),"")))</f>
        <v>6ｲﾝﾁSｺｱ</v>
      </c>
      <c r="W1014" s="256">
        <f>IF(J1014="巻返し",VLOOKUP(F1014&amp;K1014&amp;M1014,製品マスタ!$M$5:$AE$4999,19,FALSE),IF(J1014="リード付け","-",IF(J1014="スリット",VLOOKUP(F1014&amp;K1014&amp;Q1014,製品マスタ!$N$5:$AE$4999,18,FALSE),"")))</f>
        <v>1125</v>
      </c>
      <c r="X1014" s="256">
        <f>IF(D1014="","",VLOOKUP(D1014,契約台帳!$A$3:$Q$4986,17,FALSE))</f>
        <v>2</v>
      </c>
      <c r="Y1014" s="256" t="str">
        <f>IF(D1014="","",VLOOKUP(D1014,契約台帳!$A$3:$E$4986,5,FALSE))</f>
        <v xml:space="preserve">リンテック㈱        </v>
      </c>
      <c r="Z1014" s="310"/>
      <c r="AA1014" s="200">
        <f>IFERROR(VLOOKUP(F1014&amp;K1014&amp;M1014,製品マスタ!$M$5:$AM$4999,27,FALSE),"")</f>
        <v>0</v>
      </c>
      <c r="AB1014" s="312"/>
      <c r="AC1014" s="313"/>
      <c r="AD1014" s="51" t="str">
        <f>IF(F1014="","",+F1014&amp;K1014)</f>
        <v>3SNMLBMNGKKBF50</v>
      </c>
      <c r="AE1014" s="52">
        <f>+M1014*N1014*O1014/1000</f>
        <v>40320</v>
      </c>
      <c r="AF1014" s="41">
        <f>IF(AD1014="","",VLOOKUP(AD1014,原価マスタ!$A$2:$AJ$1693,13,FALSE))</f>
        <v>99</v>
      </c>
      <c r="AG1014" s="45">
        <f>IF(AF1014="","",+AE1014*AF1014/100)</f>
        <v>39916.800000000003</v>
      </c>
      <c r="AH1014" s="28"/>
      <c r="AI1014" s="28"/>
      <c r="AJ1014" s="28"/>
      <c r="AK1014" s="28"/>
      <c r="AL1014" s="12"/>
      <c r="AM1014" s="12"/>
      <c r="AN1014" s="12"/>
      <c r="AO1014" s="12"/>
      <c r="AP1014" s="12"/>
      <c r="AQ1014" s="13"/>
      <c r="AR1014" s="14"/>
    </row>
    <row r="1015" spans="1:44" s="16" customFormat="1" ht="30.95" hidden="1" customHeight="1" x14ac:dyDescent="0.2">
      <c r="A1015" s="303"/>
      <c r="B1015" s="304"/>
      <c r="C1015" s="305"/>
      <c r="D1015" s="306"/>
      <c r="E1015" s="306"/>
      <c r="F1015" s="255"/>
      <c r="G1015" s="256"/>
      <c r="H1015" s="256"/>
      <c r="I1015" s="200"/>
      <c r="J1015" s="307"/>
      <c r="K1015" s="200"/>
      <c r="L1015" s="200"/>
      <c r="M1015" s="308"/>
      <c r="N1015" s="308"/>
      <c r="O1015" s="309"/>
      <c r="P1015" s="310"/>
      <c r="Q1015" s="260"/>
      <c r="R1015" s="261"/>
      <c r="S1015" s="261"/>
      <c r="T1015" s="311"/>
      <c r="U1015" s="261"/>
      <c r="V1015" s="256"/>
      <c r="W1015" s="256"/>
      <c r="X1015" s="256"/>
      <c r="Y1015" s="256"/>
      <c r="Z1015" s="310"/>
      <c r="AA1015" s="200"/>
      <c r="AB1015" s="312"/>
      <c r="AC1015" s="313"/>
      <c r="AD1015" s="51"/>
      <c r="AE1015" s="314"/>
      <c r="AF1015" s="315"/>
      <c r="AG1015" s="309"/>
      <c r="AH1015" s="28"/>
      <c r="AI1015" s="28"/>
      <c r="AJ1015" s="28"/>
      <c r="AK1015" s="28"/>
      <c r="AL1015" s="12"/>
      <c r="AM1015" s="12"/>
      <c r="AN1015" s="12"/>
      <c r="AO1015" s="12"/>
      <c r="AP1015" s="12"/>
      <c r="AQ1015" s="13"/>
      <c r="AR1015" s="14"/>
    </row>
    <row r="1016" spans="1:44" s="16" customFormat="1" ht="30.75" hidden="1" customHeight="1" x14ac:dyDescent="0.2">
      <c r="A1016" s="35" t="s">
        <v>654</v>
      </c>
      <c r="B1016" s="36" t="s">
        <v>442</v>
      </c>
      <c r="C1016" s="43"/>
      <c r="D1016" s="29">
        <v>3727595</v>
      </c>
      <c r="E1016" s="29">
        <v>4151486</v>
      </c>
      <c r="F1016" s="255" t="str">
        <f>IF(D1016="","",VLOOKUP(D1016,契約台帳!$A$3:$K$4986,6,FALSE)&amp;VLOOKUP(D1016,契約台帳!$A$3:$K$4986,7,FALSE)&amp;VLOOKUP(D1016,契約台帳!$A$3:$K$4986,8,FALSE)&amp;VLOOKUP(D1016,契約台帳!$A$3:$K$4986,9,FALSE)&amp;VLOOKUP(D1016,契約台帳!$A$3:$K$4986,11,FALSE))</f>
        <v>3SNMLBMNGKKBF</v>
      </c>
      <c r="G1016" s="256" t="str">
        <f>IF(D1016="","",VLOOKUP(F1016,製品マスタ!$G$5:$H$4999,2,FALSE))</f>
        <v>S</v>
      </c>
      <c r="H1016" s="256" t="str">
        <f>IF(D1016="","",VLOOKUP(F1016,製品マスタ!$G$5:$K$4999,5,FALSE))</f>
        <v>MNGKKBF</v>
      </c>
      <c r="I1016" s="200" t="str">
        <f>IF(D1016="","",VLOOKUP(F1016,製品マスタ!$G$5:$L$4999,6,FALSE))</f>
        <v>メタルミー　ネーマー銀消改　Ｂ</v>
      </c>
      <c r="J1016" s="30" t="s">
        <v>447</v>
      </c>
      <c r="K1016" s="200">
        <f>IF(D1016="","",VLOOKUP(D1016,契約台帳!$A$3:$L$4986,12,FALSE))</f>
        <v>50</v>
      </c>
      <c r="L1016" s="200" t="str">
        <f>IF(D1016="","",INDEX(製品マスタ!$Q$5:$Q$4999,MATCH(F1016&amp;K1016,製品マスタ!$AO$5:$AO$4999,0)))</f>
        <v>S99-MAT</v>
      </c>
      <c r="M1016" s="37">
        <v>1120</v>
      </c>
      <c r="N1016" s="37">
        <v>12000</v>
      </c>
      <c r="O1016" s="45">
        <v>3</v>
      </c>
      <c r="P1016" s="54"/>
      <c r="Q1016" s="260">
        <f>IF(D1016="","",IF(J1016="リード付け",M1016,VLOOKUP(D1016,契約台帳!$A$3:$N$4986,14,FALSE)))</f>
        <v>1120</v>
      </c>
      <c r="R1016" s="261">
        <f>IF(D1016="","",IF(J1016="リード付け",M1016,VLOOKUP(D1016,契約台帳!$A$3:$O$4986,15,FALSE)))</f>
        <v>1120</v>
      </c>
      <c r="S1016" s="261">
        <f>IF(D1016="","",IF(J1016="リード付け",N1016,VLOOKUP(D1016,契約台帳!$A$3:$P$4986,16,FALSE)))</f>
        <v>4000</v>
      </c>
      <c r="T1016" s="38">
        <v>9</v>
      </c>
      <c r="U1016" s="261">
        <f ca="1">IF(D1016="","",IF(OFFSET(D1016,-2,0)=D1016,"",VLOOKUP(D1016,契約台帳!$A$3:$R$4986,18,FALSE)))</f>
        <v>9</v>
      </c>
      <c r="V1016" s="256" t="s">
        <v>806</v>
      </c>
      <c r="W1016" s="256">
        <f>IF(J1016="巻返し",VLOOKUP(F1016&amp;K1016&amp;M1016,製品マスタ!$M$5:$AE$4999,19,FALSE),IF(J1016="リード付け","-",IF(J1016="スリット",VLOOKUP(F1016&amp;K1016&amp;Q1016,製品マスタ!$N$5:$AE$4999,18,FALSE),"")))</f>
        <v>1125</v>
      </c>
      <c r="X1016" s="256">
        <f>IF(D1016="","",VLOOKUP(D1016,契約台帳!$A$3:$Q$4986,17,FALSE))</f>
        <v>2</v>
      </c>
      <c r="Y1016" s="256" t="str">
        <f>IF(D1016="","",VLOOKUP(D1016,契約台帳!$A$3:$E$4986,5,FALSE))</f>
        <v xml:space="preserve">リンテック㈱        </v>
      </c>
      <c r="Z1016" s="54"/>
      <c r="AA1016" s="200">
        <f>IFERROR(VLOOKUP(F1016&amp;K1016&amp;M1016,製品マスタ!$M$5:$AM$4999,27,FALSE),"")</f>
        <v>0</v>
      </c>
      <c r="AB1016" s="31"/>
      <c r="AC1016" s="184"/>
      <c r="AD1016" s="51" t="str">
        <f>IF(F1016="","",+F1016&amp;K1016)</f>
        <v>3SNMLBMNGKKBF50</v>
      </c>
      <c r="AE1016" s="52">
        <f>+M1016*N1016*O1016/1000</f>
        <v>40320</v>
      </c>
      <c r="AF1016" s="41">
        <f>IF(AD1016="","",VLOOKUP(AD1016,原価マスタ!$A$2:$AJ$1693,13,FALSE))</f>
        <v>99</v>
      </c>
      <c r="AG1016" s="45">
        <f>IF(AF1016="","",+AE1016*AF1016/100)</f>
        <v>39916.800000000003</v>
      </c>
      <c r="AH1016" s="28"/>
      <c r="AI1016" s="28"/>
      <c r="AJ1016" s="28"/>
      <c r="AK1016" s="28"/>
      <c r="AL1016" s="12"/>
      <c r="AM1016" s="12"/>
      <c r="AN1016" s="12"/>
      <c r="AO1016" s="12"/>
      <c r="AP1016" s="12"/>
      <c r="AQ1016" s="13"/>
      <c r="AR1016" s="14"/>
    </row>
    <row r="1017" spans="1:44" s="16" customFormat="1" ht="30.95" hidden="1" customHeight="1" x14ac:dyDescent="0.2">
      <c r="A1017" s="303"/>
      <c r="B1017" s="304"/>
      <c r="C1017" s="305"/>
      <c r="D1017" s="306"/>
      <c r="E1017" s="306"/>
      <c r="F1017" s="255"/>
      <c r="G1017" s="256"/>
      <c r="H1017" s="256"/>
      <c r="I1017" s="200"/>
      <c r="J1017" s="307"/>
      <c r="K1017" s="200"/>
      <c r="L1017" s="200"/>
      <c r="M1017" s="308"/>
      <c r="N1017" s="308"/>
      <c r="O1017" s="309"/>
      <c r="P1017" s="310"/>
      <c r="Q1017" s="260"/>
      <c r="R1017" s="261"/>
      <c r="S1017" s="261"/>
      <c r="T1017" s="311"/>
      <c r="U1017" s="261"/>
      <c r="V1017" s="256"/>
      <c r="W1017" s="256"/>
      <c r="X1017" s="256"/>
      <c r="Y1017" s="256"/>
      <c r="Z1017" s="310"/>
      <c r="AA1017" s="200"/>
      <c r="AB1017" s="312"/>
      <c r="AC1017" s="313"/>
      <c r="AD1017" s="51"/>
      <c r="AE1017" s="314"/>
      <c r="AF1017" s="315"/>
      <c r="AG1017" s="309"/>
      <c r="AH1017" s="28"/>
      <c r="AI1017" s="28"/>
      <c r="AJ1017" s="28"/>
      <c r="AK1017" s="28"/>
      <c r="AL1017" s="12"/>
      <c r="AM1017" s="12"/>
      <c r="AN1017" s="12"/>
      <c r="AO1017" s="12"/>
      <c r="AP1017" s="12"/>
      <c r="AQ1017" s="13"/>
      <c r="AR1017" s="14"/>
    </row>
    <row r="1018" spans="1:44" s="16" customFormat="1" ht="30.75" hidden="1" customHeight="1" x14ac:dyDescent="0.2">
      <c r="A1018" s="35"/>
      <c r="B1018" s="36"/>
      <c r="C1018" s="43"/>
      <c r="D1018" s="29">
        <v>3731349</v>
      </c>
      <c r="E1018" s="29">
        <v>4151512</v>
      </c>
      <c r="F1018" s="255" t="str">
        <f>IF(D1018="","",VLOOKUP(D1018,契約台帳!$A$3:$K$4986,6,FALSE)&amp;VLOOKUP(D1018,契約台帳!$A$3:$K$4986,7,FALSE)&amp;VLOOKUP(D1018,契約台帳!$A$3:$K$4986,8,FALSE)&amp;VLOOKUP(D1018,契約台帳!$A$3:$K$4986,9,FALSE)&amp;VLOOKUP(D1018,契約台帳!$A$3:$K$4986,11,FALSE))</f>
        <v>3SNMLBMNGKKBF</v>
      </c>
      <c r="G1018" s="256" t="str">
        <f>IF(D1018="","",VLOOKUP(F1018,製品マスタ!$G$5:$H$4999,2,FALSE))</f>
        <v>S</v>
      </c>
      <c r="H1018" s="256" t="str">
        <f>IF(D1018="","",VLOOKUP(F1018,製品マスタ!$G$5:$K$4999,5,FALSE))</f>
        <v>MNGKKBF</v>
      </c>
      <c r="I1018" s="200" t="str">
        <f>IF(D1018="","",VLOOKUP(F1018,製品マスタ!$G$5:$L$4999,6,FALSE))</f>
        <v>メタルミー　ネーマー銀消改　Ｂ</v>
      </c>
      <c r="J1018" s="30" t="s">
        <v>447</v>
      </c>
      <c r="K1018" s="200">
        <f>IF(D1018="","",VLOOKUP(D1018,契約台帳!$A$3:$L$4986,12,FALSE))</f>
        <v>50</v>
      </c>
      <c r="L1018" s="200" t="str">
        <f>IF(D1018="","",INDEX(製品マスタ!$Q$5:$Q$4999,MATCH(F1018&amp;K1018,製品マスタ!$AO$5:$AO$4999,0)))</f>
        <v>S99-MAT</v>
      </c>
      <c r="M1018" s="37">
        <v>1120</v>
      </c>
      <c r="N1018" s="37">
        <v>12000</v>
      </c>
      <c r="O1018" s="45">
        <v>2</v>
      </c>
      <c r="P1018" s="54"/>
      <c r="Q1018" s="260">
        <f>IF(D1018="","",IF(J1018="リード付け",M1018,VLOOKUP(D1018,契約台帳!$A$3:$N$4986,14,FALSE)))</f>
        <v>1120</v>
      </c>
      <c r="R1018" s="261">
        <f>IF(D1018="","",IF(J1018="リード付け",M1018,VLOOKUP(D1018,契約台帳!$A$3:$O$4986,15,FALSE)))</f>
        <v>1120</v>
      </c>
      <c r="S1018" s="261">
        <f>IF(D1018="","",IF(J1018="リード付け",N1018,VLOOKUP(D1018,契約台帳!$A$3:$P$4986,16,FALSE)))</f>
        <v>4000</v>
      </c>
      <c r="T1018" s="38">
        <v>6</v>
      </c>
      <c r="U1018" s="261">
        <f ca="1">IF(D1018="","",IF(OFFSET(D1018,-2,0)=D1018,"",VLOOKUP(D1018,契約台帳!$A$3:$R$4986,18,FALSE)))</f>
        <v>18</v>
      </c>
      <c r="V1018" s="256" t="s">
        <v>806</v>
      </c>
      <c r="W1018" s="256">
        <f>IF(J1018="巻返し",VLOOKUP(F1018&amp;K1018&amp;M1018,製品マスタ!$M$5:$AE$4999,19,FALSE),IF(J1018="リード付け","-",IF(J1018="スリット",VLOOKUP(F1018&amp;K1018&amp;Q1018,製品マスタ!$N$5:$AE$4999,18,FALSE),"")))</f>
        <v>1125</v>
      </c>
      <c r="X1018" s="256">
        <f>IF(D1018="","",VLOOKUP(D1018,契約台帳!$A$3:$Q$4986,17,FALSE))</f>
        <v>2</v>
      </c>
      <c r="Y1018" s="256" t="str">
        <f>IF(D1018="","",VLOOKUP(D1018,契約台帳!$A$3:$E$4986,5,FALSE))</f>
        <v>リンテック㈱</v>
      </c>
      <c r="Z1018" s="54"/>
      <c r="AA1018" s="200">
        <f>IFERROR(VLOOKUP(F1018&amp;K1018&amp;M1018,製品マスタ!$M$5:$AM$4999,27,FALSE),"")</f>
        <v>0</v>
      </c>
      <c r="AB1018" s="31"/>
      <c r="AC1018" s="184"/>
      <c r="AD1018" s="51" t="str">
        <f>IF(F1018="","",+F1018&amp;K1018)</f>
        <v>3SNMLBMNGKKBF50</v>
      </c>
      <c r="AE1018" s="52">
        <f>+M1018*N1018*O1018/1000</f>
        <v>26880</v>
      </c>
      <c r="AF1018" s="41">
        <f>IF(AD1018="","",VLOOKUP(AD1018,原価マスタ!$A$2:$AJ$1693,13,FALSE))</f>
        <v>99</v>
      </c>
      <c r="AG1018" s="45">
        <f>IF(AF1018="","",+AE1018*AF1018/100)</f>
        <v>26611.200000000001</v>
      </c>
      <c r="AH1018" s="28"/>
      <c r="AI1018" s="28"/>
      <c r="AJ1018" s="28"/>
      <c r="AK1018" s="28"/>
      <c r="AL1018" s="12"/>
      <c r="AM1018" s="12"/>
      <c r="AN1018" s="12"/>
      <c r="AO1018" s="12"/>
      <c r="AP1018" s="12"/>
      <c r="AQ1018" s="13"/>
      <c r="AR1018" s="14"/>
    </row>
    <row r="1019" spans="1:44" s="16" customFormat="1" ht="30.95" hidden="1" customHeight="1" x14ac:dyDescent="0.2">
      <c r="A1019" s="303"/>
      <c r="B1019" s="304"/>
      <c r="C1019" s="305"/>
      <c r="D1019" s="306"/>
      <c r="E1019" s="306"/>
      <c r="F1019" s="255"/>
      <c r="G1019" s="256"/>
      <c r="H1019" s="256"/>
      <c r="I1019" s="200"/>
      <c r="J1019" s="307"/>
      <c r="K1019" s="200"/>
      <c r="L1019" s="200"/>
      <c r="M1019" s="308"/>
      <c r="N1019" s="308"/>
      <c r="O1019" s="309"/>
      <c r="P1019" s="310"/>
      <c r="Q1019" s="260"/>
      <c r="R1019" s="261"/>
      <c r="S1019" s="261"/>
      <c r="T1019" s="311"/>
      <c r="U1019" s="261"/>
      <c r="V1019" s="256"/>
      <c r="W1019" s="256"/>
      <c r="X1019" s="256"/>
      <c r="Y1019" s="256"/>
      <c r="Z1019" s="310"/>
      <c r="AA1019" s="200"/>
      <c r="AB1019" s="312"/>
      <c r="AC1019" s="313"/>
      <c r="AD1019" s="51"/>
      <c r="AE1019" s="314"/>
      <c r="AF1019" s="315"/>
      <c r="AG1019" s="309"/>
      <c r="AH1019" s="28"/>
      <c r="AI1019" s="28"/>
      <c r="AJ1019" s="28"/>
      <c r="AK1019" s="28"/>
      <c r="AL1019" s="12"/>
      <c r="AM1019" s="12"/>
      <c r="AN1019" s="12"/>
      <c r="AO1019" s="12"/>
      <c r="AP1019" s="12"/>
      <c r="AQ1019" s="13"/>
      <c r="AR1019" s="14"/>
    </row>
    <row r="1020" spans="1:44" s="16" customFormat="1" ht="30.75" hidden="1" customHeight="1" x14ac:dyDescent="0.2">
      <c r="A1020" s="35" t="s">
        <v>656</v>
      </c>
      <c r="B1020" s="36" t="s">
        <v>443</v>
      </c>
      <c r="C1020" s="43"/>
      <c r="D1020" s="29">
        <v>3731349</v>
      </c>
      <c r="E1020" s="29">
        <v>4151512</v>
      </c>
      <c r="F1020" s="255" t="str">
        <f>IF(D1020="","",VLOOKUP(D1020,契約台帳!$A$3:$K$4986,6,FALSE)&amp;VLOOKUP(D1020,契約台帳!$A$3:$K$4986,7,FALSE)&amp;VLOOKUP(D1020,契約台帳!$A$3:$K$4986,8,FALSE)&amp;VLOOKUP(D1020,契約台帳!$A$3:$K$4986,9,FALSE)&amp;VLOOKUP(D1020,契約台帳!$A$3:$K$4986,11,FALSE))</f>
        <v>3SNMLBMNGKKBF</v>
      </c>
      <c r="G1020" s="256" t="str">
        <f>IF(D1020="","",VLOOKUP(F1020,製品マスタ!$G$5:$H$4999,2,FALSE))</f>
        <v>S</v>
      </c>
      <c r="H1020" s="256" t="str">
        <f>IF(D1020="","",VLOOKUP(F1020,製品マスタ!$G$5:$K$4999,5,FALSE))</f>
        <v>MNGKKBF</v>
      </c>
      <c r="I1020" s="200" t="str">
        <f>IF(D1020="","",VLOOKUP(F1020,製品マスタ!$G$5:$L$4999,6,FALSE))</f>
        <v>メタルミー　ネーマー銀消改　Ｂ</v>
      </c>
      <c r="J1020" s="30" t="s">
        <v>447</v>
      </c>
      <c r="K1020" s="200">
        <f>IF(D1020="","",VLOOKUP(D1020,契約台帳!$A$3:$L$4986,12,FALSE))</f>
        <v>50</v>
      </c>
      <c r="L1020" s="200" t="str">
        <f>IF(D1020="","",INDEX(製品マスタ!$Q$5:$Q$4999,MATCH(F1020&amp;K1020,製品マスタ!$AO$5:$AO$4999,0)))</f>
        <v>S99-MAT</v>
      </c>
      <c r="M1020" s="37">
        <v>1120</v>
      </c>
      <c r="N1020" s="37">
        <v>12000</v>
      </c>
      <c r="O1020" s="45">
        <v>4</v>
      </c>
      <c r="P1020" s="54"/>
      <c r="Q1020" s="260">
        <f>IF(D1020="","",IF(J1020="リード付け",M1020,VLOOKUP(D1020,契約台帳!$A$3:$N$4986,14,FALSE)))</f>
        <v>1120</v>
      </c>
      <c r="R1020" s="261">
        <f>IF(D1020="","",IF(J1020="リード付け",M1020,VLOOKUP(D1020,契約台帳!$A$3:$O$4986,15,FALSE)))</f>
        <v>1120</v>
      </c>
      <c r="S1020" s="261">
        <f>IF(D1020="","",IF(J1020="リード付け",N1020,VLOOKUP(D1020,契約台帳!$A$3:$P$4986,16,FALSE)))</f>
        <v>4000</v>
      </c>
      <c r="T1020" s="38">
        <v>12</v>
      </c>
      <c r="U1020" s="261" t="str">
        <f ca="1">IF(D1020="","",IF(OFFSET(D1020,-2,0)=D1020,"",VLOOKUP(D1020,契約台帳!$A$3:$R$4986,18,FALSE)))</f>
        <v/>
      </c>
      <c r="V1020" s="256" t="s">
        <v>806</v>
      </c>
      <c r="W1020" s="256">
        <f>IF(J1020="巻返し",VLOOKUP(F1020&amp;K1020&amp;M1020,製品マスタ!$M$5:$AE$4999,19,FALSE),IF(J1020="リード付け","-",IF(J1020="スリット",VLOOKUP(F1020&amp;K1020&amp;Q1020,製品マスタ!$N$5:$AE$4999,18,FALSE),"")))</f>
        <v>1125</v>
      </c>
      <c r="X1020" s="256">
        <f>IF(D1020="","",VLOOKUP(D1020,契約台帳!$A$3:$Q$4986,17,FALSE))</f>
        <v>2</v>
      </c>
      <c r="Y1020" s="256" t="str">
        <f>IF(D1020="","",VLOOKUP(D1020,契約台帳!$A$3:$E$4986,5,FALSE))</f>
        <v>リンテック㈱</v>
      </c>
      <c r="Z1020" s="54"/>
      <c r="AA1020" s="200">
        <f>IFERROR(VLOOKUP(F1020&amp;K1020&amp;M1020,製品マスタ!$M$5:$AM$4999,27,FALSE),"")</f>
        <v>0</v>
      </c>
      <c r="AB1020" s="31"/>
      <c r="AC1020" s="184"/>
      <c r="AD1020" s="51" t="str">
        <f>IF(F1020="","",+F1020&amp;K1020)</f>
        <v>3SNMLBMNGKKBF50</v>
      </c>
      <c r="AE1020" s="52">
        <f>+M1020*N1020*O1020/1000</f>
        <v>53760</v>
      </c>
      <c r="AF1020" s="41">
        <f>IF(AD1020="","",VLOOKUP(AD1020,原価マスタ!$A$2:$AJ$1693,13,FALSE))</f>
        <v>99</v>
      </c>
      <c r="AG1020" s="45">
        <f>IF(AF1020="","",+AE1020*AF1020/100)</f>
        <v>53222.400000000001</v>
      </c>
      <c r="AH1020" s="28"/>
      <c r="AI1020" s="28"/>
      <c r="AJ1020" s="28"/>
      <c r="AK1020" s="28"/>
      <c r="AL1020" s="12"/>
      <c r="AM1020" s="12"/>
      <c r="AN1020" s="12"/>
      <c r="AO1020" s="12"/>
      <c r="AP1020" s="12"/>
      <c r="AQ1020" s="13"/>
      <c r="AR1020" s="14"/>
    </row>
    <row r="1021" spans="1:44" s="16" customFormat="1" ht="30.95" hidden="1" customHeight="1" x14ac:dyDescent="0.2">
      <c r="A1021" s="303"/>
      <c r="B1021" s="304"/>
      <c r="C1021" s="305"/>
      <c r="D1021" s="306"/>
      <c r="E1021" s="306"/>
      <c r="F1021" s="255"/>
      <c r="G1021" s="256"/>
      <c r="H1021" s="256"/>
      <c r="I1021" s="200"/>
      <c r="J1021" s="307"/>
      <c r="K1021" s="200"/>
      <c r="L1021" s="200"/>
      <c r="M1021" s="308"/>
      <c r="N1021" s="308"/>
      <c r="O1021" s="309"/>
      <c r="P1021" s="310"/>
      <c r="Q1021" s="260"/>
      <c r="R1021" s="261"/>
      <c r="S1021" s="261"/>
      <c r="T1021" s="311"/>
      <c r="U1021" s="261"/>
      <c r="V1021" s="256"/>
      <c r="W1021" s="256"/>
      <c r="X1021" s="256"/>
      <c r="Y1021" s="256"/>
      <c r="Z1021" s="310"/>
      <c r="AA1021" s="200"/>
      <c r="AB1021" s="312"/>
      <c r="AC1021" s="313"/>
      <c r="AD1021" s="51"/>
      <c r="AE1021" s="314"/>
      <c r="AF1021" s="315"/>
      <c r="AG1021" s="309"/>
      <c r="AH1021" s="28"/>
      <c r="AI1021" s="28"/>
      <c r="AJ1021" s="28"/>
      <c r="AK1021" s="28"/>
      <c r="AL1021" s="12"/>
      <c r="AM1021" s="12"/>
      <c r="AN1021" s="12"/>
      <c r="AO1021" s="12"/>
      <c r="AP1021" s="12"/>
      <c r="AQ1021" s="13"/>
      <c r="AR1021" s="14"/>
    </row>
    <row r="1022" spans="1:44" s="16" customFormat="1" ht="30.75" hidden="1" customHeight="1" x14ac:dyDescent="0.2">
      <c r="A1022" s="35" t="s">
        <v>657</v>
      </c>
      <c r="B1022" s="36" t="s">
        <v>444</v>
      </c>
      <c r="C1022" s="43"/>
      <c r="D1022" s="29"/>
      <c r="E1022" s="29"/>
      <c r="F1022" s="255"/>
      <c r="G1022" s="256"/>
      <c r="H1022" s="256"/>
      <c r="I1022" s="200"/>
      <c r="J1022" s="30" t="s">
        <v>1826</v>
      </c>
      <c r="K1022" s="200"/>
      <c r="L1022" s="200"/>
      <c r="M1022" s="37"/>
      <c r="N1022" s="37"/>
      <c r="O1022" s="45"/>
      <c r="P1022" s="54"/>
      <c r="Q1022" s="260"/>
      <c r="R1022" s="261"/>
      <c r="S1022" s="261"/>
      <c r="T1022" s="38"/>
      <c r="U1022" s="261"/>
      <c r="V1022" s="256"/>
      <c r="W1022" s="256"/>
      <c r="X1022" s="256"/>
      <c r="Y1022" s="256"/>
      <c r="Z1022" s="54"/>
      <c r="AA1022" s="200"/>
      <c r="AB1022" s="31"/>
      <c r="AC1022" s="184"/>
      <c r="AD1022" s="51"/>
      <c r="AE1022" s="52"/>
      <c r="AF1022" s="41"/>
      <c r="AG1022" s="45"/>
      <c r="AH1022" s="28"/>
      <c r="AI1022" s="28"/>
      <c r="AJ1022" s="28"/>
      <c r="AK1022" s="28"/>
      <c r="AL1022" s="12"/>
      <c r="AM1022" s="12"/>
      <c r="AN1022" s="12"/>
      <c r="AO1022" s="12"/>
      <c r="AP1022" s="12"/>
      <c r="AQ1022" s="13"/>
      <c r="AR1022" s="14"/>
    </row>
    <row r="1023" spans="1:44" s="16" customFormat="1" ht="30.95" hidden="1" customHeight="1" x14ac:dyDescent="0.2">
      <c r="A1023" s="303"/>
      <c r="B1023" s="304"/>
      <c r="C1023" s="305"/>
      <c r="D1023" s="306"/>
      <c r="E1023" s="306"/>
      <c r="F1023" s="255"/>
      <c r="G1023" s="256"/>
      <c r="H1023" s="256"/>
      <c r="I1023" s="200"/>
      <c r="J1023" s="307"/>
      <c r="K1023" s="200"/>
      <c r="L1023" s="200"/>
      <c r="M1023" s="308"/>
      <c r="N1023" s="308"/>
      <c r="O1023" s="309"/>
      <c r="P1023" s="310"/>
      <c r="Q1023" s="260"/>
      <c r="R1023" s="261"/>
      <c r="S1023" s="261"/>
      <c r="T1023" s="311"/>
      <c r="U1023" s="261"/>
      <c r="V1023" s="256"/>
      <c r="W1023" s="256"/>
      <c r="X1023" s="256"/>
      <c r="Y1023" s="256"/>
      <c r="Z1023" s="310"/>
      <c r="AA1023" s="200"/>
      <c r="AB1023" s="312"/>
      <c r="AC1023" s="313"/>
      <c r="AD1023" s="51"/>
      <c r="AE1023" s="314"/>
      <c r="AF1023" s="315"/>
      <c r="AG1023" s="309"/>
      <c r="AH1023" s="28"/>
      <c r="AI1023" s="28"/>
      <c r="AJ1023" s="28"/>
      <c r="AK1023" s="28"/>
      <c r="AL1023" s="12"/>
      <c r="AM1023" s="12"/>
      <c r="AN1023" s="12"/>
      <c r="AO1023" s="12"/>
      <c r="AP1023" s="12"/>
      <c r="AQ1023" s="13"/>
      <c r="AR1023" s="14"/>
    </row>
    <row r="1024" spans="1:44" s="16" customFormat="1" ht="30.95" hidden="1" customHeight="1" x14ac:dyDescent="0.2">
      <c r="A1024" s="303" t="s">
        <v>1776</v>
      </c>
      <c r="B1024" s="304" t="s">
        <v>1770</v>
      </c>
      <c r="C1024" s="305"/>
      <c r="D1024" s="306"/>
      <c r="E1024" s="306"/>
      <c r="F1024" s="255"/>
      <c r="G1024" s="256"/>
      <c r="H1024" s="256"/>
      <c r="I1024" s="200"/>
      <c r="J1024" s="307" t="s">
        <v>448</v>
      </c>
      <c r="K1024" s="200"/>
      <c r="L1024" s="200"/>
      <c r="M1024" s="308"/>
      <c r="N1024" s="308"/>
      <c r="O1024" s="309"/>
      <c r="P1024" s="310"/>
      <c r="Q1024" s="260"/>
      <c r="R1024" s="261"/>
      <c r="S1024" s="261"/>
      <c r="T1024" s="311"/>
      <c r="U1024" s="261"/>
      <c r="V1024" s="256"/>
      <c r="W1024" s="256"/>
      <c r="X1024" s="256"/>
      <c r="Y1024" s="256"/>
      <c r="Z1024" s="310"/>
      <c r="AA1024" s="200"/>
      <c r="AB1024" s="312"/>
      <c r="AC1024" s="313"/>
      <c r="AD1024" s="51"/>
      <c r="AE1024" s="314"/>
      <c r="AF1024" s="315"/>
      <c r="AG1024" s="309"/>
      <c r="AH1024" s="28"/>
      <c r="AI1024" s="28"/>
      <c r="AJ1024" s="28"/>
      <c r="AK1024" s="28"/>
      <c r="AL1024" s="12"/>
      <c r="AM1024" s="12"/>
      <c r="AN1024" s="12"/>
      <c r="AO1024" s="12"/>
      <c r="AP1024" s="12"/>
      <c r="AQ1024" s="13"/>
      <c r="AR1024" s="14"/>
    </row>
    <row r="1025" spans="1:44" s="16" customFormat="1" ht="30.95" hidden="1" customHeight="1" x14ac:dyDescent="0.2">
      <c r="A1025" s="303"/>
      <c r="B1025" s="304"/>
      <c r="C1025" s="305"/>
      <c r="D1025" s="306"/>
      <c r="E1025" s="306"/>
      <c r="F1025" s="255"/>
      <c r="G1025" s="256"/>
      <c r="H1025" s="256"/>
      <c r="I1025" s="200"/>
      <c r="J1025" s="307"/>
      <c r="K1025" s="200"/>
      <c r="L1025" s="200"/>
      <c r="M1025" s="308"/>
      <c r="N1025" s="308"/>
      <c r="O1025" s="309"/>
      <c r="P1025" s="310"/>
      <c r="Q1025" s="260"/>
      <c r="R1025" s="261"/>
      <c r="S1025" s="261"/>
      <c r="T1025" s="311"/>
      <c r="U1025" s="261"/>
      <c r="V1025" s="256"/>
      <c r="W1025" s="256"/>
      <c r="X1025" s="256"/>
      <c r="Y1025" s="256"/>
      <c r="Z1025" s="310"/>
      <c r="AA1025" s="200"/>
      <c r="AB1025" s="312"/>
      <c r="AC1025" s="313"/>
      <c r="AD1025" s="51"/>
      <c r="AE1025" s="314"/>
      <c r="AF1025" s="315"/>
      <c r="AG1025" s="309"/>
      <c r="AH1025" s="28"/>
      <c r="AI1025" s="28"/>
      <c r="AJ1025" s="28"/>
      <c r="AK1025" s="28"/>
      <c r="AL1025" s="12"/>
      <c r="AM1025" s="12"/>
      <c r="AN1025" s="12"/>
      <c r="AO1025" s="12"/>
      <c r="AP1025" s="12"/>
      <c r="AQ1025" s="13"/>
      <c r="AR1025" s="14"/>
    </row>
    <row r="1026" spans="1:44" s="16" customFormat="1" ht="30.95" hidden="1" customHeight="1" x14ac:dyDescent="0.2">
      <c r="A1026" s="303" t="s">
        <v>1777</v>
      </c>
      <c r="B1026" s="304" t="s">
        <v>1772</v>
      </c>
      <c r="C1026" s="305"/>
      <c r="D1026" s="306"/>
      <c r="E1026" s="306"/>
      <c r="F1026" s="255"/>
      <c r="G1026" s="256"/>
      <c r="H1026" s="256"/>
      <c r="I1026" s="200"/>
      <c r="J1026" s="307" t="s">
        <v>448</v>
      </c>
      <c r="K1026" s="200"/>
      <c r="L1026" s="200"/>
      <c r="M1026" s="308"/>
      <c r="N1026" s="308"/>
      <c r="O1026" s="309"/>
      <c r="P1026" s="310"/>
      <c r="Q1026" s="260"/>
      <c r="R1026" s="261"/>
      <c r="S1026" s="261"/>
      <c r="T1026" s="311"/>
      <c r="U1026" s="261"/>
      <c r="V1026" s="256"/>
      <c r="W1026" s="256"/>
      <c r="X1026" s="256"/>
      <c r="Y1026" s="256"/>
      <c r="Z1026" s="310"/>
      <c r="AA1026" s="200"/>
      <c r="AB1026" s="312"/>
      <c r="AC1026" s="313"/>
      <c r="AD1026" s="51"/>
      <c r="AE1026" s="314"/>
      <c r="AF1026" s="315"/>
      <c r="AG1026" s="309"/>
      <c r="AH1026" s="28"/>
      <c r="AI1026" s="28"/>
      <c r="AJ1026" s="28"/>
      <c r="AK1026" s="28"/>
      <c r="AL1026" s="12"/>
      <c r="AM1026" s="12"/>
      <c r="AN1026" s="12"/>
      <c r="AO1026" s="12"/>
      <c r="AP1026" s="12"/>
      <c r="AQ1026" s="13"/>
      <c r="AR1026" s="14"/>
    </row>
    <row r="1027" spans="1:44" s="16" customFormat="1" ht="30.95" hidden="1" customHeight="1" x14ac:dyDescent="0.2">
      <c r="A1027" s="303"/>
      <c r="B1027" s="304"/>
      <c r="C1027" s="305"/>
      <c r="D1027" s="306"/>
      <c r="E1027" s="306"/>
      <c r="F1027" s="255"/>
      <c r="G1027" s="256"/>
      <c r="H1027" s="256"/>
      <c r="I1027" s="200"/>
      <c r="J1027" s="307"/>
      <c r="K1027" s="200"/>
      <c r="L1027" s="200"/>
      <c r="M1027" s="308"/>
      <c r="N1027" s="308"/>
      <c r="O1027" s="309"/>
      <c r="P1027" s="310"/>
      <c r="Q1027" s="260"/>
      <c r="R1027" s="261"/>
      <c r="S1027" s="261"/>
      <c r="T1027" s="311"/>
      <c r="U1027" s="261"/>
      <c r="V1027" s="256"/>
      <c r="W1027" s="256"/>
      <c r="X1027" s="256"/>
      <c r="Y1027" s="256"/>
      <c r="Z1027" s="310"/>
      <c r="AA1027" s="200"/>
      <c r="AB1027" s="312"/>
      <c r="AC1027" s="313"/>
      <c r="AD1027" s="51"/>
      <c r="AE1027" s="314"/>
      <c r="AF1027" s="315"/>
      <c r="AG1027" s="309"/>
      <c r="AH1027" s="28"/>
      <c r="AI1027" s="28"/>
      <c r="AJ1027" s="28"/>
      <c r="AK1027" s="28"/>
      <c r="AL1027" s="12"/>
      <c r="AM1027" s="12"/>
      <c r="AN1027" s="12"/>
      <c r="AO1027" s="12"/>
      <c r="AP1027" s="12"/>
      <c r="AQ1027" s="13"/>
      <c r="AR1027" s="14"/>
    </row>
    <row r="1028" spans="1:44" s="16" customFormat="1" ht="30.95" hidden="1" customHeight="1" x14ac:dyDescent="0.2">
      <c r="A1028" s="303" t="s">
        <v>1778</v>
      </c>
      <c r="B1028" s="304" t="s">
        <v>1773</v>
      </c>
      <c r="C1028" s="305"/>
      <c r="D1028" s="306"/>
      <c r="E1028" s="306"/>
      <c r="F1028" s="255"/>
      <c r="G1028" s="256"/>
      <c r="H1028" s="256"/>
      <c r="I1028" s="200"/>
      <c r="J1028" s="307" t="s">
        <v>1827</v>
      </c>
      <c r="K1028" s="200"/>
      <c r="L1028" s="200"/>
      <c r="M1028" s="308"/>
      <c r="N1028" s="308"/>
      <c r="O1028" s="309"/>
      <c r="P1028" s="310"/>
      <c r="Q1028" s="260"/>
      <c r="R1028" s="261"/>
      <c r="S1028" s="261"/>
      <c r="T1028" s="311"/>
      <c r="U1028" s="261"/>
      <c r="V1028" s="256"/>
      <c r="W1028" s="256"/>
      <c r="X1028" s="256"/>
      <c r="Y1028" s="256"/>
      <c r="Z1028" s="310"/>
      <c r="AA1028" s="200"/>
      <c r="AB1028" s="312"/>
      <c r="AC1028" s="313"/>
      <c r="AD1028" s="51"/>
      <c r="AE1028" s="314"/>
      <c r="AF1028" s="315"/>
      <c r="AG1028" s="309"/>
      <c r="AH1028" s="28"/>
      <c r="AI1028" s="28"/>
      <c r="AJ1028" s="28"/>
      <c r="AK1028" s="28"/>
      <c r="AL1028" s="12"/>
      <c r="AM1028" s="12"/>
      <c r="AN1028" s="12"/>
      <c r="AO1028" s="12"/>
      <c r="AP1028" s="12"/>
      <c r="AQ1028" s="13"/>
      <c r="AR1028" s="14"/>
    </row>
    <row r="1029" spans="1:44" s="16" customFormat="1" ht="30.95" hidden="1" customHeight="1" x14ac:dyDescent="0.2">
      <c r="A1029" s="303"/>
      <c r="B1029" s="304"/>
      <c r="C1029" s="305"/>
      <c r="D1029" s="306"/>
      <c r="E1029" s="306"/>
      <c r="F1029" s="255"/>
      <c r="G1029" s="256"/>
      <c r="H1029" s="256"/>
      <c r="I1029" s="200"/>
      <c r="J1029" s="307"/>
      <c r="K1029" s="200"/>
      <c r="L1029" s="200"/>
      <c r="M1029" s="308"/>
      <c r="N1029" s="308"/>
      <c r="O1029" s="309"/>
      <c r="P1029" s="310"/>
      <c r="Q1029" s="260"/>
      <c r="R1029" s="261"/>
      <c r="S1029" s="261"/>
      <c r="T1029" s="311"/>
      <c r="U1029" s="261"/>
      <c r="V1029" s="256"/>
      <c r="W1029" s="256"/>
      <c r="X1029" s="256"/>
      <c r="Y1029" s="256"/>
      <c r="Z1029" s="310"/>
      <c r="AA1029" s="200"/>
      <c r="AB1029" s="312"/>
      <c r="AC1029" s="313"/>
      <c r="AD1029" s="51"/>
      <c r="AE1029" s="314"/>
      <c r="AF1029" s="315"/>
      <c r="AG1029" s="309"/>
      <c r="AH1029" s="28"/>
      <c r="AI1029" s="28"/>
      <c r="AJ1029" s="28"/>
      <c r="AK1029" s="28"/>
      <c r="AL1029" s="12"/>
      <c r="AM1029" s="12"/>
      <c r="AN1029" s="12"/>
      <c r="AO1029" s="12"/>
      <c r="AP1029" s="12"/>
      <c r="AQ1029" s="13"/>
      <c r="AR1029" s="14"/>
    </row>
    <row r="1030" spans="1:44" s="225" customFormat="1" ht="30.95" hidden="1" customHeight="1" x14ac:dyDescent="0.2">
      <c r="A1030" s="317"/>
      <c r="B1030" s="318"/>
      <c r="C1030" s="319"/>
      <c r="D1030" s="320"/>
      <c r="E1030" s="320"/>
      <c r="F1030" s="263"/>
      <c r="G1030" s="264"/>
      <c r="H1030" s="264"/>
      <c r="I1030" s="265"/>
      <c r="J1030" s="321"/>
      <c r="K1030" s="265"/>
      <c r="L1030" s="265"/>
      <c r="M1030" s="322"/>
      <c r="N1030" s="322"/>
      <c r="O1030" s="323"/>
      <c r="P1030" s="316"/>
      <c r="Q1030" s="266"/>
      <c r="R1030" s="267"/>
      <c r="S1030" s="267"/>
      <c r="T1030" s="324"/>
      <c r="U1030" s="267"/>
      <c r="V1030" s="264"/>
      <c r="W1030" s="264"/>
      <c r="X1030" s="264"/>
      <c r="Y1030" s="264"/>
      <c r="Z1030" s="316"/>
      <c r="AA1030" s="265"/>
      <c r="AB1030" s="325"/>
      <c r="AC1030" s="326"/>
      <c r="AD1030" s="219"/>
      <c r="AE1030" s="327"/>
      <c r="AF1030" s="328"/>
      <c r="AG1030" s="329" t="e">
        <f>SUM(AG933:AG1028)</f>
        <v>#N/A</v>
      </c>
      <c r="AH1030" s="221"/>
      <c r="AI1030" s="221"/>
      <c r="AJ1030" s="221"/>
      <c r="AK1030" s="221"/>
      <c r="AL1030" s="222"/>
      <c r="AM1030" s="222"/>
      <c r="AN1030" s="222"/>
      <c r="AO1030" s="222"/>
      <c r="AP1030" s="222"/>
      <c r="AQ1030" s="223"/>
      <c r="AR1030" s="224"/>
    </row>
    <row r="1031" spans="1:44" s="16" customFormat="1" ht="30.95" hidden="1" customHeight="1" x14ac:dyDescent="0.2">
      <c r="A1031" s="303"/>
      <c r="B1031" s="304"/>
      <c r="C1031" s="305"/>
      <c r="D1031" s="306"/>
      <c r="E1031" s="306"/>
      <c r="F1031" s="255"/>
      <c r="G1031" s="256"/>
      <c r="H1031" s="256"/>
      <c r="I1031" s="200"/>
      <c r="J1031" s="307"/>
      <c r="K1031" s="200"/>
      <c r="L1031" s="200"/>
      <c r="M1031" s="308"/>
      <c r="N1031" s="308"/>
      <c r="O1031" s="309"/>
      <c r="P1031" s="310"/>
      <c r="Q1031" s="260"/>
      <c r="R1031" s="261"/>
      <c r="S1031" s="261"/>
      <c r="T1031" s="311"/>
      <c r="U1031" s="261"/>
      <c r="V1031" s="256"/>
      <c r="W1031" s="256"/>
      <c r="X1031" s="256"/>
      <c r="Y1031" s="256"/>
      <c r="Z1031" s="310"/>
      <c r="AA1031" s="200"/>
      <c r="AB1031" s="312"/>
      <c r="AC1031" s="313"/>
      <c r="AD1031" s="51"/>
      <c r="AE1031" s="314"/>
      <c r="AF1031" s="315"/>
      <c r="AG1031" s="309"/>
      <c r="AH1031" s="28"/>
      <c r="AI1031" s="28"/>
      <c r="AJ1031" s="28"/>
      <c r="AK1031" s="28"/>
      <c r="AL1031" s="12"/>
      <c r="AM1031" s="12"/>
      <c r="AN1031" s="12"/>
      <c r="AO1031" s="12"/>
      <c r="AP1031" s="12"/>
      <c r="AQ1031" s="13"/>
      <c r="AR1031" s="14"/>
    </row>
    <row r="1032" spans="1:44" s="16" customFormat="1" ht="30.95" hidden="1" customHeight="1" x14ac:dyDescent="0.2">
      <c r="A1032" s="303" t="s">
        <v>1779</v>
      </c>
      <c r="B1032" s="304" t="s">
        <v>1766</v>
      </c>
      <c r="C1032" s="305"/>
      <c r="D1032" s="306"/>
      <c r="E1032" s="306"/>
      <c r="F1032" s="255"/>
      <c r="G1032" s="256"/>
      <c r="H1032" s="256"/>
      <c r="I1032" s="200"/>
      <c r="J1032" s="307" t="s">
        <v>1827</v>
      </c>
      <c r="K1032" s="200"/>
      <c r="L1032" s="200"/>
      <c r="M1032" s="308"/>
      <c r="N1032" s="308"/>
      <c r="O1032" s="309"/>
      <c r="P1032" s="310"/>
      <c r="Q1032" s="260"/>
      <c r="R1032" s="261"/>
      <c r="S1032" s="261"/>
      <c r="T1032" s="311"/>
      <c r="U1032" s="261"/>
      <c r="V1032" s="256"/>
      <c r="W1032" s="256"/>
      <c r="X1032" s="256"/>
      <c r="Y1032" s="256"/>
      <c r="Z1032" s="310"/>
      <c r="AA1032" s="200"/>
      <c r="AB1032" s="312"/>
      <c r="AC1032" s="313"/>
      <c r="AD1032" s="51"/>
      <c r="AE1032" s="314"/>
      <c r="AF1032" s="315"/>
      <c r="AG1032" s="309"/>
      <c r="AH1032" s="28"/>
      <c r="AI1032" s="28"/>
      <c r="AJ1032" s="28"/>
      <c r="AK1032" s="28"/>
      <c r="AL1032" s="12"/>
      <c r="AM1032" s="12"/>
      <c r="AN1032" s="12"/>
      <c r="AO1032" s="12"/>
      <c r="AP1032" s="12"/>
      <c r="AQ1032" s="13"/>
      <c r="AR1032" s="14"/>
    </row>
    <row r="1033" spans="1:44" s="16" customFormat="1" ht="30.95" hidden="1" customHeight="1" x14ac:dyDescent="0.2">
      <c r="A1033" s="303"/>
      <c r="B1033" s="304"/>
      <c r="C1033" s="305"/>
      <c r="D1033" s="306"/>
      <c r="E1033" s="306"/>
      <c r="F1033" s="255"/>
      <c r="G1033" s="256"/>
      <c r="H1033" s="256"/>
      <c r="I1033" s="200"/>
      <c r="J1033" s="307"/>
      <c r="K1033" s="200"/>
      <c r="L1033" s="200"/>
      <c r="M1033" s="308"/>
      <c r="N1033" s="308"/>
      <c r="O1033" s="309"/>
      <c r="P1033" s="310"/>
      <c r="Q1033" s="260"/>
      <c r="R1033" s="261"/>
      <c r="S1033" s="261"/>
      <c r="T1033" s="311"/>
      <c r="U1033" s="261"/>
      <c r="V1033" s="256"/>
      <c r="W1033" s="256"/>
      <c r="X1033" s="256"/>
      <c r="Y1033" s="256"/>
      <c r="Z1033" s="310"/>
      <c r="AA1033" s="200"/>
      <c r="AB1033" s="312"/>
      <c r="AC1033" s="313"/>
      <c r="AD1033" s="51"/>
      <c r="AE1033" s="314"/>
      <c r="AF1033" s="315"/>
      <c r="AG1033" s="309"/>
      <c r="AH1033" s="28"/>
      <c r="AI1033" s="28"/>
      <c r="AJ1033" s="28"/>
      <c r="AK1033" s="28"/>
      <c r="AL1033" s="12"/>
      <c r="AM1033" s="12"/>
      <c r="AN1033" s="12"/>
      <c r="AO1033" s="12"/>
      <c r="AP1033" s="12"/>
      <c r="AQ1033" s="13"/>
      <c r="AR1033" s="14"/>
    </row>
    <row r="1034" spans="1:44" s="16" customFormat="1" ht="30.95" hidden="1" customHeight="1" x14ac:dyDescent="0.2">
      <c r="A1034" s="303" t="s">
        <v>1828</v>
      </c>
      <c r="B1034" s="304" t="s">
        <v>1829</v>
      </c>
      <c r="C1034" s="305"/>
      <c r="D1034" s="29">
        <v>3735103</v>
      </c>
      <c r="E1034" s="29">
        <v>4170130</v>
      </c>
      <c r="F1034" s="255" t="str">
        <f>IF(D1034="","",VLOOKUP(D1034,契約台帳!$A$3:$K$4986,6,FALSE)&amp;VLOOKUP(D1034,契約台帳!$A$3:$K$4986,7,FALSE)&amp;VLOOKUP(D1034,契約台帳!$A$3:$K$4986,8,FALSE)&amp;VLOOKUP(D1034,契約台帳!$A$3:$K$4986,9,FALSE)&amp;VLOOKUP(D1034,契約台帳!$A$3:$K$4986,11,FALSE))</f>
        <v>3SNMLBMSF</v>
      </c>
      <c r="G1034" s="256" t="str">
        <f>IF(D1034="","",VLOOKUP(F1034,製品マスタ!$G$5:$H$4999,2,FALSE))</f>
        <v>S</v>
      </c>
      <c r="H1034" s="256" t="str">
        <f>IF(D1034="","",VLOOKUP(F1034,製品マスタ!$G$5:$K$4999,5,FALSE))</f>
        <v>MSF</v>
      </c>
      <c r="I1034" s="200" t="str">
        <f>IF(D1034="","",VLOOKUP(F1034,製品マスタ!$G$5:$L$4999,6,FALSE))</f>
        <v>メタルミー　Ｓ</v>
      </c>
      <c r="J1034" s="30" t="s">
        <v>464</v>
      </c>
      <c r="K1034" s="200">
        <f>IF(D1034="","",VLOOKUP(D1034,契約台帳!$A$3:$L$4986,12,FALSE))</f>
        <v>25</v>
      </c>
      <c r="L1034" s="200" t="str">
        <f>IF(D1034="","",INDEX(製品マスタ!$Q$5:$Q$4999,MATCH(F1034&amp;K1034,製品マスタ!$AO$5:$AO$4999,0)))</f>
        <v>T62M</v>
      </c>
      <c r="M1034" s="37">
        <v>1240</v>
      </c>
      <c r="N1034" s="37">
        <v>12200</v>
      </c>
      <c r="O1034" s="45">
        <v>1</v>
      </c>
      <c r="P1034" s="54">
        <v>45258</v>
      </c>
      <c r="Q1034" s="260">
        <f>IF(D1034="","",IF(J1034="リード付け",M1034,VLOOKUP(D1034,契約台帳!$A$3:$N$4986,14,FALSE)))</f>
        <v>1240</v>
      </c>
      <c r="R1034" s="261">
        <f>IF(D1034="","",IF(J1034="リード付け",M1034,VLOOKUP(D1034,契約台帳!$A$3:$O$4986,15,FALSE)))</f>
        <v>1240</v>
      </c>
      <c r="S1034" s="261">
        <f>IF(D1034="","",IF(J1034="リード付け",N1034,VLOOKUP(D1034,契約台帳!$A$3:$P$4986,16,FALSE)))</f>
        <v>12200</v>
      </c>
      <c r="T1034" s="38">
        <v>1</v>
      </c>
      <c r="U1034" s="261">
        <f ca="1">IF(D1034="","",IF(OFFSET(D1034,-2,0)=D1034,"",VLOOKUP(D1034,契約台帳!$A$3:$R$4986,18,FALSE)))</f>
        <v>6</v>
      </c>
      <c r="V1034" s="256" t="str">
        <f>IF(J1034="巻返し",VLOOKUP(F1034&amp;K1034&amp;M1034,製品マスタ!$M$5:$AD$4999,18,FALSE),IF(J1034="リード付け","原反コア",IF(J1034="スリット",VLOOKUP(F1034&amp;K1034&amp;Q1034,製品マスタ!$N$5:$AD$4999,17,FALSE),"")))</f>
        <v>原反コア</v>
      </c>
      <c r="W1034" s="256" t="str">
        <f>IF(J1034="巻返し",VLOOKUP(F1034&amp;K1034&amp;M1034,製品マスタ!$M$5:$AE$4999,19,FALSE),IF(J1034="リード付け","-",IF(J1034="スリット",VLOOKUP(F1034&amp;K1034&amp;Q1034,製品マスタ!$N$5:$AE$4999,18,FALSE),"")))</f>
        <v>-</v>
      </c>
      <c r="X1034" s="256">
        <f>IF(D1034="","",VLOOKUP(D1034,契約台帳!$A$3:$Q$4986,17,FALSE))</f>
        <v>1</v>
      </c>
      <c r="Y1034" s="256" t="str">
        <f>IF(D1034="","",VLOOKUP(D1034,契約台帳!$A$3:$E$4986,5,FALSE))</f>
        <v>日精㈱東京支店</v>
      </c>
      <c r="Z1034" s="310"/>
      <c r="AA1034" s="200">
        <f>IFERROR(VLOOKUP(F1034&amp;K1034&amp;M1034,製品マスタ!$M$5:$AM$4999,27,FALSE),"")</f>
        <v>0</v>
      </c>
      <c r="AB1034" s="312"/>
      <c r="AC1034" s="313"/>
      <c r="AD1034" s="51"/>
      <c r="AE1034" s="314">
        <f>+M1034*N1034*O1034/1000</f>
        <v>15128</v>
      </c>
      <c r="AF1034" s="315"/>
      <c r="AG1034" s="309"/>
      <c r="AH1034" s="28"/>
      <c r="AI1034" s="28"/>
      <c r="AJ1034" s="28"/>
      <c r="AK1034" s="28"/>
      <c r="AL1034" s="12"/>
      <c r="AM1034" s="12"/>
      <c r="AN1034" s="12"/>
      <c r="AO1034" s="12"/>
      <c r="AP1034" s="12"/>
      <c r="AQ1034" s="13"/>
      <c r="AR1034" s="14"/>
    </row>
    <row r="1035" spans="1:44" s="16" customFormat="1" ht="30.95" hidden="1" customHeight="1" x14ac:dyDescent="0.2">
      <c r="A1035" s="303"/>
      <c r="B1035" s="304"/>
      <c r="C1035" s="305"/>
      <c r="D1035" s="306"/>
      <c r="E1035" s="306"/>
      <c r="F1035" s="255"/>
      <c r="G1035" s="256"/>
      <c r="H1035" s="256"/>
      <c r="I1035" s="200"/>
      <c r="J1035" s="307"/>
      <c r="K1035" s="200"/>
      <c r="L1035" s="200"/>
      <c r="M1035" s="308"/>
      <c r="N1035" s="308"/>
      <c r="O1035" s="309"/>
      <c r="P1035" s="310"/>
      <c r="Q1035" s="260"/>
      <c r="R1035" s="261"/>
      <c r="S1035" s="261"/>
      <c r="T1035" s="311"/>
      <c r="U1035" s="261"/>
      <c r="V1035" s="256"/>
      <c r="W1035" s="256"/>
      <c r="X1035" s="256"/>
      <c r="Y1035" s="256"/>
      <c r="Z1035" s="310"/>
      <c r="AA1035" s="200"/>
      <c r="AB1035" s="312"/>
      <c r="AC1035" s="313"/>
      <c r="AD1035" s="51"/>
      <c r="AE1035" s="314"/>
      <c r="AF1035" s="315"/>
      <c r="AG1035" s="309"/>
      <c r="AH1035" s="28"/>
      <c r="AI1035" s="28"/>
      <c r="AJ1035" s="28"/>
      <c r="AK1035" s="28"/>
      <c r="AL1035" s="12"/>
      <c r="AM1035" s="12"/>
      <c r="AN1035" s="12"/>
      <c r="AO1035" s="12"/>
      <c r="AP1035" s="12"/>
      <c r="AQ1035" s="13"/>
      <c r="AR1035" s="14"/>
    </row>
    <row r="1036" spans="1:44" s="16" customFormat="1" ht="30.95" hidden="1" customHeight="1" x14ac:dyDescent="0.2">
      <c r="A1036" s="303" t="s">
        <v>1780</v>
      </c>
      <c r="B1036" s="304" t="s">
        <v>1767</v>
      </c>
      <c r="C1036" s="305"/>
      <c r="D1036" s="306"/>
      <c r="E1036" s="306"/>
      <c r="F1036" s="255"/>
      <c r="G1036" s="256"/>
      <c r="H1036" s="256"/>
      <c r="I1036" s="200"/>
      <c r="J1036" s="307"/>
      <c r="K1036" s="200"/>
      <c r="L1036" s="200"/>
      <c r="M1036" s="308"/>
      <c r="N1036" s="308"/>
      <c r="O1036" s="309"/>
      <c r="P1036" s="310"/>
      <c r="Q1036" s="260"/>
      <c r="R1036" s="261"/>
      <c r="S1036" s="261"/>
      <c r="T1036" s="311"/>
      <c r="U1036" s="261"/>
      <c r="V1036" s="256"/>
      <c r="W1036" s="256"/>
      <c r="X1036" s="256"/>
      <c r="Y1036" s="256"/>
      <c r="Z1036" s="310"/>
      <c r="AA1036" s="200"/>
      <c r="AB1036" s="312"/>
      <c r="AC1036" s="313"/>
      <c r="AD1036" s="51"/>
      <c r="AE1036" s="314"/>
      <c r="AF1036" s="315"/>
      <c r="AG1036" s="309"/>
      <c r="AH1036" s="28"/>
      <c r="AI1036" s="28"/>
      <c r="AJ1036" s="28"/>
      <c r="AK1036" s="28"/>
      <c r="AL1036" s="12"/>
      <c r="AM1036" s="12"/>
      <c r="AN1036" s="12"/>
      <c r="AO1036" s="12"/>
      <c r="AP1036" s="12"/>
      <c r="AQ1036" s="13"/>
      <c r="AR1036" s="14"/>
    </row>
    <row r="1037" spans="1:44" s="16" customFormat="1" ht="30.95" hidden="1" customHeight="1" x14ac:dyDescent="0.2">
      <c r="A1037" s="303"/>
      <c r="B1037" s="304"/>
      <c r="C1037" s="305"/>
      <c r="D1037" s="306"/>
      <c r="E1037" s="306"/>
      <c r="F1037" s="255"/>
      <c r="G1037" s="256"/>
      <c r="H1037" s="256"/>
      <c r="I1037" s="200"/>
      <c r="J1037" s="307"/>
      <c r="K1037" s="200"/>
      <c r="L1037" s="200"/>
      <c r="M1037" s="308"/>
      <c r="N1037" s="308"/>
      <c r="O1037" s="309"/>
      <c r="P1037" s="310"/>
      <c r="Q1037" s="260"/>
      <c r="R1037" s="261"/>
      <c r="S1037" s="261"/>
      <c r="T1037" s="311"/>
      <c r="U1037" s="261"/>
      <c r="V1037" s="256"/>
      <c r="W1037" s="256"/>
      <c r="X1037" s="256"/>
      <c r="Y1037" s="256"/>
      <c r="Z1037" s="310"/>
      <c r="AA1037" s="200"/>
      <c r="AB1037" s="312"/>
      <c r="AC1037" s="313"/>
      <c r="AD1037" s="51"/>
      <c r="AE1037" s="314"/>
      <c r="AF1037" s="315"/>
      <c r="AG1037" s="309"/>
      <c r="AH1037" s="28"/>
      <c r="AI1037" s="28"/>
      <c r="AJ1037" s="28"/>
      <c r="AK1037" s="28"/>
      <c r="AL1037" s="12"/>
      <c r="AM1037" s="12"/>
      <c r="AN1037" s="12"/>
      <c r="AO1037" s="12"/>
      <c r="AP1037" s="12"/>
      <c r="AQ1037" s="13"/>
      <c r="AR1037" s="14"/>
    </row>
    <row r="1038" spans="1:44" s="16" customFormat="1" ht="30.95" hidden="1" customHeight="1" x14ac:dyDescent="0.2">
      <c r="A1038" s="303" t="s">
        <v>1781</v>
      </c>
      <c r="B1038" s="304" t="s">
        <v>1768</v>
      </c>
      <c r="C1038" s="305"/>
      <c r="D1038" s="306"/>
      <c r="E1038" s="306"/>
      <c r="F1038" s="255"/>
      <c r="G1038" s="256"/>
      <c r="H1038" s="256"/>
      <c r="I1038" s="200"/>
      <c r="J1038" s="307"/>
      <c r="K1038" s="200"/>
      <c r="L1038" s="200"/>
      <c r="M1038" s="308"/>
      <c r="N1038" s="308"/>
      <c r="O1038" s="309"/>
      <c r="P1038" s="310"/>
      <c r="Q1038" s="260"/>
      <c r="R1038" s="261"/>
      <c r="S1038" s="261"/>
      <c r="T1038" s="311"/>
      <c r="U1038" s="261"/>
      <c r="V1038" s="256"/>
      <c r="W1038" s="256"/>
      <c r="X1038" s="256"/>
      <c r="Y1038" s="256"/>
      <c r="Z1038" s="310"/>
      <c r="AA1038" s="200"/>
      <c r="AB1038" s="312"/>
      <c r="AC1038" s="313"/>
      <c r="AD1038" s="51"/>
      <c r="AE1038" s="314"/>
      <c r="AF1038" s="315"/>
      <c r="AG1038" s="309"/>
      <c r="AH1038" s="28"/>
      <c r="AI1038" s="28"/>
      <c r="AJ1038" s="28"/>
      <c r="AK1038" s="28"/>
      <c r="AL1038" s="12"/>
      <c r="AM1038" s="12"/>
      <c r="AN1038" s="12"/>
      <c r="AO1038" s="12"/>
      <c r="AP1038" s="12"/>
      <c r="AQ1038" s="13"/>
      <c r="AR1038" s="14"/>
    </row>
    <row r="1039" spans="1:44" s="16" customFormat="1" ht="30.95" hidden="1" customHeight="1" x14ac:dyDescent="0.2">
      <c r="A1039" s="303"/>
      <c r="B1039" s="304"/>
      <c r="C1039" s="305"/>
      <c r="D1039" s="306"/>
      <c r="E1039" s="306"/>
      <c r="F1039" s="255"/>
      <c r="G1039" s="256"/>
      <c r="H1039" s="256"/>
      <c r="I1039" s="200"/>
      <c r="J1039" s="307"/>
      <c r="K1039" s="200"/>
      <c r="L1039" s="200"/>
      <c r="M1039" s="308"/>
      <c r="N1039" s="308"/>
      <c r="O1039" s="309"/>
      <c r="P1039" s="310"/>
      <c r="Q1039" s="260"/>
      <c r="R1039" s="261"/>
      <c r="S1039" s="261"/>
      <c r="T1039" s="311"/>
      <c r="U1039" s="261"/>
      <c r="V1039" s="256"/>
      <c r="W1039" s="256"/>
      <c r="X1039" s="256"/>
      <c r="Y1039" s="256"/>
      <c r="Z1039" s="310"/>
      <c r="AA1039" s="200"/>
      <c r="AB1039" s="312"/>
      <c r="AC1039" s="313"/>
      <c r="AD1039" s="51"/>
      <c r="AE1039" s="314"/>
      <c r="AF1039" s="315"/>
      <c r="AG1039" s="309"/>
      <c r="AH1039" s="28"/>
      <c r="AI1039" s="28"/>
      <c r="AJ1039" s="28"/>
      <c r="AK1039" s="28"/>
      <c r="AL1039" s="12"/>
      <c r="AM1039" s="12"/>
      <c r="AN1039" s="12"/>
      <c r="AO1039" s="12"/>
      <c r="AP1039" s="12"/>
      <c r="AQ1039" s="13"/>
      <c r="AR1039" s="14"/>
    </row>
    <row r="1040" spans="1:44" s="16" customFormat="1" ht="30.95" hidden="1" customHeight="1" x14ac:dyDescent="0.2">
      <c r="A1040" s="303" t="s">
        <v>1782</v>
      </c>
      <c r="B1040" s="304" t="s">
        <v>1770</v>
      </c>
      <c r="C1040" s="305"/>
      <c r="D1040" s="306"/>
      <c r="E1040" s="306"/>
      <c r="F1040" s="255"/>
      <c r="G1040" s="256"/>
      <c r="H1040" s="256"/>
      <c r="I1040" s="200"/>
      <c r="J1040" s="307" t="s">
        <v>448</v>
      </c>
      <c r="K1040" s="200"/>
      <c r="L1040" s="200"/>
      <c r="M1040" s="308"/>
      <c r="N1040" s="308"/>
      <c r="O1040" s="309"/>
      <c r="P1040" s="310"/>
      <c r="Q1040" s="260"/>
      <c r="R1040" s="261"/>
      <c r="S1040" s="261"/>
      <c r="T1040" s="311"/>
      <c r="U1040" s="261"/>
      <c r="V1040" s="256"/>
      <c r="W1040" s="256"/>
      <c r="X1040" s="256"/>
      <c r="Y1040" s="256"/>
      <c r="Z1040" s="310"/>
      <c r="AA1040" s="200"/>
      <c r="AB1040" s="312"/>
      <c r="AC1040" s="313"/>
      <c r="AD1040" s="51"/>
      <c r="AE1040" s="314"/>
      <c r="AF1040" s="315"/>
      <c r="AG1040" s="309"/>
      <c r="AH1040" s="28"/>
      <c r="AI1040" s="28"/>
      <c r="AJ1040" s="28"/>
      <c r="AK1040" s="28"/>
      <c r="AL1040" s="12"/>
      <c r="AM1040" s="12"/>
      <c r="AN1040" s="12"/>
      <c r="AO1040" s="12"/>
      <c r="AP1040" s="12"/>
      <c r="AQ1040" s="13"/>
      <c r="AR1040" s="14"/>
    </row>
    <row r="1041" spans="1:44" s="16" customFormat="1" ht="30.95" hidden="1" customHeight="1" x14ac:dyDescent="0.2">
      <c r="A1041" s="303"/>
      <c r="B1041" s="304"/>
      <c r="C1041" s="305"/>
      <c r="D1041" s="306"/>
      <c r="E1041" s="306"/>
      <c r="F1041" s="255"/>
      <c r="G1041" s="256"/>
      <c r="H1041" s="256"/>
      <c r="I1041" s="200"/>
      <c r="J1041" s="307"/>
      <c r="K1041" s="200"/>
      <c r="L1041" s="200"/>
      <c r="M1041" s="308"/>
      <c r="N1041" s="308"/>
      <c r="O1041" s="309"/>
      <c r="P1041" s="310"/>
      <c r="Q1041" s="260"/>
      <c r="R1041" s="261"/>
      <c r="S1041" s="261"/>
      <c r="T1041" s="311"/>
      <c r="U1041" s="261"/>
      <c r="V1041" s="256"/>
      <c r="W1041" s="256"/>
      <c r="X1041" s="256"/>
      <c r="Y1041" s="256"/>
      <c r="Z1041" s="310"/>
      <c r="AA1041" s="200"/>
      <c r="AB1041" s="312"/>
      <c r="AC1041" s="313"/>
      <c r="AD1041" s="51"/>
      <c r="AE1041" s="314"/>
      <c r="AF1041" s="315"/>
      <c r="AG1041" s="309"/>
      <c r="AH1041" s="28"/>
      <c r="AI1041" s="28"/>
      <c r="AJ1041" s="28"/>
      <c r="AK1041" s="28"/>
      <c r="AL1041" s="12"/>
      <c r="AM1041" s="12"/>
      <c r="AN1041" s="12"/>
      <c r="AO1041" s="12"/>
      <c r="AP1041" s="12"/>
      <c r="AQ1041" s="13"/>
      <c r="AR1041" s="14"/>
    </row>
    <row r="1042" spans="1:44" s="16" customFormat="1" ht="30.95" hidden="1" customHeight="1" x14ac:dyDescent="0.2">
      <c r="A1042" s="303" t="s">
        <v>1783</v>
      </c>
      <c r="B1042" s="304" t="s">
        <v>1772</v>
      </c>
      <c r="C1042" s="305"/>
      <c r="D1042" s="306"/>
      <c r="E1042" s="306"/>
      <c r="F1042" s="255"/>
      <c r="G1042" s="256"/>
      <c r="H1042" s="256"/>
      <c r="I1042" s="200"/>
      <c r="J1042" s="307" t="s">
        <v>448</v>
      </c>
      <c r="K1042" s="200"/>
      <c r="L1042" s="200"/>
      <c r="M1042" s="308"/>
      <c r="N1042" s="308"/>
      <c r="O1042" s="309"/>
      <c r="P1042" s="310"/>
      <c r="Q1042" s="260"/>
      <c r="R1042" s="261"/>
      <c r="S1042" s="261"/>
      <c r="T1042" s="311"/>
      <c r="U1042" s="261"/>
      <c r="V1042" s="256"/>
      <c r="W1042" s="256"/>
      <c r="X1042" s="256"/>
      <c r="Y1042" s="256"/>
      <c r="Z1042" s="310"/>
      <c r="AA1042" s="200"/>
      <c r="AB1042" s="312"/>
      <c r="AC1042" s="313"/>
      <c r="AD1042" s="51"/>
      <c r="AE1042" s="314"/>
      <c r="AF1042" s="315"/>
      <c r="AG1042" s="309"/>
      <c r="AH1042" s="28"/>
      <c r="AI1042" s="28"/>
      <c r="AJ1042" s="28"/>
      <c r="AK1042" s="28"/>
      <c r="AL1042" s="12"/>
      <c r="AM1042" s="12"/>
      <c r="AN1042" s="12"/>
      <c r="AO1042" s="12"/>
      <c r="AP1042" s="12"/>
      <c r="AQ1042" s="13"/>
      <c r="AR1042" s="14"/>
    </row>
    <row r="1043" spans="1:44" s="16" customFormat="1" ht="30.95" hidden="1" customHeight="1" x14ac:dyDescent="0.2">
      <c r="A1043" s="303"/>
      <c r="B1043" s="304"/>
      <c r="C1043" s="305"/>
      <c r="D1043" s="306"/>
      <c r="E1043" s="306"/>
      <c r="F1043" s="255"/>
      <c r="G1043" s="256"/>
      <c r="H1043" s="256"/>
      <c r="I1043" s="200"/>
      <c r="J1043" s="307"/>
      <c r="K1043" s="200"/>
      <c r="L1043" s="200"/>
      <c r="M1043" s="308"/>
      <c r="N1043" s="308"/>
      <c r="O1043" s="309"/>
      <c r="P1043" s="310"/>
      <c r="Q1043" s="260"/>
      <c r="R1043" s="261"/>
      <c r="S1043" s="261"/>
      <c r="T1043" s="311"/>
      <c r="U1043" s="261"/>
      <c r="V1043" s="256"/>
      <c r="W1043" s="256"/>
      <c r="X1043" s="256"/>
      <c r="Y1043" s="256"/>
      <c r="Z1043" s="310"/>
      <c r="AA1043" s="200"/>
      <c r="AB1043" s="312"/>
      <c r="AC1043" s="313"/>
      <c r="AD1043" s="51"/>
      <c r="AE1043" s="314"/>
      <c r="AF1043" s="315"/>
      <c r="AG1043" s="309"/>
      <c r="AH1043" s="28"/>
      <c r="AI1043" s="28"/>
      <c r="AJ1043" s="28"/>
      <c r="AK1043" s="28"/>
      <c r="AL1043" s="12"/>
      <c r="AM1043" s="12"/>
      <c r="AN1043" s="12"/>
      <c r="AO1043" s="12"/>
      <c r="AP1043" s="12"/>
      <c r="AQ1043" s="13"/>
      <c r="AR1043" s="14"/>
    </row>
    <row r="1044" spans="1:44" s="16" customFormat="1" ht="30.95" hidden="1" customHeight="1" x14ac:dyDescent="0.2">
      <c r="A1044" s="303" t="s">
        <v>1839</v>
      </c>
      <c r="B1044" s="304" t="s">
        <v>1840</v>
      </c>
      <c r="C1044" s="305"/>
      <c r="D1044" s="306"/>
      <c r="E1044" s="306"/>
      <c r="F1044" s="255"/>
      <c r="G1044" s="256"/>
      <c r="H1044" s="256"/>
      <c r="I1044" s="200"/>
      <c r="J1044" s="307"/>
      <c r="K1044" s="200"/>
      <c r="L1044" s="200"/>
      <c r="M1044" s="308"/>
      <c r="N1044" s="308"/>
      <c r="O1044" s="309"/>
      <c r="P1044" s="310"/>
      <c r="Q1044" s="260"/>
      <c r="R1044" s="261"/>
      <c r="S1044" s="261"/>
      <c r="T1044" s="311"/>
      <c r="U1044" s="261"/>
      <c r="V1044" s="256"/>
      <c r="W1044" s="256"/>
      <c r="X1044" s="256"/>
      <c r="Y1044" s="256"/>
      <c r="Z1044" s="310"/>
      <c r="AA1044" s="200"/>
      <c r="AB1044" s="312"/>
      <c r="AC1044" s="313"/>
      <c r="AD1044" s="51"/>
      <c r="AE1044" s="314"/>
      <c r="AF1044" s="315"/>
      <c r="AG1044" s="309"/>
      <c r="AH1044" s="28"/>
      <c r="AI1044" s="28"/>
      <c r="AJ1044" s="28"/>
      <c r="AK1044" s="28"/>
      <c r="AL1044" s="12"/>
      <c r="AM1044" s="12"/>
      <c r="AN1044" s="12"/>
      <c r="AO1044" s="12"/>
      <c r="AP1044" s="12"/>
      <c r="AQ1044" s="13"/>
      <c r="AR1044" s="14"/>
    </row>
    <row r="1045" spans="1:44" s="16" customFormat="1" ht="30.95" hidden="1" customHeight="1" x14ac:dyDescent="0.2">
      <c r="A1045" s="303"/>
      <c r="B1045" s="304"/>
      <c r="C1045" s="305"/>
      <c r="D1045" s="306"/>
      <c r="E1045" s="306"/>
      <c r="F1045" s="255"/>
      <c r="G1045" s="256"/>
      <c r="H1045" s="256"/>
      <c r="I1045" s="200"/>
      <c r="J1045" s="307"/>
      <c r="K1045" s="200"/>
      <c r="L1045" s="200"/>
      <c r="M1045" s="308"/>
      <c r="N1045" s="308"/>
      <c r="O1045" s="309"/>
      <c r="P1045" s="310"/>
      <c r="Q1045" s="260"/>
      <c r="R1045" s="261"/>
      <c r="S1045" s="261"/>
      <c r="T1045" s="311"/>
      <c r="U1045" s="261"/>
      <c r="V1045" s="256"/>
      <c r="W1045" s="256"/>
      <c r="X1045" s="256"/>
      <c r="Y1045" s="256"/>
      <c r="Z1045" s="310"/>
      <c r="AA1045" s="200"/>
      <c r="AB1045" s="312"/>
      <c r="AC1045" s="313"/>
      <c r="AD1045" s="51"/>
      <c r="AE1045" s="314"/>
      <c r="AF1045" s="315"/>
      <c r="AG1045" s="309"/>
      <c r="AH1045" s="28"/>
      <c r="AI1045" s="28"/>
      <c r="AJ1045" s="28"/>
      <c r="AK1045" s="28"/>
      <c r="AL1045" s="12"/>
      <c r="AM1045" s="12"/>
      <c r="AN1045" s="12"/>
      <c r="AO1045" s="12"/>
      <c r="AP1045" s="12"/>
      <c r="AQ1045" s="13"/>
      <c r="AR1045" s="14"/>
    </row>
    <row r="1046" spans="1:44" s="16" customFormat="1" ht="30.95" hidden="1" customHeight="1" x14ac:dyDescent="0.2">
      <c r="A1046" s="303" t="s">
        <v>1841</v>
      </c>
      <c r="B1046" s="304" t="s">
        <v>1405</v>
      </c>
      <c r="C1046" s="305"/>
      <c r="D1046" s="306"/>
      <c r="E1046" s="306"/>
      <c r="F1046" s="255"/>
      <c r="G1046" s="256"/>
      <c r="H1046" s="256"/>
      <c r="I1046" s="200"/>
      <c r="J1046" s="307"/>
      <c r="K1046" s="200"/>
      <c r="L1046" s="200"/>
      <c r="M1046" s="308"/>
      <c r="N1046" s="308"/>
      <c r="O1046" s="309"/>
      <c r="P1046" s="310"/>
      <c r="Q1046" s="260"/>
      <c r="R1046" s="261"/>
      <c r="S1046" s="261"/>
      <c r="T1046" s="311"/>
      <c r="U1046" s="261"/>
      <c r="V1046" s="256"/>
      <c r="W1046" s="256"/>
      <c r="X1046" s="256"/>
      <c r="Y1046" s="256"/>
      <c r="Z1046" s="310"/>
      <c r="AA1046" s="200"/>
      <c r="AB1046" s="312"/>
      <c r="AC1046" s="313"/>
      <c r="AD1046" s="51"/>
      <c r="AE1046" s="314"/>
      <c r="AF1046" s="315"/>
      <c r="AG1046" s="309"/>
      <c r="AH1046" s="28"/>
      <c r="AI1046" s="28"/>
      <c r="AJ1046" s="28"/>
      <c r="AK1046" s="28"/>
      <c r="AL1046" s="12"/>
      <c r="AM1046" s="12"/>
      <c r="AN1046" s="12"/>
      <c r="AO1046" s="12"/>
      <c r="AP1046" s="12"/>
      <c r="AQ1046" s="13"/>
      <c r="AR1046" s="14"/>
    </row>
    <row r="1047" spans="1:44" s="16" customFormat="1" ht="30.95" hidden="1" customHeight="1" x14ac:dyDescent="0.2">
      <c r="A1047" s="303"/>
      <c r="B1047" s="304"/>
      <c r="C1047" s="305"/>
      <c r="D1047" s="306"/>
      <c r="E1047" s="306"/>
      <c r="F1047" s="255"/>
      <c r="G1047" s="256"/>
      <c r="H1047" s="256"/>
      <c r="I1047" s="200"/>
      <c r="J1047" s="307"/>
      <c r="K1047" s="200"/>
      <c r="L1047" s="200"/>
      <c r="M1047" s="308"/>
      <c r="N1047" s="308"/>
      <c r="O1047" s="309"/>
      <c r="P1047" s="310"/>
      <c r="Q1047" s="260"/>
      <c r="R1047" s="261"/>
      <c r="S1047" s="261"/>
      <c r="T1047" s="311"/>
      <c r="U1047" s="261"/>
      <c r="V1047" s="256"/>
      <c r="W1047" s="256"/>
      <c r="X1047" s="256"/>
      <c r="Y1047" s="256"/>
      <c r="Z1047" s="310"/>
      <c r="AA1047" s="200"/>
      <c r="AB1047" s="312"/>
      <c r="AC1047" s="313"/>
      <c r="AD1047" s="51"/>
      <c r="AE1047" s="314"/>
      <c r="AF1047" s="315"/>
      <c r="AG1047" s="309"/>
      <c r="AH1047" s="28"/>
      <c r="AI1047" s="28"/>
      <c r="AJ1047" s="28"/>
      <c r="AK1047" s="28"/>
      <c r="AL1047" s="12"/>
      <c r="AM1047" s="12"/>
      <c r="AN1047" s="12"/>
      <c r="AO1047" s="12"/>
      <c r="AP1047" s="12"/>
      <c r="AQ1047" s="13"/>
      <c r="AR1047" s="14"/>
    </row>
    <row r="1048" spans="1:44" s="16" customFormat="1" ht="30.95" hidden="1" customHeight="1" x14ac:dyDescent="0.2">
      <c r="A1048" s="303" t="s">
        <v>1842</v>
      </c>
      <c r="B1048" s="304" t="s">
        <v>1412</v>
      </c>
      <c r="C1048" s="305"/>
      <c r="D1048" s="306"/>
      <c r="E1048" s="306"/>
      <c r="F1048" s="255"/>
      <c r="G1048" s="256"/>
      <c r="H1048" s="256"/>
      <c r="I1048" s="200"/>
      <c r="J1048" s="307"/>
      <c r="K1048" s="200"/>
      <c r="L1048" s="200"/>
      <c r="M1048" s="308"/>
      <c r="N1048" s="308"/>
      <c r="O1048" s="309"/>
      <c r="P1048" s="310"/>
      <c r="Q1048" s="260"/>
      <c r="R1048" s="261"/>
      <c r="S1048" s="261"/>
      <c r="T1048" s="311"/>
      <c r="U1048" s="261"/>
      <c r="V1048" s="256"/>
      <c r="W1048" s="256"/>
      <c r="X1048" s="256"/>
      <c r="Y1048" s="256"/>
      <c r="Z1048" s="310"/>
      <c r="AA1048" s="200"/>
      <c r="AB1048" s="312"/>
      <c r="AC1048" s="313"/>
      <c r="AD1048" s="51"/>
      <c r="AE1048" s="314"/>
      <c r="AF1048" s="315"/>
      <c r="AG1048" s="309"/>
      <c r="AH1048" s="28"/>
      <c r="AI1048" s="28"/>
      <c r="AJ1048" s="28"/>
      <c r="AK1048" s="28"/>
      <c r="AL1048" s="12"/>
      <c r="AM1048" s="12"/>
      <c r="AN1048" s="12"/>
      <c r="AO1048" s="12"/>
      <c r="AP1048" s="12"/>
      <c r="AQ1048" s="13"/>
      <c r="AR1048" s="14"/>
    </row>
    <row r="1049" spans="1:44" s="16" customFormat="1" ht="30.95" hidden="1" customHeight="1" x14ac:dyDescent="0.2">
      <c r="A1049" s="303"/>
      <c r="B1049" s="304"/>
      <c r="C1049" s="305"/>
      <c r="D1049" s="306"/>
      <c r="E1049" s="306"/>
      <c r="F1049" s="255"/>
      <c r="G1049" s="256"/>
      <c r="H1049" s="256"/>
      <c r="I1049" s="200"/>
      <c r="J1049" s="307"/>
      <c r="K1049" s="200"/>
      <c r="L1049" s="200"/>
      <c r="M1049" s="308"/>
      <c r="N1049" s="308"/>
      <c r="O1049" s="309"/>
      <c r="P1049" s="310"/>
      <c r="Q1049" s="260"/>
      <c r="R1049" s="261"/>
      <c r="S1049" s="261"/>
      <c r="T1049" s="311"/>
      <c r="U1049" s="261"/>
      <c r="V1049" s="256"/>
      <c r="W1049" s="256"/>
      <c r="X1049" s="256"/>
      <c r="Y1049" s="256"/>
      <c r="Z1049" s="310"/>
      <c r="AA1049" s="200"/>
      <c r="AB1049" s="312"/>
      <c r="AC1049" s="313"/>
      <c r="AD1049" s="51"/>
      <c r="AE1049" s="314"/>
      <c r="AF1049" s="315"/>
      <c r="AG1049" s="309"/>
      <c r="AH1049" s="28"/>
      <c r="AI1049" s="28"/>
      <c r="AJ1049" s="28"/>
      <c r="AK1049" s="28"/>
      <c r="AL1049" s="12"/>
      <c r="AM1049" s="12"/>
      <c r="AN1049" s="12"/>
      <c r="AO1049" s="12"/>
      <c r="AP1049" s="12"/>
      <c r="AQ1049" s="13"/>
      <c r="AR1049" s="14"/>
    </row>
    <row r="1050" spans="1:44" s="16" customFormat="1" ht="30.95" hidden="1" customHeight="1" x14ac:dyDescent="0.2">
      <c r="A1050" s="303" t="s">
        <v>1843</v>
      </c>
      <c r="B1050" s="304" t="s">
        <v>1408</v>
      </c>
      <c r="C1050" s="305"/>
      <c r="D1050" s="29">
        <v>3735103</v>
      </c>
      <c r="E1050" s="29">
        <v>4151562</v>
      </c>
      <c r="F1050" s="255" t="str">
        <f>IF(D1050="","",VLOOKUP(D1050,契約台帳!$A$3:$K$4986,6,FALSE)&amp;VLOOKUP(D1050,契約台帳!$A$3:$K$4986,7,FALSE)&amp;VLOOKUP(D1050,契約台帳!$A$3:$K$4986,8,FALSE)&amp;VLOOKUP(D1050,契約台帳!$A$3:$K$4986,9,FALSE)&amp;VLOOKUP(D1050,契約台帳!$A$3:$K$4986,11,FALSE))</f>
        <v>3SNMLBMSF</v>
      </c>
      <c r="G1050" s="256" t="str">
        <f>IF(D1050="","",VLOOKUP(F1050,製品マスタ!$G$5:$H$4999,2,FALSE))</f>
        <v>S</v>
      </c>
      <c r="H1050" s="256" t="str">
        <f>IF(D1050="","",VLOOKUP(F1050,製品マスタ!$G$5:$K$4999,5,FALSE))</f>
        <v>MSF</v>
      </c>
      <c r="I1050" s="200" t="str">
        <f>IF(D1050="","",VLOOKUP(F1050,製品マスタ!$G$5:$L$4999,6,FALSE))</f>
        <v>メタルミー　Ｓ</v>
      </c>
      <c r="J1050" s="30" t="s">
        <v>447</v>
      </c>
      <c r="K1050" s="200">
        <f>IF(D1050="","",VLOOKUP(D1050,契約台帳!$A$3:$L$4986,12,FALSE))</f>
        <v>25</v>
      </c>
      <c r="L1050" s="200" t="str">
        <f>IF(D1050="","",INDEX(製品マスタ!$Q$5:$Q$4999,MATCH(F1050&amp;K1050,製品マスタ!$AO$5:$AO$4999,0)))</f>
        <v>T62M</v>
      </c>
      <c r="M1050" s="37">
        <v>1240</v>
      </c>
      <c r="N1050" s="37">
        <v>12200</v>
      </c>
      <c r="O1050" s="45">
        <v>1</v>
      </c>
      <c r="P1050" s="54"/>
      <c r="Q1050" s="260">
        <f>IF(D1050="","",IF(J1050="リード付け",M1050,VLOOKUP(D1050,契約台帳!$A$3:$N$4986,14,FALSE)))</f>
        <v>1240</v>
      </c>
      <c r="R1050" s="261">
        <f>IF(D1050="","",IF(J1050="リード付け",M1050,VLOOKUP(D1050,契約台帳!$A$3:$O$4986,15,FALSE)))</f>
        <v>1240</v>
      </c>
      <c r="S1050" s="261">
        <f>IF(D1050="","",IF(J1050="リード付け",N1050,VLOOKUP(D1050,契約台帳!$A$3:$P$4986,16,FALSE)))</f>
        <v>2000</v>
      </c>
      <c r="T1050" s="38">
        <v>6</v>
      </c>
      <c r="U1050" s="261">
        <f ca="1">IF(D1050="","",IF(OFFSET(D1050,-2,0)=D1050,"",VLOOKUP(D1050,契約台帳!$A$3:$R$4986,18,FALSE)))</f>
        <v>6</v>
      </c>
      <c r="V1050" s="256" t="str">
        <f>IF(J1050="巻返し",VLOOKUP(F1050&amp;K1050&amp;M1050,製品マスタ!$M$5:$AD$4999,18,FALSE),IF(J1050="リード付け","原反コア",IF(J1050="スリット",VLOOKUP(F1050&amp;K1050&amp;Q1050,製品マスタ!$N$5:$AD$4999,17,FALSE),"")))</f>
        <v>3ｲﾝﾁSｺｱ</v>
      </c>
      <c r="W1050" s="256">
        <f>IF(J1050="巻返し",VLOOKUP(F1050&amp;K1050&amp;M1050,製品マスタ!$M$5:$AE$4999,19,FALSE),IF(J1050="リード付け","-",IF(J1050="スリット",VLOOKUP(F1050&amp;K1050&amp;Q1050,製品マスタ!$N$5:$AE$4999,18,FALSE),"")))</f>
        <v>1245</v>
      </c>
      <c r="X1050" s="256">
        <f>IF(D1050="","",VLOOKUP(D1050,契約台帳!$A$3:$Q$4986,17,FALSE))</f>
        <v>1</v>
      </c>
      <c r="Y1050" s="256" t="str">
        <f>IF(D1050="","",VLOOKUP(D1050,契約台帳!$A$3:$E$4986,5,FALSE))</f>
        <v>日精㈱東京支店</v>
      </c>
      <c r="Z1050" s="310">
        <v>45272</v>
      </c>
      <c r="AA1050" s="200"/>
      <c r="AB1050" s="312"/>
      <c r="AC1050" s="313"/>
      <c r="AD1050" s="51" t="str">
        <f>IF(F1050="","",+F1050&amp;K1050)</f>
        <v>3SNMLBMSF25</v>
      </c>
      <c r="AE1050" s="52">
        <f>+M1050*N1050*O1050/1000</f>
        <v>15128</v>
      </c>
      <c r="AF1050" s="41">
        <f>IF(AD1050="","",VLOOKUP(AD1050,原価マスタ!$A$2:$AJ$1693,13,FALSE))</f>
        <v>97</v>
      </c>
      <c r="AG1050" s="45">
        <f>IF(AF1050="","",+AE1050*AF1050/100)</f>
        <v>14674.16</v>
      </c>
      <c r="AH1050" s="28"/>
      <c r="AI1050" s="28"/>
      <c r="AJ1050" s="28"/>
      <c r="AK1050" s="28"/>
      <c r="AL1050" s="12"/>
      <c r="AM1050" s="12"/>
      <c r="AN1050" s="12"/>
      <c r="AO1050" s="12"/>
      <c r="AP1050" s="12"/>
      <c r="AQ1050" s="13"/>
      <c r="AR1050" s="14"/>
    </row>
    <row r="1051" spans="1:44" s="16" customFormat="1" ht="30.95" hidden="1" customHeight="1" x14ac:dyDescent="0.2">
      <c r="A1051" s="303"/>
      <c r="B1051" s="304"/>
      <c r="C1051" s="305"/>
      <c r="D1051" s="306"/>
      <c r="E1051" s="306"/>
      <c r="F1051" s="255"/>
      <c r="G1051" s="256"/>
      <c r="H1051" s="256"/>
      <c r="I1051" s="200"/>
      <c r="J1051" s="307"/>
      <c r="K1051" s="200"/>
      <c r="L1051" s="200"/>
      <c r="M1051" s="308"/>
      <c r="N1051" s="308"/>
      <c r="O1051" s="309"/>
      <c r="P1051" s="310"/>
      <c r="Q1051" s="260"/>
      <c r="R1051" s="261"/>
      <c r="S1051" s="261"/>
      <c r="T1051" s="311"/>
      <c r="U1051" s="261"/>
      <c r="V1051" s="256"/>
      <c r="W1051" s="256"/>
      <c r="X1051" s="256"/>
      <c r="Y1051" s="256"/>
      <c r="Z1051" s="310"/>
      <c r="AA1051" s="200"/>
      <c r="AB1051" s="312"/>
      <c r="AC1051" s="313"/>
      <c r="AD1051" s="51"/>
      <c r="AE1051" s="314"/>
      <c r="AF1051" s="315"/>
      <c r="AG1051" s="309"/>
      <c r="AH1051" s="28"/>
      <c r="AI1051" s="28"/>
      <c r="AJ1051" s="28"/>
      <c r="AK1051" s="28"/>
      <c r="AL1051" s="12"/>
      <c r="AM1051" s="12"/>
      <c r="AN1051" s="12"/>
      <c r="AO1051" s="12"/>
      <c r="AP1051" s="12"/>
      <c r="AQ1051" s="13"/>
      <c r="AR1051" s="14"/>
    </row>
    <row r="1052" spans="1:44" s="16" customFormat="1" ht="30.95" hidden="1" customHeight="1" x14ac:dyDescent="0.2">
      <c r="A1052" s="303" t="s">
        <v>1846</v>
      </c>
      <c r="B1052" s="304" t="s">
        <v>1847</v>
      </c>
      <c r="C1052" s="305"/>
      <c r="D1052" s="29">
        <v>3735105</v>
      </c>
      <c r="E1052" s="29">
        <v>4151548</v>
      </c>
      <c r="F1052" s="255" t="str">
        <f>IF(D1052="","",VLOOKUP(D1052,契約台帳!$A$3:$K$4986,6,FALSE)&amp;VLOOKUP(D1052,契約台帳!$A$3:$K$4986,7,FALSE)&amp;VLOOKUP(D1052,契約台帳!$A$3:$K$4986,8,FALSE)&amp;VLOOKUP(D1052,契約台帳!$A$3:$K$4986,9,FALSE)&amp;VLOOKUP(D1052,契約台帳!$A$3:$K$4986,11,FALSE))</f>
        <v>3SNMLBMNGKKBF</v>
      </c>
      <c r="G1052" s="256" t="str">
        <f>IF(D1052="","",VLOOKUP(F1052,製品マスタ!$G$5:$H$4999,2,FALSE))</f>
        <v>S</v>
      </c>
      <c r="H1052" s="256" t="str">
        <f>IF(D1052="","",VLOOKUP(F1052,製品マスタ!$G$5:$K$4999,5,FALSE))</f>
        <v>MNGKKBF</v>
      </c>
      <c r="I1052" s="200" t="str">
        <f>IF(D1052="","",VLOOKUP(F1052,製品マスタ!$G$5:$L$4999,6,FALSE))</f>
        <v>メタルミー　ネーマー銀消改　Ｂ</v>
      </c>
      <c r="J1052" s="30" t="s">
        <v>447</v>
      </c>
      <c r="K1052" s="200">
        <f>IF(D1052="","",VLOOKUP(D1052,契約台帳!$A$3:$L$4986,12,FALSE))</f>
        <v>25</v>
      </c>
      <c r="L1052" s="200" t="str">
        <f>IF(D1052="","",INDEX(製品マスタ!$Q$5:$Q$4999,MATCH(F1052&amp;K1052,製品マスタ!$AO$5:$AO$4999,0)))</f>
        <v>FMATS99</v>
      </c>
      <c r="M1052" s="37">
        <v>1120</v>
      </c>
      <c r="N1052" s="37">
        <v>12000</v>
      </c>
      <c r="O1052" s="45">
        <v>3</v>
      </c>
      <c r="P1052" s="54"/>
      <c r="Q1052" s="260">
        <f>IF(D1052="","",IF(J1052="リード付け",M1052,VLOOKUP(D1052,契約台帳!$A$3:$N$4986,14,FALSE)))</f>
        <v>1120</v>
      </c>
      <c r="R1052" s="261">
        <f>IF(D1052="","",IF(J1052="リード付け",M1052,VLOOKUP(D1052,契約台帳!$A$3:$O$4986,15,FALSE)))</f>
        <v>1120</v>
      </c>
      <c r="S1052" s="261">
        <f>IF(D1052="","",IF(J1052="リード付け",N1052,VLOOKUP(D1052,契約台帳!$A$3:$P$4986,16,FALSE)))</f>
        <v>4000</v>
      </c>
      <c r="T1052" s="38">
        <v>9</v>
      </c>
      <c r="U1052" s="261">
        <f ca="1">IF(D1052="","",IF(OFFSET(D1052,-2,0)=D1052,"",VLOOKUP(D1052,契約台帳!$A$3:$R$4986,18,FALSE)))</f>
        <v>9</v>
      </c>
      <c r="V1052" s="256" t="str">
        <f>IF(J1052="巻返し",VLOOKUP(F1052&amp;K1052&amp;M1052,製品マスタ!$M$5:$AD$4999,18,FALSE),IF(J1052="リード付け","原反コア",IF(J1052="スリット",VLOOKUP(F1052&amp;K1052&amp;Q1052,製品マスタ!$N$5:$AD$4999,17,FALSE),"")))</f>
        <v>6ｲﾝﾁSｺｱ</v>
      </c>
      <c r="W1052" s="256">
        <f>IF(J1052="巻返し",VLOOKUP(F1052&amp;K1052&amp;M1052,製品マスタ!$M$5:$AE$4999,19,FALSE),IF(J1052="リード付け","-",IF(J1052="スリット",VLOOKUP(F1052&amp;K1052&amp;Q1052,製品マスタ!$N$5:$AE$4999,18,FALSE),"")))</f>
        <v>1125</v>
      </c>
      <c r="X1052" s="256">
        <f>IF(D1052="","",VLOOKUP(D1052,契約台帳!$A$3:$Q$4986,17,FALSE))</f>
        <v>2</v>
      </c>
      <c r="Y1052" s="256" t="str">
        <f>IF(D1052="","",VLOOKUP(D1052,契約台帳!$A$3:$E$4986,5,FALSE))</f>
        <v>リンテック㈱</v>
      </c>
      <c r="Z1052" s="310">
        <v>45272</v>
      </c>
      <c r="AA1052" s="200"/>
      <c r="AB1052" s="312"/>
      <c r="AC1052" s="313"/>
      <c r="AD1052" s="51" t="str">
        <f>IF(F1052="","",+F1052&amp;K1052)</f>
        <v>3SNMLBMNGKKBF25</v>
      </c>
      <c r="AE1052" s="52">
        <f>+M1052*N1052*O1052/1000</f>
        <v>40320</v>
      </c>
      <c r="AF1052" s="41">
        <f>IF(AD1052="","",VLOOKUP(AD1052,原価マスタ!$A$2:$AJ$1693,13,FALSE))</f>
        <v>96</v>
      </c>
      <c r="AG1052" s="45">
        <f>IF(AF1052="","",+AE1052*AF1052/100)</f>
        <v>38707.199999999997</v>
      </c>
      <c r="AH1052" s="28"/>
      <c r="AI1052" s="28"/>
      <c r="AJ1052" s="28"/>
      <c r="AK1052" s="28"/>
      <c r="AL1052" s="12"/>
      <c r="AM1052" s="12"/>
      <c r="AN1052" s="12"/>
      <c r="AO1052" s="12"/>
      <c r="AP1052" s="12"/>
      <c r="AQ1052" s="13"/>
      <c r="AR1052" s="14"/>
    </row>
    <row r="1053" spans="1:44" s="16" customFormat="1" ht="30.95" hidden="1" customHeight="1" x14ac:dyDescent="0.2">
      <c r="A1053" s="303"/>
      <c r="B1053" s="304"/>
      <c r="C1053" s="305"/>
      <c r="D1053" s="306"/>
      <c r="E1053" s="306"/>
      <c r="F1053" s="255"/>
      <c r="G1053" s="256"/>
      <c r="H1053" s="256"/>
      <c r="I1053" s="200"/>
      <c r="J1053" s="307"/>
      <c r="K1053" s="200"/>
      <c r="L1053" s="200"/>
      <c r="M1053" s="308"/>
      <c r="N1053" s="308"/>
      <c r="O1053" s="309"/>
      <c r="P1053" s="310"/>
      <c r="Q1053" s="260"/>
      <c r="R1053" s="261"/>
      <c r="S1053" s="261"/>
      <c r="T1053" s="311"/>
      <c r="U1053" s="261"/>
      <c r="V1053" s="256"/>
      <c r="W1053" s="256"/>
      <c r="X1053" s="256"/>
      <c r="Y1053" s="256"/>
      <c r="Z1053" s="310"/>
      <c r="AA1053" s="200"/>
      <c r="AB1053" s="312"/>
      <c r="AC1053" s="313"/>
      <c r="AD1053" s="51"/>
      <c r="AE1053" s="314"/>
      <c r="AF1053" s="315"/>
      <c r="AG1053" s="309"/>
      <c r="AH1053" s="28"/>
      <c r="AI1053" s="28"/>
      <c r="AJ1053" s="28"/>
      <c r="AK1053" s="28"/>
      <c r="AL1053" s="12"/>
      <c r="AM1053" s="12"/>
      <c r="AN1053" s="12"/>
      <c r="AO1053" s="12"/>
      <c r="AP1053" s="12"/>
      <c r="AQ1053" s="13"/>
      <c r="AR1053" s="14"/>
    </row>
    <row r="1054" spans="1:44" s="16" customFormat="1" ht="30.95" hidden="1" customHeight="1" x14ac:dyDescent="0.2">
      <c r="A1054" s="303"/>
      <c r="B1054" s="304"/>
      <c r="C1054" s="305"/>
      <c r="D1054" s="29">
        <v>3735110</v>
      </c>
      <c r="E1054" s="29">
        <v>4151543</v>
      </c>
      <c r="F1054" s="255" t="str">
        <f>IF(D1054="","",VLOOKUP(D1054,契約台帳!$A$3:$K$4986,6,FALSE)&amp;VLOOKUP(D1054,契約台帳!$A$3:$K$4986,7,FALSE)&amp;VLOOKUP(D1054,契約台帳!$A$3:$K$4986,8,FALSE)&amp;VLOOKUP(D1054,契約台帳!$A$3:$K$4986,9,FALSE)&amp;VLOOKUP(D1054,契約台帳!$A$3:$K$4986,11,FALSE))</f>
        <v>3SNMLBMNGKBF</v>
      </c>
      <c r="G1054" s="256" t="str">
        <f>IF(D1054="","",VLOOKUP(F1054,製品マスタ!$G$5:$H$4999,2,FALSE))</f>
        <v>S</v>
      </c>
      <c r="H1054" s="256" t="str">
        <f>IF(D1054="","",VLOOKUP(F1054,製品マスタ!$G$5:$K$4999,5,FALSE))</f>
        <v>MNGKBF</v>
      </c>
      <c r="I1054" s="200" t="str">
        <f>IF(D1054="","",VLOOKUP(F1054,製品マスタ!$G$5:$L$4999,6,FALSE))</f>
        <v>メタルミー　ネーマー銀消　Ｂ</v>
      </c>
      <c r="J1054" s="30" t="s">
        <v>447</v>
      </c>
      <c r="K1054" s="200">
        <f>IF(D1054="","",VLOOKUP(D1054,契約台帳!$A$3:$L$4986,12,FALSE))</f>
        <v>25</v>
      </c>
      <c r="L1054" s="200" t="str">
        <f>IF(D1054="","",INDEX(製品マスタ!$Q$5:$Q$4999,MATCH(F1054&amp;K1054,製品マスタ!$AO$5:$AO$4999,0)))</f>
        <v>LUMIMAT</v>
      </c>
      <c r="M1054" s="37">
        <v>1050</v>
      </c>
      <c r="N1054" s="37">
        <v>8000</v>
      </c>
      <c r="O1054" s="45">
        <v>1</v>
      </c>
      <c r="P1054" s="54"/>
      <c r="Q1054" s="260">
        <f>IF(D1054="","",IF(J1054="リード付け",M1054,VLOOKUP(D1054,契約台帳!$A$3:$N$4986,14,FALSE)))</f>
        <v>1050</v>
      </c>
      <c r="R1054" s="261">
        <f>IF(D1054="","",IF(J1054="リード付け",M1054,VLOOKUP(D1054,契約台帳!$A$3:$O$4986,15,FALSE)))</f>
        <v>1050</v>
      </c>
      <c r="S1054" s="261">
        <f>IF(D1054="","",IF(J1054="リード付け",N1054,VLOOKUP(D1054,契約台帳!$A$3:$P$4986,16,FALSE)))</f>
        <v>4000</v>
      </c>
      <c r="T1054" s="38">
        <v>2</v>
      </c>
      <c r="U1054" s="261">
        <f ca="1">IF(D1054="","",IF(OFFSET(D1054,-2,0)=D1054,"",VLOOKUP(D1054,契約台帳!$A$3:$R$4986,18,FALSE)))</f>
        <v>2</v>
      </c>
      <c r="V1054" s="256" t="str">
        <f>IF(J1054="巻返し",VLOOKUP(F1054&amp;K1054&amp;M1054,製品マスタ!$M$5:$AD$4999,18,FALSE),IF(J1054="リード付け","原反コア",IF(J1054="スリット",VLOOKUP(F1054&amp;K1054&amp;Q1054,製品マスタ!$N$5:$AD$4999,17,FALSE),"")))</f>
        <v>6ｲﾝﾁSｺｱ</v>
      </c>
      <c r="W1054" s="256">
        <f>IF(J1054="巻返し",VLOOKUP(F1054&amp;K1054&amp;M1054,製品マスタ!$M$5:$AE$4999,19,FALSE),IF(J1054="リード付け","-",IF(J1054="スリット",VLOOKUP(F1054&amp;K1054&amp;Q1054,製品マスタ!$N$5:$AE$4999,18,FALSE),"")))</f>
        <v>1055</v>
      </c>
      <c r="X1054" s="256">
        <f>IF(D1054="","",VLOOKUP(D1054,契約台帳!$A$3:$Q$4986,17,FALSE))</f>
        <v>2</v>
      </c>
      <c r="Y1054" s="256" t="str">
        <f>IF(D1054="","",VLOOKUP(D1054,契約台帳!$A$3:$E$4986,5,FALSE))</f>
        <v>リンテック㈱</v>
      </c>
      <c r="Z1054" s="310">
        <v>45272</v>
      </c>
      <c r="AA1054" s="200"/>
      <c r="AB1054" s="312"/>
      <c r="AC1054" s="313"/>
      <c r="AD1054" s="51" t="str">
        <f>IF(F1054="","",+F1054&amp;K1054)</f>
        <v>3SNMLBMNGKBF25</v>
      </c>
      <c r="AE1054" s="52">
        <f>+M1054*N1054*O1054/1000</f>
        <v>8400</v>
      </c>
      <c r="AF1054" s="41" t="e">
        <f>IF(AD1054="","",VLOOKUP(AD1054,原価マスタ!$A$2:$AJ$1693,13,FALSE))</f>
        <v>#N/A</v>
      </c>
      <c r="AG1054" s="45" t="e">
        <f>IF(AF1054="","",+AE1054*AF1054/100)</f>
        <v>#N/A</v>
      </c>
      <c r="AH1054" s="28"/>
      <c r="AI1054" s="28"/>
      <c r="AJ1054" s="28"/>
      <c r="AK1054" s="28"/>
      <c r="AL1054" s="12"/>
      <c r="AM1054" s="12"/>
      <c r="AN1054" s="12"/>
      <c r="AO1054" s="12"/>
      <c r="AP1054" s="12"/>
      <c r="AQ1054" s="13"/>
      <c r="AR1054" s="14"/>
    </row>
    <row r="1055" spans="1:44" s="16" customFormat="1" ht="30.95" hidden="1" customHeight="1" x14ac:dyDescent="0.2">
      <c r="A1055" s="303"/>
      <c r="B1055" s="304"/>
      <c r="C1055" s="305"/>
      <c r="D1055" s="306"/>
      <c r="E1055" s="306"/>
      <c r="F1055" s="255"/>
      <c r="G1055" s="256"/>
      <c r="H1055" s="256"/>
      <c r="I1055" s="200"/>
      <c r="J1055" s="307"/>
      <c r="K1055" s="200"/>
      <c r="L1055" s="200"/>
      <c r="M1055" s="308"/>
      <c r="N1055" s="308"/>
      <c r="O1055" s="309"/>
      <c r="P1055" s="310"/>
      <c r="Q1055" s="260"/>
      <c r="R1055" s="261"/>
      <c r="S1055" s="261"/>
      <c r="T1055" s="311"/>
      <c r="U1055" s="261"/>
      <c r="V1055" s="256"/>
      <c r="W1055" s="256"/>
      <c r="X1055" s="256"/>
      <c r="Y1055" s="256"/>
      <c r="Z1055" s="310"/>
      <c r="AA1055" s="200"/>
      <c r="AB1055" s="312"/>
      <c r="AC1055" s="313"/>
      <c r="AD1055" s="51"/>
      <c r="AE1055" s="314"/>
      <c r="AF1055" s="315"/>
      <c r="AG1055" s="309"/>
      <c r="AH1055" s="28"/>
      <c r="AI1055" s="28"/>
      <c r="AJ1055" s="28"/>
      <c r="AK1055" s="28"/>
      <c r="AL1055" s="12"/>
      <c r="AM1055" s="12"/>
      <c r="AN1055" s="12"/>
      <c r="AO1055" s="12"/>
      <c r="AP1055" s="12"/>
      <c r="AQ1055" s="13"/>
      <c r="AR1055" s="14"/>
    </row>
    <row r="1056" spans="1:44" s="16" customFormat="1" ht="30.95" hidden="1" customHeight="1" x14ac:dyDescent="0.2">
      <c r="A1056" s="303"/>
      <c r="B1056" s="304"/>
      <c r="C1056" s="305"/>
      <c r="D1056" s="29">
        <v>3735111</v>
      </c>
      <c r="E1056" s="29">
        <v>4151545</v>
      </c>
      <c r="F1056" s="255" t="str">
        <f>IF(D1056="","",VLOOKUP(D1056,契約台帳!$A$3:$K$4986,6,FALSE)&amp;VLOOKUP(D1056,契約台帳!$A$3:$K$4986,7,FALSE)&amp;VLOOKUP(D1056,契約台帳!$A$3:$K$4986,8,FALSE)&amp;VLOOKUP(D1056,契約台帳!$A$3:$K$4986,9,FALSE)&amp;VLOOKUP(D1056,契約台帳!$A$3:$K$4986,11,FALSE))</f>
        <v>3SNMLBMNGKBF</v>
      </c>
      <c r="G1056" s="256" t="str">
        <f>IF(D1056="","",VLOOKUP(F1056,製品マスタ!$G$5:$H$4999,2,FALSE))</f>
        <v>S</v>
      </c>
      <c r="H1056" s="256" t="str">
        <f>IF(D1056="","",VLOOKUP(F1056,製品マスタ!$G$5:$K$4999,5,FALSE))</f>
        <v>MNGKBF</v>
      </c>
      <c r="I1056" s="200" t="str">
        <f>IF(D1056="","",VLOOKUP(F1056,製品マスタ!$G$5:$L$4999,6,FALSE))</f>
        <v>メタルミー　ネーマー銀消　Ｂ</v>
      </c>
      <c r="J1056" s="30" t="s">
        <v>447</v>
      </c>
      <c r="K1056" s="200">
        <f>IF(D1056="","",VLOOKUP(D1056,契約台帳!$A$3:$L$4986,12,FALSE))</f>
        <v>50</v>
      </c>
      <c r="L1056" s="200" t="str">
        <f>IF(D1056="","",INDEX(製品マスタ!$Q$5:$Q$4999,MATCH(F1056&amp;K1056,製品マスタ!$AO$5:$AO$4999,0)))</f>
        <v>MAT</v>
      </c>
      <c r="M1056" s="37">
        <v>1050</v>
      </c>
      <c r="N1056" s="37">
        <v>12300</v>
      </c>
      <c r="O1056" s="45">
        <v>1</v>
      </c>
      <c r="P1056" s="54"/>
      <c r="Q1056" s="260">
        <f>IF(D1056="","",IF(J1056="リード付け",M1056,VLOOKUP(D1056,契約台帳!$A$3:$N$4986,14,FALSE)))</f>
        <v>1050</v>
      </c>
      <c r="R1056" s="261">
        <f>IF(D1056="","",IF(J1056="リード付け",M1056,VLOOKUP(D1056,契約台帳!$A$3:$O$4986,15,FALSE)))</f>
        <v>1050</v>
      </c>
      <c r="S1056" s="261">
        <f>IF(D1056="","",IF(J1056="リード付け",N1056,VLOOKUP(D1056,契約台帳!$A$3:$P$4986,16,FALSE)))</f>
        <v>4100</v>
      </c>
      <c r="T1056" s="38">
        <v>3</v>
      </c>
      <c r="U1056" s="261">
        <f ca="1">IF(D1056="","",IF(OFFSET(D1056,-2,0)=D1056,"",VLOOKUP(D1056,契約台帳!$A$3:$R$4986,18,FALSE)))</f>
        <v>3</v>
      </c>
      <c r="V1056" s="256" t="str">
        <f>IF(J1056="巻返し",VLOOKUP(F1056&amp;K1056&amp;M1056,製品マスタ!$M$5:$AD$4999,18,FALSE),IF(J1056="リード付け","原反コア",IF(J1056="スリット",VLOOKUP(F1056&amp;K1056&amp;Q1056,製品マスタ!$N$5:$AD$4999,17,FALSE),"")))</f>
        <v>6ｲﾝﾁSｺｱ</v>
      </c>
      <c r="W1056" s="256">
        <f>IF(J1056="巻返し",VLOOKUP(F1056&amp;K1056&amp;M1056,製品マスタ!$M$5:$AE$4999,19,FALSE),IF(J1056="リード付け","-",IF(J1056="スリット",VLOOKUP(F1056&amp;K1056&amp;Q1056,製品マスタ!$N$5:$AE$4999,18,FALSE),"")))</f>
        <v>1055</v>
      </c>
      <c r="X1056" s="256">
        <f>IF(D1056="","",VLOOKUP(D1056,契約台帳!$A$3:$Q$4986,17,FALSE))</f>
        <v>2</v>
      </c>
      <c r="Y1056" s="256" t="str">
        <f>IF(D1056="","",VLOOKUP(D1056,契約台帳!$A$3:$E$4986,5,FALSE))</f>
        <v>リンテック㈱</v>
      </c>
      <c r="Z1056" s="310">
        <v>45272</v>
      </c>
      <c r="AA1056" s="200"/>
      <c r="AB1056" s="312"/>
      <c r="AC1056" s="313"/>
      <c r="AD1056" s="51" t="str">
        <f>IF(F1056="","",+F1056&amp;K1056)</f>
        <v>3SNMLBMNGKBF50</v>
      </c>
      <c r="AE1056" s="52">
        <f>+M1056*N1056*O1056/1000</f>
        <v>12915</v>
      </c>
      <c r="AF1056" s="41">
        <f>IF(AD1056="","",VLOOKUP(AD1056,原価マスタ!$A$2:$AJ$1693,13,FALSE))</f>
        <v>98</v>
      </c>
      <c r="AG1056" s="45">
        <f>IF(AF1056="","",+AE1056*AF1056/100)</f>
        <v>12656.7</v>
      </c>
      <c r="AH1056" s="28"/>
      <c r="AI1056" s="28"/>
      <c r="AJ1056" s="28"/>
      <c r="AK1056" s="28"/>
      <c r="AL1056" s="12"/>
      <c r="AM1056" s="12"/>
      <c r="AN1056" s="12"/>
      <c r="AO1056" s="12"/>
      <c r="AP1056" s="12"/>
      <c r="AQ1056" s="13"/>
      <c r="AR1056" s="14"/>
    </row>
    <row r="1057" spans="1:44" s="16" customFormat="1" ht="30.95" hidden="1" customHeight="1" x14ac:dyDescent="0.2">
      <c r="A1057" s="303"/>
      <c r="B1057" s="304"/>
      <c r="C1057" s="305"/>
      <c r="D1057" s="306"/>
      <c r="E1057" s="306"/>
      <c r="F1057" s="255"/>
      <c r="G1057" s="256"/>
      <c r="H1057" s="256"/>
      <c r="I1057" s="200"/>
      <c r="J1057" s="307"/>
      <c r="K1057" s="200"/>
      <c r="L1057" s="200"/>
      <c r="M1057" s="308"/>
      <c r="N1057" s="308"/>
      <c r="O1057" s="309"/>
      <c r="P1057" s="310"/>
      <c r="Q1057" s="260"/>
      <c r="R1057" s="261"/>
      <c r="S1057" s="261"/>
      <c r="T1057" s="311"/>
      <c r="U1057" s="261"/>
      <c r="V1057" s="256"/>
      <c r="W1057" s="256"/>
      <c r="X1057" s="256"/>
      <c r="Y1057" s="256"/>
      <c r="Z1057" s="310"/>
      <c r="AA1057" s="200"/>
      <c r="AB1057" s="312"/>
      <c r="AC1057" s="313"/>
      <c r="AD1057" s="51"/>
      <c r="AE1057" s="314"/>
      <c r="AF1057" s="315"/>
      <c r="AG1057" s="309"/>
      <c r="AH1057" s="28"/>
      <c r="AI1057" s="28"/>
      <c r="AJ1057" s="28"/>
      <c r="AK1057" s="28"/>
      <c r="AL1057" s="12"/>
      <c r="AM1057" s="12"/>
      <c r="AN1057" s="12"/>
      <c r="AO1057" s="12"/>
      <c r="AP1057" s="12"/>
      <c r="AQ1057" s="13"/>
      <c r="AR1057" s="14"/>
    </row>
    <row r="1058" spans="1:44" s="16" customFormat="1" ht="30.95" hidden="1" customHeight="1" x14ac:dyDescent="0.2">
      <c r="A1058" s="303"/>
      <c r="B1058" s="304"/>
      <c r="C1058" s="305"/>
      <c r="D1058" s="29">
        <v>3735109</v>
      </c>
      <c r="E1058" s="29">
        <v>4151544</v>
      </c>
      <c r="F1058" s="255" t="str">
        <f>IF(D1058="","",VLOOKUP(D1058,契約台帳!$A$3:$K$4986,6,FALSE)&amp;VLOOKUP(D1058,契約台帳!$A$3:$K$4986,7,FALSE)&amp;VLOOKUP(D1058,契約台帳!$A$3:$K$4986,8,FALSE)&amp;VLOOKUP(D1058,契約台帳!$A$3:$K$4986,9,FALSE)&amp;VLOOKUP(D1058,契約台帳!$A$3:$K$4986,11,FALSE))</f>
        <v>3SNMLBMNGKBF</v>
      </c>
      <c r="G1058" s="256" t="str">
        <f>IF(D1058="","",VLOOKUP(F1058,製品マスタ!$G$5:$H$4999,2,FALSE))</f>
        <v>S</v>
      </c>
      <c r="H1058" s="256" t="str">
        <f>IF(D1058="","",VLOOKUP(F1058,製品マスタ!$G$5:$K$4999,5,FALSE))</f>
        <v>MNGKBF</v>
      </c>
      <c r="I1058" s="200" t="str">
        <f>IF(D1058="","",VLOOKUP(F1058,製品マスタ!$G$5:$L$4999,6,FALSE))</f>
        <v>メタルミー　ネーマー銀消　Ｂ</v>
      </c>
      <c r="J1058" s="30" t="s">
        <v>447</v>
      </c>
      <c r="K1058" s="200">
        <f>IF(D1058="","",VLOOKUP(D1058,契約台帳!$A$3:$L$4986,12,FALSE))</f>
        <v>38</v>
      </c>
      <c r="L1058" s="200" t="str">
        <f>IF(D1058="","",INDEX(製品マスタ!$Q$5:$Q$4999,MATCH(F1058&amp;K1058,製品マスタ!$AO$5:$AO$4999,0)))</f>
        <v>LUMIMAT</v>
      </c>
      <c r="M1058" s="37">
        <v>1005</v>
      </c>
      <c r="N1058" s="37">
        <v>8200</v>
      </c>
      <c r="O1058" s="45">
        <v>1</v>
      </c>
      <c r="P1058" s="54"/>
      <c r="Q1058" s="260">
        <f>IF(D1058="","",IF(J1058="リード付け",M1058,VLOOKUP(D1058,契約台帳!$A$3:$N$4986,14,FALSE)))</f>
        <v>1005</v>
      </c>
      <c r="R1058" s="261">
        <f>IF(D1058="","",IF(J1058="リード付け",M1058,VLOOKUP(D1058,契約台帳!$A$3:$O$4986,15,FALSE)))</f>
        <v>1000</v>
      </c>
      <c r="S1058" s="261">
        <f>IF(D1058="","",IF(J1058="リード付け",N1058,VLOOKUP(D1058,契約台帳!$A$3:$P$4986,16,FALSE)))</f>
        <v>4100</v>
      </c>
      <c r="T1058" s="38">
        <v>2</v>
      </c>
      <c r="U1058" s="261">
        <f ca="1">IF(D1058="","",IF(OFFSET(D1058,-2,0)=D1058,"",VLOOKUP(D1058,契約台帳!$A$3:$R$4986,18,FALSE)))</f>
        <v>2</v>
      </c>
      <c r="V1058" s="256" t="str">
        <f>IF(J1058="巻返し",VLOOKUP(F1058&amp;K1058&amp;M1058,製品マスタ!$M$5:$AD$4999,18,FALSE),IF(J1058="リード付け","原反コア",IF(J1058="スリット",VLOOKUP(F1058&amp;K1058&amp;Q1058,製品マスタ!$N$5:$AD$4999,17,FALSE),"")))</f>
        <v>6ｲﾝﾁSｺｱ</v>
      </c>
      <c r="W1058" s="256">
        <f>IF(J1058="巻返し",VLOOKUP(F1058&amp;K1058&amp;M1058,製品マスタ!$M$5:$AE$4999,19,FALSE),IF(J1058="リード付け","-",IF(J1058="スリット",VLOOKUP(F1058&amp;K1058&amp;Q1058,製品マスタ!$N$5:$AE$4999,18,FALSE),"")))</f>
        <v>1015</v>
      </c>
      <c r="X1058" s="256">
        <f>IF(D1058="","",VLOOKUP(D1058,契約台帳!$A$3:$Q$4986,17,FALSE))</f>
        <v>2</v>
      </c>
      <c r="Y1058" s="256" t="str">
        <f>IF(D1058="","",VLOOKUP(D1058,契約台帳!$A$3:$E$4986,5,FALSE))</f>
        <v>リンテック㈱</v>
      </c>
      <c r="Z1058" s="310">
        <v>45272</v>
      </c>
      <c r="AA1058" s="200"/>
      <c r="AB1058" s="312"/>
      <c r="AC1058" s="313"/>
      <c r="AD1058" s="51" t="str">
        <f>IF(F1058="","",+F1058&amp;K1058)</f>
        <v>3SNMLBMNGKBF38</v>
      </c>
      <c r="AE1058" s="52">
        <f>+M1058*N1058*O1058/1000</f>
        <v>8241</v>
      </c>
      <c r="AF1058" s="41">
        <f>IF(AD1058="","",VLOOKUP(AD1058,原価マスタ!$A$2:$AJ$1693,13,FALSE))</f>
        <v>97.2</v>
      </c>
      <c r="AG1058" s="45">
        <f>IF(AF1058="","",+AE1058*AF1058/100)</f>
        <v>8010.2520000000004</v>
      </c>
      <c r="AH1058" s="28"/>
      <c r="AI1058" s="28"/>
      <c r="AJ1058" s="28"/>
      <c r="AK1058" s="28"/>
      <c r="AL1058" s="12"/>
      <c r="AM1058" s="12"/>
      <c r="AN1058" s="12"/>
      <c r="AO1058" s="12"/>
      <c r="AP1058" s="12"/>
      <c r="AQ1058" s="13"/>
      <c r="AR1058" s="14"/>
    </row>
    <row r="1059" spans="1:44" s="16" customFormat="1" ht="30.95" hidden="1" customHeight="1" x14ac:dyDescent="0.2">
      <c r="A1059" s="303"/>
      <c r="B1059" s="304"/>
      <c r="C1059" s="305"/>
      <c r="D1059" s="306"/>
      <c r="E1059" s="306"/>
      <c r="F1059" s="255"/>
      <c r="G1059" s="256"/>
      <c r="H1059" s="256"/>
      <c r="I1059" s="200"/>
      <c r="J1059" s="307"/>
      <c r="K1059" s="200"/>
      <c r="L1059" s="200"/>
      <c r="M1059" s="308"/>
      <c r="N1059" s="308"/>
      <c r="O1059" s="309"/>
      <c r="P1059" s="310"/>
      <c r="Q1059" s="260"/>
      <c r="R1059" s="261"/>
      <c r="S1059" s="261"/>
      <c r="T1059" s="311"/>
      <c r="U1059" s="261"/>
      <c r="V1059" s="256"/>
      <c r="W1059" s="256"/>
      <c r="X1059" s="256"/>
      <c r="Y1059" s="256"/>
      <c r="Z1059" s="310"/>
      <c r="AA1059" s="200"/>
      <c r="AB1059" s="312"/>
      <c r="AC1059" s="313"/>
      <c r="AD1059" s="51"/>
      <c r="AE1059" s="314"/>
      <c r="AF1059" s="315"/>
      <c r="AG1059" s="309"/>
      <c r="AH1059" s="28"/>
      <c r="AI1059" s="28"/>
      <c r="AJ1059" s="28"/>
      <c r="AK1059" s="28"/>
      <c r="AL1059" s="12"/>
      <c r="AM1059" s="12"/>
      <c r="AN1059" s="12"/>
      <c r="AO1059" s="12"/>
      <c r="AP1059" s="12"/>
      <c r="AQ1059" s="13"/>
      <c r="AR1059" s="14"/>
    </row>
    <row r="1060" spans="1:44" s="16" customFormat="1" ht="30.95" hidden="1" customHeight="1" x14ac:dyDescent="0.2">
      <c r="A1060" s="303" t="s">
        <v>1844</v>
      </c>
      <c r="B1060" s="304" t="s">
        <v>1397</v>
      </c>
      <c r="C1060" s="305"/>
      <c r="D1060" s="306"/>
      <c r="E1060" s="306"/>
      <c r="F1060" s="255"/>
      <c r="G1060" s="256"/>
      <c r="H1060" s="256"/>
      <c r="I1060" s="200"/>
      <c r="J1060" s="307" t="s">
        <v>448</v>
      </c>
      <c r="K1060" s="200"/>
      <c r="L1060" s="200"/>
      <c r="M1060" s="308"/>
      <c r="N1060" s="308"/>
      <c r="O1060" s="309"/>
      <c r="P1060" s="310"/>
      <c r="Q1060" s="260"/>
      <c r="R1060" s="261"/>
      <c r="S1060" s="261"/>
      <c r="T1060" s="311"/>
      <c r="U1060" s="261"/>
      <c r="V1060" s="256"/>
      <c r="W1060" s="256"/>
      <c r="X1060" s="256"/>
      <c r="Y1060" s="256"/>
      <c r="Z1060" s="310"/>
      <c r="AA1060" s="200"/>
      <c r="AB1060" s="312"/>
      <c r="AC1060" s="313"/>
      <c r="AD1060" s="51"/>
      <c r="AE1060" s="314"/>
      <c r="AF1060" s="315"/>
      <c r="AG1060" s="309"/>
      <c r="AH1060" s="28"/>
      <c r="AI1060" s="28"/>
      <c r="AJ1060" s="28"/>
      <c r="AK1060" s="28"/>
      <c r="AL1060" s="12"/>
      <c r="AM1060" s="12"/>
      <c r="AN1060" s="12"/>
      <c r="AO1060" s="12"/>
      <c r="AP1060" s="12"/>
      <c r="AQ1060" s="13"/>
      <c r="AR1060" s="14"/>
    </row>
    <row r="1061" spans="1:44" s="16" customFormat="1" ht="30.95" hidden="1" customHeight="1" x14ac:dyDescent="0.2">
      <c r="A1061" s="303"/>
      <c r="B1061" s="304"/>
      <c r="C1061" s="305"/>
      <c r="D1061" s="306"/>
      <c r="E1061" s="306"/>
      <c r="F1061" s="255"/>
      <c r="G1061" s="256"/>
      <c r="H1061" s="256"/>
      <c r="I1061" s="200"/>
      <c r="J1061" s="307"/>
      <c r="K1061" s="200"/>
      <c r="L1061" s="200"/>
      <c r="M1061" s="308"/>
      <c r="N1061" s="308"/>
      <c r="O1061" s="309"/>
      <c r="P1061" s="310"/>
      <c r="Q1061" s="260"/>
      <c r="R1061" s="261"/>
      <c r="S1061" s="261"/>
      <c r="T1061" s="311"/>
      <c r="U1061" s="261"/>
      <c r="V1061" s="256"/>
      <c r="W1061" s="256"/>
      <c r="X1061" s="256"/>
      <c r="Y1061" s="256"/>
      <c r="Z1061" s="310"/>
      <c r="AA1061" s="200"/>
      <c r="AB1061" s="312"/>
      <c r="AC1061" s="313"/>
      <c r="AD1061" s="51"/>
      <c r="AE1061" s="314"/>
      <c r="AF1061" s="315"/>
      <c r="AG1061" s="309"/>
      <c r="AH1061" s="28"/>
      <c r="AI1061" s="28"/>
      <c r="AJ1061" s="28"/>
      <c r="AK1061" s="28"/>
      <c r="AL1061" s="12"/>
      <c r="AM1061" s="12"/>
      <c r="AN1061" s="12"/>
      <c r="AO1061" s="12"/>
      <c r="AP1061" s="12"/>
      <c r="AQ1061" s="13"/>
      <c r="AR1061" s="14"/>
    </row>
    <row r="1062" spans="1:44" s="16" customFormat="1" ht="30.95" hidden="1" customHeight="1" x14ac:dyDescent="0.2">
      <c r="A1062" s="303" t="s">
        <v>1845</v>
      </c>
      <c r="B1062" s="304" t="s">
        <v>392</v>
      </c>
      <c r="C1062" s="305"/>
      <c r="D1062" s="306"/>
      <c r="E1062" s="306"/>
      <c r="F1062" s="255"/>
      <c r="G1062" s="256"/>
      <c r="H1062" s="256"/>
      <c r="I1062" s="200"/>
      <c r="J1062" s="307" t="s">
        <v>448</v>
      </c>
      <c r="K1062" s="200"/>
      <c r="L1062" s="200"/>
      <c r="M1062" s="308"/>
      <c r="N1062" s="308"/>
      <c r="O1062" s="309"/>
      <c r="P1062" s="310"/>
      <c r="Q1062" s="260"/>
      <c r="R1062" s="261"/>
      <c r="S1062" s="261"/>
      <c r="T1062" s="311"/>
      <c r="U1062" s="261"/>
      <c r="V1062" s="256"/>
      <c r="W1062" s="256"/>
      <c r="X1062" s="256"/>
      <c r="Y1062" s="256"/>
      <c r="Z1062" s="310"/>
      <c r="AA1062" s="200"/>
      <c r="AB1062" s="312"/>
      <c r="AC1062" s="313"/>
      <c r="AD1062" s="51"/>
      <c r="AE1062" s="314"/>
      <c r="AF1062" s="315"/>
      <c r="AG1062" s="309"/>
      <c r="AH1062" s="28"/>
      <c r="AI1062" s="28"/>
      <c r="AJ1062" s="28"/>
      <c r="AK1062" s="28"/>
      <c r="AL1062" s="12"/>
      <c r="AM1062" s="12"/>
      <c r="AN1062" s="12"/>
      <c r="AO1062" s="12"/>
      <c r="AP1062" s="12"/>
      <c r="AQ1062" s="13"/>
      <c r="AR1062" s="14"/>
    </row>
    <row r="1063" spans="1:44" s="16" customFormat="1" ht="30.95" hidden="1" customHeight="1" x14ac:dyDescent="0.2">
      <c r="A1063" s="303"/>
      <c r="B1063" s="304"/>
      <c r="C1063" s="305"/>
      <c r="D1063" s="306"/>
      <c r="E1063" s="306"/>
      <c r="F1063" s="255"/>
      <c r="G1063" s="256"/>
      <c r="H1063" s="256"/>
      <c r="I1063" s="200"/>
      <c r="J1063" s="307"/>
      <c r="K1063" s="200"/>
      <c r="L1063" s="200"/>
      <c r="M1063" s="308"/>
      <c r="N1063" s="308"/>
      <c r="O1063" s="309"/>
      <c r="P1063" s="310"/>
      <c r="Q1063" s="260"/>
      <c r="R1063" s="261"/>
      <c r="S1063" s="261"/>
      <c r="T1063" s="311"/>
      <c r="U1063" s="261"/>
      <c r="V1063" s="256"/>
      <c r="W1063" s="256"/>
      <c r="X1063" s="256"/>
      <c r="Y1063" s="256"/>
      <c r="Z1063" s="310"/>
      <c r="AA1063" s="200"/>
      <c r="AB1063" s="312"/>
      <c r="AC1063" s="313"/>
      <c r="AD1063" s="51"/>
      <c r="AE1063" s="314"/>
      <c r="AF1063" s="315"/>
      <c r="AG1063" s="309"/>
      <c r="AH1063" s="28"/>
      <c r="AI1063" s="28"/>
      <c r="AJ1063" s="28"/>
      <c r="AK1063" s="28"/>
      <c r="AL1063" s="12"/>
      <c r="AM1063" s="12"/>
      <c r="AN1063" s="12"/>
      <c r="AO1063" s="12"/>
      <c r="AP1063" s="12"/>
      <c r="AQ1063" s="13"/>
      <c r="AR1063" s="14"/>
    </row>
    <row r="1064" spans="1:44" s="16" customFormat="1" ht="30.95" hidden="1" customHeight="1" x14ac:dyDescent="0.2">
      <c r="A1064" s="303" t="s">
        <v>1848</v>
      </c>
      <c r="B1064" s="304" t="s">
        <v>1840</v>
      </c>
      <c r="C1064" s="305"/>
      <c r="D1064" s="29">
        <v>3735120</v>
      </c>
      <c r="E1064" s="29">
        <v>4151563</v>
      </c>
      <c r="F1064" s="255" t="str">
        <f>IF(D1064="","",VLOOKUP(D1064,契約台帳!$A$3:$K$4986,6,FALSE)&amp;VLOOKUP(D1064,契約台帳!$A$3:$K$4986,7,FALSE)&amp;VLOOKUP(D1064,契約台帳!$A$3:$K$4986,8,FALSE)&amp;VLOOKUP(D1064,契約台帳!$A$3:$K$4986,9,FALSE)&amp;VLOOKUP(D1064,契約台帳!$A$3:$K$4986,11,FALSE))</f>
        <v>3SNMLBMNNGKBF</v>
      </c>
      <c r="G1064" s="256" t="str">
        <f>IF(D1064="","",VLOOKUP(F1064,製品マスタ!$G$5:$H$4999,2,FALSE))</f>
        <v>S</v>
      </c>
      <c r="H1064" s="256" t="str">
        <f>IF(D1064="","",VLOOKUP(F1064,製品マスタ!$G$5:$K$4999,5,FALSE))</f>
        <v>MNNGKBF</v>
      </c>
      <c r="I1064" s="200" t="str">
        <f>IF(D1064="","",VLOOKUP(F1064,製品マスタ!$G$5:$L$4999,6,FALSE))</f>
        <v>メタルミー　ニューネーマー銀消　Ｂ</v>
      </c>
      <c r="J1064" s="30" t="s">
        <v>447</v>
      </c>
      <c r="K1064" s="200">
        <f>IF(D1064="","",VLOOKUP(D1064,契約台帳!$A$3:$L$4986,12,FALSE))</f>
        <v>25</v>
      </c>
      <c r="L1064" s="200" t="str">
        <f>IF(D1064="","",INDEX(製品マスタ!$Q$5:$Q$4999,MATCH(F1064&amp;K1064,製品マスタ!$AO$5:$AO$4999,0)))</f>
        <v>X44C</v>
      </c>
      <c r="M1064" s="37">
        <v>1005</v>
      </c>
      <c r="N1064" s="37">
        <v>16000</v>
      </c>
      <c r="O1064" s="45">
        <v>1</v>
      </c>
      <c r="P1064" s="54"/>
      <c r="Q1064" s="260">
        <f>IF(D1064="","",IF(J1064="リード付け",M1064,VLOOKUP(D1064,契約台帳!$A$3:$N$4986,14,FALSE)))</f>
        <v>1005</v>
      </c>
      <c r="R1064" s="261">
        <f>IF(D1064="","",IF(J1064="リード付け",M1064,VLOOKUP(D1064,契約台帳!$A$3:$O$4986,15,FALSE)))</f>
        <v>1000</v>
      </c>
      <c r="S1064" s="261">
        <f>IF(D1064="","",IF(J1064="リード付け",N1064,VLOOKUP(D1064,契約台帳!$A$3:$P$4986,16,FALSE)))</f>
        <v>4000</v>
      </c>
      <c r="T1064" s="38">
        <v>4</v>
      </c>
      <c r="U1064" s="261">
        <f ca="1">IF(D1064="","",IF(OFFSET(D1064,-2,0)=D1064,"",VLOOKUP(D1064,契約台帳!$A$3:$R$4986,18,FALSE)))</f>
        <v>4</v>
      </c>
      <c r="V1064" s="256" t="str">
        <f>IF(J1064="巻返し",VLOOKUP(F1064&amp;K1064&amp;M1064,製品マスタ!$M$5:$AD$4999,18,FALSE),IF(J1064="リード付け","原反コア",IF(J1064="スリット",VLOOKUP(F1064&amp;K1064&amp;Q1064,製品マスタ!$N$5:$AD$4999,17,FALSE),"")))</f>
        <v>6ｲﾝﾁSｺｱ</v>
      </c>
      <c r="W1064" s="256">
        <f>IF(J1064="巻返し",VLOOKUP(F1064&amp;K1064&amp;M1064,製品マスタ!$M$5:$AE$4999,19,FALSE),IF(J1064="リード付け","-",IF(J1064="スリット",VLOOKUP(F1064&amp;K1064&amp;Q1064,製品マスタ!$N$5:$AE$4999,18,FALSE),"")))</f>
        <v>1015</v>
      </c>
      <c r="X1064" s="256">
        <f>IF(D1064="","",VLOOKUP(D1064,契約台帳!$A$3:$Q$4986,17,FALSE))</f>
        <v>2</v>
      </c>
      <c r="Y1064" s="256" t="str">
        <f>IF(D1064="","",VLOOKUP(D1064,契約台帳!$A$3:$E$4986,5,FALSE))</f>
        <v>リンテック㈱</v>
      </c>
      <c r="Z1064" s="310">
        <v>45274</v>
      </c>
      <c r="AA1064" s="200"/>
      <c r="AB1064" s="312"/>
      <c r="AC1064" s="313"/>
      <c r="AD1064" s="51" t="str">
        <f>IF(F1064="","",+F1064&amp;K1064)</f>
        <v>3SNMLBMNNGKBF25</v>
      </c>
      <c r="AE1064" s="52">
        <f>+M1064*N1064*O1064/1000</f>
        <v>16080</v>
      </c>
      <c r="AF1064" s="41">
        <f>IF(AD1064="","",VLOOKUP(AD1064,原価マスタ!$A$2:$AJ$1693,13,FALSE))</f>
        <v>98.3</v>
      </c>
      <c r="AG1064" s="45">
        <f>IF(AF1064="","",+AE1064*AF1064/100)</f>
        <v>15806.64</v>
      </c>
      <c r="AH1064" s="28"/>
      <c r="AI1064" s="28"/>
      <c r="AJ1064" s="28"/>
      <c r="AK1064" s="28"/>
      <c r="AL1064" s="12"/>
      <c r="AM1064" s="12"/>
      <c r="AN1064" s="12"/>
      <c r="AO1064" s="12"/>
      <c r="AP1064" s="12"/>
      <c r="AQ1064" s="13"/>
      <c r="AR1064" s="14"/>
    </row>
    <row r="1065" spans="1:44" s="16" customFormat="1" ht="30.95" hidden="1" customHeight="1" x14ac:dyDescent="0.2">
      <c r="A1065" s="303"/>
      <c r="B1065" s="304"/>
      <c r="C1065" s="305"/>
      <c r="D1065" s="306"/>
      <c r="E1065" s="306"/>
      <c r="F1065" s="255"/>
      <c r="G1065" s="256"/>
      <c r="H1065" s="256"/>
      <c r="I1065" s="200"/>
      <c r="J1065" s="307"/>
      <c r="K1065" s="200"/>
      <c r="L1065" s="200"/>
      <c r="M1065" s="308"/>
      <c r="N1065" s="308"/>
      <c r="O1065" s="309"/>
      <c r="P1065" s="310"/>
      <c r="Q1065" s="260"/>
      <c r="R1065" s="261"/>
      <c r="S1065" s="261"/>
      <c r="T1065" s="311"/>
      <c r="U1065" s="261"/>
      <c r="V1065" s="256"/>
      <c r="W1065" s="256"/>
      <c r="X1065" s="256"/>
      <c r="Y1065" s="256"/>
      <c r="Z1065" s="310"/>
      <c r="AA1065" s="200"/>
      <c r="AB1065" s="312"/>
      <c r="AC1065" s="313"/>
      <c r="AD1065" s="51"/>
      <c r="AE1065" s="314"/>
      <c r="AF1065" s="315"/>
      <c r="AG1065" s="309"/>
      <c r="AH1065" s="28"/>
      <c r="AI1065" s="28"/>
      <c r="AJ1065" s="28"/>
      <c r="AK1065" s="28"/>
      <c r="AL1065" s="12"/>
      <c r="AM1065" s="12"/>
      <c r="AN1065" s="12"/>
      <c r="AO1065" s="12"/>
      <c r="AP1065" s="12"/>
      <c r="AQ1065" s="13"/>
      <c r="AR1065" s="14"/>
    </row>
    <row r="1066" spans="1:44" s="16" customFormat="1" ht="30.95" hidden="1" customHeight="1" x14ac:dyDescent="0.2">
      <c r="A1066" s="303"/>
      <c r="B1066" s="304"/>
      <c r="C1066" s="305"/>
      <c r="D1066" s="29">
        <v>3735121</v>
      </c>
      <c r="E1066" s="29">
        <v>4151555</v>
      </c>
      <c r="F1066" s="255" t="str">
        <f>IF(D1066="","",VLOOKUP(D1066,契約台帳!$A$3:$K$4986,6,FALSE)&amp;VLOOKUP(D1066,契約台帳!$A$3:$K$4986,7,FALSE)&amp;VLOOKUP(D1066,契約台帳!$A$3:$K$4986,8,FALSE)&amp;VLOOKUP(D1066,契約台帳!$A$3:$K$4986,9,FALSE)&amp;VLOOKUP(D1066,契約台帳!$A$3:$K$4986,11,FALSE))</f>
        <v>3SNMLBMNNGKBF</v>
      </c>
      <c r="G1066" s="256" t="str">
        <f>IF(D1066="","",VLOOKUP(F1066,製品マスタ!$G$5:$H$4999,2,FALSE))</f>
        <v>S</v>
      </c>
      <c r="H1066" s="256" t="str">
        <f>IF(D1066="","",VLOOKUP(F1066,製品マスタ!$G$5:$K$4999,5,FALSE))</f>
        <v>MNNGKBF</v>
      </c>
      <c r="I1066" s="200" t="str">
        <f>IF(D1066="","",VLOOKUP(F1066,製品マスタ!$G$5:$L$4999,6,FALSE))</f>
        <v>メタルミー　ニューネーマー銀消　Ｂ</v>
      </c>
      <c r="J1066" s="30" t="s">
        <v>447</v>
      </c>
      <c r="K1066" s="200">
        <f>IF(D1066="","",VLOOKUP(D1066,契約台帳!$A$3:$L$4986,12,FALSE))</f>
        <v>50</v>
      </c>
      <c r="L1066" s="200" t="str">
        <f>IF(D1066="","",INDEX(製品マスタ!$Q$5:$Q$4999,MATCH(F1066&amp;K1066,製品マスタ!$AO$5:$AO$4999,0)))</f>
        <v>X44</v>
      </c>
      <c r="M1066" s="37">
        <v>1000</v>
      </c>
      <c r="N1066" s="37">
        <v>12000</v>
      </c>
      <c r="O1066" s="45">
        <v>2</v>
      </c>
      <c r="P1066" s="54"/>
      <c r="Q1066" s="260">
        <f>IF(D1066="","",IF(J1066="リード付け",M1066,VLOOKUP(D1066,契約台帳!$A$3:$N$4986,14,FALSE)))</f>
        <v>1000</v>
      </c>
      <c r="R1066" s="261">
        <f>IF(D1066="","",IF(J1066="リード付け",M1066,VLOOKUP(D1066,契約台帳!$A$3:$O$4986,15,FALSE)))</f>
        <v>1000</v>
      </c>
      <c r="S1066" s="261">
        <f>IF(D1066="","",IF(J1066="リード付け",N1066,VLOOKUP(D1066,契約台帳!$A$3:$P$4986,16,FALSE)))</f>
        <v>4000</v>
      </c>
      <c r="T1066" s="38">
        <v>6</v>
      </c>
      <c r="U1066" s="261">
        <f ca="1">IF(D1066="","",IF(OFFSET(D1066,-2,0)=D1066,"",VLOOKUP(D1066,契約台帳!$A$3:$R$4986,18,FALSE)))</f>
        <v>10</v>
      </c>
      <c r="V1066" s="256" t="str">
        <f>IF(J1066="巻返し",VLOOKUP(F1066&amp;K1066&amp;M1066,製品マスタ!$M$5:$AD$4999,18,FALSE),IF(J1066="リード付け","原反コア",IF(J1066="スリット",VLOOKUP(F1066&amp;K1066&amp;Q1066,製品マスタ!$N$5:$AD$4999,17,FALSE),"")))</f>
        <v>6ｲﾝﾁSｺｱ</v>
      </c>
      <c r="W1066" s="256">
        <f>IF(J1066="巻返し",VLOOKUP(F1066&amp;K1066&amp;M1066,製品マスタ!$M$5:$AE$4999,19,FALSE),IF(J1066="リード付け","-",IF(J1066="スリット",VLOOKUP(F1066&amp;K1066&amp;Q1066,製品マスタ!$N$5:$AE$4999,18,FALSE),"")))</f>
        <v>1005</v>
      </c>
      <c r="X1066" s="256">
        <f>IF(D1066="","",VLOOKUP(D1066,契約台帳!$A$3:$Q$4986,17,FALSE))</f>
        <v>2</v>
      </c>
      <c r="Y1066" s="256" t="str">
        <f>IF(D1066="","",VLOOKUP(D1066,契約台帳!$A$3:$E$4986,5,FALSE))</f>
        <v>リンテック㈱</v>
      </c>
      <c r="Z1066" s="310">
        <v>45274</v>
      </c>
      <c r="AA1066" s="200"/>
      <c r="AB1066" s="312"/>
      <c r="AC1066" s="313"/>
      <c r="AD1066" s="51" t="str">
        <f>IF(F1066="","",+F1066&amp;K1066)</f>
        <v>3SNMLBMNNGKBF50</v>
      </c>
      <c r="AE1066" s="52">
        <f>+M1066*N1066*O1066/1000</f>
        <v>24000</v>
      </c>
      <c r="AF1066" s="41">
        <f>IF(AD1066="","",VLOOKUP(AD1066,原価マスタ!$A$2:$AJ$1693,13,FALSE))</f>
        <v>99</v>
      </c>
      <c r="AG1066" s="45">
        <f>IF(AF1066="","",+AE1066*AF1066/100)</f>
        <v>23760</v>
      </c>
      <c r="AH1066" s="28"/>
      <c r="AI1066" s="28"/>
      <c r="AJ1066" s="28"/>
      <c r="AK1066" s="28"/>
      <c r="AL1066" s="12"/>
      <c r="AM1066" s="12"/>
      <c r="AN1066" s="12"/>
      <c r="AO1066" s="12"/>
      <c r="AP1066" s="12"/>
      <c r="AQ1066" s="13"/>
      <c r="AR1066" s="14"/>
    </row>
    <row r="1067" spans="1:44" s="16" customFormat="1" ht="30.95" hidden="1" customHeight="1" x14ac:dyDescent="0.2">
      <c r="A1067" s="303"/>
      <c r="B1067" s="304"/>
      <c r="C1067" s="305"/>
      <c r="D1067" s="306"/>
      <c r="E1067" s="306"/>
      <c r="F1067" s="255"/>
      <c r="G1067" s="256"/>
      <c r="H1067" s="256"/>
      <c r="I1067" s="200"/>
      <c r="J1067" s="307"/>
      <c r="K1067" s="200"/>
      <c r="L1067" s="200"/>
      <c r="M1067" s="308"/>
      <c r="N1067" s="308"/>
      <c r="O1067" s="309"/>
      <c r="P1067" s="310"/>
      <c r="Q1067" s="260"/>
      <c r="R1067" s="261"/>
      <c r="S1067" s="261"/>
      <c r="T1067" s="311"/>
      <c r="U1067" s="261"/>
      <c r="V1067" s="256"/>
      <c r="W1067" s="256"/>
      <c r="X1067" s="256"/>
      <c r="Y1067" s="256"/>
      <c r="Z1067" s="310"/>
      <c r="AA1067" s="200"/>
      <c r="AB1067" s="312"/>
      <c r="AC1067" s="313"/>
      <c r="AD1067" s="51"/>
      <c r="AE1067" s="314"/>
      <c r="AF1067" s="315"/>
      <c r="AG1067" s="309"/>
      <c r="AH1067" s="28"/>
      <c r="AI1067" s="28"/>
      <c r="AJ1067" s="28"/>
      <c r="AK1067" s="28"/>
      <c r="AL1067" s="12"/>
      <c r="AM1067" s="12"/>
      <c r="AN1067" s="12"/>
      <c r="AO1067" s="12"/>
      <c r="AP1067" s="12"/>
      <c r="AQ1067" s="13"/>
      <c r="AR1067" s="14"/>
    </row>
    <row r="1068" spans="1:44" s="16" customFormat="1" ht="30.95" hidden="1" customHeight="1" x14ac:dyDescent="0.2">
      <c r="A1068" s="303"/>
      <c r="B1068" s="304"/>
      <c r="C1068" s="305"/>
      <c r="D1068" s="29">
        <v>3735121</v>
      </c>
      <c r="E1068" s="29">
        <v>4151555</v>
      </c>
      <c r="F1068" s="255" t="str">
        <f>IF(D1068="","",VLOOKUP(D1068,契約台帳!$A$3:$K$4986,6,FALSE)&amp;VLOOKUP(D1068,契約台帳!$A$3:$K$4986,7,FALSE)&amp;VLOOKUP(D1068,契約台帳!$A$3:$K$4986,8,FALSE)&amp;VLOOKUP(D1068,契約台帳!$A$3:$K$4986,9,FALSE)&amp;VLOOKUP(D1068,契約台帳!$A$3:$K$4986,11,FALSE))</f>
        <v>3SNMLBMNNGKBF</v>
      </c>
      <c r="G1068" s="256" t="str">
        <f>IF(D1068="","",VLOOKUP(F1068,製品マスタ!$G$5:$H$4999,2,FALSE))</f>
        <v>S</v>
      </c>
      <c r="H1068" s="256" t="str">
        <f>IF(D1068="","",VLOOKUP(F1068,製品マスタ!$G$5:$K$4999,5,FALSE))</f>
        <v>MNNGKBF</v>
      </c>
      <c r="I1068" s="200" t="str">
        <f>IF(D1068="","",VLOOKUP(F1068,製品マスタ!$G$5:$L$4999,6,FALSE))</f>
        <v>メタルミー　ニューネーマー銀消　Ｂ</v>
      </c>
      <c r="J1068" s="30" t="s">
        <v>447</v>
      </c>
      <c r="K1068" s="200">
        <f>IF(D1068="","",VLOOKUP(D1068,契約台帳!$A$3:$L$4986,12,FALSE))</f>
        <v>50</v>
      </c>
      <c r="L1068" s="200" t="str">
        <f>IF(D1068="","",INDEX(製品マスタ!$Q$5:$Q$4999,MATCH(F1068&amp;K1068,製品マスタ!$AO$5:$AO$4999,0)))</f>
        <v>X44</v>
      </c>
      <c r="M1068" s="37">
        <v>1000</v>
      </c>
      <c r="N1068" s="37">
        <v>8000</v>
      </c>
      <c r="O1068" s="45">
        <v>2</v>
      </c>
      <c r="P1068" s="54"/>
      <c r="Q1068" s="260">
        <f>IF(D1068="","",IF(J1068="リード付け",M1068,VLOOKUP(D1068,契約台帳!$A$3:$N$4986,14,FALSE)))</f>
        <v>1000</v>
      </c>
      <c r="R1068" s="261">
        <f>IF(D1068="","",IF(J1068="リード付け",M1068,VLOOKUP(D1068,契約台帳!$A$3:$O$4986,15,FALSE)))</f>
        <v>1000</v>
      </c>
      <c r="S1068" s="261">
        <f>IF(D1068="","",IF(J1068="リード付け",N1068,VLOOKUP(D1068,契約台帳!$A$3:$P$4986,16,FALSE)))</f>
        <v>4000</v>
      </c>
      <c r="T1068" s="38">
        <v>4</v>
      </c>
      <c r="U1068" s="261" t="str">
        <f ca="1">IF(D1068="","",IF(OFFSET(D1068,-2,0)=D1068,"",VLOOKUP(D1068,契約台帳!$A$3:$R$4986,18,FALSE)))</f>
        <v/>
      </c>
      <c r="V1068" s="256" t="str">
        <f>IF(J1068="巻返し",VLOOKUP(F1068&amp;K1068&amp;M1068,製品マスタ!$M$5:$AD$4999,18,FALSE),IF(J1068="リード付け","原反コア",IF(J1068="スリット",VLOOKUP(F1068&amp;K1068&amp;Q1068,製品マスタ!$N$5:$AD$4999,17,FALSE),"")))</f>
        <v>6ｲﾝﾁSｺｱ</v>
      </c>
      <c r="W1068" s="256">
        <f>IF(J1068="巻返し",VLOOKUP(F1068&amp;K1068&amp;M1068,製品マスタ!$M$5:$AE$4999,19,FALSE),IF(J1068="リード付け","-",IF(J1068="スリット",VLOOKUP(F1068&amp;K1068&amp;Q1068,製品マスタ!$N$5:$AE$4999,18,FALSE),"")))</f>
        <v>1005</v>
      </c>
      <c r="X1068" s="256">
        <f>IF(D1068="","",VLOOKUP(D1068,契約台帳!$A$3:$Q$4986,17,FALSE))</f>
        <v>2</v>
      </c>
      <c r="Y1068" s="256" t="str">
        <f>IF(D1068="","",VLOOKUP(D1068,契約台帳!$A$3:$E$4986,5,FALSE))</f>
        <v>リンテック㈱</v>
      </c>
      <c r="Z1068" s="310">
        <v>45274</v>
      </c>
      <c r="AA1068" s="200"/>
      <c r="AB1068" s="312"/>
      <c r="AC1068" s="313"/>
      <c r="AD1068" s="51" t="str">
        <f>IF(F1068="","",+F1068&amp;K1068)</f>
        <v>3SNMLBMNNGKBF50</v>
      </c>
      <c r="AE1068" s="52">
        <f>+M1068*N1068*O1068/1000</f>
        <v>16000</v>
      </c>
      <c r="AF1068" s="41">
        <f>IF(AD1068="","",VLOOKUP(AD1068,原価マスタ!$A$2:$AJ$1693,13,FALSE))</f>
        <v>99</v>
      </c>
      <c r="AG1068" s="45">
        <f>IF(AF1068="","",+AE1068*AF1068/100)</f>
        <v>15840</v>
      </c>
      <c r="AH1068" s="28"/>
      <c r="AI1068" s="28"/>
      <c r="AJ1068" s="28"/>
      <c r="AK1068" s="28"/>
      <c r="AL1068" s="12"/>
      <c r="AM1068" s="12"/>
      <c r="AN1068" s="12"/>
      <c r="AO1068" s="12"/>
      <c r="AP1068" s="12"/>
      <c r="AQ1068" s="13"/>
      <c r="AR1068" s="14"/>
    </row>
    <row r="1069" spans="1:44" s="16" customFormat="1" ht="30.95" hidden="1" customHeight="1" x14ac:dyDescent="0.2">
      <c r="A1069" s="303"/>
      <c r="B1069" s="304"/>
      <c r="C1069" s="305"/>
      <c r="D1069" s="306"/>
      <c r="E1069" s="306"/>
      <c r="F1069" s="255"/>
      <c r="G1069" s="256"/>
      <c r="H1069" s="256"/>
      <c r="I1069" s="200"/>
      <c r="J1069" s="307"/>
      <c r="K1069" s="200"/>
      <c r="L1069" s="200"/>
      <c r="M1069" s="308"/>
      <c r="N1069" s="308"/>
      <c r="O1069" s="309"/>
      <c r="P1069" s="310"/>
      <c r="Q1069" s="260"/>
      <c r="R1069" s="261"/>
      <c r="S1069" s="261"/>
      <c r="T1069" s="311"/>
      <c r="U1069" s="261"/>
      <c r="V1069" s="256"/>
      <c r="W1069" s="256"/>
      <c r="X1069" s="256"/>
      <c r="Y1069" s="256"/>
      <c r="Z1069" s="310"/>
      <c r="AA1069" s="200"/>
      <c r="AB1069" s="312"/>
      <c r="AC1069" s="313"/>
      <c r="AD1069" s="51"/>
      <c r="AE1069" s="314"/>
      <c r="AF1069" s="315"/>
      <c r="AG1069" s="309"/>
      <c r="AH1069" s="28"/>
      <c r="AI1069" s="28"/>
      <c r="AJ1069" s="28"/>
      <c r="AK1069" s="28"/>
      <c r="AL1069" s="12"/>
      <c r="AM1069" s="12"/>
      <c r="AN1069" s="12"/>
      <c r="AO1069" s="12"/>
      <c r="AP1069" s="12"/>
      <c r="AQ1069" s="13"/>
      <c r="AR1069" s="14"/>
    </row>
    <row r="1070" spans="1:44" s="16" customFormat="1" ht="30.95" hidden="1" customHeight="1" x14ac:dyDescent="0.2">
      <c r="A1070" s="303" t="s">
        <v>677</v>
      </c>
      <c r="B1070" s="304" t="s">
        <v>688</v>
      </c>
      <c r="C1070" s="305"/>
      <c r="D1070" s="29">
        <v>3735127</v>
      </c>
      <c r="E1070" s="29">
        <v>4151564</v>
      </c>
      <c r="F1070" s="255" t="str">
        <f>IF(D1070="","",VLOOKUP(D1070,契約台帳!$A$3:$K$4986,6,FALSE)&amp;VLOOKUP(D1070,契約台帳!$A$3:$K$4986,7,FALSE)&amp;VLOOKUP(D1070,契約台帳!$A$3:$K$4986,8,FALSE)&amp;VLOOKUP(D1070,契約台帳!$A$3:$K$4986,9,FALSE)&amp;VLOOKUP(D1070,契約台帳!$A$3:$K$4986,11,FALSE))</f>
        <v>3SNMLBMNQR66F</v>
      </c>
      <c r="G1070" s="256" t="str">
        <f>IF(D1070="","",VLOOKUP(F1070,製品マスタ!$G$5:$H$4999,2,FALSE))</f>
        <v>S</v>
      </c>
      <c r="H1070" s="256" t="str">
        <f>IF(D1070="","",VLOOKUP(F1070,製品マスタ!$G$5:$K$4999,5,FALSE))</f>
        <v>MNQR66F</v>
      </c>
      <c r="I1070" s="200" t="str">
        <f>IF(D1070="","",VLOOKUP(F1070,製品マスタ!$G$5:$L$4999,6,FALSE))</f>
        <v>ＱＲ６６蒸着品</v>
      </c>
      <c r="J1070" s="30" t="s">
        <v>447</v>
      </c>
      <c r="K1070" s="200">
        <f>IF(D1070="","",VLOOKUP(D1070,契約台帳!$A$3:$L$4986,12,FALSE))</f>
        <v>25</v>
      </c>
      <c r="L1070" s="200" t="str">
        <f>IF(D1070="","",INDEX(製品マスタ!$Q$5:$Q$4999,MATCH(F1070&amp;K1070,製品マスタ!$AO$5:$AO$4999,0)))</f>
        <v>E315</v>
      </c>
      <c r="M1070" s="37">
        <v>1000</v>
      </c>
      <c r="N1070" s="37">
        <v>18000</v>
      </c>
      <c r="O1070" s="45">
        <v>1</v>
      </c>
      <c r="P1070" s="54"/>
      <c r="Q1070" s="260">
        <f>IF(D1070="","",IF(J1070="リード付け",M1070,VLOOKUP(D1070,契約台帳!$A$3:$N$4986,14,FALSE)))</f>
        <v>1000</v>
      </c>
      <c r="R1070" s="261">
        <f>IF(D1070="","",IF(J1070="リード付け",M1070,VLOOKUP(D1070,契約台帳!$A$3:$O$4986,15,FALSE)))</f>
        <v>1000</v>
      </c>
      <c r="S1070" s="261">
        <f>IF(D1070="","",IF(J1070="リード付け",N1070,VLOOKUP(D1070,契約台帳!$A$3:$P$4986,16,FALSE)))</f>
        <v>6000</v>
      </c>
      <c r="T1070" s="38">
        <v>3</v>
      </c>
      <c r="U1070" s="261">
        <f ca="1">IF(D1070="","",IF(OFFSET(D1070,-2,0)=D1070,"",VLOOKUP(D1070,契約台帳!$A$3:$R$4986,18,FALSE)))</f>
        <v>3</v>
      </c>
      <c r="V1070" s="256" t="str">
        <f>IF(J1070="巻返し",VLOOKUP(F1070&amp;K1070&amp;M1070,製品マスタ!$M$5:$AD$4999,18,FALSE),IF(J1070="リード付け","原反コア",IF(J1070="スリット",VLOOKUP(F1070&amp;K1070&amp;Q1070,製品マスタ!$N$5:$AD$4999,17,FALSE),"")))</f>
        <v>6ｲﾝﾁMｺｱ</v>
      </c>
      <c r="W1070" s="256">
        <f>IF(J1070="巻返し",VLOOKUP(F1070&amp;K1070&amp;M1070,製品マスタ!$M$5:$AE$4999,19,FALSE),IF(J1070="リード付け","-",IF(J1070="スリット",VLOOKUP(F1070&amp;K1070&amp;Q1070,製品マスタ!$N$5:$AE$4999,18,FALSE),"")))</f>
        <v>1010</v>
      </c>
      <c r="X1070" s="256">
        <f>IF(D1070="","",VLOOKUP(D1070,契約台帳!$A$3:$Q$4986,17,FALSE))</f>
        <v>2</v>
      </c>
      <c r="Y1070" s="256" t="str">
        <f>IF(D1070="","",VLOOKUP(D1070,契約台帳!$A$3:$E$4986,5,FALSE))</f>
        <v>リンテック㈱</v>
      </c>
      <c r="Z1070" s="310">
        <v>45275</v>
      </c>
      <c r="AA1070" s="200"/>
      <c r="AB1070" s="312"/>
      <c r="AC1070" s="313"/>
      <c r="AD1070" s="51" t="str">
        <f>IF(F1070="","",+F1070&amp;K1070)</f>
        <v>3SNMLBMNQR66F25</v>
      </c>
      <c r="AE1070" s="52">
        <f>+M1070*N1070*O1070/1000</f>
        <v>18000</v>
      </c>
      <c r="AF1070" s="41">
        <f>IF(AD1070="","",VLOOKUP(AD1070,原価マスタ!$A$2:$AJ$1693,13,FALSE))</f>
        <v>98</v>
      </c>
      <c r="AG1070" s="45">
        <f>IF(AF1070="","",+AE1070*AF1070/100)</f>
        <v>17640</v>
      </c>
      <c r="AH1070" s="28"/>
      <c r="AI1070" s="28"/>
      <c r="AJ1070" s="28"/>
      <c r="AK1070" s="28"/>
      <c r="AL1070" s="12"/>
      <c r="AM1070" s="12"/>
      <c r="AN1070" s="12"/>
      <c r="AO1070" s="12"/>
      <c r="AP1070" s="12"/>
      <c r="AQ1070" s="13"/>
      <c r="AR1070" s="14"/>
    </row>
    <row r="1071" spans="1:44" s="16" customFormat="1" ht="30.95" hidden="1" customHeight="1" x14ac:dyDescent="0.2">
      <c r="A1071" s="303"/>
      <c r="B1071" s="304"/>
      <c r="C1071" s="305"/>
      <c r="D1071" s="306"/>
      <c r="E1071" s="306"/>
      <c r="F1071" s="255"/>
      <c r="G1071" s="256"/>
      <c r="H1071" s="256"/>
      <c r="I1071" s="200"/>
      <c r="J1071" s="307"/>
      <c r="K1071" s="200"/>
      <c r="L1071" s="200"/>
      <c r="M1071" s="308"/>
      <c r="N1071" s="308"/>
      <c r="O1071" s="309"/>
      <c r="P1071" s="310"/>
      <c r="Q1071" s="260"/>
      <c r="R1071" s="261"/>
      <c r="S1071" s="261"/>
      <c r="T1071" s="311"/>
      <c r="U1071" s="261"/>
      <c r="V1071" s="256"/>
      <c r="W1071" s="256"/>
      <c r="X1071" s="256"/>
      <c r="Y1071" s="256"/>
      <c r="Z1071" s="310"/>
      <c r="AA1071" s="200"/>
      <c r="AB1071" s="312"/>
      <c r="AC1071" s="313"/>
      <c r="AD1071" s="51"/>
      <c r="AE1071" s="314"/>
      <c r="AF1071" s="315"/>
      <c r="AG1071" s="309"/>
      <c r="AH1071" s="28"/>
      <c r="AI1071" s="28"/>
      <c r="AJ1071" s="28"/>
      <c r="AK1071" s="28"/>
      <c r="AL1071" s="12"/>
      <c r="AM1071" s="12"/>
      <c r="AN1071" s="12"/>
      <c r="AO1071" s="12"/>
      <c r="AP1071" s="12"/>
      <c r="AQ1071" s="13"/>
      <c r="AR1071" s="14"/>
    </row>
    <row r="1072" spans="1:44" s="16" customFormat="1" ht="30.95" hidden="1" customHeight="1" x14ac:dyDescent="0.2">
      <c r="A1072" s="303"/>
      <c r="B1072" s="304"/>
      <c r="C1072" s="305"/>
      <c r="D1072" s="29">
        <v>3735128</v>
      </c>
      <c r="E1072" s="29">
        <v>4151565</v>
      </c>
      <c r="F1072" s="255" t="str">
        <f>IF(D1072="","",VLOOKUP(D1072,契約台帳!$A$3:$K$4986,6,FALSE)&amp;VLOOKUP(D1072,契約台帳!$A$3:$K$4986,7,FALSE)&amp;VLOOKUP(D1072,契約台帳!$A$3:$K$4986,8,FALSE)&amp;VLOOKUP(D1072,契約台帳!$A$3:$K$4986,9,FALSE)&amp;VLOOKUP(D1072,契約台帳!$A$3:$K$4986,11,FALSE))</f>
        <v>3SNMLBMNQR66F</v>
      </c>
      <c r="G1072" s="256" t="str">
        <f>IF(D1072="","",VLOOKUP(F1072,製品マスタ!$G$5:$H$4999,2,FALSE))</f>
        <v>S</v>
      </c>
      <c r="H1072" s="256" t="str">
        <f>IF(D1072="","",VLOOKUP(F1072,製品マスタ!$G$5:$K$4999,5,FALSE))</f>
        <v>MNQR66F</v>
      </c>
      <c r="I1072" s="200" t="str">
        <f>IF(D1072="","",VLOOKUP(F1072,製品マスタ!$G$5:$L$4999,6,FALSE))</f>
        <v>ＱＲ６６蒸着品</v>
      </c>
      <c r="J1072" s="30" t="s">
        <v>447</v>
      </c>
      <c r="K1072" s="200">
        <f>IF(D1072="","",VLOOKUP(D1072,契約台帳!$A$3:$L$4986,12,FALSE))</f>
        <v>25</v>
      </c>
      <c r="L1072" s="200" t="str">
        <f>IF(D1072="","",INDEX(製品マスタ!$Q$5:$Q$4999,MATCH(F1072&amp;K1072,製品マスタ!$AO$5:$AO$4999,0)))</f>
        <v>E315</v>
      </c>
      <c r="M1072" s="37">
        <v>1100</v>
      </c>
      <c r="N1072" s="37">
        <v>24000</v>
      </c>
      <c r="O1072" s="45">
        <v>2</v>
      </c>
      <c r="P1072" s="54"/>
      <c r="Q1072" s="260">
        <f>IF(D1072="","",IF(J1072="リード付け",M1072,VLOOKUP(D1072,契約台帳!$A$3:$N$4986,14,FALSE)))</f>
        <v>1100</v>
      </c>
      <c r="R1072" s="261">
        <f>IF(D1072="","",IF(J1072="リード付け",M1072,VLOOKUP(D1072,契約台帳!$A$3:$O$4986,15,FALSE)))</f>
        <v>1100</v>
      </c>
      <c r="S1072" s="261">
        <f>IF(D1072="","",IF(J1072="リード付け",N1072,VLOOKUP(D1072,契約台帳!$A$3:$P$4986,16,FALSE)))</f>
        <v>6000</v>
      </c>
      <c r="T1072" s="38">
        <v>8</v>
      </c>
      <c r="U1072" s="261">
        <f ca="1">IF(D1072="","",IF(OFFSET(D1072,-2,0)=D1072,"",VLOOKUP(D1072,契約台帳!$A$3:$R$4986,18,FALSE)))</f>
        <v>20</v>
      </c>
      <c r="V1072" s="256" t="str">
        <f>IF(J1072="巻返し",VLOOKUP(F1072&amp;K1072&amp;M1072,製品マスタ!$M$5:$AD$4999,18,FALSE),IF(J1072="リード付け","原反コア",IF(J1072="スリット",VLOOKUP(F1072&amp;K1072&amp;Q1072,製品マスタ!$N$5:$AD$4999,17,FALSE),"")))</f>
        <v>6ｲﾝﾁMｺｱ</v>
      </c>
      <c r="W1072" s="256">
        <f>IF(J1072="巻返し",VLOOKUP(F1072&amp;K1072&amp;M1072,製品マスタ!$M$5:$AE$4999,19,FALSE),IF(J1072="リード付け","-",IF(J1072="スリット",VLOOKUP(F1072&amp;K1072&amp;Q1072,製品マスタ!$N$5:$AE$4999,18,FALSE),"")))</f>
        <v>1110</v>
      </c>
      <c r="X1072" s="256">
        <f>IF(D1072="","",VLOOKUP(D1072,契約台帳!$A$3:$Q$4986,17,FALSE))</f>
        <v>2</v>
      </c>
      <c r="Y1072" s="256" t="str">
        <f>IF(D1072="","",VLOOKUP(D1072,契約台帳!$A$3:$E$4986,5,FALSE))</f>
        <v>リンテック㈱</v>
      </c>
      <c r="Z1072" s="310">
        <v>45275</v>
      </c>
      <c r="AA1072" s="200"/>
      <c r="AB1072" s="312"/>
      <c r="AC1072" s="313"/>
      <c r="AD1072" s="51" t="str">
        <f>IF(F1072="","",+F1072&amp;K1072)</f>
        <v>3SNMLBMNQR66F25</v>
      </c>
      <c r="AE1072" s="52">
        <f>+M1072*N1072*O1072/1000</f>
        <v>52800</v>
      </c>
      <c r="AF1072" s="41">
        <f>IF(AD1072="","",VLOOKUP(AD1072,原価マスタ!$A$2:$AJ$1693,13,FALSE))</f>
        <v>98</v>
      </c>
      <c r="AG1072" s="45">
        <f>IF(AF1072="","",+AE1072*AF1072/100)</f>
        <v>51744</v>
      </c>
      <c r="AH1072" s="28"/>
      <c r="AI1072" s="28"/>
      <c r="AJ1072" s="28"/>
      <c r="AK1072" s="28"/>
      <c r="AL1072" s="12"/>
      <c r="AM1072" s="12"/>
      <c r="AN1072" s="12"/>
      <c r="AO1072" s="12"/>
      <c r="AP1072" s="12"/>
      <c r="AQ1072" s="13"/>
      <c r="AR1072" s="14"/>
    </row>
    <row r="1073" spans="1:44" s="16" customFormat="1" ht="30.95" hidden="1" customHeight="1" x14ac:dyDescent="0.2">
      <c r="A1073" s="303"/>
      <c r="B1073" s="304"/>
      <c r="C1073" s="305"/>
      <c r="D1073" s="306"/>
      <c r="E1073" s="306"/>
      <c r="F1073" s="255"/>
      <c r="G1073" s="256"/>
      <c r="H1073" s="256"/>
      <c r="I1073" s="200"/>
      <c r="J1073" s="307"/>
      <c r="K1073" s="200"/>
      <c r="L1073" s="200"/>
      <c r="M1073" s="308"/>
      <c r="N1073" s="308"/>
      <c r="O1073" s="309"/>
      <c r="P1073" s="310"/>
      <c r="Q1073" s="260"/>
      <c r="R1073" s="261"/>
      <c r="S1073" s="261"/>
      <c r="T1073" s="311"/>
      <c r="U1073" s="261"/>
      <c r="V1073" s="256"/>
      <c r="W1073" s="256"/>
      <c r="X1073" s="256"/>
      <c r="Y1073" s="256"/>
      <c r="Z1073" s="310"/>
      <c r="AA1073" s="200"/>
      <c r="AB1073" s="312"/>
      <c r="AC1073" s="313"/>
      <c r="AD1073" s="51"/>
      <c r="AE1073" s="314"/>
      <c r="AF1073" s="315"/>
      <c r="AG1073" s="309"/>
      <c r="AH1073" s="28"/>
      <c r="AI1073" s="28"/>
      <c r="AJ1073" s="28"/>
      <c r="AK1073" s="28"/>
      <c r="AL1073" s="12"/>
      <c r="AM1073" s="12"/>
      <c r="AN1073" s="12"/>
      <c r="AO1073" s="12"/>
      <c r="AP1073" s="12"/>
      <c r="AQ1073" s="13"/>
      <c r="AR1073" s="14"/>
    </row>
    <row r="1074" spans="1:44" s="16" customFormat="1" ht="30.95" hidden="1" customHeight="1" x14ac:dyDescent="0.2">
      <c r="A1074" s="303" t="s">
        <v>1877</v>
      </c>
      <c r="B1074" s="304" t="s">
        <v>1878</v>
      </c>
      <c r="C1074" s="305"/>
      <c r="D1074" s="29">
        <v>3735128</v>
      </c>
      <c r="E1074" s="29">
        <v>4151565</v>
      </c>
      <c r="F1074" s="255" t="str">
        <f>IF(D1074="","",VLOOKUP(D1074,契約台帳!$A$3:$K$4986,6,FALSE)&amp;VLOOKUP(D1074,契約台帳!$A$3:$K$4986,7,FALSE)&amp;VLOOKUP(D1074,契約台帳!$A$3:$K$4986,8,FALSE)&amp;VLOOKUP(D1074,契約台帳!$A$3:$K$4986,9,FALSE)&amp;VLOOKUP(D1074,契約台帳!$A$3:$K$4986,11,FALSE))</f>
        <v>3SNMLBMNQR66F</v>
      </c>
      <c r="G1074" s="256" t="str">
        <f>IF(D1074="","",VLOOKUP(F1074,製品マスタ!$G$5:$H$4999,2,FALSE))</f>
        <v>S</v>
      </c>
      <c r="H1074" s="256" t="str">
        <f>IF(D1074="","",VLOOKUP(F1074,製品マスタ!$G$5:$K$4999,5,FALSE))</f>
        <v>MNQR66F</v>
      </c>
      <c r="I1074" s="200" t="str">
        <f>IF(D1074="","",VLOOKUP(F1074,製品マスタ!$G$5:$L$4999,6,FALSE))</f>
        <v>ＱＲ６６蒸着品</v>
      </c>
      <c r="J1074" s="30" t="s">
        <v>447</v>
      </c>
      <c r="K1074" s="200">
        <f>IF(D1074="","",VLOOKUP(D1074,契約台帳!$A$3:$L$4986,12,FALSE))</f>
        <v>25</v>
      </c>
      <c r="L1074" s="200" t="str">
        <f>IF(D1074="","",INDEX(製品マスタ!$Q$5:$Q$4999,MATCH(F1074&amp;K1074,製品マスタ!$AO$5:$AO$4999,0)))</f>
        <v>E315</v>
      </c>
      <c r="M1074" s="37">
        <v>1100</v>
      </c>
      <c r="N1074" s="37">
        <v>24000</v>
      </c>
      <c r="O1074" s="45">
        <v>3</v>
      </c>
      <c r="P1074" s="54"/>
      <c r="Q1074" s="260">
        <f>IF(D1074="","",IF(J1074="リード付け",M1074,VLOOKUP(D1074,契約台帳!$A$3:$N$4986,14,FALSE)))</f>
        <v>1100</v>
      </c>
      <c r="R1074" s="261">
        <f>IF(D1074="","",IF(J1074="リード付け",M1074,VLOOKUP(D1074,契約台帳!$A$3:$O$4986,15,FALSE)))</f>
        <v>1100</v>
      </c>
      <c r="S1074" s="261">
        <f>IF(D1074="","",IF(J1074="リード付け",N1074,VLOOKUP(D1074,契約台帳!$A$3:$P$4986,16,FALSE)))</f>
        <v>6000</v>
      </c>
      <c r="T1074" s="38">
        <v>12</v>
      </c>
      <c r="U1074" s="261" t="str">
        <f ca="1">IF(D1074="","",IF(OFFSET(D1074,-2,0)=D1074,"",VLOOKUP(D1074,契約台帳!$A$3:$R$4986,18,FALSE)))</f>
        <v/>
      </c>
      <c r="V1074" s="256" t="str">
        <f>IF(J1074="巻返し",VLOOKUP(F1074&amp;K1074&amp;M1074,製品マスタ!$M$5:$AD$4999,18,FALSE),IF(J1074="リード付け","原反コア",IF(J1074="スリット",VLOOKUP(F1074&amp;K1074&amp;Q1074,製品マスタ!$N$5:$AD$4999,17,FALSE),"")))</f>
        <v>6ｲﾝﾁMｺｱ</v>
      </c>
      <c r="W1074" s="256">
        <f>IF(J1074="巻返し",VLOOKUP(F1074&amp;K1074&amp;M1074,製品マスタ!$M$5:$AE$4999,19,FALSE),IF(J1074="リード付け","-",IF(J1074="スリット",VLOOKUP(F1074&amp;K1074&amp;Q1074,製品マスタ!$N$5:$AE$4999,18,FALSE),"")))</f>
        <v>1110</v>
      </c>
      <c r="X1074" s="256">
        <f>IF(D1074="","",VLOOKUP(D1074,契約台帳!$A$3:$Q$4986,17,FALSE))</f>
        <v>2</v>
      </c>
      <c r="Y1074" s="256" t="str">
        <f>IF(D1074="","",VLOOKUP(D1074,契約台帳!$A$3:$E$4986,5,FALSE))</f>
        <v>リンテック㈱</v>
      </c>
      <c r="Z1074" s="310">
        <v>45279</v>
      </c>
      <c r="AA1074" s="200"/>
      <c r="AB1074" s="312"/>
      <c r="AC1074" s="313"/>
      <c r="AD1074" s="51" t="str">
        <f>IF(F1074="","",+F1074&amp;K1074)</f>
        <v>3SNMLBMNQR66F25</v>
      </c>
      <c r="AE1074" s="52">
        <f>+M1074*N1074*O1074/1000</f>
        <v>79200</v>
      </c>
      <c r="AF1074" s="41">
        <f>IF(AD1074="","",VLOOKUP(AD1074,原価マスタ!$A$2:$AJ$1693,13,FALSE))</f>
        <v>98</v>
      </c>
      <c r="AG1074" s="45">
        <f>IF(AF1074="","",+AE1074*AF1074/100)</f>
        <v>77616</v>
      </c>
      <c r="AH1074" s="28"/>
      <c r="AI1074" s="28"/>
      <c r="AJ1074" s="28"/>
      <c r="AK1074" s="28"/>
      <c r="AL1074" s="12"/>
      <c r="AM1074" s="12"/>
      <c r="AN1074" s="12"/>
      <c r="AO1074" s="12"/>
      <c r="AP1074" s="12"/>
      <c r="AQ1074" s="13"/>
      <c r="AR1074" s="14"/>
    </row>
    <row r="1075" spans="1:44" s="16" customFormat="1" ht="30.95" hidden="1" customHeight="1" x14ac:dyDescent="0.2">
      <c r="A1075" s="303"/>
      <c r="B1075" s="304"/>
      <c r="C1075" s="305"/>
      <c r="D1075" s="306"/>
      <c r="E1075" s="306"/>
      <c r="F1075" s="255"/>
      <c r="G1075" s="256"/>
      <c r="H1075" s="256"/>
      <c r="I1075" s="200"/>
      <c r="J1075" s="307"/>
      <c r="K1075" s="200"/>
      <c r="L1075" s="200"/>
      <c r="M1075" s="308"/>
      <c r="N1075" s="308"/>
      <c r="O1075" s="309"/>
      <c r="P1075" s="310"/>
      <c r="Q1075" s="260"/>
      <c r="R1075" s="261"/>
      <c r="S1075" s="261"/>
      <c r="T1075" s="311"/>
      <c r="U1075" s="261"/>
      <c r="V1075" s="256"/>
      <c r="W1075" s="256"/>
      <c r="X1075" s="256"/>
      <c r="Y1075" s="256"/>
      <c r="Z1075" s="310"/>
      <c r="AA1075" s="200"/>
      <c r="AB1075" s="312"/>
      <c r="AC1075" s="313"/>
      <c r="AD1075" s="51"/>
      <c r="AE1075" s="314"/>
      <c r="AF1075" s="315"/>
      <c r="AG1075" s="309"/>
      <c r="AH1075" s="28"/>
      <c r="AI1075" s="28"/>
      <c r="AJ1075" s="28"/>
      <c r="AK1075" s="28"/>
      <c r="AL1075" s="12"/>
      <c r="AM1075" s="12"/>
      <c r="AN1075" s="12"/>
      <c r="AO1075" s="12"/>
      <c r="AP1075" s="12"/>
      <c r="AQ1075" s="13"/>
      <c r="AR1075" s="14"/>
    </row>
    <row r="1076" spans="1:44" s="16" customFormat="1" ht="30.95" hidden="1" customHeight="1" x14ac:dyDescent="0.2">
      <c r="A1076" s="303"/>
      <c r="B1076" s="304"/>
      <c r="C1076" s="305"/>
      <c r="D1076" s="29">
        <v>3735118</v>
      </c>
      <c r="E1076" s="29">
        <v>4151566</v>
      </c>
      <c r="F1076" s="255" t="str">
        <f>IF(D1076="","",VLOOKUP(D1076,契約台帳!$A$3:$K$4986,6,FALSE)&amp;VLOOKUP(D1076,契約台帳!$A$3:$K$4986,7,FALSE)&amp;VLOOKUP(D1076,契約台帳!$A$3:$K$4986,8,FALSE)&amp;VLOOKUP(D1076,契約台帳!$A$3:$K$4986,9,FALSE)&amp;VLOOKUP(D1076,契約台帳!$A$3:$K$4986,11,FALSE))</f>
        <v>3SNMLBMNGTBF</v>
      </c>
      <c r="G1076" s="256" t="str">
        <f>IF(D1076="","",VLOOKUP(F1076,製品マスタ!$G$5:$H$4999,2,FALSE))</f>
        <v>S</v>
      </c>
      <c r="H1076" s="256" t="str">
        <f>IF(D1076="","",VLOOKUP(F1076,製品マスタ!$G$5:$K$4999,5,FALSE))</f>
        <v>MNGTBF</v>
      </c>
      <c r="I1076" s="200" t="str">
        <f>IF(D1076="","",VLOOKUP(F1076,製品マスタ!$G$5:$L$4999,6,FALSE))</f>
        <v>メタルミー　ネーマー　銀艶　Ｂ</v>
      </c>
      <c r="J1076" s="30" t="s">
        <v>447</v>
      </c>
      <c r="K1076" s="200">
        <f>IF(D1076="","",VLOOKUP(D1076,契約台帳!$A$3:$L$4986,12,FALSE))</f>
        <v>50</v>
      </c>
      <c r="L1076" s="200" t="str">
        <f>IF(D1076="","",INDEX(製品マスタ!$Q$5:$Q$4999,MATCH(F1076&amp;K1076,製品マスタ!$AO$5:$AO$4999,0)))</f>
        <v>T62</v>
      </c>
      <c r="M1076" s="37">
        <v>1120</v>
      </c>
      <c r="N1076" s="37">
        <v>10000</v>
      </c>
      <c r="O1076" s="45">
        <v>2</v>
      </c>
      <c r="P1076" s="54"/>
      <c r="Q1076" s="260">
        <f>IF(D1076="","",IF(J1076="リード付け",M1076,VLOOKUP(D1076,契約台帳!$A$3:$N$4986,14,FALSE)))</f>
        <v>1120</v>
      </c>
      <c r="R1076" s="261">
        <f>IF(D1076="","",IF(J1076="リード付け",M1076,VLOOKUP(D1076,契約台帳!$A$3:$O$4986,15,FALSE)))</f>
        <v>1120</v>
      </c>
      <c r="S1076" s="261">
        <f>IF(D1076="","",IF(J1076="リード付け",N1076,VLOOKUP(D1076,契約台帳!$A$3:$P$4986,16,FALSE)))</f>
        <v>5000</v>
      </c>
      <c r="T1076" s="38">
        <v>4</v>
      </c>
      <c r="U1076" s="261">
        <f ca="1">IF(D1076="","",IF(OFFSET(D1076,-2,0)=D1076,"",VLOOKUP(D1076,契約台帳!$A$3:$R$4986,18,FALSE)))</f>
        <v>4</v>
      </c>
      <c r="V1076" s="256" t="str">
        <f>IF(J1076="巻返し",VLOOKUP(F1076&amp;K1076&amp;M1076,製品マスタ!$M$5:$AD$4999,18,FALSE),IF(J1076="リード付け","原反コア",IF(J1076="スリット",VLOOKUP(F1076&amp;K1076&amp;Q1076,製品マスタ!$N$5:$AD$4999,17,FALSE),"")))</f>
        <v>6ｲﾝﾁSｺｱ</v>
      </c>
      <c r="W1076" s="256">
        <f>IF(J1076="巻返し",VLOOKUP(F1076&amp;K1076&amp;M1076,製品マスタ!$M$5:$AE$4999,19,FALSE),IF(J1076="リード付け","-",IF(J1076="スリット",VLOOKUP(F1076&amp;K1076&amp;Q1076,製品マスタ!$N$5:$AE$4999,18,FALSE),"")))</f>
        <v>1125</v>
      </c>
      <c r="X1076" s="256">
        <f>IF(D1076="","",VLOOKUP(D1076,契約台帳!$A$3:$Q$4986,17,FALSE))</f>
        <v>2</v>
      </c>
      <c r="Y1076" s="256" t="str">
        <f>IF(D1076="","",VLOOKUP(D1076,契約台帳!$A$3:$E$4986,5,FALSE))</f>
        <v>リンテック㈱</v>
      </c>
      <c r="Z1076" s="310">
        <v>45279</v>
      </c>
      <c r="AA1076" s="200"/>
      <c r="AB1076" s="312"/>
      <c r="AC1076" s="313"/>
      <c r="AD1076" s="51" t="str">
        <f>IF(F1076="","",+F1076&amp;K1076)</f>
        <v>3SNMLBMNGTBF50</v>
      </c>
      <c r="AE1076" s="52">
        <f>+M1076*N1076*O1076/1000</f>
        <v>22400</v>
      </c>
      <c r="AF1076" s="41">
        <f>IF(AD1076="","",VLOOKUP(AD1076,原価マスタ!$A$2:$AJ$1693,13,FALSE))</f>
        <v>99</v>
      </c>
      <c r="AG1076" s="45">
        <f>IF(AF1076="","",+AE1076*AF1076/100)</f>
        <v>22176</v>
      </c>
      <c r="AH1076" s="28"/>
      <c r="AI1076" s="28"/>
      <c r="AJ1076" s="28"/>
      <c r="AK1076" s="28"/>
      <c r="AL1076" s="12"/>
      <c r="AM1076" s="12"/>
      <c r="AN1076" s="12"/>
      <c r="AO1076" s="12"/>
      <c r="AP1076" s="12"/>
      <c r="AQ1076" s="13"/>
      <c r="AR1076" s="14"/>
    </row>
    <row r="1077" spans="1:44" s="16" customFormat="1" ht="30.95" hidden="1" customHeight="1" x14ac:dyDescent="0.2">
      <c r="A1077" s="303"/>
      <c r="B1077" s="304"/>
      <c r="C1077" s="305"/>
      <c r="D1077" s="306"/>
      <c r="E1077" s="306"/>
      <c r="F1077" s="255"/>
      <c r="G1077" s="256"/>
      <c r="H1077" s="256"/>
      <c r="I1077" s="200"/>
      <c r="J1077" s="307"/>
      <c r="K1077" s="200"/>
      <c r="L1077" s="200"/>
      <c r="M1077" s="308"/>
      <c r="N1077" s="308"/>
      <c r="O1077" s="309"/>
      <c r="P1077" s="310"/>
      <c r="Q1077" s="260"/>
      <c r="R1077" s="261"/>
      <c r="S1077" s="261"/>
      <c r="T1077" s="311"/>
      <c r="U1077" s="261"/>
      <c r="V1077" s="256"/>
      <c r="W1077" s="256"/>
      <c r="X1077" s="256"/>
      <c r="Y1077" s="256"/>
      <c r="Z1077" s="310"/>
      <c r="AA1077" s="200"/>
      <c r="AB1077" s="312"/>
      <c r="AC1077" s="313"/>
      <c r="AD1077" s="51"/>
      <c r="AE1077" s="314"/>
      <c r="AF1077" s="315"/>
      <c r="AG1077" s="309"/>
      <c r="AH1077" s="28"/>
      <c r="AI1077" s="28"/>
      <c r="AJ1077" s="28"/>
      <c r="AK1077" s="28"/>
      <c r="AL1077" s="12"/>
      <c r="AM1077" s="12"/>
      <c r="AN1077" s="12"/>
      <c r="AO1077" s="12"/>
      <c r="AP1077" s="12"/>
      <c r="AQ1077" s="13"/>
      <c r="AR1077" s="14"/>
    </row>
    <row r="1078" spans="1:44" s="16" customFormat="1" ht="30.95" hidden="1" customHeight="1" x14ac:dyDescent="0.2">
      <c r="A1078" s="303" t="s">
        <v>683</v>
      </c>
      <c r="B1078" s="304" t="s">
        <v>443</v>
      </c>
      <c r="C1078" s="305"/>
      <c r="D1078" s="29">
        <v>3735119</v>
      </c>
      <c r="E1078" s="29">
        <v>4151567</v>
      </c>
      <c r="F1078" s="255" t="str">
        <f>IF(D1078="","",VLOOKUP(D1078,契約台帳!$A$3:$K$4986,6,FALSE)&amp;VLOOKUP(D1078,契約台帳!$A$3:$K$4986,7,FALSE)&amp;VLOOKUP(D1078,契約台帳!$A$3:$K$4986,8,FALSE)&amp;VLOOKUP(D1078,契約台帳!$A$3:$K$4986,9,FALSE)&amp;VLOOKUP(D1078,契約台帳!$A$3:$K$4986,11,FALSE))</f>
        <v>3XSNMLBMNGTBF</v>
      </c>
      <c r="G1078" s="256" t="str">
        <f>IF(D1078="","",VLOOKUP(F1078,製品マスタ!$G$5:$H$4999,2,FALSE))</f>
        <v>S</v>
      </c>
      <c r="H1078" s="256" t="str">
        <f>IF(D1078="","",VLOOKUP(F1078,製品マスタ!$G$5:$K$4999,5,FALSE))</f>
        <v>MNGTBF</v>
      </c>
      <c r="I1078" s="200" t="str">
        <f>IF(D1078="","",VLOOKUP(F1078,製品マスタ!$G$5:$L$4999,6,FALSE))</f>
        <v>メタルミー　ネーマー　銀艶　Ｂ</v>
      </c>
      <c r="J1078" s="30" t="s">
        <v>447</v>
      </c>
      <c r="K1078" s="200">
        <f>IF(D1078="","",VLOOKUP(D1078,契約台帳!$A$3:$L$4986,12,FALSE))</f>
        <v>50</v>
      </c>
      <c r="L1078" s="200" t="str">
        <f>IF(D1078="","",INDEX(製品マスタ!$Q$5:$Q$4999,MATCH(F1078&amp;K1078,製品マスタ!$AO$5:$AO$4999,0)))</f>
        <v>T62</v>
      </c>
      <c r="M1078" s="37">
        <v>1120</v>
      </c>
      <c r="N1078" s="37">
        <v>10000</v>
      </c>
      <c r="O1078" s="45">
        <v>2</v>
      </c>
      <c r="P1078" s="54"/>
      <c r="Q1078" s="260">
        <f>IF(D1078="","",IF(J1078="リード付け",M1078,VLOOKUP(D1078,契約台帳!$A$3:$N$4986,14,FALSE)))</f>
        <v>1120</v>
      </c>
      <c r="R1078" s="261">
        <f>IF(D1078="","",IF(J1078="リード付け",M1078,VLOOKUP(D1078,契約台帳!$A$3:$O$4986,15,FALSE)))</f>
        <v>1120</v>
      </c>
      <c r="S1078" s="261">
        <f>IF(D1078="","",IF(J1078="リード付け",N1078,VLOOKUP(D1078,契約台帳!$A$3:$P$4986,16,FALSE)))</f>
        <v>5000</v>
      </c>
      <c r="T1078" s="38">
        <v>4</v>
      </c>
      <c r="U1078" s="261">
        <f ca="1">IF(D1078="","",IF(OFFSET(D1078,-2,0)=D1078,"",VLOOKUP(D1078,契約台帳!$A$3:$R$4986,18,FALSE)))</f>
        <v>4</v>
      </c>
      <c r="V1078" s="256" t="str">
        <f>IF(J1078="巻返し",VLOOKUP(F1078&amp;K1078&amp;M1078,製品マスタ!$M$5:$AD$4999,18,FALSE),IF(J1078="リード付け","原反コア",IF(J1078="スリット",VLOOKUP(F1078&amp;K1078&amp;Q1078,製品マスタ!$N$5:$AD$4999,17,FALSE),"")))</f>
        <v>6ｲﾝﾁSｺｱ</v>
      </c>
      <c r="W1078" s="256">
        <f>IF(J1078="巻返し",VLOOKUP(F1078&amp;K1078&amp;M1078,製品マスタ!$M$5:$AE$4999,19,FALSE),IF(J1078="リード付け","-",IF(J1078="スリット",VLOOKUP(F1078&amp;K1078&amp;Q1078,製品マスタ!$N$5:$AE$4999,18,FALSE),"")))</f>
        <v>1125</v>
      </c>
      <c r="X1078" s="256">
        <f>IF(D1078="","",VLOOKUP(D1078,契約台帳!$A$3:$Q$4986,17,FALSE))</f>
        <v>2</v>
      </c>
      <c r="Y1078" s="256" t="str">
        <f>IF(D1078="","",VLOOKUP(D1078,契約台帳!$A$3:$E$4986,5,FALSE))</f>
        <v>リンテック㈱</v>
      </c>
      <c r="Z1078" s="310">
        <v>45279</v>
      </c>
      <c r="AA1078" s="200"/>
      <c r="AB1078" s="312"/>
      <c r="AC1078" s="313"/>
      <c r="AD1078" s="51" t="str">
        <f>IF(F1078="","",+F1078&amp;K1078)</f>
        <v>3XSNMLBMNGTBF50</v>
      </c>
      <c r="AE1078" s="52">
        <f>+M1078*N1078*O1078/1000</f>
        <v>22400</v>
      </c>
      <c r="AF1078" s="41">
        <v>89</v>
      </c>
      <c r="AG1078" s="45">
        <f>IF(AF1078="","",+AE1078*AF1078/100)</f>
        <v>19936</v>
      </c>
      <c r="AH1078" s="28"/>
      <c r="AI1078" s="28"/>
      <c r="AJ1078" s="28"/>
      <c r="AK1078" s="28"/>
      <c r="AL1078" s="12"/>
      <c r="AM1078" s="12"/>
      <c r="AN1078" s="12"/>
      <c r="AO1078" s="12"/>
      <c r="AP1078" s="12"/>
      <c r="AQ1078" s="13"/>
      <c r="AR1078" s="14"/>
    </row>
    <row r="1079" spans="1:44" s="16" customFormat="1" ht="30.95" hidden="1" customHeight="1" x14ac:dyDescent="0.2">
      <c r="A1079" s="303"/>
      <c r="B1079" s="304"/>
      <c r="C1079" s="305"/>
      <c r="D1079" s="306"/>
      <c r="E1079" s="306"/>
      <c r="F1079" s="255"/>
      <c r="G1079" s="256"/>
      <c r="H1079" s="256"/>
      <c r="I1079" s="200"/>
      <c r="J1079" s="307"/>
      <c r="K1079" s="200"/>
      <c r="L1079" s="200"/>
      <c r="M1079" s="308"/>
      <c r="N1079" s="308"/>
      <c r="O1079" s="309"/>
      <c r="P1079" s="310"/>
      <c r="Q1079" s="260"/>
      <c r="R1079" s="261"/>
      <c r="S1079" s="261"/>
      <c r="T1079" s="311"/>
      <c r="U1079" s="261"/>
      <c r="V1079" s="256"/>
      <c r="W1079" s="256"/>
      <c r="X1079" s="256"/>
      <c r="Y1079" s="256"/>
      <c r="Z1079" s="310"/>
      <c r="AA1079" s="200"/>
      <c r="AB1079" s="312"/>
      <c r="AC1079" s="313"/>
      <c r="AD1079" s="51"/>
      <c r="AE1079" s="314"/>
      <c r="AF1079" s="315"/>
      <c r="AG1079" s="309"/>
      <c r="AH1079" s="28"/>
      <c r="AI1079" s="28"/>
      <c r="AJ1079" s="28"/>
      <c r="AK1079" s="28"/>
      <c r="AL1079" s="12"/>
      <c r="AM1079" s="12"/>
      <c r="AN1079" s="12"/>
      <c r="AO1079" s="12"/>
      <c r="AP1079" s="12"/>
      <c r="AQ1079" s="13"/>
      <c r="AR1079" s="14"/>
    </row>
    <row r="1080" spans="1:44" s="16" customFormat="1" ht="30.95" hidden="1" customHeight="1" x14ac:dyDescent="0.2">
      <c r="A1080" s="303"/>
      <c r="B1080" s="304"/>
      <c r="C1080" s="305"/>
      <c r="D1080" s="29">
        <v>3735107</v>
      </c>
      <c r="E1080" s="29">
        <v>4151550</v>
      </c>
      <c r="F1080" s="255" t="str">
        <f>IF(D1080="","",VLOOKUP(D1080,契約台帳!$A$3:$K$4986,6,FALSE)&amp;VLOOKUP(D1080,契約台帳!$A$3:$K$4986,7,FALSE)&amp;VLOOKUP(D1080,契約台帳!$A$3:$K$4986,8,FALSE)&amp;VLOOKUP(D1080,契約台帳!$A$3:$K$4986,9,FALSE)&amp;VLOOKUP(D1080,契約台帳!$A$3:$K$4986,11,FALSE))</f>
        <v>3SNMLBMNGKKBF</v>
      </c>
      <c r="G1080" s="256" t="str">
        <f>IF(D1080="","",VLOOKUP(F1080,製品マスタ!$G$5:$H$4999,2,FALSE))</f>
        <v>S</v>
      </c>
      <c r="H1080" s="256" t="str">
        <f>IF(D1080="","",VLOOKUP(F1080,製品マスタ!$G$5:$K$4999,5,FALSE))</f>
        <v>MNGKKBF</v>
      </c>
      <c r="I1080" s="200" t="str">
        <f>IF(D1080="","",VLOOKUP(F1080,製品マスタ!$G$5:$L$4999,6,FALSE))</f>
        <v>メタルミー　ネーマー銀消改　Ｂ</v>
      </c>
      <c r="J1080" s="30" t="s">
        <v>447</v>
      </c>
      <c r="K1080" s="200">
        <f>IF(D1080="","",VLOOKUP(D1080,契約台帳!$A$3:$L$4986,12,FALSE))</f>
        <v>50</v>
      </c>
      <c r="L1080" s="200" t="str">
        <f>IF(D1080="","",INDEX(製品マスタ!$Q$5:$Q$4999,MATCH(F1080&amp;K1080,製品マスタ!$AO$5:$AO$4999,0)))</f>
        <v>S99-MAT</v>
      </c>
      <c r="M1080" s="37">
        <v>1120</v>
      </c>
      <c r="N1080" s="37">
        <v>12000</v>
      </c>
      <c r="O1080" s="45">
        <v>4</v>
      </c>
      <c r="P1080" s="54"/>
      <c r="Q1080" s="260">
        <f>IF(D1080="","",IF(J1080="リード付け",M1080,VLOOKUP(D1080,契約台帳!$A$3:$N$4986,14,FALSE)))</f>
        <v>1120</v>
      </c>
      <c r="R1080" s="261">
        <f>IF(D1080="","",IF(J1080="リード付け",M1080,VLOOKUP(D1080,契約台帳!$A$3:$O$4986,15,FALSE)))</f>
        <v>1120</v>
      </c>
      <c r="S1080" s="261">
        <f>IF(D1080="","",IF(J1080="リード付け",N1080,VLOOKUP(D1080,契約台帳!$A$3:$P$4986,16,FALSE)))</f>
        <v>4000</v>
      </c>
      <c r="T1080" s="38">
        <v>12</v>
      </c>
      <c r="U1080" s="261">
        <f ca="1">IF(D1080="","",IF(OFFSET(D1080,-2,0)=D1080,"",VLOOKUP(D1080,契約台帳!$A$3:$R$4986,18,FALSE)))</f>
        <v>15</v>
      </c>
      <c r="V1080" s="256" t="str">
        <f>IF(J1080="巻返し",VLOOKUP(F1080&amp;K1080&amp;M1080,製品マスタ!$M$5:$AD$4999,18,FALSE),IF(J1080="リード付け","原反コア",IF(J1080="スリット",VLOOKUP(F1080&amp;K1080&amp;Q1080,製品マスタ!$N$5:$AD$4999,17,FALSE),"")))</f>
        <v>6ｲﾝﾁSｺｱ</v>
      </c>
      <c r="W1080" s="256">
        <f>IF(J1080="巻返し",VLOOKUP(F1080&amp;K1080&amp;M1080,製品マスタ!$M$5:$AE$4999,19,FALSE),IF(J1080="リード付け","-",IF(J1080="スリット",VLOOKUP(F1080&amp;K1080&amp;Q1080,製品マスタ!$N$5:$AE$4999,18,FALSE),"")))</f>
        <v>1125</v>
      </c>
      <c r="X1080" s="256">
        <f>IF(D1080="","",VLOOKUP(D1080,契約台帳!$A$3:$Q$4986,17,FALSE))</f>
        <v>2</v>
      </c>
      <c r="Y1080" s="256" t="str">
        <f>IF(D1080="","",VLOOKUP(D1080,契約台帳!$A$3:$E$4986,5,FALSE))</f>
        <v>リンテック㈱</v>
      </c>
      <c r="Z1080" s="310">
        <v>45279</v>
      </c>
      <c r="AA1080" s="200"/>
      <c r="AB1080" s="312"/>
      <c r="AC1080" s="313"/>
      <c r="AD1080" s="51" t="str">
        <f>IF(F1080="","",+F1080&amp;K1080)</f>
        <v>3SNMLBMNGKKBF50</v>
      </c>
      <c r="AE1080" s="52">
        <f>+M1080*N1080*O1080/1000</f>
        <v>53760</v>
      </c>
      <c r="AF1080" s="41">
        <f>IF(AD1080="","",VLOOKUP(AD1080,原価マスタ!$A$2:$AJ$1693,13,FALSE))</f>
        <v>99</v>
      </c>
      <c r="AG1080" s="45">
        <f>IF(AF1080="","",+AE1080*AF1080/100)</f>
        <v>53222.400000000001</v>
      </c>
      <c r="AH1080" s="28"/>
      <c r="AI1080" s="28"/>
      <c r="AJ1080" s="28"/>
      <c r="AK1080" s="28"/>
      <c r="AL1080" s="12"/>
      <c r="AM1080" s="12"/>
      <c r="AN1080" s="12"/>
      <c r="AO1080" s="12"/>
      <c r="AP1080" s="12"/>
      <c r="AQ1080" s="13"/>
      <c r="AR1080" s="14"/>
    </row>
    <row r="1081" spans="1:44" s="16" customFormat="1" ht="30.95" hidden="1" customHeight="1" x14ac:dyDescent="0.2">
      <c r="A1081" s="303"/>
      <c r="B1081" s="304"/>
      <c r="C1081" s="305"/>
      <c r="D1081" s="306"/>
      <c r="E1081" s="306"/>
      <c r="F1081" s="255"/>
      <c r="G1081" s="256"/>
      <c r="H1081" s="256"/>
      <c r="I1081" s="200"/>
      <c r="J1081" s="307"/>
      <c r="K1081" s="200"/>
      <c r="L1081" s="200"/>
      <c r="M1081" s="308"/>
      <c r="N1081" s="308"/>
      <c r="O1081" s="309"/>
      <c r="P1081" s="310"/>
      <c r="Q1081" s="260"/>
      <c r="R1081" s="261"/>
      <c r="S1081" s="261"/>
      <c r="T1081" s="311"/>
      <c r="U1081" s="261"/>
      <c r="V1081" s="256"/>
      <c r="W1081" s="256"/>
      <c r="X1081" s="256"/>
      <c r="Y1081" s="256"/>
      <c r="Z1081" s="310"/>
      <c r="AA1081" s="200"/>
      <c r="AB1081" s="312"/>
      <c r="AC1081" s="313"/>
      <c r="AD1081" s="51"/>
      <c r="AE1081" s="314"/>
      <c r="AF1081" s="315"/>
      <c r="AG1081" s="309"/>
      <c r="AH1081" s="28"/>
      <c r="AI1081" s="28"/>
      <c r="AJ1081" s="28"/>
      <c r="AK1081" s="28"/>
      <c r="AL1081" s="12"/>
      <c r="AM1081" s="12"/>
      <c r="AN1081" s="12"/>
      <c r="AO1081" s="12"/>
      <c r="AP1081" s="12"/>
      <c r="AQ1081" s="13"/>
      <c r="AR1081" s="14"/>
    </row>
    <row r="1082" spans="1:44" s="16" customFormat="1" ht="30.95" hidden="1" customHeight="1" x14ac:dyDescent="0.2">
      <c r="A1082" s="303" t="s">
        <v>684</v>
      </c>
      <c r="B1082" s="304" t="s">
        <v>444</v>
      </c>
      <c r="C1082" s="305"/>
      <c r="D1082" s="29">
        <v>3735107</v>
      </c>
      <c r="E1082" s="29">
        <v>4151550</v>
      </c>
      <c r="F1082" s="255" t="str">
        <f>IF(D1082="","",VLOOKUP(D1082,契約台帳!$A$3:$K$4986,6,FALSE)&amp;VLOOKUP(D1082,契約台帳!$A$3:$K$4986,7,FALSE)&amp;VLOOKUP(D1082,契約台帳!$A$3:$K$4986,8,FALSE)&amp;VLOOKUP(D1082,契約台帳!$A$3:$K$4986,9,FALSE)&amp;VLOOKUP(D1082,契約台帳!$A$3:$K$4986,11,FALSE))</f>
        <v>3SNMLBMNGKKBF</v>
      </c>
      <c r="G1082" s="256" t="str">
        <f>IF(D1082="","",VLOOKUP(F1082,製品マスタ!$G$5:$H$4999,2,FALSE))</f>
        <v>S</v>
      </c>
      <c r="H1082" s="256" t="str">
        <f>IF(D1082="","",VLOOKUP(F1082,製品マスタ!$G$5:$K$4999,5,FALSE))</f>
        <v>MNGKKBF</v>
      </c>
      <c r="I1082" s="200" t="str">
        <f>IF(D1082="","",VLOOKUP(F1082,製品マスタ!$G$5:$L$4999,6,FALSE))</f>
        <v>メタルミー　ネーマー銀消改　Ｂ</v>
      </c>
      <c r="J1082" s="30" t="s">
        <v>447</v>
      </c>
      <c r="K1082" s="200">
        <f>IF(D1082="","",VLOOKUP(D1082,契約台帳!$A$3:$L$4986,12,FALSE))</f>
        <v>50</v>
      </c>
      <c r="L1082" s="200" t="str">
        <f>IF(D1082="","",INDEX(製品マスタ!$Q$5:$Q$4999,MATCH(F1082&amp;K1082,製品マスタ!$AO$5:$AO$4999,0)))</f>
        <v>S99-MAT</v>
      </c>
      <c r="M1082" s="37">
        <v>1120</v>
      </c>
      <c r="N1082" s="37">
        <v>12000</v>
      </c>
      <c r="O1082" s="45">
        <v>1</v>
      </c>
      <c r="P1082" s="54"/>
      <c r="Q1082" s="260">
        <f>IF(D1082="","",IF(J1082="リード付け",M1082,VLOOKUP(D1082,契約台帳!$A$3:$N$4986,14,FALSE)))</f>
        <v>1120</v>
      </c>
      <c r="R1082" s="261">
        <f>IF(D1082="","",IF(J1082="リード付け",M1082,VLOOKUP(D1082,契約台帳!$A$3:$O$4986,15,FALSE)))</f>
        <v>1120</v>
      </c>
      <c r="S1082" s="261">
        <f>IF(D1082="","",IF(J1082="リード付け",N1082,VLOOKUP(D1082,契約台帳!$A$3:$P$4986,16,FALSE)))</f>
        <v>4000</v>
      </c>
      <c r="T1082" s="38">
        <v>3</v>
      </c>
      <c r="U1082" s="261" t="str">
        <f ca="1">IF(D1082="","",IF(OFFSET(D1082,-2,0)=D1082,"",VLOOKUP(D1082,契約台帳!$A$3:$R$4986,18,FALSE)))</f>
        <v/>
      </c>
      <c r="V1082" s="256" t="str">
        <f>IF(J1082="巻返し",VLOOKUP(F1082&amp;K1082&amp;M1082,製品マスタ!$M$5:$AD$4999,18,FALSE),IF(J1082="リード付け","原反コア",IF(J1082="スリット",VLOOKUP(F1082&amp;K1082&amp;Q1082,製品マスタ!$N$5:$AD$4999,17,FALSE),"")))</f>
        <v>6ｲﾝﾁSｺｱ</v>
      </c>
      <c r="W1082" s="256">
        <f>IF(J1082="巻返し",VLOOKUP(F1082&amp;K1082&amp;M1082,製品マスタ!$M$5:$AE$4999,19,FALSE),IF(J1082="リード付け","-",IF(J1082="スリット",VLOOKUP(F1082&amp;K1082&amp;Q1082,製品マスタ!$N$5:$AE$4999,18,FALSE),"")))</f>
        <v>1125</v>
      </c>
      <c r="X1082" s="256">
        <f>IF(D1082="","",VLOOKUP(D1082,契約台帳!$A$3:$Q$4986,17,FALSE))</f>
        <v>2</v>
      </c>
      <c r="Y1082" s="256" t="str">
        <f>IF(D1082="","",VLOOKUP(D1082,契約台帳!$A$3:$E$4986,5,FALSE))</f>
        <v>リンテック㈱</v>
      </c>
      <c r="Z1082" s="310">
        <v>45279</v>
      </c>
      <c r="AA1082" s="200"/>
      <c r="AB1082" s="312"/>
      <c r="AC1082" s="313"/>
      <c r="AD1082" s="51" t="str">
        <f>IF(F1082="","",+F1082&amp;K1082)</f>
        <v>3SNMLBMNGKKBF50</v>
      </c>
      <c r="AE1082" s="52">
        <f>+M1082*N1082*O1082/1000</f>
        <v>13440</v>
      </c>
      <c r="AF1082" s="41">
        <f>IF(AD1082="","",VLOOKUP(AD1082,原価マスタ!$A$2:$AJ$1693,13,FALSE))</f>
        <v>99</v>
      </c>
      <c r="AG1082" s="45">
        <f>IF(AF1082="","",+AE1082*AF1082/100)</f>
        <v>13305.6</v>
      </c>
      <c r="AH1082" s="28"/>
      <c r="AI1082" s="28"/>
      <c r="AJ1082" s="28"/>
      <c r="AK1082" s="28"/>
      <c r="AL1082" s="12"/>
      <c r="AM1082" s="12"/>
      <c r="AN1082" s="12"/>
      <c r="AO1082" s="12"/>
      <c r="AP1082" s="12"/>
      <c r="AQ1082" s="13"/>
      <c r="AR1082" s="14"/>
    </row>
    <row r="1083" spans="1:44" s="16" customFormat="1" ht="30.95" hidden="1" customHeight="1" x14ac:dyDescent="0.2">
      <c r="A1083" s="303"/>
      <c r="B1083" s="304"/>
      <c r="C1083" s="305"/>
      <c r="D1083" s="306"/>
      <c r="E1083" s="306"/>
      <c r="F1083" s="255"/>
      <c r="G1083" s="256"/>
      <c r="H1083" s="256"/>
      <c r="I1083" s="200"/>
      <c r="J1083" s="307"/>
      <c r="K1083" s="200"/>
      <c r="L1083" s="200"/>
      <c r="M1083" s="308"/>
      <c r="N1083" s="308"/>
      <c r="O1083" s="309"/>
      <c r="P1083" s="310"/>
      <c r="Q1083" s="260"/>
      <c r="R1083" s="261"/>
      <c r="S1083" s="261"/>
      <c r="T1083" s="311"/>
      <c r="U1083" s="261"/>
      <c r="V1083" s="256"/>
      <c r="W1083" s="256"/>
      <c r="X1083" s="256"/>
      <c r="Y1083" s="256"/>
      <c r="Z1083" s="310"/>
      <c r="AA1083" s="200"/>
      <c r="AB1083" s="312"/>
      <c r="AC1083" s="313"/>
      <c r="AD1083" s="51"/>
      <c r="AE1083" s="314"/>
      <c r="AF1083" s="315"/>
      <c r="AG1083" s="309"/>
      <c r="AH1083" s="28"/>
      <c r="AI1083" s="28"/>
      <c r="AJ1083" s="28"/>
      <c r="AK1083" s="28"/>
      <c r="AL1083" s="12"/>
      <c r="AM1083" s="12"/>
      <c r="AN1083" s="12"/>
      <c r="AO1083" s="12"/>
      <c r="AP1083" s="12"/>
      <c r="AQ1083" s="13"/>
      <c r="AR1083" s="14"/>
    </row>
    <row r="1084" spans="1:44" s="16" customFormat="1" ht="30.95" hidden="1" customHeight="1" x14ac:dyDescent="0.2">
      <c r="A1084" s="303"/>
      <c r="B1084" s="304"/>
      <c r="C1084" s="305"/>
      <c r="D1084" s="29">
        <v>3735108</v>
      </c>
      <c r="E1084" s="29">
        <v>4151551</v>
      </c>
      <c r="F1084" s="255" t="str">
        <f>IF(D1084="","",VLOOKUP(D1084,契約台帳!$A$3:$K$4986,6,FALSE)&amp;VLOOKUP(D1084,契約台帳!$A$3:$K$4986,7,FALSE)&amp;VLOOKUP(D1084,契約台帳!$A$3:$K$4986,8,FALSE)&amp;VLOOKUP(D1084,契約台帳!$A$3:$K$4986,9,FALSE)&amp;VLOOKUP(D1084,契約台帳!$A$3:$K$4986,11,FALSE))</f>
        <v>3SNMLBMNGKKBF</v>
      </c>
      <c r="G1084" s="256" t="str">
        <f>IF(D1084="","",VLOOKUP(F1084,製品マスタ!$G$5:$H$4999,2,FALSE))</f>
        <v>S</v>
      </c>
      <c r="H1084" s="256" t="str">
        <f>IF(D1084="","",VLOOKUP(F1084,製品マスタ!$G$5:$K$4999,5,FALSE))</f>
        <v>MNGKKBF</v>
      </c>
      <c r="I1084" s="200" t="str">
        <f>IF(D1084="","",VLOOKUP(F1084,製品マスタ!$G$5:$L$4999,6,FALSE))</f>
        <v>メタルミー　ネーマー銀消改　Ｂ</v>
      </c>
      <c r="J1084" s="30" t="s">
        <v>447</v>
      </c>
      <c r="K1084" s="200">
        <f>IF(D1084="","",VLOOKUP(D1084,契約台帳!$A$3:$L$4986,12,FALSE))</f>
        <v>50</v>
      </c>
      <c r="L1084" s="200" t="str">
        <f>IF(D1084="","",INDEX(製品マスタ!$Q$5:$Q$4999,MATCH(F1084&amp;K1084,製品マスタ!$AO$5:$AO$4999,0)))</f>
        <v>S99-MAT</v>
      </c>
      <c r="M1084" s="37">
        <v>1120</v>
      </c>
      <c r="N1084" s="37">
        <v>12000</v>
      </c>
      <c r="O1084" s="45">
        <v>3</v>
      </c>
      <c r="P1084" s="54"/>
      <c r="Q1084" s="260">
        <f>IF(D1084="","",IF(J1084="リード付け",M1084,VLOOKUP(D1084,契約台帳!$A$3:$N$4986,14,FALSE)))</f>
        <v>1120</v>
      </c>
      <c r="R1084" s="261">
        <f>IF(D1084="","",IF(J1084="リード付け",M1084,VLOOKUP(D1084,契約台帳!$A$3:$O$4986,15,FALSE)))</f>
        <v>1120</v>
      </c>
      <c r="S1084" s="261">
        <f>IF(D1084="","",IF(J1084="リード付け",N1084,VLOOKUP(D1084,契約台帳!$A$3:$P$4986,16,FALSE)))</f>
        <v>4000</v>
      </c>
      <c r="T1084" s="38">
        <v>9</v>
      </c>
      <c r="U1084" s="261">
        <f ca="1">IF(D1084="","",IF(OFFSET(D1084,-2,0)=D1084,"",VLOOKUP(D1084,契約台帳!$A$3:$R$4986,18,FALSE)))</f>
        <v>15</v>
      </c>
      <c r="V1084" s="256" t="str">
        <f>IF(J1084="巻返し",VLOOKUP(F1084&amp;K1084&amp;M1084,製品マスタ!$M$5:$AD$4999,18,FALSE),IF(J1084="リード付け","原反コア",IF(J1084="スリット",VLOOKUP(F1084&amp;K1084&amp;Q1084,製品マスタ!$N$5:$AD$4999,17,FALSE),"")))</f>
        <v>6ｲﾝﾁSｺｱ</v>
      </c>
      <c r="W1084" s="256">
        <f>IF(J1084="巻返し",VLOOKUP(F1084&amp;K1084&amp;M1084,製品マスタ!$M$5:$AE$4999,19,FALSE),IF(J1084="リード付け","-",IF(J1084="スリット",VLOOKUP(F1084&amp;K1084&amp;Q1084,製品マスタ!$N$5:$AE$4999,18,FALSE),"")))</f>
        <v>1125</v>
      </c>
      <c r="X1084" s="256">
        <f>IF(D1084="","",VLOOKUP(D1084,契約台帳!$A$3:$Q$4986,17,FALSE))</f>
        <v>2</v>
      </c>
      <c r="Y1084" s="256" t="str">
        <f>IF(D1084="","",VLOOKUP(D1084,契約台帳!$A$3:$E$4986,5,FALSE))</f>
        <v>リンテック㈱</v>
      </c>
      <c r="Z1084" s="310">
        <v>45281</v>
      </c>
      <c r="AA1084" s="200"/>
      <c r="AB1084" s="312"/>
      <c r="AC1084" s="313"/>
      <c r="AD1084" s="51" t="str">
        <f>IF(F1084="","",+F1084&amp;K1084)</f>
        <v>3SNMLBMNGKKBF50</v>
      </c>
      <c r="AE1084" s="52">
        <f>+M1084*N1084*O1084/1000</f>
        <v>40320</v>
      </c>
      <c r="AF1084" s="41">
        <f>IF(AD1084="","",VLOOKUP(AD1084,原価マスタ!$A$2:$AJ$1693,13,FALSE))</f>
        <v>99</v>
      </c>
      <c r="AG1084" s="45">
        <f>IF(AF1084="","",+AE1084*AF1084/100)</f>
        <v>39916.800000000003</v>
      </c>
      <c r="AH1084" s="28"/>
      <c r="AI1084" s="28"/>
      <c r="AJ1084" s="28"/>
      <c r="AK1084" s="28"/>
      <c r="AL1084" s="12"/>
      <c r="AM1084" s="12"/>
      <c r="AN1084" s="12"/>
      <c r="AO1084" s="12"/>
      <c r="AP1084" s="12"/>
      <c r="AQ1084" s="13"/>
      <c r="AR1084" s="14"/>
    </row>
    <row r="1085" spans="1:44" s="16" customFormat="1" ht="30.95" hidden="1" customHeight="1" x14ac:dyDescent="0.2">
      <c r="A1085" s="303"/>
      <c r="B1085" s="304"/>
      <c r="C1085" s="305"/>
      <c r="D1085" s="306"/>
      <c r="E1085" s="306"/>
      <c r="F1085" s="255"/>
      <c r="G1085" s="256"/>
      <c r="H1085" s="256"/>
      <c r="I1085" s="200"/>
      <c r="J1085" s="307"/>
      <c r="K1085" s="200"/>
      <c r="L1085" s="200"/>
      <c r="M1085" s="308"/>
      <c r="N1085" s="308"/>
      <c r="O1085" s="309"/>
      <c r="P1085" s="310"/>
      <c r="Q1085" s="260"/>
      <c r="R1085" s="261"/>
      <c r="S1085" s="261"/>
      <c r="T1085" s="311"/>
      <c r="U1085" s="261"/>
      <c r="V1085" s="256"/>
      <c r="W1085" s="256"/>
      <c r="X1085" s="256"/>
      <c r="Y1085" s="256"/>
      <c r="Z1085" s="310"/>
      <c r="AA1085" s="200"/>
      <c r="AB1085" s="312"/>
      <c r="AC1085" s="313"/>
      <c r="AD1085" s="51"/>
      <c r="AE1085" s="314"/>
      <c r="AF1085" s="315"/>
      <c r="AG1085" s="309"/>
      <c r="AH1085" s="28"/>
      <c r="AI1085" s="28"/>
      <c r="AJ1085" s="28"/>
      <c r="AK1085" s="28"/>
      <c r="AL1085" s="12"/>
      <c r="AM1085" s="12"/>
      <c r="AN1085" s="12"/>
      <c r="AO1085" s="12"/>
      <c r="AP1085" s="12"/>
      <c r="AQ1085" s="13"/>
      <c r="AR1085" s="14"/>
    </row>
    <row r="1086" spans="1:44" s="16" customFormat="1" ht="30.95" hidden="1" customHeight="1" x14ac:dyDescent="0.2">
      <c r="A1086" s="303" t="s">
        <v>1852</v>
      </c>
      <c r="B1086" s="304" t="s">
        <v>1397</v>
      </c>
      <c r="C1086" s="305"/>
      <c r="D1086" s="306"/>
      <c r="E1086" s="306"/>
      <c r="F1086" s="255"/>
      <c r="G1086" s="256"/>
      <c r="H1086" s="256"/>
      <c r="I1086" s="200"/>
      <c r="J1086" s="307" t="s">
        <v>448</v>
      </c>
      <c r="K1086" s="200"/>
      <c r="L1086" s="200"/>
      <c r="M1086" s="308"/>
      <c r="N1086" s="308"/>
      <c r="O1086" s="309"/>
      <c r="P1086" s="310"/>
      <c r="Q1086" s="260"/>
      <c r="R1086" s="261"/>
      <c r="S1086" s="261"/>
      <c r="T1086" s="311"/>
      <c r="U1086" s="261"/>
      <c r="V1086" s="256"/>
      <c r="W1086" s="256"/>
      <c r="X1086" s="256"/>
      <c r="Y1086" s="256"/>
      <c r="Z1086" s="310"/>
      <c r="AA1086" s="200"/>
      <c r="AB1086" s="312"/>
      <c r="AC1086" s="313"/>
      <c r="AD1086" s="51"/>
      <c r="AE1086" s="314"/>
      <c r="AF1086" s="315"/>
      <c r="AG1086" s="309"/>
      <c r="AH1086" s="28"/>
      <c r="AI1086" s="28"/>
      <c r="AJ1086" s="28"/>
      <c r="AK1086" s="28"/>
      <c r="AL1086" s="12"/>
      <c r="AM1086" s="12"/>
      <c r="AN1086" s="12"/>
      <c r="AO1086" s="12"/>
      <c r="AP1086" s="12"/>
      <c r="AQ1086" s="13"/>
      <c r="AR1086" s="14"/>
    </row>
    <row r="1087" spans="1:44" s="16" customFormat="1" ht="30.95" hidden="1" customHeight="1" x14ac:dyDescent="0.2">
      <c r="A1087" s="303"/>
      <c r="B1087" s="304"/>
      <c r="C1087" s="305"/>
      <c r="D1087" s="306"/>
      <c r="E1087" s="306"/>
      <c r="F1087" s="255"/>
      <c r="G1087" s="256"/>
      <c r="H1087" s="256"/>
      <c r="I1087" s="200"/>
      <c r="J1087" s="307"/>
      <c r="K1087" s="200"/>
      <c r="L1087" s="200"/>
      <c r="M1087" s="308"/>
      <c r="N1087" s="308"/>
      <c r="O1087" s="309"/>
      <c r="P1087" s="310"/>
      <c r="Q1087" s="260"/>
      <c r="R1087" s="261"/>
      <c r="S1087" s="261"/>
      <c r="T1087" s="311"/>
      <c r="U1087" s="261"/>
      <c r="V1087" s="256"/>
      <c r="W1087" s="256"/>
      <c r="X1087" s="256"/>
      <c r="Y1087" s="256"/>
      <c r="Z1087" s="310"/>
      <c r="AA1087" s="200"/>
      <c r="AB1087" s="312"/>
      <c r="AC1087" s="313"/>
      <c r="AD1087" s="51"/>
      <c r="AE1087" s="314"/>
      <c r="AF1087" s="315"/>
      <c r="AG1087" s="309"/>
      <c r="AH1087" s="28"/>
      <c r="AI1087" s="28"/>
      <c r="AJ1087" s="28"/>
      <c r="AK1087" s="28"/>
      <c r="AL1087" s="12"/>
      <c r="AM1087" s="12"/>
      <c r="AN1087" s="12"/>
      <c r="AO1087" s="12"/>
      <c r="AP1087" s="12"/>
      <c r="AQ1087" s="13"/>
      <c r="AR1087" s="14"/>
    </row>
    <row r="1088" spans="1:44" s="16" customFormat="1" ht="30.95" hidden="1" customHeight="1" x14ac:dyDescent="0.2">
      <c r="A1088" s="303" t="s">
        <v>1853</v>
      </c>
      <c r="B1088" s="304" t="s">
        <v>392</v>
      </c>
      <c r="C1088" s="305"/>
      <c r="D1088" s="306"/>
      <c r="E1088" s="306"/>
      <c r="F1088" s="255"/>
      <c r="G1088" s="256"/>
      <c r="H1088" s="256"/>
      <c r="I1088" s="200"/>
      <c r="J1088" s="307" t="s">
        <v>448</v>
      </c>
      <c r="K1088" s="200"/>
      <c r="L1088" s="200"/>
      <c r="M1088" s="308"/>
      <c r="N1088" s="308"/>
      <c r="O1088" s="309"/>
      <c r="P1088" s="310"/>
      <c r="Q1088" s="260"/>
      <c r="R1088" s="261"/>
      <c r="S1088" s="261"/>
      <c r="T1088" s="311"/>
      <c r="U1088" s="261"/>
      <c r="V1088" s="256"/>
      <c r="W1088" s="256"/>
      <c r="X1088" s="256"/>
      <c r="Y1088" s="256"/>
      <c r="Z1088" s="310"/>
      <c r="AA1088" s="200"/>
      <c r="AB1088" s="312"/>
      <c r="AC1088" s="313"/>
      <c r="AD1088" s="51"/>
      <c r="AE1088" s="314"/>
      <c r="AF1088" s="315"/>
      <c r="AG1088" s="309"/>
      <c r="AH1088" s="28"/>
      <c r="AI1088" s="28"/>
      <c r="AJ1088" s="28"/>
      <c r="AK1088" s="28"/>
      <c r="AL1088" s="12"/>
      <c r="AM1088" s="12"/>
      <c r="AN1088" s="12"/>
      <c r="AO1088" s="12"/>
      <c r="AP1088" s="12"/>
      <c r="AQ1088" s="13"/>
      <c r="AR1088" s="14"/>
    </row>
    <row r="1089" spans="1:44" s="16" customFormat="1" ht="30.95" hidden="1" customHeight="1" x14ac:dyDescent="0.2">
      <c r="A1089" s="303"/>
      <c r="B1089" s="304"/>
      <c r="C1089" s="305"/>
      <c r="D1089" s="306"/>
      <c r="E1089" s="306"/>
      <c r="F1089" s="255"/>
      <c r="G1089" s="256"/>
      <c r="H1089" s="256"/>
      <c r="I1089" s="200"/>
      <c r="J1089" s="307"/>
      <c r="K1089" s="200"/>
      <c r="L1089" s="200"/>
      <c r="M1089" s="308"/>
      <c r="N1089" s="308"/>
      <c r="O1089" s="309"/>
      <c r="P1089" s="310"/>
      <c r="Q1089" s="260"/>
      <c r="R1089" s="261"/>
      <c r="S1089" s="261"/>
      <c r="T1089" s="311"/>
      <c r="U1089" s="261"/>
      <c r="V1089" s="256"/>
      <c r="W1089" s="256"/>
      <c r="X1089" s="256"/>
      <c r="Y1089" s="256"/>
      <c r="Z1089" s="310"/>
      <c r="AA1089" s="200"/>
      <c r="AB1089" s="312"/>
      <c r="AC1089" s="313"/>
      <c r="AD1089" s="51"/>
      <c r="AE1089" s="314"/>
      <c r="AF1089" s="315"/>
      <c r="AG1089" s="309"/>
      <c r="AH1089" s="28"/>
      <c r="AI1089" s="28"/>
      <c r="AJ1089" s="28"/>
      <c r="AK1089" s="28"/>
      <c r="AL1089" s="12"/>
      <c r="AM1089" s="12"/>
      <c r="AN1089" s="12"/>
      <c r="AO1089" s="12"/>
      <c r="AP1089" s="12"/>
      <c r="AQ1089" s="13"/>
      <c r="AR1089" s="14"/>
    </row>
    <row r="1090" spans="1:44" s="16" customFormat="1" ht="30.95" hidden="1" customHeight="1" x14ac:dyDescent="0.2">
      <c r="A1090" s="303" t="s">
        <v>678</v>
      </c>
      <c r="B1090" s="304" t="s">
        <v>462</v>
      </c>
      <c r="C1090" s="305"/>
      <c r="D1090" s="29">
        <v>3735108</v>
      </c>
      <c r="E1090" s="29">
        <v>4151551</v>
      </c>
      <c r="F1090" s="255" t="str">
        <f>IF(D1090="","",VLOOKUP(D1090,契約台帳!$A$3:$K$4986,6,FALSE)&amp;VLOOKUP(D1090,契約台帳!$A$3:$K$4986,7,FALSE)&amp;VLOOKUP(D1090,契約台帳!$A$3:$K$4986,8,FALSE)&amp;VLOOKUP(D1090,契約台帳!$A$3:$K$4986,9,FALSE)&amp;VLOOKUP(D1090,契約台帳!$A$3:$K$4986,11,FALSE))</f>
        <v>3SNMLBMNGKKBF</v>
      </c>
      <c r="G1090" s="256" t="str">
        <f>IF(D1090="","",VLOOKUP(F1090,製品マスタ!$G$5:$H$4999,2,FALSE))</f>
        <v>S</v>
      </c>
      <c r="H1090" s="256" t="str">
        <f>IF(D1090="","",VLOOKUP(F1090,製品マスタ!$G$5:$K$4999,5,FALSE))</f>
        <v>MNGKKBF</v>
      </c>
      <c r="I1090" s="200" t="str">
        <f>IF(D1090="","",VLOOKUP(F1090,製品マスタ!$G$5:$L$4999,6,FALSE))</f>
        <v>メタルミー　ネーマー銀消改　Ｂ</v>
      </c>
      <c r="J1090" s="30" t="s">
        <v>447</v>
      </c>
      <c r="K1090" s="200">
        <f>IF(D1090="","",VLOOKUP(D1090,契約台帳!$A$3:$L$4986,12,FALSE))</f>
        <v>50</v>
      </c>
      <c r="L1090" s="200" t="str">
        <f>IF(D1090="","",INDEX(製品マスタ!$Q$5:$Q$4999,MATCH(F1090&amp;K1090,製品マスタ!$AO$5:$AO$4999,0)))</f>
        <v>S99-MAT</v>
      </c>
      <c r="M1090" s="37">
        <v>1120</v>
      </c>
      <c r="N1090" s="37">
        <v>12000</v>
      </c>
      <c r="O1090" s="45">
        <v>2</v>
      </c>
      <c r="P1090" s="54"/>
      <c r="Q1090" s="260">
        <f>IF(D1090="","",IF(J1090="リード付け",M1090,VLOOKUP(D1090,契約台帳!$A$3:$N$4986,14,FALSE)))</f>
        <v>1120</v>
      </c>
      <c r="R1090" s="261">
        <f>IF(D1090="","",IF(J1090="リード付け",M1090,VLOOKUP(D1090,契約台帳!$A$3:$O$4986,15,FALSE)))</f>
        <v>1120</v>
      </c>
      <c r="S1090" s="261">
        <f>IF(D1090="","",IF(J1090="リード付け",N1090,VLOOKUP(D1090,契約台帳!$A$3:$P$4986,16,FALSE)))</f>
        <v>4000</v>
      </c>
      <c r="T1090" s="38">
        <v>6</v>
      </c>
      <c r="U1090" s="261">
        <f ca="1">IF(D1090="","",IF(OFFSET(D1090,-2,0)=D1090,"",VLOOKUP(D1090,契約台帳!$A$3:$R$4986,18,FALSE)))</f>
        <v>15</v>
      </c>
      <c r="V1090" s="256" t="str">
        <f>IF(J1090="巻返し",VLOOKUP(F1090&amp;K1090&amp;M1090,製品マスタ!$M$5:$AD$4999,18,FALSE),IF(J1090="リード付け","原反コア",IF(J1090="スリット",VLOOKUP(F1090&amp;K1090&amp;Q1090,製品マスタ!$N$5:$AD$4999,17,FALSE),"")))</f>
        <v>6ｲﾝﾁSｺｱ</v>
      </c>
      <c r="W1090" s="256">
        <f>IF(J1090="巻返し",VLOOKUP(F1090&amp;K1090&amp;M1090,製品マスタ!$M$5:$AE$4999,19,FALSE),IF(J1090="リード付け","-",IF(J1090="スリット",VLOOKUP(F1090&amp;K1090&amp;Q1090,製品マスタ!$N$5:$AE$4999,18,FALSE),"")))</f>
        <v>1125</v>
      </c>
      <c r="X1090" s="256">
        <f>IF(D1090="","",VLOOKUP(D1090,契約台帳!$A$3:$Q$4986,17,FALSE))</f>
        <v>2</v>
      </c>
      <c r="Y1090" s="256" t="str">
        <f>IF(D1090="","",VLOOKUP(D1090,契約台帳!$A$3:$E$4986,5,FALSE))</f>
        <v>リンテック㈱</v>
      </c>
      <c r="Z1090" s="310">
        <v>45281</v>
      </c>
      <c r="AA1090" s="200"/>
      <c r="AB1090" s="312"/>
      <c r="AC1090" s="313"/>
      <c r="AD1090" s="51" t="str">
        <f>IF(F1090="","",+F1090&amp;K1090)</f>
        <v>3SNMLBMNGKKBF50</v>
      </c>
      <c r="AE1090" s="52">
        <f>+M1090*N1090*O1090/1000</f>
        <v>26880</v>
      </c>
      <c r="AF1090" s="41">
        <f>IF(AD1090="","",VLOOKUP(AD1090,原価マスタ!$A$2:$AJ$1693,13,FALSE))</f>
        <v>99</v>
      </c>
      <c r="AG1090" s="45">
        <f>IF(AF1090="","",+AE1090*AF1090/100)</f>
        <v>26611.200000000001</v>
      </c>
      <c r="AH1090" s="28"/>
      <c r="AI1090" s="28"/>
      <c r="AJ1090" s="28"/>
      <c r="AK1090" s="28"/>
      <c r="AL1090" s="12"/>
      <c r="AM1090" s="12"/>
      <c r="AN1090" s="12"/>
      <c r="AO1090" s="12"/>
      <c r="AP1090" s="12"/>
      <c r="AQ1090" s="13"/>
      <c r="AR1090" s="14"/>
    </row>
    <row r="1091" spans="1:44" s="16" customFormat="1" ht="30.95" hidden="1" customHeight="1" x14ac:dyDescent="0.2">
      <c r="A1091" s="303"/>
      <c r="B1091" s="304"/>
      <c r="C1091" s="305"/>
      <c r="D1091" s="306"/>
      <c r="E1091" s="306"/>
      <c r="F1091" s="255"/>
      <c r="G1091" s="256"/>
      <c r="H1091" s="256"/>
      <c r="I1091" s="200"/>
      <c r="J1091" s="307"/>
      <c r="K1091" s="200"/>
      <c r="L1091" s="200"/>
      <c r="M1091" s="308"/>
      <c r="N1091" s="308"/>
      <c r="O1091" s="309"/>
      <c r="P1091" s="310"/>
      <c r="Q1091" s="260"/>
      <c r="R1091" s="261"/>
      <c r="S1091" s="261"/>
      <c r="T1091" s="311"/>
      <c r="U1091" s="261"/>
      <c r="V1091" s="256"/>
      <c r="W1091" s="256"/>
      <c r="X1091" s="256"/>
      <c r="Y1091" s="256"/>
      <c r="Z1091" s="310"/>
      <c r="AA1091" s="200"/>
      <c r="AB1091" s="312"/>
      <c r="AC1091" s="313"/>
      <c r="AD1091" s="51"/>
      <c r="AE1091" s="314"/>
      <c r="AF1091" s="315"/>
      <c r="AG1091" s="309"/>
      <c r="AH1091" s="28"/>
      <c r="AI1091" s="28"/>
      <c r="AJ1091" s="28"/>
      <c r="AK1091" s="28"/>
      <c r="AL1091" s="12"/>
      <c r="AM1091" s="12"/>
      <c r="AN1091" s="12"/>
      <c r="AO1091" s="12"/>
      <c r="AP1091" s="12"/>
      <c r="AQ1091" s="13"/>
      <c r="AR1091" s="14"/>
    </row>
    <row r="1092" spans="1:44" s="16" customFormat="1" ht="30.95" hidden="1" customHeight="1" x14ac:dyDescent="0.2">
      <c r="A1092" s="303"/>
      <c r="B1092" s="304"/>
      <c r="C1092" s="305"/>
      <c r="D1092" s="29">
        <v>3735112</v>
      </c>
      <c r="E1092" s="29">
        <v>4151546</v>
      </c>
      <c r="F1092" s="255" t="str">
        <f>IF(D1092="","",VLOOKUP(D1092,契約台帳!$A$3:$K$4986,6,FALSE)&amp;VLOOKUP(D1092,契約台帳!$A$3:$K$4986,7,FALSE)&amp;VLOOKUP(D1092,契約台帳!$A$3:$K$4986,8,FALSE)&amp;VLOOKUP(D1092,契約台帳!$A$3:$K$4986,9,FALSE)&amp;VLOOKUP(D1092,契約台帳!$A$3:$K$4986,11,FALSE))</f>
        <v>3SNMLBMNGKBF</v>
      </c>
      <c r="G1092" s="256" t="str">
        <f>IF(D1092="","",VLOOKUP(F1092,製品マスタ!$G$5:$H$4999,2,FALSE))</f>
        <v>S</v>
      </c>
      <c r="H1092" s="256" t="str">
        <f>IF(D1092="","",VLOOKUP(F1092,製品マスタ!$G$5:$K$4999,5,FALSE))</f>
        <v>MNGKBF</v>
      </c>
      <c r="I1092" s="200" t="str">
        <f>IF(D1092="","",VLOOKUP(F1092,製品マスタ!$G$5:$L$4999,6,FALSE))</f>
        <v>メタルミー　ネーマー銀消　Ｂ</v>
      </c>
      <c r="J1092" s="30" t="s">
        <v>447</v>
      </c>
      <c r="K1092" s="200">
        <f>IF(D1092="","",VLOOKUP(D1092,契約台帳!$A$3:$L$4986,12,FALSE))</f>
        <v>75</v>
      </c>
      <c r="L1092" s="200" t="str">
        <f>IF(D1092="","",INDEX(製品マスタ!$Q$5:$Q$4999,MATCH(F1092&amp;K1092,製品マスタ!$AO$5:$AO$4999,0)))</f>
        <v>MAT</v>
      </c>
      <c r="M1092" s="37">
        <v>1050</v>
      </c>
      <c r="N1092" s="37">
        <v>4000</v>
      </c>
      <c r="O1092" s="45">
        <v>1</v>
      </c>
      <c r="P1092" s="54"/>
      <c r="Q1092" s="260">
        <f>IF(D1092="","",IF(J1092="リード付け",M1092,VLOOKUP(D1092,契約台帳!$A$3:$N$4986,14,FALSE)))</f>
        <v>1050</v>
      </c>
      <c r="R1092" s="261">
        <f>IF(D1092="","",IF(J1092="リード付け",M1092,VLOOKUP(D1092,契約台帳!$A$3:$O$4986,15,FALSE)))</f>
        <v>1050</v>
      </c>
      <c r="S1092" s="261">
        <f>IF(D1092="","",IF(J1092="リード付け",N1092,VLOOKUP(D1092,契約台帳!$A$3:$P$4986,16,FALSE)))</f>
        <v>2000</v>
      </c>
      <c r="T1092" s="38">
        <v>2</v>
      </c>
      <c r="U1092" s="261">
        <f ca="1">IF(D1092="","",IF(OFFSET(D1092,-2,0)=D1092,"",VLOOKUP(D1092,契約台帳!$A$3:$R$4986,18,FALSE)))</f>
        <v>2</v>
      </c>
      <c r="V1092" s="256" t="str">
        <f>IF(J1092="巻返し",VLOOKUP(F1092&amp;K1092&amp;M1092,製品マスタ!$M$5:$AD$4999,18,FALSE),IF(J1092="リード付け","原反コア",IF(J1092="スリット",VLOOKUP(F1092&amp;K1092&amp;Q1092,製品マスタ!$N$5:$AD$4999,17,FALSE),"")))</f>
        <v>6ｲﾝﾁSｺｱ</v>
      </c>
      <c r="W1092" s="256">
        <f>IF(J1092="巻返し",VLOOKUP(F1092&amp;K1092&amp;M1092,製品マスタ!$M$5:$AE$4999,19,FALSE),IF(J1092="リード付け","-",IF(J1092="スリット",VLOOKUP(F1092&amp;K1092&amp;Q1092,製品マスタ!$N$5:$AE$4999,18,FALSE),"")))</f>
        <v>1055</v>
      </c>
      <c r="X1092" s="256">
        <f>IF(D1092="","",VLOOKUP(D1092,契約台帳!$A$3:$Q$4986,17,FALSE))</f>
        <v>2</v>
      </c>
      <c r="Y1092" s="256" t="str">
        <f>IF(D1092="","",VLOOKUP(D1092,契約台帳!$A$3:$E$4986,5,FALSE))</f>
        <v>リンテック㈱</v>
      </c>
      <c r="Z1092" s="310">
        <v>45282</v>
      </c>
      <c r="AA1092" s="200"/>
      <c r="AB1092" s="312"/>
      <c r="AC1092" s="313"/>
      <c r="AD1092" s="51" t="str">
        <f>IF(F1092="","",+F1092&amp;K1092)</f>
        <v>3SNMLBMNGKBF75</v>
      </c>
      <c r="AE1092" s="52">
        <f>+M1092*N1092*O1092/1000</f>
        <v>4200</v>
      </c>
      <c r="AF1092" s="41">
        <f>IF(AD1092="","",VLOOKUP(AD1092,原価マスタ!$A$2:$AJ$1693,13,FALSE))</f>
        <v>97</v>
      </c>
      <c r="AG1092" s="45">
        <f>IF(AF1092="","",+AE1092*AF1092/100)</f>
        <v>4074</v>
      </c>
      <c r="AH1092" s="28"/>
      <c r="AI1092" s="28"/>
      <c r="AJ1092" s="28"/>
      <c r="AK1092" s="28"/>
      <c r="AL1092" s="12"/>
      <c r="AM1092" s="12"/>
      <c r="AN1092" s="12"/>
      <c r="AO1092" s="12"/>
      <c r="AP1092" s="12"/>
      <c r="AQ1092" s="13"/>
      <c r="AR1092" s="14"/>
    </row>
    <row r="1093" spans="1:44" s="16" customFormat="1" ht="30.95" hidden="1" customHeight="1" x14ac:dyDescent="0.2">
      <c r="A1093" s="303"/>
      <c r="B1093" s="304"/>
      <c r="C1093" s="305"/>
      <c r="D1093" s="306"/>
      <c r="E1093" s="306"/>
      <c r="F1093" s="255"/>
      <c r="G1093" s="256"/>
      <c r="H1093" s="256"/>
      <c r="I1093" s="200"/>
      <c r="J1093" s="307"/>
      <c r="K1093" s="200"/>
      <c r="L1093" s="200"/>
      <c r="M1093" s="308"/>
      <c r="N1093" s="308"/>
      <c r="O1093" s="309"/>
      <c r="P1093" s="310"/>
      <c r="Q1093" s="260"/>
      <c r="R1093" s="261"/>
      <c r="S1093" s="261"/>
      <c r="T1093" s="311"/>
      <c r="U1093" s="261"/>
      <c r="V1093" s="256"/>
      <c r="W1093" s="256"/>
      <c r="X1093" s="256"/>
      <c r="Y1093" s="256"/>
      <c r="Z1093" s="310"/>
      <c r="AA1093" s="200"/>
      <c r="AB1093" s="312"/>
      <c r="AC1093" s="313"/>
      <c r="AD1093" s="51"/>
      <c r="AE1093" s="314"/>
      <c r="AF1093" s="315"/>
      <c r="AG1093" s="309"/>
      <c r="AH1093" s="28"/>
      <c r="AI1093" s="28"/>
      <c r="AJ1093" s="28"/>
      <c r="AK1093" s="28"/>
      <c r="AL1093" s="12"/>
      <c r="AM1093" s="12"/>
      <c r="AN1093" s="12"/>
      <c r="AO1093" s="12"/>
      <c r="AP1093" s="12"/>
      <c r="AQ1093" s="13"/>
      <c r="AR1093" s="14"/>
    </row>
    <row r="1094" spans="1:44" s="16" customFormat="1" ht="30.95" hidden="1" customHeight="1" x14ac:dyDescent="0.2">
      <c r="A1094" s="303"/>
      <c r="B1094" s="304"/>
      <c r="C1094" s="305"/>
      <c r="D1094" s="29">
        <v>3735104</v>
      </c>
      <c r="E1094" s="29">
        <v>4151547</v>
      </c>
      <c r="F1094" s="255" t="str">
        <f>IF(D1094="","",VLOOKUP(D1094,契約台帳!$A$3:$K$4986,6,FALSE)&amp;VLOOKUP(D1094,契約台帳!$A$3:$K$4986,7,FALSE)&amp;VLOOKUP(D1094,契約台帳!$A$3:$K$4986,8,FALSE)&amp;VLOOKUP(D1094,契約台帳!$A$3:$K$4986,9,FALSE)&amp;VLOOKUP(D1094,契約台帳!$A$3:$K$4986,11,FALSE))</f>
        <v>3SNMLBMNGKKBF</v>
      </c>
      <c r="G1094" s="256" t="str">
        <f>IF(D1094="","",VLOOKUP(F1094,製品マスタ!$G$5:$H$4999,2,FALSE))</f>
        <v>S</v>
      </c>
      <c r="H1094" s="256" t="str">
        <f>IF(D1094="","",VLOOKUP(F1094,製品マスタ!$G$5:$K$4999,5,FALSE))</f>
        <v>MNGKKBF</v>
      </c>
      <c r="I1094" s="200" t="str">
        <f>IF(D1094="","",VLOOKUP(F1094,製品マスタ!$G$5:$L$4999,6,FALSE))</f>
        <v>メタルミー　ネーマー銀消改　Ｂ</v>
      </c>
      <c r="J1094" s="30" t="s">
        <v>447</v>
      </c>
      <c r="K1094" s="200">
        <f>IF(D1094="","",VLOOKUP(D1094,契約台帳!$A$3:$L$4986,12,FALSE))</f>
        <v>25</v>
      </c>
      <c r="L1094" s="200" t="str">
        <f>IF(D1094="","",INDEX(製品マスタ!$Q$5:$Q$4999,MATCH(F1094&amp;K1094,製品マスタ!$AO$5:$AO$4999,0)))</f>
        <v>FMATS99</v>
      </c>
      <c r="M1094" s="37">
        <v>1000</v>
      </c>
      <c r="N1094" s="37">
        <v>8000</v>
      </c>
      <c r="O1094" s="45">
        <v>1</v>
      </c>
      <c r="P1094" s="54"/>
      <c r="Q1094" s="260">
        <f>IF(D1094="","",IF(J1094="リード付け",M1094,VLOOKUP(D1094,契約台帳!$A$3:$N$4986,14,FALSE)))</f>
        <v>1000</v>
      </c>
      <c r="R1094" s="261">
        <f>IF(D1094="","",IF(J1094="リード付け",M1094,VLOOKUP(D1094,契約台帳!$A$3:$O$4986,15,FALSE)))</f>
        <v>1000</v>
      </c>
      <c r="S1094" s="261">
        <f>IF(D1094="","",IF(J1094="リード付け",N1094,VLOOKUP(D1094,契約台帳!$A$3:$P$4986,16,FALSE)))</f>
        <v>4000</v>
      </c>
      <c r="T1094" s="38">
        <v>2</v>
      </c>
      <c r="U1094" s="261">
        <f ca="1">IF(D1094="","",IF(OFFSET(D1094,-2,0)=D1094,"",VLOOKUP(D1094,契約台帳!$A$3:$R$4986,18,FALSE)))</f>
        <v>2</v>
      </c>
      <c r="V1094" s="256" t="str">
        <f>IF(J1094="巻返し",VLOOKUP(F1094&amp;K1094&amp;M1094,製品マスタ!$M$5:$AD$4999,18,FALSE),IF(J1094="リード付け","原反コア",IF(J1094="スリット",VLOOKUP(F1094&amp;K1094&amp;Q1094,製品マスタ!$N$5:$AD$4999,17,FALSE),"")))</f>
        <v>6ｲﾝﾁSｺｱ</v>
      </c>
      <c r="W1094" s="256">
        <f>IF(J1094="巻返し",VLOOKUP(F1094&amp;K1094&amp;M1094,製品マスタ!$M$5:$AE$4999,19,FALSE),IF(J1094="リード付け","-",IF(J1094="スリット",VLOOKUP(F1094&amp;K1094&amp;Q1094,製品マスタ!$N$5:$AE$4999,18,FALSE),"")))</f>
        <v>1005</v>
      </c>
      <c r="X1094" s="256">
        <f>IF(D1094="","",VLOOKUP(D1094,契約台帳!$A$3:$Q$4986,17,FALSE))</f>
        <v>2</v>
      </c>
      <c r="Y1094" s="256" t="str">
        <f>IF(D1094="","",VLOOKUP(D1094,契約台帳!$A$3:$E$4986,5,FALSE))</f>
        <v>リンテック㈱</v>
      </c>
      <c r="Z1094" s="310">
        <v>45282</v>
      </c>
      <c r="AA1094" s="200"/>
      <c r="AB1094" s="312"/>
      <c r="AC1094" s="313"/>
      <c r="AD1094" s="51" t="str">
        <f>IF(F1094="","",+F1094&amp;K1094)</f>
        <v>3SNMLBMNGKKBF25</v>
      </c>
      <c r="AE1094" s="52">
        <f>+M1094*N1094*O1094/1000</f>
        <v>8000</v>
      </c>
      <c r="AF1094" s="41">
        <f>IF(AD1094="","",VLOOKUP(AD1094,原価マスタ!$A$2:$AJ$1693,13,FALSE))</f>
        <v>96</v>
      </c>
      <c r="AG1094" s="45">
        <f>IF(AF1094="","",+AE1094*AF1094/100)</f>
        <v>7680</v>
      </c>
      <c r="AH1094" s="28"/>
      <c r="AI1094" s="28"/>
      <c r="AJ1094" s="28"/>
      <c r="AK1094" s="28"/>
      <c r="AL1094" s="12"/>
      <c r="AM1094" s="12"/>
      <c r="AN1094" s="12"/>
      <c r="AO1094" s="12"/>
      <c r="AP1094" s="12"/>
      <c r="AQ1094" s="13"/>
      <c r="AR1094" s="14"/>
    </row>
    <row r="1095" spans="1:44" s="16" customFormat="1" ht="30.95" hidden="1" customHeight="1" x14ac:dyDescent="0.2">
      <c r="A1095" s="303"/>
      <c r="B1095" s="304"/>
      <c r="C1095" s="305"/>
      <c r="D1095" s="306"/>
      <c r="E1095" s="306"/>
      <c r="F1095" s="255"/>
      <c r="G1095" s="256"/>
      <c r="H1095" s="256"/>
      <c r="I1095" s="200"/>
      <c r="J1095" s="307"/>
      <c r="K1095" s="200"/>
      <c r="L1095" s="200"/>
      <c r="M1095" s="308"/>
      <c r="N1095" s="308"/>
      <c r="O1095" s="309"/>
      <c r="P1095" s="310"/>
      <c r="Q1095" s="260"/>
      <c r="R1095" s="261"/>
      <c r="S1095" s="261"/>
      <c r="T1095" s="311"/>
      <c r="U1095" s="261"/>
      <c r="V1095" s="256"/>
      <c r="W1095" s="256"/>
      <c r="X1095" s="256"/>
      <c r="Y1095" s="256"/>
      <c r="Z1095" s="310"/>
      <c r="AA1095" s="200"/>
      <c r="AB1095" s="312"/>
      <c r="AC1095" s="313"/>
      <c r="AD1095" s="51"/>
      <c r="AE1095" s="314"/>
      <c r="AF1095" s="315"/>
      <c r="AG1095" s="309"/>
      <c r="AH1095" s="28"/>
      <c r="AI1095" s="28"/>
      <c r="AJ1095" s="28"/>
      <c r="AK1095" s="28"/>
      <c r="AL1095" s="12"/>
      <c r="AM1095" s="12"/>
      <c r="AN1095" s="12"/>
      <c r="AO1095" s="12"/>
      <c r="AP1095" s="12"/>
      <c r="AQ1095" s="13"/>
      <c r="AR1095" s="14"/>
    </row>
    <row r="1096" spans="1:44" s="16" customFormat="1" ht="30.95" hidden="1" customHeight="1" x14ac:dyDescent="0.2">
      <c r="A1096" s="303"/>
      <c r="B1096" s="304"/>
      <c r="C1096" s="305"/>
      <c r="D1096" s="29">
        <v>3735106</v>
      </c>
      <c r="E1096" s="29">
        <v>4151549</v>
      </c>
      <c r="F1096" s="255" t="str">
        <f>IF(D1096="","",VLOOKUP(D1096,契約台帳!$A$3:$K$4986,6,FALSE)&amp;VLOOKUP(D1096,契約台帳!$A$3:$K$4986,7,FALSE)&amp;VLOOKUP(D1096,契約台帳!$A$3:$K$4986,8,FALSE)&amp;VLOOKUP(D1096,契約台帳!$A$3:$K$4986,9,FALSE)&amp;VLOOKUP(D1096,契約台帳!$A$3:$K$4986,11,FALSE))</f>
        <v>3SNMLBMNGKKBF</v>
      </c>
      <c r="G1096" s="256" t="str">
        <f>IF(D1096="","",VLOOKUP(F1096,製品マスタ!$G$5:$H$4999,2,FALSE))</f>
        <v>S</v>
      </c>
      <c r="H1096" s="256" t="str">
        <f>IF(D1096="","",VLOOKUP(F1096,製品マスタ!$G$5:$K$4999,5,FALSE))</f>
        <v>MNGKKBF</v>
      </c>
      <c r="I1096" s="200" t="str">
        <f>IF(D1096="","",VLOOKUP(F1096,製品マスタ!$G$5:$L$4999,6,FALSE))</f>
        <v>メタルミー　ネーマー銀消改　Ｂ</v>
      </c>
      <c r="J1096" s="30" t="s">
        <v>447</v>
      </c>
      <c r="K1096" s="200">
        <f>IF(D1096="","",VLOOKUP(D1096,契約台帳!$A$3:$L$4986,12,FALSE))</f>
        <v>50</v>
      </c>
      <c r="L1096" s="200" t="str">
        <f>IF(D1096="","",INDEX(製品マスタ!$Q$5:$Q$4999,MATCH(F1096&amp;K1096,製品マスタ!$AO$5:$AO$4999,0)))</f>
        <v>S99-MAT</v>
      </c>
      <c r="M1096" s="37">
        <v>1000</v>
      </c>
      <c r="N1096" s="37">
        <v>12000</v>
      </c>
      <c r="O1096" s="45">
        <v>1</v>
      </c>
      <c r="P1096" s="54"/>
      <c r="Q1096" s="260">
        <f>IF(D1096="","",IF(J1096="リード付け",M1096,VLOOKUP(D1096,契約台帳!$A$3:$N$4986,14,FALSE)))</f>
        <v>1000</v>
      </c>
      <c r="R1096" s="261">
        <f>IF(D1096="","",IF(J1096="リード付け",M1096,VLOOKUP(D1096,契約台帳!$A$3:$O$4986,15,FALSE)))</f>
        <v>1000</v>
      </c>
      <c r="S1096" s="261">
        <f>IF(D1096="","",IF(J1096="リード付け",N1096,VLOOKUP(D1096,契約台帳!$A$3:$P$4986,16,FALSE)))</f>
        <v>4000</v>
      </c>
      <c r="T1096" s="38">
        <v>3</v>
      </c>
      <c r="U1096" s="261">
        <f ca="1">IF(D1096="","",IF(OFFSET(D1096,-2,0)=D1096,"",VLOOKUP(D1096,契約台帳!$A$3:$R$4986,18,FALSE)))</f>
        <v>3</v>
      </c>
      <c r="V1096" s="256" t="str">
        <f>IF(J1096="巻返し",VLOOKUP(F1096&amp;K1096&amp;M1096,製品マスタ!$M$5:$AD$4999,18,FALSE),IF(J1096="リード付け","原反コア",IF(J1096="スリット",VLOOKUP(F1096&amp;K1096&amp;Q1096,製品マスタ!$N$5:$AD$4999,17,FALSE),"")))</f>
        <v>6ｲﾝﾁSｺｱ</v>
      </c>
      <c r="W1096" s="256">
        <f>IF(J1096="巻返し",VLOOKUP(F1096&amp;K1096&amp;M1096,製品マスタ!$M$5:$AE$4999,19,FALSE),IF(J1096="リード付け","-",IF(J1096="スリット",VLOOKUP(F1096&amp;K1096&amp;Q1096,製品マスタ!$N$5:$AE$4999,18,FALSE),"")))</f>
        <v>1005</v>
      </c>
      <c r="X1096" s="256">
        <f>IF(D1096="","",VLOOKUP(D1096,契約台帳!$A$3:$Q$4986,17,FALSE))</f>
        <v>2</v>
      </c>
      <c r="Y1096" s="256" t="str">
        <f>IF(D1096="","",VLOOKUP(D1096,契約台帳!$A$3:$E$4986,5,FALSE))</f>
        <v>リンテック㈱</v>
      </c>
      <c r="Z1096" s="310">
        <v>45282</v>
      </c>
      <c r="AA1096" s="200"/>
      <c r="AB1096" s="312"/>
      <c r="AC1096" s="313"/>
      <c r="AD1096" s="51" t="str">
        <f>IF(F1096="","",+F1096&amp;K1096)</f>
        <v>3SNMLBMNGKKBF50</v>
      </c>
      <c r="AE1096" s="52">
        <f>+M1096*N1096*O1096/1000</f>
        <v>12000</v>
      </c>
      <c r="AF1096" s="41">
        <f>IF(AD1096="","",VLOOKUP(AD1096,原価マスタ!$A$2:$AJ$1693,13,FALSE))</f>
        <v>99</v>
      </c>
      <c r="AG1096" s="45">
        <f>IF(AF1096="","",+AE1096*AF1096/100)</f>
        <v>11880</v>
      </c>
      <c r="AH1096" s="28"/>
      <c r="AI1096" s="28"/>
      <c r="AJ1096" s="28"/>
      <c r="AK1096" s="28"/>
      <c r="AL1096" s="12"/>
      <c r="AM1096" s="12"/>
      <c r="AN1096" s="12"/>
      <c r="AO1096" s="12"/>
      <c r="AP1096" s="12"/>
      <c r="AQ1096" s="13"/>
      <c r="AR1096" s="14"/>
    </row>
    <row r="1097" spans="1:44" s="16" customFormat="1" ht="30.95" hidden="1" customHeight="1" x14ac:dyDescent="0.2">
      <c r="A1097" s="303"/>
      <c r="B1097" s="304"/>
      <c r="C1097" s="305"/>
      <c r="D1097" s="306"/>
      <c r="E1097" s="306"/>
      <c r="F1097" s="255"/>
      <c r="G1097" s="256"/>
      <c r="H1097" s="256"/>
      <c r="I1097" s="200"/>
      <c r="J1097" s="307"/>
      <c r="K1097" s="200"/>
      <c r="L1097" s="200"/>
      <c r="M1097" s="308"/>
      <c r="N1097" s="308"/>
      <c r="O1097" s="309"/>
      <c r="P1097" s="310"/>
      <c r="Q1097" s="260"/>
      <c r="R1097" s="261"/>
      <c r="S1097" s="261"/>
      <c r="T1097" s="311"/>
      <c r="U1097" s="261"/>
      <c r="V1097" s="256"/>
      <c r="W1097" s="256"/>
      <c r="X1097" s="256"/>
      <c r="Y1097" s="256"/>
      <c r="Z1097" s="310"/>
      <c r="AA1097" s="200"/>
      <c r="AB1097" s="312"/>
      <c r="AC1097" s="313"/>
      <c r="AD1097" s="51"/>
      <c r="AE1097" s="314"/>
      <c r="AF1097" s="315"/>
      <c r="AG1097" s="309"/>
      <c r="AH1097" s="28"/>
      <c r="AI1097" s="28"/>
      <c r="AJ1097" s="28"/>
      <c r="AK1097" s="28"/>
      <c r="AL1097" s="12"/>
      <c r="AM1097" s="12"/>
      <c r="AN1097" s="12"/>
      <c r="AO1097" s="12"/>
      <c r="AP1097" s="12"/>
      <c r="AQ1097" s="13"/>
      <c r="AR1097" s="14"/>
    </row>
    <row r="1098" spans="1:44" s="16" customFormat="1" ht="30.95" hidden="1" customHeight="1" x14ac:dyDescent="0.2">
      <c r="A1098" s="303" t="s">
        <v>679</v>
      </c>
      <c r="B1098" s="304" t="s">
        <v>688</v>
      </c>
      <c r="C1098" s="305"/>
      <c r="D1098" s="29">
        <v>3735099</v>
      </c>
      <c r="E1098" s="29">
        <v>4151557</v>
      </c>
      <c r="F1098" s="255" t="str">
        <f>IF(D1098="","",VLOOKUP(D1098,契約台帳!$A$3:$K$4986,6,FALSE)&amp;VLOOKUP(D1098,契約台帳!$A$3:$K$4986,7,FALSE)&amp;VLOOKUP(D1098,契約台帳!$A$3:$K$4986,8,FALSE)&amp;VLOOKUP(D1098,契約台帳!$A$3:$K$4986,9,FALSE)&amp;VLOOKUP(D1098,契約台帳!$A$3:$K$4986,11,FALSE))</f>
        <v>3TNDMSX42GPC</v>
      </c>
      <c r="G1098" s="256" t="str">
        <f>IF(D1098="","",VLOOKUP(F1098,製品マスタ!$G$5:$H$4999,2,FALSE))</f>
        <v>T</v>
      </c>
      <c r="H1098" s="256" t="str">
        <f>IF(D1098="","",VLOOKUP(F1098,製品マスタ!$G$5:$K$4999,5,FALSE))</f>
        <v>X42GPC</v>
      </c>
      <c r="I1098" s="200" t="str">
        <f>IF(D1098="","",VLOOKUP(F1098,製品マスタ!$G$5:$L$4999,6,FALSE))</f>
        <v>ＤＭＳ（Ｘ４２Ｇ）ＰＣ</v>
      </c>
      <c r="J1098" s="30" t="s">
        <v>447</v>
      </c>
      <c r="K1098" s="200">
        <f>IF(D1098="","",VLOOKUP(D1098,契約台帳!$A$3:$L$4986,12,FALSE))</f>
        <v>50</v>
      </c>
      <c r="L1098" s="200" t="str">
        <f>IF(D1098="","",INDEX(製品マスタ!$Q$5:$Q$4999,MATCH(F1098&amp;K1098,製品マスタ!$AO$5:$AO$4999,0)))</f>
        <v>X42G</v>
      </c>
      <c r="M1098" s="37">
        <v>1360</v>
      </c>
      <c r="N1098" s="37">
        <v>4100</v>
      </c>
      <c r="O1098" s="45">
        <v>1</v>
      </c>
      <c r="P1098" s="54"/>
      <c r="Q1098" s="260">
        <f>IF(D1098="","",IF(J1098="リード付け",M1098,VLOOKUP(D1098,契約台帳!$A$3:$N$4986,14,FALSE)))</f>
        <v>680</v>
      </c>
      <c r="R1098" s="261">
        <f>IF(D1098="","",IF(J1098="リード付け",M1098,VLOOKUP(D1098,契約台帳!$A$3:$O$4986,15,FALSE)))</f>
        <v>680</v>
      </c>
      <c r="S1098" s="261">
        <f>IF(D1098="","",IF(J1098="リード付け",N1098,VLOOKUP(D1098,契約台帳!$A$3:$P$4986,16,FALSE)))</f>
        <v>2000</v>
      </c>
      <c r="T1098" s="38">
        <v>4</v>
      </c>
      <c r="U1098" s="261">
        <f ca="1">IF(D1098="","",IF(OFFSET(D1098,-2,0)=D1098,"",VLOOKUP(D1098,契約台帳!$A$3:$R$4986,18,FALSE)))</f>
        <v>4</v>
      </c>
      <c r="V1098" s="256" t="str">
        <f>IF(J1098="巻返し",VLOOKUP(F1098&amp;K1098&amp;M1098,製品マスタ!$M$5:$AD$4999,18,FALSE),IF(J1098="リード付け","原反コア",IF(J1098="スリット",VLOOKUP(F1098&amp;K1098&amp;Q1098,製品マスタ!$N$5:$AD$4999,17,FALSE),"")))</f>
        <v>3ｲﾝﾁMｺｱ</v>
      </c>
      <c r="W1098" s="256">
        <f>IF(J1098="巻返し",VLOOKUP(F1098&amp;K1098&amp;M1098,製品マスタ!$M$5:$AE$4999,19,FALSE),IF(J1098="リード付け","-",IF(J1098="スリット",VLOOKUP(F1098&amp;K1098&amp;Q1098,製品マスタ!$N$5:$AE$4999,18,FALSE),"")))</f>
        <v>690</v>
      </c>
      <c r="X1098" s="256">
        <f>IF(D1098="","",VLOOKUP(D1098,契約台帳!$A$3:$Q$4986,17,FALSE))</f>
        <v>2</v>
      </c>
      <c r="Y1098" s="256" t="str">
        <f>IF(D1098="","",VLOOKUP(D1098,契約台帳!$A$3:$E$4986,5,FALSE))</f>
        <v>㈱ポラテクノ</v>
      </c>
      <c r="Z1098" s="310">
        <v>45283</v>
      </c>
      <c r="AA1098" s="200" t="s">
        <v>1467</v>
      </c>
      <c r="AB1098" s="312"/>
      <c r="AC1098" s="313"/>
      <c r="AD1098" s="51" t="str">
        <f>IF(F1098="","",+F1098&amp;K1098)</f>
        <v>3TNDMSX42GPC50</v>
      </c>
      <c r="AE1098" s="52">
        <f>+M1098*N1098*O1098/1000</f>
        <v>5576</v>
      </c>
      <c r="AF1098" s="41"/>
      <c r="AG1098" s="45"/>
      <c r="AH1098" s="28"/>
      <c r="AI1098" s="28"/>
      <c r="AJ1098" s="28"/>
      <c r="AK1098" s="28"/>
      <c r="AL1098" s="12"/>
      <c r="AM1098" s="12"/>
      <c r="AN1098" s="12"/>
      <c r="AO1098" s="12"/>
      <c r="AP1098" s="12"/>
      <c r="AQ1098" s="13"/>
      <c r="AR1098" s="14"/>
    </row>
    <row r="1099" spans="1:44" s="16" customFormat="1" ht="30.95" hidden="1" customHeight="1" x14ac:dyDescent="0.2">
      <c r="A1099" s="303"/>
      <c r="B1099" s="304"/>
      <c r="C1099" s="305"/>
      <c r="D1099" s="306"/>
      <c r="E1099" s="306"/>
      <c r="F1099" s="255"/>
      <c r="G1099" s="256"/>
      <c r="H1099" s="256"/>
      <c r="I1099" s="200"/>
      <c r="J1099" s="307"/>
      <c r="K1099" s="200"/>
      <c r="L1099" s="200"/>
      <c r="M1099" s="308"/>
      <c r="N1099" s="308"/>
      <c r="O1099" s="309"/>
      <c r="P1099" s="310"/>
      <c r="Q1099" s="260"/>
      <c r="R1099" s="261"/>
      <c r="S1099" s="261"/>
      <c r="T1099" s="311"/>
      <c r="U1099" s="261"/>
      <c r="V1099" s="256"/>
      <c r="W1099" s="256"/>
      <c r="X1099" s="256"/>
      <c r="Y1099" s="256"/>
      <c r="Z1099" s="310"/>
      <c r="AA1099" s="200"/>
      <c r="AB1099" s="312"/>
      <c r="AC1099" s="313"/>
      <c r="AD1099" s="51"/>
      <c r="AE1099" s="314"/>
      <c r="AF1099" s="315"/>
      <c r="AG1099" s="309"/>
      <c r="AH1099" s="28"/>
      <c r="AI1099" s="28"/>
      <c r="AJ1099" s="28"/>
      <c r="AK1099" s="28"/>
      <c r="AL1099" s="12"/>
      <c r="AM1099" s="12"/>
      <c r="AN1099" s="12"/>
      <c r="AO1099" s="12"/>
      <c r="AP1099" s="12"/>
      <c r="AQ1099" s="13"/>
      <c r="AR1099" s="14"/>
    </row>
    <row r="1100" spans="1:44" s="16" customFormat="1" ht="30.95" hidden="1" customHeight="1" x14ac:dyDescent="0.2">
      <c r="A1100" s="303"/>
      <c r="B1100" s="304"/>
      <c r="C1100" s="305"/>
      <c r="D1100" s="306">
        <v>5362620</v>
      </c>
      <c r="E1100" s="306">
        <v>4151568</v>
      </c>
      <c r="F1100" s="255"/>
      <c r="G1100" s="256" t="s">
        <v>450</v>
      </c>
      <c r="H1100" s="256" t="s">
        <v>230</v>
      </c>
      <c r="I1100" s="200" t="s">
        <v>231</v>
      </c>
      <c r="J1100" s="307" t="s">
        <v>1882</v>
      </c>
      <c r="K1100" s="200">
        <v>25</v>
      </c>
      <c r="L1100" s="200" t="s">
        <v>1883</v>
      </c>
      <c r="M1100" s="308">
        <v>510</v>
      </c>
      <c r="N1100" s="308">
        <v>2000</v>
      </c>
      <c r="O1100" s="309">
        <v>1</v>
      </c>
      <c r="P1100" s="310"/>
      <c r="Q1100" s="260">
        <v>340</v>
      </c>
      <c r="R1100" s="261">
        <v>340</v>
      </c>
      <c r="S1100" s="261">
        <v>300</v>
      </c>
      <c r="T1100" s="311">
        <v>6</v>
      </c>
      <c r="U1100" s="261">
        <v>6</v>
      </c>
      <c r="V1100" s="256" t="s">
        <v>1884</v>
      </c>
      <c r="W1100" s="256">
        <v>400</v>
      </c>
      <c r="X1100" s="256">
        <v>1</v>
      </c>
      <c r="Y1100" s="256" t="s">
        <v>61</v>
      </c>
      <c r="Z1100" s="310" t="s">
        <v>1892</v>
      </c>
      <c r="AA1100" s="200"/>
      <c r="AB1100" s="312"/>
      <c r="AC1100" s="313"/>
      <c r="AD1100" s="51"/>
      <c r="AE1100" s="314"/>
      <c r="AF1100" s="315"/>
      <c r="AG1100" s="309"/>
      <c r="AH1100" s="28"/>
      <c r="AI1100" s="28"/>
      <c r="AJ1100" s="28"/>
      <c r="AK1100" s="28"/>
      <c r="AL1100" s="12"/>
      <c r="AM1100" s="12"/>
      <c r="AN1100" s="12"/>
      <c r="AO1100" s="12"/>
      <c r="AP1100" s="12"/>
      <c r="AQ1100" s="13"/>
      <c r="AR1100" s="14"/>
    </row>
    <row r="1101" spans="1:44" s="16" customFormat="1" ht="30.95" hidden="1" customHeight="1" x14ac:dyDescent="0.2">
      <c r="A1101" s="303"/>
      <c r="B1101" s="304"/>
      <c r="C1101" s="305"/>
      <c r="D1101" s="306"/>
      <c r="E1101" s="336" t="s">
        <v>932</v>
      </c>
      <c r="F1101" s="255"/>
      <c r="G1101" s="256"/>
      <c r="H1101" s="256"/>
      <c r="I1101" s="200"/>
      <c r="J1101" s="307"/>
      <c r="K1101" s="200"/>
      <c r="L1101" s="200"/>
      <c r="M1101" s="308"/>
      <c r="N1101" s="308"/>
      <c r="O1101" s="309"/>
      <c r="P1101" s="310"/>
      <c r="Q1101" s="260"/>
      <c r="R1101" s="261"/>
      <c r="S1101" s="261"/>
      <c r="T1101" s="311"/>
      <c r="U1101" s="261"/>
      <c r="V1101" s="256"/>
      <c r="W1101" s="256"/>
      <c r="X1101" s="256"/>
      <c r="Y1101" s="256"/>
      <c r="Z1101" s="310"/>
      <c r="AA1101" s="200"/>
      <c r="AB1101" s="312"/>
      <c r="AC1101" s="313"/>
      <c r="AD1101" s="51"/>
      <c r="AE1101" s="314"/>
      <c r="AF1101" s="315"/>
      <c r="AG1101" s="309"/>
      <c r="AH1101" s="28"/>
      <c r="AI1101" s="28"/>
      <c r="AJ1101" s="28"/>
      <c r="AK1101" s="28"/>
      <c r="AL1101" s="12"/>
      <c r="AM1101" s="12"/>
      <c r="AN1101" s="12"/>
      <c r="AO1101" s="12"/>
      <c r="AP1101" s="12"/>
      <c r="AQ1101" s="13"/>
      <c r="AR1101" s="14"/>
    </row>
    <row r="1102" spans="1:44" s="16" customFormat="1" ht="30.95" hidden="1" customHeight="1" x14ac:dyDescent="0.2">
      <c r="A1102" s="303"/>
      <c r="B1102" s="304"/>
      <c r="C1102" s="305"/>
      <c r="D1102" s="29">
        <v>3735116</v>
      </c>
      <c r="E1102" s="29">
        <v>4151552</v>
      </c>
      <c r="F1102" s="255" t="str">
        <f>IF(D1102="","",VLOOKUP(D1102,契約台帳!$A$3:$K$4986,6,FALSE)&amp;VLOOKUP(D1102,契約台帳!$A$3:$K$4986,7,FALSE)&amp;VLOOKUP(D1102,契約台帳!$A$3:$K$4986,8,FALSE)&amp;VLOOKUP(D1102,契約台帳!$A$3:$K$4986,9,FALSE)&amp;VLOOKUP(D1102,契約台帳!$A$3:$K$4986,11,FALSE))</f>
        <v>3SNMLBMNGTBF</v>
      </c>
      <c r="G1102" s="256" t="str">
        <f>IF(D1102="","",VLOOKUP(F1102,製品マスタ!$G$5:$H$4999,2,FALSE))</f>
        <v>S</v>
      </c>
      <c r="H1102" s="256" t="str">
        <f>IF(D1102="","",VLOOKUP(F1102,製品マスタ!$G$5:$K$4999,5,FALSE))</f>
        <v>MNGTBF</v>
      </c>
      <c r="I1102" s="200" t="str">
        <f>IF(D1102="","",VLOOKUP(F1102,製品マスタ!$G$5:$L$4999,6,FALSE))</f>
        <v>メタルミー　ネーマー　銀艶　Ｂ</v>
      </c>
      <c r="J1102" s="30" t="s">
        <v>447</v>
      </c>
      <c r="K1102" s="200">
        <f>IF(D1102="","",VLOOKUP(D1102,契約台帳!$A$3:$L$4986,12,FALSE))</f>
        <v>25</v>
      </c>
      <c r="L1102" s="200" t="str">
        <f>IF(D1102="","",INDEX(製品マスタ!$Q$5:$Q$4999,MATCH(F1102&amp;K1102,製品マスタ!$AO$5:$AO$4999,0)))</f>
        <v>T62M</v>
      </c>
      <c r="M1102" s="37">
        <v>1005</v>
      </c>
      <c r="N1102" s="37">
        <v>12100</v>
      </c>
      <c r="O1102" s="45">
        <v>3</v>
      </c>
      <c r="P1102" s="54"/>
      <c r="Q1102" s="260">
        <f>IF(D1102="","",IF(J1102="リード付け",M1102,VLOOKUP(D1102,契約台帳!$A$3:$N$4986,14,FALSE)))</f>
        <v>1005</v>
      </c>
      <c r="R1102" s="261">
        <f>IF(D1102="","",IF(J1102="リード付け",M1102,VLOOKUP(D1102,契約台帳!$A$3:$O$4986,15,FALSE)))</f>
        <v>1000</v>
      </c>
      <c r="S1102" s="261">
        <f>IF(D1102="","",IF(J1102="リード付け",N1102,VLOOKUP(D1102,契約台帳!$A$3:$P$4986,16,FALSE)))</f>
        <v>4000</v>
      </c>
      <c r="T1102" s="38">
        <v>9</v>
      </c>
      <c r="U1102" s="261">
        <f ca="1">IF(D1102="","",IF(OFFSET(D1102,-2,0)=D1102,"",VLOOKUP(D1102,契約台帳!$A$3:$R$4986,18,FALSE)))</f>
        <v>15</v>
      </c>
      <c r="V1102" s="256" t="str">
        <f>IF(J1102="巻返し",VLOOKUP(F1102&amp;K1102&amp;M1102,製品マスタ!$M$5:$AD$4999,18,FALSE),IF(J1102="リード付け","原反コア",IF(J1102="スリット",VLOOKUP(F1102&amp;K1102&amp;Q1102,製品マスタ!$N$5:$AD$4999,17,FALSE),"")))</f>
        <v>6ｲﾝﾁSｺｱ</v>
      </c>
      <c r="W1102" s="256">
        <f>IF(J1102="巻返し",VLOOKUP(F1102&amp;K1102&amp;M1102,製品マスタ!$M$5:$AE$4999,19,FALSE),IF(J1102="リード付け","-",IF(J1102="スリット",VLOOKUP(F1102&amp;K1102&amp;Q1102,製品マスタ!$N$5:$AE$4999,18,FALSE),"")))</f>
        <v>1015</v>
      </c>
      <c r="X1102" s="256">
        <f>IF(D1102="","",VLOOKUP(D1102,契約台帳!$A$3:$Q$4986,17,FALSE))</f>
        <v>2</v>
      </c>
      <c r="Y1102" s="256" t="str">
        <f>IF(D1102="","",VLOOKUP(D1102,契約台帳!$A$3:$E$4986,5,FALSE))</f>
        <v>リンテック㈱</v>
      </c>
      <c r="Z1102" s="310">
        <v>45282</v>
      </c>
      <c r="AA1102" s="200"/>
      <c r="AB1102" s="312"/>
      <c r="AC1102" s="313"/>
      <c r="AD1102" s="51" t="str">
        <f>IF(F1102="","",+F1102&amp;K1102)</f>
        <v>3SNMLBMNGTBF25</v>
      </c>
      <c r="AE1102" s="52">
        <f>+M1102*N1102*O1102/1000</f>
        <v>36481.5</v>
      </c>
      <c r="AF1102" s="41">
        <f>IF(AD1102="","",VLOOKUP(AD1102,原価マスタ!$A$2:$AJ$1693,13,FALSE))</f>
        <v>97.5</v>
      </c>
      <c r="AG1102" s="45">
        <f>IF(AF1102="","",+AE1102*AF1102/100)</f>
        <v>35569.462500000001</v>
      </c>
      <c r="AH1102" s="28"/>
      <c r="AI1102" s="28"/>
      <c r="AJ1102" s="28"/>
      <c r="AK1102" s="28"/>
      <c r="AL1102" s="12"/>
      <c r="AM1102" s="12"/>
      <c r="AN1102" s="12"/>
      <c r="AO1102" s="12"/>
      <c r="AP1102" s="12"/>
      <c r="AQ1102" s="13"/>
      <c r="AR1102" s="14"/>
    </row>
    <row r="1103" spans="1:44" s="16" customFormat="1" ht="30.95" hidden="1" customHeight="1" x14ac:dyDescent="0.2">
      <c r="A1103" s="303"/>
      <c r="B1103" s="304"/>
      <c r="C1103" s="305"/>
      <c r="D1103" s="306"/>
      <c r="E1103" s="306"/>
      <c r="F1103" s="255"/>
      <c r="G1103" s="256"/>
      <c r="H1103" s="256"/>
      <c r="I1103" s="200"/>
      <c r="J1103" s="307"/>
      <c r="K1103" s="200"/>
      <c r="L1103" s="200"/>
      <c r="M1103" s="308"/>
      <c r="N1103" s="308"/>
      <c r="O1103" s="309"/>
      <c r="P1103" s="310"/>
      <c r="Q1103" s="260"/>
      <c r="R1103" s="261"/>
      <c r="S1103" s="261"/>
      <c r="T1103" s="311"/>
      <c r="U1103" s="261"/>
      <c r="V1103" s="256"/>
      <c r="W1103" s="256"/>
      <c r="X1103" s="256"/>
      <c r="Y1103" s="256"/>
      <c r="Z1103" s="310"/>
      <c r="AA1103" s="200"/>
      <c r="AB1103" s="312"/>
      <c r="AC1103" s="313"/>
      <c r="AD1103" s="51"/>
      <c r="AE1103" s="314"/>
      <c r="AF1103" s="315"/>
      <c r="AG1103" s="309"/>
      <c r="AH1103" s="28"/>
      <c r="AI1103" s="28"/>
      <c r="AJ1103" s="28"/>
      <c r="AK1103" s="28"/>
      <c r="AL1103" s="12"/>
      <c r="AM1103" s="12"/>
      <c r="AN1103" s="12"/>
      <c r="AO1103" s="12"/>
      <c r="AP1103" s="12"/>
      <c r="AQ1103" s="13"/>
      <c r="AR1103" s="14"/>
    </row>
    <row r="1104" spans="1:44" s="16" customFormat="1" ht="30.95" hidden="1" customHeight="1" x14ac:dyDescent="0.2">
      <c r="A1104" s="303" t="s">
        <v>685</v>
      </c>
      <c r="B1104" s="304" t="s">
        <v>442</v>
      </c>
      <c r="C1104" s="305"/>
      <c r="D1104" s="29">
        <v>3735116</v>
      </c>
      <c r="E1104" s="29">
        <v>4151552</v>
      </c>
      <c r="F1104" s="255" t="str">
        <f>IF(D1104="","",VLOOKUP(D1104,契約台帳!$A$3:$K$4986,6,FALSE)&amp;VLOOKUP(D1104,契約台帳!$A$3:$K$4986,7,FALSE)&amp;VLOOKUP(D1104,契約台帳!$A$3:$K$4986,8,FALSE)&amp;VLOOKUP(D1104,契約台帳!$A$3:$K$4986,9,FALSE)&amp;VLOOKUP(D1104,契約台帳!$A$3:$K$4986,11,FALSE))</f>
        <v>3SNMLBMNGTBF</v>
      </c>
      <c r="G1104" s="256" t="str">
        <f>IF(D1104="","",VLOOKUP(F1104,製品マスタ!$G$5:$H$4999,2,FALSE))</f>
        <v>S</v>
      </c>
      <c r="H1104" s="256" t="str">
        <f>IF(D1104="","",VLOOKUP(F1104,製品マスタ!$G$5:$K$4999,5,FALSE))</f>
        <v>MNGTBF</v>
      </c>
      <c r="I1104" s="200" t="str">
        <f>IF(D1104="","",VLOOKUP(F1104,製品マスタ!$G$5:$L$4999,6,FALSE))</f>
        <v>メタルミー　ネーマー　銀艶　Ｂ</v>
      </c>
      <c r="J1104" s="30" t="s">
        <v>447</v>
      </c>
      <c r="K1104" s="200">
        <f>IF(D1104="","",VLOOKUP(D1104,契約台帳!$A$3:$L$4986,12,FALSE))</f>
        <v>25</v>
      </c>
      <c r="L1104" s="200" t="str">
        <f>IF(D1104="","",INDEX(製品マスタ!$Q$5:$Q$4999,MATCH(F1104&amp;K1104,製品マスタ!$AO$5:$AO$4999,0)))</f>
        <v>T62M</v>
      </c>
      <c r="M1104" s="37">
        <v>1005</v>
      </c>
      <c r="N1104" s="37">
        <v>12100</v>
      </c>
      <c r="O1104" s="45">
        <v>2</v>
      </c>
      <c r="P1104" s="54"/>
      <c r="Q1104" s="260">
        <f>IF(D1104="","",IF(J1104="リード付け",M1104,VLOOKUP(D1104,契約台帳!$A$3:$N$4986,14,FALSE)))</f>
        <v>1005</v>
      </c>
      <c r="R1104" s="261">
        <f>IF(D1104="","",IF(J1104="リード付け",M1104,VLOOKUP(D1104,契約台帳!$A$3:$O$4986,15,FALSE)))</f>
        <v>1000</v>
      </c>
      <c r="S1104" s="261">
        <f>IF(D1104="","",IF(J1104="リード付け",N1104,VLOOKUP(D1104,契約台帳!$A$3:$P$4986,16,FALSE)))</f>
        <v>4000</v>
      </c>
      <c r="T1104" s="38">
        <v>6</v>
      </c>
      <c r="U1104" s="261" t="str">
        <f ca="1">IF(D1104="","",IF(OFFSET(D1104,-2,0)=D1104,"",VLOOKUP(D1104,契約台帳!$A$3:$R$4986,18,FALSE)))</f>
        <v/>
      </c>
      <c r="V1104" s="256" t="str">
        <f>IF(J1104="巻返し",VLOOKUP(F1104&amp;K1104&amp;M1104,製品マスタ!$M$5:$AD$4999,18,FALSE),IF(J1104="リード付け","原反コア",IF(J1104="スリット",VLOOKUP(F1104&amp;K1104&amp;Q1104,製品マスタ!$N$5:$AD$4999,17,FALSE),"")))</f>
        <v>6ｲﾝﾁSｺｱ</v>
      </c>
      <c r="W1104" s="256">
        <f>IF(J1104="巻返し",VLOOKUP(F1104&amp;K1104&amp;M1104,製品マスタ!$M$5:$AE$4999,19,FALSE),IF(J1104="リード付け","-",IF(J1104="スリット",VLOOKUP(F1104&amp;K1104&amp;Q1104,製品マスタ!$N$5:$AE$4999,18,FALSE),"")))</f>
        <v>1015</v>
      </c>
      <c r="X1104" s="256">
        <f>IF(D1104="","",VLOOKUP(D1104,契約台帳!$A$3:$Q$4986,17,FALSE))</f>
        <v>2</v>
      </c>
      <c r="Y1104" s="256" t="str">
        <f>IF(D1104="","",VLOOKUP(D1104,契約台帳!$A$3:$E$4986,5,FALSE))</f>
        <v>リンテック㈱</v>
      </c>
      <c r="Z1104" s="310">
        <v>45282</v>
      </c>
      <c r="AA1104" s="200"/>
      <c r="AB1104" s="312"/>
      <c r="AC1104" s="313"/>
      <c r="AD1104" s="51" t="str">
        <f>IF(F1104="","",+F1104&amp;K1104)</f>
        <v>3SNMLBMNGTBF25</v>
      </c>
      <c r="AE1104" s="52">
        <f>+M1104*N1104*O1104/1000</f>
        <v>24321</v>
      </c>
      <c r="AF1104" s="41">
        <f>IF(AD1104="","",VLOOKUP(AD1104,原価マスタ!$A$2:$AJ$1693,13,FALSE))</f>
        <v>97.5</v>
      </c>
      <c r="AG1104" s="45">
        <f>IF(AF1104="","",+AE1104*AF1104/100)</f>
        <v>23712.974999999999</v>
      </c>
      <c r="AH1104" s="28"/>
      <c r="AI1104" s="28"/>
      <c r="AJ1104" s="28"/>
      <c r="AK1104" s="28"/>
      <c r="AL1104" s="12"/>
      <c r="AM1104" s="12"/>
      <c r="AN1104" s="12"/>
      <c r="AO1104" s="12"/>
      <c r="AP1104" s="12"/>
      <c r="AQ1104" s="13"/>
      <c r="AR1104" s="14"/>
    </row>
    <row r="1105" spans="1:44" s="16" customFormat="1" ht="30.95" hidden="1" customHeight="1" x14ac:dyDescent="0.2">
      <c r="A1105" s="303"/>
      <c r="B1105" s="304"/>
      <c r="C1105" s="305"/>
      <c r="D1105" s="306"/>
      <c r="E1105" s="306"/>
      <c r="F1105" s="255"/>
      <c r="G1105" s="256"/>
      <c r="H1105" s="256"/>
      <c r="I1105" s="200"/>
      <c r="J1105" s="307"/>
      <c r="K1105" s="200"/>
      <c r="L1105" s="200"/>
      <c r="M1105" s="308"/>
      <c r="N1105" s="308"/>
      <c r="O1105" s="309"/>
      <c r="P1105" s="310"/>
      <c r="Q1105" s="260"/>
      <c r="R1105" s="261"/>
      <c r="S1105" s="261"/>
      <c r="T1105" s="311"/>
      <c r="U1105" s="261"/>
      <c r="V1105" s="256"/>
      <c r="W1105" s="256"/>
      <c r="X1105" s="256"/>
      <c r="Y1105" s="256"/>
      <c r="Z1105" s="310"/>
      <c r="AA1105" s="200"/>
      <c r="AB1105" s="312"/>
      <c r="AC1105" s="313"/>
      <c r="AD1105" s="51"/>
      <c r="AE1105" s="314"/>
      <c r="AF1105" s="315"/>
      <c r="AG1105" s="309"/>
      <c r="AH1105" s="28"/>
      <c r="AI1105" s="28"/>
      <c r="AJ1105" s="28"/>
      <c r="AK1105" s="28"/>
      <c r="AL1105" s="12"/>
      <c r="AM1105" s="12"/>
      <c r="AN1105" s="12"/>
      <c r="AO1105" s="12"/>
      <c r="AP1105" s="12"/>
      <c r="AQ1105" s="13"/>
      <c r="AR1105" s="14"/>
    </row>
    <row r="1106" spans="1:44" s="16" customFormat="1" ht="30.6" hidden="1" customHeight="1" x14ac:dyDescent="0.2">
      <c r="A1106" s="303"/>
      <c r="B1106" s="304"/>
      <c r="C1106" s="305"/>
      <c r="D1106" s="29">
        <v>3735117</v>
      </c>
      <c r="E1106" s="29">
        <v>4151561</v>
      </c>
      <c r="F1106" s="255" t="str">
        <f>IF(D1106="","",VLOOKUP(D1106,契約台帳!$A$3:$K$4986,6,FALSE)&amp;VLOOKUP(D1106,契約台帳!$A$3:$K$4986,7,FALSE)&amp;VLOOKUP(D1106,契約台帳!$A$3:$K$4986,8,FALSE)&amp;VLOOKUP(D1106,契約台帳!$A$3:$K$4986,9,FALSE)&amp;VLOOKUP(D1106,契約台帳!$A$3:$K$4986,11,FALSE))</f>
        <v>3HSNMLBMNGTBF</v>
      </c>
      <c r="G1106" s="256" t="str">
        <f>IF(D1106="","",VLOOKUP(F1106,製品マスタ!$G$5:$H$4999,2,FALSE))</f>
        <v>S</v>
      </c>
      <c r="H1106" s="256" t="str">
        <f>IF(D1106="","",VLOOKUP(F1106,製品マスタ!$G$5:$K$4999,5,FALSE))</f>
        <v>MNGTBF</v>
      </c>
      <c r="I1106" s="200" t="str">
        <f>IF(D1106="","",VLOOKUP(F1106,製品マスタ!$G$5:$L$4999,6,FALSE))</f>
        <v>メタルミー　ネーマー　銀艶　Ｂ</v>
      </c>
      <c r="J1106" s="30" t="s">
        <v>447</v>
      </c>
      <c r="K1106" s="200">
        <f>IF(D1106="","",VLOOKUP(D1106,契約台帳!$A$3:$L$4986,12,FALSE))</f>
        <v>50</v>
      </c>
      <c r="L1106" s="200" t="str">
        <f>IF(D1106="","",INDEX(製品マスタ!$Q$5:$Q$4999,MATCH(F1106&amp;K1106,製品マスタ!$AO$5:$AO$4999,0)))</f>
        <v>T62M</v>
      </c>
      <c r="M1106" s="37">
        <v>1195</v>
      </c>
      <c r="N1106" s="37">
        <v>10200</v>
      </c>
      <c r="O1106" s="45">
        <v>3</v>
      </c>
      <c r="P1106" s="54"/>
      <c r="Q1106" s="260">
        <f>IF(D1106="","",IF(J1106="リード付け",M1106,VLOOKUP(D1106,契約台帳!$A$3:$N$4986,14,FALSE)))</f>
        <v>1120</v>
      </c>
      <c r="R1106" s="261">
        <f>IF(D1106="","",IF(J1106="リード付け",M1106,VLOOKUP(D1106,契約台帳!$A$3:$O$4986,15,FALSE)))</f>
        <v>1120</v>
      </c>
      <c r="S1106" s="261">
        <f>IF(D1106="","",IF(J1106="リード付け",N1106,VLOOKUP(D1106,契約台帳!$A$3:$P$4986,16,FALSE)))</f>
        <v>5000</v>
      </c>
      <c r="T1106" s="38">
        <v>6</v>
      </c>
      <c r="U1106" s="261">
        <f ca="1">IF(D1106="","",IF(OFFSET(D1106,-2,0)=D1106,"",VLOOKUP(D1106,契約台帳!$A$3:$R$4986,18,FALSE)))</f>
        <v>25</v>
      </c>
      <c r="V1106" s="256" t="str">
        <f>IF(J1106="巻返し",VLOOKUP(F1106&amp;K1106&amp;M1106,製品マスタ!$M$5:$AD$4999,18,FALSE),IF(J1106="リード付け","原反コア",IF(J1106="スリット",VLOOKUP(F1106&amp;K1106&amp;Q1106,製品マスタ!$N$5:$AD$4999,17,FALSE),"")))</f>
        <v>6ｲﾝﾁSｺｱ</v>
      </c>
      <c r="W1106" s="256">
        <f>IF(J1106="巻返し",VLOOKUP(F1106&amp;K1106&amp;M1106,製品マスタ!$M$5:$AE$4999,19,FALSE),IF(J1106="リード付け","-",IF(J1106="スリット",VLOOKUP(F1106&amp;K1106&amp;Q1106,製品マスタ!$N$5:$AE$4999,18,FALSE),"")))</f>
        <v>1125</v>
      </c>
      <c r="X1106" s="256">
        <f>IF(D1106="","",VLOOKUP(D1106,契約台帳!$A$3:$Q$4986,17,FALSE))</f>
        <v>2</v>
      </c>
      <c r="Y1106" s="256" t="str">
        <f>IF(D1106="","",VLOOKUP(D1106,契約台帳!$A$3:$E$4986,5,FALSE))</f>
        <v>リンテック㈱</v>
      </c>
      <c r="Z1106" s="310">
        <v>45288</v>
      </c>
      <c r="AA1106" s="200"/>
      <c r="AB1106" s="312"/>
      <c r="AC1106" s="313"/>
      <c r="AD1106" s="51" t="str">
        <f>IF(F1106="","",+F1106&amp;K1106)</f>
        <v>3HSNMLBMNGTBF50</v>
      </c>
      <c r="AE1106" s="52">
        <f>+M1106*N1106*O1106/1000</f>
        <v>36567</v>
      </c>
      <c r="AF1106" s="41" t="e">
        <f>IF(AD1106="","",VLOOKUP(AD1106,原価マスタ!$A$2:$AJ$1693,13,FALSE))</f>
        <v>#N/A</v>
      </c>
      <c r="AG1106" s="45" t="e">
        <f>IF(AF1106="","",+AE1106*AF1106/100)</f>
        <v>#N/A</v>
      </c>
      <c r="AH1106" s="28"/>
      <c r="AI1106" s="28"/>
      <c r="AJ1106" s="28"/>
      <c r="AK1106" s="28"/>
      <c r="AL1106" s="12"/>
      <c r="AM1106" s="12"/>
      <c r="AN1106" s="12"/>
      <c r="AO1106" s="12"/>
      <c r="AP1106" s="12"/>
      <c r="AQ1106" s="13"/>
      <c r="AR1106" s="14"/>
    </row>
    <row r="1107" spans="1:44" s="16" customFormat="1" ht="30.95" hidden="1" customHeight="1" x14ac:dyDescent="0.2">
      <c r="A1107" s="303"/>
      <c r="B1107" s="304"/>
      <c r="C1107" s="305"/>
      <c r="D1107" s="306"/>
      <c r="E1107" s="306"/>
      <c r="F1107" s="255"/>
      <c r="G1107" s="256"/>
      <c r="H1107" s="256"/>
      <c r="I1107" s="200"/>
      <c r="J1107" s="307"/>
      <c r="K1107" s="200"/>
      <c r="L1107" s="200"/>
      <c r="M1107" s="308"/>
      <c r="N1107" s="308"/>
      <c r="O1107" s="309"/>
      <c r="P1107" s="310"/>
      <c r="Q1107" s="260"/>
      <c r="R1107" s="261"/>
      <c r="S1107" s="261"/>
      <c r="T1107" s="311"/>
      <c r="U1107" s="261"/>
      <c r="V1107" s="256"/>
      <c r="W1107" s="256"/>
      <c r="X1107" s="256"/>
      <c r="Y1107" s="256"/>
      <c r="Z1107" s="310"/>
      <c r="AA1107" s="200"/>
      <c r="AB1107" s="312"/>
      <c r="AC1107" s="313"/>
      <c r="AD1107" s="51"/>
      <c r="AE1107" s="314"/>
      <c r="AF1107" s="315"/>
      <c r="AG1107" s="309"/>
      <c r="AH1107" s="28"/>
      <c r="AI1107" s="28"/>
      <c r="AJ1107" s="28"/>
      <c r="AK1107" s="28"/>
      <c r="AL1107" s="12"/>
      <c r="AM1107" s="12"/>
      <c r="AN1107" s="12"/>
      <c r="AO1107" s="12"/>
      <c r="AP1107" s="12"/>
      <c r="AQ1107" s="13"/>
      <c r="AR1107" s="14"/>
    </row>
    <row r="1108" spans="1:44" s="16" customFormat="1" ht="30.95" hidden="1" customHeight="1" x14ac:dyDescent="0.2">
      <c r="A1108" s="303" t="s">
        <v>686</v>
      </c>
      <c r="B1108" s="304" t="s">
        <v>443</v>
      </c>
      <c r="C1108" s="305"/>
      <c r="D1108" s="29">
        <v>3731444</v>
      </c>
      <c r="E1108" s="29" t="s">
        <v>1885</v>
      </c>
      <c r="F1108" s="255" t="str">
        <f>IF(D1108="","",VLOOKUP(D1108,契約台帳!$A$3:$K$4986,6,FALSE)&amp;VLOOKUP(D1108,契約台帳!$A$3:$K$4986,7,FALSE)&amp;VLOOKUP(D1108,契約台帳!$A$3:$K$4986,8,FALSE)&amp;VLOOKUP(D1108,契約台帳!$A$3:$K$4986,9,FALSE)&amp;VLOOKUP(D1108,契約台帳!$A$3:$K$4986,11,FALSE))</f>
        <v>3UYKNZMCRALCB</v>
      </c>
      <c r="G1108" s="256" t="str">
        <f>IF(D1108="","",VLOOKUP(F1108,製品マスタ!$G$5:$H$4999,2,FALSE))</f>
        <v>U</v>
      </c>
      <c r="H1108" s="256" t="str">
        <f>IF(D1108="","",VLOOKUP(F1108,製品マスタ!$G$5:$K$4999,5,FALSE))</f>
        <v>MCRALCB</v>
      </c>
      <c r="I1108" s="200" t="str">
        <f>IF(D1108="","",VLOOKUP(F1108,製品マスタ!$G$5:$L$4999,6,FALSE))</f>
        <v>Metalumy CR aluminum surface coat B</v>
      </c>
      <c r="J1108" s="30" t="s">
        <v>447</v>
      </c>
      <c r="K1108" s="200">
        <f>IF(D1108="","",VLOOKUP(D1108,契約台帳!$A$3:$L$4986,12,FALSE))</f>
        <v>25</v>
      </c>
      <c r="L1108" s="200" t="str">
        <f>IF(D1108="","",INDEX(製品マスタ!$Q$5:$Q$4999,MATCH(F1108&amp;K1108,製品マスタ!$AO$5:$AO$4999,0)))</f>
        <v>S28M</v>
      </c>
      <c r="M1108" s="37">
        <v>1110</v>
      </c>
      <c r="N1108" s="37">
        <v>12100</v>
      </c>
      <c r="O1108" s="45">
        <v>2</v>
      </c>
      <c r="P1108" s="54"/>
      <c r="Q1108" s="260">
        <f>IF(D1108="","",IF(J1108="リード付け",M1108,VLOOKUP(D1108,契約台帳!$A$3:$N$4986,14,FALSE)))</f>
        <v>1050</v>
      </c>
      <c r="R1108" s="261">
        <f>IF(D1108="","",IF(J1108="リード付け",M1108,VLOOKUP(D1108,契約台帳!$A$3:$O$4986,15,FALSE)))</f>
        <v>1050</v>
      </c>
      <c r="S1108" s="261">
        <f>IF(D1108="","",IF(J1108="リード付け",N1108,VLOOKUP(D1108,契約台帳!$A$3:$P$4986,16,FALSE)))</f>
        <v>6000</v>
      </c>
      <c r="T1108" s="38">
        <v>4</v>
      </c>
      <c r="U1108" s="261">
        <f ca="1">IF(D1108="","",IF(OFFSET(D1108,-2,0)=D1108,"",VLOOKUP(D1108,契約台帳!$A$3:$R$4986,18,FALSE)))</f>
        <v>4</v>
      </c>
      <c r="V1108" s="256" t="str">
        <f>IF(J1108="巻返し",VLOOKUP(F1108&amp;K1108&amp;M1108,製品マスタ!$M$5:$AD$4999,18,FALSE),IF(J1108="リード付け","原反コア",IF(J1108="スリット",VLOOKUP(F1108&amp;K1108&amp;Q1108,製品マスタ!$N$5:$AD$4999,17,FALSE),"")))</f>
        <v>6ｲﾝﾁABS</v>
      </c>
      <c r="W1108" s="256">
        <f>IF(J1108="巻返し",VLOOKUP(F1108&amp;K1108&amp;M1108,製品マスタ!$M$5:$AE$4999,19,FALSE),IF(J1108="リード付け","-",IF(J1108="スリット",VLOOKUP(F1108&amp;K1108&amp;Q1108,製品マスタ!$N$5:$AE$4999,18,FALSE),"")))</f>
        <v>1250</v>
      </c>
      <c r="X1108" s="256">
        <f>IF(D1108="","",VLOOKUP(D1108,契約台帳!$A$3:$Q$4986,17,FALSE))</f>
        <v>1</v>
      </c>
      <c r="Y1108" s="256" t="str">
        <f>IF(D1108="","",VLOOKUP(D1108,契約台帳!$A$3:$E$4986,5,FALSE))</f>
        <v>日東電工有限公司</v>
      </c>
      <c r="Z1108" s="310" t="s">
        <v>1874</v>
      </c>
      <c r="AA1108" s="200" t="s">
        <v>1470</v>
      </c>
      <c r="AB1108" s="312"/>
      <c r="AC1108" s="313"/>
      <c r="AD1108" s="51" t="str">
        <f>IF(F1108="","",+F1108&amp;K1108)</f>
        <v>3UYKNZMCRALCB25</v>
      </c>
      <c r="AE1108" s="52">
        <f>+M1108*N1108*O1108/1000</f>
        <v>26862</v>
      </c>
      <c r="AF1108" s="41"/>
      <c r="AG1108" s="45"/>
      <c r="AH1108" s="28"/>
      <c r="AI1108" s="28"/>
      <c r="AJ1108" s="28"/>
      <c r="AK1108" s="28"/>
      <c r="AL1108" s="12"/>
      <c r="AM1108" s="12"/>
      <c r="AN1108" s="12"/>
      <c r="AO1108" s="12"/>
      <c r="AP1108" s="12"/>
      <c r="AQ1108" s="13"/>
      <c r="AR1108" s="14"/>
    </row>
    <row r="1109" spans="1:44" s="16" customFormat="1" ht="30.95" hidden="1" customHeight="1" x14ac:dyDescent="0.2">
      <c r="A1109" s="303"/>
      <c r="B1109" s="304"/>
      <c r="C1109" s="305"/>
      <c r="D1109" s="306"/>
      <c r="E1109" s="306"/>
      <c r="F1109" s="255"/>
      <c r="G1109" s="256"/>
      <c r="H1109" s="256"/>
      <c r="I1109" s="200"/>
      <c r="J1109" s="307"/>
      <c r="K1109" s="200"/>
      <c r="L1109" s="200"/>
      <c r="M1109" s="308"/>
      <c r="N1109" s="308"/>
      <c r="O1109" s="309"/>
      <c r="P1109" s="310"/>
      <c r="Q1109" s="260"/>
      <c r="R1109" s="261"/>
      <c r="S1109" s="261"/>
      <c r="T1109" s="311"/>
      <c r="U1109" s="261"/>
      <c r="V1109" s="256"/>
      <c r="W1109" s="256"/>
      <c r="X1109" s="256"/>
      <c r="Y1109" s="256"/>
      <c r="Z1109" s="310"/>
      <c r="AA1109" s="200"/>
      <c r="AB1109" s="312"/>
      <c r="AC1109" s="313"/>
      <c r="AD1109" s="51"/>
      <c r="AE1109" s="314"/>
      <c r="AF1109" s="315"/>
      <c r="AG1109" s="309"/>
      <c r="AH1109" s="28"/>
      <c r="AI1109" s="28"/>
      <c r="AJ1109" s="28"/>
      <c r="AK1109" s="28"/>
      <c r="AL1109" s="12"/>
      <c r="AM1109" s="12"/>
      <c r="AN1109" s="12"/>
      <c r="AO1109" s="12"/>
      <c r="AP1109" s="12"/>
      <c r="AQ1109" s="13"/>
      <c r="AR1109" s="14"/>
    </row>
    <row r="1110" spans="1:44" s="16" customFormat="1" ht="30.95" hidden="1" customHeight="1" x14ac:dyDescent="0.2">
      <c r="A1110" s="303"/>
      <c r="B1110" s="304"/>
      <c r="C1110" s="305"/>
      <c r="D1110" s="29">
        <v>3737316</v>
      </c>
      <c r="E1110" s="29">
        <v>4151569</v>
      </c>
      <c r="F1110" s="255" t="str">
        <f>IF(D1110="","",VLOOKUP(D1110,契約台帳!$A$3:$K$4986,6,FALSE)&amp;VLOOKUP(D1110,契約台帳!$A$3:$K$4986,7,FALSE)&amp;VLOOKUP(D1110,契約台帳!$A$3:$K$4986,8,FALSE)&amp;VLOOKUP(D1110,契約台帳!$A$3:$K$4986,9,FALSE)&amp;VLOOKUP(D1110,契約台帳!$A$3:$K$4986,11,FALSE))</f>
        <v>3UYKNZMCRALCB</v>
      </c>
      <c r="G1110" s="256" t="str">
        <f>IF(D1110="","",VLOOKUP(F1110,製品マスタ!$G$5:$H$4999,2,FALSE))</f>
        <v>U</v>
      </c>
      <c r="H1110" s="256" t="str">
        <f>IF(D1110="","",VLOOKUP(F1110,製品マスタ!$G$5:$K$4999,5,FALSE))</f>
        <v>MCRALCB</v>
      </c>
      <c r="I1110" s="200" t="str">
        <f>IF(D1110="","",VLOOKUP(F1110,製品マスタ!$G$5:$L$4999,6,FALSE))</f>
        <v>Metalumy CR aluminum surface coat B</v>
      </c>
      <c r="J1110" s="30" t="s">
        <v>447</v>
      </c>
      <c r="K1110" s="200">
        <f>IF(D1110="","",VLOOKUP(D1110,契約台帳!$A$3:$L$4986,12,FALSE))</f>
        <v>25</v>
      </c>
      <c r="L1110" s="200" t="str">
        <f>IF(D1110="","",INDEX(製品マスタ!$Q$5:$Q$4999,MATCH(F1110&amp;K1110,製品マスタ!$AO$5:$AO$4999,0)))</f>
        <v>S28M</v>
      </c>
      <c r="M1110" s="37">
        <v>1110</v>
      </c>
      <c r="N1110" s="37">
        <v>12100</v>
      </c>
      <c r="O1110" s="45">
        <v>5</v>
      </c>
      <c r="P1110" s="54"/>
      <c r="Q1110" s="260">
        <f>IF(D1110="","",IF(J1110="リード付け",M1110,VLOOKUP(D1110,契約台帳!$A$3:$N$4986,14,FALSE)))</f>
        <v>1050</v>
      </c>
      <c r="R1110" s="261">
        <f>IF(D1110="","",IF(J1110="リード付け",M1110,VLOOKUP(D1110,契約台帳!$A$3:$O$4986,15,FALSE)))</f>
        <v>1050</v>
      </c>
      <c r="S1110" s="261">
        <f>IF(D1110="","",IF(J1110="リード付け",N1110,VLOOKUP(D1110,契約台帳!$A$3:$P$4986,16,FALSE)))</f>
        <v>6000</v>
      </c>
      <c r="T1110" s="38">
        <v>10</v>
      </c>
      <c r="U1110" s="261">
        <f ca="1">IF(D1110="","",IF(OFFSET(D1110,-2,0)=D1110,"",VLOOKUP(D1110,契約台帳!$A$3:$R$4986,18,FALSE)))</f>
        <v>22</v>
      </c>
      <c r="V1110" s="256" t="str">
        <f>IF(J1110="巻返し",VLOOKUP(F1110&amp;K1110&amp;M1110,製品マスタ!$M$5:$AD$4999,18,FALSE),IF(J1110="リード付け","原反コア",IF(J1110="スリット",VLOOKUP(F1110&amp;K1110&amp;Q1110,製品マスタ!$N$5:$AD$4999,17,FALSE),"")))</f>
        <v>6ｲﾝﾁABS</v>
      </c>
      <c r="W1110" s="256">
        <f>IF(J1110="巻返し",VLOOKUP(F1110&amp;K1110&amp;M1110,製品マスタ!$M$5:$AE$4999,19,FALSE),IF(J1110="リード付け","-",IF(J1110="スリット",VLOOKUP(F1110&amp;K1110&amp;Q1110,製品マスタ!$N$5:$AE$4999,18,FALSE),"")))</f>
        <v>1250</v>
      </c>
      <c r="X1110" s="256">
        <f>IF(D1110="","",VLOOKUP(D1110,契約台帳!$A$3:$Q$4986,17,FALSE))</f>
        <v>1</v>
      </c>
      <c r="Y1110" s="256" t="s">
        <v>1365</v>
      </c>
      <c r="Z1110" s="310" t="s">
        <v>1874</v>
      </c>
      <c r="AA1110" s="200" t="s">
        <v>1470</v>
      </c>
      <c r="AB1110" s="312"/>
      <c r="AC1110" s="313"/>
      <c r="AD1110" s="51" t="str">
        <f>IF(F1110="","",+F1110&amp;K1110)</f>
        <v>3UYKNZMCRALCB25</v>
      </c>
      <c r="AE1110" s="52">
        <f>+M1110*N1110*O1110/1000</f>
        <v>67155</v>
      </c>
      <c r="AF1110" s="41"/>
      <c r="AG1110" s="45"/>
      <c r="AH1110" s="28"/>
      <c r="AI1110" s="28"/>
      <c r="AJ1110" s="28"/>
      <c r="AK1110" s="28"/>
      <c r="AL1110" s="12"/>
      <c r="AM1110" s="12"/>
      <c r="AN1110" s="12"/>
      <c r="AO1110" s="12"/>
      <c r="AP1110" s="12"/>
      <c r="AQ1110" s="13"/>
      <c r="AR1110" s="14"/>
    </row>
    <row r="1111" spans="1:44" s="16" customFormat="1" ht="30.95" hidden="1" customHeight="1" x14ac:dyDescent="0.2">
      <c r="A1111" s="303"/>
      <c r="B1111" s="304"/>
      <c r="C1111" s="305"/>
      <c r="D1111" s="306"/>
      <c r="E1111" s="306"/>
      <c r="F1111" s="255"/>
      <c r="G1111" s="256"/>
      <c r="H1111" s="256"/>
      <c r="I1111" s="200"/>
      <c r="J1111" s="307"/>
      <c r="K1111" s="200"/>
      <c r="L1111" s="200"/>
      <c r="M1111" s="308"/>
      <c r="N1111" s="308"/>
      <c r="O1111" s="309"/>
      <c r="P1111" s="310"/>
      <c r="Q1111" s="260"/>
      <c r="R1111" s="261"/>
      <c r="S1111" s="261"/>
      <c r="T1111" s="311"/>
      <c r="U1111" s="261"/>
      <c r="V1111" s="256"/>
      <c r="W1111" s="256"/>
      <c r="X1111" s="256"/>
      <c r="Y1111" s="256"/>
      <c r="Z1111" s="310"/>
      <c r="AA1111" s="200"/>
      <c r="AB1111" s="312"/>
      <c r="AC1111" s="313"/>
      <c r="AD1111" s="51"/>
      <c r="AE1111" s="314"/>
      <c r="AF1111" s="315"/>
      <c r="AG1111" s="309"/>
      <c r="AH1111" s="28"/>
      <c r="AI1111" s="28"/>
      <c r="AJ1111" s="28"/>
      <c r="AK1111" s="28"/>
      <c r="AL1111" s="12"/>
      <c r="AM1111" s="12"/>
      <c r="AN1111" s="12"/>
      <c r="AO1111" s="12"/>
      <c r="AP1111" s="12"/>
      <c r="AQ1111" s="13"/>
      <c r="AR1111" s="14"/>
    </row>
    <row r="1112" spans="1:44" s="16" customFormat="1" ht="30.95" hidden="1" customHeight="1" x14ac:dyDescent="0.2">
      <c r="A1112" s="303" t="s">
        <v>687</v>
      </c>
      <c r="B1112" s="304" t="s">
        <v>444</v>
      </c>
      <c r="C1112" s="305"/>
      <c r="D1112" s="29">
        <v>3735117</v>
      </c>
      <c r="E1112" s="29">
        <v>4151579</v>
      </c>
      <c r="F1112" s="255" t="str">
        <f>IF(D1112="","",VLOOKUP(D1112,契約台帳!$A$3:$K$4986,6,FALSE)&amp;VLOOKUP(D1112,契約台帳!$A$3:$K$4986,7,FALSE)&amp;VLOOKUP(D1112,契約台帳!$A$3:$K$4986,8,FALSE)&amp;VLOOKUP(D1112,契約台帳!$A$3:$K$4986,9,FALSE)&amp;VLOOKUP(D1112,契約台帳!$A$3:$K$4986,11,FALSE))</f>
        <v>3HSNMLBMNGTBF</v>
      </c>
      <c r="G1112" s="256" t="str">
        <f>IF(D1112="","",VLOOKUP(F1112,製品マスタ!$G$5:$H$4999,2,FALSE))</f>
        <v>S</v>
      </c>
      <c r="H1112" s="256" t="str">
        <f>IF(D1112="","",VLOOKUP(F1112,製品マスタ!$G$5:$K$4999,5,FALSE))</f>
        <v>MNGTBF</v>
      </c>
      <c r="I1112" s="200" t="str">
        <f>IF(D1112="","",VLOOKUP(F1112,製品マスタ!$G$5:$L$4999,6,FALSE))</f>
        <v>メタルミー　ネーマー　銀艶　Ｂ</v>
      </c>
      <c r="J1112" s="30" t="s">
        <v>447</v>
      </c>
      <c r="K1112" s="200">
        <f>IF(D1112="","",VLOOKUP(D1112,契約台帳!$A$3:$L$4986,12,FALSE))</f>
        <v>50</v>
      </c>
      <c r="L1112" s="200" t="str">
        <f>IF(D1112="","",INDEX(製品マスタ!$Q$5:$Q$4999,MATCH(F1112&amp;K1112,製品マスタ!$AO$5:$AO$4999,0)))</f>
        <v>T62M</v>
      </c>
      <c r="M1112" s="37">
        <v>1195</v>
      </c>
      <c r="N1112" s="37">
        <v>10200</v>
      </c>
      <c r="O1112" s="45">
        <v>5</v>
      </c>
      <c r="P1112" s="54"/>
      <c r="Q1112" s="260">
        <f>IF(D1112="","",IF(J1112="リード付け",M1112,VLOOKUP(D1112,契約台帳!$A$3:$N$4986,14,FALSE)))</f>
        <v>1120</v>
      </c>
      <c r="R1112" s="261">
        <f>IF(D1112="","",IF(J1112="リード付け",M1112,VLOOKUP(D1112,契約台帳!$A$3:$O$4986,15,FALSE)))</f>
        <v>1120</v>
      </c>
      <c r="S1112" s="261">
        <f>IF(D1112="","",IF(J1112="リード付け",N1112,VLOOKUP(D1112,契約台帳!$A$3:$P$4986,16,FALSE)))</f>
        <v>5000</v>
      </c>
      <c r="T1112" s="38">
        <v>10</v>
      </c>
      <c r="U1112" s="261">
        <f ca="1">IF(D1112="","",IF(OFFSET(D1112,-2,0)=D1112,"",VLOOKUP(D1112,契約台帳!$A$3:$R$4986,18,FALSE)))</f>
        <v>25</v>
      </c>
      <c r="V1112" s="256" t="str">
        <f>IF(J1112="巻返し",VLOOKUP(F1112&amp;K1112&amp;M1112,製品マスタ!$M$5:$AD$4999,18,FALSE),IF(J1112="リード付け","原反コア",IF(J1112="スリット",VLOOKUP(F1112&amp;K1112&amp;Q1112,製品マスタ!$N$5:$AD$4999,17,FALSE),"")))</f>
        <v>6ｲﾝﾁSｺｱ</v>
      </c>
      <c r="W1112" s="256">
        <f>IF(J1112="巻返し",VLOOKUP(F1112&amp;K1112&amp;M1112,製品マスタ!$M$5:$AE$4999,19,FALSE),IF(J1112="リード付け","-",IF(J1112="スリット",VLOOKUP(F1112&amp;K1112&amp;Q1112,製品マスタ!$N$5:$AE$4999,18,FALSE),"")))</f>
        <v>1125</v>
      </c>
      <c r="X1112" s="256">
        <f>IF(D1112="","",VLOOKUP(D1112,契約台帳!$A$3:$Q$4986,17,FALSE))</f>
        <v>2</v>
      </c>
      <c r="Y1112" s="256" t="str">
        <f>IF(D1112="","",VLOOKUP(D1112,契約台帳!$A$3:$E$4986,5,FALSE))</f>
        <v>リンテック㈱</v>
      </c>
      <c r="Z1112" s="310">
        <v>45287</v>
      </c>
      <c r="AA1112" s="200"/>
      <c r="AB1112" s="312"/>
      <c r="AC1112" s="313"/>
      <c r="AD1112" s="51" t="str">
        <f>IF(F1112="","",+F1112&amp;K1112)</f>
        <v>3HSNMLBMNGTBF50</v>
      </c>
      <c r="AE1112" s="52">
        <f>+M1112*N1112*O1112/1000</f>
        <v>60945</v>
      </c>
      <c r="AF1112" s="41" t="e">
        <f>IF(AD1112="","",VLOOKUP(AD1112,原価マスタ!$A$2:$AJ$1693,13,FALSE))</f>
        <v>#N/A</v>
      </c>
      <c r="AG1112" s="45" t="e">
        <f>IF(AF1112="","",+AE1112*AF1112/100)</f>
        <v>#N/A</v>
      </c>
      <c r="AH1112" s="28"/>
      <c r="AI1112" s="28"/>
      <c r="AJ1112" s="28"/>
      <c r="AK1112" s="28"/>
      <c r="AL1112" s="12"/>
      <c r="AM1112" s="12"/>
      <c r="AN1112" s="12"/>
      <c r="AO1112" s="12"/>
      <c r="AP1112" s="12"/>
      <c r="AQ1112" s="13"/>
      <c r="AR1112" s="14"/>
    </row>
    <row r="1113" spans="1:44" s="16" customFormat="1" ht="30.95" hidden="1" customHeight="1" x14ac:dyDescent="0.2">
      <c r="A1113" s="303"/>
      <c r="B1113" s="304"/>
      <c r="C1113" s="305"/>
      <c r="D1113" s="306"/>
      <c r="E1113" s="306"/>
      <c r="F1113" s="255"/>
      <c r="G1113" s="256"/>
      <c r="H1113" s="256"/>
      <c r="I1113" s="200"/>
      <c r="J1113" s="307"/>
      <c r="K1113" s="200"/>
      <c r="L1113" s="200"/>
      <c r="M1113" s="308"/>
      <c r="N1113" s="308"/>
      <c r="O1113" s="309"/>
      <c r="P1113" s="310"/>
      <c r="Q1113" s="260"/>
      <c r="R1113" s="261"/>
      <c r="S1113" s="261"/>
      <c r="T1113" s="311"/>
      <c r="U1113" s="261"/>
      <c r="V1113" s="256"/>
      <c r="W1113" s="256"/>
      <c r="X1113" s="256"/>
      <c r="Y1113" s="256"/>
      <c r="Z1113" s="310"/>
      <c r="AA1113" s="200"/>
      <c r="AB1113" s="312"/>
      <c r="AC1113" s="313"/>
      <c r="AD1113" s="51"/>
      <c r="AE1113" s="314"/>
      <c r="AF1113" s="315"/>
      <c r="AG1113" s="309"/>
      <c r="AH1113" s="28"/>
      <c r="AI1113" s="28"/>
      <c r="AJ1113" s="28"/>
      <c r="AK1113" s="28"/>
      <c r="AL1113" s="12"/>
      <c r="AM1113" s="12"/>
      <c r="AN1113" s="12"/>
      <c r="AO1113" s="12"/>
      <c r="AP1113" s="12"/>
      <c r="AQ1113" s="13"/>
      <c r="AR1113" s="14"/>
    </row>
    <row r="1114" spans="1:44" s="16" customFormat="1" ht="30.95" hidden="1" customHeight="1" x14ac:dyDescent="0.2">
      <c r="A1114" s="35" t="s">
        <v>732</v>
      </c>
      <c r="B1114" s="36" t="s">
        <v>445</v>
      </c>
      <c r="C1114" s="305"/>
      <c r="D1114" s="29">
        <v>3735117</v>
      </c>
      <c r="E1114" s="29">
        <v>4151579</v>
      </c>
      <c r="F1114" s="255" t="str">
        <f>IF(D1114="","",VLOOKUP(D1114,契約台帳!$A$3:$K$4986,6,FALSE)&amp;VLOOKUP(D1114,契約台帳!$A$3:$K$4986,7,FALSE)&amp;VLOOKUP(D1114,契約台帳!$A$3:$K$4986,8,FALSE)&amp;VLOOKUP(D1114,契約台帳!$A$3:$K$4986,9,FALSE)&amp;VLOOKUP(D1114,契約台帳!$A$3:$K$4986,11,FALSE))</f>
        <v>3HSNMLBMNGTBF</v>
      </c>
      <c r="G1114" s="256" t="str">
        <f>IF(D1114="","",VLOOKUP(F1114,製品マスタ!$G$5:$H$4999,2,FALSE))</f>
        <v>S</v>
      </c>
      <c r="H1114" s="256" t="str">
        <f>IF(D1114="","",VLOOKUP(F1114,製品マスタ!$G$5:$K$4999,5,FALSE))</f>
        <v>MNGTBF</v>
      </c>
      <c r="I1114" s="200" t="str">
        <f>IF(D1114="","",VLOOKUP(F1114,製品マスタ!$G$5:$L$4999,6,FALSE))</f>
        <v>メタルミー　ネーマー　銀艶　Ｂ</v>
      </c>
      <c r="J1114" s="30" t="s">
        <v>447</v>
      </c>
      <c r="K1114" s="200">
        <f>IF(D1114="","",VLOOKUP(D1114,契約台帳!$A$3:$L$4986,12,FALSE))</f>
        <v>50</v>
      </c>
      <c r="L1114" s="200" t="str">
        <f>IF(D1114="","",INDEX(製品マスタ!$Q$5:$Q$4999,MATCH(F1114&amp;K1114,製品マスタ!$AO$5:$AO$4999,0)))</f>
        <v>T62M</v>
      </c>
      <c r="M1114" s="37">
        <v>1195</v>
      </c>
      <c r="N1114" s="37">
        <v>10200</v>
      </c>
      <c r="O1114" s="45">
        <v>1</v>
      </c>
      <c r="P1114" s="54"/>
      <c r="Q1114" s="260">
        <f>IF(D1114="","",IF(J1114="リード付け",M1114,VLOOKUP(D1114,契約台帳!$A$3:$N$4986,14,FALSE)))</f>
        <v>1120</v>
      </c>
      <c r="R1114" s="261">
        <f>IF(D1114="","",IF(J1114="リード付け",M1114,VLOOKUP(D1114,契約台帳!$A$3:$O$4986,15,FALSE)))</f>
        <v>1120</v>
      </c>
      <c r="S1114" s="261">
        <f>IF(D1114="","",IF(J1114="リード付け",N1114,VLOOKUP(D1114,契約台帳!$A$3:$P$4986,16,FALSE)))</f>
        <v>5000</v>
      </c>
      <c r="T1114" s="38">
        <v>2</v>
      </c>
      <c r="U1114" s="261" t="str">
        <f ca="1">IF(D1114="","",IF(OFFSET(D1114,-2,0)=D1114,"",VLOOKUP(D1114,契約台帳!$A$3:$R$4986,18,FALSE)))</f>
        <v/>
      </c>
      <c r="V1114" s="256" t="str">
        <f>IF(J1114="巻返し",VLOOKUP(F1114&amp;K1114&amp;M1114,製品マスタ!$M$5:$AD$4999,18,FALSE),IF(J1114="リード付け","原反コア",IF(J1114="スリット",VLOOKUP(F1114&amp;K1114&amp;Q1114,製品マスタ!$N$5:$AD$4999,17,FALSE),"")))</f>
        <v>6ｲﾝﾁSｺｱ</v>
      </c>
      <c r="W1114" s="256">
        <f>IF(J1114="巻返し",VLOOKUP(F1114&amp;K1114&amp;M1114,製品マスタ!$M$5:$AE$4999,19,FALSE),IF(J1114="リード付け","-",IF(J1114="スリット",VLOOKUP(F1114&amp;K1114&amp;Q1114,製品マスタ!$N$5:$AE$4999,18,FALSE),"")))</f>
        <v>1125</v>
      </c>
      <c r="X1114" s="256">
        <f>IF(D1114="","",VLOOKUP(D1114,契約台帳!$A$3:$Q$4986,17,FALSE))</f>
        <v>2</v>
      </c>
      <c r="Y1114" s="256" t="str">
        <f>IF(D1114="","",VLOOKUP(D1114,契約台帳!$A$3:$E$4986,5,FALSE))</f>
        <v>リンテック㈱</v>
      </c>
      <c r="Z1114" s="310">
        <v>45287</v>
      </c>
      <c r="AA1114" s="200"/>
      <c r="AB1114" s="312"/>
      <c r="AC1114" s="313"/>
      <c r="AD1114" s="51" t="str">
        <f>IF(F1114="","",+F1114&amp;K1114)</f>
        <v>3HSNMLBMNGTBF50</v>
      </c>
      <c r="AE1114" s="52">
        <f>+M1114*N1114*O1114/1000</f>
        <v>12189</v>
      </c>
      <c r="AF1114" s="41" t="e">
        <f>IF(AD1114="","",VLOOKUP(AD1114,原価マスタ!$A$2:$AJ$1693,13,FALSE))</f>
        <v>#N/A</v>
      </c>
      <c r="AG1114" s="45" t="e">
        <f>IF(AF1114="","",+AE1114*AF1114/100)</f>
        <v>#N/A</v>
      </c>
      <c r="AH1114" s="28"/>
      <c r="AI1114" s="28"/>
      <c r="AJ1114" s="28"/>
      <c r="AK1114" s="28"/>
      <c r="AL1114" s="12"/>
      <c r="AM1114" s="12"/>
      <c r="AN1114" s="12"/>
      <c r="AO1114" s="12"/>
      <c r="AP1114" s="12"/>
      <c r="AQ1114" s="13"/>
      <c r="AR1114" s="14"/>
    </row>
    <row r="1115" spans="1:44" s="16" customFormat="1" ht="30.95" hidden="1" customHeight="1" x14ac:dyDescent="0.2">
      <c r="A1115" s="303"/>
      <c r="B1115" s="304"/>
      <c r="C1115" s="305"/>
      <c r="D1115" s="306"/>
      <c r="E1115" s="306"/>
      <c r="F1115" s="255"/>
      <c r="G1115" s="256"/>
      <c r="H1115" s="256"/>
      <c r="I1115" s="200"/>
      <c r="J1115" s="307"/>
      <c r="K1115" s="200"/>
      <c r="L1115" s="200"/>
      <c r="M1115" s="308"/>
      <c r="N1115" s="308"/>
      <c r="O1115" s="309"/>
      <c r="P1115" s="310"/>
      <c r="Q1115" s="260"/>
      <c r="R1115" s="261"/>
      <c r="S1115" s="261"/>
      <c r="T1115" s="311"/>
      <c r="U1115" s="261"/>
      <c r="V1115" s="256"/>
      <c r="W1115" s="256"/>
      <c r="X1115" s="256"/>
      <c r="Y1115" s="256"/>
      <c r="Z1115" s="310"/>
      <c r="AA1115" s="200"/>
      <c r="AB1115" s="312"/>
      <c r="AC1115" s="313"/>
      <c r="AD1115" s="51"/>
      <c r="AE1115" s="314"/>
      <c r="AF1115" s="315"/>
      <c r="AG1115" s="309"/>
      <c r="AH1115" s="28"/>
      <c r="AI1115" s="28"/>
      <c r="AJ1115" s="28"/>
      <c r="AK1115" s="28"/>
      <c r="AL1115" s="12"/>
      <c r="AM1115" s="12"/>
      <c r="AN1115" s="12"/>
      <c r="AO1115" s="12"/>
      <c r="AP1115" s="12"/>
      <c r="AQ1115" s="13"/>
      <c r="AR1115" s="14"/>
    </row>
    <row r="1116" spans="1:44" s="16" customFormat="1" ht="30.95" hidden="1" customHeight="1" x14ac:dyDescent="0.2">
      <c r="A1116" s="303"/>
      <c r="B1116" s="304"/>
      <c r="C1116" s="305"/>
      <c r="D1116" s="29">
        <v>3737453</v>
      </c>
      <c r="E1116" s="29">
        <v>4151571</v>
      </c>
      <c r="F1116" s="255" t="str">
        <f>IF(D1116="","",VLOOKUP(D1116,契約台帳!$A$3:$K$4986,6,FALSE)&amp;VLOOKUP(D1116,契約台帳!$A$3:$K$4986,7,FALSE)&amp;VLOOKUP(D1116,契約台帳!$A$3:$K$4986,8,FALSE)&amp;VLOOKUP(D1116,契約台帳!$A$3:$K$4986,9,FALSE)&amp;VLOOKUP(D1116,契約台帳!$A$3:$K$4986,11,FALSE))</f>
        <v>3SYMLBMSNMBF</v>
      </c>
      <c r="G1116" s="256" t="str">
        <f>IF(D1116="","",VLOOKUP(F1116,製品マスタ!$G$5:$H$4999,2,FALSE))</f>
        <v>S</v>
      </c>
      <c r="H1116" s="256" t="str">
        <f>IF(D1116="","",VLOOKUP(F1116,製品マスタ!$G$5:$K$4999,5,FALSE))</f>
        <v>MSNMBF</v>
      </c>
      <c r="I1116" s="200" t="str">
        <f>IF(D1116="","",VLOOKUP(F1116,製品マスタ!$G$5:$L$4999,6,FALSE))</f>
        <v>ＭＥＴＡＬＵＭＹ　ＳＩＬＶＥＲ　Ｎ－ＭＡＴＴＥ　Ｘ４４Ｍ　Ｂ</v>
      </c>
      <c r="J1116" s="30" t="s">
        <v>447</v>
      </c>
      <c r="K1116" s="200">
        <f>IF(D1116="","",VLOOKUP(D1116,契約台帳!$A$3:$L$4986,12,FALSE))</f>
        <v>50</v>
      </c>
      <c r="L1116" s="200" t="str">
        <f>IF(D1116="","",INDEX(製品マスタ!$Q$5:$Q$4999,MATCH(F1116&amp;K1116,製品マスタ!$AO$5:$AO$4999,0)))</f>
        <v>X44</v>
      </c>
      <c r="M1116" s="37">
        <v>1120</v>
      </c>
      <c r="N1116" s="37">
        <v>8000</v>
      </c>
      <c r="O1116" s="45">
        <v>2</v>
      </c>
      <c r="P1116" s="54"/>
      <c r="Q1116" s="260">
        <f>IF(D1116="","",IF(J1116="リード付け",M1116,VLOOKUP(D1116,契約台帳!$A$3:$N$4986,14,FALSE)))</f>
        <v>1120</v>
      </c>
      <c r="R1116" s="261">
        <f>IF(D1116="","",IF(J1116="リード付け",M1116,VLOOKUP(D1116,契約台帳!$A$3:$O$4986,15,FALSE)))</f>
        <v>1120</v>
      </c>
      <c r="S1116" s="261">
        <f>IF(D1116="","",IF(J1116="リード付け",N1116,VLOOKUP(D1116,契約台帳!$A$3:$P$4986,16,FALSE)))</f>
        <v>4000</v>
      </c>
      <c r="T1116" s="38">
        <v>4</v>
      </c>
      <c r="U1116" s="261">
        <f ca="1">IF(D1116="","",IF(OFFSET(D1116,-2,0)=D1116,"",VLOOKUP(D1116,契約台帳!$A$3:$R$4986,18,FALSE)))</f>
        <v>4</v>
      </c>
      <c r="V1116" s="256" t="str">
        <f>IF(J1116="巻返し",VLOOKUP(F1116&amp;K1116&amp;M1116,製品マスタ!$M$5:$AD$4999,18,FALSE),IF(J1116="リード付け","原反コア",IF(J1116="スリット",VLOOKUP(F1116&amp;K1116&amp;Q1116,製品マスタ!$N$5:$AD$4999,17,FALSE),"")))</f>
        <v>6ｲﾝﾁMｺｱ</v>
      </c>
      <c r="W1116" s="256">
        <f>IF(J1116="巻返し",VLOOKUP(F1116&amp;K1116&amp;M1116,製品マスタ!$M$5:$AE$4999,19,FALSE),IF(J1116="リード付け","-",IF(J1116="スリット",VLOOKUP(F1116&amp;K1116&amp;Q1116,製品マスタ!$N$5:$AE$4999,18,FALSE),"")))</f>
        <v>1125</v>
      </c>
      <c r="X1116" s="256">
        <f>IF(D1116="","",VLOOKUP(D1116,契約台帳!$A$3:$Q$4986,17,FALSE))</f>
        <v>2</v>
      </c>
      <c r="Y1116" s="256" t="str">
        <f>IF(D1116="","",VLOOKUP(D1116,契約台帳!$A$3:$E$4986,5,FALSE))</f>
        <v>リンテック㈱</v>
      </c>
      <c r="Z1116" s="310">
        <v>45288</v>
      </c>
      <c r="AA1116" s="200"/>
      <c r="AB1116" s="312"/>
      <c r="AC1116" s="313"/>
      <c r="AD1116" s="51" t="str">
        <f>IF(F1116="","",+F1116&amp;K1116)</f>
        <v>3SYMLBMSNMBF50</v>
      </c>
      <c r="AE1116" s="52">
        <f>+M1116*N1116*O1116/1000</f>
        <v>17920</v>
      </c>
      <c r="AF1116" s="41">
        <f>IF(AD1116="","",VLOOKUP(AD1116,原価マスタ!$A$2:$AJ$1693,13,FALSE))</f>
        <v>98.8</v>
      </c>
      <c r="AG1116" s="45">
        <f>IF(AF1116="","",+AE1116*AF1116/100)</f>
        <v>17704.96</v>
      </c>
      <c r="AH1116" s="28"/>
      <c r="AI1116" s="28"/>
      <c r="AJ1116" s="28"/>
      <c r="AK1116" s="28"/>
      <c r="AL1116" s="12"/>
      <c r="AM1116" s="12"/>
      <c r="AN1116" s="12"/>
      <c r="AO1116" s="12"/>
      <c r="AP1116" s="12"/>
      <c r="AQ1116" s="13"/>
      <c r="AR1116" s="14"/>
    </row>
    <row r="1117" spans="1:44" s="16" customFormat="1" ht="30.95" hidden="1" customHeight="1" x14ac:dyDescent="0.2">
      <c r="A1117" s="303"/>
      <c r="B1117" s="304"/>
      <c r="C1117" s="305"/>
      <c r="D1117" s="306"/>
      <c r="E1117" s="306"/>
      <c r="F1117" s="255"/>
      <c r="G1117" s="256"/>
      <c r="H1117" s="256"/>
      <c r="I1117" s="200"/>
      <c r="J1117" s="307"/>
      <c r="K1117" s="200"/>
      <c r="L1117" s="200"/>
      <c r="M1117" s="308"/>
      <c r="N1117" s="308"/>
      <c r="O1117" s="309"/>
      <c r="P1117" s="310"/>
      <c r="Q1117" s="260"/>
      <c r="R1117" s="261"/>
      <c r="S1117" s="261"/>
      <c r="T1117" s="311"/>
      <c r="U1117" s="261"/>
      <c r="V1117" s="256"/>
      <c r="W1117" s="256"/>
      <c r="X1117" s="256"/>
      <c r="Y1117" s="256"/>
      <c r="Z1117" s="310"/>
      <c r="AA1117" s="200"/>
      <c r="AB1117" s="312"/>
      <c r="AC1117" s="313"/>
      <c r="AD1117" s="51"/>
      <c r="AE1117" s="314"/>
      <c r="AF1117" s="315"/>
      <c r="AG1117" s="309"/>
      <c r="AH1117" s="28"/>
      <c r="AI1117" s="28"/>
      <c r="AJ1117" s="28"/>
      <c r="AK1117" s="28"/>
      <c r="AL1117" s="12"/>
      <c r="AM1117" s="12"/>
      <c r="AN1117" s="12"/>
      <c r="AO1117" s="12"/>
      <c r="AP1117" s="12"/>
      <c r="AQ1117" s="13"/>
      <c r="AR1117" s="14"/>
    </row>
    <row r="1118" spans="1:44" s="16" customFormat="1" ht="30.95" hidden="1" customHeight="1" x14ac:dyDescent="0.2">
      <c r="A1118" s="303" t="s">
        <v>733</v>
      </c>
      <c r="B1118" s="304" t="s">
        <v>446</v>
      </c>
      <c r="C1118" s="305"/>
      <c r="D1118" s="306"/>
      <c r="E1118" s="306"/>
      <c r="F1118" s="255"/>
      <c r="G1118" s="256"/>
      <c r="H1118" s="256"/>
      <c r="I1118" s="200"/>
      <c r="J1118" s="307" t="s">
        <v>448</v>
      </c>
      <c r="K1118" s="200"/>
      <c r="L1118" s="200"/>
      <c r="M1118" s="308"/>
      <c r="N1118" s="308"/>
      <c r="O1118" s="309"/>
      <c r="P1118" s="310"/>
      <c r="Q1118" s="260"/>
      <c r="R1118" s="261"/>
      <c r="S1118" s="261"/>
      <c r="T1118" s="311"/>
      <c r="U1118" s="261"/>
      <c r="V1118" s="256"/>
      <c r="W1118" s="256"/>
      <c r="X1118" s="256"/>
      <c r="Y1118" s="256"/>
      <c r="Z1118" s="310"/>
      <c r="AA1118" s="200"/>
      <c r="AB1118" s="312"/>
      <c r="AC1118" s="313"/>
      <c r="AD1118" s="51"/>
      <c r="AE1118" s="314"/>
      <c r="AF1118" s="315"/>
      <c r="AG1118" s="309"/>
      <c r="AH1118" s="28"/>
      <c r="AI1118" s="28"/>
      <c r="AJ1118" s="28"/>
      <c r="AK1118" s="28"/>
      <c r="AL1118" s="12"/>
      <c r="AM1118" s="12"/>
      <c r="AN1118" s="12"/>
      <c r="AO1118" s="12"/>
      <c r="AP1118" s="12"/>
      <c r="AQ1118" s="13"/>
      <c r="AR1118" s="14"/>
    </row>
    <row r="1119" spans="1:44" s="16" customFormat="1" ht="30.95" hidden="1" customHeight="1" x14ac:dyDescent="0.2">
      <c r="A1119" s="303"/>
      <c r="B1119" s="304"/>
      <c r="C1119" s="305"/>
      <c r="D1119" s="306"/>
      <c r="E1119" s="306"/>
      <c r="F1119" s="255"/>
      <c r="G1119" s="256"/>
      <c r="H1119" s="256"/>
      <c r="I1119" s="200"/>
      <c r="J1119" s="307"/>
      <c r="K1119" s="200"/>
      <c r="L1119" s="200"/>
      <c r="M1119" s="308"/>
      <c r="N1119" s="308"/>
      <c r="O1119" s="309"/>
      <c r="P1119" s="310"/>
      <c r="Q1119" s="260"/>
      <c r="R1119" s="261"/>
      <c r="S1119" s="261"/>
      <c r="T1119" s="311"/>
      <c r="U1119" s="261"/>
      <c r="V1119" s="256"/>
      <c r="W1119" s="256"/>
      <c r="X1119" s="256"/>
      <c r="Y1119" s="256"/>
      <c r="Z1119" s="310"/>
      <c r="AA1119" s="200"/>
      <c r="AB1119" s="312"/>
      <c r="AC1119" s="313"/>
      <c r="AD1119" s="51"/>
      <c r="AE1119" s="314"/>
      <c r="AF1119" s="315"/>
      <c r="AG1119" s="309"/>
      <c r="AH1119" s="28"/>
      <c r="AI1119" s="28"/>
      <c r="AJ1119" s="28"/>
      <c r="AK1119" s="28"/>
      <c r="AL1119" s="12"/>
      <c r="AM1119" s="12"/>
      <c r="AN1119" s="12"/>
      <c r="AO1119" s="12"/>
      <c r="AP1119" s="12"/>
      <c r="AQ1119" s="13"/>
      <c r="AR1119" s="14"/>
    </row>
    <row r="1120" spans="1:44" s="16" customFormat="1" ht="30.6" hidden="1" customHeight="1" x14ac:dyDescent="0.2">
      <c r="A1120" s="303" t="s">
        <v>734</v>
      </c>
      <c r="B1120" s="304" t="s">
        <v>462</v>
      </c>
      <c r="C1120" s="305"/>
      <c r="D1120" s="29">
        <v>3735117</v>
      </c>
      <c r="E1120" s="29">
        <v>4151580</v>
      </c>
      <c r="F1120" s="255" t="str">
        <f>IF(D1120="","",VLOOKUP(D1120,契約台帳!$A$3:$K$4986,6,FALSE)&amp;VLOOKUP(D1120,契約台帳!$A$3:$K$4986,7,FALSE)&amp;VLOOKUP(D1120,契約台帳!$A$3:$K$4986,8,FALSE)&amp;VLOOKUP(D1120,契約台帳!$A$3:$K$4986,9,FALSE)&amp;VLOOKUP(D1120,契約台帳!$A$3:$K$4986,11,FALSE))</f>
        <v>3HSNMLBMNGTBF</v>
      </c>
      <c r="G1120" s="256" t="str">
        <f>IF(D1120="","",VLOOKUP(F1120,製品マスタ!$G$5:$H$4999,2,FALSE))</f>
        <v>S</v>
      </c>
      <c r="H1120" s="256" t="str">
        <f>IF(D1120="","",VLOOKUP(F1120,製品マスタ!$G$5:$K$4999,5,FALSE))</f>
        <v>MNGTBF</v>
      </c>
      <c r="I1120" s="200" t="str">
        <f>IF(D1120="","",VLOOKUP(F1120,製品マスタ!$G$5:$L$4999,6,FALSE))</f>
        <v>メタルミー　ネーマー　銀艶　Ｂ</v>
      </c>
      <c r="J1120" s="30" t="s">
        <v>447</v>
      </c>
      <c r="K1120" s="200">
        <f>IF(D1120="","",VLOOKUP(D1120,契約台帳!$A$3:$L$4986,12,FALSE))</f>
        <v>50</v>
      </c>
      <c r="L1120" s="200" t="str">
        <f>IF(D1120="","",INDEX(製品マスタ!$Q$5:$Q$4999,MATCH(F1120&amp;K1120,製品マスタ!$AO$5:$AO$4999,0)))</f>
        <v>T62M</v>
      </c>
      <c r="M1120" s="37">
        <v>1195</v>
      </c>
      <c r="N1120" s="37">
        <v>10200</v>
      </c>
      <c r="O1120" s="45">
        <v>3</v>
      </c>
      <c r="P1120" s="54"/>
      <c r="Q1120" s="260">
        <f>IF(D1120="","",IF(J1120="リード付け",M1120,VLOOKUP(D1120,契約台帳!$A$3:$N$4986,14,FALSE)))</f>
        <v>1120</v>
      </c>
      <c r="R1120" s="261">
        <f>IF(D1120="","",IF(J1120="リード付け",M1120,VLOOKUP(D1120,契約台帳!$A$3:$O$4986,15,FALSE)))</f>
        <v>1120</v>
      </c>
      <c r="S1120" s="261">
        <f>IF(D1120="","",IF(J1120="リード付け",N1120,VLOOKUP(D1120,契約台帳!$A$3:$P$4986,16,FALSE)))</f>
        <v>5000</v>
      </c>
      <c r="T1120" s="38">
        <v>6</v>
      </c>
      <c r="U1120" s="261">
        <f ca="1">IF(D1120="","",IF(OFFSET(D1120,-2,0)=D1120,"",VLOOKUP(D1120,契約台帳!$A$3:$R$4986,18,FALSE)))</f>
        <v>25</v>
      </c>
      <c r="V1120" s="256" t="str">
        <f>IF(J1120="巻返し",VLOOKUP(F1120&amp;K1120&amp;M1120,製品マスタ!$M$5:$AD$4999,18,FALSE),IF(J1120="リード付け","原反コア",IF(J1120="スリット",VLOOKUP(F1120&amp;K1120&amp;Q1120,製品マスタ!$N$5:$AD$4999,17,FALSE),"")))</f>
        <v>6ｲﾝﾁSｺｱ</v>
      </c>
      <c r="W1120" s="256">
        <f>IF(J1120="巻返し",VLOOKUP(F1120&amp;K1120&amp;M1120,製品マスタ!$M$5:$AE$4999,19,FALSE),IF(J1120="リード付け","-",IF(J1120="スリット",VLOOKUP(F1120&amp;K1120&amp;Q1120,製品マスタ!$N$5:$AE$4999,18,FALSE),"")))</f>
        <v>1125</v>
      </c>
      <c r="X1120" s="256">
        <f>IF(D1120="","",VLOOKUP(D1120,契約台帳!$A$3:$Q$4986,17,FALSE))</f>
        <v>2</v>
      </c>
      <c r="Y1120" s="256" t="str">
        <f>IF(D1120="","",VLOOKUP(D1120,契約台帳!$A$3:$E$4986,5,FALSE))</f>
        <v>リンテック㈱</v>
      </c>
      <c r="Z1120" s="310">
        <v>45288</v>
      </c>
      <c r="AA1120" s="200"/>
      <c r="AB1120" s="312"/>
      <c r="AC1120" s="313"/>
      <c r="AD1120" s="51" t="str">
        <f>IF(F1120="","",+F1120&amp;K1120)</f>
        <v>3HSNMLBMNGTBF50</v>
      </c>
      <c r="AE1120" s="52">
        <f>+M1120*N1120*O1120/1000</f>
        <v>36567</v>
      </c>
      <c r="AF1120" s="41" t="e">
        <f>IF(AD1120="","",VLOOKUP(AD1120,原価マスタ!$A$2:$AJ$1693,13,FALSE))</f>
        <v>#N/A</v>
      </c>
      <c r="AG1120" s="45" t="e">
        <f>IF(AF1120="","",+AE1120*AF1120/100)</f>
        <v>#N/A</v>
      </c>
      <c r="AH1120" s="28"/>
      <c r="AI1120" s="28"/>
      <c r="AJ1120" s="28"/>
      <c r="AK1120" s="28"/>
      <c r="AL1120" s="12"/>
      <c r="AM1120" s="12"/>
      <c r="AN1120" s="12"/>
      <c r="AO1120" s="12"/>
      <c r="AP1120" s="12"/>
      <c r="AQ1120" s="13"/>
      <c r="AR1120" s="14"/>
    </row>
    <row r="1121" spans="1:44" s="16" customFormat="1" ht="30.95" hidden="1" customHeight="1" x14ac:dyDescent="0.2">
      <c r="A1121" s="303"/>
      <c r="B1121" s="304"/>
      <c r="C1121" s="305"/>
      <c r="D1121" s="306"/>
      <c r="E1121" s="306"/>
      <c r="F1121" s="255"/>
      <c r="G1121" s="256"/>
      <c r="H1121" s="256"/>
      <c r="I1121" s="200"/>
      <c r="J1121" s="307"/>
      <c r="K1121" s="200"/>
      <c r="L1121" s="200"/>
      <c r="M1121" s="308"/>
      <c r="N1121" s="308"/>
      <c r="O1121" s="309"/>
      <c r="P1121" s="310"/>
      <c r="Q1121" s="260"/>
      <c r="R1121" s="261"/>
      <c r="S1121" s="261"/>
      <c r="T1121" s="311"/>
      <c r="U1121" s="261"/>
      <c r="V1121" s="256"/>
      <c r="W1121" s="256"/>
      <c r="X1121" s="256"/>
      <c r="Y1121" s="256"/>
      <c r="Z1121" s="310"/>
      <c r="AA1121" s="200"/>
      <c r="AB1121" s="312"/>
      <c r="AC1121" s="313"/>
      <c r="AD1121" s="51"/>
      <c r="AE1121" s="314"/>
      <c r="AF1121" s="315"/>
      <c r="AG1121" s="309"/>
      <c r="AH1121" s="28"/>
      <c r="AI1121" s="28"/>
      <c r="AJ1121" s="28"/>
      <c r="AK1121" s="28"/>
      <c r="AL1121" s="12"/>
      <c r="AM1121" s="12"/>
      <c r="AN1121" s="12"/>
      <c r="AO1121" s="12"/>
      <c r="AP1121" s="12"/>
      <c r="AQ1121" s="13"/>
      <c r="AR1121" s="14"/>
    </row>
    <row r="1122" spans="1:44" s="225" customFormat="1" ht="30.95" hidden="1" customHeight="1" x14ac:dyDescent="0.2">
      <c r="A1122" s="317"/>
      <c r="B1122" s="318"/>
      <c r="C1122" s="319"/>
      <c r="D1122" s="320"/>
      <c r="E1122" s="320"/>
      <c r="F1122" s="263"/>
      <c r="G1122" s="264"/>
      <c r="H1122" s="264"/>
      <c r="I1122" s="265"/>
      <c r="J1122" s="321"/>
      <c r="K1122" s="265"/>
      <c r="L1122" s="265"/>
      <c r="M1122" s="322"/>
      <c r="N1122" s="322"/>
      <c r="O1122" s="323"/>
      <c r="P1122" s="316"/>
      <c r="Q1122" s="266"/>
      <c r="R1122" s="267"/>
      <c r="S1122" s="267"/>
      <c r="T1122" s="324"/>
      <c r="U1122" s="267"/>
      <c r="V1122" s="264"/>
      <c r="W1122" s="264"/>
      <c r="X1122" s="264"/>
      <c r="Y1122" s="264"/>
      <c r="Z1122" s="316"/>
      <c r="AA1122" s="265"/>
      <c r="AB1122" s="325"/>
      <c r="AC1122" s="326"/>
      <c r="AD1122" s="219"/>
      <c r="AE1122" s="327"/>
      <c r="AF1122" s="328"/>
      <c r="AG1122" s="329" t="e">
        <f>SUM(AG1050:AG1120)</f>
        <v>#N/A</v>
      </c>
      <c r="AH1122" s="221"/>
      <c r="AI1122" s="221"/>
      <c r="AJ1122" s="221"/>
      <c r="AK1122" s="221"/>
      <c r="AL1122" s="222"/>
      <c r="AM1122" s="222"/>
      <c r="AN1122" s="222"/>
      <c r="AO1122" s="222"/>
      <c r="AP1122" s="222"/>
      <c r="AQ1122" s="223"/>
      <c r="AR1122" s="224"/>
    </row>
    <row r="1123" spans="1:44" s="16" customFormat="1" ht="30.95" hidden="1" customHeight="1" x14ac:dyDescent="0.2">
      <c r="A1123" s="303"/>
      <c r="B1123" s="304"/>
      <c r="C1123" s="305"/>
      <c r="D1123" s="306"/>
      <c r="E1123" s="306"/>
      <c r="F1123" s="255"/>
      <c r="G1123" s="256"/>
      <c r="H1123" s="256"/>
      <c r="I1123" s="200"/>
      <c r="J1123" s="307"/>
      <c r="K1123" s="200"/>
      <c r="L1123" s="200"/>
      <c r="M1123" s="308"/>
      <c r="N1123" s="308"/>
      <c r="O1123" s="309"/>
      <c r="P1123" s="310"/>
      <c r="Q1123" s="260"/>
      <c r="R1123" s="261"/>
      <c r="S1123" s="261"/>
      <c r="T1123" s="311"/>
      <c r="U1123" s="261"/>
      <c r="V1123" s="256"/>
      <c r="W1123" s="256"/>
      <c r="X1123" s="256"/>
      <c r="Y1123" s="256"/>
      <c r="Z1123" s="310"/>
      <c r="AA1123" s="200"/>
      <c r="AB1123" s="312"/>
      <c r="AC1123" s="313"/>
      <c r="AD1123" s="51"/>
      <c r="AE1123" s="314"/>
      <c r="AF1123" s="315"/>
      <c r="AG1123" s="309"/>
      <c r="AH1123" s="28"/>
      <c r="AI1123" s="28"/>
      <c r="AJ1123" s="28"/>
      <c r="AK1123" s="28"/>
      <c r="AL1123" s="12"/>
      <c r="AM1123" s="12"/>
      <c r="AN1123" s="12"/>
      <c r="AO1123" s="12"/>
      <c r="AP1123" s="12"/>
      <c r="AQ1123" s="13"/>
      <c r="AR1123" s="14"/>
    </row>
    <row r="1124" spans="1:44" s="16" customFormat="1" ht="30.95" hidden="1" customHeight="1" x14ac:dyDescent="0.2">
      <c r="A1124" s="303"/>
      <c r="B1124" s="304"/>
      <c r="C1124" s="305"/>
      <c r="D1124" s="29">
        <v>3731350</v>
      </c>
      <c r="E1124" s="29">
        <v>4151513</v>
      </c>
      <c r="F1124" s="255" t="str">
        <f>IF(D1124="","",VLOOKUP(D1124,契約台帳!$A$3:$K$4986,6,FALSE)&amp;VLOOKUP(D1124,契約台帳!$A$3:$K$4986,7,FALSE)&amp;VLOOKUP(D1124,契約台帳!$A$3:$K$4986,8,FALSE)&amp;VLOOKUP(D1124,契約台帳!$A$3:$K$4986,9,FALSE)&amp;VLOOKUP(D1124,契約台帳!$A$3:$K$4986,11,FALSE))</f>
        <v>3SNMLBMNGKKBF</v>
      </c>
      <c r="G1124" s="256" t="str">
        <f>IF(D1124="","",VLOOKUP(F1124,製品マスタ!$G$5:$H$4999,2,FALSE))</f>
        <v>S</v>
      </c>
      <c r="H1124" s="256" t="str">
        <f>IF(D1124="","",VLOOKUP(F1124,製品マスタ!$G$5:$K$4999,5,FALSE))</f>
        <v>MNGKKBF</v>
      </c>
      <c r="I1124" s="200" t="str">
        <f>IF(D1124="","",VLOOKUP(F1124,製品マスタ!$G$5:$L$4999,6,FALSE))</f>
        <v>メタルミー　ネーマー銀消改　Ｂ</v>
      </c>
      <c r="J1124" s="30" t="s">
        <v>447</v>
      </c>
      <c r="K1124" s="200">
        <f>IF(D1124="","",VLOOKUP(D1124,契約台帳!$A$3:$L$4986,12,FALSE))</f>
        <v>50</v>
      </c>
      <c r="L1124" s="200" t="str">
        <f>IF(D1124="","",INDEX(製品マスタ!$Q$5:$Q$4999,MATCH(F1124&amp;K1124,製品マスタ!$AO$5:$AO$4999,0)))</f>
        <v>S99-MAT</v>
      </c>
      <c r="M1124" s="37">
        <v>1120</v>
      </c>
      <c r="N1124" s="37">
        <v>12000</v>
      </c>
      <c r="O1124" s="45">
        <v>2</v>
      </c>
      <c r="P1124" s="54"/>
      <c r="Q1124" s="260">
        <f>IF(D1124="","",IF(J1124="リード付け",M1124,VLOOKUP(D1124,契約台帳!$A$3:$N$4986,14,FALSE)))</f>
        <v>1120</v>
      </c>
      <c r="R1124" s="261">
        <f>IF(D1124="","",IF(J1124="リード付け",M1124,VLOOKUP(D1124,契約台帳!$A$3:$O$4986,15,FALSE)))</f>
        <v>1120</v>
      </c>
      <c r="S1124" s="261">
        <f>IF(D1124="","",IF(J1124="リード付け",N1124,VLOOKUP(D1124,契約台帳!$A$3:$P$4986,16,FALSE)))</f>
        <v>4000</v>
      </c>
      <c r="T1124" s="38">
        <v>6</v>
      </c>
      <c r="U1124" s="261">
        <f ca="1">IF(D1124="","",IF(OFFSET(D1124,-2,0)=D1124,"",VLOOKUP(D1124,契約台帳!$A$3:$R$4986,18,FALSE)))</f>
        <v>18</v>
      </c>
      <c r="V1124" s="256" t="str">
        <f>IF(J1124="巻返し",VLOOKUP(F1124&amp;K1124&amp;M1124,製品マスタ!$M$5:$AD$4999,18,FALSE),IF(J1124="リード付け","原反コア",IF(J1124="スリット",VLOOKUP(F1124&amp;K1124&amp;Q1124,製品マスタ!$N$5:$AD$4999,17,FALSE),"")))</f>
        <v>6ｲﾝﾁSｺｱ</v>
      </c>
      <c r="W1124" s="256">
        <f>IF(J1124="巻返し",VLOOKUP(F1124&amp;K1124&amp;M1124,製品マスタ!$M$5:$AE$4999,19,FALSE),IF(J1124="リード付け","-",IF(J1124="スリット",VLOOKUP(F1124&amp;K1124&amp;Q1124,製品マスタ!$N$5:$AE$4999,18,FALSE),"")))</f>
        <v>1125</v>
      </c>
      <c r="X1124" s="256">
        <f>IF(D1124="","",VLOOKUP(D1124,契約台帳!$A$3:$Q$4986,17,FALSE))</f>
        <v>2</v>
      </c>
      <c r="Y1124" s="256" t="str">
        <f>IF(D1124="","",VLOOKUP(D1124,契約台帳!$A$3:$E$4986,5,FALSE))</f>
        <v>リンテック㈱</v>
      </c>
      <c r="Z1124" s="310">
        <v>44936</v>
      </c>
      <c r="AA1124" s="200"/>
      <c r="AB1124" s="312"/>
      <c r="AC1124" s="313"/>
      <c r="AD1124" s="51" t="str">
        <f>IF(F1124="","",+F1124&amp;K1124)</f>
        <v>3SNMLBMNGKKBF50</v>
      </c>
      <c r="AE1124" s="52">
        <f>+M1124*N1124*O1124/1000</f>
        <v>26880</v>
      </c>
      <c r="AF1124" s="41">
        <f>IF(AD1124="","",VLOOKUP(AD1124,原価マスタ!$A$2:$AJ$1693,13,FALSE))</f>
        <v>99</v>
      </c>
      <c r="AG1124" s="45">
        <f>IF(AF1124="","",+AE1124*AF1124/100)</f>
        <v>26611.200000000001</v>
      </c>
      <c r="AH1124" s="28"/>
      <c r="AI1124" s="28"/>
      <c r="AJ1124" s="28"/>
      <c r="AK1124" s="28"/>
      <c r="AL1124" s="12"/>
      <c r="AM1124" s="12"/>
      <c r="AN1124" s="12"/>
      <c r="AO1124" s="12"/>
      <c r="AP1124" s="12"/>
      <c r="AQ1124" s="13"/>
      <c r="AR1124" s="14"/>
    </row>
    <row r="1125" spans="1:44" s="16" customFormat="1" ht="30.95" hidden="1" customHeight="1" x14ac:dyDescent="0.2">
      <c r="A1125" s="303"/>
      <c r="B1125" s="304"/>
      <c r="C1125" s="305"/>
      <c r="D1125" s="306"/>
      <c r="E1125" s="306"/>
      <c r="F1125" s="255"/>
      <c r="G1125" s="256"/>
      <c r="H1125" s="256"/>
      <c r="I1125" s="200"/>
      <c r="J1125" s="307"/>
      <c r="K1125" s="200"/>
      <c r="L1125" s="200"/>
      <c r="M1125" s="308"/>
      <c r="N1125" s="308"/>
      <c r="O1125" s="309"/>
      <c r="P1125" s="310"/>
      <c r="Q1125" s="260"/>
      <c r="R1125" s="261"/>
      <c r="S1125" s="261"/>
      <c r="T1125" s="311"/>
      <c r="U1125" s="261"/>
      <c r="V1125" s="256"/>
      <c r="W1125" s="256"/>
      <c r="X1125" s="256"/>
      <c r="Y1125" s="256"/>
      <c r="Z1125" s="310"/>
      <c r="AA1125" s="200"/>
      <c r="AB1125" s="312"/>
      <c r="AC1125" s="313"/>
      <c r="AD1125" s="51"/>
      <c r="AE1125" s="314"/>
      <c r="AF1125" s="315"/>
      <c r="AG1125" s="309"/>
      <c r="AH1125" s="28"/>
      <c r="AI1125" s="28"/>
      <c r="AJ1125" s="28"/>
      <c r="AK1125" s="28"/>
      <c r="AL1125" s="12"/>
      <c r="AM1125" s="12"/>
      <c r="AN1125" s="12"/>
      <c r="AO1125" s="12"/>
      <c r="AP1125" s="12"/>
      <c r="AQ1125" s="13"/>
      <c r="AR1125" s="14"/>
    </row>
    <row r="1126" spans="1:44" s="16" customFormat="1" ht="30.6" hidden="1" customHeight="1" x14ac:dyDescent="0.2">
      <c r="A1126" s="303" t="s">
        <v>735</v>
      </c>
      <c r="B1126" s="304" t="s">
        <v>688</v>
      </c>
      <c r="C1126" s="305"/>
      <c r="D1126" s="29">
        <v>3731350</v>
      </c>
      <c r="E1126" s="29">
        <v>4151513</v>
      </c>
      <c r="F1126" s="255" t="str">
        <f>IF(D1126="","",VLOOKUP(D1126,契約台帳!$A$3:$K$4986,6,FALSE)&amp;VLOOKUP(D1126,契約台帳!$A$3:$K$4986,7,FALSE)&amp;VLOOKUP(D1126,契約台帳!$A$3:$K$4986,8,FALSE)&amp;VLOOKUP(D1126,契約台帳!$A$3:$K$4986,9,FALSE)&amp;VLOOKUP(D1126,契約台帳!$A$3:$K$4986,11,FALSE))</f>
        <v>3SNMLBMNGKKBF</v>
      </c>
      <c r="G1126" s="256" t="str">
        <f>IF(D1126="","",VLOOKUP(F1126,製品マスタ!$G$5:$H$4999,2,FALSE))</f>
        <v>S</v>
      </c>
      <c r="H1126" s="256" t="str">
        <f>IF(D1126="","",VLOOKUP(F1126,製品マスタ!$G$5:$K$4999,5,FALSE))</f>
        <v>MNGKKBF</v>
      </c>
      <c r="I1126" s="200" t="str">
        <f>IF(D1126="","",VLOOKUP(F1126,製品マスタ!$G$5:$L$4999,6,FALSE))</f>
        <v>メタルミー　ネーマー銀消改　Ｂ</v>
      </c>
      <c r="J1126" s="30" t="s">
        <v>447</v>
      </c>
      <c r="K1126" s="200">
        <f>IF(D1126="","",VLOOKUP(D1126,契約台帳!$A$3:$L$4986,12,FALSE))</f>
        <v>50</v>
      </c>
      <c r="L1126" s="200" t="str">
        <f>IF(D1126="","",INDEX(製品マスタ!$Q$5:$Q$4999,MATCH(F1126&amp;K1126,製品マスタ!$AO$5:$AO$4999,0)))</f>
        <v>S99-MAT</v>
      </c>
      <c r="M1126" s="37">
        <v>1120</v>
      </c>
      <c r="N1126" s="37">
        <v>12000</v>
      </c>
      <c r="O1126" s="45">
        <v>2</v>
      </c>
      <c r="P1126" s="54"/>
      <c r="Q1126" s="260">
        <f>IF(D1126="","",IF(J1126="リード付け",M1126,VLOOKUP(D1126,契約台帳!$A$3:$N$4986,14,FALSE)))</f>
        <v>1120</v>
      </c>
      <c r="R1126" s="261">
        <f>IF(D1126="","",IF(J1126="リード付け",M1126,VLOOKUP(D1126,契約台帳!$A$3:$O$4986,15,FALSE)))</f>
        <v>1120</v>
      </c>
      <c r="S1126" s="261">
        <f>IF(D1126="","",IF(J1126="リード付け",N1126,VLOOKUP(D1126,契約台帳!$A$3:$P$4986,16,FALSE)))</f>
        <v>4000</v>
      </c>
      <c r="T1126" s="38">
        <v>6</v>
      </c>
      <c r="U1126" s="261" t="str">
        <f ca="1">IF(D1126="","",IF(OFFSET(D1126,-2,0)=D1126,"",VLOOKUP(D1126,契約台帳!$A$3:$R$4986,18,FALSE)))</f>
        <v/>
      </c>
      <c r="V1126" s="256" t="str">
        <f>IF(J1126="巻返し",VLOOKUP(F1126&amp;K1126&amp;M1126,製品マスタ!$M$5:$AD$4999,18,FALSE),IF(J1126="リード付け","原反コア",IF(J1126="スリット",VLOOKUP(F1126&amp;K1126&amp;Q1126,製品マスタ!$N$5:$AD$4999,17,FALSE),"")))</f>
        <v>6ｲﾝﾁSｺｱ</v>
      </c>
      <c r="W1126" s="256">
        <f>IF(J1126="巻返し",VLOOKUP(F1126&amp;K1126&amp;M1126,製品マスタ!$M$5:$AE$4999,19,FALSE),IF(J1126="リード付け","-",IF(J1126="スリット",VLOOKUP(F1126&amp;K1126&amp;Q1126,製品マスタ!$N$5:$AE$4999,18,FALSE),"")))</f>
        <v>1125</v>
      </c>
      <c r="X1126" s="256">
        <f>IF(D1126="","",VLOOKUP(D1126,契約台帳!$A$3:$Q$4986,17,FALSE))</f>
        <v>2</v>
      </c>
      <c r="Y1126" s="256" t="str">
        <f>IF(D1126="","",VLOOKUP(D1126,契約台帳!$A$3:$E$4986,5,FALSE))</f>
        <v>リンテック㈱</v>
      </c>
      <c r="Z1126" s="310">
        <v>44936</v>
      </c>
      <c r="AA1126" s="200"/>
      <c r="AB1126" s="312"/>
      <c r="AC1126" s="313"/>
      <c r="AD1126" s="51" t="str">
        <f>IF(F1126="","",+F1126&amp;K1126)</f>
        <v>3SNMLBMNGKKBF50</v>
      </c>
      <c r="AE1126" s="52">
        <f>+M1126*N1126*O1126/1000</f>
        <v>26880</v>
      </c>
      <c r="AF1126" s="41">
        <f>IF(AD1126="","",VLOOKUP(AD1126,原価マスタ!$A$2:$AJ$1693,13,FALSE))</f>
        <v>99</v>
      </c>
      <c r="AG1126" s="45">
        <f>IF(AF1126="","",+AE1126*AF1126/100)</f>
        <v>26611.200000000001</v>
      </c>
      <c r="AH1126" s="28"/>
      <c r="AI1126" s="28"/>
      <c r="AJ1126" s="28"/>
      <c r="AK1126" s="28"/>
      <c r="AL1126" s="12"/>
      <c r="AM1126" s="12"/>
      <c r="AN1126" s="12"/>
      <c r="AO1126" s="12"/>
      <c r="AP1126" s="12"/>
      <c r="AQ1126" s="13"/>
      <c r="AR1126" s="14"/>
    </row>
    <row r="1127" spans="1:44" s="16" customFormat="1" ht="30.95" hidden="1" customHeight="1" x14ac:dyDescent="0.2">
      <c r="A1127" s="303"/>
      <c r="B1127" s="304"/>
      <c r="C1127" s="305"/>
      <c r="D1127" s="306"/>
      <c r="E1127" s="306"/>
      <c r="F1127" s="255"/>
      <c r="G1127" s="256"/>
      <c r="H1127" s="256"/>
      <c r="I1127" s="200"/>
      <c r="J1127" s="307"/>
      <c r="K1127" s="200"/>
      <c r="L1127" s="200"/>
      <c r="M1127" s="308"/>
      <c r="N1127" s="308"/>
      <c r="O1127" s="309"/>
      <c r="P1127" s="310"/>
      <c r="Q1127" s="260"/>
      <c r="R1127" s="261"/>
      <c r="S1127" s="261"/>
      <c r="T1127" s="311"/>
      <c r="U1127" s="261"/>
      <c r="V1127" s="256"/>
      <c r="W1127" s="256"/>
      <c r="X1127" s="256"/>
      <c r="Y1127" s="256"/>
      <c r="Z1127" s="310"/>
      <c r="AA1127" s="200"/>
      <c r="AB1127" s="312"/>
      <c r="AC1127" s="313"/>
      <c r="AD1127" s="51"/>
      <c r="AE1127" s="314"/>
      <c r="AF1127" s="315"/>
      <c r="AG1127" s="309"/>
      <c r="AH1127" s="28"/>
      <c r="AI1127" s="28"/>
      <c r="AJ1127" s="28"/>
      <c r="AK1127" s="28"/>
      <c r="AL1127" s="12"/>
      <c r="AM1127" s="12"/>
      <c r="AN1127" s="12"/>
      <c r="AO1127" s="12"/>
      <c r="AP1127" s="12"/>
      <c r="AQ1127" s="13"/>
      <c r="AR1127" s="14"/>
    </row>
    <row r="1128" spans="1:44" s="16" customFormat="1" ht="30.95" hidden="1" customHeight="1" x14ac:dyDescent="0.2">
      <c r="A1128" s="303" t="s">
        <v>737</v>
      </c>
      <c r="B1128" s="304" t="s">
        <v>442</v>
      </c>
      <c r="C1128" s="305"/>
      <c r="D1128" s="29">
        <v>3731350</v>
      </c>
      <c r="E1128" s="29">
        <v>4151513</v>
      </c>
      <c r="F1128" s="255" t="str">
        <f>IF(D1128="","",VLOOKUP(D1128,契約台帳!$A$3:$K$4986,6,FALSE)&amp;VLOOKUP(D1128,契約台帳!$A$3:$K$4986,7,FALSE)&amp;VLOOKUP(D1128,契約台帳!$A$3:$K$4986,8,FALSE)&amp;VLOOKUP(D1128,契約台帳!$A$3:$K$4986,9,FALSE)&amp;VLOOKUP(D1128,契約台帳!$A$3:$K$4986,11,FALSE))</f>
        <v>3SNMLBMNGKKBF</v>
      </c>
      <c r="G1128" s="256" t="str">
        <f>IF(D1128="","",VLOOKUP(F1128,製品マスタ!$G$5:$H$4999,2,FALSE))</f>
        <v>S</v>
      </c>
      <c r="H1128" s="256" t="str">
        <f>IF(D1128="","",VLOOKUP(F1128,製品マスタ!$G$5:$K$4999,5,FALSE))</f>
        <v>MNGKKBF</v>
      </c>
      <c r="I1128" s="200" t="str">
        <f>IF(D1128="","",VLOOKUP(F1128,製品マスタ!$G$5:$L$4999,6,FALSE))</f>
        <v>メタルミー　ネーマー銀消改　Ｂ</v>
      </c>
      <c r="J1128" s="30" t="s">
        <v>447</v>
      </c>
      <c r="K1128" s="200">
        <f>IF(D1128="","",VLOOKUP(D1128,契約台帳!$A$3:$L$4986,12,FALSE))</f>
        <v>50</v>
      </c>
      <c r="L1128" s="200" t="str">
        <f>IF(D1128="","",INDEX(製品マスタ!$Q$5:$Q$4999,MATCH(F1128&amp;K1128,製品マスタ!$AO$5:$AO$4999,0)))</f>
        <v>S99-MAT</v>
      </c>
      <c r="M1128" s="37">
        <v>1120</v>
      </c>
      <c r="N1128" s="37">
        <v>12000</v>
      </c>
      <c r="O1128" s="45">
        <v>2</v>
      </c>
      <c r="P1128" s="54"/>
      <c r="Q1128" s="260">
        <f>IF(D1128="","",IF(J1128="リード付け",M1128,VLOOKUP(D1128,契約台帳!$A$3:$N$4986,14,FALSE)))</f>
        <v>1120</v>
      </c>
      <c r="R1128" s="261">
        <f>IF(D1128="","",IF(J1128="リード付け",M1128,VLOOKUP(D1128,契約台帳!$A$3:$O$4986,15,FALSE)))</f>
        <v>1120</v>
      </c>
      <c r="S1128" s="261">
        <f>IF(D1128="","",IF(J1128="リード付け",N1128,VLOOKUP(D1128,契約台帳!$A$3:$P$4986,16,FALSE)))</f>
        <v>4000</v>
      </c>
      <c r="T1128" s="38">
        <v>6</v>
      </c>
      <c r="U1128" s="261" t="str">
        <f ca="1">IF(D1128="","",IF(OFFSET(D1128,-2,0)=D1128,"",VLOOKUP(D1128,契約台帳!$A$3:$R$4986,18,FALSE)))</f>
        <v/>
      </c>
      <c r="V1128" s="256" t="str">
        <f>IF(J1128="巻返し",VLOOKUP(F1128&amp;K1128&amp;M1128,製品マスタ!$M$5:$AD$4999,18,FALSE),IF(J1128="リード付け","原反コア",IF(J1128="スリット",VLOOKUP(F1128&amp;K1128&amp;Q1128,製品マスタ!$N$5:$AD$4999,17,FALSE),"")))</f>
        <v>6ｲﾝﾁSｺｱ</v>
      </c>
      <c r="W1128" s="256">
        <f>IF(J1128="巻返し",VLOOKUP(F1128&amp;K1128&amp;M1128,製品マスタ!$M$5:$AE$4999,19,FALSE),IF(J1128="リード付け","-",IF(J1128="スリット",VLOOKUP(F1128&amp;K1128&amp;Q1128,製品マスタ!$N$5:$AE$4999,18,FALSE),"")))</f>
        <v>1125</v>
      </c>
      <c r="X1128" s="256">
        <f>IF(D1128="","",VLOOKUP(D1128,契約台帳!$A$3:$Q$4986,17,FALSE))</f>
        <v>2</v>
      </c>
      <c r="Y1128" s="256" t="str">
        <f>IF(D1128="","",VLOOKUP(D1128,契約台帳!$A$3:$E$4986,5,FALSE))</f>
        <v>リンテック㈱</v>
      </c>
      <c r="Z1128" s="310">
        <v>44936</v>
      </c>
      <c r="AA1128" s="200"/>
      <c r="AB1128" s="312"/>
      <c r="AC1128" s="313"/>
      <c r="AD1128" s="51" t="str">
        <f>IF(F1128="","",+F1128&amp;K1128)</f>
        <v>3SNMLBMNGKKBF50</v>
      </c>
      <c r="AE1128" s="52">
        <f>+M1128*N1128*O1128/1000</f>
        <v>26880</v>
      </c>
      <c r="AF1128" s="41">
        <f>IF(AD1128="","",VLOOKUP(AD1128,原価マスタ!$A$2:$AJ$1693,13,FALSE))</f>
        <v>99</v>
      </c>
      <c r="AG1128" s="45">
        <f>IF(AF1128="","",+AE1128*AF1128/100)</f>
        <v>26611.200000000001</v>
      </c>
      <c r="AH1128" s="28"/>
      <c r="AI1128" s="28"/>
      <c r="AJ1128" s="28"/>
      <c r="AK1128" s="28"/>
      <c r="AL1128" s="12"/>
      <c r="AM1128" s="12"/>
      <c r="AN1128" s="12"/>
      <c r="AO1128" s="12"/>
      <c r="AP1128" s="12"/>
      <c r="AQ1128" s="13"/>
      <c r="AR1128" s="14"/>
    </row>
    <row r="1129" spans="1:44" s="16" customFormat="1" ht="30.95" hidden="1" customHeight="1" x14ac:dyDescent="0.2">
      <c r="A1129" s="303"/>
      <c r="B1129" s="304"/>
      <c r="C1129" s="305"/>
      <c r="D1129" s="306"/>
      <c r="E1129" s="306"/>
      <c r="F1129" s="255"/>
      <c r="G1129" s="256"/>
      <c r="H1129" s="256"/>
      <c r="I1129" s="200"/>
      <c r="J1129" s="307"/>
      <c r="K1129" s="200"/>
      <c r="L1129" s="200"/>
      <c r="M1129" s="308"/>
      <c r="N1129" s="308"/>
      <c r="O1129" s="309"/>
      <c r="P1129" s="310"/>
      <c r="Q1129" s="260"/>
      <c r="R1129" s="261"/>
      <c r="S1129" s="261"/>
      <c r="T1129" s="311"/>
      <c r="U1129" s="261"/>
      <c r="V1129" s="256"/>
      <c r="W1129" s="256"/>
      <c r="X1129" s="256"/>
      <c r="Y1129" s="256"/>
      <c r="Z1129" s="310"/>
      <c r="AA1129" s="200"/>
      <c r="AB1129" s="312"/>
      <c r="AC1129" s="313"/>
      <c r="AD1129" s="51"/>
      <c r="AE1129" s="314"/>
      <c r="AF1129" s="315"/>
      <c r="AG1129" s="309"/>
      <c r="AH1129" s="28"/>
      <c r="AI1129" s="28"/>
      <c r="AJ1129" s="28"/>
      <c r="AK1129" s="28"/>
      <c r="AL1129" s="12"/>
      <c r="AM1129" s="12"/>
      <c r="AN1129" s="12"/>
      <c r="AO1129" s="12"/>
      <c r="AP1129" s="12"/>
      <c r="AQ1129" s="13"/>
      <c r="AR1129" s="14"/>
    </row>
    <row r="1130" spans="1:44" s="16" customFormat="1" ht="30.95" hidden="1" customHeight="1" x14ac:dyDescent="0.2">
      <c r="A1130" s="303" t="s">
        <v>739</v>
      </c>
      <c r="B1130" s="304" t="s">
        <v>442</v>
      </c>
      <c r="C1130" s="305"/>
      <c r="D1130" s="29"/>
      <c r="E1130" s="29"/>
      <c r="F1130" s="255"/>
      <c r="G1130" s="256"/>
      <c r="H1130" s="256"/>
      <c r="I1130" s="200"/>
      <c r="J1130" s="30" t="s">
        <v>1895</v>
      </c>
      <c r="K1130" s="200"/>
      <c r="L1130" s="200"/>
      <c r="M1130" s="37"/>
      <c r="N1130" s="37"/>
      <c r="O1130" s="45"/>
      <c r="P1130" s="54"/>
      <c r="Q1130" s="260"/>
      <c r="R1130" s="261"/>
      <c r="S1130" s="261"/>
      <c r="T1130" s="38"/>
      <c r="U1130" s="261"/>
      <c r="V1130" s="256"/>
      <c r="W1130" s="256"/>
      <c r="X1130" s="256"/>
      <c r="Y1130" s="256"/>
      <c r="Z1130" s="310"/>
      <c r="AA1130" s="200"/>
      <c r="AB1130" s="312"/>
      <c r="AC1130" s="313"/>
      <c r="AD1130" s="51"/>
      <c r="AE1130" s="52"/>
      <c r="AF1130" s="41"/>
      <c r="AG1130" s="45"/>
      <c r="AH1130" s="28"/>
      <c r="AI1130" s="28"/>
      <c r="AJ1130" s="28"/>
      <c r="AK1130" s="28"/>
      <c r="AL1130" s="12"/>
      <c r="AM1130" s="12"/>
      <c r="AN1130" s="12"/>
      <c r="AO1130" s="12"/>
      <c r="AP1130" s="12"/>
      <c r="AQ1130" s="13"/>
      <c r="AR1130" s="14"/>
    </row>
    <row r="1131" spans="1:44" s="16" customFormat="1" ht="30.95" hidden="1" customHeight="1" x14ac:dyDescent="0.2">
      <c r="A1131" s="303"/>
      <c r="B1131" s="304"/>
      <c r="C1131" s="305"/>
      <c r="D1131" s="306"/>
      <c r="E1131" s="306"/>
      <c r="F1131" s="255"/>
      <c r="G1131" s="256"/>
      <c r="H1131" s="256"/>
      <c r="I1131" s="200"/>
      <c r="J1131" s="307"/>
      <c r="K1131" s="200"/>
      <c r="L1131" s="200"/>
      <c r="M1131" s="308"/>
      <c r="N1131" s="308"/>
      <c r="O1131" s="309"/>
      <c r="P1131" s="310"/>
      <c r="Q1131" s="260"/>
      <c r="R1131" s="261"/>
      <c r="S1131" s="261"/>
      <c r="T1131" s="311"/>
      <c r="U1131" s="261"/>
      <c r="V1131" s="256"/>
      <c r="W1131" s="256"/>
      <c r="X1131" s="256"/>
      <c r="Y1131" s="256"/>
      <c r="Z1131" s="310"/>
      <c r="AA1131" s="200"/>
      <c r="AB1131" s="312"/>
      <c r="AC1131" s="313"/>
      <c r="AD1131" s="51"/>
      <c r="AE1131" s="314"/>
      <c r="AF1131" s="315"/>
      <c r="AG1131" s="309"/>
      <c r="AH1131" s="28"/>
      <c r="AI1131" s="28"/>
      <c r="AJ1131" s="28"/>
      <c r="AK1131" s="28"/>
      <c r="AL1131" s="12"/>
      <c r="AM1131" s="12"/>
      <c r="AN1131" s="12"/>
      <c r="AO1131" s="12"/>
      <c r="AP1131" s="12"/>
      <c r="AQ1131" s="13"/>
      <c r="AR1131" s="14"/>
    </row>
    <row r="1132" spans="1:44" s="16" customFormat="1" ht="30.95" hidden="1" customHeight="1" x14ac:dyDescent="0.2">
      <c r="A1132" s="303" t="s">
        <v>1859</v>
      </c>
      <c r="B1132" s="304" t="s">
        <v>1409</v>
      </c>
      <c r="C1132" s="305"/>
      <c r="D1132" s="306"/>
      <c r="E1132" s="306"/>
      <c r="F1132" s="255"/>
      <c r="G1132" s="256"/>
      <c r="H1132" s="256"/>
      <c r="I1132" s="200"/>
      <c r="J1132" s="307" t="s">
        <v>448</v>
      </c>
      <c r="K1132" s="200"/>
      <c r="L1132" s="200"/>
      <c r="M1132" s="308"/>
      <c r="N1132" s="308"/>
      <c r="O1132" s="309"/>
      <c r="P1132" s="310"/>
      <c r="Q1132" s="260"/>
      <c r="R1132" s="261"/>
      <c r="S1132" s="261"/>
      <c r="T1132" s="311"/>
      <c r="U1132" s="261"/>
      <c r="V1132" s="256"/>
      <c r="W1132" s="256"/>
      <c r="X1132" s="256"/>
      <c r="Y1132" s="256"/>
      <c r="Z1132" s="310"/>
      <c r="AA1132" s="200"/>
      <c r="AB1132" s="312"/>
      <c r="AC1132" s="313"/>
      <c r="AD1132" s="51"/>
      <c r="AE1132" s="314"/>
      <c r="AF1132" s="315"/>
      <c r="AG1132" s="309"/>
      <c r="AH1132" s="28"/>
      <c r="AI1132" s="28"/>
      <c r="AJ1132" s="28"/>
      <c r="AK1132" s="28"/>
      <c r="AL1132" s="12"/>
      <c r="AM1132" s="12"/>
      <c r="AN1132" s="12"/>
      <c r="AO1132" s="12"/>
      <c r="AP1132" s="12"/>
      <c r="AQ1132" s="13"/>
      <c r="AR1132" s="14"/>
    </row>
    <row r="1133" spans="1:44" s="16" customFormat="1" ht="30.95" hidden="1" customHeight="1" x14ac:dyDescent="0.2">
      <c r="A1133" s="303"/>
      <c r="B1133" s="304"/>
      <c r="C1133" s="305"/>
      <c r="D1133" s="306"/>
      <c r="E1133" s="306"/>
      <c r="F1133" s="255"/>
      <c r="G1133" s="256"/>
      <c r="H1133" s="256"/>
      <c r="I1133" s="200"/>
      <c r="J1133" s="307"/>
      <c r="K1133" s="200"/>
      <c r="L1133" s="200"/>
      <c r="M1133" s="308"/>
      <c r="N1133" s="308"/>
      <c r="O1133" s="309"/>
      <c r="P1133" s="310"/>
      <c r="Q1133" s="260"/>
      <c r="R1133" s="261"/>
      <c r="S1133" s="261"/>
      <c r="T1133" s="311"/>
      <c r="U1133" s="261"/>
      <c r="V1133" s="256"/>
      <c r="W1133" s="256"/>
      <c r="X1133" s="256"/>
      <c r="Y1133" s="256"/>
      <c r="Z1133" s="310"/>
      <c r="AA1133" s="200"/>
      <c r="AB1133" s="312"/>
      <c r="AC1133" s="313"/>
      <c r="AD1133" s="51"/>
      <c r="AE1133" s="314"/>
      <c r="AF1133" s="315"/>
      <c r="AG1133" s="309"/>
      <c r="AH1133" s="28"/>
      <c r="AI1133" s="28"/>
      <c r="AJ1133" s="28"/>
      <c r="AK1133" s="28"/>
      <c r="AL1133" s="12"/>
      <c r="AM1133" s="12"/>
      <c r="AN1133" s="12"/>
      <c r="AO1133" s="12"/>
      <c r="AP1133" s="12"/>
      <c r="AQ1133" s="13"/>
      <c r="AR1133" s="14"/>
    </row>
    <row r="1134" spans="1:44" s="16" customFormat="1" ht="30.95" hidden="1" customHeight="1" x14ac:dyDescent="0.2">
      <c r="A1134" s="303" t="s">
        <v>1860</v>
      </c>
      <c r="B1134" s="304" t="s">
        <v>1397</v>
      </c>
      <c r="C1134" s="305"/>
      <c r="D1134" s="306"/>
      <c r="E1134" s="306"/>
      <c r="F1134" s="255"/>
      <c r="G1134" s="256"/>
      <c r="H1134" s="256"/>
      <c r="I1134" s="200"/>
      <c r="J1134" s="307" t="s">
        <v>448</v>
      </c>
      <c r="K1134" s="200"/>
      <c r="L1134" s="200"/>
      <c r="M1134" s="308"/>
      <c r="N1134" s="308"/>
      <c r="O1134" s="309"/>
      <c r="P1134" s="310"/>
      <c r="Q1134" s="260"/>
      <c r="R1134" s="261"/>
      <c r="S1134" s="261"/>
      <c r="T1134" s="311"/>
      <c r="U1134" s="261"/>
      <c r="V1134" s="256"/>
      <c r="W1134" s="256"/>
      <c r="X1134" s="256"/>
      <c r="Y1134" s="256"/>
      <c r="Z1134" s="310"/>
      <c r="AA1134" s="200"/>
      <c r="AB1134" s="312"/>
      <c r="AC1134" s="313"/>
      <c r="AD1134" s="51"/>
      <c r="AE1134" s="314"/>
      <c r="AF1134" s="315"/>
      <c r="AG1134" s="309"/>
      <c r="AH1134" s="28"/>
      <c r="AI1134" s="28"/>
      <c r="AJ1134" s="28"/>
      <c r="AK1134" s="28"/>
      <c r="AL1134" s="12"/>
      <c r="AM1134" s="12"/>
      <c r="AN1134" s="12"/>
      <c r="AO1134" s="12"/>
      <c r="AP1134" s="12"/>
      <c r="AQ1134" s="13"/>
      <c r="AR1134" s="14"/>
    </row>
    <row r="1135" spans="1:44" s="16" customFormat="1" ht="30.95" hidden="1" customHeight="1" x14ac:dyDescent="0.2">
      <c r="A1135" s="303"/>
      <c r="B1135" s="304"/>
      <c r="C1135" s="305"/>
      <c r="D1135" s="306"/>
      <c r="E1135" s="306"/>
      <c r="F1135" s="255"/>
      <c r="G1135" s="256"/>
      <c r="H1135" s="256"/>
      <c r="I1135" s="200"/>
      <c r="J1135" s="307"/>
      <c r="K1135" s="200"/>
      <c r="L1135" s="200"/>
      <c r="M1135" s="308"/>
      <c r="N1135" s="308"/>
      <c r="O1135" s="309"/>
      <c r="P1135" s="310"/>
      <c r="Q1135" s="260"/>
      <c r="R1135" s="261"/>
      <c r="S1135" s="261"/>
      <c r="T1135" s="311"/>
      <c r="U1135" s="261"/>
      <c r="V1135" s="256"/>
      <c r="W1135" s="256"/>
      <c r="X1135" s="256"/>
      <c r="Y1135" s="256"/>
      <c r="Z1135" s="310"/>
      <c r="AA1135" s="200"/>
      <c r="AB1135" s="312"/>
      <c r="AC1135" s="313"/>
      <c r="AD1135" s="51"/>
      <c r="AE1135" s="314"/>
      <c r="AF1135" s="315"/>
      <c r="AG1135" s="309"/>
      <c r="AH1135" s="28"/>
      <c r="AI1135" s="28"/>
      <c r="AJ1135" s="28"/>
      <c r="AK1135" s="28"/>
      <c r="AL1135" s="12"/>
      <c r="AM1135" s="12"/>
      <c r="AN1135" s="12"/>
      <c r="AO1135" s="12"/>
      <c r="AP1135" s="12"/>
      <c r="AQ1135" s="13"/>
      <c r="AR1135" s="14"/>
    </row>
    <row r="1136" spans="1:44" s="16" customFormat="1" ht="30.95" hidden="1" customHeight="1" x14ac:dyDescent="0.2">
      <c r="A1136" s="303" t="s">
        <v>1861</v>
      </c>
      <c r="B1136" s="304" t="s">
        <v>392</v>
      </c>
      <c r="C1136" s="305"/>
      <c r="D1136" s="306"/>
      <c r="E1136" s="306"/>
      <c r="F1136" s="255"/>
      <c r="G1136" s="256"/>
      <c r="H1136" s="256"/>
      <c r="I1136" s="200"/>
      <c r="J1136" s="307" t="s">
        <v>448</v>
      </c>
      <c r="K1136" s="200"/>
      <c r="L1136" s="200"/>
      <c r="M1136" s="308"/>
      <c r="N1136" s="308"/>
      <c r="O1136" s="309"/>
      <c r="P1136" s="310"/>
      <c r="Q1136" s="260"/>
      <c r="R1136" s="261"/>
      <c r="S1136" s="261"/>
      <c r="T1136" s="311"/>
      <c r="U1136" s="261"/>
      <c r="V1136" s="256"/>
      <c r="W1136" s="256"/>
      <c r="X1136" s="256"/>
      <c r="Y1136" s="256"/>
      <c r="Z1136" s="310"/>
      <c r="AA1136" s="200"/>
      <c r="AB1136" s="312"/>
      <c r="AC1136" s="313"/>
      <c r="AD1136" s="51"/>
      <c r="AE1136" s="314"/>
      <c r="AF1136" s="315"/>
      <c r="AG1136" s="309"/>
      <c r="AH1136" s="28"/>
      <c r="AI1136" s="28"/>
      <c r="AJ1136" s="28"/>
      <c r="AK1136" s="28"/>
      <c r="AL1136" s="12"/>
      <c r="AM1136" s="12"/>
      <c r="AN1136" s="12"/>
      <c r="AO1136" s="12"/>
      <c r="AP1136" s="12"/>
      <c r="AQ1136" s="13"/>
      <c r="AR1136" s="14"/>
    </row>
    <row r="1137" spans="1:44" s="16" customFormat="1" ht="30.95" hidden="1" customHeight="1" x14ac:dyDescent="0.2">
      <c r="A1137" s="303"/>
      <c r="B1137" s="304"/>
      <c r="C1137" s="305"/>
      <c r="D1137" s="306"/>
      <c r="E1137" s="306"/>
      <c r="F1137" s="255"/>
      <c r="G1137" s="256"/>
      <c r="H1137" s="256"/>
      <c r="I1137" s="200"/>
      <c r="J1137" s="307"/>
      <c r="K1137" s="200"/>
      <c r="L1137" s="200"/>
      <c r="M1137" s="308"/>
      <c r="N1137" s="308"/>
      <c r="O1137" s="309"/>
      <c r="P1137" s="310"/>
      <c r="Q1137" s="260"/>
      <c r="R1137" s="261"/>
      <c r="S1137" s="261"/>
      <c r="T1137" s="311"/>
      <c r="U1137" s="261"/>
      <c r="V1137" s="256"/>
      <c r="W1137" s="256"/>
      <c r="X1137" s="256"/>
      <c r="Y1137" s="256"/>
      <c r="Z1137" s="310"/>
      <c r="AA1137" s="200"/>
      <c r="AB1137" s="312"/>
      <c r="AC1137" s="313"/>
      <c r="AD1137" s="51"/>
      <c r="AE1137" s="314"/>
      <c r="AF1137" s="315"/>
      <c r="AG1137" s="309"/>
      <c r="AH1137" s="28"/>
      <c r="AI1137" s="28"/>
      <c r="AJ1137" s="28"/>
      <c r="AK1137" s="28"/>
      <c r="AL1137" s="12"/>
      <c r="AM1137" s="12"/>
      <c r="AN1137" s="12"/>
      <c r="AO1137" s="12"/>
      <c r="AP1137" s="12"/>
      <c r="AQ1137" s="13"/>
      <c r="AR1137" s="14"/>
    </row>
    <row r="1138" spans="1:44" s="16" customFormat="1" ht="30.95" hidden="1" customHeight="1" x14ac:dyDescent="0.2">
      <c r="A1138" s="303" t="s">
        <v>1862</v>
      </c>
      <c r="B1138" s="304" t="s">
        <v>1402</v>
      </c>
      <c r="C1138" s="305"/>
      <c r="D1138" s="306"/>
      <c r="E1138" s="306"/>
      <c r="F1138" s="255"/>
      <c r="G1138" s="256"/>
      <c r="H1138" s="256"/>
      <c r="I1138" s="200"/>
      <c r="J1138" s="307" t="s">
        <v>448</v>
      </c>
      <c r="K1138" s="200"/>
      <c r="L1138" s="200"/>
      <c r="M1138" s="308"/>
      <c r="N1138" s="308"/>
      <c r="O1138" s="309"/>
      <c r="P1138" s="310"/>
      <c r="Q1138" s="260"/>
      <c r="R1138" s="261"/>
      <c r="S1138" s="261"/>
      <c r="T1138" s="311"/>
      <c r="U1138" s="261"/>
      <c r="V1138" s="256"/>
      <c r="W1138" s="256"/>
      <c r="X1138" s="256"/>
      <c r="Y1138" s="256"/>
      <c r="Z1138" s="310"/>
      <c r="AA1138" s="200"/>
      <c r="AB1138" s="312"/>
      <c r="AC1138" s="313"/>
      <c r="AD1138" s="51"/>
      <c r="AE1138" s="314"/>
      <c r="AF1138" s="315"/>
      <c r="AG1138" s="309"/>
      <c r="AH1138" s="28"/>
      <c r="AI1138" s="28"/>
      <c r="AJ1138" s="28"/>
      <c r="AK1138" s="28"/>
      <c r="AL1138" s="12"/>
      <c r="AM1138" s="12"/>
      <c r="AN1138" s="12"/>
      <c r="AO1138" s="12"/>
      <c r="AP1138" s="12"/>
      <c r="AQ1138" s="13"/>
      <c r="AR1138" s="14"/>
    </row>
    <row r="1139" spans="1:44" s="16" customFormat="1" ht="30.95" hidden="1" customHeight="1" x14ac:dyDescent="0.2">
      <c r="A1139" s="303"/>
      <c r="B1139" s="304"/>
      <c r="C1139" s="305"/>
      <c r="D1139" s="306"/>
      <c r="E1139" s="306"/>
      <c r="F1139" s="255"/>
      <c r="G1139" s="256"/>
      <c r="H1139" s="256"/>
      <c r="I1139" s="200"/>
      <c r="J1139" s="307"/>
      <c r="K1139" s="200"/>
      <c r="L1139" s="200"/>
      <c r="M1139" s="308"/>
      <c r="N1139" s="308"/>
      <c r="O1139" s="309"/>
      <c r="P1139" s="310"/>
      <c r="Q1139" s="260"/>
      <c r="R1139" s="261"/>
      <c r="S1139" s="261"/>
      <c r="T1139" s="311"/>
      <c r="U1139" s="261"/>
      <c r="V1139" s="256"/>
      <c r="W1139" s="256"/>
      <c r="X1139" s="256"/>
      <c r="Y1139" s="256"/>
      <c r="Z1139" s="310"/>
      <c r="AA1139" s="200"/>
      <c r="AB1139" s="312"/>
      <c r="AC1139" s="313"/>
      <c r="AD1139" s="51"/>
      <c r="AE1139" s="314"/>
      <c r="AF1139" s="315"/>
      <c r="AG1139" s="309"/>
      <c r="AH1139" s="28"/>
      <c r="AI1139" s="28"/>
      <c r="AJ1139" s="28"/>
      <c r="AK1139" s="28"/>
      <c r="AL1139" s="12"/>
      <c r="AM1139" s="12"/>
      <c r="AN1139" s="12"/>
      <c r="AO1139" s="12"/>
      <c r="AP1139" s="12"/>
      <c r="AQ1139" s="13"/>
      <c r="AR1139" s="14"/>
    </row>
    <row r="1140" spans="1:44" s="16" customFormat="1" ht="30.95" hidden="1" customHeight="1" x14ac:dyDescent="0.2">
      <c r="A1140" s="303" t="s">
        <v>1863</v>
      </c>
      <c r="B1140" s="304" t="s">
        <v>1405</v>
      </c>
      <c r="C1140" s="305"/>
      <c r="D1140" s="306"/>
      <c r="E1140" s="306"/>
      <c r="F1140" s="255"/>
      <c r="G1140" s="256"/>
      <c r="H1140" s="256"/>
      <c r="I1140" s="200"/>
      <c r="J1140" s="307" t="s">
        <v>448</v>
      </c>
      <c r="K1140" s="200"/>
      <c r="L1140" s="200"/>
      <c r="M1140" s="308"/>
      <c r="N1140" s="308"/>
      <c r="O1140" s="309"/>
      <c r="P1140" s="310"/>
      <c r="Q1140" s="260"/>
      <c r="R1140" s="261"/>
      <c r="S1140" s="261"/>
      <c r="T1140" s="311"/>
      <c r="U1140" s="261"/>
      <c r="V1140" s="256"/>
      <c r="W1140" s="256"/>
      <c r="X1140" s="256"/>
      <c r="Y1140" s="256"/>
      <c r="Z1140" s="310"/>
      <c r="AA1140" s="200"/>
      <c r="AB1140" s="312"/>
      <c r="AC1140" s="313"/>
      <c r="AD1140" s="51"/>
      <c r="AE1140" s="314"/>
      <c r="AF1140" s="315"/>
      <c r="AG1140" s="309"/>
      <c r="AH1140" s="28"/>
      <c r="AI1140" s="28"/>
      <c r="AJ1140" s="28"/>
      <c r="AK1140" s="28"/>
      <c r="AL1140" s="12"/>
      <c r="AM1140" s="12"/>
      <c r="AN1140" s="12"/>
      <c r="AO1140" s="12"/>
      <c r="AP1140" s="12"/>
      <c r="AQ1140" s="13"/>
      <c r="AR1140" s="14"/>
    </row>
    <row r="1141" spans="1:44" s="16" customFormat="1" ht="30.95" hidden="1" customHeight="1" x14ac:dyDescent="0.2">
      <c r="A1141" s="303"/>
      <c r="B1141" s="304"/>
      <c r="C1141" s="305"/>
      <c r="D1141" s="306"/>
      <c r="E1141" s="306"/>
      <c r="F1141" s="255"/>
      <c r="G1141" s="256"/>
      <c r="H1141" s="256"/>
      <c r="I1141" s="200"/>
      <c r="J1141" s="307"/>
      <c r="K1141" s="200"/>
      <c r="L1141" s="200"/>
      <c r="M1141" s="308"/>
      <c r="N1141" s="308"/>
      <c r="O1141" s="309"/>
      <c r="P1141" s="310"/>
      <c r="Q1141" s="260"/>
      <c r="R1141" s="261"/>
      <c r="S1141" s="261"/>
      <c r="T1141" s="311"/>
      <c r="U1141" s="261"/>
      <c r="V1141" s="256"/>
      <c r="W1141" s="256"/>
      <c r="X1141" s="256"/>
      <c r="Y1141" s="256"/>
      <c r="Z1141" s="310"/>
      <c r="AA1141" s="200"/>
      <c r="AB1141" s="312"/>
      <c r="AC1141" s="313"/>
      <c r="AD1141" s="51"/>
      <c r="AE1141" s="314"/>
      <c r="AF1141" s="315"/>
      <c r="AG1141" s="309"/>
      <c r="AH1141" s="28"/>
      <c r="AI1141" s="28"/>
      <c r="AJ1141" s="28"/>
      <c r="AK1141" s="28"/>
      <c r="AL1141" s="12"/>
      <c r="AM1141" s="12"/>
      <c r="AN1141" s="12"/>
      <c r="AO1141" s="12"/>
      <c r="AP1141" s="12"/>
      <c r="AQ1141" s="13"/>
      <c r="AR1141" s="14"/>
    </row>
    <row r="1142" spans="1:44" s="16" customFormat="1" ht="30.95" hidden="1" customHeight="1" x14ac:dyDescent="0.2">
      <c r="A1142" s="303" t="s">
        <v>1864</v>
      </c>
      <c r="B1142" s="304" t="s">
        <v>1412</v>
      </c>
      <c r="C1142" s="305"/>
      <c r="D1142" s="306"/>
      <c r="E1142" s="306"/>
      <c r="F1142" s="255"/>
      <c r="G1142" s="256"/>
      <c r="H1142" s="256"/>
      <c r="I1142" s="200"/>
      <c r="J1142" s="307" t="s">
        <v>448</v>
      </c>
      <c r="K1142" s="200"/>
      <c r="L1142" s="200"/>
      <c r="M1142" s="308"/>
      <c r="N1142" s="308"/>
      <c r="O1142" s="309"/>
      <c r="P1142" s="310"/>
      <c r="Q1142" s="260"/>
      <c r="R1142" s="261"/>
      <c r="S1142" s="261"/>
      <c r="T1142" s="311"/>
      <c r="U1142" s="261"/>
      <c r="V1142" s="256"/>
      <c r="W1142" s="256"/>
      <c r="X1142" s="256"/>
      <c r="Y1142" s="256"/>
      <c r="Z1142" s="310"/>
      <c r="AA1142" s="200"/>
      <c r="AB1142" s="312"/>
      <c r="AC1142" s="313"/>
      <c r="AD1142" s="51"/>
      <c r="AE1142" s="314"/>
      <c r="AF1142" s="315"/>
      <c r="AG1142" s="309"/>
      <c r="AH1142" s="28"/>
      <c r="AI1142" s="28"/>
      <c r="AJ1142" s="28"/>
      <c r="AK1142" s="28"/>
      <c r="AL1142" s="12"/>
      <c r="AM1142" s="12"/>
      <c r="AN1142" s="12"/>
      <c r="AO1142" s="12"/>
      <c r="AP1142" s="12"/>
      <c r="AQ1142" s="13"/>
      <c r="AR1142" s="14"/>
    </row>
    <row r="1143" spans="1:44" s="16" customFormat="1" ht="30.95" hidden="1" customHeight="1" x14ac:dyDescent="0.2">
      <c r="A1143" s="303"/>
      <c r="B1143" s="304"/>
      <c r="C1143" s="305"/>
      <c r="D1143" s="306"/>
      <c r="E1143" s="306"/>
      <c r="F1143" s="255"/>
      <c r="G1143" s="256"/>
      <c r="H1143" s="256"/>
      <c r="I1143" s="200"/>
      <c r="J1143" s="307"/>
      <c r="K1143" s="200"/>
      <c r="L1143" s="200"/>
      <c r="M1143" s="308"/>
      <c r="N1143" s="308"/>
      <c r="O1143" s="309"/>
      <c r="P1143" s="310"/>
      <c r="Q1143" s="260"/>
      <c r="R1143" s="261"/>
      <c r="S1143" s="261"/>
      <c r="T1143" s="311"/>
      <c r="U1143" s="261"/>
      <c r="V1143" s="256"/>
      <c r="W1143" s="256"/>
      <c r="X1143" s="256"/>
      <c r="Y1143" s="256"/>
      <c r="Z1143" s="310"/>
      <c r="AA1143" s="200"/>
      <c r="AB1143" s="312"/>
      <c r="AC1143" s="313"/>
      <c r="AD1143" s="51"/>
      <c r="AE1143" s="314"/>
      <c r="AF1143" s="315"/>
      <c r="AG1143" s="309"/>
      <c r="AH1143" s="28"/>
      <c r="AI1143" s="28"/>
      <c r="AJ1143" s="28"/>
      <c r="AK1143" s="28"/>
      <c r="AL1143" s="12"/>
      <c r="AM1143" s="12"/>
      <c r="AN1143" s="12"/>
      <c r="AO1143" s="12"/>
      <c r="AP1143" s="12"/>
      <c r="AQ1143" s="13"/>
      <c r="AR1143" s="14"/>
    </row>
    <row r="1144" spans="1:44" s="16" customFormat="1" ht="30.95" hidden="1" customHeight="1" x14ac:dyDescent="0.2">
      <c r="A1144" s="303" t="s">
        <v>1865</v>
      </c>
      <c r="B1144" s="304" t="s">
        <v>1408</v>
      </c>
      <c r="C1144" s="305"/>
      <c r="D1144" s="306"/>
      <c r="E1144" s="306"/>
      <c r="F1144" s="255"/>
      <c r="G1144" s="256"/>
      <c r="H1144" s="256"/>
      <c r="I1144" s="200"/>
      <c r="J1144" s="307" t="s">
        <v>448</v>
      </c>
      <c r="K1144" s="200"/>
      <c r="L1144" s="200"/>
      <c r="M1144" s="308"/>
      <c r="N1144" s="308"/>
      <c r="O1144" s="309"/>
      <c r="P1144" s="310"/>
      <c r="Q1144" s="260"/>
      <c r="R1144" s="261"/>
      <c r="S1144" s="261"/>
      <c r="T1144" s="311"/>
      <c r="U1144" s="261"/>
      <c r="V1144" s="256"/>
      <c r="W1144" s="256"/>
      <c r="X1144" s="256"/>
      <c r="Y1144" s="256"/>
      <c r="Z1144" s="310"/>
      <c r="AA1144" s="200"/>
      <c r="AB1144" s="312"/>
      <c r="AC1144" s="313"/>
      <c r="AD1144" s="51"/>
      <c r="AE1144" s="314"/>
      <c r="AF1144" s="315"/>
      <c r="AG1144" s="309"/>
      <c r="AH1144" s="28"/>
      <c r="AI1144" s="28"/>
      <c r="AJ1144" s="28"/>
      <c r="AK1144" s="28"/>
      <c r="AL1144" s="12"/>
      <c r="AM1144" s="12"/>
      <c r="AN1144" s="12"/>
      <c r="AO1144" s="12"/>
      <c r="AP1144" s="12"/>
      <c r="AQ1144" s="13"/>
      <c r="AR1144" s="14"/>
    </row>
    <row r="1145" spans="1:44" s="16" customFormat="1" ht="30.95" hidden="1" customHeight="1" x14ac:dyDescent="0.2">
      <c r="A1145" s="303"/>
      <c r="B1145" s="304"/>
      <c r="C1145" s="305"/>
      <c r="D1145" s="306"/>
      <c r="E1145" s="306"/>
      <c r="F1145" s="255"/>
      <c r="G1145" s="256"/>
      <c r="H1145" s="256"/>
      <c r="I1145" s="200"/>
      <c r="J1145" s="307"/>
      <c r="K1145" s="200"/>
      <c r="L1145" s="200"/>
      <c r="M1145" s="308"/>
      <c r="N1145" s="308"/>
      <c r="O1145" s="309"/>
      <c r="P1145" s="310"/>
      <c r="Q1145" s="260"/>
      <c r="R1145" s="261"/>
      <c r="S1145" s="261"/>
      <c r="T1145" s="311"/>
      <c r="U1145" s="261"/>
      <c r="V1145" s="256"/>
      <c r="W1145" s="256"/>
      <c r="X1145" s="256"/>
      <c r="Y1145" s="256"/>
      <c r="Z1145" s="310"/>
      <c r="AA1145" s="200"/>
      <c r="AB1145" s="312"/>
      <c r="AC1145" s="313"/>
      <c r="AD1145" s="51"/>
      <c r="AE1145" s="314"/>
      <c r="AF1145" s="315"/>
      <c r="AG1145" s="309"/>
      <c r="AH1145" s="28"/>
      <c r="AI1145" s="28"/>
      <c r="AJ1145" s="28"/>
      <c r="AK1145" s="28"/>
      <c r="AL1145" s="12"/>
      <c r="AM1145" s="12"/>
      <c r="AN1145" s="12"/>
      <c r="AO1145" s="12"/>
      <c r="AP1145" s="12"/>
      <c r="AQ1145" s="13"/>
      <c r="AR1145" s="14"/>
    </row>
    <row r="1146" spans="1:44" s="16" customFormat="1" ht="30.95" hidden="1" customHeight="1" x14ac:dyDescent="0.2">
      <c r="A1146" s="303" t="s">
        <v>1866</v>
      </c>
      <c r="B1146" s="304" t="s">
        <v>1409</v>
      </c>
      <c r="C1146" s="305"/>
      <c r="D1146" s="306"/>
      <c r="E1146" s="306"/>
      <c r="F1146" s="255"/>
      <c r="G1146" s="256"/>
      <c r="H1146" s="256"/>
      <c r="I1146" s="200"/>
      <c r="J1146" s="307" t="s">
        <v>1871</v>
      </c>
      <c r="K1146" s="200"/>
      <c r="L1146" s="200"/>
      <c r="M1146" s="308"/>
      <c r="N1146" s="308"/>
      <c r="O1146" s="309"/>
      <c r="P1146" s="310"/>
      <c r="Q1146" s="260"/>
      <c r="R1146" s="261"/>
      <c r="S1146" s="261"/>
      <c r="T1146" s="311"/>
      <c r="U1146" s="261"/>
      <c r="V1146" s="256"/>
      <c r="W1146" s="256"/>
      <c r="X1146" s="256"/>
      <c r="Y1146" s="256"/>
      <c r="Z1146" s="310"/>
      <c r="AA1146" s="200"/>
      <c r="AB1146" s="312"/>
      <c r="AC1146" s="313"/>
      <c r="AD1146" s="51"/>
      <c r="AE1146" s="314"/>
      <c r="AF1146" s="315"/>
      <c r="AG1146" s="309"/>
      <c r="AH1146" s="28"/>
      <c r="AI1146" s="28"/>
      <c r="AJ1146" s="28"/>
      <c r="AK1146" s="28"/>
      <c r="AL1146" s="12"/>
      <c r="AM1146" s="12"/>
      <c r="AN1146" s="12"/>
      <c r="AO1146" s="12"/>
      <c r="AP1146" s="12"/>
      <c r="AQ1146" s="13"/>
      <c r="AR1146" s="14"/>
    </row>
    <row r="1147" spans="1:44" s="16" customFormat="1" ht="30.95" hidden="1" customHeight="1" x14ac:dyDescent="0.2">
      <c r="A1147" s="303"/>
      <c r="B1147" s="304"/>
      <c r="C1147" s="305"/>
      <c r="D1147" s="306"/>
      <c r="E1147" s="306"/>
      <c r="F1147" s="255"/>
      <c r="G1147" s="256"/>
      <c r="H1147" s="256"/>
      <c r="I1147" s="200"/>
      <c r="J1147" s="307"/>
      <c r="K1147" s="200"/>
      <c r="L1147" s="200"/>
      <c r="M1147" s="308"/>
      <c r="N1147" s="308"/>
      <c r="O1147" s="309"/>
      <c r="P1147" s="310"/>
      <c r="Q1147" s="260"/>
      <c r="R1147" s="261"/>
      <c r="S1147" s="261"/>
      <c r="T1147" s="311"/>
      <c r="U1147" s="261"/>
      <c r="V1147" s="256"/>
      <c r="W1147" s="256"/>
      <c r="X1147" s="256"/>
      <c r="Y1147" s="256"/>
      <c r="Z1147" s="310"/>
      <c r="AA1147" s="200"/>
      <c r="AB1147" s="312"/>
      <c r="AC1147" s="313"/>
      <c r="AD1147" s="51"/>
      <c r="AE1147" s="314"/>
      <c r="AF1147" s="315"/>
      <c r="AG1147" s="309"/>
      <c r="AH1147" s="28"/>
      <c r="AI1147" s="28"/>
      <c r="AJ1147" s="28"/>
      <c r="AK1147" s="28"/>
      <c r="AL1147" s="12"/>
      <c r="AM1147" s="12"/>
      <c r="AN1147" s="12"/>
      <c r="AO1147" s="12"/>
      <c r="AP1147" s="12"/>
      <c r="AQ1147" s="13"/>
      <c r="AR1147" s="14"/>
    </row>
    <row r="1148" spans="1:44" s="16" customFormat="1" ht="30.95" hidden="1" customHeight="1" x14ac:dyDescent="0.2">
      <c r="A1148" s="303" t="s">
        <v>757</v>
      </c>
      <c r="B1148" s="304" t="s">
        <v>445</v>
      </c>
      <c r="C1148" s="305"/>
      <c r="D1148" s="29">
        <v>3737316</v>
      </c>
      <c r="E1148" s="29">
        <v>4151577</v>
      </c>
      <c r="F1148" s="255" t="str">
        <f>IF(D1148="","",VLOOKUP(D1148,契約台帳!$A$3:$K$4986,6,FALSE)&amp;VLOOKUP(D1148,契約台帳!$A$3:$K$4986,7,FALSE)&amp;VLOOKUP(D1148,契約台帳!$A$3:$K$4986,8,FALSE)&amp;VLOOKUP(D1148,契約台帳!$A$3:$K$4986,9,FALSE)&amp;VLOOKUP(D1148,契約台帳!$A$3:$K$4986,11,FALSE))</f>
        <v>3UYKNZMCRALCB</v>
      </c>
      <c r="G1148" s="256" t="str">
        <f>IF(D1148="","",VLOOKUP(F1148,製品マスタ!$G$5:$H$4999,2,FALSE))</f>
        <v>U</v>
      </c>
      <c r="H1148" s="256" t="str">
        <f>IF(D1148="","",VLOOKUP(F1148,製品マスタ!$G$5:$K$4999,5,FALSE))</f>
        <v>MCRALCB</v>
      </c>
      <c r="I1148" s="200" t="str">
        <f>IF(D1148="","",VLOOKUP(F1148,製品マスタ!$G$5:$L$4999,6,FALSE))</f>
        <v>Metalumy CR aluminum surface coat B</v>
      </c>
      <c r="J1148" s="30" t="s">
        <v>447</v>
      </c>
      <c r="K1148" s="200">
        <f>IF(D1148="","",VLOOKUP(D1148,契約台帳!$A$3:$L$4986,12,FALSE))</f>
        <v>25</v>
      </c>
      <c r="L1148" s="200" t="str">
        <f>IF(D1148="","",INDEX(製品マスタ!$Q$5:$Q$4999,MATCH(F1148&amp;K1148,製品マスタ!$AO$5:$AO$4999,0)))</f>
        <v>S28M</v>
      </c>
      <c r="M1148" s="37">
        <v>1110</v>
      </c>
      <c r="N1148" s="37">
        <v>12100</v>
      </c>
      <c r="O1148" s="45">
        <v>2</v>
      </c>
      <c r="P1148" s="54"/>
      <c r="Q1148" s="260">
        <f>IF(D1148="","",IF(J1148="リード付け",M1148,VLOOKUP(D1148,契約台帳!$A$3:$N$4986,14,FALSE)))</f>
        <v>1050</v>
      </c>
      <c r="R1148" s="261">
        <f>IF(D1148="","",IF(J1148="リード付け",M1148,VLOOKUP(D1148,契約台帳!$A$3:$O$4986,15,FALSE)))</f>
        <v>1050</v>
      </c>
      <c r="S1148" s="261">
        <f>IF(D1148="","",IF(J1148="リード付け",N1148,VLOOKUP(D1148,契約台帳!$A$3:$P$4986,16,FALSE)))</f>
        <v>6000</v>
      </c>
      <c r="T1148" s="38">
        <v>4</v>
      </c>
      <c r="U1148" s="261">
        <f ca="1">IF(D1148="","",IF(OFFSET(D1148,-2,0)=D1148,"",VLOOKUP(D1148,契約台帳!$A$3:$R$4986,18,FALSE)))</f>
        <v>22</v>
      </c>
      <c r="V1148" s="256" t="str">
        <f>IF(J1148="巻返し",VLOOKUP(F1148&amp;K1148&amp;M1148,製品マスタ!$M$5:$AD$4999,18,FALSE),IF(J1148="リード付け","原反コア",IF(J1148="スリット",VLOOKUP(F1148&amp;K1148&amp;Q1148,製品マスタ!$N$5:$AD$4999,17,FALSE),"")))</f>
        <v>6ｲﾝﾁABS</v>
      </c>
      <c r="W1148" s="256">
        <f>IF(J1148="巻返し",VLOOKUP(F1148&amp;K1148&amp;M1148,製品マスタ!$M$5:$AE$4999,19,FALSE),IF(J1148="リード付け","-",IF(J1148="スリット",VLOOKUP(F1148&amp;K1148&amp;Q1148,製品マスタ!$N$5:$AE$4999,18,FALSE),"")))</f>
        <v>1250</v>
      </c>
      <c r="X1148" s="256">
        <f>IF(D1148="","",VLOOKUP(D1148,契約台帳!$A$3:$Q$4986,17,FALSE))</f>
        <v>1</v>
      </c>
      <c r="Y1148" s="256" t="s">
        <v>1365</v>
      </c>
      <c r="Z1148" s="310" t="s">
        <v>1016</v>
      </c>
      <c r="AA1148" s="200" t="s">
        <v>1470</v>
      </c>
      <c r="AB1148" s="312"/>
      <c r="AC1148" s="313"/>
      <c r="AD1148" s="51" t="str">
        <f>IF(F1148="","",+F1148&amp;K1148)</f>
        <v>3UYKNZMCRALCB25</v>
      </c>
      <c r="AE1148" s="52">
        <f>+M1148*N1148*O1148/1000</f>
        <v>26862</v>
      </c>
      <c r="AF1148" s="41"/>
      <c r="AG1148" s="45"/>
      <c r="AH1148" s="28"/>
      <c r="AI1148" s="28"/>
      <c r="AJ1148" s="28"/>
      <c r="AK1148" s="28"/>
      <c r="AL1148" s="12"/>
      <c r="AM1148" s="12"/>
      <c r="AN1148" s="12"/>
      <c r="AO1148" s="12"/>
      <c r="AP1148" s="12"/>
      <c r="AQ1148" s="13"/>
      <c r="AR1148" s="14"/>
    </row>
    <row r="1149" spans="1:44" s="16" customFormat="1" ht="30.95" hidden="1" customHeight="1" x14ac:dyDescent="0.2">
      <c r="A1149" s="303"/>
      <c r="B1149" s="304"/>
      <c r="C1149" s="305"/>
      <c r="D1149" s="306"/>
      <c r="E1149" s="306"/>
      <c r="F1149" s="255"/>
      <c r="G1149" s="256"/>
      <c r="H1149" s="256"/>
      <c r="I1149" s="200"/>
      <c r="J1149" s="307"/>
      <c r="K1149" s="200"/>
      <c r="L1149" s="200"/>
      <c r="M1149" s="308"/>
      <c r="N1149" s="308"/>
      <c r="O1149" s="309"/>
      <c r="P1149" s="310"/>
      <c r="Q1149" s="260"/>
      <c r="R1149" s="261"/>
      <c r="S1149" s="261"/>
      <c r="T1149" s="311"/>
      <c r="U1149" s="261"/>
      <c r="V1149" s="256"/>
      <c r="W1149" s="256"/>
      <c r="X1149" s="256"/>
      <c r="Y1149" s="256"/>
      <c r="Z1149" s="310"/>
      <c r="AA1149" s="200"/>
      <c r="AB1149" s="312"/>
      <c r="AC1149" s="313"/>
      <c r="AD1149" s="51"/>
      <c r="AE1149" s="314"/>
      <c r="AF1149" s="315"/>
      <c r="AG1149" s="309"/>
      <c r="AH1149" s="28"/>
      <c r="AI1149" s="28"/>
      <c r="AJ1149" s="28"/>
      <c r="AK1149" s="28"/>
      <c r="AL1149" s="12"/>
      <c r="AM1149" s="12"/>
      <c r="AN1149" s="12"/>
      <c r="AO1149" s="12"/>
      <c r="AP1149" s="12"/>
      <c r="AQ1149" s="13"/>
      <c r="AR1149" s="14"/>
    </row>
    <row r="1150" spans="1:44" s="16" customFormat="1" ht="30.95" hidden="1" customHeight="1" x14ac:dyDescent="0.2">
      <c r="A1150" s="303" t="s">
        <v>1868</v>
      </c>
      <c r="B1150" s="304" t="s">
        <v>392</v>
      </c>
      <c r="C1150" s="305"/>
      <c r="D1150" s="306"/>
      <c r="E1150" s="306"/>
      <c r="F1150" s="255"/>
      <c r="G1150" s="256"/>
      <c r="H1150" s="256"/>
      <c r="I1150" s="200"/>
      <c r="J1150" s="307" t="s">
        <v>448</v>
      </c>
      <c r="K1150" s="200"/>
      <c r="L1150" s="200"/>
      <c r="M1150" s="308"/>
      <c r="N1150" s="308"/>
      <c r="O1150" s="309"/>
      <c r="P1150" s="310"/>
      <c r="Q1150" s="260"/>
      <c r="R1150" s="261"/>
      <c r="S1150" s="261"/>
      <c r="T1150" s="311"/>
      <c r="U1150" s="261"/>
      <c r="V1150" s="256"/>
      <c r="W1150" s="256"/>
      <c r="X1150" s="256"/>
      <c r="Y1150" s="256"/>
      <c r="Z1150" s="310"/>
      <c r="AA1150" s="200"/>
      <c r="AB1150" s="312"/>
      <c r="AC1150" s="313"/>
      <c r="AD1150" s="51"/>
      <c r="AE1150" s="314"/>
      <c r="AF1150" s="315"/>
      <c r="AG1150" s="309"/>
      <c r="AH1150" s="28"/>
      <c r="AI1150" s="28"/>
      <c r="AJ1150" s="28"/>
      <c r="AK1150" s="28"/>
      <c r="AL1150" s="12"/>
      <c r="AM1150" s="12"/>
      <c r="AN1150" s="12"/>
      <c r="AO1150" s="12"/>
      <c r="AP1150" s="12"/>
      <c r="AQ1150" s="13"/>
      <c r="AR1150" s="14"/>
    </row>
    <row r="1151" spans="1:44" s="16" customFormat="1" ht="30.95" hidden="1" customHeight="1" x14ac:dyDescent="0.2">
      <c r="A1151" s="303"/>
      <c r="B1151" s="304"/>
      <c r="C1151" s="305"/>
      <c r="D1151" s="306"/>
      <c r="E1151" s="306"/>
      <c r="F1151" s="255"/>
      <c r="G1151" s="256"/>
      <c r="H1151" s="256"/>
      <c r="I1151" s="200"/>
      <c r="J1151" s="307"/>
      <c r="K1151" s="200"/>
      <c r="L1151" s="200"/>
      <c r="M1151" s="308"/>
      <c r="N1151" s="308"/>
      <c r="O1151" s="309"/>
      <c r="P1151" s="310"/>
      <c r="Q1151" s="260"/>
      <c r="R1151" s="261"/>
      <c r="S1151" s="261"/>
      <c r="T1151" s="311"/>
      <c r="U1151" s="261"/>
      <c r="V1151" s="256"/>
      <c r="W1151" s="256"/>
      <c r="X1151" s="256"/>
      <c r="Y1151" s="256"/>
      <c r="Z1151" s="310"/>
      <c r="AA1151" s="200"/>
      <c r="AB1151" s="312"/>
      <c r="AC1151" s="313"/>
      <c r="AD1151" s="51"/>
      <c r="AE1151" s="314"/>
      <c r="AF1151" s="315"/>
      <c r="AG1151" s="309"/>
      <c r="AH1151" s="28"/>
      <c r="AI1151" s="28"/>
      <c r="AJ1151" s="28"/>
      <c r="AK1151" s="28"/>
      <c r="AL1151" s="12"/>
      <c r="AM1151" s="12"/>
      <c r="AN1151" s="12"/>
      <c r="AO1151" s="12"/>
      <c r="AP1151" s="12"/>
      <c r="AQ1151" s="13"/>
      <c r="AR1151" s="14"/>
    </row>
    <row r="1152" spans="1:44" s="16" customFormat="1" ht="30.95" hidden="1" customHeight="1" x14ac:dyDescent="0.2">
      <c r="A1152" s="303" t="s">
        <v>1869</v>
      </c>
      <c r="B1152" s="304" t="s">
        <v>1402</v>
      </c>
      <c r="C1152" s="305"/>
      <c r="D1152" s="306"/>
      <c r="E1152" s="306"/>
      <c r="F1152" s="255"/>
      <c r="G1152" s="256"/>
      <c r="H1152" s="256"/>
      <c r="I1152" s="200"/>
      <c r="J1152" s="307" t="s">
        <v>448</v>
      </c>
      <c r="K1152" s="200"/>
      <c r="L1152" s="200"/>
      <c r="M1152" s="308"/>
      <c r="N1152" s="308"/>
      <c r="O1152" s="309"/>
      <c r="P1152" s="310"/>
      <c r="Q1152" s="260"/>
      <c r="R1152" s="261"/>
      <c r="S1152" s="261"/>
      <c r="T1152" s="311"/>
      <c r="U1152" s="261"/>
      <c r="V1152" s="256"/>
      <c r="W1152" s="256"/>
      <c r="X1152" s="256"/>
      <c r="Y1152" s="256"/>
      <c r="Z1152" s="310"/>
      <c r="AA1152" s="200"/>
      <c r="AB1152" s="312"/>
      <c r="AC1152" s="313"/>
      <c r="AD1152" s="51"/>
      <c r="AE1152" s="314"/>
      <c r="AF1152" s="315"/>
      <c r="AG1152" s="309"/>
      <c r="AH1152" s="28"/>
      <c r="AI1152" s="28"/>
      <c r="AJ1152" s="28"/>
      <c r="AK1152" s="28"/>
      <c r="AL1152" s="12"/>
      <c r="AM1152" s="12"/>
      <c r="AN1152" s="12"/>
      <c r="AO1152" s="12"/>
      <c r="AP1152" s="12"/>
      <c r="AQ1152" s="13"/>
      <c r="AR1152" s="14"/>
    </row>
    <row r="1153" spans="1:44" s="16" customFormat="1" ht="30.95" hidden="1" customHeight="1" x14ac:dyDescent="0.2">
      <c r="A1153" s="303"/>
      <c r="B1153" s="304"/>
      <c r="C1153" s="305"/>
      <c r="D1153" s="306"/>
      <c r="E1153" s="306"/>
      <c r="F1153" s="255"/>
      <c r="G1153" s="256"/>
      <c r="H1153" s="256"/>
      <c r="I1153" s="200"/>
      <c r="J1153" s="307"/>
      <c r="K1153" s="200"/>
      <c r="L1153" s="200"/>
      <c r="M1153" s="308"/>
      <c r="N1153" s="308"/>
      <c r="O1153" s="309"/>
      <c r="P1153" s="310"/>
      <c r="Q1153" s="260"/>
      <c r="R1153" s="261"/>
      <c r="S1153" s="261"/>
      <c r="T1153" s="311"/>
      <c r="U1153" s="261"/>
      <c r="V1153" s="256"/>
      <c r="W1153" s="256"/>
      <c r="X1153" s="256"/>
      <c r="Y1153" s="256"/>
      <c r="Z1153" s="310"/>
      <c r="AA1153" s="200"/>
      <c r="AB1153" s="312"/>
      <c r="AC1153" s="313"/>
      <c r="AD1153" s="51"/>
      <c r="AE1153" s="314"/>
      <c r="AF1153" s="315"/>
      <c r="AG1153" s="309"/>
      <c r="AH1153" s="28"/>
      <c r="AI1153" s="28"/>
      <c r="AJ1153" s="28"/>
      <c r="AK1153" s="28"/>
      <c r="AL1153" s="12"/>
      <c r="AM1153" s="12"/>
      <c r="AN1153" s="12"/>
      <c r="AO1153" s="12"/>
      <c r="AP1153" s="12"/>
      <c r="AQ1153" s="13"/>
      <c r="AR1153" s="14"/>
    </row>
    <row r="1154" spans="1:44" s="16" customFormat="1" ht="30.95" hidden="1" customHeight="1" x14ac:dyDescent="0.2">
      <c r="A1154" s="303" t="s">
        <v>760</v>
      </c>
      <c r="B1154" s="304" t="s">
        <v>688</v>
      </c>
      <c r="C1154" s="305"/>
      <c r="D1154" s="29">
        <v>3737316</v>
      </c>
      <c r="E1154" s="29">
        <v>4151577</v>
      </c>
      <c r="F1154" s="255" t="str">
        <f>IF(D1154="","",VLOOKUP(D1154,契約台帳!$A$3:$K$4986,6,FALSE)&amp;VLOOKUP(D1154,契約台帳!$A$3:$K$4986,7,FALSE)&amp;VLOOKUP(D1154,契約台帳!$A$3:$K$4986,8,FALSE)&amp;VLOOKUP(D1154,契約台帳!$A$3:$K$4986,9,FALSE)&amp;VLOOKUP(D1154,契約台帳!$A$3:$K$4986,11,FALSE))</f>
        <v>3UYKNZMCRALCB</v>
      </c>
      <c r="G1154" s="256" t="str">
        <f>IF(D1154="","",VLOOKUP(F1154,製品マスタ!$G$5:$H$4999,2,FALSE))</f>
        <v>U</v>
      </c>
      <c r="H1154" s="256" t="str">
        <f>IF(D1154="","",VLOOKUP(F1154,製品マスタ!$G$5:$K$4999,5,FALSE))</f>
        <v>MCRALCB</v>
      </c>
      <c r="I1154" s="200" t="str">
        <f>IF(D1154="","",VLOOKUP(F1154,製品マスタ!$G$5:$L$4999,6,FALSE))</f>
        <v>Metalumy CR aluminum surface coat B</v>
      </c>
      <c r="J1154" s="30" t="s">
        <v>447</v>
      </c>
      <c r="K1154" s="200">
        <f>IF(D1154="","",VLOOKUP(D1154,契約台帳!$A$3:$L$4986,12,FALSE))</f>
        <v>25</v>
      </c>
      <c r="L1154" s="200" t="str">
        <f>IF(D1154="","",INDEX(製品マスタ!$Q$5:$Q$4999,MATCH(F1154&amp;K1154,製品マスタ!$AO$5:$AO$4999,0)))</f>
        <v>S28M</v>
      </c>
      <c r="M1154" s="37">
        <v>1110</v>
      </c>
      <c r="N1154" s="37">
        <v>12100</v>
      </c>
      <c r="O1154" s="45">
        <v>2</v>
      </c>
      <c r="P1154" s="54"/>
      <c r="Q1154" s="260">
        <f>IF(D1154="","",IF(J1154="リード付け",M1154,VLOOKUP(D1154,契約台帳!$A$3:$N$4986,14,FALSE)))</f>
        <v>1050</v>
      </c>
      <c r="R1154" s="261">
        <f>IF(D1154="","",IF(J1154="リード付け",M1154,VLOOKUP(D1154,契約台帳!$A$3:$O$4986,15,FALSE)))</f>
        <v>1050</v>
      </c>
      <c r="S1154" s="261">
        <f>IF(D1154="","",IF(J1154="リード付け",N1154,VLOOKUP(D1154,契約台帳!$A$3:$P$4986,16,FALSE)))</f>
        <v>6000</v>
      </c>
      <c r="T1154" s="38">
        <v>4</v>
      </c>
      <c r="U1154" s="261">
        <f ca="1">IF(D1154="","",IF(OFFSET(D1154,-2,0)=D1154,"",VLOOKUP(D1154,契約台帳!$A$3:$R$4986,18,FALSE)))</f>
        <v>22</v>
      </c>
      <c r="V1154" s="256" t="str">
        <f>IF(J1154="巻返し",VLOOKUP(F1154&amp;K1154&amp;M1154,製品マスタ!$M$5:$AD$4999,18,FALSE),IF(J1154="リード付け","原反コア",IF(J1154="スリット",VLOOKUP(F1154&amp;K1154&amp;Q1154,製品マスタ!$N$5:$AD$4999,17,FALSE),"")))</f>
        <v>6ｲﾝﾁABS</v>
      </c>
      <c r="W1154" s="256">
        <f>IF(J1154="巻返し",VLOOKUP(F1154&amp;K1154&amp;M1154,製品マスタ!$M$5:$AE$4999,19,FALSE),IF(J1154="リード付け","-",IF(J1154="スリット",VLOOKUP(F1154&amp;K1154&amp;Q1154,製品マスタ!$N$5:$AE$4999,18,FALSE),"")))</f>
        <v>1250</v>
      </c>
      <c r="X1154" s="256">
        <f>IF(D1154="","",VLOOKUP(D1154,契約台帳!$A$3:$Q$4986,17,FALSE))</f>
        <v>1</v>
      </c>
      <c r="Y1154" s="256" t="s">
        <v>1365</v>
      </c>
      <c r="Z1154" s="310" t="s">
        <v>1016</v>
      </c>
      <c r="AA1154" s="200" t="s">
        <v>1470</v>
      </c>
      <c r="AB1154" s="312"/>
      <c r="AC1154" s="313"/>
      <c r="AD1154" s="51" t="str">
        <f>IF(F1154="","",+F1154&amp;K1154)</f>
        <v>3UYKNZMCRALCB25</v>
      </c>
      <c r="AE1154" s="52">
        <f>+M1154*N1154*O1154/1000</f>
        <v>26862</v>
      </c>
      <c r="AF1154" s="41"/>
      <c r="AG1154" s="45"/>
      <c r="AH1154" s="28"/>
      <c r="AI1154" s="28"/>
      <c r="AJ1154" s="28"/>
      <c r="AK1154" s="28"/>
      <c r="AL1154" s="12"/>
      <c r="AM1154" s="12"/>
      <c r="AN1154" s="12"/>
      <c r="AO1154" s="12"/>
      <c r="AP1154" s="12"/>
      <c r="AQ1154" s="13"/>
      <c r="AR1154" s="14"/>
    </row>
    <row r="1155" spans="1:44" s="16" customFormat="1" ht="30.95" hidden="1" customHeight="1" x14ac:dyDescent="0.2">
      <c r="A1155" s="303"/>
      <c r="B1155" s="304"/>
      <c r="C1155" s="305"/>
      <c r="D1155" s="306"/>
      <c r="E1155" s="306"/>
      <c r="F1155" s="255"/>
      <c r="G1155" s="256"/>
      <c r="H1155" s="256"/>
      <c r="I1155" s="200"/>
      <c r="J1155" s="307"/>
      <c r="K1155" s="200"/>
      <c r="L1155" s="200"/>
      <c r="M1155" s="308"/>
      <c r="N1155" s="308"/>
      <c r="O1155" s="309"/>
      <c r="P1155" s="310"/>
      <c r="Q1155" s="260"/>
      <c r="R1155" s="261"/>
      <c r="S1155" s="261"/>
      <c r="T1155" s="311"/>
      <c r="U1155" s="261"/>
      <c r="V1155" s="256"/>
      <c r="W1155" s="256"/>
      <c r="X1155" s="256"/>
      <c r="Y1155" s="256"/>
      <c r="Z1155" s="310"/>
      <c r="AA1155" s="200"/>
      <c r="AB1155" s="312"/>
      <c r="AC1155" s="313"/>
      <c r="AD1155" s="51"/>
      <c r="AE1155" s="314"/>
      <c r="AF1155" s="315"/>
      <c r="AG1155" s="309"/>
      <c r="AH1155" s="28"/>
      <c r="AI1155" s="28"/>
      <c r="AJ1155" s="28"/>
      <c r="AK1155" s="28"/>
      <c r="AL1155" s="12"/>
      <c r="AM1155" s="12"/>
      <c r="AN1155" s="12"/>
      <c r="AO1155" s="12"/>
      <c r="AP1155" s="12"/>
      <c r="AQ1155" s="13"/>
      <c r="AR1155" s="14"/>
    </row>
    <row r="1156" spans="1:44" s="16" customFormat="1" ht="30.95" hidden="1" customHeight="1" x14ac:dyDescent="0.2">
      <c r="A1156" s="303" t="s">
        <v>761</v>
      </c>
      <c r="B1156" s="304" t="s">
        <v>442</v>
      </c>
      <c r="C1156" s="305"/>
      <c r="D1156" s="29">
        <v>3737316</v>
      </c>
      <c r="E1156" s="29">
        <v>4151577</v>
      </c>
      <c r="F1156" s="255" t="str">
        <f>IF(D1156="","",VLOOKUP(D1156,契約台帳!$A$3:$K$4986,6,FALSE)&amp;VLOOKUP(D1156,契約台帳!$A$3:$K$4986,7,FALSE)&amp;VLOOKUP(D1156,契約台帳!$A$3:$K$4986,8,FALSE)&amp;VLOOKUP(D1156,契約台帳!$A$3:$K$4986,9,FALSE)&amp;VLOOKUP(D1156,契約台帳!$A$3:$K$4986,11,FALSE))</f>
        <v>3UYKNZMCRALCB</v>
      </c>
      <c r="G1156" s="256" t="str">
        <f>IF(D1156="","",VLOOKUP(F1156,製品マスタ!$G$5:$H$4999,2,FALSE))</f>
        <v>U</v>
      </c>
      <c r="H1156" s="256" t="str">
        <f>IF(D1156="","",VLOOKUP(F1156,製品マスタ!$G$5:$K$4999,5,FALSE))</f>
        <v>MCRALCB</v>
      </c>
      <c r="I1156" s="200" t="str">
        <f>IF(D1156="","",VLOOKUP(F1156,製品マスタ!$G$5:$L$4999,6,FALSE))</f>
        <v>Metalumy CR aluminum surface coat B</v>
      </c>
      <c r="J1156" s="30" t="s">
        <v>447</v>
      </c>
      <c r="K1156" s="200">
        <f>IF(D1156="","",VLOOKUP(D1156,契約台帳!$A$3:$L$4986,12,FALSE))</f>
        <v>25</v>
      </c>
      <c r="L1156" s="200" t="str">
        <f>IF(D1156="","",INDEX(製品マスタ!$Q$5:$Q$4999,MATCH(F1156&amp;K1156,製品マスタ!$AO$5:$AO$4999,0)))</f>
        <v>S28M</v>
      </c>
      <c r="M1156" s="37">
        <v>1110</v>
      </c>
      <c r="N1156" s="37">
        <v>12100</v>
      </c>
      <c r="O1156" s="45">
        <v>2</v>
      </c>
      <c r="P1156" s="54"/>
      <c r="Q1156" s="260">
        <f>IF(D1156="","",IF(J1156="リード付け",M1156,VLOOKUP(D1156,契約台帳!$A$3:$N$4986,14,FALSE)))</f>
        <v>1050</v>
      </c>
      <c r="R1156" s="261">
        <f>IF(D1156="","",IF(J1156="リード付け",M1156,VLOOKUP(D1156,契約台帳!$A$3:$O$4986,15,FALSE)))</f>
        <v>1050</v>
      </c>
      <c r="S1156" s="261">
        <f>IF(D1156="","",IF(J1156="リード付け",N1156,VLOOKUP(D1156,契約台帳!$A$3:$P$4986,16,FALSE)))</f>
        <v>6000</v>
      </c>
      <c r="T1156" s="38">
        <v>4</v>
      </c>
      <c r="U1156" s="261" t="str">
        <f ca="1">IF(D1156="","",IF(OFFSET(D1156,-2,0)=D1156,"",VLOOKUP(D1156,契約台帳!$A$3:$R$4986,18,FALSE)))</f>
        <v/>
      </c>
      <c r="V1156" s="256" t="str">
        <f>IF(J1156="巻返し",VLOOKUP(F1156&amp;K1156&amp;M1156,製品マスタ!$M$5:$AD$4999,18,FALSE),IF(J1156="リード付け","原反コア",IF(J1156="スリット",VLOOKUP(F1156&amp;K1156&amp;Q1156,製品マスタ!$N$5:$AD$4999,17,FALSE),"")))</f>
        <v>6ｲﾝﾁABS</v>
      </c>
      <c r="W1156" s="256">
        <f>IF(J1156="巻返し",VLOOKUP(F1156&amp;K1156&amp;M1156,製品マスタ!$M$5:$AE$4999,19,FALSE),IF(J1156="リード付け","-",IF(J1156="スリット",VLOOKUP(F1156&amp;K1156&amp;Q1156,製品マスタ!$N$5:$AE$4999,18,FALSE),"")))</f>
        <v>1250</v>
      </c>
      <c r="X1156" s="256">
        <f>IF(D1156="","",VLOOKUP(D1156,契約台帳!$A$3:$Q$4986,17,FALSE))</f>
        <v>1</v>
      </c>
      <c r="Y1156" s="256" t="s">
        <v>1365</v>
      </c>
      <c r="Z1156" s="310" t="s">
        <v>1016</v>
      </c>
      <c r="AA1156" s="200" t="s">
        <v>1470</v>
      </c>
      <c r="AB1156" s="312"/>
      <c r="AC1156" s="313"/>
      <c r="AD1156" s="51" t="str">
        <f>IF(F1156="","",+F1156&amp;K1156)</f>
        <v>3UYKNZMCRALCB25</v>
      </c>
      <c r="AE1156" s="52">
        <f>+M1156*N1156*O1156/1000</f>
        <v>26862</v>
      </c>
      <c r="AF1156" s="41"/>
      <c r="AG1156" s="45"/>
      <c r="AH1156" s="28"/>
      <c r="AI1156" s="28"/>
      <c r="AJ1156" s="28"/>
      <c r="AK1156" s="28"/>
      <c r="AL1156" s="12"/>
      <c r="AM1156" s="12"/>
      <c r="AN1156" s="12"/>
      <c r="AO1156" s="12"/>
      <c r="AP1156" s="12"/>
      <c r="AQ1156" s="13"/>
      <c r="AR1156" s="14"/>
    </row>
    <row r="1157" spans="1:44" s="16" customFormat="1" ht="30.95" hidden="1" customHeight="1" x14ac:dyDescent="0.2">
      <c r="A1157" s="303"/>
      <c r="B1157" s="304"/>
      <c r="C1157" s="305"/>
      <c r="D1157" s="306"/>
      <c r="E1157" s="306"/>
      <c r="F1157" s="255"/>
      <c r="G1157" s="256"/>
      <c r="H1157" s="256"/>
      <c r="I1157" s="200"/>
      <c r="J1157" s="307"/>
      <c r="K1157" s="200"/>
      <c r="L1157" s="200"/>
      <c r="M1157" s="308"/>
      <c r="N1157" s="308"/>
      <c r="O1157" s="309"/>
      <c r="P1157" s="310"/>
      <c r="Q1157" s="260"/>
      <c r="R1157" s="261"/>
      <c r="S1157" s="261"/>
      <c r="T1157" s="311"/>
      <c r="U1157" s="261"/>
      <c r="V1157" s="256"/>
      <c r="W1157" s="256"/>
      <c r="X1157" s="256"/>
      <c r="Y1157" s="256"/>
      <c r="Z1157" s="310"/>
      <c r="AA1157" s="200"/>
      <c r="AB1157" s="312"/>
      <c r="AC1157" s="313"/>
      <c r="AD1157" s="51"/>
      <c r="AE1157" s="314"/>
      <c r="AF1157" s="315"/>
      <c r="AG1157" s="309"/>
      <c r="AH1157" s="28"/>
      <c r="AI1157" s="28"/>
      <c r="AJ1157" s="28"/>
      <c r="AK1157" s="28"/>
      <c r="AL1157" s="12"/>
      <c r="AM1157" s="12"/>
      <c r="AN1157" s="12"/>
      <c r="AO1157" s="12"/>
      <c r="AP1157" s="12"/>
      <c r="AQ1157" s="13"/>
      <c r="AR1157" s="14"/>
    </row>
    <row r="1158" spans="1:44" s="16" customFormat="1" ht="30.95" hidden="1" customHeight="1" x14ac:dyDescent="0.2">
      <c r="A1158" s="303" t="s">
        <v>762</v>
      </c>
      <c r="B1158" s="304" t="s">
        <v>443</v>
      </c>
      <c r="C1158" s="305"/>
      <c r="D1158" s="29">
        <v>3737317</v>
      </c>
      <c r="E1158" s="29">
        <v>4151570</v>
      </c>
      <c r="F1158" s="255" t="str">
        <f>IF(D1158="","",VLOOKUP(D1158,契約台帳!$A$3:$K$4986,6,FALSE)&amp;VLOOKUP(D1158,契約台帳!$A$3:$K$4986,7,FALSE)&amp;VLOOKUP(D1158,契約台帳!$A$3:$K$4986,8,FALSE)&amp;VLOOKUP(D1158,契約台帳!$A$3:$K$4986,9,FALSE)&amp;VLOOKUP(D1158,契約台帳!$A$3:$K$4986,11,FALSE))</f>
        <v>3UYKNZMCRALCB</v>
      </c>
      <c r="G1158" s="256" t="str">
        <f>IF(D1158="","",VLOOKUP(F1158,製品マスタ!$G$5:$H$4999,2,FALSE))</f>
        <v>U</v>
      </c>
      <c r="H1158" s="256" t="str">
        <f>IF(D1158="","",VLOOKUP(F1158,製品マスタ!$G$5:$K$4999,5,FALSE))</f>
        <v>MCRALCB</v>
      </c>
      <c r="I1158" s="200" t="str">
        <f>IF(D1158="","",VLOOKUP(F1158,製品マスタ!$G$5:$L$4999,6,FALSE))</f>
        <v>Metalumy CR aluminum surface coat B</v>
      </c>
      <c r="J1158" s="30" t="s">
        <v>447</v>
      </c>
      <c r="K1158" s="200">
        <f>IF(D1158="","",VLOOKUP(D1158,契約台帳!$A$3:$L$4986,12,FALSE))</f>
        <v>25</v>
      </c>
      <c r="L1158" s="200" t="str">
        <f>IF(D1158="","",INDEX(製品マスタ!$Q$5:$Q$4999,MATCH(F1158&amp;K1158,製品マスタ!$AO$5:$AO$4999,0)))</f>
        <v>S28M</v>
      </c>
      <c r="M1158" s="37">
        <v>1110</v>
      </c>
      <c r="N1158" s="37">
        <v>12100</v>
      </c>
      <c r="O1158" s="45">
        <v>1</v>
      </c>
      <c r="P1158" s="54"/>
      <c r="Q1158" s="260">
        <f>IF(D1158="","",IF(J1158="リード付け",M1158,VLOOKUP(D1158,契約台帳!$A$3:$N$4986,14,FALSE)))</f>
        <v>1050</v>
      </c>
      <c r="R1158" s="261">
        <f>IF(D1158="","",IF(J1158="リード付け",M1158,VLOOKUP(D1158,契約台帳!$A$3:$O$4986,15,FALSE)))</f>
        <v>1050</v>
      </c>
      <c r="S1158" s="261">
        <f>IF(D1158="","",IF(J1158="リード付け",N1158,VLOOKUP(D1158,契約台帳!$A$3:$P$4986,16,FALSE)))</f>
        <v>6000</v>
      </c>
      <c r="T1158" s="38">
        <v>2</v>
      </c>
      <c r="U1158" s="261">
        <f ca="1">IF(D1158="","",IF(OFFSET(D1158,-2,0)=D1158,"",VLOOKUP(D1158,契約台帳!$A$3:$R$4986,18,FALSE)))</f>
        <v>2</v>
      </c>
      <c r="V1158" s="256" t="str">
        <f>IF(J1158="巻返し",VLOOKUP(F1158&amp;K1158&amp;M1158,製品マスタ!$M$5:$AD$4999,18,FALSE),IF(J1158="リード付け","原反コア",IF(J1158="スリット",VLOOKUP(F1158&amp;K1158&amp;Q1158,製品マスタ!$N$5:$AD$4999,17,FALSE),"")))</f>
        <v>6ｲﾝﾁABS</v>
      </c>
      <c r="W1158" s="256">
        <f>IF(J1158="巻返し",VLOOKUP(F1158&amp;K1158&amp;M1158,製品マスタ!$M$5:$AE$4999,19,FALSE),IF(J1158="リード付け","-",IF(J1158="スリット",VLOOKUP(F1158&amp;K1158&amp;Q1158,製品マスタ!$N$5:$AE$4999,18,FALSE),"")))</f>
        <v>1250</v>
      </c>
      <c r="X1158" s="256">
        <f>IF(D1158="","",VLOOKUP(D1158,契約台帳!$A$3:$Q$4986,17,FALSE))</f>
        <v>1</v>
      </c>
      <c r="Y1158" s="256" t="s">
        <v>1365</v>
      </c>
      <c r="Z1158" s="310" t="s">
        <v>1016</v>
      </c>
      <c r="AA1158" s="200" t="s">
        <v>1470</v>
      </c>
      <c r="AB1158" s="312"/>
      <c r="AC1158" s="313"/>
      <c r="AD1158" s="51" t="str">
        <f>IF(F1158="","",+F1158&amp;K1158)</f>
        <v>3UYKNZMCRALCB25</v>
      </c>
      <c r="AE1158" s="52">
        <f>+M1158*N1158*O1158/1000</f>
        <v>13431</v>
      </c>
      <c r="AF1158" s="41"/>
      <c r="AG1158" s="45"/>
      <c r="AH1158" s="28"/>
      <c r="AI1158" s="28"/>
      <c r="AJ1158" s="28"/>
      <c r="AK1158" s="28"/>
      <c r="AL1158" s="12"/>
      <c r="AM1158" s="12"/>
      <c r="AN1158" s="12"/>
      <c r="AO1158" s="12"/>
      <c r="AP1158" s="12"/>
      <c r="AQ1158" s="13"/>
      <c r="AR1158" s="14"/>
    </row>
    <row r="1159" spans="1:44" s="16" customFormat="1" ht="30.95" hidden="1" customHeight="1" x14ac:dyDescent="0.2">
      <c r="A1159" s="303"/>
      <c r="B1159" s="304"/>
      <c r="C1159" s="305"/>
      <c r="D1159" s="306"/>
      <c r="E1159" s="306"/>
      <c r="F1159" s="255"/>
      <c r="G1159" s="256"/>
      <c r="H1159" s="256"/>
      <c r="I1159" s="200"/>
      <c r="J1159" s="307"/>
      <c r="K1159" s="200"/>
      <c r="L1159" s="200"/>
      <c r="M1159" s="308"/>
      <c r="N1159" s="308"/>
      <c r="O1159" s="309"/>
      <c r="P1159" s="310"/>
      <c r="Q1159" s="260"/>
      <c r="R1159" s="261"/>
      <c r="S1159" s="261"/>
      <c r="T1159" s="311"/>
      <c r="U1159" s="261"/>
      <c r="V1159" s="256"/>
      <c r="W1159" s="256"/>
      <c r="X1159" s="256"/>
      <c r="Y1159" s="256"/>
      <c r="Z1159" s="310"/>
      <c r="AA1159" s="200"/>
      <c r="AB1159" s="312"/>
      <c r="AC1159" s="313"/>
      <c r="AD1159" s="51"/>
      <c r="AE1159" s="314"/>
      <c r="AF1159" s="315"/>
      <c r="AG1159" s="309"/>
      <c r="AH1159" s="28"/>
      <c r="AI1159" s="28"/>
      <c r="AJ1159" s="28"/>
      <c r="AK1159" s="28"/>
      <c r="AL1159" s="12"/>
      <c r="AM1159" s="12"/>
      <c r="AN1159" s="12"/>
      <c r="AO1159" s="12"/>
      <c r="AP1159" s="12"/>
      <c r="AQ1159" s="13"/>
      <c r="AR1159" s="14"/>
    </row>
    <row r="1160" spans="1:44" s="16" customFormat="1" ht="30.95" hidden="1" customHeight="1" x14ac:dyDescent="0.2">
      <c r="A1160" s="303" t="s">
        <v>1921</v>
      </c>
      <c r="B1160" s="304" t="s">
        <v>1922</v>
      </c>
      <c r="C1160" s="305"/>
      <c r="D1160" s="29" t="s">
        <v>1276</v>
      </c>
      <c r="E1160" s="337" t="s">
        <v>1277</v>
      </c>
      <c r="F1160" s="255" t="s">
        <v>1889</v>
      </c>
      <c r="G1160" s="256" t="s">
        <v>269</v>
      </c>
      <c r="H1160" s="256" t="s">
        <v>1079</v>
      </c>
      <c r="I1160" s="200" t="s">
        <v>1890</v>
      </c>
      <c r="J1160" s="30" t="s">
        <v>447</v>
      </c>
      <c r="K1160" s="200">
        <v>25</v>
      </c>
      <c r="L1160" s="200" t="s">
        <v>1891</v>
      </c>
      <c r="M1160" s="37">
        <v>1110</v>
      </c>
      <c r="N1160" s="37">
        <v>12300</v>
      </c>
      <c r="O1160" s="45">
        <v>1</v>
      </c>
      <c r="P1160" s="54"/>
      <c r="Q1160" s="260">
        <v>1050</v>
      </c>
      <c r="R1160" s="261">
        <v>1050</v>
      </c>
      <c r="S1160" s="261">
        <v>6000</v>
      </c>
      <c r="T1160" s="38">
        <v>2</v>
      </c>
      <c r="U1160" s="261">
        <v>2</v>
      </c>
      <c r="V1160" s="256" t="s">
        <v>272</v>
      </c>
      <c r="W1160" s="256">
        <v>1250</v>
      </c>
      <c r="X1160" s="256">
        <v>1</v>
      </c>
      <c r="Y1160" s="256" t="s">
        <v>1365</v>
      </c>
      <c r="Z1160" s="310" t="s">
        <v>1016</v>
      </c>
      <c r="AA1160" s="200" t="s">
        <v>1470</v>
      </c>
      <c r="AB1160" s="312"/>
      <c r="AC1160" s="313"/>
      <c r="AD1160" s="51"/>
      <c r="AE1160" s="52">
        <v>13431</v>
      </c>
      <c r="AF1160" s="41"/>
      <c r="AG1160" s="45"/>
      <c r="AH1160" s="28"/>
      <c r="AI1160" s="28"/>
      <c r="AJ1160" s="28"/>
      <c r="AK1160" s="28"/>
      <c r="AL1160" s="12"/>
      <c r="AM1160" s="12"/>
      <c r="AN1160" s="12"/>
      <c r="AO1160" s="12"/>
      <c r="AP1160" s="12"/>
      <c r="AQ1160" s="13"/>
      <c r="AR1160" s="14"/>
    </row>
    <row r="1161" spans="1:44" s="16" customFormat="1" ht="30.95" hidden="1" customHeight="1" x14ac:dyDescent="0.2">
      <c r="A1161" s="303"/>
      <c r="B1161" s="304"/>
      <c r="C1161" s="305"/>
      <c r="D1161" s="306"/>
      <c r="E1161" s="306"/>
      <c r="F1161" s="255"/>
      <c r="G1161" s="256"/>
      <c r="H1161" s="256"/>
      <c r="I1161" s="200"/>
      <c r="J1161" s="307"/>
      <c r="K1161" s="200"/>
      <c r="L1161" s="200"/>
      <c r="M1161" s="308"/>
      <c r="N1161" s="308"/>
      <c r="O1161" s="309"/>
      <c r="P1161" s="310"/>
      <c r="Q1161" s="260"/>
      <c r="R1161" s="261"/>
      <c r="S1161" s="261"/>
      <c r="T1161" s="311"/>
      <c r="U1161" s="261"/>
      <c r="V1161" s="256"/>
      <c r="W1161" s="256"/>
      <c r="X1161" s="256"/>
      <c r="Y1161" s="256"/>
      <c r="Z1161" s="310"/>
      <c r="AA1161" s="200"/>
      <c r="AB1161" s="312"/>
      <c r="AC1161" s="313"/>
      <c r="AD1161" s="51"/>
      <c r="AE1161" s="314"/>
      <c r="AF1161" s="315"/>
      <c r="AG1161" s="309"/>
      <c r="AH1161" s="28"/>
      <c r="AI1161" s="28"/>
      <c r="AJ1161" s="28"/>
      <c r="AK1161" s="28"/>
      <c r="AL1161" s="12"/>
      <c r="AM1161" s="12"/>
      <c r="AN1161" s="12"/>
      <c r="AO1161" s="12"/>
      <c r="AP1161" s="12"/>
      <c r="AQ1161" s="13"/>
      <c r="AR1161" s="14"/>
    </row>
    <row r="1162" spans="1:44" s="16" customFormat="1" ht="30.95" hidden="1" customHeight="1" x14ac:dyDescent="0.2">
      <c r="A1162" s="303" t="s">
        <v>1899</v>
      </c>
      <c r="B1162" s="304" t="s">
        <v>1397</v>
      </c>
      <c r="C1162" s="305"/>
      <c r="D1162" s="306"/>
      <c r="E1162" s="306"/>
      <c r="F1162" s="255"/>
      <c r="G1162" s="256"/>
      <c r="H1162" s="256"/>
      <c r="I1162" s="200"/>
      <c r="J1162" s="307" t="s">
        <v>1919</v>
      </c>
      <c r="K1162" s="200"/>
      <c r="L1162" s="200"/>
      <c r="M1162" s="308"/>
      <c r="N1162" s="308"/>
      <c r="O1162" s="309"/>
      <c r="P1162" s="310"/>
      <c r="Q1162" s="260"/>
      <c r="R1162" s="261"/>
      <c r="S1162" s="261"/>
      <c r="T1162" s="311"/>
      <c r="U1162" s="261"/>
      <c r="V1162" s="256"/>
      <c r="W1162" s="256"/>
      <c r="X1162" s="256"/>
      <c r="Y1162" s="256"/>
      <c r="Z1162" s="310"/>
      <c r="AA1162" s="200"/>
      <c r="AB1162" s="312"/>
      <c r="AC1162" s="313"/>
      <c r="AD1162" s="51"/>
      <c r="AE1162" s="314"/>
      <c r="AF1162" s="315"/>
      <c r="AG1162" s="309"/>
      <c r="AH1162" s="28"/>
      <c r="AI1162" s="28"/>
      <c r="AJ1162" s="28"/>
      <c r="AK1162" s="28"/>
      <c r="AL1162" s="12"/>
      <c r="AM1162" s="12"/>
      <c r="AN1162" s="12"/>
      <c r="AO1162" s="12"/>
      <c r="AP1162" s="12"/>
      <c r="AQ1162" s="13"/>
      <c r="AR1162" s="14"/>
    </row>
    <row r="1163" spans="1:44" s="16" customFormat="1" ht="30.95" hidden="1" customHeight="1" x14ac:dyDescent="0.2">
      <c r="A1163" s="303"/>
      <c r="B1163" s="304"/>
      <c r="C1163" s="305"/>
      <c r="D1163" s="306"/>
      <c r="E1163" s="306"/>
      <c r="F1163" s="255"/>
      <c r="G1163" s="256"/>
      <c r="H1163" s="256"/>
      <c r="I1163" s="200"/>
      <c r="J1163" s="307"/>
      <c r="K1163" s="200"/>
      <c r="L1163" s="200"/>
      <c r="M1163" s="308"/>
      <c r="N1163" s="308"/>
      <c r="O1163" s="309"/>
      <c r="P1163" s="310"/>
      <c r="Q1163" s="260"/>
      <c r="R1163" s="261"/>
      <c r="S1163" s="261"/>
      <c r="T1163" s="311"/>
      <c r="U1163" s="261"/>
      <c r="V1163" s="256"/>
      <c r="W1163" s="256"/>
      <c r="X1163" s="256"/>
      <c r="Y1163" s="256"/>
      <c r="Z1163" s="310"/>
      <c r="AA1163" s="200"/>
      <c r="AB1163" s="312"/>
      <c r="AC1163" s="313"/>
      <c r="AD1163" s="51"/>
      <c r="AE1163" s="314"/>
      <c r="AF1163" s="315"/>
      <c r="AG1163" s="309"/>
      <c r="AH1163" s="28"/>
      <c r="AI1163" s="28"/>
      <c r="AJ1163" s="28"/>
      <c r="AK1163" s="28"/>
      <c r="AL1163" s="12"/>
      <c r="AM1163" s="12"/>
      <c r="AN1163" s="12"/>
      <c r="AO1163" s="12"/>
      <c r="AP1163" s="12"/>
      <c r="AQ1163" s="13"/>
      <c r="AR1163" s="14"/>
    </row>
    <row r="1164" spans="1:44" s="16" customFormat="1" ht="30.95" hidden="1" customHeight="1" x14ac:dyDescent="0.2">
      <c r="A1164" s="303" t="s">
        <v>1900</v>
      </c>
      <c r="B1164" s="304" t="s">
        <v>392</v>
      </c>
      <c r="C1164" s="305"/>
      <c r="D1164" s="306"/>
      <c r="E1164" s="306"/>
      <c r="F1164" s="255"/>
      <c r="G1164" s="256"/>
      <c r="H1164" s="256"/>
      <c r="I1164" s="200"/>
      <c r="J1164" s="307" t="s">
        <v>448</v>
      </c>
      <c r="K1164" s="200"/>
      <c r="L1164" s="200"/>
      <c r="M1164" s="308"/>
      <c r="N1164" s="308"/>
      <c r="O1164" s="309"/>
      <c r="P1164" s="310"/>
      <c r="Q1164" s="260"/>
      <c r="R1164" s="261"/>
      <c r="S1164" s="261"/>
      <c r="T1164" s="311"/>
      <c r="U1164" s="261"/>
      <c r="V1164" s="256"/>
      <c r="W1164" s="256"/>
      <c r="X1164" s="256"/>
      <c r="Y1164" s="256"/>
      <c r="Z1164" s="310"/>
      <c r="AA1164" s="200"/>
      <c r="AB1164" s="312"/>
      <c r="AC1164" s="313"/>
      <c r="AD1164" s="51"/>
      <c r="AE1164" s="314"/>
      <c r="AF1164" s="315"/>
      <c r="AG1164" s="309"/>
      <c r="AH1164" s="28"/>
      <c r="AI1164" s="28"/>
      <c r="AJ1164" s="28"/>
      <c r="AK1164" s="28"/>
      <c r="AL1164" s="12"/>
      <c r="AM1164" s="12"/>
      <c r="AN1164" s="12"/>
      <c r="AO1164" s="12"/>
      <c r="AP1164" s="12"/>
      <c r="AQ1164" s="13"/>
      <c r="AR1164" s="14"/>
    </row>
    <row r="1165" spans="1:44" s="16" customFormat="1" ht="30.95" hidden="1" customHeight="1" x14ac:dyDescent="0.2">
      <c r="A1165" s="303"/>
      <c r="B1165" s="304"/>
      <c r="C1165" s="305"/>
      <c r="D1165" s="306"/>
      <c r="E1165" s="306"/>
      <c r="F1165" s="255"/>
      <c r="G1165" s="256"/>
      <c r="H1165" s="256"/>
      <c r="I1165" s="200"/>
      <c r="J1165" s="307"/>
      <c r="K1165" s="200"/>
      <c r="L1165" s="200"/>
      <c r="M1165" s="308"/>
      <c r="N1165" s="308"/>
      <c r="O1165" s="309"/>
      <c r="P1165" s="310"/>
      <c r="Q1165" s="260"/>
      <c r="R1165" s="261"/>
      <c r="S1165" s="261"/>
      <c r="T1165" s="311"/>
      <c r="U1165" s="261"/>
      <c r="V1165" s="256"/>
      <c r="W1165" s="256"/>
      <c r="X1165" s="256"/>
      <c r="Y1165" s="256"/>
      <c r="Z1165" s="310"/>
      <c r="AA1165" s="200"/>
      <c r="AB1165" s="312"/>
      <c r="AC1165" s="313"/>
      <c r="AD1165" s="51"/>
      <c r="AE1165" s="314"/>
      <c r="AF1165" s="315"/>
      <c r="AG1165" s="309"/>
      <c r="AH1165" s="28"/>
      <c r="AI1165" s="28"/>
      <c r="AJ1165" s="28"/>
      <c r="AK1165" s="28"/>
      <c r="AL1165" s="12"/>
      <c r="AM1165" s="12"/>
      <c r="AN1165" s="12"/>
      <c r="AO1165" s="12"/>
      <c r="AP1165" s="12"/>
      <c r="AQ1165" s="13"/>
      <c r="AR1165" s="14"/>
    </row>
    <row r="1166" spans="1:44" s="16" customFormat="1" ht="30.95" hidden="1" customHeight="1" x14ac:dyDescent="0.2">
      <c r="A1166" s="303" t="s">
        <v>1901</v>
      </c>
      <c r="B1166" s="304" t="s">
        <v>1402</v>
      </c>
      <c r="C1166" s="305"/>
      <c r="D1166" s="306"/>
      <c r="E1166" s="306"/>
      <c r="F1166" s="255"/>
      <c r="G1166" s="256"/>
      <c r="H1166" s="256"/>
      <c r="I1166" s="200"/>
      <c r="J1166" s="307" t="s">
        <v>1919</v>
      </c>
      <c r="K1166" s="200"/>
      <c r="L1166" s="200"/>
      <c r="M1166" s="308"/>
      <c r="N1166" s="308"/>
      <c r="O1166" s="309"/>
      <c r="P1166" s="310"/>
      <c r="Q1166" s="260"/>
      <c r="R1166" s="261"/>
      <c r="S1166" s="261"/>
      <c r="T1166" s="311"/>
      <c r="U1166" s="261"/>
      <c r="V1166" s="256"/>
      <c r="W1166" s="256"/>
      <c r="X1166" s="256"/>
      <c r="Y1166" s="256"/>
      <c r="Z1166" s="310"/>
      <c r="AA1166" s="200"/>
      <c r="AB1166" s="312"/>
      <c r="AC1166" s="313"/>
      <c r="AD1166" s="51"/>
      <c r="AE1166" s="314"/>
      <c r="AF1166" s="315"/>
      <c r="AG1166" s="309"/>
      <c r="AH1166" s="28"/>
      <c r="AI1166" s="28"/>
      <c r="AJ1166" s="28"/>
      <c r="AK1166" s="28"/>
      <c r="AL1166" s="12"/>
      <c r="AM1166" s="12"/>
      <c r="AN1166" s="12"/>
      <c r="AO1166" s="12"/>
      <c r="AP1166" s="12"/>
      <c r="AQ1166" s="13"/>
      <c r="AR1166" s="14"/>
    </row>
    <row r="1167" spans="1:44" s="16" customFormat="1" ht="30.95" hidden="1" customHeight="1" x14ac:dyDescent="0.2">
      <c r="A1167" s="303"/>
      <c r="B1167" s="304"/>
      <c r="C1167" s="305"/>
      <c r="D1167" s="306"/>
      <c r="E1167" s="306"/>
      <c r="F1167" s="255"/>
      <c r="G1167" s="256"/>
      <c r="H1167" s="256"/>
      <c r="I1167" s="200"/>
      <c r="J1167" s="307"/>
      <c r="K1167" s="200"/>
      <c r="L1167" s="200"/>
      <c r="M1167" s="308"/>
      <c r="N1167" s="308"/>
      <c r="O1167" s="309"/>
      <c r="P1167" s="310"/>
      <c r="Q1167" s="260"/>
      <c r="R1167" s="261"/>
      <c r="S1167" s="261"/>
      <c r="T1167" s="311"/>
      <c r="U1167" s="261"/>
      <c r="V1167" s="256"/>
      <c r="W1167" s="256"/>
      <c r="X1167" s="256"/>
      <c r="Y1167" s="256"/>
      <c r="Z1167" s="310"/>
      <c r="AA1167" s="200"/>
      <c r="AB1167" s="312"/>
      <c r="AC1167" s="313"/>
      <c r="AD1167" s="51"/>
      <c r="AE1167" s="314"/>
      <c r="AF1167" s="315"/>
      <c r="AG1167" s="309"/>
      <c r="AH1167" s="28"/>
      <c r="AI1167" s="28"/>
      <c r="AJ1167" s="28"/>
      <c r="AK1167" s="28"/>
      <c r="AL1167" s="12"/>
      <c r="AM1167" s="12"/>
      <c r="AN1167" s="12"/>
      <c r="AO1167" s="12"/>
      <c r="AP1167" s="12"/>
      <c r="AQ1167" s="13"/>
      <c r="AR1167" s="14"/>
    </row>
    <row r="1168" spans="1:44" s="16" customFormat="1" ht="30.95" hidden="1" customHeight="1" x14ac:dyDescent="0.2">
      <c r="A1168" s="303" t="s">
        <v>1902</v>
      </c>
      <c r="B1168" s="304" t="s">
        <v>1405</v>
      </c>
      <c r="C1168" s="305"/>
      <c r="D1168" s="306"/>
      <c r="E1168" s="306"/>
      <c r="F1168" s="255"/>
      <c r="G1168" s="256"/>
      <c r="H1168" s="256"/>
      <c r="I1168" s="200"/>
      <c r="J1168" s="307" t="s">
        <v>1919</v>
      </c>
      <c r="K1168" s="200"/>
      <c r="L1168" s="200"/>
      <c r="M1168" s="308"/>
      <c r="N1168" s="308"/>
      <c r="O1168" s="309"/>
      <c r="P1168" s="310"/>
      <c r="Q1168" s="260"/>
      <c r="R1168" s="261"/>
      <c r="S1168" s="261"/>
      <c r="T1168" s="311"/>
      <c r="U1168" s="261"/>
      <c r="V1168" s="256"/>
      <c r="W1168" s="256"/>
      <c r="X1168" s="256"/>
      <c r="Y1168" s="256"/>
      <c r="Z1168" s="310"/>
      <c r="AA1168" s="200"/>
      <c r="AB1168" s="312"/>
      <c r="AC1168" s="313"/>
      <c r="AD1168" s="51"/>
      <c r="AE1168" s="314"/>
      <c r="AF1168" s="315"/>
      <c r="AG1168" s="309"/>
      <c r="AH1168" s="28"/>
      <c r="AI1168" s="28"/>
      <c r="AJ1168" s="28"/>
      <c r="AK1168" s="28"/>
      <c r="AL1168" s="12"/>
      <c r="AM1168" s="12"/>
      <c r="AN1168" s="12"/>
      <c r="AO1168" s="12"/>
      <c r="AP1168" s="12"/>
      <c r="AQ1168" s="13"/>
      <c r="AR1168" s="14"/>
    </row>
    <row r="1169" spans="1:44" s="16" customFormat="1" ht="30.95" hidden="1" customHeight="1" x14ac:dyDescent="0.2">
      <c r="A1169" s="303"/>
      <c r="B1169" s="304"/>
      <c r="C1169" s="305"/>
      <c r="D1169" s="306"/>
      <c r="E1169" s="306"/>
      <c r="F1169" s="255"/>
      <c r="G1169" s="256"/>
      <c r="H1169" s="256"/>
      <c r="I1169" s="200"/>
      <c r="J1169" s="307"/>
      <c r="K1169" s="200"/>
      <c r="L1169" s="200"/>
      <c r="M1169" s="308"/>
      <c r="N1169" s="308"/>
      <c r="O1169" s="309"/>
      <c r="P1169" s="310"/>
      <c r="Q1169" s="260"/>
      <c r="R1169" s="261"/>
      <c r="S1169" s="261"/>
      <c r="T1169" s="311"/>
      <c r="U1169" s="261"/>
      <c r="V1169" s="256"/>
      <c r="W1169" s="256"/>
      <c r="X1169" s="256"/>
      <c r="Y1169" s="256"/>
      <c r="Z1169" s="310"/>
      <c r="AA1169" s="200"/>
      <c r="AB1169" s="312"/>
      <c r="AC1169" s="313"/>
      <c r="AD1169" s="51"/>
      <c r="AE1169" s="314"/>
      <c r="AF1169" s="315"/>
      <c r="AG1169" s="309"/>
      <c r="AH1169" s="28"/>
      <c r="AI1169" s="28"/>
      <c r="AJ1169" s="28"/>
      <c r="AK1169" s="28"/>
      <c r="AL1169" s="12"/>
      <c r="AM1169" s="12"/>
      <c r="AN1169" s="12"/>
      <c r="AO1169" s="12"/>
      <c r="AP1169" s="12"/>
      <c r="AQ1169" s="13"/>
      <c r="AR1169" s="14"/>
    </row>
    <row r="1170" spans="1:44" s="16" customFormat="1" ht="30.95" hidden="1" customHeight="1" x14ac:dyDescent="0.2">
      <c r="A1170" s="303" t="s">
        <v>1903</v>
      </c>
      <c r="B1170" s="304" t="s">
        <v>1412</v>
      </c>
      <c r="C1170" s="305"/>
      <c r="D1170" s="306"/>
      <c r="E1170" s="306"/>
      <c r="F1170" s="255"/>
      <c r="G1170" s="256"/>
      <c r="H1170" s="256"/>
      <c r="I1170" s="200"/>
      <c r="J1170" s="307" t="s">
        <v>1919</v>
      </c>
      <c r="K1170" s="200"/>
      <c r="L1170" s="200"/>
      <c r="M1170" s="308"/>
      <c r="N1170" s="308"/>
      <c r="O1170" s="309"/>
      <c r="P1170" s="310"/>
      <c r="Q1170" s="260"/>
      <c r="R1170" s="261"/>
      <c r="S1170" s="261"/>
      <c r="T1170" s="311"/>
      <c r="U1170" s="261"/>
      <c r="V1170" s="256"/>
      <c r="W1170" s="256"/>
      <c r="X1170" s="256"/>
      <c r="Y1170" s="256"/>
      <c r="Z1170" s="310"/>
      <c r="AA1170" s="200"/>
      <c r="AB1170" s="312"/>
      <c r="AC1170" s="313"/>
      <c r="AD1170" s="51"/>
      <c r="AE1170" s="314"/>
      <c r="AF1170" s="315"/>
      <c r="AG1170" s="309"/>
      <c r="AH1170" s="28"/>
      <c r="AI1170" s="28"/>
      <c r="AJ1170" s="28"/>
      <c r="AK1170" s="28"/>
      <c r="AL1170" s="12"/>
      <c r="AM1170" s="12"/>
      <c r="AN1170" s="12"/>
      <c r="AO1170" s="12"/>
      <c r="AP1170" s="12"/>
      <c r="AQ1170" s="13"/>
      <c r="AR1170" s="14"/>
    </row>
    <row r="1171" spans="1:44" s="16" customFormat="1" ht="30.95" hidden="1" customHeight="1" x14ac:dyDescent="0.2">
      <c r="A1171" s="303"/>
      <c r="B1171" s="304"/>
      <c r="C1171" s="305"/>
      <c r="D1171" s="306"/>
      <c r="E1171" s="306"/>
      <c r="F1171" s="255"/>
      <c r="G1171" s="256"/>
      <c r="H1171" s="256"/>
      <c r="I1171" s="200"/>
      <c r="J1171" s="307"/>
      <c r="K1171" s="200"/>
      <c r="L1171" s="200"/>
      <c r="M1171" s="308"/>
      <c r="N1171" s="308"/>
      <c r="O1171" s="309"/>
      <c r="P1171" s="310"/>
      <c r="Q1171" s="260"/>
      <c r="R1171" s="261"/>
      <c r="S1171" s="261"/>
      <c r="T1171" s="311"/>
      <c r="U1171" s="261"/>
      <c r="V1171" s="256"/>
      <c r="W1171" s="256"/>
      <c r="X1171" s="256"/>
      <c r="Y1171" s="256"/>
      <c r="Z1171" s="310"/>
      <c r="AA1171" s="200"/>
      <c r="AB1171" s="312"/>
      <c r="AC1171" s="313"/>
      <c r="AD1171" s="51"/>
      <c r="AE1171" s="314"/>
      <c r="AF1171" s="315"/>
      <c r="AG1171" s="309"/>
      <c r="AH1171" s="28"/>
      <c r="AI1171" s="28"/>
      <c r="AJ1171" s="28"/>
      <c r="AK1171" s="28"/>
      <c r="AL1171" s="12"/>
      <c r="AM1171" s="12"/>
      <c r="AN1171" s="12"/>
      <c r="AO1171" s="12"/>
      <c r="AP1171" s="12"/>
      <c r="AQ1171" s="13"/>
      <c r="AR1171" s="14"/>
    </row>
    <row r="1172" spans="1:44" s="16" customFormat="1" ht="30.95" hidden="1" customHeight="1" x14ac:dyDescent="0.2">
      <c r="A1172" s="303" t="s">
        <v>1904</v>
      </c>
      <c r="B1172" s="304" t="s">
        <v>1408</v>
      </c>
      <c r="C1172" s="305"/>
      <c r="D1172" s="306"/>
      <c r="E1172" s="306"/>
      <c r="F1172" s="255"/>
      <c r="G1172" s="256"/>
      <c r="H1172" s="256"/>
      <c r="I1172" s="200"/>
      <c r="J1172" s="307" t="s">
        <v>1919</v>
      </c>
      <c r="K1172" s="200"/>
      <c r="L1172" s="200"/>
      <c r="M1172" s="308"/>
      <c r="N1172" s="308"/>
      <c r="O1172" s="309"/>
      <c r="P1172" s="310"/>
      <c r="Q1172" s="260"/>
      <c r="R1172" s="261"/>
      <c r="S1172" s="261"/>
      <c r="T1172" s="311"/>
      <c r="U1172" s="261"/>
      <c r="V1172" s="256"/>
      <c r="W1172" s="256"/>
      <c r="X1172" s="256"/>
      <c r="Y1172" s="256"/>
      <c r="Z1172" s="310"/>
      <c r="AA1172" s="200"/>
      <c r="AB1172" s="312"/>
      <c r="AC1172" s="313"/>
      <c r="AD1172" s="51"/>
      <c r="AE1172" s="314"/>
      <c r="AF1172" s="315"/>
      <c r="AG1172" s="309"/>
      <c r="AH1172" s="28"/>
      <c r="AI1172" s="28"/>
      <c r="AJ1172" s="28"/>
      <c r="AK1172" s="28"/>
      <c r="AL1172" s="12"/>
      <c r="AM1172" s="12"/>
      <c r="AN1172" s="12"/>
      <c r="AO1172" s="12"/>
      <c r="AP1172" s="12"/>
      <c r="AQ1172" s="13"/>
      <c r="AR1172" s="14"/>
    </row>
    <row r="1173" spans="1:44" s="16" customFormat="1" ht="30.95" hidden="1" customHeight="1" x14ac:dyDescent="0.2">
      <c r="A1173" s="303"/>
      <c r="B1173" s="304"/>
      <c r="C1173" s="305"/>
      <c r="D1173" s="306"/>
      <c r="E1173" s="306"/>
      <c r="F1173" s="255"/>
      <c r="G1173" s="256"/>
      <c r="H1173" s="256"/>
      <c r="I1173" s="200"/>
      <c r="J1173" s="307"/>
      <c r="K1173" s="200"/>
      <c r="L1173" s="200"/>
      <c r="M1173" s="308"/>
      <c r="N1173" s="308"/>
      <c r="O1173" s="309"/>
      <c r="P1173" s="310"/>
      <c r="Q1173" s="260"/>
      <c r="R1173" s="261"/>
      <c r="S1173" s="261"/>
      <c r="T1173" s="311"/>
      <c r="U1173" s="261"/>
      <c r="V1173" s="256"/>
      <c r="W1173" s="256"/>
      <c r="X1173" s="256"/>
      <c r="Y1173" s="256"/>
      <c r="Z1173" s="310"/>
      <c r="AA1173" s="200"/>
      <c r="AB1173" s="312"/>
      <c r="AC1173" s="313"/>
      <c r="AD1173" s="51"/>
      <c r="AE1173" s="314"/>
      <c r="AF1173" s="315"/>
      <c r="AG1173" s="309"/>
      <c r="AH1173" s="28"/>
      <c r="AI1173" s="28"/>
      <c r="AJ1173" s="28"/>
      <c r="AK1173" s="28"/>
      <c r="AL1173" s="12"/>
      <c r="AM1173" s="12"/>
      <c r="AN1173" s="12"/>
      <c r="AO1173" s="12"/>
      <c r="AP1173" s="12"/>
      <c r="AQ1173" s="13"/>
      <c r="AR1173" s="14"/>
    </row>
    <row r="1174" spans="1:44" s="16" customFormat="1" ht="30.6" hidden="1" customHeight="1" x14ac:dyDescent="0.2">
      <c r="A1174" s="303" t="s">
        <v>1905</v>
      </c>
      <c r="B1174" s="304" t="s">
        <v>1409</v>
      </c>
      <c r="C1174" s="305"/>
      <c r="D1174" s="306"/>
      <c r="E1174" s="306"/>
      <c r="F1174" s="255"/>
      <c r="G1174" s="256"/>
      <c r="H1174" s="256"/>
      <c r="I1174" s="200"/>
      <c r="J1174" s="307" t="s">
        <v>1919</v>
      </c>
      <c r="K1174" s="200"/>
      <c r="L1174" s="200"/>
      <c r="M1174" s="308"/>
      <c r="N1174" s="308"/>
      <c r="O1174" s="309"/>
      <c r="P1174" s="310"/>
      <c r="Q1174" s="260"/>
      <c r="R1174" s="261"/>
      <c r="S1174" s="261"/>
      <c r="T1174" s="311"/>
      <c r="U1174" s="261"/>
      <c r="V1174" s="256"/>
      <c r="W1174" s="256"/>
      <c r="X1174" s="256"/>
      <c r="Y1174" s="256"/>
      <c r="Z1174" s="310"/>
      <c r="AA1174" s="200"/>
      <c r="AB1174" s="312"/>
      <c r="AC1174" s="313"/>
      <c r="AD1174" s="51"/>
      <c r="AE1174" s="314"/>
      <c r="AF1174" s="315"/>
      <c r="AG1174" s="309"/>
      <c r="AH1174" s="28"/>
      <c r="AI1174" s="28"/>
      <c r="AJ1174" s="28"/>
      <c r="AK1174" s="28"/>
      <c r="AL1174" s="12"/>
      <c r="AM1174" s="12"/>
      <c r="AN1174" s="12"/>
      <c r="AO1174" s="12"/>
      <c r="AP1174" s="12"/>
      <c r="AQ1174" s="13"/>
      <c r="AR1174" s="14"/>
    </row>
    <row r="1175" spans="1:44" s="16" customFormat="1" ht="30.6" hidden="1" customHeight="1" x14ac:dyDescent="0.2">
      <c r="A1175" s="303"/>
      <c r="B1175" s="304"/>
      <c r="C1175" s="305"/>
      <c r="D1175" s="306"/>
      <c r="E1175" s="306"/>
      <c r="F1175" s="255"/>
      <c r="G1175" s="256"/>
      <c r="H1175" s="256"/>
      <c r="I1175" s="200"/>
      <c r="J1175" s="307"/>
      <c r="K1175" s="200"/>
      <c r="L1175" s="200"/>
      <c r="M1175" s="308"/>
      <c r="N1175" s="308"/>
      <c r="O1175" s="309"/>
      <c r="P1175" s="310"/>
      <c r="Q1175" s="260"/>
      <c r="R1175" s="261"/>
      <c r="S1175" s="261"/>
      <c r="T1175" s="311"/>
      <c r="U1175" s="261"/>
      <c r="V1175" s="256"/>
      <c r="W1175" s="256"/>
      <c r="X1175" s="256"/>
      <c r="Y1175" s="256"/>
      <c r="Z1175" s="310"/>
      <c r="AA1175" s="200"/>
      <c r="AB1175" s="312"/>
      <c r="AC1175" s="313"/>
      <c r="AD1175" s="51"/>
      <c r="AE1175" s="314"/>
      <c r="AF1175" s="315"/>
      <c r="AG1175" s="309"/>
      <c r="AH1175" s="28"/>
      <c r="AI1175" s="28"/>
      <c r="AJ1175" s="28"/>
      <c r="AK1175" s="28"/>
      <c r="AL1175" s="12"/>
      <c r="AM1175" s="12"/>
      <c r="AN1175" s="12"/>
      <c r="AO1175" s="12"/>
      <c r="AP1175" s="12"/>
      <c r="AQ1175" s="13"/>
      <c r="AR1175" s="14"/>
    </row>
    <row r="1176" spans="1:44" s="16" customFormat="1" ht="30.95" hidden="1" customHeight="1" x14ac:dyDescent="0.2">
      <c r="A1176" s="303" t="s">
        <v>1906</v>
      </c>
      <c r="B1176" s="304" t="s">
        <v>1397</v>
      </c>
      <c r="C1176" s="305"/>
      <c r="D1176" s="306"/>
      <c r="E1176" s="306"/>
      <c r="F1176" s="255"/>
      <c r="G1176" s="256"/>
      <c r="H1176" s="256"/>
      <c r="I1176" s="200"/>
      <c r="J1176" s="307" t="s">
        <v>448</v>
      </c>
      <c r="K1176" s="200"/>
      <c r="L1176" s="200"/>
      <c r="M1176" s="308"/>
      <c r="N1176" s="308"/>
      <c r="O1176" s="309"/>
      <c r="P1176" s="310"/>
      <c r="Q1176" s="260"/>
      <c r="R1176" s="261"/>
      <c r="S1176" s="261"/>
      <c r="T1176" s="311"/>
      <c r="U1176" s="261"/>
      <c r="V1176" s="256"/>
      <c r="W1176" s="256"/>
      <c r="X1176" s="256"/>
      <c r="Y1176" s="256"/>
      <c r="Z1176" s="310"/>
      <c r="AA1176" s="200"/>
      <c r="AB1176" s="312"/>
      <c r="AC1176" s="313"/>
      <c r="AD1176" s="51"/>
      <c r="AE1176" s="314"/>
      <c r="AF1176" s="315"/>
      <c r="AG1176" s="309"/>
      <c r="AH1176" s="28"/>
      <c r="AI1176" s="28"/>
      <c r="AJ1176" s="28"/>
      <c r="AK1176" s="28"/>
      <c r="AL1176" s="12"/>
      <c r="AM1176" s="12"/>
      <c r="AN1176" s="12"/>
      <c r="AO1176" s="12"/>
      <c r="AP1176" s="12"/>
      <c r="AQ1176" s="13"/>
      <c r="AR1176" s="14"/>
    </row>
    <row r="1177" spans="1:44" s="16" customFormat="1" ht="30.95" hidden="1" customHeight="1" x14ac:dyDescent="0.2">
      <c r="A1177" s="303"/>
      <c r="B1177" s="304"/>
      <c r="C1177" s="305"/>
      <c r="D1177" s="306"/>
      <c r="E1177" s="306"/>
      <c r="F1177" s="255"/>
      <c r="G1177" s="256"/>
      <c r="H1177" s="256"/>
      <c r="I1177" s="200"/>
      <c r="J1177" s="307"/>
      <c r="K1177" s="200"/>
      <c r="L1177" s="200"/>
      <c r="M1177" s="308"/>
      <c r="N1177" s="308"/>
      <c r="O1177" s="309"/>
      <c r="P1177" s="310"/>
      <c r="Q1177" s="260"/>
      <c r="R1177" s="261"/>
      <c r="S1177" s="261"/>
      <c r="T1177" s="311"/>
      <c r="U1177" s="261"/>
      <c r="V1177" s="256"/>
      <c r="W1177" s="256"/>
      <c r="X1177" s="256"/>
      <c r="Y1177" s="256"/>
      <c r="Z1177" s="310"/>
      <c r="AA1177" s="200"/>
      <c r="AB1177" s="312"/>
      <c r="AC1177" s="313"/>
      <c r="AD1177" s="51"/>
      <c r="AE1177" s="314"/>
      <c r="AF1177" s="315"/>
      <c r="AG1177" s="309"/>
      <c r="AH1177" s="28"/>
      <c r="AI1177" s="28"/>
      <c r="AJ1177" s="28"/>
      <c r="AK1177" s="28"/>
      <c r="AL1177" s="12"/>
      <c r="AM1177" s="12"/>
      <c r="AN1177" s="12"/>
      <c r="AO1177" s="12"/>
      <c r="AP1177" s="12"/>
      <c r="AQ1177" s="13"/>
      <c r="AR1177" s="14"/>
    </row>
    <row r="1178" spans="1:44" s="16" customFormat="1" ht="30.95" hidden="1" customHeight="1" x14ac:dyDescent="0.2">
      <c r="A1178" s="303" t="s">
        <v>1907</v>
      </c>
      <c r="B1178" s="304" t="s">
        <v>392</v>
      </c>
      <c r="C1178" s="305"/>
      <c r="D1178" s="306"/>
      <c r="E1178" s="306"/>
      <c r="F1178" s="255"/>
      <c r="G1178" s="256"/>
      <c r="H1178" s="256"/>
      <c r="I1178" s="200"/>
      <c r="J1178" s="307" t="s">
        <v>448</v>
      </c>
      <c r="K1178" s="200"/>
      <c r="L1178" s="200"/>
      <c r="M1178" s="308"/>
      <c r="N1178" s="308"/>
      <c r="O1178" s="309"/>
      <c r="P1178" s="310"/>
      <c r="Q1178" s="260"/>
      <c r="R1178" s="261"/>
      <c r="S1178" s="261"/>
      <c r="T1178" s="311"/>
      <c r="U1178" s="261"/>
      <c r="V1178" s="256"/>
      <c r="W1178" s="256"/>
      <c r="X1178" s="256"/>
      <c r="Y1178" s="256"/>
      <c r="Z1178" s="310"/>
      <c r="AA1178" s="200"/>
      <c r="AB1178" s="312"/>
      <c r="AC1178" s="313"/>
      <c r="AD1178" s="51"/>
      <c r="AE1178" s="314"/>
      <c r="AF1178" s="315"/>
      <c r="AG1178" s="309"/>
      <c r="AH1178" s="28"/>
      <c r="AI1178" s="28"/>
      <c r="AJ1178" s="28"/>
      <c r="AK1178" s="28"/>
      <c r="AL1178" s="12"/>
      <c r="AM1178" s="12"/>
      <c r="AN1178" s="12"/>
      <c r="AO1178" s="12"/>
      <c r="AP1178" s="12"/>
      <c r="AQ1178" s="13"/>
      <c r="AR1178" s="14"/>
    </row>
    <row r="1179" spans="1:44" s="16" customFormat="1" ht="30.95" hidden="1" customHeight="1" x14ac:dyDescent="0.2">
      <c r="A1179" s="303"/>
      <c r="B1179" s="304"/>
      <c r="C1179" s="305"/>
      <c r="D1179" s="306"/>
      <c r="E1179" s="306"/>
      <c r="F1179" s="255"/>
      <c r="G1179" s="256"/>
      <c r="H1179" s="256"/>
      <c r="I1179" s="200"/>
      <c r="J1179" s="307"/>
      <c r="K1179" s="200"/>
      <c r="L1179" s="200"/>
      <c r="M1179" s="308"/>
      <c r="N1179" s="308"/>
      <c r="O1179" s="309"/>
      <c r="P1179" s="310"/>
      <c r="Q1179" s="260"/>
      <c r="R1179" s="261"/>
      <c r="S1179" s="261"/>
      <c r="T1179" s="311"/>
      <c r="U1179" s="261"/>
      <c r="V1179" s="256"/>
      <c r="W1179" s="256"/>
      <c r="X1179" s="256"/>
      <c r="Y1179" s="256"/>
      <c r="Z1179" s="310"/>
      <c r="AA1179" s="200"/>
      <c r="AB1179" s="312"/>
      <c r="AC1179" s="313"/>
      <c r="AD1179" s="51"/>
      <c r="AE1179" s="314"/>
      <c r="AF1179" s="315"/>
      <c r="AG1179" s="309"/>
      <c r="AH1179" s="28"/>
      <c r="AI1179" s="28"/>
      <c r="AJ1179" s="28"/>
      <c r="AK1179" s="28"/>
      <c r="AL1179" s="12"/>
      <c r="AM1179" s="12"/>
      <c r="AN1179" s="12"/>
      <c r="AO1179" s="12"/>
      <c r="AP1179" s="12"/>
      <c r="AQ1179" s="13"/>
      <c r="AR1179" s="14"/>
    </row>
    <row r="1180" spans="1:44" s="16" customFormat="1" ht="30.95" hidden="1" customHeight="1" x14ac:dyDescent="0.2">
      <c r="A1180" s="303" t="s">
        <v>1908</v>
      </c>
      <c r="B1180" s="304" t="s">
        <v>1402</v>
      </c>
      <c r="C1180" s="305"/>
      <c r="D1180" s="306"/>
      <c r="E1180" s="306"/>
      <c r="F1180" s="255"/>
      <c r="G1180" s="256"/>
      <c r="H1180" s="256"/>
      <c r="I1180" s="200"/>
      <c r="J1180" s="307" t="s">
        <v>1919</v>
      </c>
      <c r="K1180" s="200"/>
      <c r="L1180" s="200"/>
      <c r="M1180" s="308"/>
      <c r="N1180" s="308"/>
      <c r="O1180" s="309"/>
      <c r="P1180" s="310"/>
      <c r="Q1180" s="260"/>
      <c r="R1180" s="261"/>
      <c r="S1180" s="261"/>
      <c r="T1180" s="311"/>
      <c r="U1180" s="261"/>
      <c r="V1180" s="256"/>
      <c r="W1180" s="256"/>
      <c r="X1180" s="256"/>
      <c r="Y1180" s="256"/>
      <c r="Z1180" s="310"/>
      <c r="AA1180" s="200"/>
      <c r="AB1180" s="312"/>
      <c r="AC1180" s="313"/>
      <c r="AD1180" s="51"/>
      <c r="AE1180" s="314"/>
      <c r="AF1180" s="315"/>
      <c r="AG1180" s="309"/>
      <c r="AH1180" s="28"/>
      <c r="AI1180" s="28"/>
      <c r="AJ1180" s="28"/>
      <c r="AK1180" s="28"/>
      <c r="AL1180" s="12"/>
      <c r="AM1180" s="12"/>
      <c r="AN1180" s="12"/>
      <c r="AO1180" s="12"/>
      <c r="AP1180" s="12"/>
      <c r="AQ1180" s="13"/>
      <c r="AR1180" s="14"/>
    </row>
    <row r="1181" spans="1:44" s="16" customFormat="1" ht="30.95" hidden="1" customHeight="1" x14ac:dyDescent="0.2">
      <c r="A1181" s="303"/>
      <c r="B1181" s="304"/>
      <c r="C1181" s="305"/>
      <c r="D1181" s="306"/>
      <c r="E1181" s="306"/>
      <c r="F1181" s="255"/>
      <c r="G1181" s="256"/>
      <c r="H1181" s="256"/>
      <c r="I1181" s="200"/>
      <c r="J1181" s="307"/>
      <c r="K1181" s="200"/>
      <c r="L1181" s="200"/>
      <c r="M1181" s="308"/>
      <c r="N1181" s="308"/>
      <c r="O1181" s="309"/>
      <c r="P1181" s="310"/>
      <c r="Q1181" s="260"/>
      <c r="R1181" s="261"/>
      <c r="S1181" s="261"/>
      <c r="T1181" s="311"/>
      <c r="U1181" s="261"/>
      <c r="V1181" s="256"/>
      <c r="W1181" s="256"/>
      <c r="X1181" s="256"/>
      <c r="Y1181" s="256"/>
      <c r="Z1181" s="310"/>
      <c r="AA1181" s="200"/>
      <c r="AB1181" s="312"/>
      <c r="AC1181" s="313"/>
      <c r="AD1181" s="51"/>
      <c r="AE1181" s="314"/>
      <c r="AF1181" s="315"/>
      <c r="AG1181" s="309"/>
      <c r="AH1181" s="28"/>
      <c r="AI1181" s="28"/>
      <c r="AJ1181" s="28"/>
      <c r="AK1181" s="28"/>
      <c r="AL1181" s="12"/>
      <c r="AM1181" s="12"/>
      <c r="AN1181" s="12"/>
      <c r="AO1181" s="12"/>
      <c r="AP1181" s="12"/>
      <c r="AQ1181" s="13"/>
      <c r="AR1181" s="14"/>
    </row>
    <row r="1182" spans="1:44" s="16" customFormat="1" ht="30.95" hidden="1" customHeight="1" x14ac:dyDescent="0.2">
      <c r="A1182" s="303" t="s">
        <v>1909</v>
      </c>
      <c r="B1182" s="304" t="s">
        <v>1405</v>
      </c>
      <c r="C1182" s="305"/>
      <c r="D1182" s="306"/>
      <c r="E1182" s="306"/>
      <c r="F1182" s="255"/>
      <c r="G1182" s="256"/>
      <c r="H1182" s="256"/>
      <c r="I1182" s="200"/>
      <c r="J1182" s="307" t="s">
        <v>1919</v>
      </c>
      <c r="K1182" s="200"/>
      <c r="L1182" s="200"/>
      <c r="M1182" s="308"/>
      <c r="N1182" s="308"/>
      <c r="O1182" s="309"/>
      <c r="P1182" s="310"/>
      <c r="Q1182" s="260"/>
      <c r="R1182" s="261"/>
      <c r="S1182" s="261"/>
      <c r="T1182" s="311"/>
      <c r="U1182" s="261"/>
      <c r="V1182" s="256"/>
      <c r="W1182" s="256"/>
      <c r="X1182" s="256"/>
      <c r="Y1182" s="256"/>
      <c r="Z1182" s="310"/>
      <c r="AA1182" s="200"/>
      <c r="AB1182" s="312"/>
      <c r="AC1182" s="313"/>
      <c r="AD1182" s="51"/>
      <c r="AE1182" s="314"/>
      <c r="AF1182" s="315"/>
      <c r="AG1182" s="309"/>
      <c r="AH1182" s="28"/>
      <c r="AI1182" s="28"/>
      <c r="AJ1182" s="28"/>
      <c r="AK1182" s="28"/>
      <c r="AL1182" s="12"/>
      <c r="AM1182" s="12"/>
      <c r="AN1182" s="12"/>
      <c r="AO1182" s="12"/>
      <c r="AP1182" s="12"/>
      <c r="AQ1182" s="13"/>
      <c r="AR1182" s="14"/>
    </row>
    <row r="1183" spans="1:44" s="16" customFormat="1" ht="30.95" hidden="1" customHeight="1" x14ac:dyDescent="0.2">
      <c r="A1183" s="303"/>
      <c r="B1183" s="304"/>
      <c r="C1183" s="305"/>
      <c r="D1183" s="306"/>
      <c r="E1183" s="306"/>
      <c r="F1183" s="255"/>
      <c r="G1183" s="256"/>
      <c r="H1183" s="256"/>
      <c r="I1183" s="200"/>
      <c r="J1183" s="307"/>
      <c r="K1183" s="200"/>
      <c r="L1183" s="200"/>
      <c r="M1183" s="308"/>
      <c r="N1183" s="308"/>
      <c r="O1183" s="309"/>
      <c r="P1183" s="310"/>
      <c r="Q1183" s="260"/>
      <c r="R1183" s="261"/>
      <c r="S1183" s="261"/>
      <c r="T1183" s="311"/>
      <c r="U1183" s="261"/>
      <c r="V1183" s="256"/>
      <c r="W1183" s="256"/>
      <c r="X1183" s="256"/>
      <c r="Y1183" s="256"/>
      <c r="Z1183" s="310"/>
      <c r="AA1183" s="200"/>
      <c r="AB1183" s="312"/>
      <c r="AC1183" s="313"/>
      <c r="AD1183" s="51"/>
      <c r="AE1183" s="314"/>
      <c r="AF1183" s="315"/>
      <c r="AG1183" s="309"/>
      <c r="AH1183" s="28"/>
      <c r="AI1183" s="28"/>
      <c r="AJ1183" s="28"/>
      <c r="AK1183" s="28"/>
      <c r="AL1183" s="12"/>
      <c r="AM1183" s="12"/>
      <c r="AN1183" s="12"/>
      <c r="AO1183" s="12"/>
      <c r="AP1183" s="12"/>
      <c r="AQ1183" s="13"/>
      <c r="AR1183" s="14"/>
    </row>
    <row r="1184" spans="1:44" s="16" customFormat="1" ht="30.95" hidden="1" customHeight="1" x14ac:dyDescent="0.2">
      <c r="A1184" s="303" t="s">
        <v>1910</v>
      </c>
      <c r="B1184" s="304" t="s">
        <v>1412</v>
      </c>
      <c r="C1184" s="305"/>
      <c r="D1184" s="306"/>
      <c r="E1184" s="306"/>
      <c r="F1184" s="255"/>
      <c r="G1184" s="256"/>
      <c r="H1184" s="256"/>
      <c r="I1184" s="200"/>
      <c r="J1184" s="307" t="s">
        <v>1919</v>
      </c>
      <c r="K1184" s="200"/>
      <c r="L1184" s="200"/>
      <c r="M1184" s="308"/>
      <c r="N1184" s="308"/>
      <c r="O1184" s="309"/>
      <c r="P1184" s="310"/>
      <c r="Q1184" s="260"/>
      <c r="R1184" s="261"/>
      <c r="S1184" s="261"/>
      <c r="T1184" s="311"/>
      <c r="U1184" s="261"/>
      <c r="V1184" s="256"/>
      <c r="W1184" s="256"/>
      <c r="X1184" s="256"/>
      <c r="Y1184" s="256"/>
      <c r="Z1184" s="310"/>
      <c r="AA1184" s="200"/>
      <c r="AB1184" s="312"/>
      <c r="AC1184" s="313"/>
      <c r="AD1184" s="51"/>
      <c r="AE1184" s="314"/>
      <c r="AF1184" s="315"/>
      <c r="AG1184" s="309"/>
      <c r="AH1184" s="28"/>
      <c r="AI1184" s="28"/>
      <c r="AJ1184" s="28"/>
      <c r="AK1184" s="28"/>
      <c r="AL1184" s="12"/>
      <c r="AM1184" s="12"/>
      <c r="AN1184" s="12"/>
      <c r="AO1184" s="12"/>
      <c r="AP1184" s="12"/>
      <c r="AQ1184" s="13"/>
      <c r="AR1184" s="14"/>
    </row>
    <row r="1185" spans="1:44" s="16" customFormat="1" ht="30.95" hidden="1" customHeight="1" x14ac:dyDescent="0.2">
      <c r="A1185" s="303"/>
      <c r="B1185" s="304"/>
      <c r="C1185" s="305"/>
      <c r="D1185" s="306"/>
      <c r="E1185" s="306"/>
      <c r="F1185" s="255"/>
      <c r="G1185" s="256"/>
      <c r="H1185" s="256"/>
      <c r="I1185" s="200"/>
      <c r="J1185" s="307"/>
      <c r="K1185" s="200"/>
      <c r="L1185" s="200"/>
      <c r="M1185" s="308"/>
      <c r="N1185" s="308"/>
      <c r="O1185" s="309"/>
      <c r="P1185" s="310"/>
      <c r="Q1185" s="260"/>
      <c r="R1185" s="261"/>
      <c r="S1185" s="261"/>
      <c r="T1185" s="311"/>
      <c r="U1185" s="261"/>
      <c r="V1185" s="256"/>
      <c r="W1185" s="256"/>
      <c r="X1185" s="256"/>
      <c r="Y1185" s="256"/>
      <c r="Z1185" s="310"/>
      <c r="AA1185" s="200"/>
      <c r="AB1185" s="312"/>
      <c r="AC1185" s="313"/>
      <c r="AD1185" s="51"/>
      <c r="AE1185" s="314"/>
      <c r="AF1185" s="315"/>
      <c r="AG1185" s="309"/>
      <c r="AH1185" s="28"/>
      <c r="AI1185" s="28"/>
      <c r="AJ1185" s="28"/>
      <c r="AK1185" s="28"/>
      <c r="AL1185" s="12"/>
      <c r="AM1185" s="12"/>
      <c r="AN1185" s="12"/>
      <c r="AO1185" s="12"/>
      <c r="AP1185" s="12"/>
      <c r="AQ1185" s="13"/>
      <c r="AR1185" s="14"/>
    </row>
    <row r="1186" spans="1:44" s="16" customFormat="1" ht="30.95" hidden="1" customHeight="1" x14ac:dyDescent="0.2">
      <c r="A1186" s="303" t="s">
        <v>1911</v>
      </c>
      <c r="B1186" s="304" t="s">
        <v>1408</v>
      </c>
      <c r="C1186" s="305"/>
      <c r="D1186" s="306"/>
      <c r="E1186" s="306"/>
      <c r="F1186" s="255"/>
      <c r="G1186" s="256"/>
      <c r="H1186" s="256"/>
      <c r="I1186" s="200"/>
      <c r="J1186" s="307" t="s">
        <v>1919</v>
      </c>
      <c r="K1186" s="200"/>
      <c r="L1186" s="200"/>
      <c r="M1186" s="308"/>
      <c r="N1186" s="308"/>
      <c r="O1186" s="309"/>
      <c r="P1186" s="310"/>
      <c r="Q1186" s="260"/>
      <c r="R1186" s="261"/>
      <c r="S1186" s="261"/>
      <c r="T1186" s="311"/>
      <c r="U1186" s="261"/>
      <c r="V1186" s="256"/>
      <c r="W1186" s="256"/>
      <c r="X1186" s="256"/>
      <c r="Y1186" s="256"/>
      <c r="Z1186" s="310"/>
      <c r="AA1186" s="200"/>
      <c r="AB1186" s="312"/>
      <c r="AC1186" s="313"/>
      <c r="AD1186" s="51"/>
      <c r="AE1186" s="314"/>
      <c r="AF1186" s="315"/>
      <c r="AG1186" s="309"/>
      <c r="AH1186" s="28"/>
      <c r="AI1186" s="28"/>
      <c r="AJ1186" s="28"/>
      <c r="AK1186" s="28"/>
      <c r="AL1186" s="12"/>
      <c r="AM1186" s="12"/>
      <c r="AN1186" s="12"/>
      <c r="AO1186" s="12"/>
      <c r="AP1186" s="12"/>
      <c r="AQ1186" s="13"/>
      <c r="AR1186" s="14"/>
    </row>
    <row r="1187" spans="1:44" s="16" customFormat="1" ht="30.95" hidden="1" customHeight="1" x14ac:dyDescent="0.2">
      <c r="A1187" s="303"/>
      <c r="B1187" s="304"/>
      <c r="C1187" s="305"/>
      <c r="D1187" s="306"/>
      <c r="E1187" s="306"/>
      <c r="F1187" s="255"/>
      <c r="G1187" s="256"/>
      <c r="H1187" s="256"/>
      <c r="I1187" s="200"/>
      <c r="J1187" s="307"/>
      <c r="K1187" s="200"/>
      <c r="L1187" s="200"/>
      <c r="M1187" s="308"/>
      <c r="N1187" s="308"/>
      <c r="O1187" s="309"/>
      <c r="P1187" s="310"/>
      <c r="Q1187" s="260"/>
      <c r="R1187" s="261"/>
      <c r="S1187" s="261"/>
      <c r="T1187" s="311"/>
      <c r="U1187" s="261"/>
      <c r="V1187" s="256"/>
      <c r="W1187" s="256"/>
      <c r="X1187" s="256"/>
      <c r="Y1187" s="256"/>
      <c r="Z1187" s="310"/>
      <c r="AA1187" s="200"/>
      <c r="AB1187" s="312"/>
      <c r="AC1187" s="313"/>
      <c r="AD1187" s="51"/>
      <c r="AE1187" s="314"/>
      <c r="AF1187" s="315"/>
      <c r="AG1187" s="309"/>
      <c r="AH1187" s="28"/>
      <c r="AI1187" s="28"/>
      <c r="AJ1187" s="28"/>
      <c r="AK1187" s="28"/>
      <c r="AL1187" s="12"/>
      <c r="AM1187" s="12"/>
      <c r="AN1187" s="12"/>
      <c r="AO1187" s="12"/>
      <c r="AP1187" s="12"/>
      <c r="AQ1187" s="13"/>
      <c r="AR1187" s="14"/>
    </row>
    <row r="1188" spans="1:44" s="16" customFormat="1" ht="30.95" hidden="1" customHeight="1" x14ac:dyDescent="0.2">
      <c r="A1188" s="303" t="s">
        <v>1912</v>
      </c>
      <c r="B1188" s="304" t="s">
        <v>1409</v>
      </c>
      <c r="C1188" s="305"/>
      <c r="D1188" s="306"/>
      <c r="E1188" s="306"/>
      <c r="F1188" s="255"/>
      <c r="G1188" s="256"/>
      <c r="H1188" s="256"/>
      <c r="I1188" s="200"/>
      <c r="J1188" s="307" t="s">
        <v>1919</v>
      </c>
      <c r="K1188" s="200"/>
      <c r="L1188" s="200"/>
      <c r="M1188" s="308"/>
      <c r="N1188" s="308"/>
      <c r="O1188" s="309"/>
      <c r="P1188" s="310"/>
      <c r="Q1188" s="260"/>
      <c r="R1188" s="261"/>
      <c r="S1188" s="261"/>
      <c r="T1188" s="311"/>
      <c r="U1188" s="261"/>
      <c r="V1188" s="256"/>
      <c r="W1188" s="256"/>
      <c r="X1188" s="256"/>
      <c r="Y1188" s="256"/>
      <c r="Z1188" s="310"/>
      <c r="AA1188" s="200"/>
      <c r="AB1188" s="312"/>
      <c r="AC1188" s="313"/>
      <c r="AD1188" s="51"/>
      <c r="AE1188" s="314"/>
      <c r="AF1188" s="315"/>
      <c r="AG1188" s="309"/>
      <c r="AH1188" s="28"/>
      <c r="AI1188" s="28"/>
      <c r="AJ1188" s="28"/>
      <c r="AK1188" s="28"/>
      <c r="AL1188" s="12"/>
      <c r="AM1188" s="12"/>
      <c r="AN1188" s="12"/>
      <c r="AO1188" s="12"/>
      <c r="AP1188" s="12"/>
      <c r="AQ1188" s="13"/>
      <c r="AR1188" s="14"/>
    </row>
    <row r="1189" spans="1:44" s="16" customFormat="1" ht="30.95" hidden="1" customHeight="1" x14ac:dyDescent="0.2">
      <c r="A1189" s="303"/>
      <c r="B1189" s="304"/>
      <c r="C1189" s="305"/>
      <c r="D1189" s="306"/>
      <c r="E1189" s="306"/>
      <c r="F1189" s="255"/>
      <c r="G1189" s="256"/>
      <c r="H1189" s="256"/>
      <c r="I1189" s="200"/>
      <c r="J1189" s="307"/>
      <c r="K1189" s="200"/>
      <c r="L1189" s="200"/>
      <c r="M1189" s="308"/>
      <c r="N1189" s="308"/>
      <c r="O1189" s="309"/>
      <c r="P1189" s="310"/>
      <c r="Q1189" s="260"/>
      <c r="R1189" s="261"/>
      <c r="S1189" s="261"/>
      <c r="T1189" s="311"/>
      <c r="U1189" s="261"/>
      <c r="V1189" s="256"/>
      <c r="W1189" s="256"/>
      <c r="X1189" s="256"/>
      <c r="Y1189" s="256"/>
      <c r="Z1189" s="310"/>
      <c r="AA1189" s="200"/>
      <c r="AB1189" s="312"/>
      <c r="AC1189" s="313"/>
      <c r="AD1189" s="51"/>
      <c r="AE1189" s="314"/>
      <c r="AF1189" s="315"/>
      <c r="AG1189" s="309"/>
      <c r="AH1189" s="28"/>
      <c r="AI1189" s="28"/>
      <c r="AJ1189" s="28"/>
      <c r="AK1189" s="28"/>
      <c r="AL1189" s="12"/>
      <c r="AM1189" s="12"/>
      <c r="AN1189" s="12"/>
      <c r="AO1189" s="12"/>
      <c r="AP1189" s="12"/>
      <c r="AQ1189" s="13"/>
      <c r="AR1189" s="14"/>
    </row>
    <row r="1190" spans="1:44" s="16" customFormat="1" ht="30.95" hidden="1" customHeight="1" x14ac:dyDescent="0.2">
      <c r="A1190" s="303" t="s">
        <v>1913</v>
      </c>
      <c r="B1190" s="304" t="s">
        <v>1397</v>
      </c>
      <c r="C1190" s="305"/>
      <c r="D1190" s="306"/>
      <c r="E1190" s="306"/>
      <c r="F1190" s="255"/>
      <c r="G1190" s="256"/>
      <c r="H1190" s="256"/>
      <c r="I1190" s="200"/>
      <c r="J1190" s="307" t="s">
        <v>448</v>
      </c>
      <c r="K1190" s="200"/>
      <c r="L1190" s="200"/>
      <c r="M1190" s="308"/>
      <c r="N1190" s="308"/>
      <c r="O1190" s="309"/>
      <c r="P1190" s="310"/>
      <c r="Q1190" s="260"/>
      <c r="R1190" s="261"/>
      <c r="S1190" s="261"/>
      <c r="T1190" s="311"/>
      <c r="U1190" s="261"/>
      <c r="V1190" s="256"/>
      <c r="W1190" s="256"/>
      <c r="X1190" s="256"/>
      <c r="Y1190" s="256"/>
      <c r="Z1190" s="310"/>
      <c r="AA1190" s="200"/>
      <c r="AB1190" s="312"/>
      <c r="AC1190" s="313"/>
      <c r="AD1190" s="51"/>
      <c r="AE1190" s="314"/>
      <c r="AF1190" s="315"/>
      <c r="AG1190" s="309"/>
      <c r="AH1190" s="28"/>
      <c r="AI1190" s="28"/>
      <c r="AJ1190" s="28"/>
      <c r="AK1190" s="28"/>
      <c r="AL1190" s="12"/>
      <c r="AM1190" s="12"/>
      <c r="AN1190" s="12"/>
      <c r="AO1190" s="12"/>
      <c r="AP1190" s="12"/>
      <c r="AQ1190" s="13"/>
      <c r="AR1190" s="14"/>
    </row>
    <row r="1191" spans="1:44" s="16" customFormat="1" ht="30.95" hidden="1" customHeight="1" x14ac:dyDescent="0.2">
      <c r="A1191" s="303"/>
      <c r="B1191" s="304"/>
      <c r="C1191" s="305"/>
      <c r="D1191" s="306"/>
      <c r="E1191" s="306"/>
      <c r="F1191" s="255"/>
      <c r="G1191" s="256"/>
      <c r="H1191" s="256"/>
      <c r="I1191" s="200"/>
      <c r="J1191" s="307"/>
      <c r="K1191" s="200"/>
      <c r="L1191" s="200"/>
      <c r="M1191" s="308"/>
      <c r="N1191" s="308"/>
      <c r="O1191" s="309"/>
      <c r="P1191" s="310"/>
      <c r="Q1191" s="260"/>
      <c r="R1191" s="261"/>
      <c r="S1191" s="261"/>
      <c r="T1191" s="311"/>
      <c r="U1191" s="261"/>
      <c r="V1191" s="256"/>
      <c r="W1191" s="256"/>
      <c r="X1191" s="256"/>
      <c r="Y1191" s="256"/>
      <c r="Z1191" s="310"/>
      <c r="AA1191" s="200"/>
      <c r="AB1191" s="312"/>
      <c r="AC1191" s="313"/>
      <c r="AD1191" s="51"/>
      <c r="AE1191" s="314"/>
      <c r="AF1191" s="315"/>
      <c r="AG1191" s="309"/>
      <c r="AH1191" s="28"/>
      <c r="AI1191" s="28"/>
      <c r="AJ1191" s="28"/>
      <c r="AK1191" s="28"/>
      <c r="AL1191" s="12"/>
      <c r="AM1191" s="12"/>
      <c r="AN1191" s="12"/>
      <c r="AO1191" s="12"/>
      <c r="AP1191" s="12"/>
      <c r="AQ1191" s="13"/>
      <c r="AR1191" s="14"/>
    </row>
    <row r="1192" spans="1:44" s="16" customFormat="1" ht="30.95" hidden="1" customHeight="1" x14ac:dyDescent="0.2">
      <c r="A1192" s="303" t="s">
        <v>1914</v>
      </c>
      <c r="B1192" s="304" t="s">
        <v>392</v>
      </c>
      <c r="C1192" s="305"/>
      <c r="D1192" s="306"/>
      <c r="E1192" s="306"/>
      <c r="F1192" s="255"/>
      <c r="G1192" s="256"/>
      <c r="H1192" s="256"/>
      <c r="I1192" s="200"/>
      <c r="J1192" s="307" t="s">
        <v>448</v>
      </c>
      <c r="K1192" s="200"/>
      <c r="L1192" s="200"/>
      <c r="M1192" s="308"/>
      <c r="N1192" s="308"/>
      <c r="O1192" s="309"/>
      <c r="P1192" s="310"/>
      <c r="Q1192" s="260"/>
      <c r="R1192" s="261"/>
      <c r="S1192" s="261"/>
      <c r="T1192" s="311"/>
      <c r="U1192" s="261"/>
      <c r="V1192" s="256"/>
      <c r="W1192" s="256"/>
      <c r="X1192" s="256"/>
      <c r="Y1192" s="256"/>
      <c r="Z1192" s="310"/>
      <c r="AA1192" s="200"/>
      <c r="AB1192" s="312"/>
      <c r="AC1192" s="313"/>
      <c r="AD1192" s="51"/>
      <c r="AE1192" s="314"/>
      <c r="AF1192" s="315"/>
      <c r="AG1192" s="309"/>
      <c r="AH1192" s="28"/>
      <c r="AI1192" s="28"/>
      <c r="AJ1192" s="28"/>
      <c r="AK1192" s="28"/>
      <c r="AL1192" s="12"/>
      <c r="AM1192" s="12"/>
      <c r="AN1192" s="12"/>
      <c r="AO1192" s="12"/>
      <c r="AP1192" s="12"/>
      <c r="AQ1192" s="13"/>
      <c r="AR1192" s="14"/>
    </row>
    <row r="1193" spans="1:44" s="16" customFormat="1" ht="30.95" hidden="1" customHeight="1" x14ac:dyDescent="0.2">
      <c r="A1193" s="303"/>
      <c r="B1193" s="304"/>
      <c r="C1193" s="305"/>
      <c r="D1193" s="306"/>
      <c r="E1193" s="306"/>
      <c r="F1193" s="255"/>
      <c r="G1193" s="256"/>
      <c r="H1193" s="256"/>
      <c r="I1193" s="200"/>
      <c r="J1193" s="307"/>
      <c r="K1193" s="200"/>
      <c r="L1193" s="200"/>
      <c r="M1193" s="308"/>
      <c r="N1193" s="308"/>
      <c r="O1193" s="309"/>
      <c r="P1193" s="310"/>
      <c r="Q1193" s="260"/>
      <c r="R1193" s="261"/>
      <c r="S1193" s="261"/>
      <c r="T1193" s="311"/>
      <c r="U1193" s="261"/>
      <c r="V1193" s="256"/>
      <c r="W1193" s="256"/>
      <c r="X1193" s="256"/>
      <c r="Y1193" s="256"/>
      <c r="Z1193" s="310"/>
      <c r="AA1193" s="200"/>
      <c r="AB1193" s="312"/>
      <c r="AC1193" s="313"/>
      <c r="AD1193" s="51"/>
      <c r="AE1193" s="314"/>
      <c r="AF1193" s="315"/>
      <c r="AG1193" s="309"/>
      <c r="AH1193" s="28"/>
      <c r="AI1193" s="28"/>
      <c r="AJ1193" s="28"/>
      <c r="AK1193" s="28"/>
      <c r="AL1193" s="12"/>
      <c r="AM1193" s="12"/>
      <c r="AN1193" s="12"/>
      <c r="AO1193" s="12"/>
      <c r="AP1193" s="12"/>
      <c r="AQ1193" s="13"/>
      <c r="AR1193" s="14"/>
    </row>
    <row r="1194" spans="1:44" s="225" customFormat="1" ht="30.95" hidden="1" customHeight="1" x14ac:dyDescent="0.2">
      <c r="A1194" s="317"/>
      <c r="B1194" s="318"/>
      <c r="C1194" s="319"/>
      <c r="D1194" s="320"/>
      <c r="E1194" s="320"/>
      <c r="F1194" s="263"/>
      <c r="G1194" s="264"/>
      <c r="H1194" s="264"/>
      <c r="I1194" s="265"/>
      <c r="J1194" s="321"/>
      <c r="K1194" s="265"/>
      <c r="L1194" s="265"/>
      <c r="M1194" s="322"/>
      <c r="N1194" s="322"/>
      <c r="O1194" s="323"/>
      <c r="P1194" s="316"/>
      <c r="Q1194" s="266"/>
      <c r="R1194" s="267"/>
      <c r="S1194" s="267"/>
      <c r="T1194" s="324"/>
      <c r="U1194" s="267"/>
      <c r="V1194" s="264"/>
      <c r="W1194" s="264"/>
      <c r="X1194" s="264"/>
      <c r="Y1194" s="264"/>
      <c r="Z1194" s="316"/>
      <c r="AA1194" s="265"/>
      <c r="AB1194" s="325"/>
      <c r="AC1194" s="326"/>
      <c r="AD1194" s="219"/>
      <c r="AE1194" s="327"/>
      <c r="AF1194" s="328"/>
      <c r="AG1194" s="329">
        <f>SUM(AG1124:AG1192)</f>
        <v>79833.600000000006</v>
      </c>
      <c r="AH1194" s="221"/>
      <c r="AI1194" s="221"/>
      <c r="AJ1194" s="221"/>
      <c r="AK1194" s="221"/>
      <c r="AL1194" s="222"/>
      <c r="AM1194" s="222"/>
      <c r="AN1194" s="222"/>
      <c r="AO1194" s="222"/>
      <c r="AP1194" s="222"/>
      <c r="AQ1194" s="223"/>
      <c r="AR1194" s="224"/>
    </row>
    <row r="1195" spans="1:44" s="16" customFormat="1" ht="30.95" hidden="1" customHeight="1" x14ac:dyDescent="0.2">
      <c r="A1195" s="303"/>
      <c r="B1195" s="304"/>
      <c r="C1195" s="305"/>
      <c r="D1195" s="306"/>
      <c r="E1195" s="306"/>
      <c r="F1195" s="255"/>
      <c r="G1195" s="256"/>
      <c r="H1195" s="256"/>
      <c r="I1195" s="200"/>
      <c r="J1195" s="307"/>
      <c r="K1195" s="200"/>
      <c r="L1195" s="200"/>
      <c r="M1195" s="308"/>
      <c r="N1195" s="308"/>
      <c r="O1195" s="309"/>
      <c r="P1195" s="310"/>
      <c r="Q1195" s="260"/>
      <c r="R1195" s="261"/>
      <c r="S1195" s="261"/>
      <c r="T1195" s="311"/>
      <c r="U1195" s="261"/>
      <c r="V1195" s="256"/>
      <c r="W1195" s="256"/>
      <c r="X1195" s="256"/>
      <c r="Y1195" s="256"/>
      <c r="Z1195" s="310"/>
      <c r="AA1195" s="200"/>
      <c r="AB1195" s="312"/>
      <c r="AC1195" s="313"/>
      <c r="AD1195" s="51"/>
      <c r="AE1195" s="314"/>
      <c r="AF1195" s="315"/>
      <c r="AG1195" s="309"/>
      <c r="AH1195" s="28"/>
      <c r="AI1195" s="28"/>
      <c r="AJ1195" s="28"/>
      <c r="AK1195" s="28"/>
      <c r="AL1195" s="12"/>
      <c r="AM1195" s="12"/>
      <c r="AN1195" s="12"/>
      <c r="AO1195" s="12"/>
      <c r="AP1195" s="12"/>
      <c r="AQ1195" s="13"/>
      <c r="AR1195" s="14"/>
    </row>
    <row r="1196" spans="1:44" s="16" customFormat="1" ht="30.95" hidden="1" customHeight="1" x14ac:dyDescent="0.2">
      <c r="A1196" s="303" t="s">
        <v>1915</v>
      </c>
      <c r="B1196" s="304" t="s">
        <v>1402</v>
      </c>
      <c r="C1196" s="305"/>
      <c r="D1196" s="306"/>
      <c r="E1196" s="306"/>
      <c r="F1196" s="255"/>
      <c r="G1196" s="256"/>
      <c r="H1196" s="256"/>
      <c r="I1196" s="200"/>
      <c r="J1196" s="307" t="s">
        <v>1919</v>
      </c>
      <c r="K1196" s="200"/>
      <c r="L1196" s="200"/>
      <c r="M1196" s="308"/>
      <c r="N1196" s="308"/>
      <c r="O1196" s="309"/>
      <c r="P1196" s="310"/>
      <c r="Q1196" s="260"/>
      <c r="R1196" s="261"/>
      <c r="S1196" s="261"/>
      <c r="T1196" s="311"/>
      <c r="U1196" s="261"/>
      <c r="V1196" s="256"/>
      <c r="W1196" s="256"/>
      <c r="X1196" s="256"/>
      <c r="Y1196" s="256"/>
      <c r="Z1196" s="310"/>
      <c r="AA1196" s="200"/>
      <c r="AB1196" s="312"/>
      <c r="AC1196" s="313"/>
      <c r="AD1196" s="51"/>
      <c r="AE1196" s="314"/>
      <c r="AF1196" s="315"/>
      <c r="AG1196" s="309"/>
      <c r="AH1196" s="28"/>
      <c r="AI1196" s="28"/>
      <c r="AJ1196" s="28"/>
      <c r="AK1196" s="28"/>
      <c r="AL1196" s="12"/>
      <c r="AM1196" s="12"/>
      <c r="AN1196" s="12"/>
      <c r="AO1196" s="12"/>
      <c r="AP1196" s="12"/>
      <c r="AQ1196" s="13"/>
      <c r="AR1196" s="14"/>
    </row>
    <row r="1197" spans="1:44" s="16" customFormat="1" ht="30.95" hidden="1" customHeight="1" x14ac:dyDescent="0.2">
      <c r="A1197" s="303"/>
      <c r="B1197" s="304"/>
      <c r="C1197" s="305"/>
      <c r="D1197" s="306"/>
      <c r="E1197" s="306"/>
      <c r="F1197" s="255"/>
      <c r="G1197" s="256"/>
      <c r="H1197" s="256"/>
      <c r="I1197" s="200"/>
      <c r="J1197" s="307"/>
      <c r="K1197" s="200"/>
      <c r="L1197" s="200"/>
      <c r="M1197" s="308"/>
      <c r="N1197" s="308"/>
      <c r="O1197" s="309"/>
      <c r="P1197" s="310"/>
      <c r="Q1197" s="260"/>
      <c r="R1197" s="261"/>
      <c r="S1197" s="261"/>
      <c r="T1197" s="311"/>
      <c r="U1197" s="261"/>
      <c r="V1197" s="256"/>
      <c r="W1197" s="256"/>
      <c r="X1197" s="256"/>
      <c r="Y1197" s="256"/>
      <c r="Z1197" s="310"/>
      <c r="AA1197" s="200"/>
      <c r="AB1197" s="312"/>
      <c r="AC1197" s="313"/>
      <c r="AD1197" s="51"/>
      <c r="AE1197" s="314"/>
      <c r="AF1197" s="315"/>
      <c r="AG1197" s="309"/>
      <c r="AH1197" s="28"/>
      <c r="AI1197" s="28"/>
      <c r="AJ1197" s="28"/>
      <c r="AK1197" s="28"/>
      <c r="AL1197" s="12"/>
      <c r="AM1197" s="12"/>
      <c r="AN1197" s="12"/>
      <c r="AO1197" s="12"/>
      <c r="AP1197" s="12"/>
      <c r="AQ1197" s="13"/>
      <c r="AR1197" s="14"/>
    </row>
    <row r="1198" spans="1:44" s="16" customFormat="1" ht="30.95" hidden="1" customHeight="1" x14ac:dyDescent="0.2">
      <c r="A1198" s="303" t="s">
        <v>1916</v>
      </c>
      <c r="B1198" s="304" t="s">
        <v>1405</v>
      </c>
      <c r="C1198" s="305"/>
      <c r="D1198" s="306"/>
      <c r="E1198" s="306"/>
      <c r="F1198" s="255"/>
      <c r="G1198" s="256"/>
      <c r="H1198" s="256"/>
      <c r="I1198" s="200"/>
      <c r="J1198" s="307" t="s">
        <v>1919</v>
      </c>
      <c r="K1198" s="200"/>
      <c r="L1198" s="200"/>
      <c r="M1198" s="308"/>
      <c r="N1198" s="308"/>
      <c r="O1198" s="309"/>
      <c r="P1198" s="310"/>
      <c r="Q1198" s="260"/>
      <c r="R1198" s="261"/>
      <c r="S1198" s="261"/>
      <c r="T1198" s="311"/>
      <c r="U1198" s="261"/>
      <c r="V1198" s="256"/>
      <c r="W1198" s="256"/>
      <c r="X1198" s="256"/>
      <c r="Y1198" s="256"/>
      <c r="Z1198" s="310"/>
      <c r="AA1198" s="200"/>
      <c r="AB1198" s="312"/>
      <c r="AC1198" s="313"/>
      <c r="AD1198" s="51"/>
      <c r="AE1198" s="314"/>
      <c r="AF1198" s="315"/>
      <c r="AG1198" s="309"/>
      <c r="AH1198" s="28"/>
      <c r="AI1198" s="28"/>
      <c r="AJ1198" s="28"/>
      <c r="AK1198" s="28"/>
      <c r="AL1198" s="12"/>
      <c r="AM1198" s="12"/>
      <c r="AN1198" s="12"/>
      <c r="AO1198" s="12"/>
      <c r="AP1198" s="12"/>
      <c r="AQ1198" s="13"/>
      <c r="AR1198" s="14"/>
    </row>
    <row r="1199" spans="1:44" s="16" customFormat="1" ht="30.95" hidden="1" customHeight="1" x14ac:dyDescent="0.2">
      <c r="A1199" s="303"/>
      <c r="B1199" s="304"/>
      <c r="C1199" s="305"/>
      <c r="D1199" s="306"/>
      <c r="E1199" s="306"/>
      <c r="F1199" s="255"/>
      <c r="G1199" s="256"/>
      <c r="H1199" s="256"/>
      <c r="I1199" s="200"/>
      <c r="J1199" s="307"/>
      <c r="K1199" s="200"/>
      <c r="L1199" s="200"/>
      <c r="M1199" s="308"/>
      <c r="N1199" s="308"/>
      <c r="O1199" s="309"/>
      <c r="P1199" s="310"/>
      <c r="Q1199" s="260"/>
      <c r="R1199" s="261"/>
      <c r="S1199" s="261"/>
      <c r="T1199" s="311"/>
      <c r="U1199" s="261"/>
      <c r="V1199" s="256"/>
      <c r="W1199" s="256"/>
      <c r="X1199" s="256"/>
      <c r="Y1199" s="256"/>
      <c r="Z1199" s="310"/>
      <c r="AA1199" s="200"/>
      <c r="AB1199" s="312"/>
      <c r="AC1199" s="313"/>
      <c r="AD1199" s="51"/>
      <c r="AE1199" s="314"/>
      <c r="AF1199" s="315"/>
      <c r="AG1199" s="309"/>
      <c r="AH1199" s="28"/>
      <c r="AI1199" s="28"/>
      <c r="AJ1199" s="28"/>
      <c r="AK1199" s="28"/>
      <c r="AL1199" s="12"/>
      <c r="AM1199" s="12"/>
      <c r="AN1199" s="12"/>
      <c r="AO1199" s="12"/>
      <c r="AP1199" s="12"/>
      <c r="AQ1199" s="13"/>
      <c r="AR1199" s="14"/>
    </row>
    <row r="1200" spans="1:44" s="16" customFormat="1" ht="30.95" hidden="1" customHeight="1" x14ac:dyDescent="0.2">
      <c r="A1200" s="303" t="s">
        <v>1917</v>
      </c>
      <c r="B1200" s="304" t="s">
        <v>1412</v>
      </c>
      <c r="C1200" s="305"/>
      <c r="D1200" s="306"/>
      <c r="E1200" s="306"/>
      <c r="F1200" s="255"/>
      <c r="G1200" s="256"/>
      <c r="H1200" s="256"/>
      <c r="I1200" s="200"/>
      <c r="J1200" s="307" t="s">
        <v>1919</v>
      </c>
      <c r="K1200" s="200"/>
      <c r="L1200" s="200"/>
      <c r="M1200" s="308"/>
      <c r="N1200" s="308"/>
      <c r="O1200" s="309"/>
      <c r="P1200" s="310"/>
      <c r="Q1200" s="260"/>
      <c r="R1200" s="261"/>
      <c r="S1200" s="261"/>
      <c r="T1200" s="311"/>
      <c r="U1200" s="261"/>
      <c r="V1200" s="256"/>
      <c r="W1200" s="256"/>
      <c r="X1200" s="256"/>
      <c r="Y1200" s="256"/>
      <c r="Z1200" s="310"/>
      <c r="AA1200" s="200"/>
      <c r="AB1200" s="312"/>
      <c r="AC1200" s="313"/>
      <c r="AD1200" s="51"/>
      <c r="AE1200" s="314"/>
      <c r="AF1200" s="315"/>
      <c r="AG1200" s="309"/>
      <c r="AH1200" s="28"/>
      <c r="AI1200" s="28"/>
      <c r="AJ1200" s="28"/>
      <c r="AK1200" s="28"/>
      <c r="AL1200" s="12"/>
      <c r="AM1200" s="12"/>
      <c r="AN1200" s="12"/>
      <c r="AO1200" s="12"/>
      <c r="AP1200" s="12"/>
      <c r="AQ1200" s="13"/>
      <c r="AR1200" s="14"/>
    </row>
    <row r="1201" spans="1:44" s="16" customFormat="1" ht="30.95" hidden="1" customHeight="1" x14ac:dyDescent="0.2">
      <c r="A1201" s="303"/>
      <c r="B1201" s="304"/>
      <c r="C1201" s="305"/>
      <c r="D1201" s="306"/>
      <c r="E1201" s="306"/>
      <c r="F1201" s="255"/>
      <c r="G1201" s="256"/>
      <c r="H1201" s="256"/>
      <c r="I1201" s="200"/>
      <c r="J1201" s="307"/>
      <c r="K1201" s="200"/>
      <c r="L1201" s="200"/>
      <c r="M1201" s="308"/>
      <c r="N1201" s="308"/>
      <c r="O1201" s="309"/>
      <c r="P1201" s="310"/>
      <c r="Q1201" s="260"/>
      <c r="R1201" s="261"/>
      <c r="S1201" s="261"/>
      <c r="T1201" s="311"/>
      <c r="U1201" s="261"/>
      <c r="V1201" s="256"/>
      <c r="W1201" s="256"/>
      <c r="X1201" s="256"/>
      <c r="Y1201" s="256"/>
      <c r="Z1201" s="310"/>
      <c r="AA1201" s="200"/>
      <c r="AB1201" s="312"/>
      <c r="AC1201" s="313"/>
      <c r="AD1201" s="51"/>
      <c r="AE1201" s="314"/>
      <c r="AF1201" s="315"/>
      <c r="AG1201" s="309"/>
      <c r="AH1201" s="28"/>
      <c r="AI1201" s="28"/>
      <c r="AJ1201" s="28"/>
      <c r="AK1201" s="28"/>
      <c r="AL1201" s="12"/>
      <c r="AM1201" s="12"/>
      <c r="AN1201" s="12"/>
      <c r="AO1201" s="12"/>
      <c r="AP1201" s="12"/>
      <c r="AQ1201" s="13"/>
      <c r="AR1201" s="14"/>
    </row>
    <row r="1202" spans="1:44" s="16" customFormat="1" ht="30.95" hidden="1" customHeight="1" x14ac:dyDescent="0.2">
      <c r="A1202" s="303" t="s">
        <v>1918</v>
      </c>
      <c r="B1202" s="304" t="s">
        <v>1408</v>
      </c>
      <c r="C1202" s="305"/>
      <c r="D1202" s="306"/>
      <c r="E1202" s="306"/>
      <c r="F1202" s="255"/>
      <c r="G1202" s="256"/>
      <c r="H1202" s="256"/>
      <c r="I1202" s="200"/>
      <c r="J1202" s="307" t="s">
        <v>1919</v>
      </c>
      <c r="K1202" s="200"/>
      <c r="L1202" s="200"/>
      <c r="M1202" s="308"/>
      <c r="N1202" s="308"/>
      <c r="O1202" s="309"/>
      <c r="P1202" s="310"/>
      <c r="Q1202" s="260"/>
      <c r="R1202" s="261"/>
      <c r="S1202" s="261"/>
      <c r="T1202" s="311"/>
      <c r="U1202" s="261"/>
      <c r="V1202" s="256"/>
      <c r="W1202" s="256"/>
      <c r="X1202" s="256"/>
      <c r="Y1202" s="256"/>
      <c r="Z1202" s="310"/>
      <c r="AA1202" s="200"/>
      <c r="AB1202" s="312"/>
      <c r="AC1202" s="313"/>
      <c r="AD1202" s="51"/>
      <c r="AE1202" s="314"/>
      <c r="AF1202" s="315"/>
      <c r="AG1202" s="309"/>
      <c r="AH1202" s="28"/>
      <c r="AI1202" s="28"/>
      <c r="AJ1202" s="28"/>
      <c r="AK1202" s="28"/>
      <c r="AL1202" s="12"/>
      <c r="AM1202" s="12"/>
      <c r="AN1202" s="12"/>
      <c r="AO1202" s="12"/>
      <c r="AP1202" s="12"/>
      <c r="AQ1202" s="13"/>
      <c r="AR1202" s="14"/>
    </row>
    <row r="1203" spans="1:44" s="16" customFormat="1" ht="30.95" hidden="1" customHeight="1" x14ac:dyDescent="0.2">
      <c r="A1203" s="303"/>
      <c r="B1203" s="304"/>
      <c r="C1203" s="305"/>
      <c r="D1203" s="306"/>
      <c r="E1203" s="306"/>
      <c r="F1203" s="255"/>
      <c r="G1203" s="256"/>
      <c r="H1203" s="256"/>
      <c r="I1203" s="200"/>
      <c r="J1203" s="307"/>
      <c r="K1203" s="200"/>
      <c r="L1203" s="200"/>
      <c r="M1203" s="308"/>
      <c r="N1203" s="308"/>
      <c r="O1203" s="309"/>
      <c r="P1203" s="310"/>
      <c r="Q1203" s="260"/>
      <c r="R1203" s="261"/>
      <c r="S1203" s="261"/>
      <c r="T1203" s="311"/>
      <c r="U1203" s="261"/>
      <c r="V1203" s="256"/>
      <c r="W1203" s="256"/>
      <c r="X1203" s="256"/>
      <c r="Y1203" s="256"/>
      <c r="Z1203" s="310"/>
      <c r="AA1203" s="200"/>
      <c r="AB1203" s="312"/>
      <c r="AC1203" s="313"/>
      <c r="AD1203" s="51"/>
      <c r="AE1203" s="314"/>
      <c r="AF1203" s="315"/>
      <c r="AG1203" s="309"/>
      <c r="AH1203" s="28"/>
      <c r="AI1203" s="28"/>
      <c r="AJ1203" s="28"/>
      <c r="AK1203" s="28"/>
      <c r="AL1203" s="12"/>
      <c r="AM1203" s="12"/>
      <c r="AN1203" s="12"/>
      <c r="AO1203" s="12"/>
      <c r="AP1203" s="12"/>
      <c r="AQ1203" s="13"/>
      <c r="AR1203" s="14"/>
    </row>
    <row r="1204" spans="1:44" s="16" customFormat="1" ht="30.95" hidden="1" customHeight="1" x14ac:dyDescent="0.2">
      <c r="A1204" s="303" t="s">
        <v>1923</v>
      </c>
      <c r="B1204" s="304" t="s">
        <v>1409</v>
      </c>
      <c r="C1204" s="305"/>
      <c r="D1204" s="306"/>
      <c r="E1204" s="306"/>
      <c r="F1204" s="255"/>
      <c r="G1204" s="256"/>
      <c r="H1204" s="256"/>
      <c r="I1204" s="200"/>
      <c r="J1204" s="307" t="s">
        <v>1893</v>
      </c>
      <c r="K1204" s="200"/>
      <c r="L1204" s="200"/>
      <c r="M1204" s="308"/>
      <c r="N1204" s="308"/>
      <c r="O1204" s="309"/>
      <c r="P1204" s="310"/>
      <c r="Q1204" s="260"/>
      <c r="R1204" s="261"/>
      <c r="S1204" s="261"/>
      <c r="T1204" s="311"/>
      <c r="U1204" s="261"/>
      <c r="V1204" s="256"/>
      <c r="W1204" s="256"/>
      <c r="X1204" s="256"/>
      <c r="Y1204" s="256"/>
      <c r="Z1204" s="310"/>
      <c r="AA1204" s="200"/>
      <c r="AB1204" s="312"/>
      <c r="AC1204" s="313"/>
      <c r="AD1204" s="51"/>
      <c r="AE1204" s="314"/>
      <c r="AF1204" s="315"/>
      <c r="AG1204" s="309"/>
      <c r="AH1204" s="28"/>
      <c r="AI1204" s="28"/>
      <c r="AJ1204" s="28"/>
      <c r="AK1204" s="28"/>
      <c r="AL1204" s="12"/>
      <c r="AM1204" s="12"/>
      <c r="AN1204" s="12"/>
      <c r="AO1204" s="12"/>
      <c r="AP1204" s="12"/>
      <c r="AQ1204" s="13"/>
      <c r="AR1204" s="14"/>
    </row>
    <row r="1205" spans="1:44" s="16" customFormat="1" ht="30.95" hidden="1" customHeight="1" x14ac:dyDescent="0.2">
      <c r="A1205" s="303"/>
      <c r="B1205" s="304"/>
      <c r="C1205" s="305"/>
      <c r="D1205" s="306"/>
      <c r="E1205" s="306"/>
      <c r="F1205" s="255"/>
      <c r="G1205" s="256"/>
      <c r="H1205" s="256"/>
      <c r="I1205" s="200"/>
      <c r="J1205" s="307"/>
      <c r="K1205" s="200"/>
      <c r="L1205" s="200"/>
      <c r="M1205" s="308"/>
      <c r="N1205" s="308"/>
      <c r="O1205" s="309"/>
      <c r="P1205" s="310"/>
      <c r="Q1205" s="260"/>
      <c r="R1205" s="261"/>
      <c r="S1205" s="261"/>
      <c r="T1205" s="311"/>
      <c r="U1205" s="261"/>
      <c r="V1205" s="256"/>
      <c r="W1205" s="256"/>
      <c r="X1205" s="256"/>
      <c r="Y1205" s="256"/>
      <c r="Z1205" s="310"/>
      <c r="AA1205" s="200"/>
      <c r="AB1205" s="312"/>
      <c r="AC1205" s="313"/>
      <c r="AD1205" s="51"/>
      <c r="AE1205" s="314"/>
      <c r="AF1205" s="315"/>
      <c r="AG1205" s="309"/>
      <c r="AH1205" s="28"/>
      <c r="AI1205" s="28"/>
      <c r="AJ1205" s="28"/>
      <c r="AK1205" s="28"/>
      <c r="AL1205" s="12"/>
      <c r="AM1205" s="12"/>
      <c r="AN1205" s="12"/>
      <c r="AO1205" s="12"/>
      <c r="AP1205" s="12"/>
      <c r="AQ1205" s="13"/>
      <c r="AR1205" s="14"/>
    </row>
    <row r="1206" spans="1:44" s="16" customFormat="1" ht="30.95" hidden="1" customHeight="1" x14ac:dyDescent="0.2">
      <c r="A1206" s="303" t="s">
        <v>1924</v>
      </c>
      <c r="B1206" s="304" t="s">
        <v>1397</v>
      </c>
      <c r="C1206" s="305"/>
      <c r="D1206" s="306"/>
      <c r="E1206" s="306"/>
      <c r="F1206" s="255"/>
      <c r="G1206" s="256"/>
      <c r="H1206" s="256"/>
      <c r="I1206" s="200"/>
      <c r="J1206" s="307" t="s">
        <v>448</v>
      </c>
      <c r="K1206" s="200"/>
      <c r="L1206" s="200"/>
      <c r="M1206" s="308"/>
      <c r="N1206" s="308"/>
      <c r="O1206" s="309"/>
      <c r="P1206" s="310"/>
      <c r="Q1206" s="260"/>
      <c r="R1206" s="261"/>
      <c r="S1206" s="261"/>
      <c r="T1206" s="311"/>
      <c r="U1206" s="261"/>
      <c r="V1206" s="256"/>
      <c r="W1206" s="256"/>
      <c r="X1206" s="256"/>
      <c r="Y1206" s="256"/>
      <c r="Z1206" s="310"/>
      <c r="AA1206" s="200"/>
      <c r="AB1206" s="312"/>
      <c r="AC1206" s="313"/>
      <c r="AD1206" s="51"/>
      <c r="AE1206" s="314"/>
      <c r="AF1206" s="315"/>
      <c r="AG1206" s="309"/>
      <c r="AH1206" s="28"/>
      <c r="AI1206" s="28"/>
      <c r="AJ1206" s="28"/>
      <c r="AK1206" s="28"/>
      <c r="AL1206" s="12"/>
      <c r="AM1206" s="12"/>
      <c r="AN1206" s="12"/>
      <c r="AO1206" s="12"/>
      <c r="AP1206" s="12"/>
      <c r="AQ1206" s="13"/>
      <c r="AR1206" s="14"/>
    </row>
    <row r="1207" spans="1:44" s="16" customFormat="1" ht="30.95" hidden="1" customHeight="1" x14ac:dyDescent="0.2">
      <c r="A1207" s="303"/>
      <c r="B1207" s="304"/>
      <c r="C1207" s="305"/>
      <c r="D1207" s="306"/>
      <c r="E1207" s="306"/>
      <c r="F1207" s="255"/>
      <c r="G1207" s="256"/>
      <c r="H1207" s="256"/>
      <c r="I1207" s="200"/>
      <c r="J1207" s="307"/>
      <c r="K1207" s="200"/>
      <c r="L1207" s="200"/>
      <c r="M1207" s="308"/>
      <c r="N1207" s="308"/>
      <c r="O1207" s="309"/>
      <c r="P1207" s="310"/>
      <c r="Q1207" s="260"/>
      <c r="R1207" s="261"/>
      <c r="S1207" s="261"/>
      <c r="T1207" s="311"/>
      <c r="U1207" s="261"/>
      <c r="V1207" s="256"/>
      <c r="W1207" s="256"/>
      <c r="X1207" s="256"/>
      <c r="Y1207" s="256"/>
      <c r="Z1207" s="310"/>
      <c r="AA1207" s="200"/>
      <c r="AB1207" s="312"/>
      <c r="AC1207" s="313"/>
      <c r="AD1207" s="51"/>
      <c r="AE1207" s="314"/>
      <c r="AF1207" s="315"/>
      <c r="AG1207" s="309"/>
      <c r="AH1207" s="28"/>
      <c r="AI1207" s="28"/>
      <c r="AJ1207" s="28"/>
      <c r="AK1207" s="28"/>
      <c r="AL1207" s="12"/>
      <c r="AM1207" s="12"/>
      <c r="AN1207" s="12"/>
      <c r="AO1207" s="12"/>
      <c r="AP1207" s="12"/>
      <c r="AQ1207" s="13"/>
      <c r="AR1207" s="14"/>
    </row>
    <row r="1208" spans="1:44" s="16" customFormat="1" ht="30.95" hidden="1" customHeight="1" x14ac:dyDescent="0.2">
      <c r="A1208" s="303" t="s">
        <v>1925</v>
      </c>
      <c r="B1208" s="304" t="s">
        <v>392</v>
      </c>
      <c r="C1208" s="305"/>
      <c r="D1208" s="306"/>
      <c r="E1208" s="306"/>
      <c r="F1208" s="255"/>
      <c r="G1208" s="256"/>
      <c r="H1208" s="256"/>
      <c r="I1208" s="200"/>
      <c r="J1208" s="307" t="s">
        <v>448</v>
      </c>
      <c r="K1208" s="200"/>
      <c r="L1208" s="200"/>
      <c r="M1208" s="308"/>
      <c r="N1208" s="308"/>
      <c r="O1208" s="309"/>
      <c r="P1208" s="310"/>
      <c r="Q1208" s="260"/>
      <c r="R1208" s="261"/>
      <c r="S1208" s="261"/>
      <c r="T1208" s="311"/>
      <c r="U1208" s="261"/>
      <c r="V1208" s="256"/>
      <c r="W1208" s="256"/>
      <c r="X1208" s="256"/>
      <c r="Y1208" s="256"/>
      <c r="Z1208" s="310"/>
      <c r="AA1208" s="200"/>
      <c r="AB1208" s="312"/>
      <c r="AC1208" s="313"/>
      <c r="AD1208" s="51"/>
      <c r="AE1208" s="314"/>
      <c r="AF1208" s="315"/>
      <c r="AG1208" s="309"/>
      <c r="AH1208" s="28"/>
      <c r="AI1208" s="28"/>
      <c r="AJ1208" s="28"/>
      <c r="AK1208" s="28"/>
      <c r="AL1208" s="12"/>
      <c r="AM1208" s="12"/>
      <c r="AN1208" s="12"/>
      <c r="AO1208" s="12"/>
      <c r="AP1208" s="12"/>
      <c r="AQ1208" s="13"/>
      <c r="AR1208" s="14"/>
    </row>
    <row r="1209" spans="1:44" s="16" customFormat="1" ht="30.95" hidden="1" customHeight="1" x14ac:dyDescent="0.2">
      <c r="A1209" s="303"/>
      <c r="B1209" s="304"/>
      <c r="C1209" s="305"/>
      <c r="D1209" s="306"/>
      <c r="E1209" s="306"/>
      <c r="F1209" s="255"/>
      <c r="G1209" s="256"/>
      <c r="H1209" s="256"/>
      <c r="I1209" s="200"/>
      <c r="J1209" s="307"/>
      <c r="K1209" s="200"/>
      <c r="L1209" s="200"/>
      <c r="M1209" s="308"/>
      <c r="N1209" s="308"/>
      <c r="O1209" s="309"/>
      <c r="P1209" s="310"/>
      <c r="Q1209" s="260"/>
      <c r="R1209" s="261"/>
      <c r="S1209" s="261"/>
      <c r="T1209" s="311"/>
      <c r="U1209" s="261"/>
      <c r="V1209" s="256"/>
      <c r="W1209" s="256"/>
      <c r="X1209" s="256"/>
      <c r="Y1209" s="256"/>
      <c r="Z1209" s="310"/>
      <c r="AA1209" s="200"/>
      <c r="AB1209" s="312"/>
      <c r="AC1209" s="313"/>
      <c r="AD1209" s="51"/>
      <c r="AE1209" s="314"/>
      <c r="AF1209" s="315"/>
      <c r="AG1209" s="309"/>
      <c r="AH1209" s="28"/>
      <c r="AI1209" s="28"/>
      <c r="AJ1209" s="28"/>
      <c r="AK1209" s="28"/>
      <c r="AL1209" s="12"/>
      <c r="AM1209" s="12"/>
      <c r="AN1209" s="12"/>
      <c r="AO1209" s="12"/>
      <c r="AP1209" s="12"/>
      <c r="AQ1209" s="13"/>
      <c r="AR1209" s="14"/>
    </row>
    <row r="1210" spans="1:44" s="16" customFormat="1" ht="30.6" hidden="1" customHeight="1" x14ac:dyDescent="0.2">
      <c r="A1210" s="303" t="s">
        <v>1926</v>
      </c>
      <c r="B1210" s="304" t="s">
        <v>1402</v>
      </c>
      <c r="C1210" s="305"/>
      <c r="D1210" s="306"/>
      <c r="E1210" s="306"/>
      <c r="F1210" s="255"/>
      <c r="G1210" s="256"/>
      <c r="H1210" s="256"/>
      <c r="I1210" s="200"/>
      <c r="J1210" s="307" t="s">
        <v>1893</v>
      </c>
      <c r="K1210" s="200"/>
      <c r="L1210" s="200"/>
      <c r="M1210" s="308"/>
      <c r="N1210" s="308"/>
      <c r="O1210" s="309"/>
      <c r="P1210" s="310"/>
      <c r="Q1210" s="260"/>
      <c r="R1210" s="261"/>
      <c r="S1210" s="261"/>
      <c r="T1210" s="311"/>
      <c r="U1210" s="261"/>
      <c r="V1210" s="256"/>
      <c r="W1210" s="256"/>
      <c r="X1210" s="256"/>
      <c r="Y1210" s="256"/>
      <c r="Z1210" s="310"/>
      <c r="AA1210" s="200"/>
      <c r="AB1210" s="312"/>
      <c r="AC1210" s="313"/>
      <c r="AD1210" s="51"/>
      <c r="AE1210" s="314"/>
      <c r="AF1210" s="315"/>
      <c r="AG1210" s="309"/>
      <c r="AH1210" s="28"/>
      <c r="AI1210" s="28"/>
      <c r="AJ1210" s="28"/>
      <c r="AK1210" s="28"/>
      <c r="AL1210" s="12"/>
      <c r="AM1210" s="12"/>
      <c r="AN1210" s="12"/>
      <c r="AO1210" s="12"/>
      <c r="AP1210" s="12"/>
      <c r="AQ1210" s="13"/>
      <c r="AR1210" s="14"/>
    </row>
    <row r="1211" spans="1:44" s="16" customFormat="1" ht="30.6" hidden="1" customHeight="1" x14ac:dyDescent="0.2">
      <c r="A1211" s="303"/>
      <c r="B1211" s="304"/>
      <c r="C1211" s="305"/>
      <c r="D1211" s="306"/>
      <c r="E1211" s="306"/>
      <c r="F1211" s="255"/>
      <c r="G1211" s="256"/>
      <c r="H1211" s="256"/>
      <c r="I1211" s="200"/>
      <c r="J1211" s="307"/>
      <c r="K1211" s="200"/>
      <c r="L1211" s="200"/>
      <c r="M1211" s="308"/>
      <c r="N1211" s="308"/>
      <c r="O1211" s="309"/>
      <c r="P1211" s="310"/>
      <c r="Q1211" s="260"/>
      <c r="R1211" s="261"/>
      <c r="S1211" s="261"/>
      <c r="T1211" s="311"/>
      <c r="U1211" s="261"/>
      <c r="V1211" s="256"/>
      <c r="W1211" s="256"/>
      <c r="X1211" s="256"/>
      <c r="Y1211" s="256"/>
      <c r="Z1211" s="310"/>
      <c r="AA1211" s="200"/>
      <c r="AB1211" s="312"/>
      <c r="AC1211" s="313"/>
      <c r="AD1211" s="51"/>
      <c r="AE1211" s="314"/>
      <c r="AF1211" s="315"/>
      <c r="AG1211" s="309"/>
      <c r="AH1211" s="28"/>
      <c r="AI1211" s="28"/>
      <c r="AJ1211" s="28"/>
      <c r="AK1211" s="28"/>
      <c r="AL1211" s="12"/>
      <c r="AM1211" s="12"/>
      <c r="AN1211" s="12"/>
      <c r="AO1211" s="12"/>
      <c r="AP1211" s="12"/>
      <c r="AQ1211" s="13"/>
      <c r="AR1211" s="14"/>
    </row>
    <row r="1212" spans="1:44" s="16" customFormat="1" ht="30.6" hidden="1" customHeight="1" x14ac:dyDescent="0.2">
      <c r="A1212" s="303" t="s">
        <v>1927</v>
      </c>
      <c r="B1212" s="304" t="s">
        <v>1405</v>
      </c>
      <c r="C1212" s="305"/>
      <c r="D1212" s="306"/>
      <c r="E1212" s="306"/>
      <c r="F1212" s="255"/>
      <c r="G1212" s="256"/>
      <c r="H1212" s="256"/>
      <c r="I1212" s="200"/>
      <c r="J1212" s="307" t="s">
        <v>1893</v>
      </c>
      <c r="K1212" s="200"/>
      <c r="L1212" s="200"/>
      <c r="M1212" s="308"/>
      <c r="N1212" s="308"/>
      <c r="O1212" s="309"/>
      <c r="P1212" s="310"/>
      <c r="Q1212" s="260"/>
      <c r="R1212" s="261"/>
      <c r="S1212" s="261"/>
      <c r="T1212" s="311"/>
      <c r="U1212" s="261"/>
      <c r="V1212" s="256"/>
      <c r="W1212" s="256"/>
      <c r="X1212" s="256"/>
      <c r="Y1212" s="256"/>
      <c r="Z1212" s="310"/>
      <c r="AA1212" s="200"/>
      <c r="AB1212" s="312"/>
      <c r="AC1212" s="313"/>
      <c r="AD1212" s="51"/>
      <c r="AE1212" s="314"/>
      <c r="AF1212" s="315"/>
      <c r="AG1212" s="309"/>
      <c r="AH1212" s="28"/>
      <c r="AI1212" s="28"/>
      <c r="AJ1212" s="28"/>
      <c r="AK1212" s="28"/>
      <c r="AL1212" s="12"/>
      <c r="AM1212" s="12"/>
      <c r="AN1212" s="12"/>
      <c r="AO1212" s="12"/>
      <c r="AP1212" s="12"/>
      <c r="AQ1212" s="13"/>
      <c r="AR1212" s="14"/>
    </row>
    <row r="1213" spans="1:44" s="16" customFormat="1" ht="30.6" hidden="1" customHeight="1" x14ac:dyDescent="0.2">
      <c r="A1213" s="303"/>
      <c r="B1213" s="304"/>
      <c r="C1213" s="305"/>
      <c r="D1213" s="306"/>
      <c r="E1213" s="306"/>
      <c r="F1213" s="255"/>
      <c r="G1213" s="256"/>
      <c r="H1213" s="256"/>
      <c r="I1213" s="200"/>
      <c r="J1213" s="307"/>
      <c r="K1213" s="200"/>
      <c r="L1213" s="200"/>
      <c r="M1213" s="308"/>
      <c r="N1213" s="308"/>
      <c r="O1213" s="309"/>
      <c r="P1213" s="310"/>
      <c r="Q1213" s="260"/>
      <c r="R1213" s="261"/>
      <c r="S1213" s="261"/>
      <c r="T1213" s="311"/>
      <c r="U1213" s="261"/>
      <c r="V1213" s="256"/>
      <c r="W1213" s="256"/>
      <c r="X1213" s="256"/>
      <c r="Y1213" s="256"/>
      <c r="Z1213" s="310"/>
      <c r="AA1213" s="200"/>
      <c r="AB1213" s="312"/>
      <c r="AC1213" s="313"/>
      <c r="AD1213" s="51"/>
      <c r="AE1213" s="314"/>
      <c r="AF1213" s="315"/>
      <c r="AG1213" s="309"/>
      <c r="AH1213" s="28"/>
      <c r="AI1213" s="28"/>
      <c r="AJ1213" s="28"/>
      <c r="AK1213" s="28"/>
      <c r="AL1213" s="12"/>
      <c r="AM1213" s="12"/>
      <c r="AN1213" s="12"/>
      <c r="AO1213" s="12"/>
      <c r="AP1213" s="12"/>
      <c r="AQ1213" s="13"/>
      <c r="AR1213" s="14"/>
    </row>
    <row r="1214" spans="1:44" s="16" customFormat="1" ht="30.95" hidden="1" customHeight="1" x14ac:dyDescent="0.2">
      <c r="A1214" s="303" t="s">
        <v>1928</v>
      </c>
      <c r="B1214" s="304" t="s">
        <v>1412</v>
      </c>
      <c r="C1214" s="305"/>
      <c r="D1214" s="306"/>
      <c r="E1214" s="306"/>
      <c r="F1214" s="255"/>
      <c r="G1214" s="256"/>
      <c r="H1214" s="256"/>
      <c r="I1214" s="200"/>
      <c r="J1214" s="307" t="s">
        <v>1893</v>
      </c>
      <c r="K1214" s="200"/>
      <c r="L1214" s="200"/>
      <c r="M1214" s="308"/>
      <c r="N1214" s="308"/>
      <c r="O1214" s="309"/>
      <c r="P1214" s="310"/>
      <c r="Q1214" s="260"/>
      <c r="R1214" s="261"/>
      <c r="S1214" s="261"/>
      <c r="T1214" s="311"/>
      <c r="U1214" s="261"/>
      <c r="V1214" s="256"/>
      <c r="W1214" s="256"/>
      <c r="X1214" s="256"/>
      <c r="Y1214" s="256"/>
      <c r="Z1214" s="310"/>
      <c r="AA1214" s="200"/>
      <c r="AB1214" s="312"/>
      <c r="AC1214" s="313"/>
      <c r="AD1214" s="51"/>
      <c r="AE1214" s="314"/>
      <c r="AF1214" s="315"/>
      <c r="AG1214" s="309"/>
      <c r="AH1214" s="28"/>
      <c r="AI1214" s="28"/>
      <c r="AJ1214" s="28"/>
      <c r="AK1214" s="28"/>
      <c r="AL1214" s="12"/>
      <c r="AM1214" s="12"/>
      <c r="AN1214" s="12"/>
      <c r="AO1214" s="12"/>
      <c r="AP1214" s="12"/>
      <c r="AQ1214" s="13"/>
      <c r="AR1214" s="14"/>
    </row>
    <row r="1215" spans="1:44" s="16" customFormat="1" ht="30.95" hidden="1" customHeight="1" x14ac:dyDescent="0.2">
      <c r="A1215" s="303"/>
      <c r="B1215" s="304"/>
      <c r="C1215" s="305"/>
      <c r="D1215" s="306"/>
      <c r="E1215" s="306"/>
      <c r="F1215" s="255"/>
      <c r="G1215" s="256"/>
      <c r="H1215" s="256"/>
      <c r="I1215" s="200"/>
      <c r="J1215" s="307"/>
      <c r="K1215" s="200"/>
      <c r="L1215" s="200"/>
      <c r="M1215" s="308"/>
      <c r="N1215" s="308"/>
      <c r="O1215" s="309"/>
      <c r="P1215" s="310"/>
      <c r="Q1215" s="260"/>
      <c r="R1215" s="261"/>
      <c r="S1215" s="261"/>
      <c r="T1215" s="311"/>
      <c r="U1215" s="261"/>
      <c r="V1215" s="256"/>
      <c r="W1215" s="256"/>
      <c r="X1215" s="256"/>
      <c r="Y1215" s="256"/>
      <c r="Z1215" s="310"/>
      <c r="AA1215" s="200"/>
      <c r="AB1215" s="312"/>
      <c r="AC1215" s="313"/>
      <c r="AD1215" s="51"/>
      <c r="AE1215" s="314"/>
      <c r="AF1215" s="315"/>
      <c r="AG1215" s="309"/>
      <c r="AH1215" s="28"/>
      <c r="AI1215" s="28"/>
      <c r="AJ1215" s="28"/>
      <c r="AK1215" s="28"/>
      <c r="AL1215" s="12"/>
      <c r="AM1215" s="12"/>
      <c r="AN1215" s="12"/>
      <c r="AO1215" s="12"/>
      <c r="AP1215" s="12"/>
      <c r="AQ1215" s="13"/>
      <c r="AR1215" s="14"/>
    </row>
    <row r="1216" spans="1:44" s="16" customFormat="1" ht="30.95" hidden="1" customHeight="1" x14ac:dyDescent="0.2">
      <c r="A1216" s="303" t="s">
        <v>1929</v>
      </c>
      <c r="B1216" s="304" t="s">
        <v>1408</v>
      </c>
      <c r="C1216" s="305"/>
      <c r="D1216" s="306"/>
      <c r="E1216" s="306"/>
      <c r="F1216" s="255"/>
      <c r="G1216" s="256"/>
      <c r="H1216" s="256"/>
      <c r="I1216" s="200"/>
      <c r="J1216" s="307" t="s">
        <v>1893</v>
      </c>
      <c r="K1216" s="200"/>
      <c r="L1216" s="200"/>
      <c r="M1216" s="308"/>
      <c r="N1216" s="308"/>
      <c r="O1216" s="309"/>
      <c r="P1216" s="310"/>
      <c r="Q1216" s="260"/>
      <c r="R1216" s="261"/>
      <c r="S1216" s="261"/>
      <c r="T1216" s="311"/>
      <c r="U1216" s="261"/>
      <c r="V1216" s="256"/>
      <c r="W1216" s="256"/>
      <c r="X1216" s="256"/>
      <c r="Y1216" s="256"/>
      <c r="Z1216" s="310"/>
      <c r="AA1216" s="200"/>
      <c r="AB1216" s="312"/>
      <c r="AC1216" s="313"/>
      <c r="AD1216" s="51"/>
      <c r="AE1216" s="314"/>
      <c r="AF1216" s="315"/>
      <c r="AG1216" s="309"/>
      <c r="AH1216" s="28"/>
      <c r="AI1216" s="28"/>
      <c r="AJ1216" s="28"/>
      <c r="AK1216" s="28"/>
      <c r="AL1216" s="12"/>
      <c r="AM1216" s="12"/>
      <c r="AN1216" s="12"/>
      <c r="AO1216" s="12"/>
      <c r="AP1216" s="12"/>
      <c r="AQ1216" s="13"/>
      <c r="AR1216" s="14"/>
    </row>
    <row r="1217" spans="1:44" s="16" customFormat="1" ht="30.95" hidden="1" customHeight="1" x14ac:dyDescent="0.2">
      <c r="A1217" s="303"/>
      <c r="B1217" s="304"/>
      <c r="C1217" s="305"/>
      <c r="D1217" s="306"/>
      <c r="E1217" s="306"/>
      <c r="F1217" s="255"/>
      <c r="G1217" s="256"/>
      <c r="H1217" s="256"/>
      <c r="I1217" s="200"/>
      <c r="J1217" s="307"/>
      <c r="K1217" s="200"/>
      <c r="L1217" s="200"/>
      <c r="M1217" s="308"/>
      <c r="N1217" s="308"/>
      <c r="O1217" s="309"/>
      <c r="P1217" s="310"/>
      <c r="Q1217" s="260"/>
      <c r="R1217" s="261"/>
      <c r="S1217" s="261"/>
      <c r="T1217" s="311"/>
      <c r="U1217" s="261"/>
      <c r="V1217" s="256"/>
      <c r="W1217" s="256"/>
      <c r="X1217" s="256"/>
      <c r="Y1217" s="256"/>
      <c r="Z1217" s="310"/>
      <c r="AA1217" s="200"/>
      <c r="AB1217" s="312"/>
      <c r="AC1217" s="313"/>
      <c r="AD1217" s="51"/>
      <c r="AE1217" s="314"/>
      <c r="AF1217" s="315"/>
      <c r="AG1217" s="309"/>
      <c r="AH1217" s="28"/>
      <c r="AI1217" s="28"/>
      <c r="AJ1217" s="28"/>
      <c r="AK1217" s="28"/>
      <c r="AL1217" s="12"/>
      <c r="AM1217" s="12"/>
      <c r="AN1217" s="12"/>
      <c r="AO1217" s="12"/>
      <c r="AP1217" s="12"/>
      <c r="AQ1217" s="13"/>
      <c r="AR1217" s="14"/>
    </row>
    <row r="1218" spans="1:44" s="16" customFormat="1" ht="30.95" hidden="1" customHeight="1" x14ac:dyDescent="0.2">
      <c r="A1218" s="303" t="s">
        <v>1930</v>
      </c>
      <c r="B1218" s="304" t="s">
        <v>1409</v>
      </c>
      <c r="C1218" s="305"/>
      <c r="D1218" s="306"/>
      <c r="E1218" s="306"/>
      <c r="F1218" s="255"/>
      <c r="G1218" s="256"/>
      <c r="H1218" s="256"/>
      <c r="I1218" s="200"/>
      <c r="J1218" s="307" t="s">
        <v>1893</v>
      </c>
      <c r="K1218" s="200"/>
      <c r="L1218" s="200"/>
      <c r="M1218" s="308"/>
      <c r="N1218" s="308"/>
      <c r="O1218" s="309"/>
      <c r="P1218" s="310"/>
      <c r="Q1218" s="260"/>
      <c r="R1218" s="261"/>
      <c r="S1218" s="261"/>
      <c r="T1218" s="311"/>
      <c r="U1218" s="261"/>
      <c r="V1218" s="256"/>
      <c r="W1218" s="256"/>
      <c r="X1218" s="256"/>
      <c r="Y1218" s="256"/>
      <c r="Z1218" s="310"/>
      <c r="AA1218" s="200"/>
      <c r="AB1218" s="312"/>
      <c r="AC1218" s="313"/>
      <c r="AD1218" s="51"/>
      <c r="AE1218" s="314"/>
      <c r="AF1218" s="315"/>
      <c r="AG1218" s="309"/>
      <c r="AH1218" s="28"/>
      <c r="AI1218" s="28"/>
      <c r="AJ1218" s="28"/>
      <c r="AK1218" s="28"/>
      <c r="AL1218" s="12"/>
      <c r="AM1218" s="12"/>
      <c r="AN1218" s="12"/>
      <c r="AO1218" s="12"/>
      <c r="AP1218" s="12"/>
      <c r="AQ1218" s="13"/>
      <c r="AR1218" s="14"/>
    </row>
    <row r="1219" spans="1:44" s="16" customFormat="1" ht="30.95" hidden="1" customHeight="1" x14ac:dyDescent="0.2">
      <c r="A1219" s="303"/>
      <c r="B1219" s="304"/>
      <c r="C1219" s="305"/>
      <c r="D1219" s="306"/>
      <c r="E1219" s="306"/>
      <c r="F1219" s="255"/>
      <c r="G1219" s="256"/>
      <c r="H1219" s="256"/>
      <c r="I1219" s="200"/>
      <c r="J1219" s="307"/>
      <c r="K1219" s="200"/>
      <c r="L1219" s="200"/>
      <c r="M1219" s="308"/>
      <c r="N1219" s="308"/>
      <c r="O1219" s="309"/>
      <c r="P1219" s="310"/>
      <c r="Q1219" s="260"/>
      <c r="R1219" s="261"/>
      <c r="S1219" s="261"/>
      <c r="T1219" s="311"/>
      <c r="U1219" s="261"/>
      <c r="V1219" s="256"/>
      <c r="W1219" s="256"/>
      <c r="X1219" s="256"/>
      <c r="Y1219" s="256"/>
      <c r="Z1219" s="310"/>
      <c r="AA1219" s="200"/>
      <c r="AB1219" s="312"/>
      <c r="AC1219" s="313"/>
      <c r="AD1219" s="51"/>
      <c r="AE1219" s="314"/>
      <c r="AF1219" s="315"/>
      <c r="AG1219" s="309"/>
      <c r="AH1219" s="28"/>
      <c r="AI1219" s="28"/>
      <c r="AJ1219" s="28"/>
      <c r="AK1219" s="28"/>
      <c r="AL1219" s="12"/>
      <c r="AM1219" s="12"/>
      <c r="AN1219" s="12"/>
      <c r="AO1219" s="12"/>
      <c r="AP1219" s="12"/>
      <c r="AQ1219" s="13"/>
      <c r="AR1219" s="14"/>
    </row>
    <row r="1220" spans="1:44" s="16" customFormat="1" ht="30.95" hidden="1" customHeight="1" x14ac:dyDescent="0.2">
      <c r="A1220" s="303" t="s">
        <v>1931</v>
      </c>
      <c r="B1220" s="304" t="s">
        <v>1397</v>
      </c>
      <c r="C1220" s="305"/>
      <c r="D1220" s="306"/>
      <c r="E1220" s="306"/>
      <c r="F1220" s="255"/>
      <c r="G1220" s="256"/>
      <c r="H1220" s="256"/>
      <c r="I1220" s="200"/>
      <c r="J1220" s="307" t="s">
        <v>448</v>
      </c>
      <c r="K1220" s="200"/>
      <c r="L1220" s="200"/>
      <c r="M1220" s="308"/>
      <c r="N1220" s="308"/>
      <c r="O1220" s="309"/>
      <c r="P1220" s="310"/>
      <c r="Q1220" s="260"/>
      <c r="R1220" s="261"/>
      <c r="S1220" s="261"/>
      <c r="T1220" s="311"/>
      <c r="U1220" s="261"/>
      <c r="V1220" s="256"/>
      <c r="W1220" s="256"/>
      <c r="X1220" s="256"/>
      <c r="Y1220" s="256"/>
      <c r="Z1220" s="310"/>
      <c r="AA1220" s="200"/>
      <c r="AB1220" s="312"/>
      <c r="AC1220" s="313"/>
      <c r="AD1220" s="51"/>
      <c r="AE1220" s="314"/>
      <c r="AF1220" s="315"/>
      <c r="AG1220" s="309"/>
      <c r="AH1220" s="28"/>
      <c r="AI1220" s="28"/>
      <c r="AJ1220" s="28"/>
      <c r="AK1220" s="28"/>
      <c r="AL1220" s="12"/>
      <c r="AM1220" s="12"/>
      <c r="AN1220" s="12"/>
      <c r="AO1220" s="12"/>
      <c r="AP1220" s="12"/>
      <c r="AQ1220" s="13"/>
      <c r="AR1220" s="14"/>
    </row>
    <row r="1221" spans="1:44" s="16" customFormat="1" ht="30.95" hidden="1" customHeight="1" x14ac:dyDescent="0.2">
      <c r="A1221" s="303"/>
      <c r="B1221" s="304"/>
      <c r="C1221" s="305"/>
      <c r="D1221" s="306"/>
      <c r="E1221" s="306"/>
      <c r="F1221" s="255"/>
      <c r="G1221" s="256"/>
      <c r="H1221" s="256"/>
      <c r="I1221" s="200"/>
      <c r="J1221" s="307"/>
      <c r="K1221" s="200"/>
      <c r="L1221" s="200"/>
      <c r="M1221" s="308"/>
      <c r="N1221" s="308"/>
      <c r="O1221" s="309"/>
      <c r="P1221" s="310"/>
      <c r="Q1221" s="260"/>
      <c r="R1221" s="261"/>
      <c r="S1221" s="261"/>
      <c r="T1221" s="311"/>
      <c r="U1221" s="261"/>
      <c r="V1221" s="256"/>
      <c r="W1221" s="256"/>
      <c r="X1221" s="256"/>
      <c r="Y1221" s="256"/>
      <c r="Z1221" s="310"/>
      <c r="AA1221" s="200"/>
      <c r="AB1221" s="312"/>
      <c r="AC1221" s="313"/>
      <c r="AD1221" s="51"/>
      <c r="AE1221" s="314"/>
      <c r="AF1221" s="315"/>
      <c r="AG1221" s="309"/>
      <c r="AH1221" s="28"/>
      <c r="AI1221" s="28"/>
      <c r="AJ1221" s="28"/>
      <c r="AK1221" s="28"/>
      <c r="AL1221" s="12"/>
      <c r="AM1221" s="12"/>
      <c r="AN1221" s="12"/>
      <c r="AO1221" s="12"/>
      <c r="AP1221" s="12"/>
      <c r="AQ1221" s="13"/>
      <c r="AR1221" s="14"/>
    </row>
    <row r="1222" spans="1:44" s="16" customFormat="1" ht="30.95" hidden="1" customHeight="1" x14ac:dyDescent="0.2">
      <c r="A1222" s="303" t="s">
        <v>1932</v>
      </c>
      <c r="B1222" s="304" t="s">
        <v>392</v>
      </c>
      <c r="C1222" s="305"/>
      <c r="D1222" s="306"/>
      <c r="E1222" s="306"/>
      <c r="F1222" s="255"/>
      <c r="G1222" s="256"/>
      <c r="H1222" s="256"/>
      <c r="I1222" s="200"/>
      <c r="J1222" s="307" t="s">
        <v>448</v>
      </c>
      <c r="K1222" s="200"/>
      <c r="L1222" s="200"/>
      <c r="M1222" s="308"/>
      <c r="N1222" s="308"/>
      <c r="O1222" s="309"/>
      <c r="P1222" s="310"/>
      <c r="Q1222" s="260"/>
      <c r="R1222" s="261"/>
      <c r="S1222" s="261"/>
      <c r="T1222" s="311"/>
      <c r="U1222" s="261"/>
      <c r="V1222" s="256"/>
      <c r="W1222" s="256"/>
      <c r="X1222" s="256"/>
      <c r="Y1222" s="256"/>
      <c r="Z1222" s="310"/>
      <c r="AA1222" s="200"/>
      <c r="AB1222" s="312"/>
      <c r="AC1222" s="313"/>
      <c r="AD1222" s="51"/>
      <c r="AE1222" s="314"/>
      <c r="AF1222" s="315"/>
      <c r="AG1222" s="309"/>
      <c r="AH1222" s="28"/>
      <c r="AI1222" s="28"/>
      <c r="AJ1222" s="28"/>
      <c r="AK1222" s="28"/>
      <c r="AL1222" s="12"/>
      <c r="AM1222" s="12"/>
      <c r="AN1222" s="12"/>
      <c r="AO1222" s="12"/>
      <c r="AP1222" s="12"/>
      <c r="AQ1222" s="13"/>
      <c r="AR1222" s="14"/>
    </row>
    <row r="1223" spans="1:44" s="16" customFormat="1" ht="30.95" hidden="1" customHeight="1" x14ac:dyDescent="0.2">
      <c r="A1223" s="303"/>
      <c r="B1223" s="304"/>
      <c r="C1223" s="305"/>
      <c r="D1223" s="306"/>
      <c r="E1223" s="306"/>
      <c r="F1223" s="255"/>
      <c r="G1223" s="256"/>
      <c r="H1223" s="256"/>
      <c r="I1223" s="200"/>
      <c r="J1223" s="307"/>
      <c r="K1223" s="200"/>
      <c r="L1223" s="200"/>
      <c r="M1223" s="308"/>
      <c r="N1223" s="308"/>
      <c r="O1223" s="309"/>
      <c r="P1223" s="310"/>
      <c r="Q1223" s="260"/>
      <c r="R1223" s="261"/>
      <c r="S1223" s="261"/>
      <c r="T1223" s="311"/>
      <c r="U1223" s="261"/>
      <c r="V1223" s="256"/>
      <c r="W1223" s="256"/>
      <c r="X1223" s="256"/>
      <c r="Y1223" s="256"/>
      <c r="Z1223" s="310"/>
      <c r="AA1223" s="200"/>
      <c r="AB1223" s="312"/>
      <c r="AC1223" s="313"/>
      <c r="AD1223" s="51"/>
      <c r="AE1223" s="314"/>
      <c r="AF1223" s="315"/>
      <c r="AG1223" s="309"/>
      <c r="AH1223" s="28"/>
      <c r="AI1223" s="28"/>
      <c r="AJ1223" s="28"/>
      <c r="AK1223" s="28"/>
      <c r="AL1223" s="12"/>
      <c r="AM1223" s="12"/>
      <c r="AN1223" s="12"/>
      <c r="AO1223" s="12"/>
      <c r="AP1223" s="12"/>
      <c r="AQ1223" s="13"/>
      <c r="AR1223" s="14"/>
    </row>
    <row r="1224" spans="1:44" s="16" customFormat="1" ht="30.95" hidden="1" customHeight="1" x14ac:dyDescent="0.2">
      <c r="A1224" s="303" t="s">
        <v>1933</v>
      </c>
      <c r="B1224" s="304" t="s">
        <v>1402</v>
      </c>
      <c r="C1224" s="305"/>
      <c r="D1224" s="306"/>
      <c r="E1224" s="306"/>
      <c r="F1224" s="255"/>
      <c r="G1224" s="256"/>
      <c r="H1224" s="256"/>
      <c r="I1224" s="200"/>
      <c r="J1224" s="307" t="s">
        <v>1968</v>
      </c>
      <c r="K1224" s="200"/>
      <c r="L1224" s="200"/>
      <c r="M1224" s="308"/>
      <c r="N1224" s="308"/>
      <c r="O1224" s="309"/>
      <c r="P1224" s="310"/>
      <c r="Q1224" s="260"/>
      <c r="R1224" s="261"/>
      <c r="S1224" s="261"/>
      <c r="T1224" s="311"/>
      <c r="U1224" s="261"/>
      <c r="V1224" s="256"/>
      <c r="W1224" s="256"/>
      <c r="X1224" s="256"/>
      <c r="Y1224" s="256"/>
      <c r="Z1224" s="310"/>
      <c r="AA1224" s="200"/>
      <c r="AB1224" s="312"/>
      <c r="AC1224" s="313"/>
      <c r="AD1224" s="51"/>
      <c r="AE1224" s="314"/>
      <c r="AF1224" s="315"/>
      <c r="AG1224" s="309"/>
      <c r="AH1224" s="28"/>
      <c r="AI1224" s="28"/>
      <c r="AJ1224" s="28"/>
      <c r="AK1224" s="28"/>
      <c r="AL1224" s="12"/>
      <c r="AM1224" s="12"/>
      <c r="AN1224" s="12"/>
      <c r="AO1224" s="12"/>
      <c r="AP1224" s="12"/>
      <c r="AQ1224" s="13"/>
      <c r="AR1224" s="14"/>
    </row>
    <row r="1225" spans="1:44" s="16" customFormat="1" ht="30.95" hidden="1" customHeight="1" x14ac:dyDescent="0.2">
      <c r="A1225" s="303"/>
      <c r="B1225" s="304"/>
      <c r="C1225" s="305"/>
      <c r="D1225" s="306"/>
      <c r="E1225" s="306"/>
      <c r="F1225" s="255"/>
      <c r="G1225" s="256"/>
      <c r="H1225" s="256"/>
      <c r="I1225" s="200"/>
      <c r="J1225" s="307"/>
      <c r="K1225" s="200"/>
      <c r="L1225" s="200"/>
      <c r="M1225" s="308"/>
      <c r="N1225" s="308"/>
      <c r="O1225" s="309"/>
      <c r="P1225" s="310"/>
      <c r="Q1225" s="260"/>
      <c r="R1225" s="261"/>
      <c r="S1225" s="261"/>
      <c r="T1225" s="311"/>
      <c r="U1225" s="261"/>
      <c r="V1225" s="256"/>
      <c r="W1225" s="256"/>
      <c r="X1225" s="256"/>
      <c r="Y1225" s="256"/>
      <c r="Z1225" s="310"/>
      <c r="AA1225" s="200"/>
      <c r="AB1225" s="312"/>
      <c r="AC1225" s="313"/>
      <c r="AD1225" s="51"/>
      <c r="AE1225" s="314"/>
      <c r="AF1225" s="315"/>
      <c r="AG1225" s="309"/>
      <c r="AH1225" s="28"/>
      <c r="AI1225" s="28"/>
      <c r="AJ1225" s="28"/>
      <c r="AK1225" s="28"/>
      <c r="AL1225" s="12"/>
      <c r="AM1225" s="12"/>
      <c r="AN1225" s="12"/>
      <c r="AO1225" s="12"/>
      <c r="AP1225" s="12"/>
      <c r="AQ1225" s="13"/>
      <c r="AR1225" s="14"/>
    </row>
    <row r="1226" spans="1:44" s="16" customFormat="1" ht="30.95" hidden="1" customHeight="1" x14ac:dyDescent="0.2">
      <c r="A1226" s="303" t="s">
        <v>1934</v>
      </c>
      <c r="B1226" s="304" t="s">
        <v>1405</v>
      </c>
      <c r="C1226" s="305"/>
      <c r="D1226" s="306"/>
      <c r="E1226" s="306"/>
      <c r="F1226" s="255"/>
      <c r="G1226" s="256"/>
      <c r="H1226" s="256"/>
      <c r="I1226" s="200"/>
      <c r="J1226" s="307" t="s">
        <v>1969</v>
      </c>
      <c r="K1226" s="200"/>
      <c r="L1226" s="200"/>
      <c r="M1226" s="308"/>
      <c r="N1226" s="308"/>
      <c r="O1226" s="309"/>
      <c r="P1226" s="310"/>
      <c r="Q1226" s="260"/>
      <c r="R1226" s="261"/>
      <c r="S1226" s="261"/>
      <c r="T1226" s="311"/>
      <c r="U1226" s="261"/>
      <c r="V1226" s="256"/>
      <c r="W1226" s="256"/>
      <c r="X1226" s="256"/>
      <c r="Y1226" s="256"/>
      <c r="Z1226" s="310"/>
      <c r="AA1226" s="200"/>
      <c r="AB1226" s="312"/>
      <c r="AC1226" s="313"/>
      <c r="AD1226" s="51"/>
      <c r="AE1226" s="314"/>
      <c r="AF1226" s="315"/>
      <c r="AG1226" s="309"/>
      <c r="AH1226" s="28"/>
      <c r="AI1226" s="28"/>
      <c r="AJ1226" s="28"/>
      <c r="AK1226" s="28"/>
      <c r="AL1226" s="12"/>
      <c r="AM1226" s="12"/>
      <c r="AN1226" s="12"/>
      <c r="AO1226" s="12"/>
      <c r="AP1226" s="12"/>
      <c r="AQ1226" s="13"/>
      <c r="AR1226" s="14"/>
    </row>
    <row r="1227" spans="1:44" s="16" customFormat="1" ht="30.95" hidden="1" customHeight="1" x14ac:dyDescent="0.2">
      <c r="A1227" s="303"/>
      <c r="B1227" s="304"/>
      <c r="C1227" s="305"/>
      <c r="D1227" s="306"/>
      <c r="E1227" s="306"/>
      <c r="F1227" s="255"/>
      <c r="G1227" s="256"/>
      <c r="H1227" s="256"/>
      <c r="I1227" s="200"/>
      <c r="J1227" s="307"/>
      <c r="K1227" s="200"/>
      <c r="L1227" s="200"/>
      <c r="M1227" s="308"/>
      <c r="N1227" s="308"/>
      <c r="O1227" s="309"/>
      <c r="P1227" s="310"/>
      <c r="Q1227" s="260"/>
      <c r="R1227" s="261"/>
      <c r="S1227" s="261"/>
      <c r="T1227" s="311"/>
      <c r="U1227" s="261"/>
      <c r="V1227" s="256"/>
      <c r="W1227" s="256"/>
      <c r="X1227" s="256"/>
      <c r="Y1227" s="256"/>
      <c r="Z1227" s="310"/>
      <c r="AA1227" s="200"/>
      <c r="AB1227" s="312"/>
      <c r="AC1227" s="313"/>
      <c r="AD1227" s="51"/>
      <c r="AE1227" s="314"/>
      <c r="AF1227" s="315"/>
      <c r="AG1227" s="309"/>
      <c r="AH1227" s="28"/>
      <c r="AI1227" s="28"/>
      <c r="AJ1227" s="28"/>
      <c r="AK1227" s="28"/>
      <c r="AL1227" s="12"/>
      <c r="AM1227" s="12"/>
      <c r="AN1227" s="12"/>
      <c r="AO1227" s="12"/>
      <c r="AP1227" s="12"/>
      <c r="AQ1227" s="13"/>
      <c r="AR1227" s="14"/>
    </row>
    <row r="1228" spans="1:44" s="16" customFormat="1" ht="30.95" hidden="1" customHeight="1" x14ac:dyDescent="0.2">
      <c r="A1228" s="303" t="s">
        <v>873</v>
      </c>
      <c r="B1228" s="304" t="s">
        <v>442</v>
      </c>
      <c r="C1228" s="305"/>
      <c r="D1228" s="29"/>
      <c r="E1228" s="29"/>
      <c r="F1228" s="255"/>
      <c r="G1228" s="256"/>
      <c r="H1228" s="256"/>
      <c r="I1228" s="200"/>
      <c r="J1228" s="307" t="s">
        <v>1893</v>
      </c>
      <c r="K1228" s="200"/>
      <c r="L1228" s="200"/>
      <c r="M1228" s="37"/>
      <c r="N1228" s="37"/>
      <c r="O1228" s="45"/>
      <c r="P1228" s="54"/>
      <c r="Q1228" s="260"/>
      <c r="R1228" s="261"/>
      <c r="S1228" s="261"/>
      <c r="T1228" s="38"/>
      <c r="U1228" s="261"/>
      <c r="V1228" s="256"/>
      <c r="W1228" s="256"/>
      <c r="X1228" s="256"/>
      <c r="Y1228" s="256"/>
      <c r="Z1228" s="310"/>
      <c r="AA1228" s="200" t="str">
        <f>IFERROR(VLOOKUP(F1228&amp;K1228&amp;M1228,製品マスタ!$M$5:$AM$4999,27,FALSE),"")</f>
        <v/>
      </c>
      <c r="AB1228" s="312"/>
      <c r="AC1228" s="313"/>
      <c r="AD1228" s="51"/>
      <c r="AE1228" s="314">
        <f>+M1228*N1228*O1228/1000</f>
        <v>0</v>
      </c>
      <c r="AF1228" s="315"/>
      <c r="AG1228" s="309"/>
      <c r="AH1228" s="28"/>
      <c r="AI1228" s="28"/>
      <c r="AJ1228" s="28"/>
      <c r="AK1228" s="28"/>
      <c r="AL1228" s="12"/>
      <c r="AM1228" s="12"/>
      <c r="AN1228" s="12"/>
      <c r="AO1228" s="12"/>
      <c r="AP1228" s="12"/>
      <c r="AQ1228" s="13"/>
      <c r="AR1228" s="14"/>
    </row>
    <row r="1229" spans="1:44" s="16" customFormat="1" ht="30.95" hidden="1" customHeight="1" x14ac:dyDescent="0.2">
      <c r="A1229" s="303"/>
      <c r="B1229" s="304"/>
      <c r="C1229" s="305"/>
      <c r="D1229" s="306"/>
      <c r="E1229" s="306"/>
      <c r="F1229" s="255"/>
      <c r="G1229" s="256"/>
      <c r="H1229" s="256"/>
      <c r="I1229" s="200"/>
      <c r="J1229" s="307"/>
      <c r="K1229" s="200"/>
      <c r="L1229" s="200"/>
      <c r="M1229" s="308"/>
      <c r="N1229" s="308"/>
      <c r="O1229" s="309"/>
      <c r="P1229" s="310"/>
      <c r="Q1229" s="260"/>
      <c r="R1229" s="261"/>
      <c r="S1229" s="261"/>
      <c r="T1229" s="311"/>
      <c r="U1229" s="261"/>
      <c r="V1229" s="256"/>
      <c r="W1229" s="256"/>
      <c r="X1229" s="256"/>
      <c r="Y1229" s="256"/>
      <c r="Z1229" s="310"/>
      <c r="AA1229" s="200"/>
      <c r="AB1229" s="312"/>
      <c r="AC1229" s="313"/>
      <c r="AD1229" s="51"/>
      <c r="AE1229" s="314"/>
      <c r="AF1229" s="315"/>
      <c r="AG1229" s="309"/>
      <c r="AH1229" s="28"/>
      <c r="AI1229" s="28"/>
      <c r="AJ1229" s="28"/>
      <c r="AK1229" s="28"/>
      <c r="AL1229" s="12"/>
      <c r="AM1229" s="12"/>
      <c r="AN1229" s="12"/>
      <c r="AO1229" s="12"/>
      <c r="AP1229" s="12"/>
      <c r="AQ1229" s="13"/>
      <c r="AR1229" s="14"/>
    </row>
    <row r="1230" spans="1:44" s="16" customFormat="1" ht="30.95" hidden="1" customHeight="1" x14ac:dyDescent="0.2">
      <c r="A1230" s="303" t="s">
        <v>1965</v>
      </c>
      <c r="B1230" s="304" t="s">
        <v>1966</v>
      </c>
      <c r="C1230" s="305"/>
      <c r="D1230" s="29"/>
      <c r="E1230" s="29"/>
      <c r="F1230" s="255"/>
      <c r="G1230" s="256"/>
      <c r="H1230" s="256"/>
      <c r="I1230" s="200"/>
      <c r="J1230" s="307" t="s">
        <v>1893</v>
      </c>
      <c r="K1230" s="200"/>
      <c r="L1230" s="200"/>
      <c r="M1230" s="37"/>
      <c r="N1230" s="37"/>
      <c r="O1230" s="45"/>
      <c r="P1230" s="54"/>
      <c r="Q1230" s="260"/>
      <c r="R1230" s="261"/>
      <c r="S1230" s="261"/>
      <c r="T1230" s="38"/>
      <c r="U1230" s="261"/>
      <c r="V1230" s="256"/>
      <c r="W1230" s="256"/>
      <c r="X1230" s="256"/>
      <c r="Y1230" s="256"/>
      <c r="Z1230" s="310"/>
      <c r="AA1230" s="200" t="str">
        <f>IFERROR(VLOOKUP(F1230&amp;K1230&amp;M1230,製品マスタ!$M$5:$AM$4999,27,FALSE),"")</f>
        <v/>
      </c>
      <c r="AB1230" s="312"/>
      <c r="AC1230" s="313"/>
      <c r="AD1230" s="51"/>
      <c r="AE1230" s="314">
        <f>+M1230*N1230*O1230/1000</f>
        <v>0</v>
      </c>
      <c r="AF1230" s="315"/>
      <c r="AG1230" s="309"/>
      <c r="AH1230" s="28"/>
      <c r="AI1230" s="28"/>
      <c r="AJ1230" s="28"/>
      <c r="AK1230" s="28"/>
      <c r="AL1230" s="12"/>
      <c r="AM1230" s="12"/>
      <c r="AN1230" s="12"/>
      <c r="AO1230" s="12"/>
      <c r="AP1230" s="12"/>
      <c r="AQ1230" s="13"/>
      <c r="AR1230" s="14"/>
    </row>
    <row r="1231" spans="1:44" s="16" customFormat="1" ht="30.95" hidden="1" customHeight="1" x14ac:dyDescent="0.2">
      <c r="A1231" s="303"/>
      <c r="B1231" s="304"/>
      <c r="C1231" s="305"/>
      <c r="D1231" s="306"/>
      <c r="E1231" s="306"/>
      <c r="F1231" s="255"/>
      <c r="G1231" s="256"/>
      <c r="H1231" s="256"/>
      <c r="I1231" s="200"/>
      <c r="J1231" s="307"/>
      <c r="K1231" s="200"/>
      <c r="L1231" s="200"/>
      <c r="M1231" s="308"/>
      <c r="N1231" s="308"/>
      <c r="O1231" s="309"/>
      <c r="P1231" s="310"/>
      <c r="Q1231" s="260"/>
      <c r="R1231" s="261"/>
      <c r="S1231" s="261"/>
      <c r="T1231" s="311"/>
      <c r="U1231" s="261"/>
      <c r="V1231" s="256"/>
      <c r="W1231" s="256"/>
      <c r="X1231" s="256"/>
      <c r="Y1231" s="256"/>
      <c r="Z1231" s="310"/>
      <c r="AA1231" s="200"/>
      <c r="AB1231" s="312"/>
      <c r="AC1231" s="313"/>
      <c r="AD1231" s="51"/>
      <c r="AE1231" s="314"/>
      <c r="AF1231" s="315"/>
      <c r="AG1231" s="309"/>
      <c r="AH1231" s="28"/>
      <c r="AI1231" s="28"/>
      <c r="AJ1231" s="28"/>
      <c r="AK1231" s="28"/>
      <c r="AL1231" s="12"/>
      <c r="AM1231" s="12"/>
      <c r="AN1231" s="12"/>
      <c r="AO1231" s="12"/>
      <c r="AP1231" s="12"/>
      <c r="AQ1231" s="13"/>
      <c r="AR1231" s="14"/>
    </row>
    <row r="1232" spans="1:44" s="16" customFormat="1" ht="30.95" hidden="1" customHeight="1" x14ac:dyDescent="0.2">
      <c r="A1232" s="303" t="s">
        <v>1936</v>
      </c>
      <c r="B1232" s="304" t="s">
        <v>1409</v>
      </c>
      <c r="C1232" s="305"/>
      <c r="D1232" s="306"/>
      <c r="E1232" s="306"/>
      <c r="F1232" s="255"/>
      <c r="G1232" s="256"/>
      <c r="H1232" s="256"/>
      <c r="I1232" s="200"/>
      <c r="J1232" s="307" t="s">
        <v>1893</v>
      </c>
      <c r="K1232" s="200"/>
      <c r="L1232" s="200"/>
      <c r="M1232" s="308"/>
      <c r="N1232" s="308"/>
      <c r="O1232" s="309"/>
      <c r="P1232" s="310"/>
      <c r="Q1232" s="260"/>
      <c r="R1232" s="261"/>
      <c r="S1232" s="261"/>
      <c r="T1232" s="311"/>
      <c r="U1232" s="261"/>
      <c r="V1232" s="256"/>
      <c r="W1232" s="256"/>
      <c r="X1232" s="256"/>
      <c r="Y1232" s="256"/>
      <c r="Z1232" s="310"/>
      <c r="AA1232" s="200"/>
      <c r="AB1232" s="312"/>
      <c r="AC1232" s="313"/>
      <c r="AD1232" s="51"/>
      <c r="AE1232" s="314"/>
      <c r="AF1232" s="315"/>
      <c r="AG1232" s="309"/>
      <c r="AH1232" s="28"/>
      <c r="AI1232" s="28"/>
      <c r="AJ1232" s="28"/>
      <c r="AK1232" s="28"/>
      <c r="AL1232" s="12"/>
      <c r="AM1232" s="12"/>
      <c r="AN1232" s="12"/>
      <c r="AO1232" s="12"/>
      <c r="AP1232" s="12"/>
      <c r="AQ1232" s="13"/>
      <c r="AR1232" s="14"/>
    </row>
    <row r="1233" spans="1:44" s="16" customFormat="1" ht="30.95" hidden="1" customHeight="1" x14ac:dyDescent="0.2">
      <c r="A1233" s="303"/>
      <c r="B1233" s="304"/>
      <c r="C1233" s="305"/>
      <c r="D1233" s="306"/>
      <c r="E1233" s="306"/>
      <c r="F1233" s="255"/>
      <c r="G1233" s="256"/>
      <c r="H1233" s="256"/>
      <c r="I1233" s="200"/>
      <c r="J1233" s="307"/>
      <c r="K1233" s="200"/>
      <c r="L1233" s="200"/>
      <c r="M1233" s="308"/>
      <c r="N1233" s="308"/>
      <c r="O1233" s="309"/>
      <c r="P1233" s="310"/>
      <c r="Q1233" s="260"/>
      <c r="R1233" s="261"/>
      <c r="S1233" s="261"/>
      <c r="T1233" s="311"/>
      <c r="U1233" s="261"/>
      <c r="V1233" s="256"/>
      <c r="W1233" s="256"/>
      <c r="X1233" s="256"/>
      <c r="Y1233" s="256"/>
      <c r="Z1233" s="310"/>
      <c r="AA1233" s="200"/>
      <c r="AB1233" s="312"/>
      <c r="AC1233" s="313"/>
      <c r="AD1233" s="51"/>
      <c r="AE1233" s="314"/>
      <c r="AF1233" s="315"/>
      <c r="AG1233" s="309"/>
      <c r="AH1233" s="28"/>
      <c r="AI1233" s="28"/>
      <c r="AJ1233" s="28"/>
      <c r="AK1233" s="28"/>
      <c r="AL1233" s="12"/>
      <c r="AM1233" s="12"/>
      <c r="AN1233" s="12"/>
      <c r="AO1233" s="12"/>
      <c r="AP1233" s="12"/>
      <c r="AQ1233" s="13"/>
      <c r="AR1233" s="14"/>
    </row>
    <row r="1234" spans="1:44" s="16" customFormat="1" ht="30.95" hidden="1" customHeight="1" x14ac:dyDescent="0.2">
      <c r="A1234" s="303" t="s">
        <v>1937</v>
      </c>
      <c r="B1234" s="304" t="s">
        <v>1397</v>
      </c>
      <c r="C1234" s="305"/>
      <c r="D1234" s="306"/>
      <c r="E1234" s="306"/>
      <c r="F1234" s="255"/>
      <c r="G1234" s="256"/>
      <c r="H1234" s="256"/>
      <c r="I1234" s="200"/>
      <c r="J1234" s="307" t="s">
        <v>448</v>
      </c>
      <c r="K1234" s="200"/>
      <c r="L1234" s="200"/>
      <c r="M1234" s="308"/>
      <c r="N1234" s="308"/>
      <c r="O1234" s="309"/>
      <c r="P1234" s="310"/>
      <c r="Q1234" s="260"/>
      <c r="R1234" s="261"/>
      <c r="S1234" s="261"/>
      <c r="T1234" s="311"/>
      <c r="U1234" s="261"/>
      <c r="V1234" s="256"/>
      <c r="W1234" s="256"/>
      <c r="X1234" s="256"/>
      <c r="Y1234" s="256"/>
      <c r="Z1234" s="310"/>
      <c r="AA1234" s="200"/>
      <c r="AB1234" s="312"/>
      <c r="AC1234" s="313"/>
      <c r="AD1234" s="51"/>
      <c r="AE1234" s="314"/>
      <c r="AF1234" s="315"/>
      <c r="AG1234" s="309"/>
      <c r="AH1234" s="28"/>
      <c r="AI1234" s="28"/>
      <c r="AJ1234" s="28"/>
      <c r="AK1234" s="28"/>
      <c r="AL1234" s="12"/>
      <c r="AM1234" s="12"/>
      <c r="AN1234" s="12"/>
      <c r="AO1234" s="12"/>
      <c r="AP1234" s="12"/>
      <c r="AQ1234" s="13"/>
      <c r="AR1234" s="14"/>
    </row>
    <row r="1235" spans="1:44" s="16" customFormat="1" ht="30.95" hidden="1" customHeight="1" x14ac:dyDescent="0.2">
      <c r="A1235" s="303"/>
      <c r="B1235" s="304"/>
      <c r="C1235" s="305"/>
      <c r="D1235" s="306"/>
      <c r="E1235" s="306"/>
      <c r="F1235" s="255"/>
      <c r="G1235" s="256"/>
      <c r="H1235" s="256"/>
      <c r="I1235" s="200"/>
      <c r="J1235" s="307"/>
      <c r="K1235" s="200"/>
      <c r="L1235" s="200"/>
      <c r="M1235" s="308"/>
      <c r="N1235" s="308"/>
      <c r="O1235" s="309"/>
      <c r="P1235" s="310"/>
      <c r="Q1235" s="260"/>
      <c r="R1235" s="261"/>
      <c r="S1235" s="261"/>
      <c r="T1235" s="311"/>
      <c r="U1235" s="261"/>
      <c r="V1235" s="256"/>
      <c r="W1235" s="256"/>
      <c r="X1235" s="256"/>
      <c r="Y1235" s="256"/>
      <c r="Z1235" s="310"/>
      <c r="AA1235" s="200"/>
      <c r="AB1235" s="312"/>
      <c r="AC1235" s="313"/>
      <c r="AD1235" s="51"/>
      <c r="AE1235" s="314"/>
      <c r="AF1235" s="315"/>
      <c r="AG1235" s="309"/>
      <c r="AH1235" s="28"/>
      <c r="AI1235" s="28"/>
      <c r="AJ1235" s="28"/>
      <c r="AK1235" s="28"/>
      <c r="AL1235" s="12"/>
      <c r="AM1235" s="12"/>
      <c r="AN1235" s="12"/>
      <c r="AO1235" s="12"/>
      <c r="AP1235" s="12"/>
      <c r="AQ1235" s="13"/>
      <c r="AR1235" s="14"/>
    </row>
    <row r="1236" spans="1:44" s="16" customFormat="1" ht="30.95" hidden="1" customHeight="1" x14ac:dyDescent="0.2">
      <c r="A1236" s="303" t="s">
        <v>1938</v>
      </c>
      <c r="B1236" s="304" t="s">
        <v>392</v>
      </c>
      <c r="C1236" s="305"/>
      <c r="D1236" s="306"/>
      <c r="E1236" s="306"/>
      <c r="F1236" s="255"/>
      <c r="G1236" s="256"/>
      <c r="H1236" s="256"/>
      <c r="I1236" s="200"/>
      <c r="J1236" s="307" t="s">
        <v>448</v>
      </c>
      <c r="K1236" s="200"/>
      <c r="L1236" s="200"/>
      <c r="M1236" s="308"/>
      <c r="N1236" s="308"/>
      <c r="O1236" s="309"/>
      <c r="P1236" s="310"/>
      <c r="Q1236" s="260"/>
      <c r="R1236" s="261"/>
      <c r="S1236" s="261"/>
      <c r="T1236" s="311"/>
      <c r="U1236" s="261"/>
      <c r="V1236" s="256"/>
      <c r="W1236" s="256"/>
      <c r="X1236" s="256"/>
      <c r="Y1236" s="256"/>
      <c r="Z1236" s="310"/>
      <c r="AA1236" s="200"/>
      <c r="AB1236" s="312"/>
      <c r="AC1236" s="313"/>
      <c r="AD1236" s="51"/>
      <c r="AE1236" s="314"/>
      <c r="AF1236" s="315"/>
      <c r="AG1236" s="309"/>
      <c r="AH1236" s="28"/>
      <c r="AI1236" s="28"/>
      <c r="AJ1236" s="28"/>
      <c r="AK1236" s="28"/>
      <c r="AL1236" s="12"/>
      <c r="AM1236" s="12"/>
      <c r="AN1236" s="12"/>
      <c r="AO1236" s="12"/>
      <c r="AP1236" s="12"/>
      <c r="AQ1236" s="13"/>
      <c r="AR1236" s="14"/>
    </row>
    <row r="1237" spans="1:44" s="16" customFormat="1" ht="30.95" hidden="1" customHeight="1" x14ac:dyDescent="0.2">
      <c r="A1237" s="303"/>
      <c r="B1237" s="304"/>
      <c r="C1237" s="305"/>
      <c r="D1237" s="306"/>
      <c r="E1237" s="306"/>
      <c r="F1237" s="255"/>
      <c r="G1237" s="256"/>
      <c r="H1237" s="256"/>
      <c r="I1237" s="200"/>
      <c r="J1237" s="307"/>
      <c r="K1237" s="200"/>
      <c r="L1237" s="200"/>
      <c r="M1237" s="308"/>
      <c r="N1237" s="308"/>
      <c r="O1237" s="309"/>
      <c r="P1237" s="310"/>
      <c r="Q1237" s="260"/>
      <c r="R1237" s="261"/>
      <c r="S1237" s="261"/>
      <c r="T1237" s="311"/>
      <c r="U1237" s="261"/>
      <c r="V1237" s="256"/>
      <c r="W1237" s="256"/>
      <c r="X1237" s="256"/>
      <c r="Y1237" s="256"/>
      <c r="Z1237" s="310"/>
      <c r="AA1237" s="200"/>
      <c r="AB1237" s="312"/>
      <c r="AC1237" s="313"/>
      <c r="AD1237" s="51"/>
      <c r="AE1237" s="314"/>
      <c r="AF1237" s="315"/>
      <c r="AG1237" s="309"/>
      <c r="AH1237" s="28"/>
      <c r="AI1237" s="28"/>
      <c r="AJ1237" s="28"/>
      <c r="AK1237" s="28"/>
      <c r="AL1237" s="12"/>
      <c r="AM1237" s="12"/>
      <c r="AN1237" s="12"/>
      <c r="AO1237" s="12"/>
      <c r="AP1237" s="12"/>
      <c r="AQ1237" s="13"/>
      <c r="AR1237" s="14"/>
    </row>
    <row r="1238" spans="1:44" s="16" customFormat="1" ht="30.95" hidden="1" customHeight="1" x14ac:dyDescent="0.2">
      <c r="A1238" s="303" t="s">
        <v>1939</v>
      </c>
      <c r="B1238" s="304" t="s">
        <v>1402</v>
      </c>
      <c r="C1238" s="305"/>
      <c r="D1238" s="306"/>
      <c r="E1238" s="306"/>
      <c r="F1238" s="255"/>
      <c r="G1238" s="256"/>
      <c r="H1238" s="256"/>
      <c r="I1238" s="200"/>
      <c r="J1238" s="307" t="s">
        <v>1893</v>
      </c>
      <c r="K1238" s="200"/>
      <c r="L1238" s="200"/>
      <c r="M1238" s="308"/>
      <c r="N1238" s="308"/>
      <c r="O1238" s="309"/>
      <c r="P1238" s="310"/>
      <c r="Q1238" s="260"/>
      <c r="R1238" s="261"/>
      <c r="S1238" s="261"/>
      <c r="T1238" s="311"/>
      <c r="U1238" s="261"/>
      <c r="V1238" s="256"/>
      <c r="W1238" s="256"/>
      <c r="X1238" s="256"/>
      <c r="Y1238" s="256"/>
      <c r="Z1238" s="310"/>
      <c r="AA1238" s="200"/>
      <c r="AB1238" s="312"/>
      <c r="AC1238" s="313"/>
      <c r="AD1238" s="51"/>
      <c r="AE1238" s="314"/>
      <c r="AF1238" s="315"/>
      <c r="AG1238" s="309"/>
      <c r="AH1238" s="28"/>
      <c r="AI1238" s="28"/>
      <c r="AJ1238" s="28"/>
      <c r="AK1238" s="28"/>
      <c r="AL1238" s="12"/>
      <c r="AM1238" s="12"/>
      <c r="AN1238" s="12"/>
      <c r="AO1238" s="12"/>
      <c r="AP1238" s="12"/>
      <c r="AQ1238" s="13"/>
      <c r="AR1238" s="14"/>
    </row>
    <row r="1239" spans="1:44" s="16" customFormat="1" ht="30.95" hidden="1" customHeight="1" x14ac:dyDescent="0.2">
      <c r="A1239" s="303"/>
      <c r="B1239" s="304"/>
      <c r="C1239" s="305"/>
      <c r="D1239" s="306"/>
      <c r="E1239" s="306"/>
      <c r="F1239" s="255"/>
      <c r="G1239" s="256"/>
      <c r="H1239" s="256"/>
      <c r="I1239" s="200"/>
      <c r="J1239" s="307"/>
      <c r="K1239" s="200"/>
      <c r="L1239" s="200"/>
      <c r="M1239" s="308"/>
      <c r="N1239" s="308"/>
      <c r="O1239" s="309"/>
      <c r="P1239" s="310"/>
      <c r="Q1239" s="260"/>
      <c r="R1239" s="261"/>
      <c r="S1239" s="261"/>
      <c r="T1239" s="311"/>
      <c r="U1239" s="261"/>
      <c r="V1239" s="256"/>
      <c r="W1239" s="256"/>
      <c r="X1239" s="256"/>
      <c r="Y1239" s="256"/>
      <c r="Z1239" s="310"/>
      <c r="AA1239" s="200"/>
      <c r="AB1239" s="312"/>
      <c r="AC1239" s="313"/>
      <c r="AD1239" s="51"/>
      <c r="AE1239" s="314"/>
      <c r="AF1239" s="315"/>
      <c r="AG1239" s="309"/>
      <c r="AH1239" s="28"/>
      <c r="AI1239" s="28"/>
      <c r="AJ1239" s="28"/>
      <c r="AK1239" s="28"/>
      <c r="AL1239" s="12"/>
      <c r="AM1239" s="12"/>
      <c r="AN1239" s="12"/>
      <c r="AO1239" s="12"/>
      <c r="AP1239" s="12"/>
      <c r="AQ1239" s="13"/>
      <c r="AR1239" s="14"/>
    </row>
    <row r="1240" spans="1:44" s="16" customFormat="1" ht="30.95" hidden="1" customHeight="1" x14ac:dyDescent="0.2">
      <c r="A1240" s="303" t="s">
        <v>1940</v>
      </c>
      <c r="B1240" s="304" t="s">
        <v>1405</v>
      </c>
      <c r="C1240" s="305"/>
      <c r="D1240" s="306"/>
      <c r="E1240" s="306"/>
      <c r="F1240" s="255"/>
      <c r="G1240" s="256"/>
      <c r="H1240" s="256"/>
      <c r="I1240" s="200"/>
      <c r="J1240" s="307" t="s">
        <v>1893</v>
      </c>
      <c r="K1240" s="200"/>
      <c r="L1240" s="200"/>
      <c r="M1240" s="308"/>
      <c r="N1240" s="308"/>
      <c r="O1240" s="309"/>
      <c r="P1240" s="310"/>
      <c r="Q1240" s="260"/>
      <c r="R1240" s="261"/>
      <c r="S1240" s="261"/>
      <c r="T1240" s="311"/>
      <c r="U1240" s="261"/>
      <c r="V1240" s="256"/>
      <c r="W1240" s="256"/>
      <c r="X1240" s="256"/>
      <c r="Y1240" s="256"/>
      <c r="Z1240" s="310"/>
      <c r="AA1240" s="200"/>
      <c r="AB1240" s="312"/>
      <c r="AC1240" s="313"/>
      <c r="AD1240" s="51"/>
      <c r="AE1240" s="314"/>
      <c r="AF1240" s="315"/>
      <c r="AG1240" s="309"/>
      <c r="AH1240" s="28"/>
      <c r="AI1240" s="28"/>
      <c r="AJ1240" s="28"/>
      <c r="AK1240" s="28"/>
      <c r="AL1240" s="12"/>
      <c r="AM1240" s="12"/>
      <c r="AN1240" s="12"/>
      <c r="AO1240" s="12"/>
      <c r="AP1240" s="12"/>
      <c r="AQ1240" s="13"/>
      <c r="AR1240" s="14"/>
    </row>
    <row r="1241" spans="1:44" s="16" customFormat="1" ht="30.95" hidden="1" customHeight="1" x14ac:dyDescent="0.2">
      <c r="A1241" s="303"/>
      <c r="B1241" s="304"/>
      <c r="C1241" s="305"/>
      <c r="D1241" s="306"/>
      <c r="E1241" s="306"/>
      <c r="F1241" s="255"/>
      <c r="G1241" s="256"/>
      <c r="H1241" s="256"/>
      <c r="I1241" s="200"/>
      <c r="J1241" s="307"/>
      <c r="K1241" s="200"/>
      <c r="L1241" s="200"/>
      <c r="M1241" s="308"/>
      <c r="N1241" s="308"/>
      <c r="O1241" s="309"/>
      <c r="P1241" s="310"/>
      <c r="Q1241" s="260"/>
      <c r="R1241" s="261"/>
      <c r="S1241" s="261"/>
      <c r="T1241" s="311"/>
      <c r="U1241" s="261"/>
      <c r="V1241" s="256"/>
      <c r="W1241" s="256"/>
      <c r="X1241" s="256"/>
      <c r="Y1241" s="256"/>
      <c r="Z1241" s="310"/>
      <c r="AA1241" s="200"/>
      <c r="AB1241" s="312"/>
      <c r="AC1241" s="313"/>
      <c r="AD1241" s="51"/>
      <c r="AE1241" s="314"/>
      <c r="AF1241" s="315"/>
      <c r="AG1241" s="309"/>
      <c r="AH1241" s="28"/>
      <c r="AI1241" s="28"/>
      <c r="AJ1241" s="28"/>
      <c r="AK1241" s="28"/>
      <c r="AL1241" s="12"/>
      <c r="AM1241" s="12"/>
      <c r="AN1241" s="12"/>
      <c r="AO1241" s="12"/>
      <c r="AP1241" s="12"/>
      <c r="AQ1241" s="13"/>
      <c r="AR1241" s="14"/>
    </row>
    <row r="1242" spans="1:44" s="16" customFormat="1" ht="30.95" hidden="1" customHeight="1" x14ac:dyDescent="0.2">
      <c r="A1242" s="303" t="s">
        <v>1941</v>
      </c>
      <c r="B1242" s="304" t="s">
        <v>1412</v>
      </c>
      <c r="C1242" s="305"/>
      <c r="D1242" s="306"/>
      <c r="E1242" s="306"/>
      <c r="F1242" s="255"/>
      <c r="G1242" s="256"/>
      <c r="H1242" s="256"/>
      <c r="I1242" s="200"/>
      <c r="J1242" s="307" t="s">
        <v>1893</v>
      </c>
      <c r="K1242" s="200"/>
      <c r="L1242" s="200"/>
      <c r="M1242" s="308"/>
      <c r="N1242" s="308"/>
      <c r="O1242" s="309"/>
      <c r="P1242" s="310"/>
      <c r="Q1242" s="260"/>
      <c r="R1242" s="261"/>
      <c r="S1242" s="261"/>
      <c r="T1242" s="311"/>
      <c r="U1242" s="261"/>
      <c r="V1242" s="256"/>
      <c r="W1242" s="256"/>
      <c r="X1242" s="256"/>
      <c r="Y1242" s="256"/>
      <c r="Z1242" s="310"/>
      <c r="AA1242" s="200"/>
      <c r="AB1242" s="312"/>
      <c r="AC1242" s="313"/>
      <c r="AD1242" s="51"/>
      <c r="AE1242" s="314"/>
      <c r="AF1242" s="315"/>
      <c r="AG1242" s="309"/>
      <c r="AH1242" s="28"/>
      <c r="AI1242" s="28"/>
      <c r="AJ1242" s="28"/>
      <c r="AK1242" s="28"/>
      <c r="AL1242" s="12"/>
      <c r="AM1242" s="12"/>
      <c r="AN1242" s="12"/>
      <c r="AO1242" s="12"/>
      <c r="AP1242" s="12"/>
      <c r="AQ1242" s="13"/>
      <c r="AR1242" s="14"/>
    </row>
    <row r="1243" spans="1:44" s="16" customFormat="1" ht="30.95" hidden="1" customHeight="1" x14ac:dyDescent="0.2">
      <c r="A1243" s="303"/>
      <c r="B1243" s="304"/>
      <c r="C1243" s="305"/>
      <c r="D1243" s="306"/>
      <c r="E1243" s="306"/>
      <c r="F1243" s="255"/>
      <c r="G1243" s="256"/>
      <c r="H1243" s="256"/>
      <c r="I1243" s="200"/>
      <c r="J1243" s="307"/>
      <c r="K1243" s="200"/>
      <c r="L1243" s="200"/>
      <c r="M1243" s="308"/>
      <c r="N1243" s="308"/>
      <c r="O1243" s="309"/>
      <c r="P1243" s="310"/>
      <c r="Q1243" s="260"/>
      <c r="R1243" s="261"/>
      <c r="S1243" s="261"/>
      <c r="T1243" s="311"/>
      <c r="U1243" s="261"/>
      <c r="V1243" s="256"/>
      <c r="W1243" s="256"/>
      <c r="X1243" s="256"/>
      <c r="Y1243" s="256"/>
      <c r="Z1243" s="310"/>
      <c r="AA1243" s="200"/>
      <c r="AB1243" s="312"/>
      <c r="AC1243" s="313"/>
      <c r="AD1243" s="51"/>
      <c r="AE1243" s="314"/>
      <c r="AF1243" s="315"/>
      <c r="AG1243" s="309"/>
      <c r="AH1243" s="28"/>
      <c r="AI1243" s="28"/>
      <c r="AJ1243" s="28"/>
      <c r="AK1243" s="28"/>
      <c r="AL1243" s="12"/>
      <c r="AM1243" s="12"/>
      <c r="AN1243" s="12"/>
      <c r="AO1243" s="12"/>
      <c r="AP1243" s="12"/>
      <c r="AQ1243" s="13"/>
      <c r="AR1243" s="14"/>
    </row>
    <row r="1244" spans="1:44" s="16" customFormat="1" ht="30.95" hidden="1" customHeight="1" x14ac:dyDescent="0.2">
      <c r="A1244" s="303" t="s">
        <v>1942</v>
      </c>
      <c r="B1244" s="304" t="s">
        <v>1408</v>
      </c>
      <c r="C1244" s="305"/>
      <c r="D1244" s="306"/>
      <c r="E1244" s="306"/>
      <c r="F1244" s="255"/>
      <c r="G1244" s="256"/>
      <c r="H1244" s="256"/>
      <c r="I1244" s="200"/>
      <c r="J1244" s="307" t="s">
        <v>1893</v>
      </c>
      <c r="K1244" s="200"/>
      <c r="L1244" s="200"/>
      <c r="M1244" s="308"/>
      <c r="N1244" s="308"/>
      <c r="O1244" s="309"/>
      <c r="P1244" s="310"/>
      <c r="Q1244" s="260"/>
      <c r="R1244" s="261"/>
      <c r="S1244" s="261"/>
      <c r="T1244" s="311"/>
      <c r="U1244" s="261"/>
      <c r="V1244" s="256"/>
      <c r="W1244" s="256"/>
      <c r="X1244" s="256"/>
      <c r="Y1244" s="256"/>
      <c r="Z1244" s="310"/>
      <c r="AA1244" s="200"/>
      <c r="AB1244" s="312"/>
      <c r="AC1244" s="313"/>
      <c r="AD1244" s="51"/>
      <c r="AE1244" s="314"/>
      <c r="AF1244" s="315"/>
      <c r="AG1244" s="309"/>
      <c r="AH1244" s="28"/>
      <c r="AI1244" s="28"/>
      <c r="AJ1244" s="28"/>
      <c r="AK1244" s="28"/>
      <c r="AL1244" s="12"/>
      <c r="AM1244" s="12"/>
      <c r="AN1244" s="12"/>
      <c r="AO1244" s="12"/>
      <c r="AP1244" s="12"/>
      <c r="AQ1244" s="13"/>
      <c r="AR1244" s="14"/>
    </row>
    <row r="1245" spans="1:44" s="16" customFormat="1" ht="30.95" hidden="1" customHeight="1" x14ac:dyDescent="0.2">
      <c r="A1245" s="303"/>
      <c r="B1245" s="304"/>
      <c r="C1245" s="305"/>
      <c r="D1245" s="306"/>
      <c r="E1245" s="306"/>
      <c r="F1245" s="255"/>
      <c r="G1245" s="256"/>
      <c r="H1245" s="256"/>
      <c r="I1245" s="200"/>
      <c r="J1245" s="307"/>
      <c r="K1245" s="200"/>
      <c r="L1245" s="200"/>
      <c r="M1245" s="308"/>
      <c r="N1245" s="308"/>
      <c r="O1245" s="309"/>
      <c r="P1245" s="310"/>
      <c r="Q1245" s="260"/>
      <c r="R1245" s="261"/>
      <c r="S1245" s="261"/>
      <c r="T1245" s="311"/>
      <c r="U1245" s="261"/>
      <c r="V1245" s="256"/>
      <c r="W1245" s="256"/>
      <c r="X1245" s="256"/>
      <c r="Y1245" s="256"/>
      <c r="Z1245" s="310"/>
      <c r="AA1245" s="200"/>
      <c r="AB1245" s="312"/>
      <c r="AC1245" s="313"/>
      <c r="AD1245" s="51"/>
      <c r="AE1245" s="314"/>
      <c r="AF1245" s="315"/>
      <c r="AG1245" s="309"/>
      <c r="AH1245" s="28"/>
      <c r="AI1245" s="28"/>
      <c r="AJ1245" s="28"/>
      <c r="AK1245" s="28"/>
      <c r="AL1245" s="12"/>
      <c r="AM1245" s="12"/>
      <c r="AN1245" s="12"/>
      <c r="AO1245" s="12"/>
      <c r="AP1245" s="12"/>
      <c r="AQ1245" s="13"/>
      <c r="AR1245" s="14"/>
    </row>
    <row r="1246" spans="1:44" s="16" customFormat="1" ht="30.95" hidden="1" customHeight="1" x14ac:dyDescent="0.2">
      <c r="A1246" s="303" t="s">
        <v>1943</v>
      </c>
      <c r="B1246" s="304" t="s">
        <v>1409</v>
      </c>
      <c r="C1246" s="305"/>
      <c r="D1246" s="306"/>
      <c r="E1246" s="306"/>
      <c r="F1246" s="255"/>
      <c r="G1246" s="256"/>
      <c r="H1246" s="256"/>
      <c r="I1246" s="200"/>
      <c r="J1246" s="307" t="s">
        <v>448</v>
      </c>
      <c r="K1246" s="200"/>
      <c r="L1246" s="200"/>
      <c r="M1246" s="308"/>
      <c r="N1246" s="308"/>
      <c r="O1246" s="309"/>
      <c r="P1246" s="310"/>
      <c r="Q1246" s="260"/>
      <c r="R1246" s="261"/>
      <c r="S1246" s="261"/>
      <c r="T1246" s="311"/>
      <c r="U1246" s="261"/>
      <c r="V1246" s="256"/>
      <c r="W1246" s="256"/>
      <c r="X1246" s="256"/>
      <c r="Y1246" s="256"/>
      <c r="Z1246" s="310"/>
      <c r="AA1246" s="200"/>
      <c r="AB1246" s="312"/>
      <c r="AC1246" s="313"/>
      <c r="AD1246" s="51"/>
      <c r="AE1246" s="314"/>
      <c r="AF1246" s="315"/>
      <c r="AG1246" s="309"/>
      <c r="AH1246" s="28"/>
      <c r="AI1246" s="28"/>
      <c r="AJ1246" s="28"/>
      <c r="AK1246" s="28"/>
      <c r="AL1246" s="12"/>
      <c r="AM1246" s="12"/>
      <c r="AN1246" s="12"/>
      <c r="AO1246" s="12"/>
      <c r="AP1246" s="12"/>
      <c r="AQ1246" s="13"/>
      <c r="AR1246" s="14"/>
    </row>
    <row r="1247" spans="1:44" s="16" customFormat="1" ht="30.95" hidden="1" customHeight="1" x14ac:dyDescent="0.2">
      <c r="A1247" s="303"/>
      <c r="B1247" s="304"/>
      <c r="C1247" s="305"/>
      <c r="D1247" s="306"/>
      <c r="E1247" s="306"/>
      <c r="F1247" s="255"/>
      <c r="G1247" s="256"/>
      <c r="H1247" s="256"/>
      <c r="I1247" s="200"/>
      <c r="J1247" s="307"/>
      <c r="K1247" s="200"/>
      <c r="L1247" s="200"/>
      <c r="M1247" s="308"/>
      <c r="N1247" s="308"/>
      <c r="O1247" s="309"/>
      <c r="P1247" s="310"/>
      <c r="Q1247" s="260"/>
      <c r="R1247" s="261"/>
      <c r="S1247" s="261"/>
      <c r="T1247" s="311"/>
      <c r="U1247" s="261"/>
      <c r="V1247" s="256"/>
      <c r="W1247" s="256"/>
      <c r="X1247" s="256"/>
      <c r="Y1247" s="256"/>
      <c r="Z1247" s="310"/>
      <c r="AA1247" s="200"/>
      <c r="AB1247" s="312"/>
      <c r="AC1247" s="313"/>
      <c r="AD1247" s="51"/>
      <c r="AE1247" s="314"/>
      <c r="AF1247" s="315"/>
      <c r="AG1247" s="309"/>
      <c r="AH1247" s="28"/>
      <c r="AI1247" s="28"/>
      <c r="AJ1247" s="28"/>
      <c r="AK1247" s="28"/>
      <c r="AL1247" s="12"/>
      <c r="AM1247" s="12"/>
      <c r="AN1247" s="12"/>
      <c r="AO1247" s="12"/>
      <c r="AP1247" s="12"/>
      <c r="AQ1247" s="13"/>
      <c r="AR1247" s="14"/>
    </row>
    <row r="1248" spans="1:44" s="16" customFormat="1" ht="30.95" hidden="1" customHeight="1" x14ac:dyDescent="0.2">
      <c r="A1248" s="303" t="s">
        <v>1944</v>
      </c>
      <c r="B1248" s="304" t="s">
        <v>1397</v>
      </c>
      <c r="C1248" s="305"/>
      <c r="D1248" s="306"/>
      <c r="E1248" s="306"/>
      <c r="F1248" s="255"/>
      <c r="G1248" s="256"/>
      <c r="H1248" s="256"/>
      <c r="I1248" s="200"/>
      <c r="J1248" s="307" t="s">
        <v>448</v>
      </c>
      <c r="K1248" s="200"/>
      <c r="L1248" s="200"/>
      <c r="M1248" s="308"/>
      <c r="N1248" s="308"/>
      <c r="O1248" s="309"/>
      <c r="P1248" s="310"/>
      <c r="Q1248" s="260"/>
      <c r="R1248" s="261"/>
      <c r="S1248" s="261"/>
      <c r="T1248" s="311"/>
      <c r="U1248" s="261"/>
      <c r="V1248" s="256"/>
      <c r="W1248" s="256"/>
      <c r="X1248" s="256"/>
      <c r="Y1248" s="256"/>
      <c r="Z1248" s="310"/>
      <c r="AA1248" s="200"/>
      <c r="AB1248" s="312"/>
      <c r="AC1248" s="313"/>
      <c r="AD1248" s="51"/>
      <c r="AE1248" s="314"/>
      <c r="AF1248" s="315"/>
      <c r="AG1248" s="309"/>
      <c r="AH1248" s="28"/>
      <c r="AI1248" s="28"/>
      <c r="AJ1248" s="28"/>
      <c r="AK1248" s="28"/>
      <c r="AL1248" s="12"/>
      <c r="AM1248" s="12"/>
      <c r="AN1248" s="12"/>
      <c r="AO1248" s="12"/>
      <c r="AP1248" s="12"/>
      <c r="AQ1248" s="13"/>
      <c r="AR1248" s="14"/>
    </row>
    <row r="1249" spans="1:44" s="16" customFormat="1" ht="30.95" hidden="1" customHeight="1" x14ac:dyDescent="0.2">
      <c r="A1249" s="303"/>
      <c r="B1249" s="304"/>
      <c r="C1249" s="305"/>
      <c r="D1249" s="306"/>
      <c r="E1249" s="306"/>
      <c r="F1249" s="255"/>
      <c r="G1249" s="256"/>
      <c r="H1249" s="256"/>
      <c r="I1249" s="200"/>
      <c r="J1249" s="307"/>
      <c r="K1249" s="200"/>
      <c r="L1249" s="200"/>
      <c r="M1249" s="308"/>
      <c r="N1249" s="308"/>
      <c r="O1249" s="309"/>
      <c r="P1249" s="310"/>
      <c r="Q1249" s="260"/>
      <c r="R1249" s="261"/>
      <c r="S1249" s="261"/>
      <c r="T1249" s="311"/>
      <c r="U1249" s="261"/>
      <c r="V1249" s="256"/>
      <c r="W1249" s="256"/>
      <c r="X1249" s="256"/>
      <c r="Y1249" s="256"/>
      <c r="Z1249" s="310"/>
      <c r="AA1249" s="200"/>
      <c r="AB1249" s="312"/>
      <c r="AC1249" s="313"/>
      <c r="AD1249" s="51"/>
      <c r="AE1249" s="314"/>
      <c r="AF1249" s="315"/>
      <c r="AG1249" s="309"/>
      <c r="AH1249" s="28"/>
      <c r="AI1249" s="28"/>
      <c r="AJ1249" s="28"/>
      <c r="AK1249" s="28"/>
      <c r="AL1249" s="12"/>
      <c r="AM1249" s="12"/>
      <c r="AN1249" s="12"/>
      <c r="AO1249" s="12"/>
      <c r="AP1249" s="12"/>
      <c r="AQ1249" s="13"/>
      <c r="AR1249" s="14"/>
    </row>
    <row r="1250" spans="1:44" s="16" customFormat="1" ht="30.95" hidden="1" customHeight="1" x14ac:dyDescent="0.2">
      <c r="A1250" s="303" t="s">
        <v>1945</v>
      </c>
      <c r="B1250" s="304" t="s">
        <v>392</v>
      </c>
      <c r="C1250" s="305"/>
      <c r="D1250" s="306"/>
      <c r="E1250" s="306"/>
      <c r="F1250" s="255"/>
      <c r="G1250" s="256"/>
      <c r="H1250" s="256"/>
      <c r="I1250" s="200"/>
      <c r="J1250" s="307" t="s">
        <v>448</v>
      </c>
      <c r="K1250" s="200"/>
      <c r="L1250" s="200"/>
      <c r="M1250" s="308"/>
      <c r="N1250" s="308"/>
      <c r="O1250" s="309"/>
      <c r="P1250" s="310"/>
      <c r="Q1250" s="260"/>
      <c r="R1250" s="261"/>
      <c r="S1250" s="261"/>
      <c r="T1250" s="311"/>
      <c r="U1250" s="261"/>
      <c r="V1250" s="256"/>
      <c r="W1250" s="256"/>
      <c r="X1250" s="256"/>
      <c r="Y1250" s="256"/>
      <c r="Z1250" s="310"/>
      <c r="AA1250" s="200"/>
      <c r="AB1250" s="312"/>
      <c r="AC1250" s="313"/>
      <c r="AD1250" s="51"/>
      <c r="AE1250" s="314"/>
      <c r="AF1250" s="315"/>
      <c r="AG1250" s="309"/>
      <c r="AH1250" s="28"/>
      <c r="AI1250" s="28"/>
      <c r="AJ1250" s="28"/>
      <c r="AK1250" s="28"/>
      <c r="AL1250" s="12"/>
      <c r="AM1250" s="12"/>
      <c r="AN1250" s="12"/>
      <c r="AO1250" s="12"/>
      <c r="AP1250" s="12"/>
      <c r="AQ1250" s="13"/>
      <c r="AR1250" s="14"/>
    </row>
    <row r="1251" spans="1:44" s="16" customFormat="1" ht="30.95" hidden="1" customHeight="1" x14ac:dyDescent="0.2">
      <c r="A1251" s="303"/>
      <c r="B1251" s="304"/>
      <c r="C1251" s="305"/>
      <c r="D1251" s="306"/>
      <c r="E1251" s="306"/>
      <c r="F1251" s="255"/>
      <c r="G1251" s="256"/>
      <c r="H1251" s="256"/>
      <c r="I1251" s="200"/>
      <c r="J1251" s="307"/>
      <c r="K1251" s="200"/>
      <c r="L1251" s="200"/>
      <c r="M1251" s="308"/>
      <c r="N1251" s="308"/>
      <c r="O1251" s="309"/>
      <c r="P1251" s="310"/>
      <c r="Q1251" s="260"/>
      <c r="R1251" s="261"/>
      <c r="S1251" s="261"/>
      <c r="T1251" s="311"/>
      <c r="U1251" s="261"/>
      <c r="V1251" s="256"/>
      <c r="W1251" s="256"/>
      <c r="X1251" s="256"/>
      <c r="Y1251" s="256"/>
      <c r="Z1251" s="310"/>
      <c r="AA1251" s="200"/>
      <c r="AB1251" s="312"/>
      <c r="AC1251" s="313"/>
      <c r="AD1251" s="51"/>
      <c r="AE1251" s="314"/>
      <c r="AF1251" s="315"/>
      <c r="AG1251" s="309"/>
      <c r="AH1251" s="28"/>
      <c r="AI1251" s="28"/>
      <c r="AJ1251" s="28"/>
      <c r="AK1251" s="28"/>
      <c r="AL1251" s="12"/>
      <c r="AM1251" s="12"/>
      <c r="AN1251" s="12"/>
      <c r="AO1251" s="12"/>
      <c r="AP1251" s="12"/>
      <c r="AQ1251" s="13"/>
      <c r="AR1251" s="14"/>
    </row>
    <row r="1252" spans="1:44" s="16" customFormat="1" ht="30.95" hidden="1" customHeight="1" x14ac:dyDescent="0.2">
      <c r="A1252" s="303" t="s">
        <v>1946</v>
      </c>
      <c r="B1252" s="304" t="s">
        <v>1402</v>
      </c>
      <c r="C1252" s="305"/>
      <c r="D1252" s="29">
        <v>3741611</v>
      </c>
      <c r="E1252" s="29">
        <v>4170132</v>
      </c>
      <c r="F1252" s="255" t="str">
        <f>IF(D1252="","",VLOOKUP(D1252,契約台帳!$A$3:$K$4986,6,FALSE)&amp;VLOOKUP(D1252,契約台帳!$A$3:$K$4986,7,FALSE)&amp;VLOOKUP(D1252,契約台帳!$A$3:$K$4986,8,FALSE)&amp;VLOOKUP(D1252,契約台帳!$A$3:$K$4986,9,FALSE)&amp;VLOOKUP(D1252,契約台帳!$A$3:$K$4986,11,FALSE))</f>
        <v>3SNMLBMNGTBF</v>
      </c>
      <c r="G1252" s="256" t="str">
        <f>IF(D1252="","",VLOOKUP(F1252,製品マスタ!$G$5:$H$4999,2,FALSE))</f>
        <v>S</v>
      </c>
      <c r="H1252" s="256" t="str">
        <f>IF(D1252="","",VLOOKUP(F1252,製品マスタ!$G$5:$K$4999,5,FALSE))</f>
        <v>MNGTBF</v>
      </c>
      <c r="I1252" s="200" t="str">
        <f>IF(D1252="","",VLOOKUP(F1252,製品マスタ!$G$5:$L$4999,6,FALSE))</f>
        <v>メタルミー　ネーマー　銀艶　Ｂ</v>
      </c>
      <c r="J1252" s="30" t="s">
        <v>464</v>
      </c>
      <c r="K1252" s="200">
        <f>IF(D1252="","",VLOOKUP(D1252,契約台帳!$A$3:$L$4986,12,FALSE))</f>
        <v>25</v>
      </c>
      <c r="L1252" s="200" t="str">
        <f>IF(D1252="","",INDEX(製品マスタ!$Q$5:$Q$4999,MATCH(F1252&amp;K1252,製品マスタ!$AO$5:$AO$4999,0)))</f>
        <v>T62M</v>
      </c>
      <c r="M1252" s="37">
        <v>1125</v>
      </c>
      <c r="N1252" s="37">
        <v>12100</v>
      </c>
      <c r="O1252" s="45">
        <v>1</v>
      </c>
      <c r="P1252" s="316">
        <v>45336</v>
      </c>
      <c r="Q1252" s="260">
        <f>IF(D1252="","",IF(J1252="リード付け",M1252,VLOOKUP(D1252,契約台帳!$A$3:$N$4986,14,FALSE)))</f>
        <v>1125</v>
      </c>
      <c r="R1252" s="261">
        <f>IF(D1252="","",IF(J1252="リード付け",M1252,VLOOKUP(D1252,契約台帳!$A$3:$O$4986,15,FALSE)))</f>
        <v>1125</v>
      </c>
      <c r="S1252" s="261">
        <f>IF(D1252="","",IF(J1252="リード付け",N1252,VLOOKUP(D1252,契約台帳!$A$3:$P$4986,16,FALSE)))</f>
        <v>12100</v>
      </c>
      <c r="T1252" s="38">
        <v>1</v>
      </c>
      <c r="U1252" s="261">
        <f ca="1">IF(D1252="","",IF(OFFSET(D1252,-2,0)=D1252,"",VLOOKUP(D1252,契約台帳!$A$3:$R$4986,18,FALSE)))</f>
        <v>3</v>
      </c>
      <c r="V1252" s="256" t="str">
        <f>IF(J1252="巻返し",VLOOKUP(F1252&amp;K1252&amp;M1252,製品マスタ!$M$5:$AD$4999,18,FALSE),IF(J1252="リード付け","原反コア",IF(J1252="スリット",VLOOKUP(F1252&amp;K1252&amp;Q1252,製品マスタ!$N$5:$AD$4999,17,FALSE),"")))</f>
        <v>原反コア</v>
      </c>
      <c r="W1252" s="256" t="str">
        <f>IF(J1252="巻返し",VLOOKUP(F1252&amp;K1252&amp;M1252,製品マスタ!$M$5:$AE$4999,19,FALSE),IF(J1252="リード付け","-",IF(J1252="スリット",VLOOKUP(F1252&amp;K1252&amp;Q1252,製品マスタ!$N$5:$AE$4999,18,FALSE),"")))</f>
        <v>-</v>
      </c>
      <c r="X1252" s="256">
        <f>IF(D1252="","",VLOOKUP(D1252,契約台帳!$A$3:$Q$4986,17,FALSE))</f>
        <v>2</v>
      </c>
      <c r="Y1252" s="256" t="str">
        <f>IF(D1252="","",VLOOKUP(D1252,契約台帳!$A$3:$E$4986,5,FALSE))</f>
        <v>リンテック㈱</v>
      </c>
      <c r="Z1252" s="310"/>
      <c r="AA1252" s="200"/>
      <c r="AB1252" s="312"/>
      <c r="AC1252" s="313"/>
      <c r="AD1252" s="51"/>
      <c r="AE1252" s="314"/>
      <c r="AF1252" s="315"/>
      <c r="AG1252" s="309"/>
      <c r="AH1252" s="28"/>
      <c r="AI1252" s="28"/>
      <c r="AJ1252" s="28"/>
      <c r="AK1252" s="28"/>
      <c r="AL1252" s="12"/>
      <c r="AM1252" s="12"/>
      <c r="AN1252" s="12"/>
      <c r="AO1252" s="12"/>
      <c r="AP1252" s="12"/>
      <c r="AQ1252" s="13"/>
      <c r="AR1252" s="14"/>
    </row>
    <row r="1253" spans="1:44" s="16" customFormat="1" ht="30.95" hidden="1" customHeight="1" x14ac:dyDescent="0.2">
      <c r="A1253" s="303"/>
      <c r="B1253" s="304"/>
      <c r="C1253" s="305"/>
      <c r="D1253" s="306"/>
      <c r="E1253" s="306"/>
      <c r="F1253" s="255"/>
      <c r="G1253" s="256"/>
      <c r="H1253" s="256"/>
      <c r="I1253" s="200"/>
      <c r="J1253" s="307"/>
      <c r="K1253" s="200"/>
      <c r="L1253" s="200"/>
      <c r="M1253" s="308"/>
      <c r="N1253" s="308"/>
      <c r="O1253" s="309"/>
      <c r="P1253" s="342"/>
      <c r="Q1253" s="260"/>
      <c r="R1253" s="261"/>
      <c r="S1253" s="261"/>
      <c r="T1253" s="311"/>
      <c r="U1253" s="261"/>
      <c r="V1253" s="256"/>
      <c r="W1253" s="256"/>
      <c r="X1253" s="256"/>
      <c r="Y1253" s="256"/>
      <c r="Z1253" s="310"/>
      <c r="AA1253" s="200"/>
      <c r="AB1253" s="312"/>
      <c r="AC1253" s="313"/>
      <c r="AD1253" s="51"/>
      <c r="AE1253" s="314"/>
      <c r="AF1253" s="315"/>
      <c r="AG1253" s="309"/>
      <c r="AH1253" s="28"/>
      <c r="AI1253" s="28"/>
      <c r="AJ1253" s="28"/>
      <c r="AK1253" s="28"/>
      <c r="AL1253" s="12"/>
      <c r="AM1253" s="12"/>
      <c r="AN1253" s="12"/>
      <c r="AO1253" s="12"/>
      <c r="AP1253" s="12"/>
      <c r="AQ1253" s="13"/>
      <c r="AR1253" s="14"/>
    </row>
    <row r="1254" spans="1:44" s="16" customFormat="1" ht="30.95" hidden="1" customHeight="1" x14ac:dyDescent="0.2">
      <c r="A1254" s="303" t="s">
        <v>1947</v>
      </c>
      <c r="B1254" s="304" t="s">
        <v>1405</v>
      </c>
      <c r="C1254" s="305"/>
      <c r="D1254" s="29">
        <v>3741610</v>
      </c>
      <c r="E1254" s="29">
        <v>4170131</v>
      </c>
      <c r="F1254" s="255" t="str">
        <f>IF(D1254="","",VLOOKUP(D1254,契約台帳!$A$3:$K$4986,6,FALSE)&amp;VLOOKUP(D1254,契約台帳!$A$3:$K$4986,7,FALSE)&amp;VLOOKUP(D1254,契約台帳!$A$3:$K$4986,8,FALSE)&amp;VLOOKUP(D1254,契約台帳!$A$3:$K$4986,9,FALSE)&amp;VLOOKUP(D1254,契約台帳!$A$3:$K$4986,11,FALSE))</f>
        <v>3SNMLBMNGTBF</v>
      </c>
      <c r="G1254" s="256" t="str">
        <f>IF(D1254="","",VLOOKUP(F1254,製品マスタ!$G$5:$H$4999,2,FALSE))</f>
        <v>S</v>
      </c>
      <c r="H1254" s="256" t="str">
        <f>IF(D1254="","",VLOOKUP(F1254,製品マスタ!$G$5:$K$4999,5,FALSE))</f>
        <v>MNGTBF</v>
      </c>
      <c r="I1254" s="200" t="str">
        <f>IF(D1254="","",VLOOKUP(F1254,製品マスタ!$G$5:$L$4999,6,FALSE))</f>
        <v>メタルミー　ネーマー　銀艶　Ｂ</v>
      </c>
      <c r="J1254" s="30" t="s">
        <v>464</v>
      </c>
      <c r="K1254" s="200">
        <f>IF(D1254="","",VLOOKUP(D1254,契約台帳!$A$3:$L$4986,12,FALSE))</f>
        <v>25</v>
      </c>
      <c r="L1254" s="200" t="str">
        <f>IF(D1254="","",INDEX(製品マスタ!$Q$5:$Q$4999,MATCH(F1254&amp;K1254,製品マスタ!$AO$5:$AO$4999,0)))</f>
        <v>T62M</v>
      </c>
      <c r="M1254" s="37">
        <v>1005</v>
      </c>
      <c r="N1254" s="37">
        <v>12100</v>
      </c>
      <c r="O1254" s="45">
        <v>2</v>
      </c>
      <c r="P1254" s="316">
        <v>45336</v>
      </c>
      <c r="Q1254" s="260">
        <f>IF(D1254="","",IF(J1254="リード付け",M1254,VLOOKUP(D1254,契約台帳!$A$3:$N$4986,14,FALSE)))</f>
        <v>1005</v>
      </c>
      <c r="R1254" s="261">
        <f>IF(D1254="","",IF(J1254="リード付け",M1254,VLOOKUP(D1254,契約台帳!$A$3:$O$4986,15,FALSE)))</f>
        <v>1005</v>
      </c>
      <c r="S1254" s="261">
        <f>IF(D1254="","",IF(J1254="リード付け",N1254,VLOOKUP(D1254,契約台帳!$A$3:$P$4986,16,FALSE)))</f>
        <v>12100</v>
      </c>
      <c r="T1254" s="38">
        <v>2</v>
      </c>
      <c r="U1254" s="261">
        <f ca="1">IF(D1254="","",IF(OFFSET(D1254,-2,0)=D1254,"",VLOOKUP(D1254,契約台帳!$A$3:$R$4986,18,FALSE)))</f>
        <v>6</v>
      </c>
      <c r="V1254" s="256" t="str">
        <f>IF(J1254="巻返し",VLOOKUP(F1254&amp;K1254&amp;M1254,製品マスタ!$M$5:$AD$4999,18,FALSE),IF(J1254="リード付け","原反コア",IF(J1254="スリット",VLOOKUP(F1254&amp;K1254&amp;Q1254,製品マスタ!$N$5:$AD$4999,17,FALSE),"")))</f>
        <v>原反コア</v>
      </c>
      <c r="W1254" s="256" t="str">
        <f>IF(J1254="巻返し",VLOOKUP(F1254&amp;K1254&amp;M1254,製品マスタ!$M$5:$AE$4999,19,FALSE),IF(J1254="リード付け","-",IF(J1254="スリット",VLOOKUP(F1254&amp;K1254&amp;Q1254,製品マスタ!$N$5:$AE$4999,18,FALSE),"")))</f>
        <v>-</v>
      </c>
      <c r="X1254" s="256">
        <f>IF(D1254="","",VLOOKUP(D1254,契約台帳!$A$3:$Q$4986,17,FALSE))</f>
        <v>2</v>
      </c>
      <c r="Y1254" s="256" t="str">
        <f>IF(D1254="","",VLOOKUP(D1254,契約台帳!$A$3:$E$4986,5,FALSE))</f>
        <v>リンテック㈱</v>
      </c>
      <c r="Z1254" s="310"/>
      <c r="AA1254" s="301" t="s">
        <v>2248</v>
      </c>
      <c r="AB1254" s="312"/>
      <c r="AC1254" s="313"/>
      <c r="AD1254" s="51"/>
      <c r="AE1254" s="314"/>
      <c r="AF1254" s="315"/>
      <c r="AG1254" s="309"/>
      <c r="AH1254" s="28"/>
      <c r="AI1254" s="28"/>
      <c r="AJ1254" s="28"/>
      <c r="AK1254" s="28"/>
      <c r="AL1254" s="12"/>
      <c r="AM1254" s="12"/>
      <c r="AN1254" s="12"/>
      <c r="AO1254" s="12"/>
      <c r="AP1254" s="12"/>
      <c r="AQ1254" s="13"/>
      <c r="AR1254" s="14"/>
    </row>
    <row r="1255" spans="1:44" s="16" customFormat="1" ht="30.95" hidden="1" customHeight="1" x14ac:dyDescent="0.2">
      <c r="A1255" s="303"/>
      <c r="B1255" s="304"/>
      <c r="C1255" s="305"/>
      <c r="D1255" s="306"/>
      <c r="E1255" s="306"/>
      <c r="F1255" s="255"/>
      <c r="G1255" s="256"/>
      <c r="H1255" s="256"/>
      <c r="I1255" s="200"/>
      <c r="J1255" s="307"/>
      <c r="K1255" s="200"/>
      <c r="L1255" s="200"/>
      <c r="M1255" s="308"/>
      <c r="N1255" s="308"/>
      <c r="O1255" s="309"/>
      <c r="P1255" s="310"/>
      <c r="Q1255" s="260"/>
      <c r="R1255" s="261"/>
      <c r="S1255" s="261"/>
      <c r="T1255" s="311"/>
      <c r="U1255" s="261"/>
      <c r="V1255" s="256"/>
      <c r="W1255" s="256"/>
      <c r="X1255" s="256"/>
      <c r="Y1255" s="256"/>
      <c r="Z1255" s="310"/>
      <c r="AA1255" s="200"/>
      <c r="AB1255" s="312"/>
      <c r="AC1255" s="313"/>
      <c r="AD1255" s="51"/>
      <c r="AE1255" s="314"/>
      <c r="AF1255" s="315"/>
      <c r="AG1255" s="309"/>
      <c r="AH1255" s="28"/>
      <c r="AI1255" s="28"/>
      <c r="AJ1255" s="28"/>
      <c r="AK1255" s="28"/>
      <c r="AL1255" s="12"/>
      <c r="AM1255" s="12"/>
      <c r="AN1255" s="12"/>
      <c r="AO1255" s="12"/>
      <c r="AP1255" s="12"/>
      <c r="AQ1255" s="13"/>
      <c r="AR1255" s="14"/>
    </row>
    <row r="1256" spans="1:44" s="16" customFormat="1" ht="30.95" hidden="1" customHeight="1" x14ac:dyDescent="0.2">
      <c r="A1256" s="303" t="s">
        <v>1948</v>
      </c>
      <c r="B1256" s="304" t="s">
        <v>1412</v>
      </c>
      <c r="C1256" s="305"/>
      <c r="D1256" s="29"/>
      <c r="E1256" s="29"/>
      <c r="F1256" s="255"/>
      <c r="G1256" s="256"/>
      <c r="H1256" s="256"/>
      <c r="I1256" s="200"/>
      <c r="J1256" s="30"/>
      <c r="K1256" s="200"/>
      <c r="L1256" s="200"/>
      <c r="M1256" s="37"/>
      <c r="N1256" s="37"/>
      <c r="O1256" s="45"/>
      <c r="P1256" s="54"/>
      <c r="Q1256" s="260"/>
      <c r="R1256" s="261"/>
      <c r="S1256" s="261"/>
      <c r="T1256" s="38"/>
      <c r="U1256" s="261"/>
      <c r="V1256" s="256"/>
      <c r="W1256" s="256"/>
      <c r="X1256" s="256"/>
      <c r="Y1256" s="256"/>
      <c r="Z1256" s="310"/>
      <c r="AA1256" s="200"/>
      <c r="AB1256" s="312"/>
      <c r="AC1256" s="313"/>
      <c r="AD1256" s="51"/>
      <c r="AE1256" s="314"/>
      <c r="AF1256" s="315"/>
      <c r="AG1256" s="309"/>
      <c r="AH1256" s="28"/>
      <c r="AI1256" s="28"/>
      <c r="AJ1256" s="28"/>
      <c r="AK1256" s="28"/>
      <c r="AL1256" s="12"/>
      <c r="AM1256" s="12"/>
      <c r="AN1256" s="12"/>
      <c r="AO1256" s="12"/>
      <c r="AP1256" s="12"/>
      <c r="AQ1256" s="13"/>
      <c r="AR1256" s="14"/>
    </row>
    <row r="1257" spans="1:44" s="16" customFormat="1" ht="30.95" hidden="1" customHeight="1" x14ac:dyDescent="0.2">
      <c r="A1257" s="303"/>
      <c r="B1257" s="304"/>
      <c r="C1257" s="305"/>
      <c r="D1257" s="306"/>
      <c r="E1257" s="306"/>
      <c r="F1257" s="255"/>
      <c r="G1257" s="256"/>
      <c r="H1257" s="256"/>
      <c r="I1257" s="200"/>
      <c r="J1257" s="307"/>
      <c r="K1257" s="200"/>
      <c r="L1257" s="200"/>
      <c r="M1257" s="308"/>
      <c r="N1257" s="308"/>
      <c r="O1257" s="309"/>
      <c r="P1257" s="310"/>
      <c r="Q1257" s="260"/>
      <c r="R1257" s="261"/>
      <c r="S1257" s="261"/>
      <c r="T1257" s="311"/>
      <c r="U1257" s="261"/>
      <c r="V1257" s="256"/>
      <c r="W1257" s="256"/>
      <c r="X1257" s="256"/>
      <c r="Y1257" s="256"/>
      <c r="Z1257" s="310"/>
      <c r="AA1257" s="200"/>
      <c r="AB1257" s="312"/>
      <c r="AC1257" s="313"/>
      <c r="AD1257" s="51"/>
      <c r="AE1257" s="314"/>
      <c r="AF1257" s="315"/>
      <c r="AG1257" s="309"/>
      <c r="AH1257" s="28"/>
      <c r="AI1257" s="28"/>
      <c r="AJ1257" s="28"/>
      <c r="AK1257" s="28"/>
      <c r="AL1257" s="12"/>
      <c r="AM1257" s="12"/>
      <c r="AN1257" s="12"/>
      <c r="AO1257" s="12"/>
      <c r="AP1257" s="12"/>
      <c r="AQ1257" s="13"/>
      <c r="AR1257" s="14"/>
    </row>
    <row r="1258" spans="1:44" s="16" customFormat="1" ht="30.95" hidden="1" customHeight="1" x14ac:dyDescent="0.2">
      <c r="A1258" s="303" t="s">
        <v>1949</v>
      </c>
      <c r="B1258" s="304" t="s">
        <v>1408</v>
      </c>
      <c r="C1258" s="305"/>
      <c r="D1258" s="306"/>
      <c r="E1258" s="306"/>
      <c r="F1258" s="255"/>
      <c r="G1258" s="256"/>
      <c r="H1258" s="256"/>
      <c r="I1258" s="200"/>
      <c r="J1258" s="307"/>
      <c r="K1258" s="200"/>
      <c r="L1258" s="200"/>
      <c r="M1258" s="308"/>
      <c r="N1258" s="308"/>
      <c r="O1258" s="309"/>
      <c r="P1258" s="310"/>
      <c r="Q1258" s="260"/>
      <c r="R1258" s="261"/>
      <c r="S1258" s="261"/>
      <c r="T1258" s="311"/>
      <c r="U1258" s="261"/>
      <c r="V1258" s="256"/>
      <c r="W1258" s="256"/>
      <c r="X1258" s="256"/>
      <c r="Y1258" s="256"/>
      <c r="Z1258" s="310"/>
      <c r="AA1258" s="200"/>
      <c r="AB1258" s="312"/>
      <c r="AC1258" s="313"/>
      <c r="AD1258" s="51"/>
      <c r="AE1258" s="314"/>
      <c r="AF1258" s="315"/>
      <c r="AG1258" s="309"/>
      <c r="AH1258" s="28"/>
      <c r="AI1258" s="28"/>
      <c r="AJ1258" s="28"/>
      <c r="AK1258" s="28"/>
      <c r="AL1258" s="12"/>
      <c r="AM1258" s="12"/>
      <c r="AN1258" s="12"/>
      <c r="AO1258" s="12"/>
      <c r="AP1258" s="12"/>
      <c r="AQ1258" s="13"/>
      <c r="AR1258" s="14"/>
    </row>
    <row r="1259" spans="1:44" s="16" customFormat="1" ht="30.95" hidden="1" customHeight="1" x14ac:dyDescent="0.2">
      <c r="A1259" s="303"/>
      <c r="B1259" s="304"/>
      <c r="C1259" s="305"/>
      <c r="D1259" s="306"/>
      <c r="E1259" s="306"/>
      <c r="F1259" s="255"/>
      <c r="G1259" s="256"/>
      <c r="H1259" s="256"/>
      <c r="I1259" s="200"/>
      <c r="J1259" s="307"/>
      <c r="K1259" s="200"/>
      <c r="L1259" s="200"/>
      <c r="M1259" s="308"/>
      <c r="N1259" s="308"/>
      <c r="O1259" s="309"/>
      <c r="P1259" s="310"/>
      <c r="Q1259" s="260"/>
      <c r="R1259" s="261"/>
      <c r="S1259" s="261"/>
      <c r="T1259" s="311"/>
      <c r="U1259" s="261"/>
      <c r="V1259" s="256"/>
      <c r="W1259" s="256"/>
      <c r="X1259" s="256"/>
      <c r="Y1259" s="256"/>
      <c r="Z1259" s="310"/>
      <c r="AA1259" s="200"/>
      <c r="AB1259" s="312"/>
      <c r="AC1259" s="313"/>
      <c r="AD1259" s="51"/>
      <c r="AE1259" s="314"/>
      <c r="AF1259" s="315"/>
      <c r="AG1259" s="309"/>
      <c r="AH1259" s="28"/>
      <c r="AI1259" s="28"/>
      <c r="AJ1259" s="28"/>
      <c r="AK1259" s="28"/>
      <c r="AL1259" s="12"/>
      <c r="AM1259" s="12"/>
      <c r="AN1259" s="12"/>
      <c r="AO1259" s="12"/>
      <c r="AP1259" s="12"/>
      <c r="AQ1259" s="13"/>
      <c r="AR1259" s="14"/>
    </row>
    <row r="1260" spans="1:44" s="16" customFormat="1" ht="30.95" hidden="1" customHeight="1" x14ac:dyDescent="0.2">
      <c r="A1260" s="303" t="s">
        <v>2261</v>
      </c>
      <c r="B1260" s="304" t="s">
        <v>2262</v>
      </c>
      <c r="C1260" s="305"/>
      <c r="D1260" s="29"/>
      <c r="E1260" s="29"/>
      <c r="F1260" s="255"/>
      <c r="G1260" s="256"/>
      <c r="H1260" s="256"/>
      <c r="I1260" s="200"/>
      <c r="J1260" s="30"/>
      <c r="K1260" s="200"/>
      <c r="L1260" s="200"/>
      <c r="M1260" s="37"/>
      <c r="N1260" s="37"/>
      <c r="O1260" s="45"/>
      <c r="P1260" s="54"/>
      <c r="Q1260" s="260"/>
      <c r="R1260" s="261"/>
      <c r="S1260" s="261"/>
      <c r="T1260" s="38"/>
      <c r="U1260" s="261"/>
      <c r="V1260" s="256"/>
      <c r="W1260" s="256"/>
      <c r="X1260" s="256"/>
      <c r="Y1260" s="256"/>
      <c r="Z1260" s="310"/>
      <c r="AA1260" s="200"/>
      <c r="AB1260" s="312"/>
      <c r="AC1260" s="313"/>
      <c r="AD1260" s="51"/>
      <c r="AE1260" s="314"/>
      <c r="AF1260" s="315"/>
      <c r="AG1260" s="309"/>
      <c r="AH1260" s="28"/>
      <c r="AI1260" s="28"/>
      <c r="AJ1260" s="28"/>
      <c r="AK1260" s="28"/>
      <c r="AL1260" s="12"/>
      <c r="AM1260" s="12"/>
      <c r="AN1260" s="12"/>
      <c r="AO1260" s="12"/>
      <c r="AP1260" s="12"/>
      <c r="AQ1260" s="13"/>
      <c r="AR1260" s="14"/>
    </row>
    <row r="1261" spans="1:44" s="16" customFormat="1" ht="30.95" hidden="1" customHeight="1" x14ac:dyDescent="0.2">
      <c r="A1261" s="303"/>
      <c r="B1261" s="304"/>
      <c r="C1261" s="305"/>
      <c r="D1261" s="306"/>
      <c r="E1261" s="306"/>
      <c r="F1261" s="255"/>
      <c r="G1261" s="256"/>
      <c r="H1261" s="256"/>
      <c r="I1261" s="200"/>
      <c r="J1261" s="307"/>
      <c r="K1261" s="200"/>
      <c r="L1261" s="200"/>
      <c r="M1261" s="308"/>
      <c r="N1261" s="308"/>
      <c r="O1261" s="309"/>
      <c r="P1261" s="310"/>
      <c r="Q1261" s="260"/>
      <c r="R1261" s="261"/>
      <c r="S1261" s="261"/>
      <c r="T1261" s="311"/>
      <c r="U1261" s="261"/>
      <c r="V1261" s="256"/>
      <c r="W1261" s="256"/>
      <c r="X1261" s="256"/>
      <c r="Y1261" s="256"/>
      <c r="Z1261" s="310"/>
      <c r="AA1261" s="200"/>
      <c r="AB1261" s="312"/>
      <c r="AC1261" s="313"/>
      <c r="AD1261" s="51"/>
      <c r="AE1261" s="314"/>
      <c r="AF1261" s="315"/>
      <c r="AG1261" s="309"/>
      <c r="AH1261" s="28"/>
      <c r="AI1261" s="28"/>
      <c r="AJ1261" s="28"/>
      <c r="AK1261" s="28"/>
      <c r="AL1261" s="12"/>
      <c r="AM1261" s="12"/>
      <c r="AN1261" s="12"/>
      <c r="AO1261" s="12"/>
      <c r="AP1261" s="12"/>
      <c r="AQ1261" s="13"/>
      <c r="AR1261" s="14"/>
    </row>
    <row r="1262" spans="1:44" s="16" customFormat="1" ht="30.95" hidden="1" customHeight="1" x14ac:dyDescent="0.2">
      <c r="A1262" s="303" t="s">
        <v>1967</v>
      </c>
      <c r="B1262" s="304" t="s">
        <v>1397</v>
      </c>
      <c r="C1262" s="305"/>
      <c r="D1262" s="306"/>
      <c r="E1262" s="306"/>
      <c r="F1262" s="255"/>
      <c r="G1262" s="256"/>
      <c r="H1262" s="256"/>
      <c r="I1262" s="200"/>
      <c r="J1262" s="307" t="s">
        <v>448</v>
      </c>
      <c r="K1262" s="200"/>
      <c r="L1262" s="200"/>
      <c r="M1262" s="308"/>
      <c r="N1262" s="308"/>
      <c r="O1262" s="309"/>
      <c r="P1262" s="310"/>
      <c r="Q1262" s="260"/>
      <c r="R1262" s="261"/>
      <c r="S1262" s="261"/>
      <c r="T1262" s="311"/>
      <c r="U1262" s="261"/>
      <c r="V1262" s="256"/>
      <c r="W1262" s="256"/>
      <c r="X1262" s="256"/>
      <c r="Y1262" s="256"/>
      <c r="Z1262" s="310"/>
      <c r="AA1262" s="200"/>
      <c r="AB1262" s="312"/>
      <c r="AC1262" s="313"/>
      <c r="AD1262" s="51"/>
      <c r="AE1262" s="314"/>
      <c r="AF1262" s="315"/>
      <c r="AG1262" s="309"/>
      <c r="AH1262" s="28"/>
      <c r="AI1262" s="28"/>
      <c r="AJ1262" s="28"/>
      <c r="AK1262" s="28"/>
      <c r="AL1262" s="12"/>
      <c r="AM1262" s="12"/>
      <c r="AN1262" s="12"/>
      <c r="AO1262" s="12"/>
      <c r="AP1262" s="12"/>
      <c r="AQ1262" s="13"/>
      <c r="AR1262" s="14"/>
    </row>
    <row r="1263" spans="1:44" s="16" customFormat="1" ht="30.95" hidden="1" customHeight="1" x14ac:dyDescent="0.2">
      <c r="A1263" s="303"/>
      <c r="B1263" s="304"/>
      <c r="C1263" s="305"/>
      <c r="D1263" s="306"/>
      <c r="E1263" s="306"/>
      <c r="F1263" s="255"/>
      <c r="G1263" s="256"/>
      <c r="H1263" s="256"/>
      <c r="I1263" s="200"/>
      <c r="J1263" s="307"/>
      <c r="K1263" s="200"/>
      <c r="L1263" s="200"/>
      <c r="M1263" s="308"/>
      <c r="N1263" s="308"/>
      <c r="O1263" s="309"/>
      <c r="P1263" s="310"/>
      <c r="Q1263" s="260"/>
      <c r="R1263" s="261"/>
      <c r="S1263" s="261"/>
      <c r="T1263" s="311"/>
      <c r="U1263" s="261"/>
      <c r="V1263" s="256"/>
      <c r="W1263" s="256"/>
      <c r="X1263" s="256"/>
      <c r="Y1263" s="256"/>
      <c r="Z1263" s="310"/>
      <c r="AA1263" s="200"/>
      <c r="AB1263" s="312"/>
      <c r="AC1263" s="313"/>
      <c r="AD1263" s="51"/>
      <c r="AE1263" s="314"/>
      <c r="AF1263" s="315"/>
      <c r="AG1263" s="309"/>
      <c r="AH1263" s="28"/>
      <c r="AI1263" s="28"/>
      <c r="AJ1263" s="28"/>
      <c r="AK1263" s="28"/>
      <c r="AL1263" s="12"/>
      <c r="AM1263" s="12"/>
      <c r="AN1263" s="12"/>
      <c r="AO1263" s="12"/>
      <c r="AP1263" s="12"/>
      <c r="AQ1263" s="13"/>
      <c r="AR1263" s="14"/>
    </row>
    <row r="1264" spans="1:44" s="16" customFormat="1" ht="30.95" hidden="1" customHeight="1" x14ac:dyDescent="0.2">
      <c r="A1264" s="303" t="s">
        <v>1950</v>
      </c>
      <c r="B1264" s="304" t="s">
        <v>392</v>
      </c>
      <c r="C1264" s="305"/>
      <c r="D1264" s="306"/>
      <c r="E1264" s="306"/>
      <c r="F1264" s="255"/>
      <c r="G1264" s="256"/>
      <c r="H1264" s="256"/>
      <c r="I1264" s="200"/>
      <c r="J1264" s="307" t="s">
        <v>448</v>
      </c>
      <c r="K1264" s="200"/>
      <c r="L1264" s="200"/>
      <c r="M1264" s="308"/>
      <c r="N1264" s="308"/>
      <c r="O1264" s="309"/>
      <c r="P1264" s="310"/>
      <c r="Q1264" s="260"/>
      <c r="R1264" s="261"/>
      <c r="S1264" s="261"/>
      <c r="T1264" s="311"/>
      <c r="U1264" s="261"/>
      <c r="V1264" s="256"/>
      <c r="W1264" s="256"/>
      <c r="X1264" s="256"/>
      <c r="Y1264" s="256"/>
      <c r="Z1264" s="310"/>
      <c r="AA1264" s="200"/>
      <c r="AB1264" s="312"/>
      <c r="AC1264" s="313"/>
      <c r="AD1264" s="51"/>
      <c r="AE1264" s="314"/>
      <c r="AF1264" s="315"/>
      <c r="AG1264" s="309"/>
      <c r="AH1264" s="28"/>
      <c r="AI1264" s="28"/>
      <c r="AJ1264" s="28"/>
      <c r="AK1264" s="28"/>
      <c r="AL1264" s="12"/>
      <c r="AM1264" s="12"/>
      <c r="AN1264" s="12"/>
      <c r="AO1264" s="12"/>
      <c r="AP1264" s="12"/>
      <c r="AQ1264" s="13"/>
      <c r="AR1264" s="14"/>
    </row>
    <row r="1265" spans="1:44" s="16" customFormat="1" ht="30.95" hidden="1" customHeight="1" x14ac:dyDescent="0.2">
      <c r="A1265" s="303"/>
      <c r="B1265" s="304"/>
      <c r="C1265" s="305"/>
      <c r="D1265" s="306"/>
      <c r="E1265" s="306"/>
      <c r="F1265" s="255"/>
      <c r="G1265" s="256"/>
      <c r="H1265" s="256"/>
      <c r="I1265" s="200"/>
      <c r="J1265" s="307"/>
      <c r="K1265" s="200"/>
      <c r="L1265" s="200"/>
      <c r="M1265" s="308"/>
      <c r="N1265" s="308"/>
      <c r="O1265" s="309"/>
      <c r="P1265" s="310"/>
      <c r="Q1265" s="260"/>
      <c r="R1265" s="261"/>
      <c r="S1265" s="261"/>
      <c r="T1265" s="311"/>
      <c r="U1265" s="261"/>
      <c r="V1265" s="256"/>
      <c r="W1265" s="256"/>
      <c r="X1265" s="256"/>
      <c r="Y1265" s="256"/>
      <c r="Z1265" s="310"/>
      <c r="AA1265" s="200"/>
      <c r="AB1265" s="312"/>
      <c r="AC1265" s="313"/>
      <c r="AD1265" s="51"/>
      <c r="AE1265" s="314"/>
      <c r="AF1265" s="315"/>
      <c r="AG1265" s="309"/>
      <c r="AH1265" s="28"/>
      <c r="AI1265" s="28"/>
      <c r="AJ1265" s="28"/>
      <c r="AK1265" s="28"/>
      <c r="AL1265" s="12"/>
      <c r="AM1265" s="12"/>
      <c r="AN1265" s="12"/>
      <c r="AO1265" s="12"/>
      <c r="AP1265" s="12"/>
      <c r="AQ1265" s="13"/>
      <c r="AR1265" s="14"/>
    </row>
    <row r="1266" spans="1:44" s="16" customFormat="1" ht="30.95" hidden="1" customHeight="1" x14ac:dyDescent="0.2">
      <c r="A1266" s="35" t="s">
        <v>2245</v>
      </c>
      <c r="B1266" s="36" t="s">
        <v>2246</v>
      </c>
      <c r="C1266" s="305"/>
      <c r="D1266" s="29"/>
      <c r="E1266" s="29"/>
      <c r="F1266" s="255"/>
      <c r="G1266" s="256"/>
      <c r="H1266" s="256"/>
      <c r="I1266" s="200"/>
      <c r="J1266" s="30"/>
      <c r="K1266" s="200"/>
      <c r="L1266" s="200"/>
      <c r="M1266" s="37"/>
      <c r="N1266" s="37"/>
      <c r="O1266" s="45"/>
      <c r="P1266" s="54"/>
      <c r="Q1266" s="260"/>
      <c r="R1266" s="261"/>
      <c r="S1266" s="261"/>
      <c r="T1266" s="38"/>
      <c r="U1266" s="261"/>
      <c r="V1266" s="256"/>
      <c r="W1266" s="256"/>
      <c r="X1266" s="256"/>
      <c r="Y1266" s="256"/>
      <c r="Z1266" s="310"/>
      <c r="AA1266" s="200"/>
      <c r="AB1266" s="312"/>
      <c r="AC1266" s="313"/>
      <c r="AD1266" s="51"/>
      <c r="AE1266" s="52"/>
      <c r="AF1266" s="41"/>
      <c r="AG1266" s="45"/>
      <c r="AH1266" s="28"/>
      <c r="AI1266" s="28"/>
      <c r="AJ1266" s="28"/>
      <c r="AK1266" s="28"/>
      <c r="AL1266" s="12"/>
      <c r="AM1266" s="12"/>
      <c r="AN1266" s="12"/>
      <c r="AO1266" s="12"/>
      <c r="AP1266" s="12"/>
      <c r="AQ1266" s="13"/>
      <c r="AR1266" s="14"/>
    </row>
    <row r="1267" spans="1:44" s="16" customFormat="1" ht="30.95" hidden="1" customHeight="1" x14ac:dyDescent="0.2">
      <c r="A1267" s="303"/>
      <c r="B1267" s="304"/>
      <c r="C1267" s="305"/>
      <c r="D1267" s="29"/>
      <c r="E1267" s="29"/>
      <c r="F1267" s="255" t="str">
        <f>IF(D1267="","",VLOOKUP(D1267,契約台帳!$A$3:$K$4986,6,FALSE)&amp;VLOOKUP(D1267,契約台帳!$A$3:$K$4986,7,FALSE)&amp;VLOOKUP(D1267,契約台帳!$A$3:$K$4986,8,FALSE)&amp;VLOOKUP(D1267,契約台帳!$A$3:$K$4986,9,FALSE)&amp;VLOOKUP(D1267,契約台帳!$A$3:$K$4986,11,FALSE))</f>
        <v/>
      </c>
      <c r="G1267" s="256" t="str">
        <f>IF(D1267="","",VLOOKUP(F1267,製品マスタ!$G$5:$H$4999,2,FALSE))</f>
        <v/>
      </c>
      <c r="H1267" s="256" t="str">
        <f>IF(D1267="","",VLOOKUP(F1267,製品マスタ!$G$5:$K$4999,5,FALSE))</f>
        <v/>
      </c>
      <c r="I1267" s="200" t="str">
        <f>IF(D1267="","",VLOOKUP(F1267,製品マスタ!$G$5:$L$4999,6,FALSE))</f>
        <v/>
      </c>
      <c r="J1267" s="30"/>
      <c r="K1267" s="200" t="str">
        <f>IF(D1267="","",VLOOKUP(D1267,契約台帳!$A$3:$L$4986,12,FALSE))</f>
        <v/>
      </c>
      <c r="L1267" s="200" t="str">
        <f>IF(D1267="","",INDEX(製品マスタ!$Q$5:$Q$4999,MATCH(F1267&amp;K1267,製品マスタ!$AO$5:$AO$4999,0)))</f>
        <v/>
      </c>
      <c r="M1267" s="37"/>
      <c r="N1267" s="37"/>
      <c r="O1267" s="45"/>
      <c r="P1267" s="54"/>
      <c r="Q1267" s="260" t="str">
        <f>IF(D1267="","",IF(J1267="リード付け",M1267,VLOOKUP(D1267,契約台帳!$A$3:$N$4986,14,FALSE)))</f>
        <v/>
      </c>
      <c r="R1267" s="261" t="str">
        <f>IF(D1267="","",IF(J1267="リード付け",M1267,VLOOKUP(D1267,契約台帳!$A$3:$O$4986,15,FALSE)))</f>
        <v/>
      </c>
      <c r="S1267" s="261" t="str">
        <f>IF(D1267="","",IF(J1267="リード付け",N1267,VLOOKUP(D1267,契約台帳!$A$3:$P$4986,16,FALSE)))</f>
        <v/>
      </c>
      <c r="T1267" s="38"/>
      <c r="U1267" s="261" t="str">
        <f ca="1">IF(D1267="","",IF(OFFSET(D1267,-2,0)=D1267,"",VLOOKUP(D1267,契約台帳!$A$3:$R$4986,18,FALSE)))</f>
        <v/>
      </c>
      <c r="V1267" s="256" t="str">
        <f>IF(J1267="巻返し",VLOOKUP(F1267&amp;K1267&amp;M1267,製品マスタ!$M$5:$AD$4999,18,FALSE),IF(J1267="リード付け","原反コア",IF(J1267="スリット",VLOOKUP(F1267&amp;K1267&amp;Q1267,製品マスタ!$N$5:$AD$4999,17,FALSE),"")))</f>
        <v/>
      </c>
      <c r="W1267" s="256" t="str">
        <f>IF(J1267="巻返し",VLOOKUP(F1267&amp;K1267&amp;M1267,製品マスタ!$M$5:$AE$4999,19,FALSE),IF(J1267="リード付け","-",IF(J1267="スリット",VLOOKUP(F1267&amp;K1267&amp;Q1267,製品マスタ!$N$5:$AE$4999,18,FALSE),"")))</f>
        <v/>
      </c>
      <c r="X1267" s="256" t="str">
        <f>IF(D1267="","",VLOOKUP(D1267,契約台帳!$A$3:$Q$4986,17,FALSE))</f>
        <v/>
      </c>
      <c r="Y1267" s="256" t="str">
        <f>IF(D1267="","",VLOOKUP(D1267,契約台帳!$A$3:$E$4986,5,FALSE))</f>
        <v/>
      </c>
      <c r="Z1267" s="310"/>
      <c r="AA1267" s="200"/>
      <c r="AB1267" s="312"/>
      <c r="AC1267" s="313"/>
      <c r="AD1267" s="51" t="str">
        <f t="shared" ref="AD1267:AD1429" si="0">IF(F1267="","",+F1267&amp;K1267)</f>
        <v/>
      </c>
      <c r="AE1267" s="52">
        <f t="shared" ref="AE1267:AE1429" si="1">+M1267*N1267*O1267/1000</f>
        <v>0</v>
      </c>
      <c r="AF1267" s="41" t="str">
        <f>IF(AD1267="","",VLOOKUP(AD1267,原価マスタ!$A$2:$AJ$1693,13,FALSE))</f>
        <v/>
      </c>
      <c r="AG1267" s="45" t="str">
        <f t="shared" ref="AG1267:AG1429" si="2">IF(AF1267="","",+AE1267*AF1267/100)</f>
        <v/>
      </c>
      <c r="AH1267" s="28"/>
      <c r="AI1267" s="28"/>
      <c r="AJ1267" s="28"/>
      <c r="AK1267" s="28"/>
      <c r="AL1267" s="12"/>
      <c r="AM1267" s="12"/>
      <c r="AN1267" s="12"/>
      <c r="AO1267" s="12"/>
      <c r="AP1267" s="12"/>
      <c r="AQ1267" s="13"/>
      <c r="AR1267" s="14"/>
    </row>
    <row r="1268" spans="1:44" s="16" customFormat="1" ht="30.6" hidden="1" customHeight="1" x14ac:dyDescent="0.2">
      <c r="A1268" s="35" t="s">
        <v>2249</v>
      </c>
      <c r="B1268" s="36" t="s">
        <v>1405</v>
      </c>
      <c r="C1268" s="305"/>
      <c r="D1268" s="29">
        <v>3741600</v>
      </c>
      <c r="E1268" s="29">
        <v>4151606</v>
      </c>
      <c r="F1268" s="255" t="str">
        <f>IF(D1268="","",VLOOKUP(D1268,契約台帳!$A$3:$K$4986,6,FALSE)&amp;VLOOKUP(D1268,契約台帳!$A$3:$K$4986,7,FALSE)&amp;VLOOKUP(D1268,契約台帳!$A$3:$K$4986,8,FALSE)&amp;VLOOKUP(D1268,契約台帳!$A$3:$K$4986,9,FALSE)&amp;VLOOKUP(D1268,契約台帳!$A$3:$K$4986,11,FALSE))</f>
        <v>3SNMLBMTSF</v>
      </c>
      <c r="G1268" s="256" t="str">
        <f>IF(D1268="","",VLOOKUP(F1268,製品マスタ!$G$5:$H$4999,2,FALSE))</f>
        <v>S</v>
      </c>
      <c r="H1268" s="256" t="str">
        <f>IF(D1268="","",VLOOKUP(F1268,製品マスタ!$G$5:$K$4999,5,FALSE))</f>
        <v>MTSF</v>
      </c>
      <c r="I1268" s="200" t="str">
        <f>IF(D1268="","",VLOOKUP(F1268,製品マスタ!$G$5:$L$4999,6,FALSE))</f>
        <v>メタルミー　ＴＳ</v>
      </c>
      <c r="J1268" s="30" t="s">
        <v>447</v>
      </c>
      <c r="K1268" s="200">
        <f>IF(D1268="","",VLOOKUP(D1268,契約台帳!$A$3:$L$4986,12,FALSE))</f>
        <v>50</v>
      </c>
      <c r="L1268" s="200" t="str">
        <f>IF(D1268="","",INDEX(製品マスタ!$Q$5:$Q$4999,MATCH(F1268&amp;K1268,製品マスタ!$AO$5:$AO$4999,0)))</f>
        <v>T62M</v>
      </c>
      <c r="M1268" s="37">
        <v>1255</v>
      </c>
      <c r="N1268" s="37">
        <v>12200</v>
      </c>
      <c r="O1268" s="45">
        <v>3</v>
      </c>
      <c r="P1268" s="54"/>
      <c r="Q1268" s="260">
        <f>IF(D1268="","",IF(J1268="リード付け",M1268,VLOOKUP(D1268,契約台帳!$A$3:$N$4986,14,FALSE)))</f>
        <v>1255</v>
      </c>
      <c r="R1268" s="261">
        <f>IF(D1268="","",IF(J1268="リード付け",M1268,VLOOKUP(D1268,契約台帳!$A$3:$O$4986,15,FALSE)))</f>
        <v>1250</v>
      </c>
      <c r="S1268" s="261">
        <f>IF(D1268="","",IF(J1268="リード付け",N1268,VLOOKUP(D1268,契約台帳!$A$3:$P$4986,16,FALSE)))</f>
        <v>2000</v>
      </c>
      <c r="T1268" s="38">
        <v>18</v>
      </c>
      <c r="U1268" s="261">
        <f ca="1">IF(D1268="","",IF(OFFSET(D1268,-2,0)=D1268,"",VLOOKUP(D1268,契約台帳!$A$3:$R$4986,18,FALSE)))</f>
        <v>21</v>
      </c>
      <c r="V1268" s="256" t="str">
        <f>IF(J1268="巻返し",VLOOKUP(F1268&amp;K1268&amp;M1268,製品マスタ!$M$5:$AD$4999,18,FALSE),IF(J1268="リード付け","原反コア",IF(J1268="スリット",VLOOKUP(F1268&amp;K1268&amp;Q1268,製品マスタ!$N$5:$AD$4999,17,FALSE),"")))</f>
        <v>3ｲﾝﾁSｺｱ</v>
      </c>
      <c r="W1268" s="256">
        <f>IF(J1268="巻返し",VLOOKUP(F1268&amp;K1268&amp;M1268,製品マスタ!$M$5:$AE$4999,19,FALSE),IF(J1268="リード付け","-",IF(J1268="スリット",VLOOKUP(F1268&amp;K1268&amp;Q1268,製品マスタ!$N$5:$AE$4999,18,FALSE),"")))</f>
        <v>1260</v>
      </c>
      <c r="X1268" s="256">
        <f>IF(D1268="","",VLOOKUP(D1268,契約台帳!$A$3:$Q$4986,17,FALSE))</f>
        <v>2</v>
      </c>
      <c r="Y1268" s="256" t="str">
        <f>IF(D1268="","",VLOOKUP(D1268,契約台帳!$A$3:$E$4986,5,FALSE))</f>
        <v>日東電工㈱豊橋工場</v>
      </c>
      <c r="Z1268" s="310">
        <v>45359</v>
      </c>
      <c r="AA1268" s="200"/>
      <c r="AB1268" s="312"/>
      <c r="AC1268" s="313"/>
      <c r="AD1268" s="51" t="str">
        <f>IF(F1268="","",+F1268&amp;K1268)</f>
        <v>3SNMLBMTSF50</v>
      </c>
      <c r="AE1268" s="52">
        <f>+M1268*N1268*O1268/1000</f>
        <v>45933</v>
      </c>
      <c r="AF1268" s="41">
        <f>IF(AD1268="","",VLOOKUP(AD1268,原価マスタ!$A$2:$AJ$1693,13,FALSE))</f>
        <v>95</v>
      </c>
      <c r="AG1268" s="45">
        <f>IF(AF1268="","",+AE1268*AF1268/100)</f>
        <v>43636.35</v>
      </c>
      <c r="AH1268" s="28"/>
      <c r="AI1268" s="28"/>
      <c r="AJ1268" s="28"/>
      <c r="AK1268" s="28"/>
      <c r="AL1268" s="12"/>
      <c r="AM1268" s="12"/>
      <c r="AN1268" s="12"/>
      <c r="AO1268" s="12"/>
      <c r="AP1268" s="12"/>
      <c r="AQ1268" s="13"/>
      <c r="AR1268" s="14"/>
    </row>
    <row r="1269" spans="1:44" s="16" customFormat="1" ht="30.95" hidden="1" customHeight="1" x14ac:dyDescent="0.2">
      <c r="A1269" s="303"/>
      <c r="B1269" s="304"/>
      <c r="C1269" s="305"/>
      <c r="D1269" s="29"/>
      <c r="E1269" s="29"/>
      <c r="F1269" s="255"/>
      <c r="G1269" s="256"/>
      <c r="H1269" s="256"/>
      <c r="I1269" s="200"/>
      <c r="J1269" s="30"/>
      <c r="K1269" s="200"/>
      <c r="L1269" s="200"/>
      <c r="M1269" s="37"/>
      <c r="N1269" s="37"/>
      <c r="O1269" s="45"/>
      <c r="P1269" s="54"/>
      <c r="Q1269" s="260"/>
      <c r="R1269" s="261"/>
      <c r="S1269" s="261"/>
      <c r="T1269" s="38"/>
      <c r="U1269" s="261"/>
      <c r="V1269" s="256"/>
      <c r="W1269" s="256"/>
      <c r="X1269" s="256"/>
      <c r="Y1269" s="256"/>
      <c r="Z1269" s="310"/>
      <c r="AA1269" s="200"/>
      <c r="AB1269" s="312"/>
      <c r="AC1269" s="313"/>
      <c r="AD1269" s="51"/>
      <c r="AE1269" s="52"/>
      <c r="AF1269" s="41"/>
      <c r="AG1269" s="45"/>
      <c r="AH1269" s="28"/>
      <c r="AI1269" s="28"/>
      <c r="AJ1269" s="28"/>
      <c r="AK1269" s="28"/>
      <c r="AL1269" s="12"/>
      <c r="AM1269" s="12"/>
      <c r="AN1269" s="12"/>
      <c r="AO1269" s="12"/>
      <c r="AP1269" s="12"/>
      <c r="AQ1269" s="13"/>
      <c r="AR1269" s="14"/>
    </row>
    <row r="1270" spans="1:44" s="16" customFormat="1" ht="30.6" hidden="1" customHeight="1" x14ac:dyDescent="0.2">
      <c r="A1270" s="35"/>
      <c r="B1270" s="36"/>
      <c r="C1270" s="305"/>
      <c r="D1270" s="29">
        <v>3741600</v>
      </c>
      <c r="E1270" s="29">
        <v>4151605</v>
      </c>
      <c r="F1270" s="255" t="str">
        <f>IF(D1270="","",VLOOKUP(D1270,契約台帳!$A$3:$K$4986,6,FALSE)&amp;VLOOKUP(D1270,契約台帳!$A$3:$K$4986,7,FALSE)&amp;VLOOKUP(D1270,契約台帳!$A$3:$K$4986,8,FALSE)&amp;VLOOKUP(D1270,契約台帳!$A$3:$K$4986,9,FALSE)&amp;VLOOKUP(D1270,契約台帳!$A$3:$K$4986,11,FALSE))</f>
        <v>3SNMLBMTSF</v>
      </c>
      <c r="G1270" s="256" t="str">
        <f>IF(D1270="","",VLOOKUP(F1270,製品マスタ!$G$5:$H$4999,2,FALSE))</f>
        <v>S</v>
      </c>
      <c r="H1270" s="256" t="str">
        <f>IF(D1270="","",VLOOKUP(F1270,製品マスタ!$G$5:$K$4999,5,FALSE))</f>
        <v>MTSF</v>
      </c>
      <c r="I1270" s="200" t="str">
        <f>IF(D1270="","",VLOOKUP(F1270,製品マスタ!$G$5:$L$4999,6,FALSE))</f>
        <v>メタルミー　ＴＳ</v>
      </c>
      <c r="J1270" s="30" t="s">
        <v>447</v>
      </c>
      <c r="K1270" s="200">
        <f>IF(D1270="","",VLOOKUP(D1270,契約台帳!$A$3:$L$4986,12,FALSE))</f>
        <v>50</v>
      </c>
      <c r="L1270" s="200" t="str">
        <f>IF(D1270="","",INDEX(製品マスタ!$Q$5:$Q$4999,MATCH(F1270&amp;K1270,製品マスタ!$AO$5:$AO$4999,0)))</f>
        <v>T62M</v>
      </c>
      <c r="M1270" s="37">
        <v>1255</v>
      </c>
      <c r="N1270" s="37">
        <v>12200</v>
      </c>
      <c r="O1270" s="45">
        <v>1</v>
      </c>
      <c r="P1270" s="54"/>
      <c r="Q1270" s="260">
        <f>IF(D1270="","",IF(J1270="リード付け",M1270,VLOOKUP(D1270,契約台帳!$A$3:$N$4986,14,FALSE)))</f>
        <v>1255</v>
      </c>
      <c r="R1270" s="261">
        <f>IF(D1270="","",IF(J1270="リード付け",M1270,VLOOKUP(D1270,契約台帳!$A$3:$O$4986,15,FALSE)))</f>
        <v>1250</v>
      </c>
      <c r="S1270" s="261">
        <f>IF(D1270="","",IF(J1270="リード付け",N1270,VLOOKUP(D1270,契約台帳!$A$3:$P$4986,16,FALSE)))</f>
        <v>2000</v>
      </c>
      <c r="T1270" s="38">
        <v>3</v>
      </c>
      <c r="U1270" s="261" t="str">
        <f ca="1">IF(D1270="","",IF(OFFSET(D1270,-2,0)=D1270,"",VLOOKUP(D1270,契約台帳!$A$3:$R$4986,18,FALSE)))</f>
        <v/>
      </c>
      <c r="V1270" s="256" t="str">
        <f>IF(J1270="巻返し",VLOOKUP(F1270&amp;K1270&amp;M1270,製品マスタ!$M$5:$AD$4999,18,FALSE),IF(J1270="リード付け","原反コア",IF(J1270="スリット",VLOOKUP(F1270&amp;K1270&amp;Q1270,製品マスタ!$N$5:$AD$4999,17,FALSE),"")))</f>
        <v>3ｲﾝﾁSｺｱ</v>
      </c>
      <c r="W1270" s="256">
        <f>IF(J1270="巻返し",VLOOKUP(F1270&amp;K1270&amp;M1270,製品マスタ!$M$5:$AE$4999,19,FALSE),IF(J1270="リード付け","-",IF(J1270="スリット",VLOOKUP(F1270&amp;K1270&amp;Q1270,製品マスタ!$N$5:$AE$4999,18,FALSE),"")))</f>
        <v>1260</v>
      </c>
      <c r="X1270" s="256">
        <f>IF(D1270="","",VLOOKUP(D1270,契約台帳!$A$3:$Q$4986,17,FALSE))</f>
        <v>2</v>
      </c>
      <c r="Y1270" s="256" t="str">
        <f>IF(D1270="","",VLOOKUP(D1270,契約台帳!$A$3:$E$4986,5,FALSE))</f>
        <v>日東電工㈱豊橋工場</v>
      </c>
      <c r="Z1270" s="310">
        <v>45359</v>
      </c>
      <c r="AA1270" s="200"/>
      <c r="AB1270" s="312"/>
      <c r="AC1270" s="313"/>
      <c r="AD1270" s="51" t="str">
        <f>IF(F1270="","",+F1270&amp;K1270)</f>
        <v>3SNMLBMTSF50</v>
      </c>
      <c r="AE1270" s="52">
        <f>+M1270*N1270*O1270/1000</f>
        <v>15311</v>
      </c>
      <c r="AF1270" s="41">
        <f>IF(AD1270="","",VLOOKUP(AD1270,原価マスタ!$A$2:$AJ$1693,13,FALSE))</f>
        <v>95</v>
      </c>
      <c r="AG1270" s="45">
        <f>IF(AF1270="","",+AE1270*AF1270/100)/2</f>
        <v>7272.7250000000004</v>
      </c>
      <c r="AH1270" s="28"/>
      <c r="AI1270" s="28"/>
      <c r="AJ1270" s="28"/>
      <c r="AK1270" s="28"/>
      <c r="AL1270" s="12"/>
      <c r="AM1270" s="12"/>
      <c r="AN1270" s="12"/>
      <c r="AO1270" s="12"/>
      <c r="AP1270" s="12"/>
      <c r="AQ1270" s="13"/>
      <c r="AR1270" s="14"/>
    </row>
    <row r="1271" spans="1:44" s="16" customFormat="1" ht="30.6" hidden="1" customHeight="1" x14ac:dyDescent="0.2">
      <c r="A1271" s="35"/>
      <c r="B1271" s="36"/>
      <c r="C1271" s="305"/>
      <c r="D1271" s="29">
        <v>3744746</v>
      </c>
      <c r="E1271" s="29"/>
      <c r="F1271" s="255" t="str">
        <f>IF(D1271="","",VLOOKUP(D1271,契約台帳!$A$3:$K$4986,6,FALSE)&amp;VLOOKUP(D1271,契約台帳!$A$3:$K$4986,7,FALSE)&amp;VLOOKUP(D1271,契約台帳!$A$3:$K$4986,8,FALSE)&amp;VLOOKUP(D1271,契約台帳!$A$3:$K$4986,9,FALSE)&amp;VLOOKUP(D1271,契約台帳!$A$3:$K$4986,11,FALSE))</f>
        <v>3TNMLBMTSF</v>
      </c>
      <c r="G1271" s="256" t="str">
        <f>IF(D1271="","",VLOOKUP(F1271,製品マスタ!$G$5:$H$4999,2,FALSE))</f>
        <v>T</v>
      </c>
      <c r="H1271" s="256" t="str">
        <f>IF(D1271="","",VLOOKUP(F1271,製品マスタ!$G$5:$K$4999,5,FALSE))</f>
        <v>MTSF</v>
      </c>
      <c r="I1271" s="200" t="str">
        <f>IF(D1271="","",VLOOKUP(F1271,製品マスタ!$G$5:$L$4999,6,FALSE))</f>
        <v>メタルミー　ＴＳ</v>
      </c>
      <c r="J1271" s="30" t="s">
        <v>447</v>
      </c>
      <c r="K1271" s="200">
        <f>IF(D1271="","",VLOOKUP(D1271,契約台帳!$A$3:$L$4986,12,FALSE))</f>
        <v>50</v>
      </c>
      <c r="L1271" s="200" t="str">
        <f>IF(D1271="","",INDEX(製品マスタ!$Q$5:$Q$4999,MATCH(F1271&amp;K1271,製品マスタ!$AO$5:$AO$4999,0)))</f>
        <v>T62M</v>
      </c>
      <c r="M1271" s="37">
        <v>1255</v>
      </c>
      <c r="N1271" s="37"/>
      <c r="O1271" s="45"/>
      <c r="P1271" s="54"/>
      <c r="Q1271" s="260">
        <f>IF(D1271="","",IF(J1271="リード付け",M1271,VLOOKUP(D1271,契約台帳!$A$3:$N$4986,14,FALSE)))</f>
        <v>1255</v>
      </c>
      <c r="R1271" s="261">
        <f>IF(D1271="","",IF(J1271="リード付け",M1271,VLOOKUP(D1271,契約台帳!$A$3:$O$4986,15,FALSE)))</f>
        <v>1250</v>
      </c>
      <c r="S1271" s="261">
        <f>IF(D1271="","",IF(J1271="リード付け",N1271,VLOOKUP(D1271,契約台帳!$A$3:$P$4986,16,FALSE)))</f>
        <v>3000</v>
      </c>
      <c r="T1271" s="38">
        <v>2</v>
      </c>
      <c r="U1271" s="261">
        <f ca="1">IF(D1271="","",IF(OFFSET(D1271,-2,0)=D1271,"",VLOOKUP(D1271,契約台帳!$A$3:$R$4986,18,FALSE)))</f>
        <v>2</v>
      </c>
      <c r="V1271" s="256" t="s">
        <v>2263</v>
      </c>
      <c r="W1271" s="256">
        <v>1260</v>
      </c>
      <c r="X1271" s="256">
        <f>IF(D1271="","",VLOOKUP(D1271,契約台帳!$A$3:$Q$4986,17,FALSE))</f>
        <v>2</v>
      </c>
      <c r="Y1271" s="256" t="str">
        <f>IF(D1271="","",VLOOKUP(D1271,契約台帳!$A$3:$E$4986,5,FALSE))</f>
        <v>日東電工㈱豊橋工場</v>
      </c>
      <c r="Z1271" s="310">
        <v>45359</v>
      </c>
      <c r="AA1271" s="200" t="s">
        <v>774</v>
      </c>
      <c r="AB1271" s="312"/>
      <c r="AC1271" s="313"/>
      <c r="AD1271" s="51" t="str">
        <f>IF(F1271="","",+F1271&amp;K1271)</f>
        <v>3TNMLBMTSF50</v>
      </c>
      <c r="AE1271" s="52">
        <f>+M1271*N1271*O1271/1000</f>
        <v>0</v>
      </c>
      <c r="AF1271" s="41">
        <v>90</v>
      </c>
      <c r="AG1271" s="45">
        <f>IF(AF1271="","",+AE1270*AF1271/100)/2</f>
        <v>6889.95</v>
      </c>
      <c r="AH1271" s="28"/>
      <c r="AI1271" s="28"/>
      <c r="AJ1271" s="28"/>
      <c r="AK1271" s="28"/>
      <c r="AL1271" s="12"/>
      <c r="AM1271" s="12"/>
      <c r="AN1271" s="12"/>
      <c r="AO1271" s="12"/>
      <c r="AP1271" s="12"/>
      <c r="AQ1271" s="13"/>
      <c r="AR1271" s="14"/>
    </row>
    <row r="1272" spans="1:44" s="16" customFormat="1" ht="30.95" hidden="1" customHeight="1" x14ac:dyDescent="0.2">
      <c r="A1272" s="303"/>
      <c r="B1272" s="304"/>
      <c r="C1272" s="305"/>
      <c r="D1272" s="29"/>
      <c r="E1272" s="29"/>
      <c r="F1272" s="255"/>
      <c r="G1272" s="256"/>
      <c r="H1272" s="256"/>
      <c r="I1272" s="200"/>
      <c r="J1272" s="30"/>
      <c r="K1272" s="200"/>
      <c r="L1272" s="200"/>
      <c r="M1272" s="37"/>
      <c r="N1272" s="37"/>
      <c r="O1272" s="37"/>
      <c r="P1272" s="54"/>
      <c r="Q1272" s="260"/>
      <c r="R1272" s="261"/>
      <c r="S1272" s="261"/>
      <c r="T1272" s="38"/>
      <c r="U1272" s="261"/>
      <c r="V1272" s="256"/>
      <c r="W1272" s="256"/>
      <c r="X1272" s="256"/>
      <c r="Y1272" s="256"/>
      <c r="Z1272" s="310"/>
      <c r="AA1272" s="200"/>
      <c r="AB1272" s="312"/>
      <c r="AC1272" s="313"/>
      <c r="AD1272" s="51"/>
      <c r="AE1272" s="52"/>
      <c r="AF1272" s="41"/>
      <c r="AG1272" s="45"/>
      <c r="AH1272" s="28"/>
      <c r="AI1272" s="28"/>
      <c r="AJ1272" s="28"/>
      <c r="AK1272" s="28"/>
      <c r="AL1272" s="12"/>
      <c r="AM1272" s="12"/>
      <c r="AN1272" s="12"/>
      <c r="AO1272" s="12"/>
      <c r="AP1272" s="12"/>
      <c r="AQ1272" s="13"/>
      <c r="AR1272" s="14"/>
    </row>
    <row r="1273" spans="1:44" s="16" customFormat="1" ht="30.95" hidden="1" customHeight="1" x14ac:dyDescent="0.2">
      <c r="A1273" s="303"/>
      <c r="B1273" s="304"/>
      <c r="C1273" s="305"/>
      <c r="D1273" s="29">
        <v>3741611</v>
      </c>
      <c r="E1273" s="29">
        <v>4151603</v>
      </c>
      <c r="F1273" s="255" t="str">
        <f>IF(D1273="","",VLOOKUP(D1273,契約台帳!$A$3:$K$4986,6,FALSE)&amp;VLOOKUP(D1273,契約台帳!$A$3:$K$4986,7,FALSE)&amp;VLOOKUP(D1273,契約台帳!$A$3:$K$4986,8,FALSE)&amp;VLOOKUP(D1273,契約台帳!$A$3:$K$4986,9,FALSE)&amp;VLOOKUP(D1273,契約台帳!$A$3:$K$4986,11,FALSE))</f>
        <v>3SNMLBMNGTBF</v>
      </c>
      <c r="G1273" s="256" t="str">
        <f>IF(D1273="","",VLOOKUP(F1273,製品マスタ!$G$5:$H$4999,2,FALSE))</f>
        <v>S</v>
      </c>
      <c r="H1273" s="256" t="str">
        <f>IF(D1273="","",VLOOKUP(F1273,製品マスタ!$G$5:$K$4999,5,FALSE))</f>
        <v>MNGTBF</v>
      </c>
      <c r="I1273" s="200" t="str">
        <f>IF(D1273="","",VLOOKUP(F1273,製品マスタ!$G$5:$L$4999,6,FALSE))</f>
        <v>メタルミー　ネーマー　銀艶　Ｂ</v>
      </c>
      <c r="J1273" s="30" t="s">
        <v>447</v>
      </c>
      <c r="K1273" s="200">
        <f>IF(D1273="","",VLOOKUP(D1273,契約台帳!$A$3:$L$4986,12,FALSE))</f>
        <v>25</v>
      </c>
      <c r="L1273" s="200" t="str">
        <f>IF(D1273="","",INDEX(製品マスタ!$Q$5:$Q$4999,MATCH(F1273&amp;K1273,製品マスタ!$AO$5:$AO$4999,0)))</f>
        <v>T62M</v>
      </c>
      <c r="M1273" s="258">
        <v>1125</v>
      </c>
      <c r="N1273" s="258">
        <v>12100</v>
      </c>
      <c r="O1273" s="343">
        <v>1</v>
      </c>
      <c r="P1273" s="54"/>
      <c r="Q1273" s="260">
        <f>IF(D1273="","",IF(J1273="リード付け",M1273,VLOOKUP(D1273,契約台帳!$A$3:$N$4986,14,FALSE)))</f>
        <v>1125</v>
      </c>
      <c r="R1273" s="261">
        <f>IF(D1273="","",IF(J1273="リード付け",M1273,VLOOKUP(D1273,契約台帳!$A$3:$O$4986,15,FALSE)))</f>
        <v>1120</v>
      </c>
      <c r="S1273" s="261">
        <f>IF(D1273="","",IF(J1273="リード付け",N1273,VLOOKUP(D1273,契約台帳!$A$3:$P$4986,16,FALSE)))</f>
        <v>4000</v>
      </c>
      <c r="T1273" s="38">
        <v>3</v>
      </c>
      <c r="U1273" s="261">
        <f ca="1">IF(D1273="","",IF(OFFSET(D1273,-2,0)=D1273,"",VLOOKUP(D1273,契約台帳!$A$3:$R$4986,18,FALSE)))</f>
        <v>3</v>
      </c>
      <c r="V1273" s="256" t="str">
        <f>IF(J1273="巻返し",VLOOKUP(F1273&amp;K1273&amp;M1273,製品マスタ!$M$5:$AD$4999,18,FALSE),IF(J1273="リード付け","原反コア",IF(J1273="スリット",VLOOKUP(F1273&amp;K1273&amp;Q1273,製品マスタ!$N$5:$AD$4999,17,FALSE),"")))</f>
        <v>6ｲﾝﾁSｺｱ</v>
      </c>
      <c r="W1273" s="256">
        <f>IF(J1273="巻返し",VLOOKUP(F1273&amp;K1273&amp;M1273,製品マスタ!$M$5:$AE$4999,19,FALSE),IF(J1273="リード付け","-",IF(J1273="スリット",VLOOKUP(F1273&amp;K1273&amp;Q1273,製品マスタ!$N$5:$AE$4999,18,FALSE),"")))</f>
        <v>1130</v>
      </c>
      <c r="X1273" s="256">
        <f>IF(D1273="","",VLOOKUP(D1273,契約台帳!$A$3:$Q$4986,17,FALSE))</f>
        <v>2</v>
      </c>
      <c r="Y1273" s="256" t="str">
        <f>IF(D1273="","",VLOOKUP(D1273,契約台帳!$A$3:$E$4986,5,FALSE))</f>
        <v>リンテック㈱</v>
      </c>
      <c r="Z1273" s="310">
        <v>45359</v>
      </c>
      <c r="AA1273" s="200"/>
      <c r="AB1273" s="312"/>
      <c r="AC1273" s="313"/>
      <c r="AD1273" s="51" t="str">
        <f t="shared" ref="AD1273" si="3">IF(F1273="","",+F1273&amp;K1273)</f>
        <v>3SNMLBMNGTBF25</v>
      </c>
      <c r="AE1273" s="52">
        <f t="shared" ref="AE1273" si="4">+M1273*N1273*O1273/1000</f>
        <v>13612.5</v>
      </c>
      <c r="AF1273" s="41">
        <f>IF(AD1273="","",VLOOKUP(AD1273,原価マスタ!$A$2:$AJ$1693,13,FALSE))</f>
        <v>97.5</v>
      </c>
      <c r="AG1273" s="45">
        <f t="shared" ref="AG1273" si="5">IF(AF1273="","",+AE1273*AF1273/100)</f>
        <v>13272.1875</v>
      </c>
      <c r="AH1273" s="28"/>
      <c r="AI1273" s="28"/>
      <c r="AJ1273" s="28"/>
      <c r="AK1273" s="28"/>
      <c r="AL1273" s="12"/>
      <c r="AM1273" s="12"/>
      <c r="AN1273" s="12"/>
      <c r="AO1273" s="12"/>
      <c r="AP1273" s="12"/>
      <c r="AQ1273" s="13"/>
      <c r="AR1273" s="14"/>
    </row>
    <row r="1274" spans="1:44" s="16" customFormat="1" ht="30.95" hidden="1" customHeight="1" x14ac:dyDescent="0.2">
      <c r="A1274" s="303"/>
      <c r="B1274" s="304"/>
      <c r="C1274" s="305"/>
      <c r="D1274" s="29"/>
      <c r="E1274" s="29"/>
      <c r="F1274" s="255"/>
      <c r="G1274" s="256"/>
      <c r="H1274" s="256"/>
      <c r="I1274" s="200"/>
      <c r="J1274" s="30"/>
      <c r="K1274" s="200"/>
      <c r="L1274" s="200"/>
      <c r="M1274" s="37"/>
      <c r="N1274" s="37"/>
      <c r="O1274" s="45"/>
      <c r="P1274" s="54"/>
      <c r="Q1274" s="260"/>
      <c r="R1274" s="261"/>
      <c r="S1274" s="261"/>
      <c r="T1274" s="38"/>
      <c r="U1274" s="261"/>
      <c r="V1274" s="256"/>
      <c r="W1274" s="256"/>
      <c r="X1274" s="256"/>
      <c r="Y1274" s="256"/>
      <c r="Z1274" s="310"/>
      <c r="AA1274" s="200"/>
      <c r="AB1274" s="312"/>
      <c r="AC1274" s="313"/>
      <c r="AD1274" s="51"/>
      <c r="AE1274" s="52"/>
      <c r="AF1274" s="41"/>
      <c r="AG1274" s="45"/>
      <c r="AH1274" s="28"/>
      <c r="AI1274" s="28"/>
      <c r="AJ1274" s="28"/>
      <c r="AK1274" s="28"/>
      <c r="AL1274" s="12"/>
      <c r="AM1274" s="12"/>
      <c r="AN1274" s="12"/>
      <c r="AO1274" s="12"/>
      <c r="AP1274" s="12"/>
      <c r="AQ1274" s="13"/>
      <c r="AR1274" s="14"/>
    </row>
    <row r="1275" spans="1:44" s="16" customFormat="1" ht="30.95" hidden="1" customHeight="1" x14ac:dyDescent="0.2">
      <c r="A1275" s="35" t="s">
        <v>2250</v>
      </c>
      <c r="B1275" s="36" t="s">
        <v>1412</v>
      </c>
      <c r="C1275" s="305"/>
      <c r="D1275" s="29">
        <v>3741612</v>
      </c>
      <c r="E1275" s="29">
        <v>4151595</v>
      </c>
      <c r="F1275" s="255" t="str">
        <f>IF(D1275="","",VLOOKUP(D1275,契約台帳!$A$3:$K$4986,6,FALSE)&amp;VLOOKUP(D1275,契約台帳!$A$3:$K$4986,7,FALSE)&amp;VLOOKUP(D1275,契約台帳!$A$3:$K$4986,8,FALSE)&amp;VLOOKUP(D1275,契約台帳!$A$3:$K$4986,9,FALSE)&amp;VLOOKUP(D1275,契約台帳!$A$3:$K$4986,11,FALSE))</f>
        <v>3SNMLBMNGTBF</v>
      </c>
      <c r="G1275" s="256" t="str">
        <f>IF(D1275="","",VLOOKUP(F1275,製品マスタ!$G$5:$H$4999,2,FALSE))</f>
        <v>S</v>
      </c>
      <c r="H1275" s="256" t="str">
        <f>IF(D1275="","",VLOOKUP(F1275,製品マスタ!$G$5:$K$4999,5,FALSE))</f>
        <v>MNGTBF</v>
      </c>
      <c r="I1275" s="200" t="str">
        <f>IF(D1275="","",VLOOKUP(F1275,製品マスタ!$G$5:$L$4999,6,FALSE))</f>
        <v>メタルミー　ネーマー　銀艶　Ｂ</v>
      </c>
      <c r="J1275" s="30" t="s">
        <v>447</v>
      </c>
      <c r="K1275" s="200">
        <f>IF(D1275="","",VLOOKUP(D1275,契約台帳!$A$3:$L$4986,12,FALSE))</f>
        <v>50</v>
      </c>
      <c r="L1275" s="200" t="str">
        <f>IF(D1275="","",INDEX(製品マスタ!$Q$5:$Q$4999,MATCH(F1275&amp;K1275,製品マスタ!$AO$5:$AO$4999,0)))</f>
        <v>T62</v>
      </c>
      <c r="M1275" s="37">
        <v>1120</v>
      </c>
      <c r="N1275" s="37">
        <v>10000</v>
      </c>
      <c r="O1275" s="45">
        <v>6</v>
      </c>
      <c r="P1275" s="54"/>
      <c r="Q1275" s="260">
        <f>IF(D1275="","",IF(J1275="リード付け",M1275,VLOOKUP(D1275,契約台帳!$A$3:$N$4986,14,FALSE)))</f>
        <v>1120</v>
      </c>
      <c r="R1275" s="261">
        <f>IF(D1275="","",IF(J1275="リード付け",M1275,VLOOKUP(D1275,契約台帳!$A$3:$O$4986,15,FALSE)))</f>
        <v>1120</v>
      </c>
      <c r="S1275" s="261">
        <f>IF(D1275="","",IF(J1275="リード付け",N1275,VLOOKUP(D1275,契約台帳!$A$3:$P$4986,16,FALSE)))</f>
        <v>5000</v>
      </c>
      <c r="T1275" s="38">
        <v>12</v>
      </c>
      <c r="U1275" s="261">
        <f ca="1">IF(D1275="","",IF(OFFSET(D1275,-2,0)=D1275,"",VLOOKUP(D1275,契約台帳!$A$3:$R$4986,18,FALSE)))</f>
        <v>24</v>
      </c>
      <c r="V1275" s="256" t="str">
        <f>IF(J1275="巻返し",VLOOKUP(F1275&amp;K1275&amp;M1275,製品マスタ!$M$5:$AD$4999,18,FALSE),IF(J1275="リード付け","原反コア",IF(J1275="スリット",VLOOKUP(F1275&amp;K1275&amp;Q1275,製品マスタ!$N$5:$AD$4999,17,FALSE),"")))</f>
        <v>6ｲﾝﾁSｺｱ</v>
      </c>
      <c r="W1275" s="256">
        <f>IF(J1275="巻返し",VLOOKUP(F1275&amp;K1275&amp;M1275,製品マスタ!$M$5:$AE$4999,19,FALSE),IF(J1275="リード付け","-",IF(J1275="スリット",VLOOKUP(F1275&amp;K1275&amp;Q1275,製品マスタ!$N$5:$AE$4999,18,FALSE),"")))</f>
        <v>1125</v>
      </c>
      <c r="X1275" s="256">
        <f>IF(D1275="","",VLOOKUP(D1275,契約台帳!$A$3:$Q$4986,17,FALSE))</f>
        <v>2</v>
      </c>
      <c r="Y1275" s="256" t="str">
        <f>IF(D1275="","",VLOOKUP(D1275,契約台帳!$A$3:$E$4986,5,FALSE))</f>
        <v>リンテック㈱</v>
      </c>
      <c r="Z1275" s="310">
        <v>45362</v>
      </c>
      <c r="AA1275" s="200"/>
      <c r="AB1275" s="312"/>
      <c r="AC1275" s="313"/>
      <c r="AD1275" s="51" t="str">
        <f t="shared" si="0"/>
        <v>3SNMLBMNGTBF50</v>
      </c>
      <c r="AE1275" s="52">
        <f t="shared" si="1"/>
        <v>67200</v>
      </c>
      <c r="AF1275" s="41">
        <f>IF(AD1275="","",VLOOKUP(AD1275,原価マスタ!$A$2:$AJ$1693,13,FALSE))</f>
        <v>99</v>
      </c>
      <c r="AG1275" s="45">
        <f t="shared" si="2"/>
        <v>66528</v>
      </c>
      <c r="AH1275" s="28"/>
      <c r="AI1275" s="28"/>
      <c r="AJ1275" s="28"/>
      <c r="AK1275" s="28"/>
      <c r="AL1275" s="12"/>
      <c r="AM1275" s="12"/>
      <c r="AN1275" s="12"/>
      <c r="AO1275" s="12"/>
      <c r="AP1275" s="12"/>
      <c r="AQ1275" s="13"/>
      <c r="AR1275" s="14"/>
    </row>
    <row r="1276" spans="1:44" s="16" customFormat="1" ht="30.95" hidden="1" customHeight="1" x14ac:dyDescent="0.2">
      <c r="A1276" s="303"/>
      <c r="B1276" s="304"/>
      <c r="C1276" s="305"/>
      <c r="D1276" s="29"/>
      <c r="E1276" s="29"/>
      <c r="F1276" s="255"/>
      <c r="G1276" s="256"/>
      <c r="H1276" s="256"/>
      <c r="I1276" s="200"/>
      <c r="J1276" s="30"/>
      <c r="K1276" s="200"/>
      <c r="L1276" s="200"/>
      <c r="M1276" s="37"/>
      <c r="N1276" s="37"/>
      <c r="O1276" s="45"/>
      <c r="P1276" s="54"/>
      <c r="Q1276" s="260"/>
      <c r="R1276" s="261"/>
      <c r="S1276" s="261"/>
      <c r="T1276" s="38"/>
      <c r="U1276" s="261"/>
      <c r="V1276" s="256"/>
      <c r="W1276" s="256"/>
      <c r="X1276" s="256"/>
      <c r="Y1276" s="256"/>
      <c r="Z1276" s="310"/>
      <c r="AA1276" s="200"/>
      <c r="AB1276" s="312"/>
      <c r="AC1276" s="313"/>
      <c r="AD1276" s="51"/>
      <c r="AE1276" s="52"/>
      <c r="AF1276" s="41"/>
      <c r="AG1276" s="45"/>
      <c r="AH1276" s="28"/>
      <c r="AI1276" s="28"/>
      <c r="AJ1276" s="28"/>
      <c r="AK1276" s="28"/>
      <c r="AL1276" s="12"/>
      <c r="AM1276" s="12"/>
      <c r="AN1276" s="12"/>
      <c r="AO1276" s="12"/>
      <c r="AP1276" s="12"/>
      <c r="AQ1276" s="13"/>
      <c r="AR1276" s="14"/>
    </row>
    <row r="1277" spans="1:44" s="16" customFormat="1" ht="30.95" hidden="1" customHeight="1" x14ac:dyDescent="0.2">
      <c r="A1277" s="35" t="s">
        <v>2251</v>
      </c>
      <c r="B1277" s="36" t="s">
        <v>1408</v>
      </c>
      <c r="C1277" s="305"/>
      <c r="D1277" s="29">
        <v>3741612</v>
      </c>
      <c r="E1277" s="29">
        <v>4151595</v>
      </c>
      <c r="F1277" s="255" t="str">
        <f>IF(D1277="","",VLOOKUP(D1277,契約台帳!$A$3:$K$4986,6,FALSE)&amp;VLOOKUP(D1277,契約台帳!$A$3:$K$4986,7,FALSE)&amp;VLOOKUP(D1277,契約台帳!$A$3:$K$4986,8,FALSE)&amp;VLOOKUP(D1277,契約台帳!$A$3:$K$4986,9,FALSE)&amp;VLOOKUP(D1277,契約台帳!$A$3:$K$4986,11,FALSE))</f>
        <v>3SNMLBMNGTBF</v>
      </c>
      <c r="G1277" s="256" t="str">
        <f>IF(D1277="","",VLOOKUP(F1277,製品マスタ!$G$5:$H$4999,2,FALSE))</f>
        <v>S</v>
      </c>
      <c r="H1277" s="256" t="str">
        <f>IF(D1277="","",VLOOKUP(F1277,製品マスタ!$G$5:$K$4999,5,FALSE))</f>
        <v>MNGTBF</v>
      </c>
      <c r="I1277" s="200" t="str">
        <f>IF(D1277="","",VLOOKUP(F1277,製品マスタ!$G$5:$L$4999,6,FALSE))</f>
        <v>メタルミー　ネーマー　銀艶　Ｂ</v>
      </c>
      <c r="J1277" s="30" t="s">
        <v>447</v>
      </c>
      <c r="K1277" s="200">
        <f>IF(D1277="","",VLOOKUP(D1277,契約台帳!$A$3:$L$4986,12,FALSE))</f>
        <v>50</v>
      </c>
      <c r="L1277" s="200" t="str">
        <f>IF(D1277="","",INDEX(製品マスタ!$Q$5:$Q$4999,MATCH(F1277&amp;K1277,製品マスタ!$AO$5:$AO$4999,0)))</f>
        <v>T62</v>
      </c>
      <c r="M1277" s="37">
        <v>1120</v>
      </c>
      <c r="N1277" s="37">
        <v>10000</v>
      </c>
      <c r="O1277" s="45">
        <v>4</v>
      </c>
      <c r="P1277" s="54"/>
      <c r="Q1277" s="260">
        <f>IF(D1277="","",IF(J1277="リード付け",M1277,VLOOKUP(D1277,契約台帳!$A$3:$N$4986,14,FALSE)))</f>
        <v>1120</v>
      </c>
      <c r="R1277" s="261">
        <f>IF(D1277="","",IF(J1277="リード付け",M1277,VLOOKUP(D1277,契約台帳!$A$3:$O$4986,15,FALSE)))</f>
        <v>1120</v>
      </c>
      <c r="S1277" s="261">
        <f>IF(D1277="","",IF(J1277="リード付け",N1277,VLOOKUP(D1277,契約台帳!$A$3:$P$4986,16,FALSE)))</f>
        <v>5000</v>
      </c>
      <c r="T1277" s="38">
        <v>8</v>
      </c>
      <c r="U1277" s="261" t="str">
        <f ca="1">IF(D1277="","",IF(OFFSET(D1277,-2,0)=D1277,"",VLOOKUP(D1277,契約台帳!$A$3:$R$4986,18,FALSE)))</f>
        <v/>
      </c>
      <c r="V1277" s="256" t="str">
        <f>IF(J1277="巻返し",VLOOKUP(F1277&amp;K1277&amp;M1277,製品マスタ!$M$5:$AD$4999,18,FALSE),IF(J1277="リード付け","原反コア",IF(J1277="スリット",VLOOKUP(F1277&amp;K1277&amp;Q1277,製品マスタ!$N$5:$AD$4999,17,FALSE),"")))</f>
        <v>6ｲﾝﾁSｺｱ</v>
      </c>
      <c r="W1277" s="256">
        <f>IF(J1277="巻返し",VLOOKUP(F1277&amp;K1277&amp;M1277,製品マスタ!$M$5:$AE$4999,19,FALSE),IF(J1277="リード付け","-",IF(J1277="スリット",VLOOKUP(F1277&amp;K1277&amp;Q1277,製品マスタ!$N$5:$AE$4999,18,FALSE),"")))</f>
        <v>1125</v>
      </c>
      <c r="X1277" s="256">
        <f>IF(D1277="","",VLOOKUP(D1277,契約台帳!$A$3:$Q$4986,17,FALSE))</f>
        <v>2</v>
      </c>
      <c r="Y1277" s="256" t="str">
        <f>IF(D1277="","",VLOOKUP(D1277,契約台帳!$A$3:$E$4986,5,FALSE))</f>
        <v>リンテック㈱</v>
      </c>
      <c r="Z1277" s="310">
        <v>45363</v>
      </c>
      <c r="AA1277" s="200"/>
      <c r="AB1277" s="312"/>
      <c r="AC1277" s="313"/>
      <c r="AD1277" s="51" t="str">
        <f t="shared" ref="AD1277" si="6">IF(F1277="","",+F1277&amp;K1277)</f>
        <v>3SNMLBMNGTBF50</v>
      </c>
      <c r="AE1277" s="52">
        <f t="shared" ref="AE1277" si="7">+M1277*N1277*O1277/1000</f>
        <v>44800</v>
      </c>
      <c r="AF1277" s="41">
        <f>IF(AD1277="","",VLOOKUP(AD1277,原価マスタ!$A$2:$AJ$1693,13,FALSE))</f>
        <v>99</v>
      </c>
      <c r="AG1277" s="45">
        <f t="shared" ref="AG1277" si="8">IF(AF1277="","",+AE1277*AF1277/100)</f>
        <v>44352</v>
      </c>
      <c r="AH1277" s="28"/>
      <c r="AI1277" s="28"/>
      <c r="AJ1277" s="28"/>
      <c r="AK1277" s="28"/>
      <c r="AL1277" s="12"/>
      <c r="AM1277" s="12"/>
      <c r="AN1277" s="12"/>
      <c r="AO1277" s="12"/>
      <c r="AP1277" s="12"/>
      <c r="AQ1277" s="13"/>
      <c r="AR1277" s="14"/>
    </row>
    <row r="1278" spans="1:44" s="16" customFormat="1" ht="30.95" hidden="1" customHeight="1" x14ac:dyDescent="0.2">
      <c r="A1278" s="303"/>
      <c r="B1278" s="304"/>
      <c r="C1278" s="305"/>
      <c r="D1278" s="29"/>
      <c r="E1278" s="29"/>
      <c r="F1278" s="255"/>
      <c r="G1278" s="256"/>
      <c r="H1278" s="256"/>
      <c r="I1278" s="200"/>
      <c r="J1278" s="30"/>
      <c r="K1278" s="200"/>
      <c r="L1278" s="200"/>
      <c r="M1278" s="37"/>
      <c r="N1278" s="37"/>
      <c r="O1278" s="45"/>
      <c r="P1278" s="54"/>
      <c r="Q1278" s="260"/>
      <c r="R1278" s="261"/>
      <c r="S1278" s="261"/>
      <c r="T1278" s="38"/>
      <c r="U1278" s="261"/>
      <c r="V1278" s="256"/>
      <c r="W1278" s="256"/>
      <c r="X1278" s="256"/>
      <c r="Y1278" s="256"/>
      <c r="Z1278" s="310"/>
      <c r="AA1278" s="200"/>
      <c r="AB1278" s="312"/>
      <c r="AC1278" s="313"/>
      <c r="AD1278" s="51"/>
      <c r="AE1278" s="52"/>
      <c r="AF1278" s="41"/>
      <c r="AG1278" s="45"/>
      <c r="AH1278" s="28"/>
      <c r="AI1278" s="28"/>
      <c r="AJ1278" s="28"/>
      <c r="AK1278" s="28"/>
      <c r="AL1278" s="12"/>
      <c r="AM1278" s="12"/>
      <c r="AN1278" s="12"/>
      <c r="AO1278" s="12"/>
      <c r="AP1278" s="12"/>
      <c r="AQ1278" s="13"/>
      <c r="AR1278" s="14"/>
    </row>
    <row r="1279" spans="1:44" s="16" customFormat="1" ht="30.95" hidden="1" customHeight="1" x14ac:dyDescent="0.2">
      <c r="A1279" s="35" t="s">
        <v>2252</v>
      </c>
      <c r="B1279" s="36" t="s">
        <v>1409</v>
      </c>
      <c r="C1279" s="305"/>
      <c r="D1279" s="29">
        <v>3741626</v>
      </c>
      <c r="E1279" s="29">
        <v>4151597</v>
      </c>
      <c r="F1279" s="255" t="str">
        <f>IF(D1279="","",VLOOKUP(D1279,契約台帳!$A$3:$K$4986,6,FALSE)&amp;VLOOKUP(D1279,契約台帳!$A$3:$K$4986,7,FALSE)&amp;VLOOKUP(D1279,契約台帳!$A$3:$K$4986,8,FALSE)&amp;VLOOKUP(D1279,契約台帳!$A$3:$K$4986,9,FALSE)&amp;VLOOKUP(D1279,契約台帳!$A$3:$K$4986,11,FALSE))</f>
        <v>3SYMLBMSBBF</v>
      </c>
      <c r="G1279" s="256" t="str">
        <f>IF(D1279="","",VLOOKUP(F1279,製品マスタ!$G$5:$H$4999,2,FALSE))</f>
        <v>S</v>
      </c>
      <c r="H1279" s="256" t="str">
        <f>IF(D1279="","",VLOOKUP(F1279,製品マスタ!$G$5:$K$4999,5,FALSE))</f>
        <v>MSBBF</v>
      </c>
      <c r="I1279" s="200" t="str">
        <f>IF(D1279="","",VLOOKUP(F1279,製品マスタ!$G$5:$L$4999,6,FALSE))</f>
        <v>ＭＥＴＡＬＵＭＹ　ＳＩＬＶＥＲ　ＢＲＩＧＨＴ　Ｔ６２Ｍ　Ｂ</v>
      </c>
      <c r="J1279" s="30" t="s">
        <v>447</v>
      </c>
      <c r="K1279" s="200">
        <f>IF(D1279="","",VLOOKUP(D1279,契約台帳!$A$3:$L$4986,12,FALSE))</f>
        <v>50</v>
      </c>
      <c r="L1279" s="200" t="str">
        <f>IF(D1279="","",INDEX(製品マスタ!$Q$5:$Q$4999,MATCH(F1279&amp;K1279,製品マスタ!$AO$5:$AO$4999,0)))</f>
        <v>T62</v>
      </c>
      <c r="M1279" s="37">
        <v>1120</v>
      </c>
      <c r="N1279" s="37">
        <v>10000</v>
      </c>
      <c r="O1279" s="37">
        <v>1</v>
      </c>
      <c r="P1279" s="54"/>
      <c r="Q1279" s="260">
        <f>IF(D1279="","",IF(J1279="リード付け",M1279,VLOOKUP(D1279,契約台帳!$A$3:$N$4986,14,FALSE)))</f>
        <v>1120</v>
      </c>
      <c r="R1279" s="261">
        <f>IF(D1279="","",IF(J1279="リード付け",M1279,VLOOKUP(D1279,契約台帳!$A$3:$O$4986,15,FALSE)))</f>
        <v>1120</v>
      </c>
      <c r="S1279" s="261">
        <f>IF(D1279="","",IF(J1279="リード付け",N1279,VLOOKUP(D1279,契約台帳!$A$3:$P$4986,16,FALSE)))</f>
        <v>5000</v>
      </c>
      <c r="T1279" s="38">
        <v>2</v>
      </c>
      <c r="U1279" s="261">
        <f ca="1">IF(D1279="","",IF(OFFSET(D1279,-2,0)=D1279,"",VLOOKUP(D1279,契約台帳!$A$3:$R$4986,18,FALSE)))</f>
        <v>2</v>
      </c>
      <c r="V1279" s="256" t="str">
        <f>IF(J1279="巻返し",VLOOKUP(F1279&amp;K1279&amp;M1279,製品マスタ!$M$5:$AD$4999,18,FALSE),IF(J1279="リード付け","原反コア",IF(J1279="スリット",VLOOKUP(F1279&amp;K1279&amp;Q1279,製品マスタ!$N$5:$AD$4999,17,FALSE),"")))</f>
        <v>6ｲﾝﾁSｺｱ</v>
      </c>
      <c r="W1279" s="256">
        <f>IF(J1279="巻返し",VLOOKUP(F1279&amp;K1279&amp;M1279,製品マスタ!$M$5:$AE$4999,19,FALSE),IF(J1279="リード付け","-",IF(J1279="スリット",VLOOKUP(F1279&amp;K1279&amp;Q1279,製品マスタ!$N$5:$AE$4999,18,FALSE),"")))</f>
        <v>1125</v>
      </c>
      <c r="X1279" s="256">
        <f>IF(D1279="","",VLOOKUP(D1279,契約台帳!$A$3:$Q$4986,17,FALSE))</f>
        <v>2</v>
      </c>
      <c r="Y1279" s="256" t="str">
        <f>IF(D1279="","",VLOOKUP(D1279,契約台帳!$A$3:$E$4986,5,FALSE))</f>
        <v>リンテック㈱</v>
      </c>
      <c r="Z1279" s="310">
        <v>45364</v>
      </c>
      <c r="AA1279" s="200"/>
      <c r="AB1279" s="312"/>
      <c r="AC1279" s="313"/>
      <c r="AD1279" s="51" t="str">
        <f t="shared" si="0"/>
        <v>3SYMLBMSBBF50</v>
      </c>
      <c r="AE1279" s="52">
        <f t="shared" si="1"/>
        <v>11200</v>
      </c>
      <c r="AF1279" s="41">
        <f>IF(AD1279="","",VLOOKUP(AD1279,原価マスタ!$A$2:$AJ$1693,13,FALSE))</f>
        <v>99</v>
      </c>
      <c r="AG1279" s="45">
        <f t="shared" si="2"/>
        <v>11088</v>
      </c>
      <c r="AH1279" s="28"/>
      <c r="AI1279" s="28"/>
      <c r="AJ1279" s="28"/>
      <c r="AK1279" s="28"/>
      <c r="AL1279" s="12"/>
      <c r="AM1279" s="12"/>
      <c r="AN1279" s="12"/>
      <c r="AO1279" s="12"/>
      <c r="AP1279" s="12"/>
      <c r="AQ1279" s="13"/>
      <c r="AR1279" s="14"/>
    </row>
    <row r="1280" spans="1:44" s="16" customFormat="1" ht="30.95" hidden="1" customHeight="1" x14ac:dyDescent="0.2">
      <c r="A1280" s="303"/>
      <c r="B1280" s="304"/>
      <c r="C1280" s="305"/>
      <c r="D1280" s="29"/>
      <c r="E1280" s="29"/>
      <c r="F1280" s="255" t="str">
        <f>IF(D1280="","",VLOOKUP(D1280,契約台帳!$A$3:$K$4986,6,FALSE)&amp;VLOOKUP(D1280,契約台帳!$A$3:$K$4986,7,FALSE)&amp;VLOOKUP(D1280,契約台帳!$A$3:$K$4986,8,FALSE)&amp;VLOOKUP(D1280,契約台帳!$A$3:$K$4986,9,FALSE)&amp;VLOOKUP(D1280,契約台帳!$A$3:$K$4986,11,FALSE))</f>
        <v/>
      </c>
      <c r="G1280" s="256" t="str">
        <f>IF(D1280="","",VLOOKUP(F1280,製品マスタ!$G$5:$H$4999,2,FALSE))</f>
        <v/>
      </c>
      <c r="H1280" s="256" t="str">
        <f>IF(D1280="","",VLOOKUP(F1280,製品マスタ!$G$5:$K$4999,5,FALSE))</f>
        <v/>
      </c>
      <c r="I1280" s="200" t="str">
        <f>IF(D1280="","",VLOOKUP(F1280,製品マスタ!$G$5:$L$4999,6,FALSE))</f>
        <v/>
      </c>
      <c r="J1280" s="30"/>
      <c r="K1280" s="200" t="str">
        <f>IF(D1280="","",VLOOKUP(D1280,契約台帳!$A$3:$L$4986,12,FALSE))</f>
        <v/>
      </c>
      <c r="L1280" s="200" t="str">
        <f>IF(D1280="","",INDEX(製品マスタ!$Q$5:$Q$4999,MATCH(F1280&amp;K1280,製品マスタ!$AO$5:$AO$4999,0)))</f>
        <v/>
      </c>
      <c r="M1280" s="37"/>
      <c r="N1280" s="37"/>
      <c r="O1280" s="38"/>
      <c r="P1280" s="54"/>
      <c r="Q1280" s="260" t="str">
        <f>IF(D1280="","",IF(J1280="リード付け",M1280,VLOOKUP(D1280,契約台帳!$A$3:$N$4986,14,FALSE)))</f>
        <v/>
      </c>
      <c r="R1280" s="261" t="str">
        <f>IF(D1280="","",IF(J1280="リード付け",M1280,VLOOKUP(D1280,契約台帳!$A$3:$O$4986,15,FALSE)))</f>
        <v/>
      </c>
      <c r="S1280" s="261" t="str">
        <f>IF(D1280="","",IF(J1280="リード付け",N1280,VLOOKUP(D1280,契約台帳!$A$3:$P$4986,16,FALSE)))</f>
        <v/>
      </c>
      <c r="T1280" s="38"/>
      <c r="U1280" s="261" t="str">
        <f ca="1">IF(D1280="","",IF(OFFSET(D1280,-2,0)=D1280,"",VLOOKUP(D1280,契約台帳!$A$3:$R$4986,18,FALSE)))</f>
        <v/>
      </c>
      <c r="V1280" s="256" t="str">
        <f>IF(J1280="巻返し",VLOOKUP(F1280&amp;K1280&amp;M1280,製品マスタ!$M$5:$AD$4999,18,FALSE),IF(J1280="リード付け","原反コア",IF(J1280="スリット",VLOOKUP(F1280&amp;K1280&amp;Q1280,製品マスタ!$N$5:$AD$4999,17,FALSE),"")))</f>
        <v/>
      </c>
      <c r="W1280" s="256" t="str">
        <f>IF(J1280="巻返し",VLOOKUP(F1280&amp;K1280&amp;M1280,製品マスタ!$M$5:$AE$4999,19,FALSE),IF(J1280="リード付け","-",IF(J1280="スリット",VLOOKUP(F1280&amp;K1280&amp;Q1280,製品マスタ!$N$5:$AE$4999,18,FALSE),"")))</f>
        <v/>
      </c>
      <c r="X1280" s="256" t="str">
        <f>IF(D1280="","",VLOOKUP(D1280,契約台帳!$A$3:$Q$4986,17,FALSE))</f>
        <v/>
      </c>
      <c r="Y1280" s="256" t="str">
        <f>IF(D1280="","",VLOOKUP(D1280,契約台帳!$A$3:$E$4986,5,FALSE))</f>
        <v/>
      </c>
      <c r="Z1280" s="310"/>
      <c r="AA1280" s="200"/>
      <c r="AB1280" s="312"/>
      <c r="AC1280" s="313"/>
      <c r="AD1280" s="51" t="str">
        <f t="shared" si="0"/>
        <v/>
      </c>
      <c r="AE1280" s="52">
        <f t="shared" si="1"/>
        <v>0</v>
      </c>
      <c r="AF1280" s="41" t="str">
        <f>IF(AD1280="","",VLOOKUP(AD1280,原価マスタ!$A$2:$AJ$1693,13,FALSE))</f>
        <v/>
      </c>
      <c r="AG1280" s="45" t="str">
        <f t="shared" si="2"/>
        <v/>
      </c>
      <c r="AH1280" s="28"/>
      <c r="AI1280" s="28"/>
      <c r="AJ1280" s="28"/>
      <c r="AK1280" s="28"/>
      <c r="AL1280" s="12"/>
      <c r="AM1280" s="12"/>
      <c r="AN1280" s="12"/>
      <c r="AO1280" s="12"/>
      <c r="AP1280" s="12"/>
      <c r="AQ1280" s="13"/>
      <c r="AR1280" s="14"/>
    </row>
    <row r="1281" spans="1:44" s="16" customFormat="1" ht="30.95" hidden="1" customHeight="1" x14ac:dyDescent="0.2">
      <c r="A1281" s="35"/>
      <c r="B1281" s="36"/>
      <c r="C1281" s="305"/>
      <c r="D1281" s="29">
        <v>3741625</v>
      </c>
      <c r="E1281" s="29">
        <v>4151598</v>
      </c>
      <c r="F1281" s="255" t="str">
        <f>IF(D1281="","",VLOOKUP(D1281,契約台帳!$A$3:$K$4986,6,FALSE)&amp;VLOOKUP(D1281,契約台帳!$A$3:$K$4986,7,FALSE)&amp;VLOOKUP(D1281,契約台帳!$A$3:$K$4986,8,FALSE)&amp;VLOOKUP(D1281,契約台帳!$A$3:$K$4986,9,FALSE)&amp;VLOOKUP(D1281,契約台帳!$A$3:$K$4986,11,FALSE))</f>
        <v>3SYMLBMSNMBF</v>
      </c>
      <c r="G1281" s="256" t="str">
        <f>IF(D1281="","",VLOOKUP(F1281,製品マスタ!$G$5:$H$4999,2,FALSE))</f>
        <v>S</v>
      </c>
      <c r="H1281" s="256" t="str">
        <f>IF(D1281="","",VLOOKUP(F1281,製品マスタ!$G$5:$K$4999,5,FALSE))</f>
        <v>MSNMBF</v>
      </c>
      <c r="I1281" s="200" t="str">
        <f>IF(D1281="","",VLOOKUP(F1281,製品マスタ!$G$5:$L$4999,6,FALSE))</f>
        <v>ＭＥＴＡＬＵＭＹ　ＳＩＬＶＥＲ　Ｎ－ＭＡＴＴＥ　Ｘ４４Ｍ　Ｂ</v>
      </c>
      <c r="J1281" s="30" t="s">
        <v>447</v>
      </c>
      <c r="K1281" s="200">
        <f>IF(D1281="","",VLOOKUP(D1281,契約台帳!$A$3:$L$4986,12,FALSE))</f>
        <v>50</v>
      </c>
      <c r="L1281" s="200" t="str">
        <f>IF(D1281="","",INDEX(製品マスタ!$Q$5:$Q$4999,MATCH(F1281&amp;K1281,製品マスタ!$AO$5:$AO$4999,0)))</f>
        <v>X44</v>
      </c>
      <c r="M1281" s="37">
        <v>1120</v>
      </c>
      <c r="N1281" s="37">
        <v>8000</v>
      </c>
      <c r="O1281" s="37">
        <v>1</v>
      </c>
      <c r="P1281" s="54"/>
      <c r="Q1281" s="260">
        <f>IF(D1281="","",IF(J1281="リード付け",M1281,VLOOKUP(D1281,契約台帳!$A$3:$N$4986,14,FALSE)))</f>
        <v>1120</v>
      </c>
      <c r="R1281" s="261">
        <f>IF(D1281="","",IF(J1281="リード付け",M1281,VLOOKUP(D1281,契約台帳!$A$3:$O$4986,15,FALSE)))</f>
        <v>1120</v>
      </c>
      <c r="S1281" s="261">
        <f>IF(D1281="","",IF(J1281="リード付け",N1281,VLOOKUP(D1281,契約台帳!$A$3:$P$4986,16,FALSE)))</f>
        <v>4000</v>
      </c>
      <c r="T1281" s="38">
        <v>2</v>
      </c>
      <c r="U1281" s="261">
        <f ca="1">IF(D1281="","",IF(OFFSET(D1281,-2,0)=D1281,"",VLOOKUP(D1281,契約台帳!$A$3:$R$4986,18,FALSE)))</f>
        <v>2</v>
      </c>
      <c r="V1281" s="256" t="str">
        <f>IF(J1281="巻返し",VLOOKUP(F1281&amp;K1281&amp;M1281,製品マスタ!$M$5:$AD$4999,18,FALSE),IF(J1281="リード付け","原反コア",IF(J1281="スリット",VLOOKUP(F1281&amp;K1281&amp;Q1281,製品マスタ!$N$5:$AD$4999,17,FALSE),"")))</f>
        <v>6ｲﾝﾁMｺｱ</v>
      </c>
      <c r="W1281" s="256">
        <f>IF(J1281="巻返し",VLOOKUP(F1281&amp;K1281&amp;M1281,製品マスタ!$M$5:$AE$4999,19,FALSE),IF(J1281="リード付け","-",IF(J1281="スリット",VLOOKUP(F1281&amp;K1281&amp;Q1281,製品マスタ!$N$5:$AE$4999,18,FALSE),"")))</f>
        <v>1125</v>
      </c>
      <c r="X1281" s="256">
        <f>IF(D1281="","",VLOOKUP(D1281,契約台帳!$A$3:$Q$4986,17,FALSE))</f>
        <v>2</v>
      </c>
      <c r="Y1281" s="256" t="str">
        <f>IF(D1281="","",VLOOKUP(D1281,契約台帳!$A$3:$E$4986,5,FALSE))</f>
        <v>リンテック㈱</v>
      </c>
      <c r="Z1281" s="310">
        <v>45364</v>
      </c>
      <c r="AA1281" s="200"/>
      <c r="AB1281" s="312"/>
      <c r="AC1281" s="313"/>
      <c r="AD1281" s="51" t="str">
        <f t="shared" si="0"/>
        <v>3SYMLBMSNMBF50</v>
      </c>
      <c r="AE1281" s="52">
        <f t="shared" si="1"/>
        <v>8960</v>
      </c>
      <c r="AF1281" s="41">
        <f>IF(AD1281="","",VLOOKUP(AD1281,原価マスタ!$A$2:$AJ$1693,13,FALSE))</f>
        <v>98.8</v>
      </c>
      <c r="AG1281" s="45">
        <f t="shared" si="2"/>
        <v>8852.48</v>
      </c>
      <c r="AH1281" s="28"/>
      <c r="AI1281" s="28"/>
      <c r="AJ1281" s="28"/>
      <c r="AK1281" s="28"/>
      <c r="AL1281" s="12"/>
      <c r="AM1281" s="12"/>
      <c r="AN1281" s="12"/>
      <c r="AO1281" s="12"/>
      <c r="AP1281" s="12"/>
      <c r="AQ1281" s="13"/>
      <c r="AR1281" s="14"/>
    </row>
    <row r="1282" spans="1:44" s="16" customFormat="1" ht="30.95" hidden="1" customHeight="1" x14ac:dyDescent="0.2">
      <c r="A1282" s="303"/>
      <c r="B1282" s="304"/>
      <c r="C1282" s="305"/>
      <c r="D1282" s="29"/>
      <c r="E1282" s="29"/>
      <c r="F1282" s="255" t="str">
        <f>IF(D1282="","",VLOOKUP(D1282,契約台帳!$A$3:$K$4986,6,FALSE)&amp;VLOOKUP(D1282,契約台帳!$A$3:$K$4986,7,FALSE)&amp;VLOOKUP(D1282,契約台帳!$A$3:$K$4986,8,FALSE)&amp;VLOOKUP(D1282,契約台帳!$A$3:$K$4986,9,FALSE)&amp;VLOOKUP(D1282,契約台帳!$A$3:$K$4986,11,FALSE))</f>
        <v/>
      </c>
      <c r="G1282" s="256" t="str">
        <f>IF(D1282="","",VLOOKUP(F1282,製品マスタ!$G$5:$H$4999,2,FALSE))</f>
        <v/>
      </c>
      <c r="H1282" s="256" t="str">
        <f>IF(D1282="","",VLOOKUP(F1282,製品マスタ!$G$5:$K$4999,5,FALSE))</f>
        <v/>
      </c>
      <c r="I1282" s="200" t="str">
        <f>IF(D1282="","",VLOOKUP(F1282,製品マスタ!$G$5:$L$4999,6,FALSE))</f>
        <v/>
      </c>
      <c r="J1282" s="30"/>
      <c r="K1282" s="200" t="str">
        <f>IF(D1282="","",VLOOKUP(D1282,契約台帳!$A$3:$L$4986,12,FALSE))</f>
        <v/>
      </c>
      <c r="L1282" s="200" t="str">
        <f>IF(D1282="","",INDEX(製品マスタ!$Q$5:$Q$4999,MATCH(F1282&amp;K1282,製品マスタ!$AO$5:$AO$4999,0)))</f>
        <v/>
      </c>
      <c r="M1282" s="37"/>
      <c r="N1282" s="37"/>
      <c r="O1282" s="37"/>
      <c r="P1282" s="54"/>
      <c r="Q1282" s="260" t="str">
        <f>IF(D1282="","",IF(J1282="リード付け",M1282,VLOOKUP(D1282,契約台帳!$A$3:$N$4986,14,FALSE)))</f>
        <v/>
      </c>
      <c r="R1282" s="261" t="str">
        <f>IF(D1282="","",IF(J1282="リード付け",M1282,VLOOKUP(D1282,契約台帳!$A$3:$O$4986,15,FALSE)))</f>
        <v/>
      </c>
      <c r="S1282" s="261" t="str">
        <f>IF(D1282="","",IF(J1282="リード付け",N1282,VLOOKUP(D1282,契約台帳!$A$3:$P$4986,16,FALSE)))</f>
        <v/>
      </c>
      <c r="T1282" s="38"/>
      <c r="U1282" s="261" t="str">
        <f ca="1">IF(D1282="","",IF(OFFSET(D1282,-2,0)=D1282,"",VLOOKUP(D1282,契約台帳!$A$3:$R$4986,18,FALSE)))</f>
        <v/>
      </c>
      <c r="V1282" s="256" t="str">
        <f>IF(J1282="巻返し",VLOOKUP(F1282&amp;K1282&amp;M1282,製品マスタ!$M$5:$AD$4999,18,FALSE),IF(J1282="リード付け","原反コア",IF(J1282="スリット",VLOOKUP(F1282&amp;K1282&amp;Q1282,製品マスタ!$N$5:$AD$4999,17,FALSE),"")))</f>
        <v/>
      </c>
      <c r="W1282" s="256" t="str">
        <f>IF(J1282="巻返し",VLOOKUP(F1282&amp;K1282&amp;M1282,製品マスタ!$M$5:$AE$4999,19,FALSE),IF(J1282="リード付け","-",IF(J1282="スリット",VLOOKUP(F1282&amp;K1282&amp;Q1282,製品マスタ!$N$5:$AE$4999,18,FALSE),"")))</f>
        <v/>
      </c>
      <c r="X1282" s="256" t="str">
        <f>IF(D1282="","",VLOOKUP(D1282,契約台帳!$A$3:$Q$4986,17,FALSE))</f>
        <v/>
      </c>
      <c r="Y1282" s="256" t="str">
        <f>IF(D1282="","",VLOOKUP(D1282,契約台帳!$A$3:$E$4986,5,FALSE))</f>
        <v/>
      </c>
      <c r="Z1282" s="310"/>
      <c r="AA1282" s="200"/>
      <c r="AB1282" s="312"/>
      <c r="AC1282" s="313"/>
      <c r="AD1282" s="51" t="str">
        <f t="shared" si="0"/>
        <v/>
      </c>
      <c r="AE1282" s="52">
        <f t="shared" si="1"/>
        <v>0</v>
      </c>
      <c r="AF1282" s="41" t="str">
        <f>IF(AD1282="","",VLOOKUP(AD1282,原価マスタ!$A$2:$AJ$1693,13,FALSE))</f>
        <v/>
      </c>
      <c r="AG1282" s="45" t="str">
        <f t="shared" si="2"/>
        <v/>
      </c>
      <c r="AH1282" s="28"/>
      <c r="AI1282" s="28"/>
      <c r="AJ1282" s="28"/>
      <c r="AK1282" s="28"/>
      <c r="AL1282" s="12"/>
      <c r="AM1282" s="12"/>
      <c r="AN1282" s="12"/>
      <c r="AO1282" s="12"/>
      <c r="AP1282" s="12"/>
      <c r="AQ1282" s="13"/>
      <c r="AR1282" s="14"/>
    </row>
    <row r="1283" spans="1:44" s="16" customFormat="1" ht="30.95" hidden="1" customHeight="1" x14ac:dyDescent="0.2">
      <c r="A1283" s="35"/>
      <c r="B1283" s="36"/>
      <c r="C1283" s="305"/>
      <c r="D1283" s="211">
        <v>3741627</v>
      </c>
      <c r="E1283" s="29">
        <v>4151599</v>
      </c>
      <c r="F1283" s="255" t="str">
        <f>IF(D1283="","",VLOOKUP(D1283,契約台帳!$A$3:$K$4986,6,FALSE)&amp;VLOOKUP(D1283,契約台帳!$A$3:$K$4986,7,FALSE)&amp;VLOOKUP(D1283,契約台帳!$A$3:$K$4986,8,FALSE)&amp;VLOOKUP(D1283,契約台帳!$A$3:$K$4986,9,FALSE)&amp;VLOOKUP(D1283,契約台帳!$A$3:$K$4986,11,FALSE))</f>
        <v>3SYMLBMSNMBF</v>
      </c>
      <c r="G1283" s="256" t="str">
        <f>IF(D1283="","",VLOOKUP(F1283,製品マスタ!$G$5:$H$4999,2,FALSE))</f>
        <v>S</v>
      </c>
      <c r="H1283" s="256" t="str">
        <f>IF(D1283="","",VLOOKUP(F1283,製品マスタ!$G$5:$K$4999,5,FALSE))</f>
        <v>MSNMBF</v>
      </c>
      <c r="I1283" s="200" t="str">
        <f>IF(D1283="","",VLOOKUP(F1283,製品マスタ!$G$5:$L$4999,6,FALSE))</f>
        <v>ＭＥＴＡＬＵＭＹ　ＳＩＬＶＥＲ　Ｎ－ＭＡＴＴＥ　Ｘ４４Ｍ　Ｂ</v>
      </c>
      <c r="J1283" s="30" t="s">
        <v>447</v>
      </c>
      <c r="K1283" s="200">
        <f>IF(D1283="","",VLOOKUP(D1283,契約台帳!$A$3:$L$4986,12,FALSE))</f>
        <v>50</v>
      </c>
      <c r="L1283" s="200" t="str">
        <f>IF(D1283="","",INDEX(製品マスタ!$Q$5:$Q$4999,MATCH(F1283&amp;K1283,製品マスタ!$AO$5:$AO$4999,0)))</f>
        <v>X44</v>
      </c>
      <c r="M1283" s="37">
        <v>1120</v>
      </c>
      <c r="N1283" s="37">
        <v>8000</v>
      </c>
      <c r="O1283" s="37">
        <v>2</v>
      </c>
      <c r="P1283" s="54"/>
      <c r="Q1283" s="260">
        <f>IF(D1283="","",IF(J1283="リード付け",M1283,VLOOKUP(D1283,契約台帳!$A$3:$N$4986,14,FALSE)))</f>
        <v>1120</v>
      </c>
      <c r="R1283" s="261">
        <f>IF(D1283="","",IF(J1283="リード付け",M1283,VLOOKUP(D1283,契約台帳!$A$3:$O$4986,15,FALSE)))</f>
        <v>1120</v>
      </c>
      <c r="S1283" s="261">
        <f>IF(D1283="","",IF(J1283="リード付け",N1283,VLOOKUP(D1283,契約台帳!$A$3:$P$4986,16,FALSE)))</f>
        <v>4000</v>
      </c>
      <c r="T1283" s="38">
        <v>4</v>
      </c>
      <c r="U1283" s="261">
        <f ca="1">IF(D1283="","",IF(OFFSET(D1283,-2,0)=D1283,"",VLOOKUP(D1283,契約台帳!$A$3:$R$4986,18,FALSE)))</f>
        <v>4</v>
      </c>
      <c r="V1283" s="256" t="str">
        <f>IF(J1283="巻返し",VLOOKUP(F1283&amp;K1283&amp;M1283,製品マスタ!$M$5:$AD$4999,18,FALSE),IF(J1283="リード付け","原反コア",IF(J1283="スリット",VLOOKUP(F1283&amp;K1283&amp;Q1283,製品マスタ!$N$5:$AD$4999,17,FALSE),"")))</f>
        <v>6ｲﾝﾁMｺｱ</v>
      </c>
      <c r="W1283" s="256">
        <f>IF(J1283="巻返し",VLOOKUP(F1283&amp;K1283&amp;M1283,製品マスタ!$M$5:$AE$4999,19,FALSE),IF(J1283="リード付け","-",IF(J1283="スリット",VLOOKUP(F1283&amp;K1283&amp;Q1283,製品マスタ!$N$5:$AE$4999,18,FALSE),"")))</f>
        <v>1125</v>
      </c>
      <c r="X1283" s="256">
        <f>IF(D1283="","",VLOOKUP(D1283,契約台帳!$A$3:$Q$4986,17,FALSE))</f>
        <v>2</v>
      </c>
      <c r="Y1283" s="256" t="str">
        <f>IF(D1283="","",VLOOKUP(D1283,契約台帳!$A$3:$E$4986,5,FALSE))</f>
        <v>リンテック㈱</v>
      </c>
      <c r="Z1283" s="310">
        <v>45364</v>
      </c>
      <c r="AA1283" s="200"/>
      <c r="AB1283" s="312"/>
      <c r="AC1283" s="313"/>
      <c r="AD1283" s="51" t="str">
        <f t="shared" si="0"/>
        <v>3SYMLBMSNMBF50</v>
      </c>
      <c r="AE1283" s="52">
        <f t="shared" si="1"/>
        <v>17920</v>
      </c>
      <c r="AF1283" s="41">
        <f>IF(AD1283="","",VLOOKUP(AD1283,原価マスタ!$A$2:$AJ$1693,13,FALSE))</f>
        <v>98.8</v>
      </c>
      <c r="AG1283" s="45">
        <f t="shared" si="2"/>
        <v>17704.96</v>
      </c>
      <c r="AH1283" s="28"/>
      <c r="AI1283" s="28"/>
      <c r="AJ1283" s="28"/>
      <c r="AK1283" s="28"/>
      <c r="AL1283" s="12"/>
      <c r="AM1283" s="12"/>
      <c r="AN1283" s="12"/>
      <c r="AO1283" s="12"/>
      <c r="AP1283" s="12"/>
      <c r="AQ1283" s="13"/>
      <c r="AR1283" s="14"/>
    </row>
    <row r="1284" spans="1:44" s="16" customFormat="1" ht="30.95" hidden="1" customHeight="1" x14ac:dyDescent="0.2">
      <c r="A1284" s="303"/>
      <c r="B1284" s="304"/>
      <c r="C1284" s="305"/>
      <c r="D1284" s="29"/>
      <c r="E1284" s="29"/>
      <c r="F1284" s="255" t="str">
        <f>IF(D1284="","",VLOOKUP(D1284,契約台帳!$A$3:$K$4986,6,FALSE)&amp;VLOOKUP(D1284,契約台帳!$A$3:$K$4986,7,FALSE)&amp;VLOOKUP(D1284,契約台帳!$A$3:$K$4986,8,FALSE)&amp;VLOOKUP(D1284,契約台帳!$A$3:$K$4986,9,FALSE)&amp;VLOOKUP(D1284,契約台帳!$A$3:$K$4986,11,FALSE))</f>
        <v/>
      </c>
      <c r="G1284" s="256" t="str">
        <f>IF(D1284="","",VLOOKUP(F1284,製品マスタ!$G$5:$H$4999,2,FALSE))</f>
        <v/>
      </c>
      <c r="H1284" s="256" t="str">
        <f>IF(D1284="","",VLOOKUP(F1284,製品マスタ!$G$5:$K$4999,5,FALSE))</f>
        <v/>
      </c>
      <c r="I1284" s="279" t="s">
        <v>2328</v>
      </c>
      <c r="J1284" s="30"/>
      <c r="K1284" s="200" t="str">
        <f>IF(D1284="","",VLOOKUP(D1284,契約台帳!$A$3:$L$4986,12,FALSE))</f>
        <v/>
      </c>
      <c r="L1284" s="200" t="str">
        <f>IF(D1284="","",INDEX(製品マスタ!$Q$5:$Q$4999,MATCH(F1284&amp;K1284,製品マスタ!$AO$5:$AO$4999,0)))</f>
        <v/>
      </c>
      <c r="M1284" s="37"/>
      <c r="N1284" s="37"/>
      <c r="O1284" s="37"/>
      <c r="P1284" s="54"/>
      <c r="Q1284" s="260" t="str">
        <f>IF(D1284="","",IF(J1284="リード付け",M1284,VLOOKUP(D1284,契約台帳!$A$3:$N$4986,14,FALSE)))</f>
        <v/>
      </c>
      <c r="R1284" s="261" t="str">
        <f>IF(D1284="","",IF(J1284="リード付け",M1284,VLOOKUP(D1284,契約台帳!$A$3:$O$4986,15,FALSE)))</f>
        <v/>
      </c>
      <c r="S1284" s="261" t="str">
        <f>IF(D1284="","",IF(J1284="リード付け",N1284,VLOOKUP(D1284,契約台帳!$A$3:$P$4986,16,FALSE)))</f>
        <v/>
      </c>
      <c r="T1284" s="38"/>
      <c r="U1284" s="261" t="str">
        <f ca="1">IF(D1284="","",IF(OFFSET(D1284,-2,0)=D1284,"",VLOOKUP(D1284,契約台帳!$A$3:$R$4986,18,FALSE)))</f>
        <v/>
      </c>
      <c r="V1284" s="256" t="str">
        <f>IF(J1284="巻返し",VLOOKUP(F1284&amp;K1284&amp;M1284,製品マスタ!$M$5:$AD$4999,18,FALSE),IF(J1284="リード付け","原反コア",IF(J1284="スリット",VLOOKUP(F1284&amp;K1284&amp;Q1284,製品マスタ!$N$5:$AD$4999,17,FALSE),"")))</f>
        <v/>
      </c>
      <c r="W1284" s="256" t="str">
        <f>IF(J1284="巻返し",VLOOKUP(F1284&amp;K1284&amp;M1284,製品マスタ!$M$5:$AE$4999,19,FALSE),IF(J1284="リード付け","-",IF(J1284="スリット",VLOOKUP(F1284&amp;K1284&amp;Q1284,製品マスタ!$N$5:$AE$4999,18,FALSE),"")))</f>
        <v/>
      </c>
      <c r="X1284" s="256" t="str">
        <f>IF(D1284="","",VLOOKUP(D1284,契約台帳!$A$3:$Q$4986,17,FALSE))</f>
        <v/>
      </c>
      <c r="Y1284" s="256" t="str">
        <f>IF(D1284="","",VLOOKUP(D1284,契約台帳!$A$3:$E$4986,5,FALSE))</f>
        <v/>
      </c>
      <c r="Z1284" s="310"/>
      <c r="AA1284" s="200"/>
      <c r="AB1284" s="312"/>
      <c r="AC1284" s="313"/>
      <c r="AD1284" s="51" t="str">
        <f t="shared" si="0"/>
        <v/>
      </c>
      <c r="AE1284" s="52">
        <f t="shared" si="1"/>
        <v>0</v>
      </c>
      <c r="AF1284" s="41" t="str">
        <f>IF(AD1284="","",VLOOKUP(AD1284,原価マスタ!$A$2:$AJ$1693,13,FALSE))</f>
        <v/>
      </c>
      <c r="AG1284" s="45" t="str">
        <f t="shared" si="2"/>
        <v/>
      </c>
      <c r="AH1284" s="28"/>
      <c r="AI1284" s="28"/>
      <c r="AJ1284" s="28"/>
      <c r="AK1284" s="28"/>
      <c r="AL1284" s="12"/>
      <c r="AM1284" s="12"/>
      <c r="AN1284" s="12"/>
      <c r="AO1284" s="12"/>
      <c r="AP1284" s="12"/>
      <c r="AQ1284" s="13"/>
      <c r="AR1284" s="14"/>
    </row>
    <row r="1285" spans="1:44" s="16" customFormat="1" ht="30.95" hidden="1" customHeight="1" x14ac:dyDescent="0.2">
      <c r="A1285" s="35"/>
      <c r="B1285" s="36"/>
      <c r="C1285" s="305"/>
      <c r="D1285" s="211">
        <v>3741628</v>
      </c>
      <c r="E1285" s="29">
        <v>4151600</v>
      </c>
      <c r="F1285" s="255" t="str">
        <f>IF(D1285="","",VLOOKUP(D1285,契約台帳!$A$3:$K$4986,6,FALSE)&amp;VLOOKUP(D1285,契約台帳!$A$3:$K$4986,7,FALSE)&amp;VLOOKUP(D1285,契約台帳!$A$3:$K$4986,8,FALSE)&amp;VLOOKUP(D1285,契約台帳!$A$3:$K$4986,9,FALSE)&amp;VLOOKUP(D1285,契約台帳!$A$3:$K$4986,11,FALSE))</f>
        <v>3SYMLBMSNMBF</v>
      </c>
      <c r="G1285" s="256" t="str">
        <f>IF(D1285="","",VLOOKUP(F1285,製品マスタ!$G$5:$H$4999,2,FALSE))</f>
        <v>S</v>
      </c>
      <c r="H1285" s="256" t="str">
        <f>IF(D1285="","",VLOOKUP(F1285,製品マスタ!$G$5:$K$4999,5,FALSE))</f>
        <v>MSNMBF</v>
      </c>
      <c r="I1285" s="200" t="str">
        <f>IF(D1285="","",VLOOKUP(F1285,製品マスタ!$G$5:$L$4999,6,FALSE))</f>
        <v>ＭＥＴＡＬＵＭＹ　ＳＩＬＶＥＲ　Ｎ－ＭＡＴＴＥ　Ｘ４４Ｍ　Ｂ</v>
      </c>
      <c r="J1285" s="30" t="s">
        <v>447</v>
      </c>
      <c r="K1285" s="200">
        <f>IF(D1285="","",VLOOKUP(D1285,契約台帳!$A$3:$L$4986,12,FALSE))</f>
        <v>50</v>
      </c>
      <c r="L1285" s="200" t="str">
        <f>IF(D1285="","",INDEX(製品マスタ!$Q$5:$Q$4999,MATCH(F1285&amp;K1285,製品マスタ!$AO$5:$AO$4999,0)))</f>
        <v>X44</v>
      </c>
      <c r="M1285" s="37">
        <v>1120</v>
      </c>
      <c r="N1285" s="37">
        <v>8000</v>
      </c>
      <c r="O1285" s="37">
        <v>2</v>
      </c>
      <c r="P1285" s="54"/>
      <c r="Q1285" s="260">
        <f>IF(D1285="","",IF(J1285="リード付け",M1285,VLOOKUP(D1285,契約台帳!$A$3:$N$4986,14,FALSE)))</f>
        <v>1120</v>
      </c>
      <c r="R1285" s="261">
        <f>IF(D1285="","",IF(J1285="リード付け",M1285,VLOOKUP(D1285,契約台帳!$A$3:$O$4986,15,FALSE)))</f>
        <v>1120</v>
      </c>
      <c r="S1285" s="261">
        <f>IF(D1285="","",IF(J1285="リード付け",N1285,VLOOKUP(D1285,契約台帳!$A$3:$P$4986,16,FALSE)))</f>
        <v>4000</v>
      </c>
      <c r="T1285" s="38">
        <v>4</v>
      </c>
      <c r="U1285" s="261">
        <f ca="1">IF(D1285="","",IF(OFFSET(D1285,-2,0)=D1285,"",VLOOKUP(D1285,契約台帳!$A$3:$R$4986,18,FALSE)))</f>
        <v>4</v>
      </c>
      <c r="V1285" s="256" t="str">
        <f>IF(J1285="巻返し",VLOOKUP(F1285&amp;K1285&amp;M1285,製品マスタ!$M$5:$AD$4999,18,FALSE),IF(J1285="リード付け","原反コア",IF(J1285="スリット",VLOOKUP(F1285&amp;K1285&amp;Q1285,製品マスタ!$N$5:$AD$4999,17,FALSE),"")))</f>
        <v>6ｲﾝﾁMｺｱ</v>
      </c>
      <c r="W1285" s="256">
        <f>IF(J1285="巻返し",VLOOKUP(F1285&amp;K1285&amp;M1285,製品マスタ!$M$5:$AE$4999,19,FALSE),IF(J1285="リード付け","-",IF(J1285="スリット",VLOOKUP(F1285&amp;K1285&amp;Q1285,製品マスタ!$N$5:$AE$4999,18,FALSE),"")))</f>
        <v>1125</v>
      </c>
      <c r="X1285" s="256">
        <f>IF(D1285="","",VLOOKUP(D1285,契約台帳!$A$3:$Q$4986,17,FALSE))</f>
        <v>2</v>
      </c>
      <c r="Y1285" s="256" t="str">
        <f>IF(D1285="","",VLOOKUP(D1285,契約台帳!$A$3:$E$4986,5,FALSE))</f>
        <v>リンテック㈱</v>
      </c>
      <c r="Z1285" s="310">
        <v>45364</v>
      </c>
      <c r="AA1285" s="200"/>
      <c r="AB1285" s="312"/>
      <c r="AC1285" s="313"/>
      <c r="AD1285" s="51" t="str">
        <f t="shared" si="0"/>
        <v>3SYMLBMSNMBF50</v>
      </c>
      <c r="AE1285" s="52">
        <f t="shared" si="1"/>
        <v>17920</v>
      </c>
      <c r="AF1285" s="41">
        <f>IF(AD1285="","",VLOOKUP(AD1285,原価マスタ!$A$2:$AJ$1693,13,FALSE))</f>
        <v>98.8</v>
      </c>
      <c r="AG1285" s="45">
        <f t="shared" si="2"/>
        <v>17704.96</v>
      </c>
      <c r="AH1285" s="28"/>
      <c r="AI1285" s="28"/>
      <c r="AJ1285" s="28"/>
      <c r="AK1285" s="28"/>
      <c r="AL1285" s="12"/>
      <c r="AM1285" s="12"/>
      <c r="AN1285" s="12"/>
      <c r="AO1285" s="12"/>
      <c r="AP1285" s="12"/>
      <c r="AQ1285" s="13"/>
      <c r="AR1285" s="14"/>
    </row>
    <row r="1286" spans="1:44" s="16" customFormat="1" ht="30.95" hidden="1" customHeight="1" x14ac:dyDescent="0.2">
      <c r="A1286" s="303"/>
      <c r="B1286" s="304"/>
      <c r="C1286" s="305"/>
      <c r="D1286" s="29"/>
      <c r="E1286" s="29"/>
      <c r="F1286" s="255" t="str">
        <f>IF(D1286="","",VLOOKUP(D1286,契約台帳!$A$3:$K$4986,6,FALSE)&amp;VLOOKUP(D1286,契約台帳!$A$3:$K$4986,7,FALSE)&amp;VLOOKUP(D1286,契約台帳!$A$3:$K$4986,8,FALSE)&amp;VLOOKUP(D1286,契約台帳!$A$3:$K$4986,9,FALSE)&amp;VLOOKUP(D1286,契約台帳!$A$3:$K$4986,11,FALSE))</f>
        <v/>
      </c>
      <c r="G1286" s="256" t="str">
        <f>IF(D1286="","",VLOOKUP(F1286,製品マスタ!$G$5:$H$4999,2,FALSE))</f>
        <v/>
      </c>
      <c r="H1286" s="256" t="str">
        <f>IF(D1286="","",VLOOKUP(F1286,製品マスタ!$G$5:$K$4999,5,FALSE))</f>
        <v/>
      </c>
      <c r="I1286" s="279" t="s">
        <v>2328</v>
      </c>
      <c r="J1286" s="30"/>
      <c r="K1286" s="200" t="str">
        <f>IF(D1286="","",VLOOKUP(D1286,契約台帳!$A$3:$L$4986,12,FALSE))</f>
        <v/>
      </c>
      <c r="L1286" s="200" t="str">
        <f>IF(D1286="","",INDEX(製品マスタ!$Q$5:$Q$4999,MATCH(F1286&amp;K1286,製品マスタ!$AO$5:$AO$4999,0)))</f>
        <v/>
      </c>
      <c r="M1286" s="37"/>
      <c r="N1286" s="37"/>
      <c r="O1286" s="45"/>
      <c r="P1286" s="54"/>
      <c r="Q1286" s="260" t="str">
        <f>IF(D1286="","",IF(J1286="リード付け",M1286,VLOOKUP(D1286,契約台帳!$A$3:$N$4986,14,FALSE)))</f>
        <v/>
      </c>
      <c r="R1286" s="261" t="str">
        <f>IF(D1286="","",IF(J1286="リード付け",M1286,VLOOKUP(D1286,契約台帳!$A$3:$O$4986,15,FALSE)))</f>
        <v/>
      </c>
      <c r="S1286" s="261" t="str">
        <f>IF(D1286="","",IF(J1286="リード付け",N1286,VLOOKUP(D1286,契約台帳!$A$3:$P$4986,16,FALSE)))</f>
        <v/>
      </c>
      <c r="T1286" s="38"/>
      <c r="U1286" s="261" t="str">
        <f ca="1">IF(D1286="","",IF(OFFSET(D1286,-2,0)=D1286,"",VLOOKUP(D1286,契約台帳!$A$3:$R$4986,18,FALSE)))</f>
        <v/>
      </c>
      <c r="V1286" s="256" t="str">
        <f>IF(J1286="巻返し",VLOOKUP(F1286&amp;K1286&amp;M1286,製品マスタ!$M$5:$AD$4999,18,FALSE),IF(J1286="リード付け","原反コア",IF(J1286="スリット",VLOOKUP(F1286&amp;K1286&amp;Q1286,製品マスタ!$N$5:$AD$4999,17,FALSE),"")))</f>
        <v/>
      </c>
      <c r="W1286" s="256" t="str">
        <f>IF(J1286="巻返し",VLOOKUP(F1286&amp;K1286&amp;M1286,製品マスタ!$M$5:$AE$4999,19,FALSE),IF(J1286="リード付け","-",IF(J1286="スリット",VLOOKUP(F1286&amp;K1286&amp;Q1286,製品マスタ!$N$5:$AE$4999,18,FALSE),"")))</f>
        <v/>
      </c>
      <c r="X1286" s="256" t="str">
        <f>IF(D1286="","",VLOOKUP(D1286,契約台帳!$A$3:$Q$4986,17,FALSE))</f>
        <v/>
      </c>
      <c r="Y1286" s="256" t="str">
        <f>IF(D1286="","",VLOOKUP(D1286,契約台帳!$A$3:$E$4986,5,FALSE))</f>
        <v/>
      </c>
      <c r="Z1286" s="310"/>
      <c r="AA1286" s="200"/>
      <c r="AB1286" s="312"/>
      <c r="AC1286" s="313"/>
      <c r="AD1286" s="51" t="str">
        <f t="shared" si="0"/>
        <v/>
      </c>
      <c r="AE1286" s="52">
        <f t="shared" si="1"/>
        <v>0</v>
      </c>
      <c r="AF1286" s="41" t="str">
        <f>IF(AD1286="","",VLOOKUP(AD1286,原価マスタ!$A$2:$AJ$1693,13,FALSE))</f>
        <v/>
      </c>
      <c r="AG1286" s="45" t="str">
        <f t="shared" si="2"/>
        <v/>
      </c>
      <c r="AH1286" s="28"/>
      <c r="AI1286" s="28"/>
      <c r="AJ1286" s="28"/>
      <c r="AK1286" s="28"/>
      <c r="AL1286" s="12"/>
      <c r="AM1286" s="12"/>
      <c r="AN1286" s="12"/>
      <c r="AO1286" s="12"/>
      <c r="AP1286" s="12"/>
      <c r="AQ1286" s="13"/>
      <c r="AR1286" s="14"/>
    </row>
    <row r="1287" spans="1:44" s="16" customFormat="1" ht="30.95" hidden="1" customHeight="1" x14ac:dyDescent="0.2">
      <c r="A1287" s="303"/>
      <c r="B1287" s="304"/>
      <c r="C1287" s="305"/>
      <c r="D1287" s="29">
        <v>3741602</v>
      </c>
      <c r="E1287" s="29">
        <v>4151590</v>
      </c>
      <c r="F1287" s="255" t="str">
        <f>IF(D1287="","",VLOOKUP(D1287,契約台帳!$A$3:$K$4986,6,FALSE)&amp;VLOOKUP(D1287,契約台帳!$A$3:$K$4986,7,FALSE)&amp;VLOOKUP(D1287,契約台帳!$A$3:$K$4986,8,FALSE)&amp;VLOOKUP(D1287,契約台帳!$A$3:$K$4986,9,FALSE)&amp;VLOOKUP(D1287,契約台帳!$A$3:$K$4986,11,FALSE))</f>
        <v>3SNMLBMNGKKBF</v>
      </c>
      <c r="G1287" s="256" t="str">
        <f>IF(D1287="","",VLOOKUP(F1287,製品マスタ!$G$5:$H$4999,2,FALSE))</f>
        <v>S</v>
      </c>
      <c r="H1287" s="256" t="str">
        <f>IF(D1287="","",VLOOKUP(F1287,製品マスタ!$G$5:$K$4999,5,FALSE))</f>
        <v>MNGKKBF</v>
      </c>
      <c r="I1287" s="200" t="str">
        <f>IF(D1287="","",VLOOKUP(F1287,製品マスタ!$G$5:$L$4999,6,FALSE))</f>
        <v>メタルミー　ネーマー銀消改　Ｂ</v>
      </c>
      <c r="J1287" s="30" t="s">
        <v>447</v>
      </c>
      <c r="K1287" s="200">
        <f>IF(D1287="","",VLOOKUP(D1287,契約台帳!$A$3:$L$4986,12,FALSE))</f>
        <v>25</v>
      </c>
      <c r="L1287" s="200" t="str">
        <f>IF(D1287="","",INDEX(製品マスタ!$Q$5:$Q$4999,MATCH(F1287&amp;K1287,製品マスタ!$AO$5:$AO$4999,0)))</f>
        <v>FMATS99</v>
      </c>
      <c r="M1287" s="37">
        <v>1120</v>
      </c>
      <c r="N1287" s="37">
        <v>12000</v>
      </c>
      <c r="O1287" s="45">
        <v>2</v>
      </c>
      <c r="P1287" s="54"/>
      <c r="Q1287" s="260">
        <f>IF(D1287="","",IF(J1287="リード付け",M1287,VLOOKUP(D1287,契約台帳!$A$3:$N$4986,14,FALSE)))</f>
        <v>1120</v>
      </c>
      <c r="R1287" s="261">
        <f>IF(D1287="","",IF(J1287="リード付け",M1287,VLOOKUP(D1287,契約台帳!$A$3:$O$4986,15,FALSE)))</f>
        <v>1120</v>
      </c>
      <c r="S1287" s="261">
        <f>IF(D1287="","",IF(J1287="リード付け",N1287,VLOOKUP(D1287,契約台帳!$A$3:$P$4986,16,FALSE)))</f>
        <v>4000</v>
      </c>
      <c r="T1287" s="38">
        <v>6</v>
      </c>
      <c r="U1287" s="261">
        <f ca="1">IF(D1287="","",IF(OFFSET(D1287,-2,0)=D1287,"",VLOOKUP(D1287,契約台帳!$A$3:$R$4986,18,FALSE)))</f>
        <v>6</v>
      </c>
      <c r="V1287" s="256" t="str">
        <f>IF(J1287="巻返し",VLOOKUP(F1287&amp;K1287&amp;M1287,製品マスタ!$M$5:$AD$4999,18,FALSE),IF(J1287="リード付け","原反コア",IF(J1287="スリット",VLOOKUP(F1287&amp;K1287&amp;Q1287,製品マスタ!$N$5:$AD$4999,17,FALSE),"")))</f>
        <v>6ｲﾝﾁSｺｱ</v>
      </c>
      <c r="W1287" s="256">
        <f>IF(J1287="巻返し",VLOOKUP(F1287&amp;K1287&amp;M1287,製品マスタ!$M$5:$AE$4999,19,FALSE),IF(J1287="リード付け","-",IF(J1287="スリット",VLOOKUP(F1287&amp;K1287&amp;Q1287,製品マスタ!$N$5:$AE$4999,18,FALSE),"")))</f>
        <v>1125</v>
      </c>
      <c r="X1287" s="256">
        <f>IF(D1287="","",VLOOKUP(D1287,契約台帳!$A$3:$Q$4986,17,FALSE))</f>
        <v>2</v>
      </c>
      <c r="Y1287" s="256" t="str">
        <f>IF(D1287="","",VLOOKUP(D1287,契約台帳!$A$3:$E$4986,5,FALSE))</f>
        <v>リンテック㈱</v>
      </c>
      <c r="Z1287" s="310">
        <v>45364</v>
      </c>
      <c r="AA1287" s="200"/>
      <c r="AB1287" s="312"/>
      <c r="AC1287" s="313"/>
      <c r="AD1287" s="51" t="str">
        <f t="shared" si="0"/>
        <v>3SNMLBMNGKKBF25</v>
      </c>
      <c r="AE1287" s="52">
        <f t="shared" si="1"/>
        <v>26880</v>
      </c>
      <c r="AF1287" s="41">
        <f>IF(AD1287="","",VLOOKUP(AD1287,原価マスタ!$A$2:$AJ$1693,13,FALSE))</f>
        <v>96</v>
      </c>
      <c r="AG1287" s="45">
        <f t="shared" si="2"/>
        <v>25804.799999999999</v>
      </c>
      <c r="AH1287" s="28"/>
      <c r="AI1287" s="28"/>
      <c r="AJ1287" s="28"/>
      <c r="AK1287" s="28"/>
      <c r="AL1287" s="12"/>
      <c r="AM1287" s="12"/>
      <c r="AN1287" s="12"/>
      <c r="AO1287" s="12"/>
      <c r="AP1287" s="12"/>
      <c r="AQ1287" s="13"/>
      <c r="AR1287" s="14"/>
    </row>
    <row r="1288" spans="1:44" s="16" customFormat="1" ht="30.95" hidden="1" customHeight="1" x14ac:dyDescent="0.2">
      <c r="A1288" s="303"/>
      <c r="B1288" s="304"/>
      <c r="C1288" s="305"/>
      <c r="D1288" s="29"/>
      <c r="E1288" s="29"/>
      <c r="F1288" s="255"/>
      <c r="G1288" s="256"/>
      <c r="H1288" s="256"/>
      <c r="I1288" s="200"/>
      <c r="J1288" s="307"/>
      <c r="K1288" s="200"/>
      <c r="L1288" s="200"/>
      <c r="M1288" s="37"/>
      <c r="N1288" s="37"/>
      <c r="O1288" s="45"/>
      <c r="P1288" s="54"/>
      <c r="Q1288" s="260"/>
      <c r="R1288" s="261"/>
      <c r="S1288" s="261"/>
      <c r="T1288" s="38"/>
      <c r="U1288" s="261"/>
      <c r="V1288" s="256"/>
      <c r="W1288" s="256"/>
      <c r="X1288" s="256"/>
      <c r="Y1288" s="256"/>
      <c r="Z1288" s="310"/>
      <c r="AA1288" s="200"/>
      <c r="AB1288" s="312"/>
      <c r="AC1288" s="313"/>
      <c r="AD1288" s="51"/>
      <c r="AE1288" s="52"/>
      <c r="AF1288" s="41"/>
      <c r="AG1288" s="45"/>
      <c r="AH1288" s="28"/>
      <c r="AI1288" s="28"/>
      <c r="AJ1288" s="28"/>
      <c r="AK1288" s="28"/>
      <c r="AL1288" s="12"/>
      <c r="AM1288" s="12"/>
      <c r="AN1288" s="12"/>
      <c r="AO1288" s="12"/>
      <c r="AP1288" s="12"/>
      <c r="AQ1288" s="13"/>
      <c r="AR1288" s="14"/>
    </row>
    <row r="1289" spans="1:44" s="16" customFormat="1" ht="30.95" hidden="1" customHeight="1" x14ac:dyDescent="0.2">
      <c r="A1289" s="35" t="s">
        <v>2253</v>
      </c>
      <c r="B1289" s="36" t="s">
        <v>1397</v>
      </c>
      <c r="C1289" s="305"/>
      <c r="D1289" s="29"/>
      <c r="E1289" s="29"/>
      <c r="F1289" s="255"/>
      <c r="G1289" s="256"/>
      <c r="H1289" s="256"/>
      <c r="I1289" s="200"/>
      <c r="J1289" s="307" t="s">
        <v>448</v>
      </c>
      <c r="K1289" s="200"/>
      <c r="L1289" s="200"/>
      <c r="M1289" s="37"/>
      <c r="N1289" s="37"/>
      <c r="O1289" s="45"/>
      <c r="P1289" s="54"/>
      <c r="Q1289" s="260"/>
      <c r="R1289" s="261"/>
      <c r="S1289" s="261"/>
      <c r="T1289" s="38"/>
      <c r="U1289" s="261"/>
      <c r="V1289" s="256"/>
      <c r="W1289" s="256"/>
      <c r="X1289" s="256"/>
      <c r="Y1289" s="256"/>
      <c r="Z1289" s="310"/>
      <c r="AA1289" s="200"/>
      <c r="AB1289" s="312"/>
      <c r="AC1289" s="313"/>
      <c r="AD1289" s="51"/>
      <c r="AE1289" s="52"/>
      <c r="AF1289" s="41"/>
      <c r="AG1289" s="45"/>
      <c r="AH1289" s="28"/>
      <c r="AI1289" s="28"/>
      <c r="AJ1289" s="28"/>
      <c r="AK1289" s="28"/>
      <c r="AL1289" s="12"/>
      <c r="AM1289" s="12"/>
      <c r="AN1289" s="12"/>
      <c r="AO1289" s="12"/>
      <c r="AP1289" s="12"/>
      <c r="AQ1289" s="13"/>
      <c r="AR1289" s="14"/>
    </row>
    <row r="1290" spans="1:44" s="16" customFormat="1" ht="30.95" hidden="1" customHeight="1" x14ac:dyDescent="0.2">
      <c r="A1290" s="303"/>
      <c r="B1290" s="304"/>
      <c r="C1290" s="305"/>
      <c r="D1290" s="29"/>
      <c r="E1290" s="29"/>
      <c r="F1290" s="255"/>
      <c r="G1290" s="256"/>
      <c r="H1290" s="256"/>
      <c r="I1290" s="200"/>
      <c r="J1290" s="307"/>
      <c r="K1290" s="200"/>
      <c r="L1290" s="200"/>
      <c r="M1290" s="37"/>
      <c r="N1290" s="37"/>
      <c r="O1290" s="45"/>
      <c r="P1290" s="54"/>
      <c r="Q1290" s="260"/>
      <c r="R1290" s="261"/>
      <c r="S1290" s="261"/>
      <c r="T1290" s="38"/>
      <c r="U1290" s="261"/>
      <c r="V1290" s="256"/>
      <c r="W1290" s="256"/>
      <c r="X1290" s="256"/>
      <c r="Y1290" s="256"/>
      <c r="Z1290" s="310"/>
      <c r="AA1290" s="200"/>
      <c r="AB1290" s="312"/>
      <c r="AC1290" s="313"/>
      <c r="AD1290" s="51"/>
      <c r="AE1290" s="52"/>
      <c r="AF1290" s="41"/>
      <c r="AG1290" s="45"/>
      <c r="AH1290" s="28"/>
      <c r="AI1290" s="28"/>
      <c r="AJ1290" s="28"/>
      <c r="AK1290" s="28"/>
      <c r="AL1290" s="12"/>
      <c r="AM1290" s="12"/>
      <c r="AN1290" s="12"/>
      <c r="AO1290" s="12"/>
      <c r="AP1290" s="12"/>
      <c r="AQ1290" s="13"/>
      <c r="AR1290" s="14"/>
    </row>
    <row r="1291" spans="1:44" s="16" customFormat="1" ht="30.95" hidden="1" customHeight="1" x14ac:dyDescent="0.2">
      <c r="A1291" s="35" t="s">
        <v>2254</v>
      </c>
      <c r="B1291" s="36" t="s">
        <v>392</v>
      </c>
      <c r="C1291" s="305"/>
      <c r="D1291" s="29"/>
      <c r="E1291" s="29"/>
      <c r="F1291" s="255"/>
      <c r="G1291" s="256"/>
      <c r="H1291" s="256"/>
      <c r="I1291" s="200"/>
      <c r="J1291" s="307" t="s">
        <v>448</v>
      </c>
      <c r="K1291" s="200"/>
      <c r="L1291" s="200"/>
      <c r="M1291" s="37"/>
      <c r="N1291" s="37"/>
      <c r="O1291" s="45"/>
      <c r="P1291" s="54"/>
      <c r="Q1291" s="260"/>
      <c r="R1291" s="261"/>
      <c r="S1291" s="261"/>
      <c r="T1291" s="38"/>
      <c r="U1291" s="261"/>
      <c r="V1291" s="256"/>
      <c r="W1291" s="256"/>
      <c r="X1291" s="256"/>
      <c r="Y1291" s="256"/>
      <c r="Z1291" s="310"/>
      <c r="AA1291" s="200"/>
      <c r="AB1291" s="312"/>
      <c r="AC1291" s="313"/>
      <c r="AD1291" s="51"/>
      <c r="AE1291" s="52"/>
      <c r="AF1291" s="41"/>
      <c r="AG1291" s="45"/>
      <c r="AH1291" s="28"/>
      <c r="AI1291" s="28"/>
      <c r="AJ1291" s="28"/>
      <c r="AK1291" s="28"/>
      <c r="AL1291" s="12"/>
      <c r="AM1291" s="12"/>
      <c r="AN1291" s="12"/>
      <c r="AO1291" s="12"/>
      <c r="AP1291" s="12"/>
      <c r="AQ1291" s="13"/>
      <c r="AR1291" s="14"/>
    </row>
    <row r="1292" spans="1:44" s="16" customFormat="1" ht="30.95" hidden="1" customHeight="1" x14ac:dyDescent="0.2">
      <c r="A1292" s="35"/>
      <c r="B1292" s="36"/>
      <c r="C1292" s="305"/>
      <c r="D1292" s="29"/>
      <c r="E1292" s="29"/>
      <c r="F1292" s="255"/>
      <c r="G1292" s="256"/>
      <c r="H1292" s="256"/>
      <c r="I1292" s="200"/>
      <c r="J1292" s="30"/>
      <c r="K1292" s="200"/>
      <c r="L1292" s="200"/>
      <c r="M1292" s="37"/>
      <c r="N1292" s="37"/>
      <c r="O1292" s="45"/>
      <c r="P1292" s="54"/>
      <c r="Q1292" s="260"/>
      <c r="R1292" s="261"/>
      <c r="S1292" s="261"/>
      <c r="T1292" s="38"/>
      <c r="U1292" s="261"/>
      <c r="V1292" s="256"/>
      <c r="W1292" s="256"/>
      <c r="X1292" s="256"/>
      <c r="Y1292" s="256"/>
      <c r="Z1292" s="310"/>
      <c r="AA1292" s="200"/>
      <c r="AB1292" s="312"/>
      <c r="AC1292" s="313"/>
      <c r="AD1292" s="51"/>
      <c r="AE1292" s="52"/>
      <c r="AF1292" s="41"/>
      <c r="AG1292" s="45"/>
      <c r="AH1292" s="28"/>
      <c r="AI1292" s="28"/>
      <c r="AJ1292" s="28"/>
      <c r="AK1292" s="28"/>
      <c r="AL1292" s="12"/>
      <c r="AM1292" s="12"/>
      <c r="AN1292" s="12"/>
      <c r="AO1292" s="12"/>
      <c r="AP1292" s="12"/>
      <c r="AQ1292" s="13"/>
      <c r="AR1292" s="14"/>
    </row>
    <row r="1293" spans="1:44" s="16" customFormat="1" ht="30.95" hidden="1" customHeight="1" x14ac:dyDescent="0.2">
      <c r="A1293" s="35" t="s">
        <v>2289</v>
      </c>
      <c r="B1293" s="36" t="s">
        <v>2290</v>
      </c>
      <c r="C1293" s="305"/>
      <c r="D1293" s="29">
        <v>3741604</v>
      </c>
      <c r="E1293" s="29">
        <v>4151592</v>
      </c>
      <c r="F1293" s="255" t="str">
        <f>IF(D1293="","",VLOOKUP(D1293,契約台帳!$A$3:$K$4986,6,FALSE)&amp;VLOOKUP(D1293,契約台帳!$A$3:$K$4986,7,FALSE)&amp;VLOOKUP(D1293,契約台帳!$A$3:$K$4986,8,FALSE)&amp;VLOOKUP(D1293,契約台帳!$A$3:$K$4986,9,FALSE)&amp;VLOOKUP(D1293,契約台帳!$A$3:$K$4986,11,FALSE))</f>
        <v>3SNMLBMNGKKBF</v>
      </c>
      <c r="G1293" s="256" t="str">
        <f>IF(D1293="","",VLOOKUP(F1293,製品マスタ!$G$5:$H$4999,2,FALSE))</f>
        <v>S</v>
      </c>
      <c r="H1293" s="256" t="str">
        <f>IF(D1293="","",VLOOKUP(F1293,製品マスタ!$G$5:$K$4999,5,FALSE))</f>
        <v>MNGKKBF</v>
      </c>
      <c r="I1293" s="200" t="str">
        <f>IF(D1293="","",VLOOKUP(F1293,製品マスタ!$G$5:$L$4999,6,FALSE))</f>
        <v>メタルミー　ネーマー銀消改　Ｂ</v>
      </c>
      <c r="J1293" s="30" t="s">
        <v>447</v>
      </c>
      <c r="K1293" s="200">
        <f>IF(D1293="","",VLOOKUP(D1293,契約台帳!$A$3:$L$4986,12,FALSE))</f>
        <v>50</v>
      </c>
      <c r="L1293" s="200" t="str">
        <f>IF(D1293="","",INDEX(製品マスタ!$Q$5:$Q$4999,MATCH(F1293&amp;K1293,製品マスタ!$AO$5:$AO$4999,0)))</f>
        <v>S99-MAT</v>
      </c>
      <c r="M1293" s="37">
        <v>1120</v>
      </c>
      <c r="N1293" s="37">
        <v>12000</v>
      </c>
      <c r="O1293" s="45">
        <v>6</v>
      </c>
      <c r="P1293" s="54"/>
      <c r="Q1293" s="260">
        <f>IF(D1293="","",IF(J1293="リード付け",M1293,VLOOKUP(D1293,契約台帳!$A$3:$N$4986,14,FALSE)))</f>
        <v>1120</v>
      </c>
      <c r="R1293" s="261">
        <f>IF(D1293="","",IF(J1293="リード付け",M1293,VLOOKUP(D1293,契約台帳!$A$3:$O$4986,15,FALSE)))</f>
        <v>1120</v>
      </c>
      <c r="S1293" s="261">
        <f>IF(D1293="","",IF(J1293="リード付け",N1293,VLOOKUP(D1293,契約台帳!$A$3:$P$4986,16,FALSE)))</f>
        <v>4000</v>
      </c>
      <c r="T1293" s="38">
        <v>18</v>
      </c>
      <c r="U1293" s="261">
        <f ca="1">IF(D1293="","",IF(OFFSET(D1293,-2,0)=D1293,"",VLOOKUP(D1293,契約台帳!$A$3:$R$4986,18,FALSE)))</f>
        <v>36</v>
      </c>
      <c r="V1293" s="256" t="str">
        <f>IF(J1293="巻返し",VLOOKUP(F1293&amp;K1293&amp;M1293,製品マスタ!$M$5:$AD$4999,18,FALSE),IF(J1293="リード付け","原反コア",IF(J1293="スリット",VLOOKUP(F1293&amp;K1293&amp;Q1293,製品マスタ!$N$5:$AD$4999,17,FALSE),"")))</f>
        <v>6ｲﾝﾁSｺｱ</v>
      </c>
      <c r="W1293" s="256">
        <f>IF(J1293="巻返し",VLOOKUP(F1293&amp;K1293&amp;M1293,製品マスタ!$M$5:$AE$4999,19,FALSE),IF(J1293="リード付け","-",IF(J1293="スリット",VLOOKUP(F1293&amp;K1293&amp;Q1293,製品マスタ!$N$5:$AE$4999,18,FALSE),"")))</f>
        <v>1125</v>
      </c>
      <c r="X1293" s="256">
        <f>IF(D1293="","",VLOOKUP(D1293,契約台帳!$A$3:$Q$4986,17,FALSE))</f>
        <v>2</v>
      </c>
      <c r="Y1293" s="256" t="str">
        <f>IF(D1293="","",VLOOKUP(D1293,契約台帳!$A$3:$E$4986,5,FALSE))</f>
        <v>リンテック㈱</v>
      </c>
      <c r="Z1293" s="310">
        <v>45365</v>
      </c>
      <c r="AA1293" s="200"/>
      <c r="AB1293" s="312"/>
      <c r="AC1293" s="313"/>
      <c r="AD1293" s="51" t="str">
        <f t="shared" ref="AD1293" si="9">IF(F1293="","",+F1293&amp;K1293)</f>
        <v>3SNMLBMNGKKBF50</v>
      </c>
      <c r="AE1293" s="52">
        <f t="shared" ref="AE1293" si="10">+M1293*N1293*O1293/1000</f>
        <v>80640</v>
      </c>
      <c r="AF1293" s="41">
        <f>IF(AD1293="","",VLOOKUP(AD1293,原価マスタ!$A$2:$AJ$1693,13,FALSE))</f>
        <v>99</v>
      </c>
      <c r="AG1293" s="45">
        <f t="shared" ref="AG1293" si="11">IF(AF1293="","",+AE1293*AF1293/100)</f>
        <v>79833.600000000006</v>
      </c>
      <c r="AH1293" s="28"/>
      <c r="AI1293" s="28"/>
      <c r="AJ1293" s="28"/>
      <c r="AK1293" s="28"/>
      <c r="AL1293" s="12"/>
      <c r="AM1293" s="12"/>
      <c r="AN1293" s="12"/>
      <c r="AO1293" s="12"/>
      <c r="AP1293" s="12"/>
      <c r="AQ1293" s="13"/>
      <c r="AR1293" s="14"/>
    </row>
    <row r="1294" spans="1:44" s="16" customFormat="1" ht="30.95" hidden="1" customHeight="1" x14ac:dyDescent="0.2">
      <c r="A1294" s="303"/>
      <c r="B1294" s="304"/>
      <c r="C1294" s="305"/>
      <c r="D1294" s="29"/>
      <c r="E1294" s="29"/>
      <c r="F1294" s="255" t="str">
        <f>IF(D1294="","",VLOOKUP(D1294,契約台帳!$A$3:$K$4986,6,FALSE)&amp;VLOOKUP(D1294,契約台帳!$A$3:$K$4986,7,FALSE)&amp;VLOOKUP(D1294,契約台帳!$A$3:$K$4986,8,FALSE)&amp;VLOOKUP(D1294,契約台帳!$A$3:$K$4986,9,FALSE)&amp;VLOOKUP(D1294,契約台帳!$A$3:$K$4986,11,FALSE))</f>
        <v/>
      </c>
      <c r="G1294" s="256" t="str">
        <f>IF(D1294="","",VLOOKUP(F1294,製品マスタ!$G$5:$H$4999,2,FALSE))</f>
        <v/>
      </c>
      <c r="H1294" s="256" t="str">
        <f>IF(D1294="","",VLOOKUP(F1294,製品マスタ!$G$5:$K$4999,5,FALSE))</f>
        <v/>
      </c>
      <c r="I1294" s="200" t="str">
        <f>IF(D1294="","",VLOOKUP(F1294,製品マスタ!$G$5:$L$4999,6,FALSE))</f>
        <v/>
      </c>
      <c r="J1294" s="30"/>
      <c r="K1294" s="200" t="str">
        <f>IF(D1294="","",VLOOKUP(D1294,契約台帳!$A$3:$L$4986,12,FALSE))</f>
        <v/>
      </c>
      <c r="L1294" s="200" t="str">
        <f>IF(D1294="","",INDEX(製品マスタ!$Q$5:$Q$4999,MATCH(F1294&amp;K1294,製品マスタ!$AO$5:$AO$4999,0)))</f>
        <v/>
      </c>
      <c r="M1294" s="37"/>
      <c r="N1294" s="37"/>
      <c r="O1294" s="45"/>
      <c r="P1294" s="54"/>
      <c r="Q1294" s="260" t="str">
        <f>IF(D1294="","",IF(J1294="リード付け",M1294,VLOOKUP(D1294,契約台帳!$A$3:$N$4986,14,FALSE)))</f>
        <v/>
      </c>
      <c r="R1294" s="261" t="str">
        <f>IF(D1294="","",IF(J1294="リード付け",M1294,VLOOKUP(D1294,契約台帳!$A$3:$O$4986,15,FALSE)))</f>
        <v/>
      </c>
      <c r="S1294" s="261" t="str">
        <f>IF(D1294="","",IF(J1294="リード付け",N1294,VLOOKUP(D1294,契約台帳!$A$3:$P$4986,16,FALSE)))</f>
        <v/>
      </c>
      <c r="T1294" s="38"/>
      <c r="U1294" s="261" t="str">
        <f ca="1">IF(D1294="","",IF(OFFSET(D1294,-2,0)=D1294,"",VLOOKUP(D1294,契約台帳!$A$3:$R$4986,18,FALSE)))</f>
        <v/>
      </c>
      <c r="V1294" s="256" t="str">
        <f>IF(J1294="巻返し",VLOOKUP(F1294&amp;K1294&amp;M1294,製品マスタ!$M$5:$AD$4999,18,FALSE),IF(J1294="リード付け","原反コア",IF(J1294="スリット",VLOOKUP(F1294&amp;K1294&amp;Q1294,製品マスタ!$N$5:$AD$4999,17,FALSE),"")))</f>
        <v/>
      </c>
      <c r="W1294" s="256" t="str">
        <f>IF(J1294="巻返し",VLOOKUP(F1294&amp;K1294&amp;M1294,製品マスタ!$M$5:$AE$4999,19,FALSE),IF(J1294="リード付け","-",IF(J1294="スリット",VLOOKUP(F1294&amp;K1294&amp;Q1294,製品マスタ!$N$5:$AE$4999,18,FALSE),"")))</f>
        <v/>
      </c>
      <c r="X1294" s="256" t="str">
        <f>IF(D1294="","",VLOOKUP(D1294,契約台帳!$A$3:$Q$4986,17,FALSE))</f>
        <v/>
      </c>
      <c r="Y1294" s="256" t="str">
        <f>IF(D1294="","",VLOOKUP(D1294,契約台帳!$A$3:$E$4986,5,FALSE))</f>
        <v/>
      </c>
      <c r="Z1294" s="310"/>
      <c r="AA1294" s="200"/>
      <c r="AB1294" s="312"/>
      <c r="AC1294" s="313"/>
      <c r="AD1294" s="51" t="str">
        <f t="shared" ref="AD1294:AD1303" si="12">IF(F1294="","",+F1294&amp;K1294)</f>
        <v/>
      </c>
      <c r="AE1294" s="52">
        <f t="shared" ref="AE1294:AE1303" si="13">+M1294*N1294*O1294/1000</f>
        <v>0</v>
      </c>
      <c r="AF1294" s="41" t="str">
        <f>IF(AD1294="","",VLOOKUP(AD1294,原価マスタ!$A$2:$AJ$1693,13,FALSE))</f>
        <v/>
      </c>
      <c r="AG1294" s="45" t="str">
        <f t="shared" ref="AG1294:AG1303" si="14">IF(AF1294="","",+AE1294*AF1294/100)</f>
        <v/>
      </c>
      <c r="AH1294" s="28"/>
      <c r="AI1294" s="28"/>
      <c r="AJ1294" s="28"/>
      <c r="AK1294" s="28"/>
      <c r="AL1294" s="12"/>
      <c r="AM1294" s="12"/>
      <c r="AN1294" s="12"/>
      <c r="AO1294" s="12"/>
      <c r="AP1294" s="12"/>
      <c r="AQ1294" s="13"/>
      <c r="AR1294" s="14"/>
    </row>
    <row r="1295" spans="1:44" s="16" customFormat="1" ht="30.95" hidden="1" customHeight="1" x14ac:dyDescent="0.2">
      <c r="A1295" s="35" t="s">
        <v>2291</v>
      </c>
      <c r="B1295" s="36" t="s">
        <v>2292</v>
      </c>
      <c r="C1295" s="305"/>
      <c r="D1295" s="29">
        <v>3741604</v>
      </c>
      <c r="E1295" s="29">
        <v>4151592</v>
      </c>
      <c r="F1295" s="255" t="str">
        <f>IF(D1295="","",VLOOKUP(D1295,契約台帳!$A$3:$K$4986,6,FALSE)&amp;VLOOKUP(D1295,契約台帳!$A$3:$K$4986,7,FALSE)&amp;VLOOKUP(D1295,契約台帳!$A$3:$K$4986,8,FALSE)&amp;VLOOKUP(D1295,契約台帳!$A$3:$K$4986,9,FALSE)&amp;VLOOKUP(D1295,契約台帳!$A$3:$K$4986,11,FALSE))</f>
        <v>3SNMLBMNGKKBF</v>
      </c>
      <c r="G1295" s="256" t="str">
        <f>IF(D1295="","",VLOOKUP(F1295,製品マスタ!$G$5:$H$4999,2,FALSE))</f>
        <v>S</v>
      </c>
      <c r="H1295" s="256" t="str">
        <f>IF(D1295="","",VLOOKUP(F1295,製品マスタ!$G$5:$K$4999,5,FALSE))</f>
        <v>MNGKKBF</v>
      </c>
      <c r="I1295" s="200" t="str">
        <f>IF(D1295="","",VLOOKUP(F1295,製品マスタ!$G$5:$L$4999,6,FALSE))</f>
        <v>メタルミー　ネーマー銀消改　Ｂ</v>
      </c>
      <c r="J1295" s="30" t="s">
        <v>447</v>
      </c>
      <c r="K1295" s="200">
        <f>IF(D1295="","",VLOOKUP(D1295,契約台帳!$A$3:$L$4986,12,FALSE))</f>
        <v>50</v>
      </c>
      <c r="L1295" s="200" t="str">
        <f>IF(D1295="","",INDEX(製品マスタ!$Q$5:$Q$4999,MATCH(F1295&amp;K1295,製品マスタ!$AO$5:$AO$4999,0)))</f>
        <v>S99-MAT</v>
      </c>
      <c r="M1295" s="37">
        <v>1120</v>
      </c>
      <c r="N1295" s="37">
        <v>12000</v>
      </c>
      <c r="O1295" s="45">
        <v>6</v>
      </c>
      <c r="P1295" s="54"/>
      <c r="Q1295" s="260">
        <f>IF(D1295="","",IF(J1295="リード付け",M1295,VLOOKUP(D1295,契約台帳!$A$3:$N$4986,14,FALSE)))</f>
        <v>1120</v>
      </c>
      <c r="R1295" s="261">
        <f>IF(D1295="","",IF(J1295="リード付け",M1295,VLOOKUP(D1295,契約台帳!$A$3:$O$4986,15,FALSE)))</f>
        <v>1120</v>
      </c>
      <c r="S1295" s="261">
        <f>IF(D1295="","",IF(J1295="リード付け",N1295,VLOOKUP(D1295,契約台帳!$A$3:$P$4986,16,FALSE)))</f>
        <v>4000</v>
      </c>
      <c r="T1295" s="38">
        <v>18</v>
      </c>
      <c r="U1295" s="261" t="str">
        <f ca="1">IF(D1295="","",IF(OFFSET(D1295,-2,0)=D1295,"",VLOOKUP(D1295,契約台帳!$A$3:$R$4986,18,FALSE)))</f>
        <v/>
      </c>
      <c r="V1295" s="256" t="str">
        <f>IF(J1295="巻返し",VLOOKUP(F1295&amp;K1295&amp;M1295,製品マスタ!$M$5:$AD$4999,18,FALSE),IF(J1295="リード付け","原反コア",IF(J1295="スリット",VLOOKUP(F1295&amp;K1295&amp;Q1295,製品マスタ!$N$5:$AD$4999,17,FALSE),"")))</f>
        <v>6ｲﾝﾁSｺｱ</v>
      </c>
      <c r="W1295" s="256">
        <f>IF(J1295="巻返し",VLOOKUP(F1295&amp;K1295&amp;M1295,製品マスタ!$M$5:$AE$4999,19,FALSE),IF(J1295="リード付け","-",IF(J1295="スリット",VLOOKUP(F1295&amp;K1295&amp;Q1295,製品マスタ!$N$5:$AE$4999,18,FALSE),"")))</f>
        <v>1125</v>
      </c>
      <c r="X1295" s="256">
        <f>IF(D1295="","",VLOOKUP(D1295,契約台帳!$A$3:$Q$4986,17,FALSE))</f>
        <v>2</v>
      </c>
      <c r="Y1295" s="256" t="str">
        <f>IF(D1295="","",VLOOKUP(D1295,契約台帳!$A$3:$E$4986,5,FALSE))</f>
        <v>リンテック㈱</v>
      </c>
      <c r="Z1295" s="310">
        <v>45366</v>
      </c>
      <c r="AA1295" s="200"/>
      <c r="AB1295" s="312"/>
      <c r="AC1295" s="313"/>
      <c r="AD1295" s="51" t="str">
        <f t="shared" si="12"/>
        <v>3SNMLBMNGKKBF50</v>
      </c>
      <c r="AE1295" s="52">
        <f t="shared" si="13"/>
        <v>80640</v>
      </c>
      <c r="AF1295" s="41">
        <f>IF(AD1295="","",VLOOKUP(AD1295,原価マスタ!$A$2:$AJ$1693,13,FALSE))</f>
        <v>99</v>
      </c>
      <c r="AG1295" s="45">
        <f t="shared" si="14"/>
        <v>79833.600000000006</v>
      </c>
      <c r="AH1295" s="28"/>
      <c r="AI1295" s="28"/>
      <c r="AJ1295" s="28"/>
      <c r="AK1295" s="28"/>
      <c r="AL1295" s="12"/>
      <c r="AM1295" s="12"/>
      <c r="AN1295" s="12"/>
      <c r="AO1295" s="12"/>
      <c r="AP1295" s="12"/>
      <c r="AQ1295" s="13"/>
      <c r="AR1295" s="14"/>
    </row>
    <row r="1296" spans="1:44" s="16" customFormat="1" ht="30.95" hidden="1" customHeight="1" x14ac:dyDescent="0.2">
      <c r="A1296" s="303"/>
      <c r="B1296" s="304"/>
      <c r="C1296" s="305"/>
      <c r="D1296" s="29"/>
      <c r="E1296" s="29"/>
      <c r="F1296" s="255" t="str">
        <f>IF(D1296="","",VLOOKUP(D1296,契約台帳!$A$3:$K$4986,6,FALSE)&amp;VLOOKUP(D1296,契約台帳!$A$3:$K$4986,7,FALSE)&amp;VLOOKUP(D1296,契約台帳!$A$3:$K$4986,8,FALSE)&amp;VLOOKUP(D1296,契約台帳!$A$3:$K$4986,9,FALSE)&amp;VLOOKUP(D1296,契約台帳!$A$3:$K$4986,11,FALSE))</f>
        <v/>
      </c>
      <c r="G1296" s="256" t="str">
        <f>IF(D1296="","",VLOOKUP(F1296,製品マスタ!$G$5:$H$4999,2,FALSE))</f>
        <v/>
      </c>
      <c r="H1296" s="256" t="str">
        <f>IF(D1296="","",VLOOKUP(F1296,製品マスタ!$G$5:$K$4999,5,FALSE))</f>
        <v/>
      </c>
      <c r="I1296" s="200" t="str">
        <f>IF(D1296="","",VLOOKUP(F1296,製品マスタ!$G$5:$L$4999,6,FALSE))</f>
        <v/>
      </c>
      <c r="J1296" s="30"/>
      <c r="K1296" s="200" t="str">
        <f>IF(D1296="","",VLOOKUP(D1296,契約台帳!$A$3:$L$4986,12,FALSE))</f>
        <v/>
      </c>
      <c r="L1296" s="200" t="str">
        <f>IF(D1296="","",INDEX(製品マスタ!$Q$5:$Q$4999,MATCH(F1296&amp;K1296,製品マスタ!$AO$5:$AO$4999,0)))</f>
        <v/>
      </c>
      <c r="M1296" s="37"/>
      <c r="N1296" s="37"/>
      <c r="O1296" s="45"/>
      <c r="P1296" s="54"/>
      <c r="Q1296" s="260" t="str">
        <f>IF(D1296="","",IF(J1296="リード付け",M1296,VLOOKUP(D1296,契約台帳!$A$3:$N$4986,14,FALSE)))</f>
        <v/>
      </c>
      <c r="R1296" s="261" t="str">
        <f>IF(D1296="","",IF(J1296="リード付け",M1296,VLOOKUP(D1296,契約台帳!$A$3:$O$4986,15,FALSE)))</f>
        <v/>
      </c>
      <c r="S1296" s="261" t="str">
        <f>IF(D1296="","",IF(J1296="リード付け",N1296,VLOOKUP(D1296,契約台帳!$A$3:$P$4986,16,FALSE)))</f>
        <v/>
      </c>
      <c r="T1296" s="38"/>
      <c r="U1296" s="261" t="str">
        <f ca="1">IF(D1296="","",IF(OFFSET(D1296,-2,0)=D1296,"",VLOOKUP(D1296,契約台帳!$A$3:$R$4986,18,FALSE)))</f>
        <v/>
      </c>
      <c r="V1296" s="256" t="str">
        <f>IF(J1296="巻返し",VLOOKUP(F1296&amp;K1296&amp;M1296,製品マスタ!$M$5:$AD$4999,18,FALSE),IF(J1296="リード付け","原反コア",IF(J1296="スリット",VLOOKUP(F1296&amp;K1296&amp;Q1296,製品マスタ!$N$5:$AD$4999,17,FALSE),"")))</f>
        <v/>
      </c>
      <c r="W1296" s="256" t="str">
        <f>IF(J1296="巻返し",VLOOKUP(F1296&amp;K1296&amp;M1296,製品マスタ!$M$5:$AE$4999,19,FALSE),IF(J1296="リード付け","-",IF(J1296="スリット",VLOOKUP(F1296&amp;K1296&amp;Q1296,製品マスタ!$N$5:$AE$4999,18,FALSE),"")))</f>
        <v/>
      </c>
      <c r="X1296" s="256" t="str">
        <f>IF(D1296="","",VLOOKUP(D1296,契約台帳!$A$3:$Q$4986,17,FALSE))</f>
        <v/>
      </c>
      <c r="Y1296" s="256" t="str">
        <f>IF(D1296="","",VLOOKUP(D1296,契約台帳!$A$3:$E$4986,5,FALSE))</f>
        <v/>
      </c>
      <c r="Z1296" s="310"/>
      <c r="AA1296" s="200"/>
      <c r="AB1296" s="312"/>
      <c r="AC1296" s="313"/>
      <c r="AD1296" s="51" t="str">
        <f t="shared" si="12"/>
        <v/>
      </c>
      <c r="AE1296" s="52">
        <f t="shared" si="13"/>
        <v>0</v>
      </c>
      <c r="AF1296" s="41" t="str">
        <f>IF(AD1296="","",VLOOKUP(AD1296,原価マスタ!$A$2:$AJ$1693,13,FALSE))</f>
        <v/>
      </c>
      <c r="AG1296" s="45" t="str">
        <f t="shared" si="14"/>
        <v/>
      </c>
      <c r="AH1296" s="28"/>
      <c r="AI1296" s="28"/>
      <c r="AJ1296" s="28"/>
      <c r="AK1296" s="28"/>
      <c r="AL1296" s="12"/>
      <c r="AM1296" s="12"/>
      <c r="AN1296" s="12"/>
      <c r="AO1296" s="12"/>
      <c r="AP1296" s="12"/>
      <c r="AQ1296" s="13"/>
      <c r="AR1296" s="14"/>
    </row>
    <row r="1297" spans="1:44" s="16" customFormat="1" ht="30.95" hidden="1" customHeight="1" x14ac:dyDescent="0.2">
      <c r="A1297" s="303"/>
      <c r="B1297" s="304"/>
      <c r="C1297" s="305"/>
      <c r="D1297" s="211">
        <v>3745647</v>
      </c>
      <c r="E1297" s="29">
        <v>4151621</v>
      </c>
      <c r="F1297" s="255" t="str">
        <f>IF(D1297="","",VLOOKUP(D1297,契約台帳!$A$3:$K$4986,6,FALSE)&amp;VLOOKUP(D1297,契約台帳!$A$3:$K$4986,7,FALSE)&amp;VLOOKUP(D1297,契約台帳!$A$3:$K$4986,8,FALSE)&amp;VLOOKUP(D1297,契約台帳!$A$3:$K$4986,9,FALSE)&amp;VLOOKUP(D1297,契約台帳!$A$3:$K$4986,11,FALSE))</f>
        <v>3SYMLBMSBBF</v>
      </c>
      <c r="G1297" s="256" t="str">
        <f>IF(D1297="","",VLOOKUP(F1297,製品マスタ!$G$5:$H$4999,2,FALSE))</f>
        <v>S</v>
      </c>
      <c r="H1297" s="256" t="str">
        <f>IF(D1297="","",VLOOKUP(F1297,製品マスタ!$G$5:$K$4999,5,FALSE))</f>
        <v>MSBBF</v>
      </c>
      <c r="I1297" s="200" t="str">
        <f>IF(D1297="","",VLOOKUP(F1297,製品マスタ!$G$5:$L$4999,6,FALSE))</f>
        <v>ＭＥＴＡＬＵＭＹ　ＳＩＬＶＥＲ　ＢＲＩＧＨＴ　Ｔ６２Ｍ　Ｂ</v>
      </c>
      <c r="J1297" s="30" t="s">
        <v>447</v>
      </c>
      <c r="K1297" s="200">
        <f>IF(D1297="","",VLOOKUP(D1297,契約台帳!$A$3:$L$4986,12,FALSE))</f>
        <v>25</v>
      </c>
      <c r="L1297" s="200" t="str">
        <f>IF(D1297="","",INDEX(製品マスタ!$Q$5:$Q$4999,MATCH(F1297&amp;K1297,製品マスタ!$AO$5:$AO$4999,0)))</f>
        <v>T62</v>
      </c>
      <c r="M1297" s="37">
        <v>1120</v>
      </c>
      <c r="N1297" s="37">
        <v>8000</v>
      </c>
      <c r="O1297" s="45">
        <v>1</v>
      </c>
      <c r="P1297" s="54"/>
      <c r="Q1297" s="260">
        <f>IF(D1297="","",IF(J1297="リード付け",M1297,VLOOKUP(D1297,契約台帳!$A$3:$N$4986,14,FALSE)))</f>
        <v>1120</v>
      </c>
      <c r="R1297" s="261">
        <f>IF(D1297="","",IF(J1297="リード付け",M1297,VLOOKUP(D1297,契約台帳!$A$3:$O$4986,15,FALSE)))</f>
        <v>1120</v>
      </c>
      <c r="S1297" s="344">
        <v>8000</v>
      </c>
      <c r="T1297" s="345">
        <v>1</v>
      </c>
      <c r="U1297" s="344">
        <v>1</v>
      </c>
      <c r="V1297" s="256" t="str">
        <f>IF(J1297="巻返し",VLOOKUP(F1297&amp;K1297&amp;M1297,製品マスタ!$M$5:$AD$4999,18,FALSE),IF(J1297="リード付け","原反コア",IF(J1297="スリット",VLOOKUP(F1297&amp;K1297&amp;Q1297,製品マスタ!$N$5:$AD$4999,17,FALSE),"")))</f>
        <v>6ｲﾝﾁSｺｱ</v>
      </c>
      <c r="W1297" s="256">
        <f>IF(J1297="巻返し",VLOOKUP(F1297&amp;K1297&amp;M1297,製品マスタ!$M$5:$AE$4999,19,FALSE),IF(J1297="リード付け","-",IF(J1297="スリット",VLOOKUP(F1297&amp;K1297&amp;Q1297,製品マスタ!$N$5:$AE$4999,18,FALSE),"")))</f>
        <v>1125</v>
      </c>
      <c r="X1297" s="256">
        <f>IF(D1297="","",VLOOKUP(D1297,契約台帳!$A$3:$Q$4986,17,FALSE))</f>
        <v>2</v>
      </c>
      <c r="Y1297" s="256" t="str">
        <f>IF(D1297="","",VLOOKUP(D1297,契約台帳!$A$3:$E$4986,5,FALSE))</f>
        <v>リンテック㈱</v>
      </c>
      <c r="Z1297" s="310">
        <v>45366</v>
      </c>
      <c r="AA1297" s="200"/>
      <c r="AB1297" s="312"/>
      <c r="AC1297" s="313"/>
      <c r="AD1297" s="51" t="str">
        <f t="shared" si="12"/>
        <v>3SYMLBMSBBF25</v>
      </c>
      <c r="AE1297" s="52">
        <f t="shared" si="13"/>
        <v>8960</v>
      </c>
      <c r="AF1297" s="41">
        <f>IF(AD1297="","",VLOOKUP(AD1297,原価マスタ!$A$2:$AJ$1693,13,FALSE))</f>
        <v>97.5</v>
      </c>
      <c r="AG1297" s="45">
        <f t="shared" si="14"/>
        <v>8736</v>
      </c>
      <c r="AH1297" s="28"/>
      <c r="AI1297" s="28"/>
      <c r="AJ1297" s="28"/>
      <c r="AK1297" s="28"/>
      <c r="AL1297" s="12"/>
      <c r="AM1297" s="12"/>
      <c r="AN1297" s="12"/>
      <c r="AO1297" s="12"/>
      <c r="AP1297" s="12"/>
      <c r="AQ1297" s="13"/>
      <c r="AR1297" s="14"/>
    </row>
    <row r="1298" spans="1:44" s="16" customFormat="1" ht="30.95" hidden="1" customHeight="1" x14ac:dyDescent="0.2">
      <c r="A1298" s="303"/>
      <c r="B1298" s="304"/>
      <c r="C1298" s="305"/>
      <c r="D1298" s="29"/>
      <c r="E1298" s="29"/>
      <c r="F1298" s="255"/>
      <c r="G1298" s="256"/>
      <c r="H1298" s="256"/>
      <c r="I1298" s="279" t="s">
        <v>2334</v>
      </c>
      <c r="J1298" s="30"/>
      <c r="K1298" s="200"/>
      <c r="L1298" s="200"/>
      <c r="M1298" s="37"/>
      <c r="N1298" s="37"/>
      <c r="O1298" s="45"/>
      <c r="P1298" s="54"/>
      <c r="Q1298" s="260"/>
      <c r="R1298" s="261"/>
      <c r="S1298" s="261"/>
      <c r="T1298" s="38"/>
      <c r="U1298" s="261"/>
      <c r="V1298" s="256"/>
      <c r="W1298" s="256"/>
      <c r="X1298" s="256"/>
      <c r="Y1298" s="256"/>
      <c r="Z1298" s="310"/>
      <c r="AA1298" s="200"/>
      <c r="AB1298" s="312"/>
      <c r="AC1298" s="313"/>
      <c r="AD1298" s="51"/>
      <c r="AE1298" s="52"/>
      <c r="AF1298" s="41"/>
      <c r="AG1298" s="45"/>
      <c r="AH1298" s="28"/>
      <c r="AI1298" s="28"/>
      <c r="AJ1298" s="28"/>
      <c r="AK1298" s="28"/>
      <c r="AL1298" s="12"/>
      <c r="AM1298" s="12"/>
      <c r="AN1298" s="12"/>
      <c r="AO1298" s="12"/>
      <c r="AP1298" s="12"/>
      <c r="AQ1298" s="13"/>
      <c r="AR1298" s="14"/>
    </row>
    <row r="1299" spans="1:44" s="16" customFormat="1" ht="30.6" hidden="1" customHeight="1" x14ac:dyDescent="0.2">
      <c r="A1299" s="303" t="s">
        <v>953</v>
      </c>
      <c r="B1299" s="304" t="s">
        <v>442</v>
      </c>
      <c r="C1299" s="305"/>
      <c r="D1299" s="211">
        <v>3744891</v>
      </c>
      <c r="E1299" s="29">
        <v>4151619</v>
      </c>
      <c r="F1299" s="255" t="str">
        <f>IF(D1299="","",VLOOKUP(D1299,契約台帳!$A$3:$K$4986,6,FALSE)&amp;VLOOKUP(D1299,契約台帳!$A$3:$K$4986,7,FALSE)&amp;VLOOKUP(D1299,契約台帳!$A$3:$K$4986,8,FALSE)&amp;VLOOKUP(D1299,契約台帳!$A$3:$K$4986,9,FALSE)&amp;VLOOKUP(D1299,契約台帳!$A$3:$K$4986,11,FALSE))</f>
        <v>3SYMLBMSSMBF</v>
      </c>
      <c r="G1299" s="256" t="str">
        <f>IF(D1299="","",VLOOKUP(F1299,製品マスタ!$G$5:$H$4999,2,FALSE))</f>
        <v>S</v>
      </c>
      <c r="H1299" s="256" t="str">
        <f>IF(D1299="","",VLOOKUP(F1299,製品マスタ!$G$5:$K$4999,5,FALSE))</f>
        <v>MSSMBF</v>
      </c>
      <c r="I1299" s="200" t="str">
        <f>IF(D1299="","",VLOOKUP(F1299,製品マスタ!$G$5:$L$4999,6,FALSE))</f>
        <v>ＭＥＴＡＬＵＭＹ　ＳＩＬＶＥＲ　Ｓ－ＭＡＴＴＥ　Ｓ２８ＭＭ　Ｂ</v>
      </c>
      <c r="J1299" s="30" t="s">
        <v>447</v>
      </c>
      <c r="K1299" s="200">
        <f>IF(D1299="","",VLOOKUP(D1299,契約台帳!$A$3:$L$4986,12,FALSE))</f>
        <v>50</v>
      </c>
      <c r="L1299" s="200" t="str">
        <f>IF(D1299="","",INDEX(製品マスタ!$Q$5:$Q$4999,MATCH(F1299&amp;K1299,製品マスタ!$AO$5:$AO$4999,0)))</f>
        <v>LI-MAT</v>
      </c>
      <c r="M1299" s="37">
        <v>1120</v>
      </c>
      <c r="N1299" s="37">
        <v>12000</v>
      </c>
      <c r="O1299" s="45">
        <v>2</v>
      </c>
      <c r="P1299" s="54"/>
      <c r="Q1299" s="260">
        <f>IF(D1299="","",IF(J1299="リード付け",M1299,VLOOKUP(D1299,契約台帳!$A$3:$N$4986,14,FALSE)))</f>
        <v>1120</v>
      </c>
      <c r="R1299" s="261">
        <f>IF(D1299="","",IF(J1299="リード付け",M1299,VLOOKUP(D1299,契約台帳!$A$3:$O$4986,15,FALSE)))</f>
        <v>1120</v>
      </c>
      <c r="S1299" s="261">
        <f>IF(D1299="","",IF(J1299="リード付け",N1299,VLOOKUP(D1299,契約台帳!$A$3:$P$4986,16,FALSE)))</f>
        <v>4000</v>
      </c>
      <c r="T1299" s="38">
        <v>6</v>
      </c>
      <c r="U1299" s="261">
        <f ca="1">IF(D1299="","",IF(OFFSET(D1299,-2,0)=D1299,"",VLOOKUP(D1299,契約台帳!$A$3:$R$4986,18,FALSE)))</f>
        <v>8</v>
      </c>
      <c r="V1299" s="256" t="str">
        <f>IF(J1299="巻返し",VLOOKUP(F1299&amp;K1299&amp;M1299,製品マスタ!$M$5:$AD$4999,18,FALSE),IF(J1299="リード付け","原反コア",IF(J1299="スリット",VLOOKUP(F1299&amp;K1299&amp;Q1299,製品マスタ!$N$5:$AD$4999,17,FALSE),"")))</f>
        <v>6ｲﾝﾁSｺｱ</v>
      </c>
      <c r="W1299" s="256">
        <f>IF(J1299="巻返し",VLOOKUP(F1299&amp;K1299&amp;M1299,製品マスタ!$M$5:$AE$4999,19,FALSE),IF(J1299="リード付け","-",IF(J1299="スリット",VLOOKUP(F1299&amp;K1299&amp;Q1299,製品マスタ!$N$5:$AE$4999,18,FALSE),"")))</f>
        <v>1125</v>
      </c>
      <c r="X1299" s="256">
        <f>IF(D1299="","",VLOOKUP(D1299,契約台帳!$A$3:$Q$4986,17,FALSE))</f>
        <v>2</v>
      </c>
      <c r="Y1299" s="256" t="str">
        <f>IF(D1299="","",VLOOKUP(D1299,契約台帳!$A$3:$E$4986,5,FALSE))</f>
        <v>リンテック㈱</v>
      </c>
      <c r="Z1299" s="310">
        <v>45366</v>
      </c>
      <c r="AA1299" s="200"/>
      <c r="AB1299" s="312"/>
      <c r="AC1299" s="313"/>
      <c r="AD1299" s="51" t="str">
        <f t="shared" ref="AD1299" si="15">IF(F1299="","",+F1299&amp;K1299)</f>
        <v>3SYMLBMSSMBF50</v>
      </c>
      <c r="AE1299" s="52">
        <f t="shared" ref="AE1299" si="16">+M1299*N1299*O1299/1000</f>
        <v>26880</v>
      </c>
      <c r="AF1299" s="41">
        <f>IF(AD1299="","",VLOOKUP(AD1299,原価マスタ!$A$2:$AJ$1693,13,FALSE))</f>
        <v>98</v>
      </c>
      <c r="AG1299" s="45">
        <f t="shared" ref="AG1299" si="17">IF(AF1299="","",+AE1299*AF1299/100)</f>
        <v>26342.400000000001</v>
      </c>
      <c r="AH1299" s="28"/>
      <c r="AI1299" s="28"/>
      <c r="AJ1299" s="28"/>
      <c r="AK1299" s="28"/>
      <c r="AL1299" s="12"/>
      <c r="AM1299" s="12"/>
      <c r="AN1299" s="12"/>
      <c r="AO1299" s="12"/>
      <c r="AP1299" s="12"/>
      <c r="AQ1299" s="13"/>
      <c r="AR1299" s="14"/>
    </row>
    <row r="1300" spans="1:44" s="16" customFormat="1" ht="30.95" hidden="1" customHeight="1" x14ac:dyDescent="0.2">
      <c r="A1300" s="35"/>
      <c r="B1300" s="36"/>
      <c r="C1300" s="305"/>
      <c r="D1300" s="29"/>
      <c r="E1300" s="29"/>
      <c r="F1300" s="255"/>
      <c r="G1300" s="256"/>
      <c r="H1300" s="256"/>
      <c r="I1300" s="279" t="s">
        <v>2328</v>
      </c>
      <c r="J1300" s="30"/>
      <c r="K1300" s="200"/>
      <c r="L1300" s="200"/>
      <c r="M1300" s="37"/>
      <c r="N1300" s="37"/>
      <c r="O1300" s="45"/>
      <c r="P1300" s="54"/>
      <c r="Q1300" s="260"/>
      <c r="R1300" s="261"/>
      <c r="S1300" s="261"/>
      <c r="T1300" s="38"/>
      <c r="U1300" s="261"/>
      <c r="V1300" s="256"/>
      <c r="W1300" s="256"/>
      <c r="X1300" s="256"/>
      <c r="Y1300" s="256"/>
      <c r="Z1300" s="310"/>
      <c r="AA1300" s="200"/>
      <c r="AB1300" s="312"/>
      <c r="AC1300" s="313"/>
      <c r="AD1300" s="51"/>
      <c r="AE1300" s="52"/>
      <c r="AF1300" s="41"/>
      <c r="AG1300" s="45"/>
      <c r="AH1300" s="28"/>
      <c r="AI1300" s="28"/>
      <c r="AJ1300" s="28"/>
      <c r="AK1300" s="28"/>
      <c r="AL1300" s="12"/>
      <c r="AM1300" s="12"/>
      <c r="AN1300" s="12"/>
      <c r="AO1300" s="12"/>
      <c r="AP1300" s="12"/>
      <c r="AQ1300" s="13"/>
      <c r="AR1300" s="14"/>
    </row>
    <row r="1301" spans="1:44" s="16" customFormat="1" ht="30.95" hidden="1" customHeight="1" x14ac:dyDescent="0.2">
      <c r="A1301" s="303"/>
      <c r="B1301" s="304"/>
      <c r="C1301" s="305"/>
      <c r="D1301" s="211">
        <v>3744891</v>
      </c>
      <c r="E1301" s="29">
        <v>4151619</v>
      </c>
      <c r="F1301" s="255" t="str">
        <f>IF(D1301="","",VLOOKUP(D1301,契約台帳!$A$3:$K$4986,6,FALSE)&amp;VLOOKUP(D1301,契約台帳!$A$3:$K$4986,7,FALSE)&amp;VLOOKUP(D1301,契約台帳!$A$3:$K$4986,8,FALSE)&amp;VLOOKUP(D1301,契約台帳!$A$3:$K$4986,9,FALSE)&amp;VLOOKUP(D1301,契約台帳!$A$3:$K$4986,11,FALSE))</f>
        <v>3SYMLBMSSMBF</v>
      </c>
      <c r="G1301" s="256" t="str">
        <f>IF(D1301="","",VLOOKUP(F1301,製品マスタ!$G$5:$H$4999,2,FALSE))</f>
        <v>S</v>
      </c>
      <c r="H1301" s="256" t="str">
        <f>IF(D1301="","",VLOOKUP(F1301,製品マスタ!$G$5:$K$4999,5,FALSE))</f>
        <v>MSSMBF</v>
      </c>
      <c r="I1301" s="200" t="str">
        <f>IF(D1301="","",VLOOKUP(F1301,製品マスタ!$G$5:$L$4999,6,FALSE))</f>
        <v>ＭＥＴＡＬＵＭＹ　ＳＩＬＶＥＲ　Ｓ－ＭＡＴＴＥ　Ｓ２８ＭＭ　Ｂ</v>
      </c>
      <c r="J1301" s="30" t="s">
        <v>447</v>
      </c>
      <c r="K1301" s="200">
        <f>IF(D1301="","",VLOOKUP(D1301,契約台帳!$A$3:$L$4986,12,FALSE))</f>
        <v>50</v>
      </c>
      <c r="L1301" s="200" t="str">
        <f>IF(D1301="","",INDEX(製品マスタ!$Q$5:$Q$4999,MATCH(F1301&amp;K1301,製品マスタ!$AO$5:$AO$4999,0)))</f>
        <v>LI-MAT</v>
      </c>
      <c r="M1301" s="37">
        <v>1120</v>
      </c>
      <c r="N1301" s="37">
        <v>8000</v>
      </c>
      <c r="O1301" s="45">
        <v>1</v>
      </c>
      <c r="P1301" s="54"/>
      <c r="Q1301" s="260">
        <f>IF(D1301="","",IF(J1301="リード付け",M1301,VLOOKUP(D1301,契約台帳!$A$3:$N$4986,14,FALSE)))</f>
        <v>1120</v>
      </c>
      <c r="R1301" s="261">
        <f>IF(D1301="","",IF(J1301="リード付け",M1301,VLOOKUP(D1301,契約台帳!$A$3:$O$4986,15,FALSE)))</f>
        <v>1120</v>
      </c>
      <c r="S1301" s="261">
        <f>IF(D1301="","",IF(J1301="リード付け",N1301,VLOOKUP(D1301,契約台帳!$A$3:$P$4986,16,FALSE)))</f>
        <v>4000</v>
      </c>
      <c r="T1301" s="38">
        <v>2</v>
      </c>
      <c r="U1301" s="261" t="str">
        <f ca="1">IF(D1301="","",IF(OFFSET(D1301,-2,0)=D1301,"",VLOOKUP(D1301,契約台帳!$A$3:$R$4986,18,FALSE)))</f>
        <v/>
      </c>
      <c r="V1301" s="256" t="str">
        <f>IF(J1301="巻返し",VLOOKUP(F1301&amp;K1301&amp;M1301,製品マスタ!$M$5:$AD$4999,18,FALSE),IF(J1301="リード付け","原反コア",IF(J1301="スリット",VLOOKUP(F1301&amp;K1301&amp;Q1301,製品マスタ!$N$5:$AD$4999,17,FALSE),"")))</f>
        <v>6ｲﾝﾁSｺｱ</v>
      </c>
      <c r="W1301" s="256">
        <f>IF(J1301="巻返し",VLOOKUP(F1301&amp;K1301&amp;M1301,製品マスタ!$M$5:$AE$4999,19,FALSE),IF(J1301="リード付け","-",IF(J1301="スリット",VLOOKUP(F1301&amp;K1301&amp;Q1301,製品マスタ!$N$5:$AE$4999,18,FALSE),"")))</f>
        <v>1125</v>
      </c>
      <c r="X1301" s="256">
        <f>IF(D1301="","",VLOOKUP(D1301,契約台帳!$A$3:$Q$4986,17,FALSE))</f>
        <v>2</v>
      </c>
      <c r="Y1301" s="256" t="str">
        <f>IF(D1301="","",VLOOKUP(D1301,契約台帳!$A$3:$E$4986,5,FALSE))</f>
        <v>リンテック㈱</v>
      </c>
      <c r="Z1301" s="310">
        <v>45366</v>
      </c>
      <c r="AA1301" s="200"/>
      <c r="AB1301" s="312"/>
      <c r="AC1301" s="313"/>
      <c r="AD1301" s="51" t="str">
        <f t="shared" ref="AD1301" si="18">IF(F1301="","",+F1301&amp;K1301)</f>
        <v>3SYMLBMSSMBF50</v>
      </c>
      <c r="AE1301" s="52">
        <f t="shared" ref="AE1301" si="19">+M1301*N1301*O1301/1000</f>
        <v>8960</v>
      </c>
      <c r="AF1301" s="41">
        <f>IF(AD1301="","",VLOOKUP(AD1301,原価マスタ!$A$2:$AJ$1693,13,FALSE))</f>
        <v>98</v>
      </c>
      <c r="AG1301" s="45">
        <f t="shared" ref="AG1301" si="20">IF(AF1301="","",+AE1301*AF1301/100)</f>
        <v>8780.7999999999993</v>
      </c>
      <c r="AH1301" s="28"/>
      <c r="AI1301" s="28"/>
      <c r="AJ1301" s="28"/>
      <c r="AK1301" s="28"/>
      <c r="AL1301" s="12"/>
      <c r="AM1301" s="12"/>
      <c r="AN1301" s="12"/>
      <c r="AO1301" s="12"/>
      <c r="AP1301" s="12"/>
      <c r="AQ1301" s="13"/>
      <c r="AR1301" s="14"/>
    </row>
    <row r="1302" spans="1:44" s="16" customFormat="1" ht="30.95" hidden="1" customHeight="1" x14ac:dyDescent="0.2">
      <c r="A1302" s="303"/>
      <c r="B1302" s="304"/>
      <c r="C1302" s="305"/>
      <c r="D1302" s="29"/>
      <c r="E1302" s="29"/>
      <c r="F1302" s="255"/>
      <c r="G1302" s="256"/>
      <c r="H1302" s="256"/>
      <c r="I1302" s="279" t="s">
        <v>2328</v>
      </c>
      <c r="J1302" s="30"/>
      <c r="K1302" s="200"/>
      <c r="L1302" s="200"/>
      <c r="M1302" s="37"/>
      <c r="N1302" s="37"/>
      <c r="O1302" s="45"/>
      <c r="P1302" s="54"/>
      <c r="Q1302" s="260"/>
      <c r="R1302" s="261"/>
      <c r="S1302" s="261"/>
      <c r="T1302" s="38"/>
      <c r="U1302" s="261"/>
      <c r="V1302" s="256"/>
      <c r="W1302" s="256"/>
      <c r="X1302" s="256"/>
      <c r="Y1302" s="256"/>
      <c r="Z1302" s="310"/>
      <c r="AA1302" s="200"/>
      <c r="AB1302" s="312"/>
      <c r="AC1302" s="313"/>
      <c r="AD1302" s="51"/>
      <c r="AE1302" s="52"/>
      <c r="AF1302" s="41"/>
      <c r="AG1302" s="45"/>
      <c r="AH1302" s="28"/>
      <c r="AI1302" s="28"/>
      <c r="AJ1302" s="28"/>
      <c r="AK1302" s="28"/>
      <c r="AL1302" s="12"/>
      <c r="AM1302" s="12"/>
      <c r="AN1302" s="12"/>
      <c r="AO1302" s="12"/>
      <c r="AP1302" s="12"/>
      <c r="AQ1302" s="13"/>
      <c r="AR1302" s="14"/>
    </row>
    <row r="1303" spans="1:44" s="16" customFormat="1" ht="30.95" hidden="1" customHeight="1" x14ac:dyDescent="0.2">
      <c r="A1303" s="303"/>
      <c r="B1303" s="304"/>
      <c r="C1303" s="305"/>
      <c r="D1303" s="29">
        <v>3744890</v>
      </c>
      <c r="E1303" s="29">
        <v>4151614</v>
      </c>
      <c r="F1303" s="255" t="str">
        <f>IF(D1303="","",VLOOKUP(D1303,契約台帳!$A$3:$K$4986,6,FALSE)&amp;VLOOKUP(D1303,契約台帳!$A$3:$K$4986,7,FALSE)&amp;VLOOKUP(D1303,契約台帳!$A$3:$K$4986,8,FALSE)&amp;VLOOKUP(D1303,契約台帳!$A$3:$K$4986,9,FALSE)&amp;VLOOKUP(D1303,契約台帳!$A$3:$K$4986,11,FALSE))</f>
        <v>3SYMLBMSNMBF</v>
      </c>
      <c r="G1303" s="256" t="str">
        <f>IF(D1303="","",VLOOKUP(F1303,製品マスタ!$G$5:$H$4999,2,FALSE))</f>
        <v>S</v>
      </c>
      <c r="H1303" s="256" t="str">
        <f>IF(D1303="","",VLOOKUP(F1303,製品マスタ!$G$5:$K$4999,5,FALSE))</f>
        <v>MSNMBF</v>
      </c>
      <c r="I1303" s="200" t="str">
        <f>IF(D1303="","",VLOOKUP(F1303,製品マスタ!$G$5:$L$4999,6,FALSE))</f>
        <v>ＭＥＴＡＬＵＭＹ　ＳＩＬＶＥＲ　Ｎ－ＭＡＴＴＥ　Ｘ４４Ｍ　Ｂ</v>
      </c>
      <c r="J1303" s="30" t="s">
        <v>447</v>
      </c>
      <c r="K1303" s="200">
        <f>IF(D1303="","",VLOOKUP(D1303,契約台帳!$A$3:$L$4986,12,FALSE))</f>
        <v>50</v>
      </c>
      <c r="L1303" s="200" t="str">
        <f>IF(D1303="","",INDEX(製品マスタ!$Q$5:$Q$4999,MATCH(F1303&amp;K1303,製品マスタ!$AO$5:$AO$4999,0)))</f>
        <v>X44</v>
      </c>
      <c r="M1303" s="37">
        <v>1120</v>
      </c>
      <c r="N1303" s="37">
        <v>8000</v>
      </c>
      <c r="O1303" s="45">
        <v>1</v>
      </c>
      <c r="P1303" s="54"/>
      <c r="Q1303" s="260">
        <f>IF(D1303="","",IF(J1303="リード付け",M1303,VLOOKUP(D1303,契約台帳!$A$3:$N$4986,14,FALSE)))</f>
        <v>1120</v>
      </c>
      <c r="R1303" s="261">
        <f>IF(D1303="","",IF(J1303="リード付け",M1303,VLOOKUP(D1303,契約台帳!$A$3:$O$4986,15,FALSE)))</f>
        <v>1120</v>
      </c>
      <c r="S1303" s="261">
        <f>IF(D1303="","",IF(J1303="リード付け",N1303,VLOOKUP(D1303,契約台帳!$A$3:$P$4986,16,FALSE)))</f>
        <v>4000</v>
      </c>
      <c r="T1303" s="38">
        <v>2</v>
      </c>
      <c r="U1303" s="261">
        <f ca="1">IF(D1303="","",IF(OFFSET(D1303,-2,0)=D1303,"",VLOOKUP(D1303,契約台帳!$A$3:$R$4986,18,FALSE)))</f>
        <v>2</v>
      </c>
      <c r="V1303" s="256" t="str">
        <f>IF(J1303="巻返し",VLOOKUP(F1303&amp;K1303&amp;M1303,製品マスタ!$M$5:$AD$4999,18,FALSE),IF(J1303="リード付け","原反コア",IF(J1303="スリット",VLOOKUP(F1303&amp;K1303&amp;Q1303,製品マスタ!$N$5:$AD$4999,17,FALSE),"")))</f>
        <v>6ｲﾝﾁMｺｱ</v>
      </c>
      <c r="W1303" s="256">
        <f>IF(J1303="巻返し",VLOOKUP(F1303&amp;K1303&amp;M1303,製品マスタ!$M$5:$AE$4999,19,FALSE),IF(J1303="リード付け","-",IF(J1303="スリット",VLOOKUP(F1303&amp;K1303&amp;Q1303,製品マスタ!$N$5:$AE$4999,18,FALSE),"")))</f>
        <v>1125</v>
      </c>
      <c r="X1303" s="256">
        <f>IF(D1303="","",VLOOKUP(D1303,契約台帳!$A$3:$Q$4986,17,FALSE))</f>
        <v>2</v>
      </c>
      <c r="Y1303" s="256" t="str">
        <f>IF(D1303="","",VLOOKUP(D1303,契約台帳!$A$3:$E$4986,5,FALSE))</f>
        <v>リンテック㈱</v>
      </c>
      <c r="Z1303" s="310">
        <v>45369</v>
      </c>
      <c r="AA1303" s="200"/>
      <c r="AB1303" s="312"/>
      <c r="AC1303" s="313"/>
      <c r="AD1303" s="51" t="str">
        <f t="shared" si="12"/>
        <v>3SYMLBMSNMBF50</v>
      </c>
      <c r="AE1303" s="52">
        <f t="shared" si="13"/>
        <v>8960</v>
      </c>
      <c r="AF1303" s="41">
        <f>IF(AD1303="","",VLOOKUP(AD1303,原価マスタ!$A$2:$AJ$1693,13,FALSE))</f>
        <v>98.8</v>
      </c>
      <c r="AG1303" s="45">
        <f t="shared" si="14"/>
        <v>8852.48</v>
      </c>
      <c r="AH1303" s="28"/>
      <c r="AI1303" s="28"/>
      <c r="AJ1303" s="28"/>
      <c r="AK1303" s="28"/>
      <c r="AL1303" s="12"/>
      <c r="AM1303" s="12"/>
      <c r="AN1303" s="12"/>
      <c r="AO1303" s="12"/>
      <c r="AP1303" s="12"/>
      <c r="AQ1303" s="13"/>
      <c r="AR1303" s="14"/>
    </row>
    <row r="1304" spans="1:44" s="16" customFormat="1" ht="30.95" hidden="1" customHeight="1" x14ac:dyDescent="0.2">
      <c r="A1304" s="303"/>
      <c r="B1304" s="304"/>
      <c r="C1304" s="305"/>
      <c r="D1304" s="29"/>
      <c r="E1304" s="29"/>
      <c r="F1304" s="255"/>
      <c r="G1304" s="256"/>
      <c r="H1304" s="256"/>
      <c r="I1304" s="200"/>
      <c r="J1304" s="30"/>
      <c r="K1304" s="200"/>
      <c r="L1304" s="200"/>
      <c r="M1304" s="37"/>
      <c r="N1304" s="37"/>
      <c r="O1304" s="45"/>
      <c r="P1304" s="54"/>
      <c r="Q1304" s="260"/>
      <c r="R1304" s="261"/>
      <c r="S1304" s="261"/>
      <c r="T1304" s="38"/>
      <c r="U1304" s="261"/>
      <c r="V1304" s="256"/>
      <c r="W1304" s="256"/>
      <c r="X1304" s="256"/>
      <c r="Y1304" s="256"/>
      <c r="Z1304" s="310"/>
      <c r="AA1304" s="200"/>
      <c r="AB1304" s="312"/>
      <c r="AC1304" s="313"/>
      <c r="AD1304" s="51"/>
      <c r="AE1304" s="52"/>
      <c r="AF1304" s="41"/>
      <c r="AG1304" s="45"/>
      <c r="AH1304" s="28"/>
      <c r="AI1304" s="28"/>
      <c r="AJ1304" s="28"/>
      <c r="AK1304" s="28"/>
      <c r="AL1304" s="12"/>
      <c r="AM1304" s="12"/>
      <c r="AN1304" s="12"/>
      <c r="AO1304" s="12"/>
      <c r="AP1304" s="12"/>
      <c r="AQ1304" s="13"/>
      <c r="AR1304" s="14"/>
    </row>
    <row r="1305" spans="1:44" s="16" customFormat="1" ht="30.95" hidden="1" customHeight="1" x14ac:dyDescent="0.2">
      <c r="A1305" s="303"/>
      <c r="B1305" s="304"/>
      <c r="C1305" s="305"/>
      <c r="D1305" s="29">
        <v>3745648</v>
      </c>
      <c r="E1305" s="29">
        <v>4151615</v>
      </c>
      <c r="F1305" s="255" t="str">
        <f>IF(D1305="","",VLOOKUP(D1305,契約台帳!$A$3:$K$4986,6,FALSE)&amp;VLOOKUP(D1305,契約台帳!$A$3:$K$4986,7,FALSE)&amp;VLOOKUP(D1305,契約台帳!$A$3:$K$4986,8,FALSE)&amp;VLOOKUP(D1305,契約台帳!$A$3:$K$4986,9,FALSE)&amp;VLOOKUP(D1305,契約台帳!$A$3:$K$4986,11,FALSE))</f>
        <v>3SYMLBMSNMBF</v>
      </c>
      <c r="G1305" s="256" t="str">
        <f>IF(D1305="","",VLOOKUP(F1305,製品マスタ!$G$5:$H$4999,2,FALSE))</f>
        <v>S</v>
      </c>
      <c r="H1305" s="256" t="str">
        <f>IF(D1305="","",VLOOKUP(F1305,製品マスタ!$G$5:$K$4999,5,FALSE))</f>
        <v>MSNMBF</v>
      </c>
      <c r="I1305" s="200" t="str">
        <f>IF(D1305="","",VLOOKUP(F1305,製品マスタ!$G$5:$L$4999,6,FALSE))</f>
        <v>ＭＥＴＡＬＵＭＹ　ＳＩＬＶＥＲ　Ｎ－ＭＡＴＴＥ　Ｘ４４Ｍ　Ｂ</v>
      </c>
      <c r="J1305" s="30" t="s">
        <v>447</v>
      </c>
      <c r="K1305" s="200">
        <f>IF(D1305="","",VLOOKUP(D1305,契約台帳!$A$3:$L$4986,12,FALSE))</f>
        <v>50</v>
      </c>
      <c r="L1305" s="200" t="str">
        <f>IF(D1305="","",INDEX(製品マスタ!$Q$5:$Q$4999,MATCH(F1305&amp;K1305,製品マスタ!$AO$5:$AO$4999,0)))</f>
        <v>X44</v>
      </c>
      <c r="M1305" s="37">
        <v>1120</v>
      </c>
      <c r="N1305" s="37">
        <v>8000</v>
      </c>
      <c r="O1305" s="45">
        <v>2</v>
      </c>
      <c r="P1305" s="54"/>
      <c r="Q1305" s="260">
        <f>IF(D1305="","",IF(J1305="リード付け",M1305,VLOOKUP(D1305,契約台帳!$A$3:$N$4986,14,FALSE)))</f>
        <v>1120</v>
      </c>
      <c r="R1305" s="261">
        <f>IF(D1305="","",IF(J1305="リード付け",M1305,VLOOKUP(D1305,契約台帳!$A$3:$O$4986,15,FALSE)))</f>
        <v>1120</v>
      </c>
      <c r="S1305" s="261">
        <f>IF(D1305="","",IF(J1305="リード付け",N1305,VLOOKUP(D1305,契約台帳!$A$3:$P$4986,16,FALSE)))</f>
        <v>4000</v>
      </c>
      <c r="T1305" s="38">
        <v>4</v>
      </c>
      <c r="U1305" s="261">
        <f ca="1">IF(D1305="","",IF(OFFSET(D1305,-2,0)=D1305,"",VLOOKUP(D1305,契約台帳!$A$3:$R$4986,18,FALSE)))</f>
        <v>4</v>
      </c>
      <c r="V1305" s="256" t="str">
        <f>IF(J1305="巻返し",VLOOKUP(F1305&amp;K1305&amp;M1305,製品マスタ!$M$5:$AD$4999,18,FALSE),IF(J1305="リード付け","原反コア",IF(J1305="スリット",VLOOKUP(F1305&amp;K1305&amp;Q1305,製品マスタ!$N$5:$AD$4999,17,FALSE),"")))</f>
        <v>6ｲﾝﾁMｺｱ</v>
      </c>
      <c r="W1305" s="256">
        <f>IF(J1305="巻返し",VLOOKUP(F1305&amp;K1305&amp;M1305,製品マスタ!$M$5:$AE$4999,19,FALSE),IF(J1305="リード付け","-",IF(J1305="スリット",VLOOKUP(F1305&amp;K1305&amp;Q1305,製品マスタ!$N$5:$AE$4999,18,FALSE),"")))</f>
        <v>1125</v>
      </c>
      <c r="X1305" s="256">
        <f>IF(D1305="","",VLOOKUP(D1305,契約台帳!$A$3:$Q$4986,17,FALSE))</f>
        <v>2</v>
      </c>
      <c r="Y1305" s="256" t="str">
        <f>IF(D1305="","",VLOOKUP(D1305,契約台帳!$A$3:$E$4986,5,FALSE))</f>
        <v>リンテック㈱</v>
      </c>
      <c r="Z1305" s="310">
        <v>45369</v>
      </c>
      <c r="AA1305" s="200"/>
      <c r="AB1305" s="312"/>
      <c r="AC1305" s="313"/>
      <c r="AD1305" s="51" t="str">
        <f t="shared" ref="AD1305" si="21">IF(F1305="","",+F1305&amp;K1305)</f>
        <v>3SYMLBMSNMBF50</v>
      </c>
      <c r="AE1305" s="52">
        <f t="shared" ref="AE1305" si="22">+M1305*N1305*O1305/1000</f>
        <v>17920</v>
      </c>
      <c r="AF1305" s="41">
        <f>IF(AD1305="","",VLOOKUP(AD1305,原価マスタ!$A$2:$AJ$1693,13,FALSE))</f>
        <v>98.8</v>
      </c>
      <c r="AG1305" s="45">
        <f t="shared" ref="AG1305" si="23">IF(AF1305="","",+AE1305*AF1305/100)</f>
        <v>17704.96</v>
      </c>
      <c r="AH1305" s="28"/>
      <c r="AI1305" s="28"/>
      <c r="AJ1305" s="28"/>
      <c r="AK1305" s="28"/>
      <c r="AL1305" s="12"/>
      <c r="AM1305" s="12"/>
      <c r="AN1305" s="12"/>
      <c r="AO1305" s="12"/>
      <c r="AP1305" s="12"/>
      <c r="AQ1305" s="13"/>
      <c r="AR1305" s="14"/>
    </row>
    <row r="1306" spans="1:44" s="16" customFormat="1" ht="30.95" hidden="1" customHeight="1" x14ac:dyDescent="0.2">
      <c r="A1306" s="35"/>
      <c r="B1306" s="36"/>
      <c r="C1306" s="305"/>
      <c r="D1306" s="29"/>
      <c r="E1306" s="29"/>
      <c r="F1306" s="255"/>
      <c r="G1306" s="256"/>
      <c r="H1306" s="256"/>
      <c r="I1306" s="279" t="s">
        <v>2328</v>
      </c>
      <c r="J1306" s="30"/>
      <c r="K1306" s="200"/>
      <c r="L1306" s="200"/>
      <c r="M1306" s="37"/>
      <c r="N1306" s="37"/>
      <c r="O1306" s="45"/>
      <c r="P1306" s="54"/>
      <c r="Q1306" s="260"/>
      <c r="R1306" s="261"/>
      <c r="S1306" s="261"/>
      <c r="T1306" s="38"/>
      <c r="U1306" s="261"/>
      <c r="V1306" s="256"/>
      <c r="W1306" s="256"/>
      <c r="X1306" s="256"/>
      <c r="Y1306" s="256"/>
      <c r="Z1306" s="310"/>
      <c r="AA1306" s="200"/>
      <c r="AB1306" s="312"/>
      <c r="AC1306" s="313"/>
      <c r="AD1306" s="51"/>
      <c r="AE1306" s="52"/>
      <c r="AF1306" s="41"/>
      <c r="AG1306" s="45"/>
      <c r="AH1306" s="28"/>
      <c r="AI1306" s="28"/>
      <c r="AJ1306" s="28"/>
      <c r="AK1306" s="28"/>
      <c r="AL1306" s="12"/>
      <c r="AM1306" s="12"/>
      <c r="AN1306" s="12"/>
      <c r="AO1306" s="12"/>
      <c r="AP1306" s="12"/>
      <c r="AQ1306" s="13"/>
      <c r="AR1306" s="14"/>
    </row>
    <row r="1307" spans="1:44" s="16" customFormat="1" ht="30.95" hidden="1" customHeight="1" x14ac:dyDescent="0.2">
      <c r="A1307" s="303" t="s">
        <v>2326</v>
      </c>
      <c r="B1307" s="304" t="s">
        <v>2327</v>
      </c>
      <c r="C1307" s="305"/>
      <c r="D1307" s="29">
        <v>3745649</v>
      </c>
      <c r="E1307" s="29">
        <v>4151616</v>
      </c>
      <c r="F1307" s="255" t="str">
        <f>IF(D1307="","",VLOOKUP(D1307,契約台帳!$A$3:$K$4986,6,FALSE)&amp;VLOOKUP(D1307,契約台帳!$A$3:$K$4986,7,FALSE)&amp;VLOOKUP(D1307,契約台帳!$A$3:$K$4986,8,FALSE)&amp;VLOOKUP(D1307,契約台帳!$A$3:$K$4986,9,FALSE)&amp;VLOOKUP(D1307,契約台帳!$A$3:$K$4986,11,FALSE))</f>
        <v>3SYMLBMSNMBF</v>
      </c>
      <c r="G1307" s="256" t="str">
        <f>IF(D1307="","",VLOOKUP(F1307,製品マスタ!$G$5:$H$4999,2,FALSE))</f>
        <v>S</v>
      </c>
      <c r="H1307" s="256" t="str">
        <f>IF(D1307="","",VLOOKUP(F1307,製品マスタ!$G$5:$K$4999,5,FALSE))</f>
        <v>MSNMBF</v>
      </c>
      <c r="I1307" s="200" t="str">
        <f>IF(D1307="","",VLOOKUP(F1307,製品マスタ!$G$5:$L$4999,6,FALSE))</f>
        <v>ＭＥＴＡＬＵＭＹ　ＳＩＬＶＥＲ　Ｎ－ＭＡＴＴＥ　Ｘ４４Ｍ　Ｂ</v>
      </c>
      <c r="J1307" s="30" t="s">
        <v>447</v>
      </c>
      <c r="K1307" s="200">
        <f>IF(D1307="","",VLOOKUP(D1307,契約台帳!$A$3:$L$4986,12,FALSE))</f>
        <v>50</v>
      </c>
      <c r="L1307" s="200" t="str">
        <f>IF(D1307="","",INDEX(製品マスタ!$Q$5:$Q$4999,MATCH(F1307&amp;K1307,製品マスタ!$AO$5:$AO$4999,0)))</f>
        <v>X44</v>
      </c>
      <c r="M1307" s="37">
        <v>1120</v>
      </c>
      <c r="N1307" s="37">
        <v>8000</v>
      </c>
      <c r="O1307" s="45">
        <v>5</v>
      </c>
      <c r="P1307" s="54"/>
      <c r="Q1307" s="260">
        <f>IF(D1307="","",IF(J1307="リード付け",M1307,VLOOKUP(D1307,契約台帳!$A$3:$N$4986,14,FALSE)))</f>
        <v>1120</v>
      </c>
      <c r="R1307" s="261">
        <f>IF(D1307="","",IF(J1307="リード付け",M1307,VLOOKUP(D1307,契約台帳!$A$3:$O$4986,15,FALSE)))</f>
        <v>1120</v>
      </c>
      <c r="S1307" s="261">
        <f>IF(D1307="","",IF(J1307="リード付け",N1307,VLOOKUP(D1307,契約台帳!$A$3:$P$4986,16,FALSE)))</f>
        <v>4000</v>
      </c>
      <c r="T1307" s="38">
        <v>10</v>
      </c>
      <c r="U1307" s="261">
        <f ca="1">IF(D1307="","",IF(OFFSET(D1307,-2,0)=D1307,"",VLOOKUP(D1307,契約台帳!$A$3:$R$4986,18,FALSE)))</f>
        <v>10</v>
      </c>
      <c r="V1307" s="256" t="str">
        <f>IF(J1307="巻返し",VLOOKUP(F1307&amp;K1307&amp;M1307,製品マスタ!$M$5:$AD$4999,18,FALSE),IF(J1307="リード付け","原反コア",IF(J1307="スリット",VLOOKUP(F1307&amp;K1307&amp;Q1307,製品マスタ!$N$5:$AD$4999,17,FALSE),"")))</f>
        <v>6ｲﾝﾁMｺｱ</v>
      </c>
      <c r="W1307" s="256">
        <f>IF(J1307="巻返し",VLOOKUP(F1307&amp;K1307&amp;M1307,製品マスタ!$M$5:$AE$4999,19,FALSE),IF(J1307="リード付け","-",IF(J1307="スリット",VLOOKUP(F1307&amp;K1307&amp;Q1307,製品マスタ!$N$5:$AE$4999,18,FALSE),"")))</f>
        <v>1125</v>
      </c>
      <c r="X1307" s="256">
        <f>IF(D1307="","",VLOOKUP(D1307,契約台帳!$A$3:$Q$4986,17,FALSE))</f>
        <v>2</v>
      </c>
      <c r="Y1307" s="256" t="str">
        <f>IF(D1307="","",VLOOKUP(D1307,契約台帳!$A$3:$E$4986,5,FALSE))</f>
        <v>リンテック㈱</v>
      </c>
      <c r="Z1307" s="310">
        <v>45369</v>
      </c>
      <c r="AA1307" s="200"/>
      <c r="AB1307" s="312"/>
      <c r="AC1307" s="313"/>
      <c r="AD1307" s="51" t="str">
        <f t="shared" ref="AD1307" si="24">IF(F1307="","",+F1307&amp;K1307)</f>
        <v>3SYMLBMSNMBF50</v>
      </c>
      <c r="AE1307" s="52">
        <f t="shared" ref="AE1307" si="25">+M1307*N1307*O1307/1000</f>
        <v>44800</v>
      </c>
      <c r="AF1307" s="41">
        <f>IF(AD1307="","",VLOOKUP(AD1307,原価マスタ!$A$2:$AJ$1693,13,FALSE))</f>
        <v>98.8</v>
      </c>
      <c r="AG1307" s="45">
        <f t="shared" ref="AG1307" si="26">IF(AF1307="","",+AE1307*AF1307/100)</f>
        <v>44262.400000000001</v>
      </c>
      <c r="AH1307" s="28"/>
      <c r="AI1307" s="28"/>
      <c r="AJ1307" s="28"/>
      <c r="AK1307" s="28"/>
      <c r="AL1307" s="12"/>
      <c r="AM1307" s="12"/>
      <c r="AN1307" s="12"/>
      <c r="AO1307" s="12"/>
      <c r="AP1307" s="12"/>
      <c r="AQ1307" s="13"/>
      <c r="AR1307" s="14"/>
    </row>
    <row r="1308" spans="1:44" s="16" customFormat="1" ht="30.95" hidden="1" customHeight="1" x14ac:dyDescent="0.2">
      <c r="A1308" s="35"/>
      <c r="B1308" s="36"/>
      <c r="C1308" s="305"/>
      <c r="D1308" s="29"/>
      <c r="E1308" s="29"/>
      <c r="F1308" s="255"/>
      <c r="G1308" s="256"/>
      <c r="H1308" s="256"/>
      <c r="I1308" s="279" t="s">
        <v>2328</v>
      </c>
      <c r="J1308" s="30"/>
      <c r="K1308" s="200"/>
      <c r="L1308" s="200"/>
      <c r="M1308" s="37"/>
      <c r="N1308" s="37"/>
      <c r="O1308" s="45"/>
      <c r="P1308" s="54"/>
      <c r="Q1308" s="260"/>
      <c r="R1308" s="261"/>
      <c r="S1308" s="261"/>
      <c r="T1308" s="38"/>
      <c r="U1308" s="261"/>
      <c r="V1308" s="256"/>
      <c r="W1308" s="256"/>
      <c r="X1308" s="256"/>
      <c r="Y1308" s="256"/>
      <c r="Z1308" s="310"/>
      <c r="AA1308" s="200"/>
      <c r="AB1308" s="312"/>
      <c r="AC1308" s="313"/>
      <c r="AD1308" s="51"/>
      <c r="AE1308" s="52"/>
      <c r="AF1308" s="41"/>
      <c r="AG1308" s="45"/>
      <c r="AH1308" s="28"/>
      <c r="AI1308" s="28"/>
      <c r="AJ1308" s="28"/>
      <c r="AK1308" s="28"/>
      <c r="AL1308" s="12"/>
      <c r="AM1308" s="12"/>
      <c r="AN1308" s="12"/>
      <c r="AO1308" s="12"/>
      <c r="AP1308" s="12"/>
      <c r="AQ1308" s="13"/>
      <c r="AR1308" s="14"/>
    </row>
    <row r="1309" spans="1:44" s="16" customFormat="1" ht="30.95" hidden="1" customHeight="1" x14ac:dyDescent="0.2">
      <c r="A1309" s="303"/>
      <c r="B1309" s="304"/>
      <c r="C1309" s="305"/>
      <c r="D1309" s="29">
        <v>3745646</v>
      </c>
      <c r="E1309" s="29">
        <v>4151617</v>
      </c>
      <c r="F1309" s="255" t="str">
        <f>IF(D1309="","",VLOOKUP(D1309,契約台帳!$A$3:$K$4986,6,FALSE)&amp;VLOOKUP(D1309,契約台帳!$A$3:$K$4986,7,FALSE)&amp;VLOOKUP(D1309,契約台帳!$A$3:$K$4986,8,FALSE)&amp;VLOOKUP(D1309,契約台帳!$A$3:$K$4986,9,FALSE)&amp;VLOOKUP(D1309,契約台帳!$A$3:$K$4986,11,FALSE))</f>
        <v>3SYMLBMSSMBF</v>
      </c>
      <c r="G1309" s="256" t="str">
        <f>IF(D1309="","",VLOOKUP(F1309,製品マスタ!$G$5:$H$4999,2,FALSE))</f>
        <v>S</v>
      </c>
      <c r="H1309" s="256" t="str">
        <f>IF(D1309="","",VLOOKUP(F1309,製品マスタ!$G$5:$K$4999,5,FALSE))</f>
        <v>MSSMBF</v>
      </c>
      <c r="I1309" s="200" t="str">
        <f>IF(D1309="","",VLOOKUP(F1309,製品マスタ!$G$5:$L$4999,6,FALSE))</f>
        <v>ＭＥＴＡＬＵＭＹ　ＳＩＬＶＥＲ　Ｓ－ＭＡＴＴＥ　Ｓ２８ＭＭ　Ｂ</v>
      </c>
      <c r="J1309" s="30" t="s">
        <v>447</v>
      </c>
      <c r="K1309" s="200">
        <f>IF(D1309="","",VLOOKUP(D1309,契約台帳!$A$3:$L$4986,12,FALSE))</f>
        <v>25</v>
      </c>
      <c r="L1309" s="200" t="str">
        <f>IF(D1309="","",INDEX(製品マスタ!$Q$5:$Q$4999,MATCH(F1309&amp;K1309,製品マスタ!$AO$5:$AO$4999,0)))</f>
        <v>LI-MAT</v>
      </c>
      <c r="M1309" s="37">
        <v>1120</v>
      </c>
      <c r="N1309" s="37">
        <v>8000</v>
      </c>
      <c r="O1309" s="45">
        <v>2</v>
      </c>
      <c r="P1309" s="54"/>
      <c r="Q1309" s="260">
        <f>IF(D1309="","",IF(J1309="リード付け",M1309,VLOOKUP(D1309,契約台帳!$A$3:$N$4986,14,FALSE)))</f>
        <v>1120</v>
      </c>
      <c r="R1309" s="261">
        <f>IF(D1309="","",IF(J1309="リード付け",M1309,VLOOKUP(D1309,契約台帳!$A$3:$O$4986,15,FALSE)))</f>
        <v>1120</v>
      </c>
      <c r="S1309" s="261">
        <f>IF(D1309="","",IF(J1309="リード付け",N1309,VLOOKUP(D1309,契約台帳!$A$3:$P$4986,16,FALSE)))</f>
        <v>8000</v>
      </c>
      <c r="T1309" s="38">
        <v>2</v>
      </c>
      <c r="U1309" s="261">
        <f ca="1">IF(D1309="","",IF(OFFSET(D1309,-2,0)=D1309,"",VLOOKUP(D1309,契約台帳!$A$3:$R$4986,18,FALSE)))</f>
        <v>2</v>
      </c>
      <c r="V1309" s="256" t="str">
        <f>IF(J1309="巻返し",VLOOKUP(F1309&amp;K1309&amp;M1309,製品マスタ!$M$5:$AD$4999,18,FALSE),IF(J1309="リード付け","原反コア",IF(J1309="スリット",VLOOKUP(F1309&amp;K1309&amp;Q1309,製品マスタ!$N$5:$AD$4999,17,FALSE),"")))</f>
        <v>6ｲﾝﾁSｺｱ</v>
      </c>
      <c r="W1309" s="256">
        <f>IF(J1309="巻返し",VLOOKUP(F1309&amp;K1309&amp;M1309,製品マスタ!$M$5:$AE$4999,19,FALSE),IF(J1309="リード付け","-",IF(J1309="スリット",VLOOKUP(F1309&amp;K1309&amp;Q1309,製品マスタ!$N$5:$AE$4999,18,FALSE),"")))</f>
        <v>1125</v>
      </c>
      <c r="X1309" s="256">
        <f>IF(D1309="","",VLOOKUP(D1309,契約台帳!$A$3:$Q$4986,17,FALSE))</f>
        <v>2</v>
      </c>
      <c r="Y1309" s="256" t="str">
        <f>IF(D1309="","",VLOOKUP(D1309,契約台帳!$A$3:$E$4986,5,FALSE))</f>
        <v>リンテック㈱</v>
      </c>
      <c r="Z1309" s="310">
        <v>45370</v>
      </c>
      <c r="AA1309" s="200"/>
      <c r="AB1309" s="312"/>
      <c r="AC1309" s="313"/>
      <c r="AD1309" s="51" t="str">
        <f t="shared" ref="AD1309" si="27">IF(F1309="","",+F1309&amp;K1309)</f>
        <v>3SYMLBMSSMBF25</v>
      </c>
      <c r="AE1309" s="52">
        <f t="shared" ref="AE1309" si="28">+M1309*N1309*O1309/1000</f>
        <v>17920</v>
      </c>
      <c r="AF1309" s="41">
        <f>IF(AD1309="","",VLOOKUP(AD1309,原価マスタ!$A$2:$AJ$1693,13,FALSE))</f>
        <v>98</v>
      </c>
      <c r="AG1309" s="45">
        <f t="shared" ref="AG1309" si="29">IF(AF1309="","",+AE1309*AF1309/100)</f>
        <v>17561.599999999999</v>
      </c>
      <c r="AH1309" s="28"/>
      <c r="AI1309" s="28"/>
      <c r="AJ1309" s="28"/>
      <c r="AK1309" s="28"/>
      <c r="AL1309" s="12"/>
      <c r="AM1309" s="12"/>
      <c r="AN1309" s="12"/>
      <c r="AO1309" s="12"/>
      <c r="AP1309" s="12"/>
      <c r="AQ1309" s="13"/>
      <c r="AR1309" s="14"/>
    </row>
    <row r="1310" spans="1:44" s="16" customFormat="1" ht="30.95" hidden="1" customHeight="1" x14ac:dyDescent="0.2">
      <c r="A1310" s="35"/>
      <c r="B1310" s="36"/>
      <c r="C1310" s="305"/>
      <c r="D1310" s="29"/>
      <c r="E1310" s="29"/>
      <c r="F1310" s="255"/>
      <c r="G1310" s="256"/>
      <c r="H1310" s="256"/>
      <c r="I1310" s="279" t="s">
        <v>2328</v>
      </c>
      <c r="J1310" s="30"/>
      <c r="K1310" s="200"/>
      <c r="L1310" s="200"/>
      <c r="M1310" s="37"/>
      <c r="N1310" s="37"/>
      <c r="O1310" s="45"/>
      <c r="P1310" s="54"/>
      <c r="Q1310" s="260"/>
      <c r="R1310" s="261"/>
      <c r="S1310" s="261"/>
      <c r="T1310" s="38"/>
      <c r="U1310" s="261"/>
      <c r="V1310" s="256"/>
      <c r="W1310" s="256"/>
      <c r="X1310" s="256"/>
      <c r="Y1310" s="256"/>
      <c r="Z1310" s="310"/>
      <c r="AA1310" s="200"/>
      <c r="AB1310" s="312"/>
      <c r="AC1310" s="313"/>
      <c r="AD1310" s="51"/>
      <c r="AE1310" s="52"/>
      <c r="AF1310" s="41"/>
      <c r="AG1310" s="45"/>
      <c r="AH1310" s="28"/>
      <c r="AI1310" s="28"/>
      <c r="AJ1310" s="28"/>
      <c r="AK1310" s="28"/>
      <c r="AL1310" s="12"/>
      <c r="AM1310" s="12"/>
      <c r="AN1310" s="12"/>
      <c r="AO1310" s="12"/>
      <c r="AP1310" s="12"/>
      <c r="AQ1310" s="13"/>
      <c r="AR1310" s="14"/>
    </row>
    <row r="1311" spans="1:44" s="16" customFormat="1" ht="30.95" hidden="1" customHeight="1" x14ac:dyDescent="0.2">
      <c r="A1311" s="303"/>
      <c r="B1311" s="304"/>
      <c r="C1311" s="305"/>
      <c r="D1311" s="29">
        <v>3744889</v>
      </c>
      <c r="E1311" s="29">
        <v>4151609</v>
      </c>
      <c r="F1311" s="255" t="str">
        <f>IF(D1311="","",VLOOKUP(D1311,契約台帳!$A$3:$K$4986,6,FALSE)&amp;VLOOKUP(D1311,契約台帳!$A$3:$K$4986,7,FALSE)&amp;VLOOKUP(D1311,契約台帳!$A$3:$K$4986,8,FALSE)&amp;VLOOKUP(D1311,契約台帳!$A$3:$K$4986,9,FALSE)&amp;VLOOKUP(D1311,契約台帳!$A$3:$K$4986,11,FALSE))</f>
        <v>3SYMLBMSBBF</v>
      </c>
      <c r="G1311" s="256" t="str">
        <f>IF(D1311="","",VLOOKUP(F1311,製品マスタ!$G$5:$H$4999,2,FALSE))</f>
        <v>S</v>
      </c>
      <c r="H1311" s="256" t="str">
        <f>IF(D1311="","",VLOOKUP(F1311,製品マスタ!$G$5:$K$4999,5,FALSE))</f>
        <v>MSBBF</v>
      </c>
      <c r="I1311" s="200" t="str">
        <f>IF(D1311="","",VLOOKUP(F1311,製品マスタ!$G$5:$L$4999,6,FALSE))</f>
        <v>ＭＥＴＡＬＵＭＹ　ＳＩＬＶＥＲ　ＢＲＩＧＨＴ　Ｔ６２Ｍ　Ｂ</v>
      </c>
      <c r="J1311" s="30" t="s">
        <v>447</v>
      </c>
      <c r="K1311" s="200">
        <f>IF(D1311="","",VLOOKUP(D1311,契約台帳!$A$3:$L$4986,12,FALSE))</f>
        <v>50</v>
      </c>
      <c r="L1311" s="200" t="str">
        <f>IF(D1311="","",INDEX(製品マスタ!$Q$5:$Q$4999,MATCH(F1311&amp;K1311,製品マスタ!$AO$5:$AO$4999,0)))</f>
        <v>T62</v>
      </c>
      <c r="M1311" s="37">
        <v>1120</v>
      </c>
      <c r="N1311" s="37">
        <v>10000</v>
      </c>
      <c r="O1311" s="45">
        <v>1</v>
      </c>
      <c r="P1311" s="54"/>
      <c r="Q1311" s="260">
        <f>IF(D1311="","",IF(J1311="リード付け",M1311,VLOOKUP(D1311,契約台帳!$A$3:$N$4986,14,FALSE)))</f>
        <v>1120</v>
      </c>
      <c r="R1311" s="261">
        <f>IF(D1311="","",IF(J1311="リード付け",M1311,VLOOKUP(D1311,契約台帳!$A$3:$O$4986,15,FALSE)))</f>
        <v>1120</v>
      </c>
      <c r="S1311" s="261">
        <f>IF(D1311="","",IF(J1311="リード付け",N1311,VLOOKUP(D1311,契約台帳!$A$3:$P$4986,16,FALSE)))</f>
        <v>5000</v>
      </c>
      <c r="T1311" s="38">
        <v>2</v>
      </c>
      <c r="U1311" s="261">
        <f ca="1">IF(D1311="","",IF(OFFSET(D1311,-2,0)=D1311,"",VLOOKUP(D1311,契約台帳!$A$3:$R$4986,18,FALSE)))</f>
        <v>2</v>
      </c>
      <c r="V1311" s="256" t="str">
        <f>IF(J1311="巻返し",VLOOKUP(F1311&amp;K1311&amp;M1311,製品マスタ!$M$5:$AD$4999,18,FALSE),IF(J1311="リード付け","原反コア",IF(J1311="スリット",VLOOKUP(F1311&amp;K1311&amp;Q1311,製品マスタ!$N$5:$AD$4999,17,FALSE),"")))</f>
        <v>6ｲﾝﾁSｺｱ</v>
      </c>
      <c r="W1311" s="256">
        <f>IF(J1311="巻返し",VLOOKUP(F1311&amp;K1311&amp;M1311,製品マスタ!$M$5:$AE$4999,19,FALSE),IF(J1311="リード付け","-",IF(J1311="スリット",VLOOKUP(F1311&amp;K1311&amp;Q1311,製品マスタ!$N$5:$AE$4999,18,FALSE),"")))</f>
        <v>1125</v>
      </c>
      <c r="X1311" s="256">
        <f>IF(D1311="","",VLOOKUP(D1311,契約台帳!$A$3:$Q$4986,17,FALSE))</f>
        <v>2</v>
      </c>
      <c r="Y1311" s="256" t="str">
        <f>IF(D1311="","",VLOOKUP(D1311,契約台帳!$A$3:$E$4986,5,FALSE))</f>
        <v>リンテック㈱</v>
      </c>
      <c r="Z1311" s="310">
        <v>45370</v>
      </c>
      <c r="AA1311" s="200"/>
      <c r="AB1311" s="312"/>
      <c r="AC1311" s="313"/>
      <c r="AD1311" s="51" t="str">
        <f t="shared" ref="AD1311" si="30">IF(F1311="","",+F1311&amp;K1311)</f>
        <v>3SYMLBMSBBF50</v>
      </c>
      <c r="AE1311" s="52">
        <f t="shared" ref="AE1311" si="31">+M1311*N1311*O1311/1000</f>
        <v>11200</v>
      </c>
      <c r="AF1311" s="41">
        <f>IF(AD1311="","",VLOOKUP(AD1311,原価マスタ!$A$2:$AJ$1693,13,FALSE))</f>
        <v>99</v>
      </c>
      <c r="AG1311" s="45">
        <f t="shared" ref="AG1311" si="32">IF(AF1311="","",+AE1311*AF1311/100)</f>
        <v>11088</v>
      </c>
      <c r="AH1311" s="28"/>
      <c r="AI1311" s="28"/>
      <c r="AJ1311" s="28"/>
      <c r="AK1311" s="28"/>
      <c r="AL1311" s="12"/>
      <c r="AM1311" s="12"/>
      <c r="AN1311" s="12"/>
      <c r="AO1311" s="12"/>
      <c r="AP1311" s="12"/>
      <c r="AQ1311" s="13"/>
      <c r="AR1311" s="14"/>
    </row>
    <row r="1312" spans="1:44" s="16" customFormat="1" ht="30.95" hidden="1" customHeight="1" x14ac:dyDescent="0.2">
      <c r="A1312" s="303"/>
      <c r="B1312" s="304"/>
      <c r="C1312" s="305"/>
      <c r="D1312" s="29"/>
      <c r="E1312" s="29"/>
      <c r="F1312" s="255"/>
      <c r="G1312" s="256"/>
      <c r="H1312" s="256"/>
      <c r="I1312" s="200"/>
      <c r="J1312" s="30"/>
      <c r="K1312" s="200"/>
      <c r="L1312" s="200"/>
      <c r="M1312" s="37"/>
      <c r="N1312" s="37"/>
      <c r="O1312" s="45"/>
      <c r="P1312" s="54"/>
      <c r="Q1312" s="260"/>
      <c r="R1312" s="261"/>
      <c r="S1312" s="261"/>
      <c r="T1312" s="38"/>
      <c r="U1312" s="261"/>
      <c r="V1312" s="256"/>
      <c r="W1312" s="256"/>
      <c r="X1312" s="256"/>
      <c r="Y1312" s="256"/>
      <c r="Z1312" s="310"/>
      <c r="AA1312" s="200"/>
      <c r="AB1312" s="312"/>
      <c r="AC1312" s="313"/>
      <c r="AD1312" s="51"/>
      <c r="AE1312" s="52"/>
      <c r="AF1312" s="41"/>
      <c r="AG1312" s="45"/>
      <c r="AH1312" s="28"/>
      <c r="AI1312" s="28"/>
      <c r="AJ1312" s="28"/>
      <c r="AK1312" s="28"/>
      <c r="AL1312" s="12"/>
      <c r="AM1312" s="12"/>
      <c r="AN1312" s="12"/>
      <c r="AO1312" s="12"/>
      <c r="AP1312" s="12"/>
      <c r="AQ1312" s="13"/>
      <c r="AR1312" s="14"/>
    </row>
    <row r="1313" spans="1:44" s="16" customFormat="1" ht="30.95" hidden="1" customHeight="1" x14ac:dyDescent="0.2">
      <c r="A1313" s="303" t="s">
        <v>2294</v>
      </c>
      <c r="B1313" s="304" t="s">
        <v>2295</v>
      </c>
      <c r="C1313" s="305"/>
      <c r="D1313" s="29">
        <v>3744884</v>
      </c>
      <c r="E1313" s="29">
        <v>4151618</v>
      </c>
      <c r="F1313" s="255" t="str">
        <f>IF(D1313="","",VLOOKUP(D1313,契約台帳!$A$3:$K$4986,6,FALSE)&amp;VLOOKUP(D1313,契約台帳!$A$3:$K$4986,7,FALSE)&amp;VLOOKUP(D1313,契約台帳!$A$3:$K$4986,8,FALSE)&amp;VLOOKUP(D1313,契約台帳!$A$3:$K$4986,9,FALSE)&amp;VLOOKUP(D1313,契約台帳!$A$3:$K$4986,11,FALSE))</f>
        <v>3SNMLBMNGTBF</v>
      </c>
      <c r="G1313" s="256" t="str">
        <f>IF(D1313="","",VLOOKUP(F1313,製品マスタ!$G$5:$H$4999,2,FALSE))</f>
        <v>S</v>
      </c>
      <c r="H1313" s="256" t="str">
        <f>IF(D1313="","",VLOOKUP(F1313,製品マスタ!$G$5:$K$4999,5,FALSE))</f>
        <v>MNGTBF</v>
      </c>
      <c r="I1313" s="200" t="str">
        <f>IF(D1313="","",VLOOKUP(F1313,製品マスタ!$G$5:$L$4999,6,FALSE))</f>
        <v>メタルミー　ネーマー　銀艶　Ｂ</v>
      </c>
      <c r="J1313" s="30" t="s">
        <v>447</v>
      </c>
      <c r="K1313" s="200">
        <f>IF(D1313="","",VLOOKUP(D1313,契約台帳!$A$3:$L$4986,12,FALSE))</f>
        <v>50</v>
      </c>
      <c r="L1313" s="200" t="str">
        <f>IF(D1313="","",INDEX(製品マスタ!$Q$5:$Q$4999,MATCH(F1313&amp;K1313,製品マスタ!$AO$5:$AO$4999,0)))</f>
        <v>T62</v>
      </c>
      <c r="M1313" s="37">
        <v>1120</v>
      </c>
      <c r="N1313" s="37">
        <v>10000</v>
      </c>
      <c r="O1313" s="45">
        <v>7</v>
      </c>
      <c r="P1313" s="54"/>
      <c r="Q1313" s="260">
        <f>IF(D1313="","",IF(J1313="リード付け",M1313,VLOOKUP(D1313,契約台帳!$A$3:$N$4986,14,FALSE)))</f>
        <v>1120</v>
      </c>
      <c r="R1313" s="261">
        <f>IF(D1313="","",IF(J1313="リード付け",M1313,VLOOKUP(D1313,契約台帳!$A$3:$O$4986,15,FALSE)))</f>
        <v>1120</v>
      </c>
      <c r="S1313" s="261">
        <f>IF(D1313="","",IF(J1313="リード付け",N1313,VLOOKUP(D1313,契約台帳!$A$3:$P$4986,16,FALSE)))</f>
        <v>5000</v>
      </c>
      <c r="T1313" s="38">
        <v>14</v>
      </c>
      <c r="U1313" s="261">
        <v>14</v>
      </c>
      <c r="V1313" s="256" t="str">
        <f>IF(J1313="巻返し",VLOOKUP(F1313&amp;K1313&amp;M1313,製品マスタ!$M$5:$AD$4999,18,FALSE),IF(J1313="リード付け","原反コア",IF(J1313="スリット",VLOOKUP(F1313&amp;K1313&amp;Q1313,製品マスタ!$N$5:$AD$4999,17,FALSE),"")))</f>
        <v>6ｲﾝﾁSｺｱ</v>
      </c>
      <c r="W1313" s="256">
        <f>IF(J1313="巻返し",VLOOKUP(F1313&amp;K1313&amp;M1313,製品マスタ!$M$5:$AE$4999,19,FALSE),IF(J1313="リード付け","-",IF(J1313="スリット",VLOOKUP(F1313&amp;K1313&amp;Q1313,製品マスタ!$N$5:$AE$4999,18,FALSE),"")))</f>
        <v>1125</v>
      </c>
      <c r="X1313" s="256">
        <f>IF(D1313="","",VLOOKUP(D1313,契約台帳!$A$3:$Q$4986,17,FALSE))</f>
        <v>2</v>
      </c>
      <c r="Y1313" s="256" t="str">
        <f>IF(D1313="","",VLOOKUP(D1313,契約台帳!$A$3:$E$4986,5,FALSE))</f>
        <v>リンテック㈱</v>
      </c>
      <c r="Z1313" s="310">
        <v>45372</v>
      </c>
      <c r="AA1313" s="200"/>
      <c r="AB1313" s="312"/>
      <c r="AC1313" s="313"/>
      <c r="AD1313" s="51" t="str">
        <f t="shared" ref="AD1313" si="33">IF(F1313="","",+F1313&amp;K1313)</f>
        <v>3SNMLBMNGTBF50</v>
      </c>
      <c r="AE1313" s="52">
        <f t="shared" ref="AE1313" si="34">+M1313*N1313*O1313/1000</f>
        <v>78400</v>
      </c>
      <c r="AF1313" s="41">
        <f>IF(AD1313="","",VLOOKUP(AD1313,原価マスタ!$A$2:$AJ$1693,13,FALSE))</f>
        <v>99</v>
      </c>
      <c r="AG1313" s="45">
        <f t="shared" ref="AG1313" si="35">IF(AF1313="","",+AE1313*AF1313/100)</f>
        <v>77616</v>
      </c>
      <c r="AH1313" s="28"/>
      <c r="AI1313" s="28"/>
      <c r="AJ1313" s="28"/>
      <c r="AK1313" s="28"/>
      <c r="AL1313" s="12"/>
      <c r="AM1313" s="12"/>
      <c r="AN1313" s="12"/>
      <c r="AO1313" s="12"/>
      <c r="AP1313" s="12"/>
      <c r="AQ1313" s="13"/>
      <c r="AR1313" s="14"/>
    </row>
    <row r="1314" spans="1:44" s="16" customFormat="1" ht="30.95" hidden="1" customHeight="1" x14ac:dyDescent="0.2">
      <c r="A1314" s="35"/>
      <c r="B1314" s="36"/>
      <c r="C1314" s="305"/>
      <c r="D1314" s="29"/>
      <c r="E1314" s="29"/>
      <c r="F1314" s="255"/>
      <c r="G1314" s="256"/>
      <c r="H1314" s="256"/>
      <c r="I1314" s="200"/>
      <c r="J1314" s="30"/>
      <c r="K1314" s="200"/>
      <c r="L1314" s="200"/>
      <c r="M1314" s="37"/>
      <c r="N1314" s="37"/>
      <c r="O1314" s="45"/>
      <c r="P1314" s="54"/>
      <c r="Q1314" s="260"/>
      <c r="R1314" s="261"/>
      <c r="S1314" s="261"/>
      <c r="T1314" s="38"/>
      <c r="U1314" s="261"/>
      <c r="V1314" s="256"/>
      <c r="W1314" s="256"/>
      <c r="X1314" s="256"/>
      <c r="Y1314" s="256"/>
      <c r="Z1314" s="310"/>
      <c r="AA1314" s="200"/>
      <c r="AB1314" s="312"/>
      <c r="AC1314" s="313"/>
      <c r="AD1314" s="51"/>
      <c r="AE1314" s="52"/>
      <c r="AF1314" s="41"/>
      <c r="AG1314" s="45"/>
      <c r="AH1314" s="28"/>
      <c r="AI1314" s="28"/>
      <c r="AJ1314" s="28"/>
      <c r="AK1314" s="28"/>
      <c r="AL1314" s="12"/>
      <c r="AM1314" s="12"/>
      <c r="AN1314" s="12"/>
      <c r="AO1314" s="12"/>
      <c r="AP1314" s="12"/>
      <c r="AQ1314" s="13"/>
      <c r="AR1314" s="14"/>
    </row>
    <row r="1315" spans="1:44" s="16" customFormat="1" ht="30.95" hidden="1" customHeight="1" x14ac:dyDescent="0.2">
      <c r="A1315" s="35" t="s">
        <v>2255</v>
      </c>
      <c r="B1315" s="36" t="s">
        <v>1397</v>
      </c>
      <c r="C1315" s="305"/>
      <c r="D1315" s="29"/>
      <c r="E1315" s="29"/>
      <c r="F1315" s="255"/>
      <c r="G1315" s="256"/>
      <c r="H1315" s="256"/>
      <c r="I1315" s="200"/>
      <c r="J1315" s="307" t="s">
        <v>448</v>
      </c>
      <c r="K1315" s="200"/>
      <c r="L1315" s="200"/>
      <c r="M1315" s="37"/>
      <c r="N1315" s="37"/>
      <c r="O1315" s="45"/>
      <c r="P1315" s="54"/>
      <c r="Q1315" s="260"/>
      <c r="R1315" s="261"/>
      <c r="S1315" s="261"/>
      <c r="T1315" s="38"/>
      <c r="U1315" s="261"/>
      <c r="V1315" s="256"/>
      <c r="W1315" s="256"/>
      <c r="X1315" s="256"/>
      <c r="Y1315" s="256"/>
      <c r="Z1315" s="310"/>
      <c r="AA1315" s="200"/>
      <c r="AB1315" s="312"/>
      <c r="AC1315" s="313"/>
      <c r="AD1315" s="51" t="str">
        <f t="shared" ref="AD1315" si="36">IF(F1315="","",+F1315&amp;K1315)</f>
        <v/>
      </c>
      <c r="AE1315" s="52">
        <f t="shared" ref="AE1315" si="37">+M1315*N1315*O1315/1000</f>
        <v>0</v>
      </c>
      <c r="AF1315" s="41" t="str">
        <f>IF(AD1315="","",VLOOKUP(AD1315,原価マスタ!$A$2:$AJ$1693,13,FALSE))</f>
        <v/>
      </c>
      <c r="AG1315" s="45" t="str">
        <f t="shared" ref="AG1315" si="38">IF(AF1315="","",+AE1315*AF1315/100)</f>
        <v/>
      </c>
      <c r="AH1315" s="28"/>
      <c r="AI1315" s="28"/>
      <c r="AJ1315" s="28"/>
      <c r="AK1315" s="28"/>
      <c r="AL1315" s="12"/>
      <c r="AM1315" s="12"/>
      <c r="AN1315" s="12"/>
      <c r="AO1315" s="12"/>
      <c r="AP1315" s="12"/>
      <c r="AQ1315" s="13"/>
      <c r="AR1315" s="14"/>
    </row>
    <row r="1316" spans="1:44" s="16" customFormat="1" ht="30.95" hidden="1" customHeight="1" x14ac:dyDescent="0.2">
      <c r="A1316" s="303"/>
      <c r="B1316" s="304"/>
      <c r="C1316" s="305"/>
      <c r="D1316" s="29"/>
      <c r="E1316" s="29"/>
      <c r="F1316" s="255"/>
      <c r="G1316" s="256"/>
      <c r="H1316" s="256"/>
      <c r="I1316" s="200"/>
      <c r="J1316" s="307"/>
      <c r="K1316" s="200"/>
      <c r="L1316" s="200"/>
      <c r="M1316" s="37"/>
      <c r="N1316" s="37"/>
      <c r="O1316" s="45"/>
      <c r="P1316" s="54"/>
      <c r="Q1316" s="260"/>
      <c r="R1316" s="261"/>
      <c r="S1316" s="261"/>
      <c r="T1316" s="38"/>
      <c r="U1316" s="261"/>
      <c r="V1316" s="256"/>
      <c r="W1316" s="256"/>
      <c r="X1316" s="256"/>
      <c r="Y1316" s="256"/>
      <c r="Z1316" s="310"/>
      <c r="AA1316" s="200"/>
      <c r="AB1316" s="312"/>
      <c r="AC1316" s="313"/>
      <c r="AD1316" s="51"/>
      <c r="AE1316" s="52"/>
      <c r="AF1316" s="41"/>
      <c r="AG1316" s="45"/>
      <c r="AH1316" s="28"/>
      <c r="AI1316" s="28"/>
      <c r="AJ1316" s="28"/>
      <c r="AK1316" s="28"/>
      <c r="AL1316" s="12"/>
      <c r="AM1316" s="12"/>
      <c r="AN1316" s="12"/>
      <c r="AO1316" s="12"/>
      <c r="AP1316" s="12"/>
      <c r="AQ1316" s="13"/>
      <c r="AR1316" s="14"/>
    </row>
    <row r="1317" spans="1:44" s="16" customFormat="1" ht="30.95" hidden="1" customHeight="1" x14ac:dyDescent="0.2">
      <c r="A1317" s="35" t="s">
        <v>2256</v>
      </c>
      <c r="B1317" s="36" t="s">
        <v>392</v>
      </c>
      <c r="C1317" s="305"/>
      <c r="D1317" s="29"/>
      <c r="E1317" s="29"/>
      <c r="F1317" s="255"/>
      <c r="G1317" s="256"/>
      <c r="H1317" s="256"/>
      <c r="I1317" s="200"/>
      <c r="J1317" s="307" t="s">
        <v>448</v>
      </c>
      <c r="K1317" s="200"/>
      <c r="L1317" s="200"/>
      <c r="M1317" s="37"/>
      <c r="N1317" s="37"/>
      <c r="O1317" s="45"/>
      <c r="P1317" s="54"/>
      <c r="Q1317" s="260"/>
      <c r="R1317" s="261"/>
      <c r="S1317" s="261"/>
      <c r="T1317" s="38"/>
      <c r="U1317" s="261"/>
      <c r="V1317" s="256"/>
      <c r="W1317" s="256"/>
      <c r="X1317" s="256"/>
      <c r="Y1317" s="256"/>
      <c r="Z1317" s="310"/>
      <c r="AA1317" s="200"/>
      <c r="AB1317" s="312"/>
      <c r="AC1317" s="313"/>
      <c r="AD1317" s="51"/>
      <c r="AE1317" s="52"/>
      <c r="AF1317" s="41"/>
      <c r="AG1317" s="45"/>
      <c r="AH1317" s="28"/>
      <c r="AI1317" s="28"/>
      <c r="AJ1317" s="28"/>
      <c r="AK1317" s="28"/>
      <c r="AL1317" s="12"/>
      <c r="AM1317" s="12"/>
      <c r="AN1317" s="12"/>
      <c r="AO1317" s="12"/>
      <c r="AP1317" s="12"/>
      <c r="AQ1317" s="13"/>
      <c r="AR1317" s="14"/>
    </row>
    <row r="1318" spans="1:44" s="16" customFormat="1" ht="30.95" hidden="1" customHeight="1" x14ac:dyDescent="0.2">
      <c r="A1318" s="35"/>
      <c r="B1318" s="36"/>
      <c r="C1318" s="305"/>
      <c r="D1318" s="29"/>
      <c r="E1318" s="29"/>
      <c r="F1318" s="255"/>
      <c r="G1318" s="256"/>
      <c r="H1318" s="256"/>
      <c r="I1318" s="200"/>
      <c r="J1318" s="30"/>
      <c r="K1318" s="200"/>
      <c r="L1318" s="200"/>
      <c r="M1318" s="37"/>
      <c r="N1318" s="37"/>
      <c r="O1318" s="45"/>
      <c r="P1318" s="54"/>
      <c r="Q1318" s="260"/>
      <c r="R1318" s="261"/>
      <c r="S1318" s="261"/>
      <c r="T1318" s="38"/>
      <c r="U1318" s="261"/>
      <c r="V1318" s="256"/>
      <c r="W1318" s="256"/>
      <c r="X1318" s="256"/>
      <c r="Y1318" s="256"/>
      <c r="Z1318" s="310"/>
      <c r="AA1318" s="200"/>
      <c r="AB1318" s="312"/>
      <c r="AC1318" s="313"/>
      <c r="AD1318" s="51"/>
      <c r="AE1318" s="52"/>
      <c r="AF1318" s="41"/>
      <c r="AG1318" s="45"/>
      <c r="AH1318" s="28"/>
      <c r="AI1318" s="28"/>
      <c r="AJ1318" s="28"/>
      <c r="AK1318" s="28"/>
      <c r="AL1318" s="12"/>
      <c r="AM1318" s="12"/>
      <c r="AN1318" s="12"/>
      <c r="AO1318" s="12"/>
      <c r="AP1318" s="12"/>
      <c r="AQ1318" s="13"/>
      <c r="AR1318" s="14"/>
    </row>
    <row r="1319" spans="1:44" s="16" customFormat="1" ht="30.95" hidden="1" customHeight="1" x14ac:dyDescent="0.2">
      <c r="A1319" s="303" t="s">
        <v>2296</v>
      </c>
      <c r="B1319" s="304" t="s">
        <v>2290</v>
      </c>
      <c r="C1319" s="305"/>
      <c r="D1319" s="29">
        <v>3744883</v>
      </c>
      <c r="E1319" s="29">
        <v>4151607</v>
      </c>
      <c r="F1319" s="255" t="str">
        <f>IF(D1319="","",VLOOKUP(D1319,契約台帳!$A$3:$K$4986,6,FALSE)&amp;VLOOKUP(D1319,契約台帳!$A$3:$K$4986,7,FALSE)&amp;VLOOKUP(D1319,契約台帳!$A$3:$K$4986,8,FALSE)&amp;VLOOKUP(D1319,契約台帳!$A$3:$K$4986,9,FALSE)&amp;VLOOKUP(D1319,契約台帳!$A$3:$K$4986,11,FALSE))</f>
        <v>3SNMLBMNGKKBF</v>
      </c>
      <c r="G1319" s="256" t="str">
        <f>IF(D1319="","",VLOOKUP(F1319,製品マスタ!$G$5:$H$4999,2,FALSE))</f>
        <v>S</v>
      </c>
      <c r="H1319" s="256" t="str">
        <f>IF(D1319="","",VLOOKUP(F1319,製品マスタ!$G$5:$K$4999,5,FALSE))</f>
        <v>MNGKKBF</v>
      </c>
      <c r="I1319" s="200" t="str">
        <f>IF(D1319="","",VLOOKUP(F1319,製品マスタ!$G$5:$L$4999,6,FALSE))</f>
        <v>メタルミー　ネーマー銀消改　Ｂ</v>
      </c>
      <c r="J1319" s="30" t="s">
        <v>447</v>
      </c>
      <c r="K1319" s="200">
        <f>IF(D1319="","",VLOOKUP(D1319,契約台帳!$A$3:$L$4986,12,FALSE))</f>
        <v>50</v>
      </c>
      <c r="L1319" s="200" t="str">
        <f>IF(D1319="","",INDEX(製品マスタ!$Q$5:$Q$4999,MATCH(F1319&amp;K1319,製品マスタ!$AO$5:$AO$4999,0)))</f>
        <v>S99-MAT</v>
      </c>
      <c r="M1319" s="37">
        <v>1120</v>
      </c>
      <c r="N1319" s="37">
        <v>12000</v>
      </c>
      <c r="O1319" s="45">
        <v>4</v>
      </c>
      <c r="P1319" s="54"/>
      <c r="Q1319" s="260">
        <f>IF(D1319="","",IF(J1319="リード付け",M1319,VLOOKUP(D1319,契約台帳!$A$3:$N$4986,14,FALSE)))</f>
        <v>1120</v>
      </c>
      <c r="R1319" s="261">
        <f>IF(D1319="","",IF(J1319="リード付け",M1319,VLOOKUP(D1319,契約台帳!$A$3:$O$4986,15,FALSE)))</f>
        <v>1120</v>
      </c>
      <c r="S1319" s="261">
        <f>IF(D1319="","",IF(J1319="リード付け",N1319,VLOOKUP(D1319,契約台帳!$A$3:$P$4986,16,FALSE)))</f>
        <v>4000</v>
      </c>
      <c r="T1319" s="38">
        <v>12</v>
      </c>
      <c r="U1319" s="261">
        <f ca="1">IF(D1319="","",IF(OFFSET(D1319,-2,0)=D1319,"",VLOOKUP(D1319,契約台帳!$A$3:$R$4986,18,FALSE)))</f>
        <v>12</v>
      </c>
      <c r="V1319" s="256" t="str">
        <f>IF(J1319="巻返し",VLOOKUP(F1319&amp;K1319&amp;M1319,製品マスタ!$M$5:$AD$4999,18,FALSE),IF(J1319="リード付け","原反コア",IF(J1319="スリット",VLOOKUP(F1319&amp;K1319&amp;Q1319,製品マスタ!$N$5:$AD$4999,17,FALSE),"")))</f>
        <v>6ｲﾝﾁSｺｱ</v>
      </c>
      <c r="W1319" s="256">
        <f>IF(J1319="巻返し",VLOOKUP(F1319&amp;K1319&amp;M1319,製品マスタ!$M$5:$AE$4999,19,FALSE),IF(J1319="リード付け","-",IF(J1319="スリット",VLOOKUP(F1319&amp;K1319&amp;Q1319,製品マスタ!$N$5:$AE$4999,18,FALSE),"")))</f>
        <v>1125</v>
      </c>
      <c r="X1319" s="256">
        <f>IF(D1319="","",VLOOKUP(D1319,契約台帳!$A$3:$Q$4986,17,FALSE))</f>
        <v>2</v>
      </c>
      <c r="Y1319" s="256" t="str">
        <f>IF(D1319="","",VLOOKUP(D1319,契約台帳!$A$3:$E$4986,5,FALSE))</f>
        <v>リンテック㈱</v>
      </c>
      <c r="Z1319" s="310">
        <v>45372</v>
      </c>
      <c r="AA1319" s="200"/>
      <c r="AB1319" s="312"/>
      <c r="AC1319" s="313"/>
      <c r="AD1319" s="51" t="str">
        <f t="shared" ref="AD1319" si="39">IF(F1319="","",+F1319&amp;K1319)</f>
        <v>3SNMLBMNGKKBF50</v>
      </c>
      <c r="AE1319" s="52">
        <f t="shared" ref="AE1319" si="40">+M1319*N1319*O1319/1000</f>
        <v>53760</v>
      </c>
      <c r="AF1319" s="41">
        <f>IF(AD1319="","",VLOOKUP(AD1319,原価マスタ!$A$2:$AJ$1693,13,FALSE))</f>
        <v>99</v>
      </c>
      <c r="AG1319" s="45">
        <f t="shared" ref="AG1319" si="41">IF(AF1319="","",+AE1319*AF1319/100)</f>
        <v>53222.400000000001</v>
      </c>
      <c r="AH1319" s="28"/>
      <c r="AI1319" s="28"/>
      <c r="AJ1319" s="28"/>
      <c r="AK1319" s="28"/>
      <c r="AL1319" s="12"/>
      <c r="AM1319" s="12"/>
      <c r="AN1319" s="12"/>
      <c r="AO1319" s="12"/>
      <c r="AP1319" s="12"/>
      <c r="AQ1319" s="13"/>
      <c r="AR1319" s="14"/>
    </row>
    <row r="1320" spans="1:44" s="16" customFormat="1" ht="30.95" hidden="1" customHeight="1" x14ac:dyDescent="0.2">
      <c r="A1320" s="35"/>
      <c r="B1320" s="36"/>
      <c r="C1320" s="305"/>
      <c r="D1320" s="29"/>
      <c r="E1320" s="29"/>
      <c r="F1320" s="255"/>
      <c r="G1320" s="256"/>
      <c r="H1320" s="256"/>
      <c r="I1320" s="200"/>
      <c r="J1320" s="30"/>
      <c r="K1320" s="200"/>
      <c r="L1320" s="200"/>
      <c r="M1320" s="37"/>
      <c r="N1320" s="37"/>
      <c r="O1320" s="45"/>
      <c r="P1320" s="54"/>
      <c r="Q1320" s="260"/>
      <c r="R1320" s="261"/>
      <c r="S1320" s="261"/>
      <c r="T1320" s="38"/>
      <c r="U1320" s="261"/>
      <c r="V1320" s="256"/>
      <c r="W1320" s="256"/>
      <c r="X1320" s="256"/>
      <c r="Y1320" s="256"/>
      <c r="Z1320" s="310"/>
      <c r="AA1320" s="200"/>
      <c r="AB1320" s="312"/>
      <c r="AC1320" s="313"/>
      <c r="AD1320" s="51"/>
      <c r="AE1320" s="52"/>
      <c r="AF1320" s="41"/>
      <c r="AG1320" s="45"/>
      <c r="AH1320" s="28"/>
      <c r="AI1320" s="28"/>
      <c r="AJ1320" s="28"/>
      <c r="AK1320" s="28"/>
      <c r="AL1320" s="12"/>
      <c r="AM1320" s="12"/>
      <c r="AN1320" s="12"/>
      <c r="AO1320" s="12"/>
      <c r="AP1320" s="12"/>
      <c r="AQ1320" s="13"/>
      <c r="AR1320" s="14"/>
    </row>
    <row r="1321" spans="1:44" s="16" customFormat="1" ht="30.95" hidden="1" customHeight="1" x14ac:dyDescent="0.2">
      <c r="A1321" s="303"/>
      <c r="B1321" s="304"/>
      <c r="C1321" s="305"/>
      <c r="D1321" s="29">
        <v>3741622</v>
      </c>
      <c r="E1321" s="29">
        <v>4141088</v>
      </c>
      <c r="F1321" s="255" t="str">
        <f>IF(D1321="","",VLOOKUP(D1321,契約台帳!$A$3:$K$4986,6,FALSE)&amp;VLOOKUP(D1321,契約台帳!$A$3:$K$4986,7,FALSE)&amp;VLOOKUP(D1321,契約台帳!$A$3:$K$4986,8,FALSE)&amp;VLOOKUP(D1321,契約台帳!$A$3:$K$4986,9,FALSE)&amp;VLOOKUP(D1321,契約台帳!$A$3:$K$4986,11,FALSE))</f>
        <v>3SNMLBMNQR66F</v>
      </c>
      <c r="G1321" s="256" t="str">
        <f>IF(D1321="","",VLOOKUP(F1321,製品マスタ!$G$5:$H$4999,2,FALSE))</f>
        <v>S</v>
      </c>
      <c r="H1321" s="256" t="str">
        <f>IF(D1321="","",VLOOKUP(F1321,製品マスタ!$G$5:$K$4999,5,FALSE))</f>
        <v>MNQR66F</v>
      </c>
      <c r="I1321" s="200" t="str">
        <f>IF(D1321="","",VLOOKUP(F1321,製品マスタ!$G$5:$L$4999,6,FALSE))</f>
        <v>ＱＲ６６蒸着品</v>
      </c>
      <c r="J1321" s="30" t="s">
        <v>447</v>
      </c>
      <c r="K1321" s="200">
        <f>IF(D1321="","",VLOOKUP(D1321,契約台帳!$A$3:$L$4986,12,FALSE))</f>
        <v>25</v>
      </c>
      <c r="L1321" s="200" t="str">
        <f>IF(D1321="","",INDEX(製品マスタ!$Q$5:$Q$4999,MATCH(F1321&amp;K1321,製品マスタ!$AO$5:$AO$4999,0)))</f>
        <v>E315</v>
      </c>
      <c r="M1321" s="37">
        <v>1100</v>
      </c>
      <c r="N1321" s="37">
        <v>12000</v>
      </c>
      <c r="O1321" s="45">
        <v>1</v>
      </c>
      <c r="P1321" s="54"/>
      <c r="Q1321" s="260">
        <f>IF(D1321="","",IF(J1321="リード付け",M1321,VLOOKUP(D1321,契約台帳!$A$3:$N$4986,14,FALSE)))</f>
        <v>1100</v>
      </c>
      <c r="R1321" s="261">
        <f>IF(D1321="","",IF(J1321="リード付け",M1321,VLOOKUP(D1321,契約台帳!$A$3:$O$4986,15,FALSE)))</f>
        <v>1100</v>
      </c>
      <c r="S1321" s="261">
        <f>IF(D1321="","",IF(J1321="リード付け",N1321,VLOOKUP(D1321,契約台帳!$A$3:$P$4986,16,FALSE)))</f>
        <v>6000</v>
      </c>
      <c r="T1321" s="38">
        <v>2</v>
      </c>
      <c r="U1321" s="261">
        <f ca="1">IF(D1321="","",IF(OFFSET(D1321,-2,0)=D1321,"",VLOOKUP(D1321,契約台帳!$A$3:$R$4986,18,FALSE)))</f>
        <v>20</v>
      </c>
      <c r="V1321" s="256" t="str">
        <f>IF(J1321="巻返し",VLOOKUP(F1321&amp;K1321&amp;M1321,製品マスタ!$M$5:$AD$4999,18,FALSE),IF(J1321="リード付け","原反コア",IF(J1321="スリット",VLOOKUP(F1321&amp;K1321&amp;Q1321,製品マスタ!$N$5:$AD$4999,17,FALSE),"")))</f>
        <v>6ｲﾝﾁMｺｱ</v>
      </c>
      <c r="W1321" s="256">
        <f>IF(J1321="巻返し",VLOOKUP(F1321&amp;K1321&amp;M1321,製品マスタ!$M$5:$AE$4999,19,FALSE),IF(J1321="リード付け","-",IF(J1321="スリット",VLOOKUP(F1321&amp;K1321&amp;Q1321,製品マスタ!$N$5:$AE$4999,18,FALSE),"")))</f>
        <v>1110</v>
      </c>
      <c r="X1321" s="256">
        <f>IF(D1321="","",VLOOKUP(D1321,契約台帳!$A$3:$Q$4986,17,FALSE))</f>
        <v>2</v>
      </c>
      <c r="Y1321" s="256" t="str">
        <f>IF(D1321="","",VLOOKUP(D1321,契約台帳!$A$3:$E$4986,5,FALSE))</f>
        <v>リンテック㈱</v>
      </c>
      <c r="Z1321" s="310">
        <v>45372</v>
      </c>
      <c r="AA1321" s="200"/>
      <c r="AB1321" s="312"/>
      <c r="AC1321" s="313"/>
      <c r="AD1321" s="51" t="str">
        <f t="shared" ref="AD1321" si="42">IF(F1321="","",+F1321&amp;K1321)</f>
        <v>3SNMLBMNQR66F25</v>
      </c>
      <c r="AE1321" s="52">
        <f t="shared" ref="AE1321" si="43">+M1321*N1321*O1321/1000</f>
        <v>13200</v>
      </c>
      <c r="AF1321" s="41">
        <f>IF(AD1321="","",VLOOKUP(AD1321,原価マスタ!$A$2:$AJ$1693,13,FALSE))</f>
        <v>98</v>
      </c>
      <c r="AG1321" s="45">
        <f t="shared" ref="AG1321" si="44">IF(AF1321="","",+AE1321*AF1321/100)</f>
        <v>12936</v>
      </c>
      <c r="AH1321" s="28"/>
      <c r="AI1321" s="28"/>
      <c r="AJ1321" s="28"/>
      <c r="AK1321" s="28"/>
      <c r="AL1321" s="12"/>
      <c r="AM1321" s="12"/>
      <c r="AN1321" s="12"/>
      <c r="AO1321" s="12"/>
      <c r="AP1321" s="12"/>
      <c r="AQ1321" s="13"/>
      <c r="AR1321" s="14"/>
    </row>
    <row r="1322" spans="1:44" s="16" customFormat="1" ht="30.95" hidden="1" customHeight="1" x14ac:dyDescent="0.2">
      <c r="A1322" s="35"/>
      <c r="B1322" s="36"/>
      <c r="C1322" s="305"/>
      <c r="D1322" s="29"/>
      <c r="E1322" s="29"/>
      <c r="F1322" s="255"/>
      <c r="G1322" s="256"/>
      <c r="H1322" s="256"/>
      <c r="I1322" s="200"/>
      <c r="J1322" s="30"/>
      <c r="K1322" s="200"/>
      <c r="L1322" s="200"/>
      <c r="M1322" s="37"/>
      <c r="N1322" s="37"/>
      <c r="O1322" s="45"/>
      <c r="P1322" s="54"/>
      <c r="Q1322" s="260"/>
      <c r="R1322" s="261"/>
      <c r="S1322" s="261"/>
      <c r="T1322" s="38"/>
      <c r="U1322" s="261"/>
      <c r="V1322" s="256"/>
      <c r="W1322" s="256"/>
      <c r="X1322" s="256"/>
      <c r="Y1322" s="256"/>
      <c r="Z1322" s="310"/>
      <c r="AA1322" s="200"/>
      <c r="AB1322" s="312"/>
      <c r="AC1322" s="313"/>
      <c r="AD1322" s="51"/>
      <c r="AE1322" s="52"/>
      <c r="AF1322" s="41"/>
      <c r="AG1322" s="45"/>
      <c r="AH1322" s="28"/>
      <c r="AI1322" s="28"/>
      <c r="AJ1322" s="28"/>
      <c r="AK1322" s="28"/>
      <c r="AL1322" s="12"/>
      <c r="AM1322" s="12"/>
      <c r="AN1322" s="12"/>
      <c r="AO1322" s="12"/>
      <c r="AP1322" s="12"/>
      <c r="AQ1322" s="13"/>
      <c r="AR1322" s="14"/>
    </row>
    <row r="1323" spans="1:44" s="16" customFormat="1" ht="30.95" hidden="1" customHeight="1" x14ac:dyDescent="0.2">
      <c r="A1323" s="35" t="s">
        <v>2297</v>
      </c>
      <c r="B1323" s="36" t="s">
        <v>2292</v>
      </c>
      <c r="C1323" s="305"/>
      <c r="D1323" s="29">
        <v>3741622</v>
      </c>
      <c r="E1323" s="29">
        <v>4141088</v>
      </c>
      <c r="F1323" s="255" t="str">
        <f>IF(D1323="","",VLOOKUP(D1323,契約台帳!$A$3:$K$4986,6,FALSE)&amp;VLOOKUP(D1323,契約台帳!$A$3:$K$4986,7,FALSE)&amp;VLOOKUP(D1323,契約台帳!$A$3:$K$4986,8,FALSE)&amp;VLOOKUP(D1323,契約台帳!$A$3:$K$4986,9,FALSE)&amp;VLOOKUP(D1323,契約台帳!$A$3:$K$4986,11,FALSE))</f>
        <v>3SNMLBMNQR66F</v>
      </c>
      <c r="G1323" s="256" t="str">
        <f>IF(D1323="","",VLOOKUP(F1323,製品マスタ!$G$5:$H$4999,2,FALSE))</f>
        <v>S</v>
      </c>
      <c r="H1323" s="256" t="str">
        <f>IF(D1323="","",VLOOKUP(F1323,製品マスタ!$G$5:$K$4999,5,FALSE))</f>
        <v>MNQR66F</v>
      </c>
      <c r="I1323" s="200" t="str">
        <f>IF(D1323="","",VLOOKUP(F1323,製品マスタ!$G$5:$L$4999,6,FALSE))</f>
        <v>ＱＲ６６蒸着品</v>
      </c>
      <c r="J1323" s="30" t="s">
        <v>447</v>
      </c>
      <c r="K1323" s="200">
        <f>IF(D1323="","",VLOOKUP(D1323,契約台帳!$A$3:$L$4986,12,FALSE))</f>
        <v>25</v>
      </c>
      <c r="L1323" s="200" t="str">
        <f>IF(D1323="","",INDEX(製品マスタ!$Q$5:$Q$4999,MATCH(F1323&amp;K1323,製品マスタ!$AO$5:$AO$4999,0)))</f>
        <v>E315</v>
      </c>
      <c r="M1323" s="37">
        <v>1100</v>
      </c>
      <c r="N1323" s="37">
        <v>18000</v>
      </c>
      <c r="O1323" s="45">
        <v>4</v>
      </c>
      <c r="P1323" s="54"/>
      <c r="Q1323" s="260">
        <f>IF(D1323="","",IF(J1323="リード付け",M1323,VLOOKUP(D1323,契約台帳!$A$3:$N$4986,14,FALSE)))</f>
        <v>1100</v>
      </c>
      <c r="R1323" s="261">
        <f>IF(D1323="","",IF(J1323="リード付け",M1323,VLOOKUP(D1323,契約台帳!$A$3:$O$4986,15,FALSE)))</f>
        <v>1100</v>
      </c>
      <c r="S1323" s="261">
        <f>IF(D1323="","",IF(J1323="リード付け",N1323,VLOOKUP(D1323,契約台帳!$A$3:$P$4986,16,FALSE)))</f>
        <v>6000</v>
      </c>
      <c r="T1323" s="38">
        <v>12</v>
      </c>
      <c r="U1323" s="261" t="str">
        <f ca="1">IF(D1323="","",IF(OFFSET(D1323,-2,0)=D1323,"",VLOOKUP(D1323,契約台帳!$A$3:$R$4986,18,FALSE)))</f>
        <v/>
      </c>
      <c r="V1323" s="256" t="str">
        <f>IF(J1323="巻返し",VLOOKUP(F1323&amp;K1323&amp;M1323,製品マスタ!$M$5:$AD$4999,18,FALSE),IF(J1323="リード付け","原反コア",IF(J1323="スリット",VLOOKUP(F1323&amp;K1323&amp;Q1323,製品マスタ!$N$5:$AD$4999,17,FALSE),"")))</f>
        <v>6ｲﾝﾁMｺｱ</v>
      </c>
      <c r="W1323" s="256">
        <f>IF(J1323="巻返し",VLOOKUP(F1323&amp;K1323&amp;M1323,製品マスタ!$M$5:$AE$4999,19,FALSE),IF(J1323="リード付け","-",IF(J1323="スリット",VLOOKUP(F1323&amp;K1323&amp;Q1323,製品マスタ!$N$5:$AE$4999,18,FALSE),"")))</f>
        <v>1110</v>
      </c>
      <c r="X1323" s="256">
        <f>IF(D1323="","",VLOOKUP(D1323,契約台帳!$A$3:$Q$4986,17,FALSE))</f>
        <v>2</v>
      </c>
      <c r="Y1323" s="256" t="str">
        <f>IF(D1323="","",VLOOKUP(D1323,契約台帳!$A$3:$E$4986,5,FALSE))</f>
        <v>リンテック㈱</v>
      </c>
      <c r="Z1323" s="310">
        <v>45373</v>
      </c>
      <c r="AA1323" s="200"/>
      <c r="AB1323" s="312"/>
      <c r="AC1323" s="313"/>
      <c r="AD1323" s="51" t="str">
        <f t="shared" ref="AD1323" si="45">IF(F1323="","",+F1323&amp;K1323)</f>
        <v>3SNMLBMNQR66F25</v>
      </c>
      <c r="AE1323" s="52">
        <f t="shared" ref="AE1323" si="46">+M1323*N1323*O1323/1000</f>
        <v>79200</v>
      </c>
      <c r="AF1323" s="41">
        <f>IF(AD1323="","",VLOOKUP(AD1323,原価マスタ!$A$2:$AJ$1693,13,FALSE))</f>
        <v>98</v>
      </c>
      <c r="AG1323" s="45">
        <f t="shared" ref="AG1323" si="47">IF(AF1323="","",+AE1323*AF1323/100)</f>
        <v>77616</v>
      </c>
      <c r="AH1323" s="28"/>
      <c r="AI1323" s="28"/>
      <c r="AJ1323" s="28"/>
      <c r="AK1323" s="28"/>
      <c r="AL1323" s="12"/>
      <c r="AM1323" s="12"/>
      <c r="AN1323" s="12"/>
      <c r="AO1323" s="12"/>
      <c r="AP1323" s="12"/>
      <c r="AQ1323" s="13"/>
      <c r="AR1323" s="14"/>
    </row>
    <row r="1324" spans="1:44" s="16" customFormat="1" ht="30.95" hidden="1" customHeight="1" x14ac:dyDescent="0.2">
      <c r="A1324" s="303"/>
      <c r="B1324" s="304"/>
      <c r="C1324" s="305"/>
      <c r="D1324" s="29"/>
      <c r="E1324" s="29"/>
      <c r="F1324" s="255"/>
      <c r="G1324" s="256"/>
      <c r="H1324" s="256"/>
      <c r="I1324" s="200"/>
      <c r="J1324" s="30"/>
      <c r="K1324" s="200"/>
      <c r="L1324" s="200"/>
      <c r="M1324" s="37"/>
      <c r="N1324" s="37"/>
      <c r="O1324" s="45"/>
      <c r="P1324" s="54"/>
      <c r="Q1324" s="260"/>
      <c r="R1324" s="261"/>
      <c r="S1324" s="261"/>
      <c r="T1324" s="38"/>
      <c r="U1324" s="261"/>
      <c r="V1324" s="256"/>
      <c r="W1324" s="256"/>
      <c r="X1324" s="256"/>
      <c r="Y1324" s="256"/>
      <c r="Z1324" s="310"/>
      <c r="AA1324" s="200"/>
      <c r="AB1324" s="312"/>
      <c r="AC1324" s="313"/>
      <c r="AD1324" s="51"/>
      <c r="AE1324" s="52"/>
      <c r="AF1324" s="41"/>
      <c r="AG1324" s="45"/>
      <c r="AH1324" s="28"/>
      <c r="AI1324" s="28"/>
      <c r="AJ1324" s="28"/>
      <c r="AK1324" s="28"/>
      <c r="AL1324" s="12"/>
      <c r="AM1324" s="12"/>
      <c r="AN1324" s="12"/>
      <c r="AO1324" s="12"/>
      <c r="AP1324" s="12"/>
      <c r="AQ1324" s="13"/>
      <c r="AR1324" s="14"/>
    </row>
    <row r="1325" spans="1:44" s="16" customFormat="1" ht="30.95" hidden="1" customHeight="1" x14ac:dyDescent="0.2">
      <c r="A1325" s="35" t="s">
        <v>2298</v>
      </c>
      <c r="B1325" s="36" t="s">
        <v>2293</v>
      </c>
      <c r="C1325" s="305"/>
      <c r="D1325" s="29">
        <v>3741622</v>
      </c>
      <c r="E1325" s="29">
        <v>4141088</v>
      </c>
      <c r="F1325" s="255" t="str">
        <f>IF(D1325="","",VLOOKUP(D1325,契約台帳!$A$3:$K$4986,6,FALSE)&amp;VLOOKUP(D1325,契約台帳!$A$3:$K$4986,7,FALSE)&amp;VLOOKUP(D1325,契約台帳!$A$3:$K$4986,8,FALSE)&amp;VLOOKUP(D1325,契約台帳!$A$3:$K$4986,9,FALSE)&amp;VLOOKUP(D1325,契約台帳!$A$3:$K$4986,11,FALSE))</f>
        <v>3SNMLBMNQR66F</v>
      </c>
      <c r="G1325" s="256" t="str">
        <f>IF(D1325="","",VLOOKUP(F1325,製品マスタ!$G$5:$H$4999,2,FALSE))</f>
        <v>S</v>
      </c>
      <c r="H1325" s="256" t="str">
        <f>IF(D1325="","",VLOOKUP(F1325,製品マスタ!$G$5:$K$4999,5,FALSE))</f>
        <v>MNQR66F</v>
      </c>
      <c r="I1325" s="200" t="str">
        <f>IF(D1325="","",VLOOKUP(F1325,製品マスタ!$G$5:$L$4999,6,FALSE))</f>
        <v>ＱＲ６６蒸着品</v>
      </c>
      <c r="J1325" s="30" t="s">
        <v>447</v>
      </c>
      <c r="K1325" s="200">
        <f>IF(D1325="","",VLOOKUP(D1325,契約台帳!$A$3:$L$4986,12,FALSE))</f>
        <v>25</v>
      </c>
      <c r="L1325" s="200" t="str">
        <f>IF(D1325="","",INDEX(製品マスタ!$Q$5:$Q$4999,MATCH(F1325&amp;K1325,製品マスタ!$AO$5:$AO$4999,0)))</f>
        <v>E315</v>
      </c>
      <c r="M1325" s="37">
        <v>1100</v>
      </c>
      <c r="N1325" s="37">
        <v>18000</v>
      </c>
      <c r="O1325" s="45">
        <v>2</v>
      </c>
      <c r="P1325" s="54"/>
      <c r="Q1325" s="260">
        <f>IF(D1325="","",IF(J1325="リード付け",M1325,VLOOKUP(D1325,契約台帳!$A$3:$N$4986,14,FALSE)))</f>
        <v>1100</v>
      </c>
      <c r="R1325" s="261">
        <f>IF(D1325="","",IF(J1325="リード付け",M1325,VLOOKUP(D1325,契約台帳!$A$3:$O$4986,15,FALSE)))</f>
        <v>1100</v>
      </c>
      <c r="S1325" s="261">
        <f>IF(D1325="","",IF(J1325="リード付け",N1325,VLOOKUP(D1325,契約台帳!$A$3:$P$4986,16,FALSE)))</f>
        <v>6000</v>
      </c>
      <c r="T1325" s="38">
        <v>6</v>
      </c>
      <c r="U1325" s="261" t="str">
        <f ca="1">IF(D1325="","",IF(OFFSET(D1325,-2,0)=D1325,"",VLOOKUP(D1325,契約台帳!$A$3:$R$4986,18,FALSE)))</f>
        <v/>
      </c>
      <c r="V1325" s="256" t="str">
        <f>IF(J1325="巻返し",VLOOKUP(F1325&amp;K1325&amp;M1325,製品マスタ!$M$5:$AD$4999,18,FALSE),IF(J1325="リード付け","原反コア",IF(J1325="スリット",VLOOKUP(F1325&amp;K1325&amp;Q1325,製品マスタ!$N$5:$AD$4999,17,FALSE),"")))</f>
        <v>6ｲﾝﾁMｺｱ</v>
      </c>
      <c r="W1325" s="256">
        <f>IF(J1325="巻返し",VLOOKUP(F1325&amp;K1325&amp;M1325,製品マスタ!$M$5:$AE$4999,19,FALSE),IF(J1325="リード付け","-",IF(J1325="スリット",VLOOKUP(F1325&amp;K1325&amp;Q1325,製品マスタ!$N$5:$AE$4999,18,FALSE),"")))</f>
        <v>1110</v>
      </c>
      <c r="X1325" s="256">
        <f>IF(D1325="","",VLOOKUP(D1325,契約台帳!$A$3:$Q$4986,17,FALSE))</f>
        <v>2</v>
      </c>
      <c r="Y1325" s="256" t="str">
        <f>IF(D1325="","",VLOOKUP(D1325,契約台帳!$A$3:$E$4986,5,FALSE))</f>
        <v>リンテック㈱</v>
      </c>
      <c r="Z1325" s="310">
        <v>45376</v>
      </c>
      <c r="AA1325" s="200"/>
      <c r="AB1325" s="312"/>
      <c r="AC1325" s="313"/>
      <c r="AD1325" s="51" t="str">
        <f t="shared" ref="AD1325" si="48">IF(F1325="","",+F1325&amp;K1325)</f>
        <v>3SNMLBMNQR66F25</v>
      </c>
      <c r="AE1325" s="52">
        <f t="shared" ref="AE1325" si="49">+M1325*N1325*O1325/1000</f>
        <v>39600</v>
      </c>
      <c r="AF1325" s="41">
        <f>IF(AD1325="","",VLOOKUP(AD1325,原価マスタ!$A$2:$AJ$1693,13,FALSE))</f>
        <v>98</v>
      </c>
      <c r="AG1325" s="45">
        <f t="shared" ref="AG1325" si="50">IF(AF1325="","",+AE1325*AF1325/100)</f>
        <v>38808</v>
      </c>
      <c r="AH1325" s="28"/>
      <c r="AI1325" s="28"/>
      <c r="AJ1325" s="28"/>
      <c r="AK1325" s="28"/>
      <c r="AL1325" s="12"/>
      <c r="AM1325" s="12"/>
      <c r="AN1325" s="12"/>
      <c r="AO1325" s="12"/>
      <c r="AP1325" s="12"/>
      <c r="AQ1325" s="13"/>
      <c r="AR1325" s="14"/>
    </row>
    <row r="1326" spans="1:44" s="16" customFormat="1" ht="30.95" hidden="1" customHeight="1" x14ac:dyDescent="0.2">
      <c r="A1326" s="303"/>
      <c r="B1326" s="304"/>
      <c r="C1326" s="305"/>
      <c r="D1326" s="29"/>
      <c r="E1326" s="29"/>
      <c r="F1326" s="255"/>
      <c r="G1326" s="256"/>
      <c r="H1326" s="256"/>
      <c r="I1326" s="200"/>
      <c r="J1326" s="30"/>
      <c r="K1326" s="200"/>
      <c r="L1326" s="200"/>
      <c r="M1326" s="37"/>
      <c r="N1326" s="37"/>
      <c r="O1326" s="45"/>
      <c r="P1326" s="54"/>
      <c r="Q1326" s="260"/>
      <c r="R1326" s="261"/>
      <c r="S1326" s="261"/>
      <c r="T1326" s="38"/>
      <c r="U1326" s="261"/>
      <c r="V1326" s="256"/>
      <c r="W1326" s="256"/>
      <c r="X1326" s="256"/>
      <c r="Y1326" s="256"/>
      <c r="Z1326" s="310"/>
      <c r="AA1326" s="200"/>
      <c r="AB1326" s="312"/>
      <c r="AC1326" s="313"/>
      <c r="AD1326" s="51"/>
      <c r="AE1326" s="52"/>
      <c r="AF1326" s="41"/>
      <c r="AG1326" s="45"/>
      <c r="AH1326" s="28"/>
      <c r="AI1326" s="28"/>
      <c r="AJ1326" s="28"/>
      <c r="AK1326" s="28"/>
      <c r="AL1326" s="12"/>
      <c r="AM1326" s="12"/>
      <c r="AN1326" s="12"/>
      <c r="AO1326" s="12"/>
      <c r="AP1326" s="12"/>
      <c r="AQ1326" s="13"/>
      <c r="AR1326" s="14"/>
    </row>
    <row r="1327" spans="1:44" s="16" customFormat="1" ht="30.95" hidden="1" customHeight="1" x14ac:dyDescent="0.2">
      <c r="A1327" s="35"/>
      <c r="B1327" s="36"/>
      <c r="C1327" s="305"/>
      <c r="D1327" s="29">
        <v>3741607</v>
      </c>
      <c r="E1327" s="29">
        <v>4151588</v>
      </c>
      <c r="F1327" s="255" t="str">
        <f>IF(D1327="","",VLOOKUP(D1327,契約台帳!$A$3:$K$4986,6,FALSE)&amp;VLOOKUP(D1327,契約台帳!$A$3:$K$4986,7,FALSE)&amp;VLOOKUP(D1327,契約台帳!$A$3:$K$4986,8,FALSE)&amp;VLOOKUP(D1327,契約台帳!$A$3:$K$4986,9,FALSE)&amp;VLOOKUP(D1327,契約台帳!$A$3:$K$4986,11,FALSE))</f>
        <v>3SNMLBMNGKBF</v>
      </c>
      <c r="G1327" s="256" t="str">
        <f>IF(D1327="","",VLOOKUP(F1327,製品マスタ!$G$5:$H$4999,2,FALSE))</f>
        <v>S</v>
      </c>
      <c r="H1327" s="256" t="str">
        <f>IF(D1327="","",VLOOKUP(F1327,製品マスタ!$G$5:$K$4999,5,FALSE))</f>
        <v>MNGKBF</v>
      </c>
      <c r="I1327" s="200" t="str">
        <f>IF(D1327="","",VLOOKUP(F1327,製品マスタ!$G$5:$L$4999,6,FALSE))</f>
        <v>メタルミー　ネーマー銀消　Ｂ</v>
      </c>
      <c r="J1327" s="30" t="s">
        <v>447</v>
      </c>
      <c r="K1327" s="200">
        <f>IF(D1327="","",VLOOKUP(D1327,契約台帳!$A$3:$L$4986,12,FALSE))</f>
        <v>75</v>
      </c>
      <c r="L1327" s="200" t="str">
        <f>IF(D1327="","",INDEX(製品マスタ!$Q$5:$Q$4999,MATCH(F1327&amp;K1327,製品マスタ!$AO$5:$AO$4999,0)))</f>
        <v>MAT</v>
      </c>
      <c r="M1327" s="37">
        <v>1050</v>
      </c>
      <c r="N1327" s="37">
        <v>4000</v>
      </c>
      <c r="O1327" s="45">
        <v>1</v>
      </c>
      <c r="P1327" s="54"/>
      <c r="Q1327" s="260">
        <f>IF(D1327="","",IF(J1327="リード付け",M1327,VLOOKUP(D1327,契約台帳!$A$3:$N$4986,14,FALSE)))</f>
        <v>1050</v>
      </c>
      <c r="R1327" s="261">
        <f>IF(D1327="","",IF(J1327="リード付け",M1327,VLOOKUP(D1327,契約台帳!$A$3:$O$4986,15,FALSE)))</f>
        <v>1050</v>
      </c>
      <c r="S1327" s="261">
        <f>IF(D1327="","",IF(J1327="リード付け",N1327,VLOOKUP(D1327,契約台帳!$A$3:$P$4986,16,FALSE)))</f>
        <v>2000</v>
      </c>
      <c r="T1327" s="38">
        <v>2</v>
      </c>
      <c r="U1327" s="261">
        <f ca="1">IF(D1327="","",IF(OFFSET(D1327,-2,0)=D1327,"",VLOOKUP(D1327,契約台帳!$A$3:$R$4986,18,FALSE)))</f>
        <v>2</v>
      </c>
      <c r="V1327" s="256" t="str">
        <f>IF(J1327="巻返し",VLOOKUP(F1327&amp;K1327&amp;M1327,製品マスタ!$M$5:$AD$4999,18,FALSE),IF(J1327="リード付け","原反コア",IF(J1327="スリット",VLOOKUP(F1327&amp;K1327&amp;Q1327,製品マスタ!$N$5:$AD$4999,17,FALSE),"")))</f>
        <v>6ｲﾝﾁSｺｱ</v>
      </c>
      <c r="W1327" s="256">
        <f>IF(J1327="巻返し",VLOOKUP(F1327&amp;K1327&amp;M1327,製品マスタ!$M$5:$AE$4999,19,FALSE),IF(J1327="リード付け","-",IF(J1327="スリット",VLOOKUP(F1327&amp;K1327&amp;Q1327,製品マスタ!$N$5:$AE$4999,18,FALSE),"")))</f>
        <v>1055</v>
      </c>
      <c r="X1327" s="256">
        <f>IF(D1327="","",VLOOKUP(D1327,契約台帳!$A$3:$Q$4986,17,FALSE))</f>
        <v>2</v>
      </c>
      <c r="Y1327" s="256" t="str">
        <f>IF(D1327="","",VLOOKUP(D1327,契約台帳!$A$3:$E$4986,5,FALSE))</f>
        <v>リンテック㈱</v>
      </c>
      <c r="Z1327" s="310">
        <v>45376</v>
      </c>
      <c r="AA1327" s="200"/>
      <c r="AB1327" s="312"/>
      <c r="AC1327" s="313"/>
      <c r="AD1327" s="51" t="str">
        <f t="shared" ref="AD1327" si="51">IF(F1327="","",+F1327&amp;K1327)</f>
        <v>3SNMLBMNGKBF75</v>
      </c>
      <c r="AE1327" s="52">
        <f t="shared" ref="AE1327" si="52">+M1327*N1327*O1327/1000</f>
        <v>4200</v>
      </c>
      <c r="AF1327" s="41">
        <f>IF(AD1327="","",VLOOKUP(AD1327,原価マスタ!$A$2:$AJ$1693,13,FALSE))</f>
        <v>97</v>
      </c>
      <c r="AG1327" s="45">
        <f t="shared" ref="AG1327" si="53">IF(AF1327="","",+AE1327*AF1327/100)</f>
        <v>4074</v>
      </c>
      <c r="AH1327" s="28"/>
      <c r="AI1327" s="28"/>
      <c r="AJ1327" s="28"/>
      <c r="AK1327" s="28"/>
      <c r="AL1327" s="12"/>
      <c r="AM1327" s="12"/>
      <c r="AN1327" s="12"/>
      <c r="AO1327" s="12"/>
      <c r="AP1327" s="12"/>
      <c r="AQ1327" s="13"/>
      <c r="AR1327" s="14"/>
    </row>
    <row r="1328" spans="1:44" s="16" customFormat="1" ht="30.95" hidden="1" customHeight="1" x14ac:dyDescent="0.2">
      <c r="A1328" s="35"/>
      <c r="B1328" s="36"/>
      <c r="C1328" s="305"/>
      <c r="D1328" s="29"/>
      <c r="E1328" s="29"/>
      <c r="F1328" s="255"/>
      <c r="G1328" s="256"/>
      <c r="H1328" s="256"/>
      <c r="I1328" s="200"/>
      <c r="J1328" s="30"/>
      <c r="K1328" s="200"/>
      <c r="L1328" s="200"/>
      <c r="M1328" s="37"/>
      <c r="N1328" s="37"/>
      <c r="O1328" s="45"/>
      <c r="P1328" s="54"/>
      <c r="Q1328" s="260"/>
      <c r="R1328" s="261"/>
      <c r="S1328" s="261"/>
      <c r="T1328" s="38"/>
      <c r="U1328" s="261"/>
      <c r="V1328" s="256"/>
      <c r="W1328" s="256"/>
      <c r="X1328" s="256"/>
      <c r="Y1328" s="256"/>
      <c r="Z1328" s="310"/>
      <c r="AA1328" s="200"/>
      <c r="AB1328" s="312"/>
      <c r="AC1328" s="313"/>
      <c r="AD1328" s="51"/>
      <c r="AE1328" s="52"/>
      <c r="AF1328" s="41"/>
      <c r="AG1328" s="45"/>
      <c r="AH1328" s="28"/>
      <c r="AI1328" s="28"/>
      <c r="AJ1328" s="28"/>
      <c r="AK1328" s="28"/>
      <c r="AL1328" s="12"/>
      <c r="AM1328" s="12"/>
      <c r="AN1328" s="12"/>
      <c r="AO1328" s="12"/>
      <c r="AP1328" s="12"/>
      <c r="AQ1328" s="13"/>
      <c r="AR1328" s="14"/>
    </row>
    <row r="1329" spans="1:44" s="16" customFormat="1" ht="30.75" hidden="1" customHeight="1" x14ac:dyDescent="0.2">
      <c r="A1329" s="303"/>
      <c r="B1329" s="304"/>
      <c r="C1329" s="305"/>
      <c r="D1329" s="29">
        <v>3741606</v>
      </c>
      <c r="E1329" s="29">
        <v>4151587</v>
      </c>
      <c r="F1329" s="255" t="str">
        <f>IF(D1329="","",VLOOKUP(D1329,契約台帳!$A$3:$K$4986,6,FALSE)&amp;VLOOKUP(D1329,契約台帳!$A$3:$K$4986,7,FALSE)&amp;VLOOKUP(D1329,契約台帳!$A$3:$K$4986,8,FALSE)&amp;VLOOKUP(D1329,契約台帳!$A$3:$K$4986,9,FALSE)&amp;VLOOKUP(D1329,契約台帳!$A$3:$K$4986,11,FALSE))</f>
        <v>3SNMLBMNGKBF</v>
      </c>
      <c r="G1329" s="256" t="str">
        <f>IF(D1329="","",VLOOKUP(F1329,製品マスタ!$G$5:$H$4999,2,FALSE))</f>
        <v>S</v>
      </c>
      <c r="H1329" s="256" t="str">
        <f>IF(D1329="","",VLOOKUP(F1329,製品マスタ!$G$5:$K$4999,5,FALSE))</f>
        <v>MNGKBF</v>
      </c>
      <c r="I1329" s="200" t="str">
        <f>IF(D1329="","",VLOOKUP(F1329,製品マスタ!$G$5:$L$4999,6,FALSE))</f>
        <v>メタルミー　ネーマー銀消　Ｂ</v>
      </c>
      <c r="J1329" s="30" t="s">
        <v>447</v>
      </c>
      <c r="K1329" s="200">
        <f>IF(D1329="","",VLOOKUP(D1329,契約台帳!$A$3:$L$4986,12,FALSE))</f>
        <v>50</v>
      </c>
      <c r="L1329" s="200" t="str">
        <f>IF(D1329="","",INDEX(製品マスタ!$Q$5:$Q$4999,MATCH(F1329&amp;K1329,製品マスタ!$AO$5:$AO$4999,0)))</f>
        <v>MAT</v>
      </c>
      <c r="M1329" s="258">
        <v>1050</v>
      </c>
      <c r="N1329" s="258">
        <v>12300</v>
      </c>
      <c r="O1329" s="343">
        <v>2</v>
      </c>
      <c r="P1329" s="54"/>
      <c r="Q1329" s="260">
        <f>IF(D1329="","",IF(J1329="リード付け",M1329,VLOOKUP(D1329,契約台帳!$A$3:$N$4986,14,FALSE)))</f>
        <v>1050</v>
      </c>
      <c r="R1329" s="261">
        <f>IF(D1329="","",IF(J1329="リード付け",M1329,VLOOKUP(D1329,契約台帳!$A$3:$O$4986,15,FALSE)))</f>
        <v>1050</v>
      </c>
      <c r="S1329" s="261">
        <f>IF(D1329="","",IF(J1329="リード付け",N1329,VLOOKUP(D1329,契約台帳!$A$3:$P$4986,16,FALSE)))</f>
        <v>4100</v>
      </c>
      <c r="T1329" s="38">
        <v>6</v>
      </c>
      <c r="U1329" s="261">
        <f ca="1">IF(D1329="","",IF(OFFSET(D1329,-2,0)=D1329,"",VLOOKUP(D1329,契約台帳!$A$3:$R$4986,18,FALSE)))</f>
        <v>6</v>
      </c>
      <c r="V1329" s="256" t="str">
        <f>IF(J1329="巻返し",VLOOKUP(F1329&amp;K1329&amp;M1329,製品マスタ!$M$5:$AD$4999,18,FALSE),IF(J1329="リード付け","原反コア",IF(J1329="スリット",VLOOKUP(F1329&amp;K1329&amp;Q1329,製品マスタ!$N$5:$AD$4999,17,FALSE),"")))</f>
        <v>6ｲﾝﾁSｺｱ</v>
      </c>
      <c r="W1329" s="256">
        <f>IF(J1329="巻返し",VLOOKUP(F1329&amp;K1329&amp;M1329,製品マスタ!$M$5:$AE$4999,19,FALSE),IF(J1329="リード付け","-",IF(J1329="スリット",VLOOKUP(F1329&amp;K1329&amp;Q1329,製品マスタ!$N$5:$AE$4999,18,FALSE),"")))</f>
        <v>1055</v>
      </c>
      <c r="X1329" s="256">
        <f>IF(D1329="","",VLOOKUP(D1329,契約台帳!$A$3:$Q$4986,17,FALSE))</f>
        <v>2</v>
      </c>
      <c r="Y1329" s="256" t="str">
        <f>IF(D1329="","",VLOOKUP(D1329,契約台帳!$A$3:$E$4986,5,FALSE))</f>
        <v>リンテック㈱</v>
      </c>
      <c r="Z1329" s="310">
        <v>45376</v>
      </c>
      <c r="AA1329" s="200"/>
      <c r="AB1329" s="312"/>
      <c r="AC1329" s="313"/>
      <c r="AD1329" s="51" t="str">
        <f t="shared" ref="AD1329" si="54">IF(F1329="","",+F1329&amp;K1329)</f>
        <v>3SNMLBMNGKBF50</v>
      </c>
      <c r="AE1329" s="52">
        <f t="shared" ref="AE1329" si="55">+M1329*N1329*O1329/1000</f>
        <v>25830</v>
      </c>
      <c r="AF1329" s="41">
        <f>IF(AD1329="","",VLOOKUP(AD1329,原価マスタ!$A$2:$AJ$1693,13,FALSE))</f>
        <v>98</v>
      </c>
      <c r="AG1329" s="45">
        <f t="shared" ref="AG1329" si="56">IF(AF1329="","",+AE1329*AF1329/100)</f>
        <v>25313.4</v>
      </c>
      <c r="AH1329" s="28"/>
      <c r="AI1329" s="28"/>
      <c r="AJ1329" s="28"/>
      <c r="AK1329" s="28"/>
      <c r="AL1329" s="12"/>
      <c r="AM1329" s="12"/>
      <c r="AN1329" s="12"/>
      <c r="AO1329" s="12"/>
      <c r="AP1329" s="12"/>
      <c r="AQ1329" s="13"/>
      <c r="AR1329" s="14"/>
    </row>
    <row r="1330" spans="1:44" s="16" customFormat="1" ht="30.95" hidden="1" customHeight="1" x14ac:dyDescent="0.2">
      <c r="A1330" s="35"/>
      <c r="B1330" s="36"/>
      <c r="C1330" s="305"/>
      <c r="D1330" s="29"/>
      <c r="E1330" s="29"/>
      <c r="F1330" s="255"/>
      <c r="G1330" s="256"/>
      <c r="H1330" s="256"/>
      <c r="I1330" s="200"/>
      <c r="J1330" s="30"/>
      <c r="K1330" s="200"/>
      <c r="L1330" s="200"/>
      <c r="M1330" s="37"/>
      <c r="N1330" s="37"/>
      <c r="O1330" s="45"/>
      <c r="P1330" s="54"/>
      <c r="Q1330" s="260"/>
      <c r="R1330" s="261"/>
      <c r="S1330" s="261"/>
      <c r="T1330" s="38"/>
      <c r="U1330" s="261"/>
      <c r="V1330" s="256"/>
      <c r="W1330" s="256"/>
      <c r="X1330" s="256"/>
      <c r="Y1330" s="256"/>
      <c r="Z1330" s="310"/>
      <c r="AA1330" s="200"/>
      <c r="AB1330" s="312"/>
      <c r="AC1330" s="313"/>
      <c r="AD1330" s="51"/>
      <c r="AE1330" s="52"/>
      <c r="AF1330" s="41"/>
      <c r="AG1330" s="45"/>
      <c r="AH1330" s="28"/>
      <c r="AI1330" s="28"/>
      <c r="AJ1330" s="28"/>
      <c r="AK1330" s="28"/>
      <c r="AL1330" s="12"/>
      <c r="AM1330" s="12"/>
      <c r="AN1330" s="12"/>
      <c r="AO1330" s="12"/>
      <c r="AP1330" s="12"/>
      <c r="AQ1330" s="13"/>
      <c r="AR1330" s="14"/>
    </row>
    <row r="1331" spans="1:44" s="16" customFormat="1" ht="30.95" hidden="1" customHeight="1" x14ac:dyDescent="0.2">
      <c r="A1331" s="35" t="s">
        <v>2352</v>
      </c>
      <c r="B1331" s="36" t="s">
        <v>2353</v>
      </c>
      <c r="C1331" s="305"/>
      <c r="D1331" s="29">
        <v>3741614</v>
      </c>
      <c r="E1331" s="29">
        <v>4151596</v>
      </c>
      <c r="F1331" s="255" t="str">
        <f>IF(D1331="","",VLOOKUP(D1331,契約台帳!$A$3:$K$4986,6,FALSE)&amp;VLOOKUP(D1331,契約台帳!$A$3:$K$4986,7,FALSE)&amp;VLOOKUP(D1331,契約台帳!$A$3:$K$4986,8,FALSE)&amp;VLOOKUP(D1331,契約台帳!$A$3:$K$4986,9,FALSE)&amp;VLOOKUP(D1331,契約台帳!$A$3:$K$4986,11,FALSE))</f>
        <v>3SNMLBMNNGKBF</v>
      </c>
      <c r="G1331" s="256" t="str">
        <f>IF(D1331="","",VLOOKUP(F1331,製品マスタ!$G$5:$H$4999,2,FALSE))</f>
        <v>S</v>
      </c>
      <c r="H1331" s="256" t="str">
        <f>IF(D1331="","",VLOOKUP(F1331,製品マスタ!$G$5:$K$4999,5,FALSE))</f>
        <v>MNNGKBF</v>
      </c>
      <c r="I1331" s="200" t="str">
        <f>IF(D1331="","",VLOOKUP(F1331,製品マスタ!$G$5:$L$4999,6,FALSE))</f>
        <v>メタルミー　ニューネーマー銀消　Ｂ</v>
      </c>
      <c r="J1331" s="30" t="s">
        <v>447</v>
      </c>
      <c r="K1331" s="200">
        <f>IF(D1331="","",VLOOKUP(D1331,契約台帳!$A$3:$L$4986,12,FALSE))</f>
        <v>50</v>
      </c>
      <c r="L1331" s="200" t="str">
        <f>IF(D1331="","",INDEX(製品マスタ!$Q$5:$Q$4999,MATCH(F1331&amp;K1331,製品マスタ!$AO$5:$AO$4999,0)))</f>
        <v>X44</v>
      </c>
      <c r="M1331" s="37">
        <v>1000</v>
      </c>
      <c r="N1331" s="37">
        <v>12000</v>
      </c>
      <c r="O1331" s="45">
        <v>6</v>
      </c>
      <c r="P1331" s="54"/>
      <c r="Q1331" s="260">
        <f>IF(D1331="","",IF(J1331="リード付け",M1331,VLOOKUP(D1331,契約台帳!$A$3:$N$4986,14,FALSE)))</f>
        <v>1000</v>
      </c>
      <c r="R1331" s="261">
        <f>IF(D1331="","",IF(J1331="リード付け",M1331,VLOOKUP(D1331,契約台帳!$A$3:$O$4986,15,FALSE)))</f>
        <v>1000</v>
      </c>
      <c r="S1331" s="261">
        <f>IF(D1331="","",IF(J1331="リード付け",N1331,VLOOKUP(D1331,契約台帳!$A$3:$P$4986,16,FALSE)))</f>
        <v>4000</v>
      </c>
      <c r="T1331" s="38">
        <v>18</v>
      </c>
      <c r="U1331" s="261">
        <f ca="1">IF(D1331="","",IF(OFFSET(D1331,-2,0)=D1331,"",VLOOKUP(D1331,契約台帳!$A$3:$R$4986,18,FALSE)))</f>
        <v>24</v>
      </c>
      <c r="V1331" s="256" t="str">
        <f>IF(J1331="巻返し",VLOOKUP(F1331&amp;K1331&amp;M1331,製品マスタ!$M$5:$AD$4999,18,FALSE),IF(J1331="リード付け","原反コア",IF(J1331="スリット",VLOOKUP(F1331&amp;K1331&amp;Q1331,製品マスタ!$N$5:$AD$4999,17,FALSE),"")))</f>
        <v>6ｲﾝﾁSｺｱ</v>
      </c>
      <c r="W1331" s="256">
        <f>IF(J1331="巻返し",VLOOKUP(F1331&amp;K1331&amp;M1331,製品マスタ!$M$5:$AE$4999,19,FALSE),IF(J1331="リード付け","-",IF(J1331="スリット",VLOOKUP(F1331&amp;K1331&amp;Q1331,製品マスタ!$N$5:$AE$4999,18,FALSE),"")))</f>
        <v>1005</v>
      </c>
      <c r="X1331" s="256">
        <f>IF(D1331="","",VLOOKUP(D1331,契約台帳!$A$3:$Q$4986,17,FALSE))</f>
        <v>2</v>
      </c>
      <c r="Y1331" s="256" t="str">
        <f>IF(D1331="","",VLOOKUP(D1331,契約台帳!$A$3:$E$4986,5,FALSE))</f>
        <v>リンテック㈱</v>
      </c>
      <c r="Z1331" s="310">
        <v>45377</v>
      </c>
      <c r="AA1331" s="200"/>
      <c r="AB1331" s="312"/>
      <c r="AC1331" s="313"/>
      <c r="AD1331" s="51" t="str">
        <f t="shared" ref="AD1331" si="57">IF(F1331="","",+F1331&amp;K1331)</f>
        <v>3SNMLBMNNGKBF50</v>
      </c>
      <c r="AE1331" s="52">
        <f t="shared" ref="AE1331" si="58">+M1331*N1331*O1331/1000</f>
        <v>72000</v>
      </c>
      <c r="AF1331" s="41">
        <f>IF(AD1331="","",VLOOKUP(AD1331,原価マスタ!$A$2:$AJ$1693,13,FALSE))</f>
        <v>99</v>
      </c>
      <c r="AG1331" s="45">
        <f t="shared" ref="AG1331" si="59">IF(AF1331="","",+AE1331*AF1331/100)</f>
        <v>71280</v>
      </c>
      <c r="AH1331" s="28"/>
      <c r="AI1331" s="28"/>
      <c r="AJ1331" s="28"/>
      <c r="AK1331" s="28"/>
      <c r="AL1331" s="12"/>
      <c r="AM1331" s="12"/>
      <c r="AN1331" s="12"/>
      <c r="AO1331" s="12"/>
      <c r="AP1331" s="12"/>
      <c r="AQ1331" s="13"/>
      <c r="AR1331" s="14"/>
    </row>
    <row r="1332" spans="1:44" s="16" customFormat="1" ht="30.95" hidden="1" customHeight="1" x14ac:dyDescent="0.2">
      <c r="A1332" s="303"/>
      <c r="B1332" s="304"/>
      <c r="C1332" s="305"/>
      <c r="D1332" s="29"/>
      <c r="E1332" s="29"/>
      <c r="F1332" s="255"/>
      <c r="G1332" s="256"/>
      <c r="H1332" s="256"/>
      <c r="I1332" s="200"/>
      <c r="J1332" s="30"/>
      <c r="K1332" s="200"/>
      <c r="L1332" s="200"/>
      <c r="M1332" s="37"/>
      <c r="N1332" s="37"/>
      <c r="O1332" s="45"/>
      <c r="P1332" s="54"/>
      <c r="Q1332" s="260"/>
      <c r="R1332" s="261"/>
      <c r="S1332" s="261"/>
      <c r="T1332" s="38"/>
      <c r="U1332" s="261"/>
      <c r="V1332" s="256"/>
      <c r="W1332" s="256"/>
      <c r="X1332" s="256"/>
      <c r="Y1332" s="256"/>
      <c r="Z1332" s="310"/>
      <c r="AA1332" s="200"/>
      <c r="AB1332" s="312"/>
      <c r="AC1332" s="313"/>
      <c r="AD1332" s="51"/>
      <c r="AE1332" s="52"/>
      <c r="AF1332" s="41"/>
      <c r="AG1332" s="45"/>
      <c r="AH1332" s="28"/>
      <c r="AI1332" s="28"/>
      <c r="AJ1332" s="28"/>
      <c r="AK1332" s="28"/>
      <c r="AL1332" s="12"/>
      <c r="AM1332" s="12"/>
      <c r="AN1332" s="12"/>
      <c r="AO1332" s="12"/>
      <c r="AP1332" s="12"/>
      <c r="AQ1332" s="13"/>
      <c r="AR1332" s="14"/>
    </row>
    <row r="1333" spans="1:44" s="16" customFormat="1" ht="30.95" hidden="1" customHeight="1" x14ac:dyDescent="0.2">
      <c r="A1333" s="35" t="s">
        <v>2354</v>
      </c>
      <c r="B1333" s="36" t="s">
        <v>2355</v>
      </c>
      <c r="C1333" s="305"/>
      <c r="D1333" s="29">
        <v>3741614</v>
      </c>
      <c r="E1333" s="29">
        <v>4151596</v>
      </c>
      <c r="F1333" s="255" t="str">
        <f>IF(D1333="","",VLOOKUP(D1333,契約台帳!$A$3:$K$4986,6,FALSE)&amp;VLOOKUP(D1333,契約台帳!$A$3:$K$4986,7,FALSE)&amp;VLOOKUP(D1333,契約台帳!$A$3:$K$4986,8,FALSE)&amp;VLOOKUP(D1333,契約台帳!$A$3:$K$4986,9,FALSE)&amp;VLOOKUP(D1333,契約台帳!$A$3:$K$4986,11,FALSE))</f>
        <v>3SNMLBMNNGKBF</v>
      </c>
      <c r="G1333" s="256" t="str">
        <f>IF(D1333="","",VLOOKUP(F1333,製品マスタ!$G$5:$H$4999,2,FALSE))</f>
        <v>S</v>
      </c>
      <c r="H1333" s="256" t="str">
        <f>IF(D1333="","",VLOOKUP(F1333,製品マスタ!$G$5:$K$4999,5,FALSE))</f>
        <v>MNNGKBF</v>
      </c>
      <c r="I1333" s="200" t="str">
        <f>IF(D1333="","",VLOOKUP(F1333,製品マスタ!$G$5:$L$4999,6,FALSE))</f>
        <v>メタルミー　ニューネーマー銀消　Ｂ</v>
      </c>
      <c r="J1333" s="30" t="s">
        <v>447</v>
      </c>
      <c r="K1333" s="200">
        <f>IF(D1333="","",VLOOKUP(D1333,契約台帳!$A$3:$L$4986,12,FALSE))</f>
        <v>50</v>
      </c>
      <c r="L1333" s="200" t="str">
        <f>IF(D1333="","",INDEX(製品マスタ!$Q$5:$Q$4999,MATCH(F1333&amp;K1333,製品マスタ!$AO$5:$AO$4999,0)))</f>
        <v>X44</v>
      </c>
      <c r="M1333" s="37">
        <v>1000</v>
      </c>
      <c r="N1333" s="37">
        <v>12000</v>
      </c>
      <c r="O1333" s="45">
        <v>2</v>
      </c>
      <c r="P1333" s="54"/>
      <c r="Q1333" s="260">
        <f>IF(D1333="","",IF(J1333="リード付け",M1333,VLOOKUP(D1333,契約台帳!$A$3:$N$4986,14,FALSE)))</f>
        <v>1000</v>
      </c>
      <c r="R1333" s="261">
        <f>IF(D1333="","",IF(J1333="リード付け",M1333,VLOOKUP(D1333,契約台帳!$A$3:$O$4986,15,FALSE)))</f>
        <v>1000</v>
      </c>
      <c r="S1333" s="261">
        <f>IF(D1333="","",IF(J1333="リード付け",N1333,VLOOKUP(D1333,契約台帳!$A$3:$P$4986,16,FALSE)))</f>
        <v>4000</v>
      </c>
      <c r="T1333" s="38">
        <v>6</v>
      </c>
      <c r="U1333" s="261" t="str">
        <f ca="1">IF(D1333="","",IF(OFFSET(D1333,-2,0)=D1333,"",VLOOKUP(D1333,契約台帳!$A$3:$R$4986,18,FALSE)))</f>
        <v/>
      </c>
      <c r="V1333" s="256" t="str">
        <f>IF(J1333="巻返し",VLOOKUP(F1333&amp;K1333&amp;M1333,製品マスタ!$M$5:$AD$4999,18,FALSE),IF(J1333="リード付け","原反コア",IF(J1333="スリット",VLOOKUP(F1333&amp;K1333&amp;Q1333,製品マスタ!$N$5:$AD$4999,17,FALSE),"")))</f>
        <v>6ｲﾝﾁSｺｱ</v>
      </c>
      <c r="W1333" s="256">
        <f>IF(J1333="巻返し",VLOOKUP(F1333&amp;K1333&amp;M1333,製品マスタ!$M$5:$AE$4999,19,FALSE),IF(J1333="リード付け","-",IF(J1333="スリット",VLOOKUP(F1333&amp;K1333&amp;Q1333,製品マスタ!$N$5:$AE$4999,18,FALSE),"")))</f>
        <v>1005</v>
      </c>
      <c r="X1333" s="256">
        <f>IF(D1333="","",VLOOKUP(D1333,契約台帳!$A$3:$Q$4986,17,FALSE))</f>
        <v>2</v>
      </c>
      <c r="Y1333" s="256" t="str">
        <f>IF(D1333="","",VLOOKUP(D1333,契約台帳!$A$3:$E$4986,5,FALSE))</f>
        <v>リンテック㈱</v>
      </c>
      <c r="Z1333" s="310">
        <v>45377</v>
      </c>
      <c r="AA1333" s="200"/>
      <c r="AB1333" s="312"/>
      <c r="AC1333" s="313"/>
      <c r="AD1333" s="51" t="str">
        <f t="shared" ref="AD1333" si="60">IF(F1333="","",+F1333&amp;K1333)</f>
        <v>3SNMLBMNNGKBF50</v>
      </c>
      <c r="AE1333" s="52">
        <f t="shared" ref="AE1333" si="61">+M1333*N1333*O1333/1000</f>
        <v>24000</v>
      </c>
      <c r="AF1333" s="41">
        <f>IF(AD1333="","",VLOOKUP(AD1333,原価マスタ!$A$2:$AJ$1693,13,FALSE))</f>
        <v>99</v>
      </c>
      <c r="AG1333" s="45">
        <f t="shared" ref="AG1333" si="62">IF(AF1333="","",+AE1333*AF1333/100)</f>
        <v>23760</v>
      </c>
      <c r="AH1333" s="28"/>
      <c r="AI1333" s="28"/>
      <c r="AJ1333" s="28"/>
      <c r="AK1333" s="28"/>
      <c r="AL1333" s="12"/>
      <c r="AM1333" s="12"/>
      <c r="AN1333" s="12"/>
      <c r="AO1333" s="12"/>
      <c r="AP1333" s="12"/>
      <c r="AQ1333" s="13"/>
      <c r="AR1333" s="14"/>
    </row>
    <row r="1334" spans="1:44" s="16" customFormat="1" ht="30.95" hidden="1" customHeight="1" x14ac:dyDescent="0.2">
      <c r="A1334" s="303"/>
      <c r="B1334" s="304"/>
      <c r="C1334" s="305"/>
      <c r="D1334" s="29"/>
      <c r="E1334" s="29"/>
      <c r="F1334" s="255"/>
      <c r="G1334" s="256"/>
      <c r="H1334" s="256"/>
      <c r="I1334" s="200"/>
      <c r="J1334" s="30"/>
      <c r="K1334" s="200"/>
      <c r="L1334" s="200"/>
      <c r="M1334" s="37"/>
      <c r="N1334" s="37"/>
      <c r="O1334" s="45"/>
      <c r="P1334" s="54"/>
      <c r="Q1334" s="260"/>
      <c r="R1334" s="261"/>
      <c r="S1334" s="261"/>
      <c r="T1334" s="38"/>
      <c r="U1334" s="261"/>
      <c r="V1334" s="256"/>
      <c r="W1334" s="256"/>
      <c r="X1334" s="256"/>
      <c r="Y1334" s="256"/>
      <c r="Z1334" s="310"/>
      <c r="AA1334" s="200"/>
      <c r="AB1334" s="312"/>
      <c r="AC1334" s="313"/>
      <c r="AD1334" s="51"/>
      <c r="AE1334" s="52"/>
      <c r="AF1334" s="41"/>
      <c r="AG1334" s="45"/>
      <c r="AH1334" s="28"/>
      <c r="AI1334" s="28"/>
      <c r="AJ1334" s="28"/>
      <c r="AK1334" s="28"/>
      <c r="AL1334" s="12"/>
      <c r="AM1334" s="12"/>
      <c r="AN1334" s="12"/>
      <c r="AO1334" s="12"/>
      <c r="AP1334" s="12"/>
      <c r="AQ1334" s="13"/>
      <c r="AR1334" s="14"/>
    </row>
    <row r="1335" spans="1:44" s="16" customFormat="1" ht="30.95" hidden="1" customHeight="1" x14ac:dyDescent="0.2">
      <c r="A1335" s="35"/>
      <c r="B1335" s="36"/>
      <c r="C1335" s="305"/>
      <c r="D1335" s="29">
        <v>3741605</v>
      </c>
      <c r="E1335" s="29">
        <v>4151586</v>
      </c>
      <c r="F1335" s="255" t="str">
        <f>IF(D1335="","",VLOOKUP(D1335,契約台帳!$A$3:$K$4986,6,FALSE)&amp;VLOOKUP(D1335,契約台帳!$A$3:$K$4986,7,FALSE)&amp;VLOOKUP(D1335,契約台帳!$A$3:$K$4986,8,FALSE)&amp;VLOOKUP(D1335,契約台帳!$A$3:$K$4986,9,FALSE)&amp;VLOOKUP(D1335,契約台帳!$A$3:$K$4986,11,FALSE))</f>
        <v>3SNMLBMNGKBF</v>
      </c>
      <c r="G1335" s="256" t="str">
        <f>IF(D1335="","",VLOOKUP(F1335,製品マスタ!$G$5:$H$4999,2,FALSE))</f>
        <v>S</v>
      </c>
      <c r="H1335" s="256" t="str">
        <f>IF(D1335="","",VLOOKUP(F1335,製品マスタ!$G$5:$K$4999,5,FALSE))</f>
        <v>MNGKBF</v>
      </c>
      <c r="I1335" s="200" t="str">
        <f>IF(D1335="","",VLOOKUP(F1335,製品マスタ!$G$5:$L$4999,6,FALSE))</f>
        <v>メタルミー　ネーマー銀消　Ｂ</v>
      </c>
      <c r="J1335" s="30" t="s">
        <v>447</v>
      </c>
      <c r="K1335" s="200">
        <f>IF(D1335="","",VLOOKUP(D1335,契約台帳!$A$3:$L$4986,12,FALSE))</f>
        <v>38</v>
      </c>
      <c r="L1335" s="200" t="str">
        <f>IF(D1335="","",INDEX(製品マスタ!$Q$5:$Q$4999,MATCH(F1335&amp;K1335,製品マスタ!$AO$5:$AO$4999,0)))</f>
        <v>LUMIMAT</v>
      </c>
      <c r="M1335" s="258">
        <v>1005</v>
      </c>
      <c r="N1335" s="258">
        <v>12300</v>
      </c>
      <c r="O1335" s="343">
        <v>1</v>
      </c>
      <c r="P1335" s="54"/>
      <c r="Q1335" s="260">
        <f>IF(D1335="","",IF(J1335="リード付け",M1335,VLOOKUP(D1335,契約台帳!$A$3:$N$4986,14,FALSE)))</f>
        <v>1005</v>
      </c>
      <c r="R1335" s="261">
        <f>IF(D1335="","",IF(J1335="リード付け",M1335,VLOOKUP(D1335,契約台帳!$A$3:$O$4986,15,FALSE)))</f>
        <v>1000</v>
      </c>
      <c r="S1335" s="261">
        <f>IF(D1335="","",IF(J1335="リード付け",N1335,VLOOKUP(D1335,契約台帳!$A$3:$P$4986,16,FALSE)))</f>
        <v>4100</v>
      </c>
      <c r="T1335" s="38">
        <v>3</v>
      </c>
      <c r="U1335" s="261">
        <f ca="1">IF(D1335="","",IF(OFFSET(D1335,-2,0)=D1335,"",VLOOKUP(D1335,契約台帳!$A$3:$R$4986,18,FALSE)))</f>
        <v>3</v>
      </c>
      <c r="V1335" s="256" t="str">
        <f>IF(J1335="巻返し",VLOOKUP(F1335&amp;K1335&amp;M1335,製品マスタ!$M$5:$AD$4999,18,FALSE),IF(J1335="リード付け","原反コア",IF(J1335="スリット",VLOOKUP(F1335&amp;K1335&amp;Q1335,製品マスタ!$N$5:$AD$4999,17,FALSE),"")))</f>
        <v>6ｲﾝﾁSｺｱ</v>
      </c>
      <c r="W1335" s="256">
        <f>IF(J1335="巻返し",VLOOKUP(F1335&amp;K1335&amp;M1335,製品マスタ!$M$5:$AE$4999,19,FALSE),IF(J1335="リード付け","-",IF(J1335="スリット",VLOOKUP(F1335&amp;K1335&amp;Q1335,製品マスタ!$N$5:$AE$4999,18,FALSE),"")))</f>
        <v>1015</v>
      </c>
      <c r="X1335" s="256">
        <f>IF(D1335="","",VLOOKUP(D1335,契約台帳!$A$3:$Q$4986,17,FALSE))</f>
        <v>2</v>
      </c>
      <c r="Y1335" s="256" t="str">
        <f>IF(D1335="","",VLOOKUP(D1335,契約台帳!$A$3:$E$4986,5,FALSE))</f>
        <v>リンテック㈱</v>
      </c>
      <c r="Z1335" s="310">
        <v>45378</v>
      </c>
      <c r="AA1335" s="200"/>
      <c r="AB1335" s="312"/>
      <c r="AC1335" s="313"/>
      <c r="AD1335" s="51" t="str">
        <f t="shared" ref="AD1335" si="63">IF(F1335="","",+F1335&amp;K1335)</f>
        <v>3SNMLBMNGKBF38</v>
      </c>
      <c r="AE1335" s="52">
        <f t="shared" ref="AE1335" si="64">+M1335*N1335*O1335/1000</f>
        <v>12361.5</v>
      </c>
      <c r="AF1335" s="41">
        <f>IF(AD1335="","",VLOOKUP(AD1335,原価マスタ!$A$2:$AJ$1693,13,FALSE))</f>
        <v>97.2</v>
      </c>
      <c r="AG1335" s="45">
        <f t="shared" ref="AG1335" si="65">IF(AF1335="","",+AE1335*AF1335/100)</f>
        <v>12015.378000000001</v>
      </c>
      <c r="AH1335" s="28"/>
      <c r="AI1335" s="28"/>
      <c r="AJ1335" s="28"/>
      <c r="AK1335" s="28"/>
      <c r="AL1335" s="12"/>
      <c r="AM1335" s="12"/>
      <c r="AN1335" s="12"/>
      <c r="AO1335" s="12"/>
      <c r="AP1335" s="12"/>
      <c r="AQ1335" s="13"/>
      <c r="AR1335" s="14"/>
    </row>
    <row r="1336" spans="1:44" s="16" customFormat="1" ht="30.95" hidden="1" customHeight="1" x14ac:dyDescent="0.2">
      <c r="A1336" s="35"/>
      <c r="B1336" s="36"/>
      <c r="C1336" s="305"/>
      <c r="D1336" s="29"/>
      <c r="E1336" s="29"/>
      <c r="F1336" s="255"/>
      <c r="G1336" s="256"/>
      <c r="H1336" s="256"/>
      <c r="I1336" s="200"/>
      <c r="J1336" s="30"/>
      <c r="K1336" s="200"/>
      <c r="L1336" s="200"/>
      <c r="M1336" s="37"/>
      <c r="N1336" s="37"/>
      <c r="O1336" s="45"/>
      <c r="P1336" s="54"/>
      <c r="Q1336" s="260"/>
      <c r="R1336" s="261"/>
      <c r="S1336" s="261"/>
      <c r="T1336" s="38"/>
      <c r="U1336" s="261"/>
      <c r="V1336" s="256"/>
      <c r="W1336" s="256"/>
      <c r="X1336" s="256"/>
      <c r="Y1336" s="256"/>
      <c r="Z1336" s="310"/>
      <c r="AA1336" s="200"/>
      <c r="AB1336" s="312"/>
      <c r="AC1336" s="313"/>
      <c r="AD1336" s="51"/>
      <c r="AE1336" s="52"/>
      <c r="AF1336" s="41"/>
      <c r="AG1336" s="45"/>
      <c r="AH1336" s="28"/>
      <c r="AI1336" s="28"/>
      <c r="AJ1336" s="28"/>
      <c r="AK1336" s="28"/>
      <c r="AL1336" s="12"/>
      <c r="AM1336" s="12"/>
      <c r="AN1336" s="12"/>
      <c r="AO1336" s="12"/>
      <c r="AP1336" s="12"/>
      <c r="AQ1336" s="13"/>
      <c r="AR1336" s="14"/>
    </row>
    <row r="1337" spans="1:44" s="16" customFormat="1" ht="30.95" hidden="1" customHeight="1" x14ac:dyDescent="0.2">
      <c r="A1337" s="35"/>
      <c r="B1337" s="36"/>
      <c r="C1337" s="305"/>
      <c r="D1337" s="29">
        <v>3741613</v>
      </c>
      <c r="E1337" s="29">
        <v>4141086</v>
      </c>
      <c r="F1337" s="255" t="str">
        <f>IF(D1337="","",VLOOKUP(D1337,契約台帳!$A$3:$K$4986,6,FALSE)&amp;VLOOKUP(D1337,契約台帳!$A$3:$K$4986,7,FALSE)&amp;VLOOKUP(D1337,契約台帳!$A$3:$K$4986,8,FALSE)&amp;VLOOKUP(D1337,契約台帳!$A$3:$K$4986,9,FALSE)&amp;VLOOKUP(D1337,契約台帳!$A$3:$K$4986,11,FALSE))</f>
        <v>3SNMLBMNNGKBF</v>
      </c>
      <c r="G1337" s="256" t="str">
        <f>IF(D1337="","",VLOOKUP(F1337,製品マスタ!$G$5:$H$4999,2,FALSE))</f>
        <v>S</v>
      </c>
      <c r="H1337" s="256" t="str">
        <f>IF(D1337="","",VLOOKUP(F1337,製品マスタ!$G$5:$K$4999,5,FALSE))</f>
        <v>MNNGKBF</v>
      </c>
      <c r="I1337" s="200" t="str">
        <f>IF(D1337="","",VLOOKUP(F1337,製品マスタ!$G$5:$L$4999,6,FALSE))</f>
        <v>メタルミー　ニューネーマー銀消　Ｂ</v>
      </c>
      <c r="J1337" s="30" t="s">
        <v>447</v>
      </c>
      <c r="K1337" s="200">
        <f>IF(D1337="","",VLOOKUP(D1337,契約台帳!$A$3:$L$4986,12,FALSE))</f>
        <v>25</v>
      </c>
      <c r="L1337" s="200" t="str">
        <f>IF(D1337="","",INDEX(製品マスタ!$Q$5:$Q$4999,MATCH(F1337&amp;K1337,製品マスタ!$AO$5:$AO$4999,0)))</f>
        <v>X44C</v>
      </c>
      <c r="M1337" s="37">
        <v>1005</v>
      </c>
      <c r="N1337" s="37">
        <v>16000</v>
      </c>
      <c r="O1337" s="45">
        <v>1</v>
      </c>
      <c r="P1337" s="54"/>
      <c r="Q1337" s="260">
        <f>IF(D1337="","",IF(J1337="リード付け",M1337,VLOOKUP(D1337,契約台帳!$A$3:$N$4986,14,FALSE)))</f>
        <v>1005</v>
      </c>
      <c r="R1337" s="261">
        <f>IF(D1337="","",IF(J1337="リード付け",M1337,VLOOKUP(D1337,契約台帳!$A$3:$O$4986,15,FALSE)))</f>
        <v>1000</v>
      </c>
      <c r="S1337" s="261">
        <f>IF(D1337="","",IF(J1337="リード付け",N1337,VLOOKUP(D1337,契約台帳!$A$3:$P$4986,16,FALSE)))</f>
        <v>4000</v>
      </c>
      <c r="T1337" s="38">
        <v>4</v>
      </c>
      <c r="U1337" s="261">
        <f ca="1">IF(D1337="","",IF(OFFSET(D1337,-2,0)=D1337,"",VLOOKUP(D1337,契約台帳!$A$3:$R$4986,18,FALSE)))</f>
        <v>4</v>
      </c>
      <c r="V1337" s="256" t="str">
        <f>IF(J1337="巻返し",VLOOKUP(F1337&amp;K1337&amp;M1337,製品マスタ!$M$5:$AD$4999,18,FALSE),IF(J1337="リード付け","原反コア",IF(J1337="スリット",VLOOKUP(F1337&amp;K1337&amp;Q1337,製品マスタ!$N$5:$AD$4999,17,FALSE),"")))</f>
        <v>6ｲﾝﾁSｺｱ</v>
      </c>
      <c r="W1337" s="256">
        <f>IF(J1337="巻返し",VLOOKUP(F1337&amp;K1337&amp;M1337,製品マスタ!$M$5:$AE$4999,19,FALSE),IF(J1337="リード付け","-",IF(J1337="スリット",VLOOKUP(F1337&amp;K1337&amp;Q1337,製品マスタ!$N$5:$AE$4999,18,FALSE),"")))</f>
        <v>1015</v>
      </c>
      <c r="X1337" s="256">
        <f>IF(D1337="","",VLOOKUP(D1337,契約台帳!$A$3:$Q$4986,17,FALSE))</f>
        <v>2</v>
      </c>
      <c r="Y1337" s="256" t="str">
        <f>IF(D1337="","",VLOOKUP(D1337,契約台帳!$A$3:$E$4986,5,FALSE))</f>
        <v>リンテック㈱</v>
      </c>
      <c r="Z1337" s="310">
        <v>45378</v>
      </c>
      <c r="AA1337" s="200"/>
      <c r="AB1337" s="312"/>
      <c r="AC1337" s="313"/>
      <c r="AD1337" s="51" t="str">
        <f t="shared" ref="AD1337" si="66">IF(F1337="","",+F1337&amp;K1337)</f>
        <v>3SNMLBMNNGKBF25</v>
      </c>
      <c r="AE1337" s="52">
        <f t="shared" ref="AE1337" si="67">+M1337*N1337*O1337/1000</f>
        <v>16080</v>
      </c>
      <c r="AF1337" s="41">
        <f>IF(AD1337="","",VLOOKUP(AD1337,原価マスタ!$A$2:$AJ$1693,13,FALSE))</f>
        <v>98.3</v>
      </c>
      <c r="AG1337" s="45">
        <f t="shared" ref="AG1337" si="68">IF(AF1337="","",+AE1337*AF1337/100)</f>
        <v>15806.64</v>
      </c>
      <c r="AH1337" s="28"/>
      <c r="AI1337" s="28"/>
      <c r="AJ1337" s="28"/>
      <c r="AK1337" s="28"/>
      <c r="AL1337" s="12"/>
      <c r="AM1337" s="12"/>
      <c r="AN1337" s="12"/>
      <c r="AO1337" s="12"/>
      <c r="AP1337" s="12"/>
      <c r="AQ1337" s="13"/>
      <c r="AR1337" s="14"/>
    </row>
    <row r="1338" spans="1:44" s="16" customFormat="1" ht="30.95" hidden="1" customHeight="1" x14ac:dyDescent="0.2">
      <c r="A1338" s="35"/>
      <c r="B1338" s="36"/>
      <c r="C1338" s="305"/>
      <c r="D1338" s="29"/>
      <c r="E1338" s="29"/>
      <c r="F1338" s="255"/>
      <c r="G1338" s="256"/>
      <c r="H1338" s="256"/>
      <c r="I1338" s="200"/>
      <c r="J1338" s="30"/>
      <c r="K1338" s="200"/>
      <c r="L1338" s="200"/>
      <c r="M1338" s="37"/>
      <c r="N1338" s="37"/>
      <c r="O1338" s="45"/>
      <c r="P1338" s="54"/>
      <c r="Q1338" s="260"/>
      <c r="R1338" s="261"/>
      <c r="S1338" s="261"/>
      <c r="T1338" s="38"/>
      <c r="U1338" s="261"/>
      <c r="V1338" s="256"/>
      <c r="W1338" s="256"/>
      <c r="X1338" s="256"/>
      <c r="Y1338" s="256"/>
      <c r="Z1338" s="310"/>
      <c r="AA1338" s="200"/>
      <c r="AB1338" s="312"/>
      <c r="AC1338" s="313"/>
      <c r="AD1338" s="51"/>
      <c r="AE1338" s="52"/>
      <c r="AF1338" s="41"/>
      <c r="AG1338" s="45"/>
      <c r="AH1338" s="28"/>
      <c r="AI1338" s="28"/>
      <c r="AJ1338" s="28"/>
      <c r="AK1338" s="28"/>
      <c r="AL1338" s="12"/>
      <c r="AM1338" s="12"/>
      <c r="AN1338" s="12"/>
      <c r="AO1338" s="12"/>
      <c r="AP1338" s="12"/>
      <c r="AQ1338" s="13"/>
      <c r="AR1338" s="14"/>
    </row>
    <row r="1339" spans="1:44" s="16" customFormat="1" ht="30.95" hidden="1" customHeight="1" x14ac:dyDescent="0.2">
      <c r="A1339" s="303"/>
      <c r="B1339" s="304"/>
      <c r="C1339" s="305"/>
      <c r="D1339" s="29">
        <v>3741610</v>
      </c>
      <c r="E1339" s="29">
        <v>4151602</v>
      </c>
      <c r="F1339" s="255" t="str">
        <f>IF(D1339="","",VLOOKUP(D1339,契約台帳!$A$3:$K$4986,6,FALSE)&amp;VLOOKUP(D1339,契約台帳!$A$3:$K$4986,7,FALSE)&amp;VLOOKUP(D1339,契約台帳!$A$3:$K$4986,8,FALSE)&amp;VLOOKUP(D1339,契約台帳!$A$3:$K$4986,9,FALSE)&amp;VLOOKUP(D1339,契約台帳!$A$3:$K$4986,11,FALSE))</f>
        <v>3SNMLBMNGTBF</v>
      </c>
      <c r="G1339" s="256" t="str">
        <f>IF(D1339="","",VLOOKUP(F1339,製品マスタ!$G$5:$H$4999,2,FALSE))</f>
        <v>S</v>
      </c>
      <c r="H1339" s="256" t="str">
        <f>IF(D1339="","",VLOOKUP(F1339,製品マスタ!$G$5:$K$4999,5,FALSE))</f>
        <v>MNGTBF</v>
      </c>
      <c r="I1339" s="200" t="str">
        <f>IF(D1339="","",VLOOKUP(F1339,製品マスタ!$G$5:$L$4999,6,FALSE))</f>
        <v>メタルミー　ネーマー　銀艶　Ｂ</v>
      </c>
      <c r="J1339" s="30" t="s">
        <v>447</v>
      </c>
      <c r="K1339" s="200">
        <f>IF(D1339="","",VLOOKUP(D1339,契約台帳!$A$3:$L$4986,12,FALSE))</f>
        <v>25</v>
      </c>
      <c r="L1339" s="200" t="str">
        <f>IF(D1339="","",INDEX(製品マスタ!$Q$5:$Q$4999,MATCH(F1339&amp;K1339,製品マスタ!$AO$5:$AO$4999,0)))</f>
        <v>T62M</v>
      </c>
      <c r="M1339" s="258">
        <v>1005</v>
      </c>
      <c r="N1339" s="258">
        <v>12100</v>
      </c>
      <c r="O1339" s="343">
        <v>2</v>
      </c>
      <c r="P1339" s="54"/>
      <c r="Q1339" s="260">
        <f>IF(D1339="","",IF(J1339="リード付け",M1339,VLOOKUP(D1339,契約台帳!$A$3:$N$4986,14,FALSE)))</f>
        <v>1005</v>
      </c>
      <c r="R1339" s="261">
        <f>IF(D1339="","",IF(J1339="リード付け",M1339,VLOOKUP(D1339,契約台帳!$A$3:$O$4986,15,FALSE)))</f>
        <v>1000</v>
      </c>
      <c r="S1339" s="261">
        <f>IF(D1339="","",IF(J1339="リード付け",N1339,VLOOKUP(D1339,契約台帳!$A$3:$P$4986,16,FALSE)))</f>
        <v>4000</v>
      </c>
      <c r="T1339" s="38">
        <v>6</v>
      </c>
      <c r="U1339" s="261">
        <f ca="1">IF(D1339="","",IF(OFFSET(D1339,-2,0)=D1339,"",VLOOKUP(D1339,契約台帳!$A$3:$R$4986,18,FALSE)))</f>
        <v>6</v>
      </c>
      <c r="V1339" s="256" t="str">
        <f>IF(J1339="巻返し",VLOOKUP(F1339&amp;K1339&amp;M1339,製品マスタ!$M$5:$AD$4999,18,FALSE),IF(J1339="リード付け","原反コア",IF(J1339="スリット",VLOOKUP(F1339&amp;K1339&amp;Q1339,製品マスタ!$N$5:$AD$4999,17,FALSE),"")))</f>
        <v>6ｲﾝﾁSｺｱ</v>
      </c>
      <c r="W1339" s="256">
        <f>IF(J1339="巻返し",VLOOKUP(F1339&amp;K1339&amp;M1339,製品マスタ!$M$5:$AE$4999,19,FALSE),IF(J1339="リード付け","-",IF(J1339="スリット",VLOOKUP(F1339&amp;K1339&amp;Q1339,製品マスタ!$N$5:$AE$4999,18,FALSE),"")))</f>
        <v>1015</v>
      </c>
      <c r="X1339" s="256">
        <f>IF(D1339="","",VLOOKUP(D1339,契約台帳!$A$3:$Q$4986,17,FALSE))</f>
        <v>2</v>
      </c>
      <c r="Y1339" s="256" t="str">
        <f>IF(D1339="","",VLOOKUP(D1339,契約台帳!$A$3:$E$4986,5,FALSE))</f>
        <v>リンテック㈱</v>
      </c>
      <c r="Z1339" s="310">
        <v>45378</v>
      </c>
      <c r="AA1339" s="200"/>
      <c r="AB1339" s="312"/>
      <c r="AC1339" s="313"/>
      <c r="AD1339" s="51" t="str">
        <f t="shared" ref="AD1339" si="69">IF(F1339="","",+F1339&amp;K1339)</f>
        <v>3SNMLBMNGTBF25</v>
      </c>
      <c r="AE1339" s="52">
        <f t="shared" ref="AE1339" si="70">+M1339*N1339*O1339/1000</f>
        <v>24321</v>
      </c>
      <c r="AF1339" s="41">
        <f>IF(AD1339="","",VLOOKUP(AD1339,原価マスタ!$A$2:$AJ$1693,13,FALSE))</f>
        <v>97.5</v>
      </c>
      <c r="AG1339" s="45">
        <f t="shared" ref="AG1339" si="71">IF(AF1339="","",+AE1339*AF1339/100)</f>
        <v>23712.974999999999</v>
      </c>
      <c r="AH1339" s="28"/>
      <c r="AI1339" s="28"/>
      <c r="AJ1339" s="28"/>
      <c r="AK1339" s="28"/>
      <c r="AL1339" s="12"/>
      <c r="AM1339" s="12"/>
      <c r="AN1339" s="12"/>
      <c r="AO1339" s="12"/>
      <c r="AP1339" s="12"/>
      <c r="AQ1339" s="13"/>
      <c r="AR1339" s="14"/>
    </row>
    <row r="1340" spans="1:44" s="16" customFormat="1" ht="30.95" hidden="1" customHeight="1" x14ac:dyDescent="0.2">
      <c r="A1340" s="35"/>
      <c r="B1340" s="36"/>
      <c r="C1340" s="305"/>
      <c r="D1340" s="29"/>
      <c r="E1340" s="29"/>
      <c r="F1340" s="255"/>
      <c r="G1340" s="256"/>
      <c r="H1340" s="256"/>
      <c r="I1340" s="200"/>
      <c r="J1340" s="30"/>
      <c r="K1340" s="200"/>
      <c r="L1340" s="200"/>
      <c r="M1340" s="37"/>
      <c r="N1340" s="37"/>
      <c r="O1340" s="45"/>
      <c r="P1340" s="54"/>
      <c r="Q1340" s="260"/>
      <c r="R1340" s="261"/>
      <c r="S1340" s="261"/>
      <c r="T1340" s="38"/>
      <c r="U1340" s="261"/>
      <c r="V1340" s="256"/>
      <c r="W1340" s="256"/>
      <c r="X1340" s="256"/>
      <c r="Y1340" s="256"/>
      <c r="Z1340" s="310"/>
      <c r="AA1340" s="200"/>
      <c r="AB1340" s="312"/>
      <c r="AC1340" s="313"/>
      <c r="AD1340" s="51"/>
      <c r="AE1340" s="52"/>
      <c r="AF1340" s="41"/>
      <c r="AG1340" s="45"/>
      <c r="AH1340" s="28"/>
      <c r="AI1340" s="28"/>
      <c r="AJ1340" s="28"/>
      <c r="AK1340" s="28"/>
      <c r="AL1340" s="12"/>
      <c r="AM1340" s="12"/>
      <c r="AN1340" s="12"/>
      <c r="AO1340" s="12"/>
      <c r="AP1340" s="12"/>
      <c r="AQ1340" s="13"/>
      <c r="AR1340" s="14"/>
    </row>
    <row r="1341" spans="1:44" s="16" customFormat="1" ht="30.95" hidden="1" customHeight="1" x14ac:dyDescent="0.2">
      <c r="A1341" s="35" t="s">
        <v>2356</v>
      </c>
      <c r="B1341" s="36" t="s">
        <v>2357</v>
      </c>
      <c r="C1341" s="305"/>
      <c r="D1341" s="29">
        <v>3741621</v>
      </c>
      <c r="E1341" s="29">
        <v>4141087</v>
      </c>
      <c r="F1341" s="255" t="str">
        <f>IF(D1341="","",VLOOKUP(D1341,契約台帳!$A$3:$K$4986,6,FALSE)&amp;VLOOKUP(D1341,契約台帳!$A$3:$K$4986,7,FALSE)&amp;VLOOKUP(D1341,契約台帳!$A$3:$K$4986,8,FALSE)&amp;VLOOKUP(D1341,契約台帳!$A$3:$K$4986,9,FALSE)&amp;VLOOKUP(D1341,契約台帳!$A$3:$K$4986,11,FALSE))</f>
        <v>3SNMLBMNQR66F</v>
      </c>
      <c r="G1341" s="256" t="str">
        <f>IF(D1341="","",VLOOKUP(F1341,製品マスタ!$G$5:$H$4999,2,FALSE))</f>
        <v>S</v>
      </c>
      <c r="H1341" s="256" t="str">
        <f>IF(D1341="","",VLOOKUP(F1341,製品マスタ!$G$5:$K$4999,5,FALSE))</f>
        <v>MNQR66F</v>
      </c>
      <c r="I1341" s="200" t="str">
        <f>IF(D1341="","",VLOOKUP(F1341,製品マスタ!$G$5:$L$4999,6,FALSE))</f>
        <v>ＱＲ６６蒸着品</v>
      </c>
      <c r="J1341" s="30" t="s">
        <v>447</v>
      </c>
      <c r="K1341" s="200">
        <f>IF(D1341="","",VLOOKUP(D1341,契約台帳!$A$3:$L$4986,12,FALSE))</f>
        <v>25</v>
      </c>
      <c r="L1341" s="200" t="str">
        <f>IF(D1341="","",INDEX(製品マスタ!$Q$5:$Q$4999,MATCH(F1341&amp;K1341,製品マスタ!$AO$5:$AO$4999,0)))</f>
        <v>E315</v>
      </c>
      <c r="M1341" s="37">
        <v>1000</v>
      </c>
      <c r="N1341" s="37">
        <v>18000</v>
      </c>
      <c r="O1341" s="45">
        <v>1</v>
      </c>
      <c r="P1341" s="54"/>
      <c r="Q1341" s="260">
        <f>IF(D1341="","",IF(J1341="リード付け",M1341,VLOOKUP(D1341,契約台帳!$A$3:$N$4986,14,FALSE)))</f>
        <v>1000</v>
      </c>
      <c r="R1341" s="261">
        <f>IF(D1341="","",IF(J1341="リード付け",M1341,VLOOKUP(D1341,契約台帳!$A$3:$O$4986,15,FALSE)))</f>
        <v>1000</v>
      </c>
      <c r="S1341" s="261">
        <f>IF(D1341="","",IF(J1341="リード付け",N1341,VLOOKUP(D1341,契約台帳!$A$3:$P$4986,16,FALSE)))</f>
        <v>6000</v>
      </c>
      <c r="T1341" s="38">
        <v>3</v>
      </c>
      <c r="U1341" s="261">
        <f ca="1">IF(D1341="","",IF(OFFSET(D1341,-2,0)=D1341,"",VLOOKUP(D1341,契約台帳!$A$3:$R$4986,18,FALSE)))</f>
        <v>3</v>
      </c>
      <c r="V1341" s="256" t="str">
        <f>IF(J1341="巻返し",VLOOKUP(F1341&amp;K1341&amp;M1341,製品マスタ!$M$5:$AD$4999,18,FALSE),IF(J1341="リード付け","原反コア",IF(J1341="スリット",VLOOKUP(F1341&amp;K1341&amp;Q1341,製品マスタ!$N$5:$AD$4999,17,FALSE),"")))</f>
        <v>6ｲﾝﾁMｺｱ</v>
      </c>
      <c r="W1341" s="256">
        <f>IF(J1341="巻返し",VLOOKUP(F1341&amp;K1341&amp;M1341,製品マスタ!$M$5:$AE$4999,19,FALSE),IF(J1341="リード付け","-",IF(J1341="スリット",VLOOKUP(F1341&amp;K1341&amp;Q1341,製品マスタ!$N$5:$AE$4999,18,FALSE),"")))</f>
        <v>1010</v>
      </c>
      <c r="X1341" s="256">
        <f>IF(D1341="","",VLOOKUP(D1341,契約台帳!$A$3:$Q$4986,17,FALSE))</f>
        <v>2</v>
      </c>
      <c r="Y1341" s="256" t="str">
        <f>IF(D1341="","",VLOOKUP(D1341,契約台帳!$A$3:$E$4986,5,FALSE))</f>
        <v>リンテック㈱</v>
      </c>
      <c r="Z1341" s="310">
        <v>45379</v>
      </c>
      <c r="AA1341" s="200"/>
      <c r="AB1341" s="312"/>
      <c r="AC1341" s="313"/>
      <c r="AD1341" s="51" t="str">
        <f t="shared" ref="AD1341" si="72">IF(F1341="","",+F1341&amp;K1341)</f>
        <v>3SNMLBMNQR66F25</v>
      </c>
      <c r="AE1341" s="52">
        <f t="shared" ref="AE1341" si="73">+M1341*N1341*O1341/1000</f>
        <v>18000</v>
      </c>
      <c r="AF1341" s="41">
        <f>IF(AD1341="","",VLOOKUP(AD1341,原価マスタ!$A$2:$AJ$1693,13,FALSE))</f>
        <v>98</v>
      </c>
      <c r="AG1341" s="45">
        <f t="shared" ref="AG1341" si="74">IF(AF1341="","",+AE1341*AF1341/100)</f>
        <v>17640</v>
      </c>
      <c r="AH1341" s="28"/>
      <c r="AI1341" s="28"/>
      <c r="AJ1341" s="28"/>
      <c r="AK1341" s="28"/>
      <c r="AL1341" s="12"/>
      <c r="AM1341" s="12"/>
      <c r="AN1341" s="12"/>
      <c r="AO1341" s="12"/>
      <c r="AP1341" s="12"/>
      <c r="AQ1341" s="13"/>
      <c r="AR1341" s="14"/>
    </row>
    <row r="1342" spans="1:44" s="16" customFormat="1" ht="30.95" hidden="1" customHeight="1" x14ac:dyDescent="0.2">
      <c r="A1342" s="35"/>
      <c r="B1342" s="36"/>
      <c r="C1342" s="305"/>
      <c r="D1342" s="29"/>
      <c r="E1342" s="29"/>
      <c r="F1342" s="255"/>
      <c r="G1342" s="256"/>
      <c r="H1342" s="256"/>
      <c r="I1342" s="200"/>
      <c r="J1342" s="30"/>
      <c r="K1342" s="200"/>
      <c r="L1342" s="200"/>
      <c r="M1342" s="37"/>
      <c r="N1342" s="37"/>
      <c r="O1342" s="45"/>
      <c r="P1342" s="54"/>
      <c r="Q1342" s="260"/>
      <c r="R1342" s="261"/>
      <c r="S1342" s="261"/>
      <c r="T1342" s="38"/>
      <c r="U1342" s="261"/>
      <c r="V1342" s="256"/>
      <c r="W1342" s="256"/>
      <c r="X1342" s="256"/>
      <c r="Y1342" s="256"/>
      <c r="Z1342" s="310"/>
      <c r="AA1342" s="200"/>
      <c r="AB1342" s="312"/>
      <c r="AC1342" s="313"/>
      <c r="AD1342" s="51"/>
      <c r="AE1342" s="52"/>
      <c r="AF1342" s="41"/>
      <c r="AG1342" s="45"/>
      <c r="AH1342" s="28"/>
      <c r="AI1342" s="28"/>
      <c r="AJ1342" s="28"/>
      <c r="AK1342" s="28"/>
      <c r="AL1342" s="12"/>
      <c r="AM1342" s="12"/>
      <c r="AN1342" s="12"/>
      <c r="AO1342" s="12"/>
      <c r="AP1342" s="12"/>
      <c r="AQ1342" s="13"/>
      <c r="AR1342" s="14"/>
    </row>
    <row r="1343" spans="1:44" s="16" customFormat="1" ht="30.95" hidden="1" customHeight="1" x14ac:dyDescent="0.2">
      <c r="A1343" s="35"/>
      <c r="B1343" s="36"/>
      <c r="C1343" s="305"/>
      <c r="D1343" s="29">
        <v>3741601</v>
      </c>
      <c r="E1343" s="29">
        <v>4151589</v>
      </c>
      <c r="F1343" s="255" t="str">
        <f>IF(D1343="","",VLOOKUP(D1343,契約台帳!$A$3:$K$4986,6,FALSE)&amp;VLOOKUP(D1343,契約台帳!$A$3:$K$4986,7,FALSE)&amp;VLOOKUP(D1343,契約台帳!$A$3:$K$4986,8,FALSE)&amp;VLOOKUP(D1343,契約台帳!$A$3:$K$4986,9,FALSE)&amp;VLOOKUP(D1343,契約台帳!$A$3:$K$4986,11,FALSE))</f>
        <v>3SNMLBMNGKKBF</v>
      </c>
      <c r="G1343" s="256" t="str">
        <f>IF(D1343="","",VLOOKUP(F1343,製品マスタ!$G$5:$H$4999,2,FALSE))</f>
        <v>S</v>
      </c>
      <c r="H1343" s="256" t="str">
        <f>IF(D1343="","",VLOOKUP(F1343,製品マスタ!$G$5:$K$4999,5,FALSE))</f>
        <v>MNGKKBF</v>
      </c>
      <c r="I1343" s="200" t="str">
        <f>IF(D1343="","",VLOOKUP(F1343,製品マスタ!$G$5:$L$4999,6,FALSE))</f>
        <v>メタルミー　ネーマー銀消改　Ｂ</v>
      </c>
      <c r="J1343" s="30" t="s">
        <v>447</v>
      </c>
      <c r="K1343" s="200">
        <f>IF(D1343="","",VLOOKUP(D1343,契約台帳!$A$3:$L$4986,12,FALSE))</f>
        <v>25</v>
      </c>
      <c r="L1343" s="200" t="str">
        <f>IF(D1343="","",INDEX(製品マスタ!$Q$5:$Q$4999,MATCH(F1343&amp;K1343,製品マスタ!$AO$5:$AO$4999,0)))</f>
        <v>FMATS99</v>
      </c>
      <c r="M1343" s="258">
        <v>1000</v>
      </c>
      <c r="N1343" s="258">
        <v>12000</v>
      </c>
      <c r="O1343" s="343">
        <v>1</v>
      </c>
      <c r="P1343" s="54"/>
      <c r="Q1343" s="260">
        <f>IF(D1343="","",IF(J1343="リード付け",M1343,VLOOKUP(D1343,契約台帳!$A$3:$N$4986,14,FALSE)))</f>
        <v>1000</v>
      </c>
      <c r="R1343" s="261">
        <f>IF(D1343="","",IF(J1343="リード付け",M1343,VLOOKUP(D1343,契約台帳!$A$3:$O$4986,15,FALSE)))</f>
        <v>1000</v>
      </c>
      <c r="S1343" s="261">
        <f>IF(D1343="","",IF(J1343="リード付け",N1343,VLOOKUP(D1343,契約台帳!$A$3:$P$4986,16,FALSE)))</f>
        <v>4000</v>
      </c>
      <c r="T1343" s="38">
        <v>3</v>
      </c>
      <c r="U1343" s="261">
        <f ca="1">IF(D1343="","",IF(OFFSET(D1343,-2,0)=D1343,"",VLOOKUP(D1343,契約台帳!$A$3:$R$4986,18,FALSE)))</f>
        <v>3</v>
      </c>
      <c r="V1343" s="256" t="str">
        <f>IF(J1343="巻返し",VLOOKUP(F1343&amp;K1343&amp;M1343,製品マスタ!$M$5:$AD$4999,18,FALSE),IF(J1343="リード付け","原反コア",IF(J1343="スリット",VLOOKUP(F1343&amp;K1343&amp;Q1343,製品マスタ!$N$5:$AD$4999,17,FALSE),"")))</f>
        <v>6ｲﾝﾁSｺｱ</v>
      </c>
      <c r="W1343" s="256">
        <f>IF(J1343="巻返し",VLOOKUP(F1343&amp;K1343&amp;M1343,製品マスタ!$M$5:$AE$4999,19,FALSE),IF(J1343="リード付け","-",IF(J1343="スリット",VLOOKUP(F1343&amp;K1343&amp;Q1343,製品マスタ!$N$5:$AE$4999,18,FALSE),"")))</f>
        <v>1005</v>
      </c>
      <c r="X1343" s="256">
        <f>IF(D1343="","",VLOOKUP(D1343,契約台帳!$A$3:$Q$4986,17,FALSE))</f>
        <v>2</v>
      </c>
      <c r="Y1343" s="256" t="str">
        <f>IF(D1343="","",VLOOKUP(D1343,契約台帳!$A$3:$E$4986,5,FALSE))</f>
        <v>リンテック㈱</v>
      </c>
      <c r="Z1343" s="310">
        <v>45379</v>
      </c>
      <c r="AA1343" s="200"/>
      <c r="AB1343" s="312"/>
      <c r="AC1343" s="313"/>
      <c r="AD1343" s="51" t="str">
        <f t="shared" ref="AD1343:AD1344" si="75">IF(F1343="","",+F1343&amp;K1343)</f>
        <v>3SNMLBMNGKKBF25</v>
      </c>
      <c r="AE1343" s="52">
        <f t="shared" ref="AE1343:AE1344" si="76">+M1343*N1343*O1343/1000</f>
        <v>12000</v>
      </c>
      <c r="AF1343" s="41">
        <f>IF(AD1343="","",VLOOKUP(AD1343,原価マスタ!$A$2:$AJ$1693,13,FALSE))</f>
        <v>96</v>
      </c>
      <c r="AG1343" s="45">
        <f t="shared" ref="AG1343:AG1344" si="77">IF(AF1343="","",+AE1343*AF1343/100)</f>
        <v>11520</v>
      </c>
      <c r="AH1343" s="28"/>
      <c r="AI1343" s="28"/>
      <c r="AJ1343" s="28"/>
      <c r="AK1343" s="28"/>
      <c r="AL1343" s="12"/>
      <c r="AM1343" s="12"/>
      <c r="AN1343" s="12"/>
      <c r="AO1343" s="12"/>
      <c r="AP1343" s="12"/>
      <c r="AQ1343" s="13"/>
      <c r="AR1343" s="14"/>
    </row>
    <row r="1344" spans="1:44" s="16" customFormat="1" ht="30.95" hidden="1" customHeight="1" x14ac:dyDescent="0.2">
      <c r="A1344" s="35"/>
      <c r="B1344" s="36"/>
      <c r="C1344" s="305"/>
      <c r="D1344" s="29"/>
      <c r="E1344" s="29"/>
      <c r="F1344" s="255" t="str">
        <f>IF(D1344="","",VLOOKUP(D1344,契約台帳!$A$3:$K$4986,6,FALSE)&amp;VLOOKUP(D1344,契約台帳!$A$3:$K$4986,7,FALSE)&amp;VLOOKUP(D1344,契約台帳!$A$3:$K$4986,8,FALSE)&amp;VLOOKUP(D1344,契約台帳!$A$3:$K$4986,9,FALSE)&amp;VLOOKUP(D1344,契約台帳!$A$3:$K$4986,11,FALSE))</f>
        <v/>
      </c>
      <c r="G1344" s="256" t="str">
        <f>IF(D1344="","",VLOOKUP(F1344,製品マスタ!$G$5:$H$4999,2,FALSE))</f>
        <v/>
      </c>
      <c r="H1344" s="256" t="str">
        <f>IF(D1344="","",VLOOKUP(F1344,製品マスタ!$G$5:$K$4999,5,FALSE))</f>
        <v/>
      </c>
      <c r="I1344" s="200" t="str">
        <f>IF(D1344="","",VLOOKUP(F1344,製品マスタ!$G$5:$L$4999,6,FALSE))</f>
        <v/>
      </c>
      <c r="J1344" s="30"/>
      <c r="K1344" s="200" t="str">
        <f>IF(D1344="","",VLOOKUP(D1344,契約台帳!$A$3:$L$4986,12,FALSE))</f>
        <v/>
      </c>
      <c r="L1344" s="200" t="str">
        <f>IF(D1344="","",INDEX(製品マスタ!$Q$5:$Q$4999,MATCH(F1344&amp;K1344,製品マスタ!$AO$5:$AO$4999,0)))</f>
        <v/>
      </c>
      <c r="M1344" s="258"/>
      <c r="N1344" s="258"/>
      <c r="O1344" s="343"/>
      <c r="P1344" s="54"/>
      <c r="Q1344" s="260" t="str">
        <f>IF(D1344="","",IF(J1344="リード付け",M1344,VLOOKUP(D1344,契約台帳!$A$3:$N$4986,14,FALSE)))</f>
        <v/>
      </c>
      <c r="R1344" s="261" t="str">
        <f>IF(D1344="","",IF(J1344="リード付け",M1344,VLOOKUP(D1344,契約台帳!$A$3:$O$4986,15,FALSE)))</f>
        <v/>
      </c>
      <c r="S1344" s="261" t="str">
        <f>IF(D1344="","",IF(J1344="リード付け",N1344,VLOOKUP(D1344,契約台帳!$A$3:$P$4986,16,FALSE)))</f>
        <v/>
      </c>
      <c r="T1344" s="38"/>
      <c r="U1344" s="261" t="str">
        <f ca="1">IF(D1344="","",IF(OFFSET(D1344,-2,0)=D1344,"",VLOOKUP(D1344,契約台帳!$A$3:$R$4986,18,FALSE)))</f>
        <v/>
      </c>
      <c r="V1344" s="256" t="str">
        <f>IF(J1344="巻返し",VLOOKUP(F1344&amp;K1344&amp;M1344,製品マスタ!$M$5:$AD$4999,18,FALSE),IF(J1344="リード付け","原反コア",IF(J1344="スリット",VLOOKUP(F1344&amp;K1344&amp;Q1344,製品マスタ!$N$5:$AD$4999,17,FALSE),"")))</f>
        <v/>
      </c>
      <c r="W1344" s="256" t="str">
        <f>IF(J1344="巻返し",VLOOKUP(F1344&amp;K1344&amp;M1344,製品マスタ!$M$5:$AE$4999,19,FALSE),IF(J1344="リード付け","-",IF(J1344="スリット",VLOOKUP(F1344&amp;K1344&amp;Q1344,製品マスタ!$N$5:$AE$4999,18,FALSE),"")))</f>
        <v/>
      </c>
      <c r="X1344" s="256" t="str">
        <f>IF(D1344="","",VLOOKUP(D1344,契約台帳!$A$3:$Q$4986,17,FALSE))</f>
        <v/>
      </c>
      <c r="Y1344" s="256" t="str">
        <f>IF(D1344="","",VLOOKUP(D1344,契約台帳!$A$3:$E$4986,5,FALSE))</f>
        <v/>
      </c>
      <c r="Z1344" s="310"/>
      <c r="AA1344" s="200"/>
      <c r="AB1344" s="312"/>
      <c r="AC1344" s="313"/>
      <c r="AD1344" s="51" t="str">
        <f t="shared" si="75"/>
        <v/>
      </c>
      <c r="AE1344" s="52">
        <f t="shared" si="76"/>
        <v>0</v>
      </c>
      <c r="AF1344" s="41" t="str">
        <f>IF(AD1344="","",VLOOKUP(AD1344,原価マスタ!$A$2:$AJ$1693,13,FALSE))</f>
        <v/>
      </c>
      <c r="AG1344" s="45" t="str">
        <f t="shared" si="77"/>
        <v/>
      </c>
      <c r="AH1344" s="28"/>
      <c r="AI1344" s="28"/>
      <c r="AJ1344" s="28"/>
      <c r="AK1344" s="28"/>
      <c r="AL1344" s="12"/>
      <c r="AM1344" s="12"/>
      <c r="AN1344" s="12"/>
      <c r="AO1344" s="12"/>
      <c r="AP1344" s="12"/>
      <c r="AQ1344" s="13"/>
      <c r="AR1344" s="14"/>
    </row>
    <row r="1345" spans="1:44" s="16" customFormat="1" ht="30.95" hidden="1" customHeight="1" x14ac:dyDescent="0.2">
      <c r="A1345" s="35"/>
      <c r="B1345" s="36"/>
      <c r="C1345" s="305"/>
      <c r="D1345" s="29">
        <v>3741603</v>
      </c>
      <c r="E1345" s="29">
        <v>4151591</v>
      </c>
      <c r="F1345" s="255" t="str">
        <f>IF(D1345="","",VLOOKUP(D1345,契約台帳!$A$3:$K$4986,6,FALSE)&amp;VLOOKUP(D1345,契約台帳!$A$3:$K$4986,7,FALSE)&amp;VLOOKUP(D1345,契約台帳!$A$3:$K$4986,8,FALSE)&amp;VLOOKUP(D1345,契約台帳!$A$3:$K$4986,9,FALSE)&amp;VLOOKUP(D1345,契約台帳!$A$3:$K$4986,11,FALSE))</f>
        <v>3SNMLBMNGKKBF</v>
      </c>
      <c r="G1345" s="256" t="str">
        <f>IF(D1345="","",VLOOKUP(F1345,製品マスタ!$G$5:$H$4999,2,FALSE))</f>
        <v>S</v>
      </c>
      <c r="H1345" s="256" t="str">
        <f>IF(D1345="","",VLOOKUP(F1345,製品マスタ!$G$5:$K$4999,5,FALSE))</f>
        <v>MNGKKBF</v>
      </c>
      <c r="I1345" s="200" t="str">
        <f>IF(D1345="","",VLOOKUP(F1345,製品マスタ!$G$5:$L$4999,6,FALSE))</f>
        <v>メタルミー　ネーマー銀消改　Ｂ</v>
      </c>
      <c r="J1345" s="30" t="s">
        <v>447</v>
      </c>
      <c r="K1345" s="200">
        <f>IF(D1345="","",VLOOKUP(D1345,契約台帳!$A$3:$L$4986,12,FALSE))</f>
        <v>50</v>
      </c>
      <c r="L1345" s="200" t="str">
        <f>IF(D1345="","",INDEX(製品マスタ!$Q$5:$Q$4999,MATCH(F1345&amp;K1345,製品マスタ!$AO$5:$AO$4999,0)))</f>
        <v>S99-MAT</v>
      </c>
      <c r="M1345" s="258">
        <v>1000</v>
      </c>
      <c r="N1345" s="258">
        <v>12000</v>
      </c>
      <c r="O1345" s="343">
        <v>1</v>
      </c>
      <c r="P1345" s="54"/>
      <c r="Q1345" s="260">
        <f>IF(D1345="","",IF(J1345="リード付け",M1345,VLOOKUP(D1345,契約台帳!$A$3:$N$4986,14,FALSE)))</f>
        <v>1000</v>
      </c>
      <c r="R1345" s="261">
        <f>IF(D1345="","",IF(J1345="リード付け",M1345,VLOOKUP(D1345,契約台帳!$A$3:$O$4986,15,FALSE)))</f>
        <v>1000</v>
      </c>
      <c r="S1345" s="261">
        <f>IF(D1345="","",IF(J1345="リード付け",N1345,VLOOKUP(D1345,契約台帳!$A$3:$P$4986,16,FALSE)))</f>
        <v>4000</v>
      </c>
      <c r="T1345" s="38">
        <v>3</v>
      </c>
      <c r="U1345" s="261">
        <f ca="1">IF(D1345="","",IF(OFFSET(D1345,-2,0)=D1345,"",VLOOKUP(D1345,契約台帳!$A$3:$R$4986,18,FALSE)))</f>
        <v>3</v>
      </c>
      <c r="V1345" s="256" t="str">
        <f>IF(J1345="巻返し",VLOOKUP(F1345&amp;K1345&amp;M1345,製品マスタ!$M$5:$AD$4999,18,FALSE),IF(J1345="リード付け","原反コア",IF(J1345="スリット",VLOOKUP(F1345&amp;K1345&amp;Q1345,製品マスタ!$N$5:$AD$4999,17,FALSE),"")))</f>
        <v>6ｲﾝﾁSｺｱ</v>
      </c>
      <c r="W1345" s="256">
        <f>IF(J1345="巻返し",VLOOKUP(F1345&amp;K1345&amp;M1345,製品マスタ!$M$5:$AE$4999,19,FALSE),IF(J1345="リード付け","-",IF(J1345="スリット",VLOOKUP(F1345&amp;K1345&amp;Q1345,製品マスタ!$N$5:$AE$4999,18,FALSE),"")))</f>
        <v>1005</v>
      </c>
      <c r="X1345" s="256">
        <f>IF(D1345="","",VLOOKUP(D1345,契約台帳!$A$3:$Q$4986,17,FALSE))</f>
        <v>2</v>
      </c>
      <c r="Y1345" s="256" t="str">
        <f>IF(D1345="","",VLOOKUP(D1345,契約台帳!$A$3:$E$4986,5,FALSE))</f>
        <v>リンテック㈱</v>
      </c>
      <c r="Z1345" s="310">
        <v>45379</v>
      </c>
      <c r="AA1345" s="200"/>
      <c r="AB1345" s="312"/>
      <c r="AC1345" s="313"/>
      <c r="AD1345" s="51" t="str">
        <f t="shared" ref="AD1345" si="78">IF(F1345="","",+F1345&amp;K1345)</f>
        <v>3SNMLBMNGKKBF50</v>
      </c>
      <c r="AE1345" s="52">
        <f t="shared" ref="AE1345" si="79">+M1345*N1345*O1345/1000</f>
        <v>12000</v>
      </c>
      <c r="AF1345" s="41">
        <f>IF(AD1345="","",VLOOKUP(AD1345,原価マスタ!$A$2:$AJ$1693,13,FALSE))</f>
        <v>99</v>
      </c>
      <c r="AG1345" s="45">
        <f t="shared" ref="AG1345" si="80">IF(AF1345="","",+AE1345*AF1345/100)</f>
        <v>11880</v>
      </c>
      <c r="AH1345" s="28"/>
      <c r="AI1345" s="28"/>
      <c r="AJ1345" s="28"/>
      <c r="AK1345" s="28"/>
      <c r="AL1345" s="12"/>
      <c r="AM1345" s="12"/>
      <c r="AN1345" s="12"/>
      <c r="AO1345" s="12"/>
      <c r="AP1345" s="12"/>
      <c r="AQ1345" s="13"/>
      <c r="AR1345" s="14"/>
    </row>
    <row r="1346" spans="1:44" s="16" customFormat="1" ht="30.95" hidden="1" customHeight="1" x14ac:dyDescent="0.2">
      <c r="A1346" s="35"/>
      <c r="B1346" s="36"/>
      <c r="C1346" s="305"/>
      <c r="D1346" s="29"/>
      <c r="E1346" s="29"/>
      <c r="F1346" s="255"/>
      <c r="G1346" s="256"/>
      <c r="H1346" s="256"/>
      <c r="I1346" s="200"/>
      <c r="J1346" s="307"/>
      <c r="K1346" s="200"/>
      <c r="L1346" s="200"/>
      <c r="M1346" s="258"/>
      <c r="N1346" s="258"/>
      <c r="O1346" s="343"/>
      <c r="P1346" s="54"/>
      <c r="Q1346" s="260"/>
      <c r="R1346" s="261"/>
      <c r="S1346" s="261"/>
      <c r="T1346" s="38"/>
      <c r="U1346" s="261"/>
      <c r="V1346" s="256"/>
      <c r="W1346" s="256"/>
      <c r="X1346" s="256"/>
      <c r="Y1346" s="256"/>
      <c r="Z1346" s="310"/>
      <c r="AA1346" s="200"/>
      <c r="AB1346" s="312"/>
      <c r="AC1346" s="313"/>
      <c r="AD1346" s="51"/>
      <c r="AE1346" s="52"/>
      <c r="AF1346" s="41"/>
      <c r="AG1346" s="45"/>
      <c r="AH1346" s="28"/>
      <c r="AI1346" s="28"/>
      <c r="AJ1346" s="28"/>
      <c r="AK1346" s="28"/>
      <c r="AL1346" s="12"/>
      <c r="AM1346" s="12"/>
      <c r="AN1346" s="12"/>
      <c r="AO1346" s="12"/>
      <c r="AP1346" s="12"/>
      <c r="AQ1346" s="13"/>
      <c r="AR1346" s="14"/>
    </row>
    <row r="1347" spans="1:44" s="16" customFormat="1" ht="30.95" hidden="1" customHeight="1" x14ac:dyDescent="0.2">
      <c r="A1347" s="35" t="s">
        <v>2257</v>
      </c>
      <c r="B1347" s="36" t="s">
        <v>392</v>
      </c>
      <c r="C1347" s="305"/>
      <c r="D1347" s="29"/>
      <c r="E1347" s="29"/>
      <c r="F1347" s="255"/>
      <c r="G1347" s="256"/>
      <c r="H1347" s="256"/>
      <c r="I1347" s="200"/>
      <c r="J1347" s="307" t="s">
        <v>448</v>
      </c>
      <c r="K1347" s="200"/>
      <c r="L1347" s="200"/>
      <c r="M1347" s="37"/>
      <c r="N1347" s="37"/>
      <c r="O1347" s="45"/>
      <c r="P1347" s="54"/>
      <c r="Q1347" s="260"/>
      <c r="R1347" s="261"/>
      <c r="S1347" s="261"/>
      <c r="T1347" s="38"/>
      <c r="U1347" s="261"/>
      <c r="V1347" s="256"/>
      <c r="W1347" s="256"/>
      <c r="X1347" s="256"/>
      <c r="Y1347" s="256"/>
      <c r="Z1347" s="310"/>
      <c r="AA1347" s="200"/>
      <c r="AB1347" s="312"/>
      <c r="AC1347" s="313"/>
      <c r="AD1347" s="51"/>
      <c r="AE1347" s="52"/>
      <c r="AF1347" s="41"/>
      <c r="AG1347" s="45"/>
      <c r="AH1347" s="28"/>
      <c r="AI1347" s="28"/>
      <c r="AJ1347" s="28"/>
      <c r="AK1347" s="28"/>
      <c r="AL1347" s="12"/>
      <c r="AM1347" s="12"/>
      <c r="AN1347" s="12"/>
      <c r="AO1347" s="12"/>
      <c r="AP1347" s="12"/>
      <c r="AQ1347" s="13"/>
      <c r="AR1347" s="14"/>
    </row>
    <row r="1348" spans="1:44" s="16" customFormat="1" ht="30.95" hidden="1" customHeight="1" x14ac:dyDescent="0.2">
      <c r="A1348" s="303"/>
      <c r="B1348" s="304"/>
      <c r="C1348" s="305"/>
      <c r="D1348" s="29"/>
      <c r="E1348" s="29"/>
      <c r="F1348" s="255"/>
      <c r="G1348" s="256"/>
      <c r="H1348" s="256"/>
      <c r="I1348" s="200"/>
      <c r="J1348" s="30"/>
      <c r="K1348" s="200"/>
      <c r="L1348" s="200"/>
      <c r="M1348" s="37"/>
      <c r="N1348" s="37"/>
      <c r="O1348" s="45"/>
      <c r="P1348" s="54"/>
      <c r="Q1348" s="260"/>
      <c r="R1348" s="261"/>
      <c r="S1348" s="261"/>
      <c r="T1348" s="38"/>
      <c r="U1348" s="261"/>
      <c r="V1348" s="256"/>
      <c r="W1348" s="256"/>
      <c r="X1348" s="256"/>
      <c r="Y1348" s="256"/>
      <c r="Z1348" s="310"/>
      <c r="AA1348" s="200"/>
      <c r="AB1348" s="312"/>
      <c r="AC1348" s="313"/>
      <c r="AD1348" s="51"/>
      <c r="AE1348" s="52"/>
      <c r="AF1348" s="41"/>
      <c r="AG1348" s="45"/>
      <c r="AH1348" s="28"/>
      <c r="AI1348" s="28"/>
      <c r="AJ1348" s="28"/>
      <c r="AK1348" s="28"/>
      <c r="AL1348" s="12"/>
      <c r="AM1348" s="12"/>
      <c r="AN1348" s="12"/>
      <c r="AO1348" s="12"/>
      <c r="AP1348" s="12"/>
      <c r="AQ1348" s="13"/>
      <c r="AR1348" s="14"/>
    </row>
    <row r="1349" spans="1:44" s="16" customFormat="1" ht="30.95" hidden="1" customHeight="1" x14ac:dyDescent="0.2">
      <c r="A1349" s="35" t="s">
        <v>2331</v>
      </c>
      <c r="B1349" s="36" t="s">
        <v>2332</v>
      </c>
      <c r="C1349" s="305"/>
      <c r="D1349" s="29"/>
      <c r="E1349" s="29"/>
      <c r="F1349" s="255"/>
      <c r="G1349" s="256"/>
      <c r="H1349" s="256"/>
      <c r="I1349" s="200"/>
      <c r="J1349" s="30" t="s">
        <v>490</v>
      </c>
      <c r="K1349" s="200"/>
      <c r="L1349" s="200"/>
      <c r="M1349" s="37"/>
      <c r="N1349" s="37"/>
      <c r="O1349" s="45"/>
      <c r="P1349" s="54"/>
      <c r="Q1349" s="260"/>
      <c r="R1349" s="261"/>
      <c r="S1349" s="261"/>
      <c r="T1349" s="38"/>
      <c r="U1349" s="261"/>
      <c r="V1349" s="256"/>
      <c r="W1349" s="256"/>
      <c r="X1349" s="256"/>
      <c r="Y1349" s="256"/>
      <c r="Z1349" s="310"/>
      <c r="AA1349" s="200"/>
      <c r="AB1349" s="312"/>
      <c r="AC1349" s="313"/>
      <c r="AD1349" s="51"/>
      <c r="AE1349" s="52"/>
      <c r="AF1349" s="41"/>
      <c r="AG1349" s="45"/>
      <c r="AH1349" s="28"/>
      <c r="AI1349" s="28"/>
      <c r="AJ1349" s="28"/>
      <c r="AK1349" s="28"/>
      <c r="AL1349" s="12"/>
      <c r="AM1349" s="12"/>
      <c r="AN1349" s="12"/>
      <c r="AO1349" s="12"/>
      <c r="AP1349" s="12"/>
      <c r="AQ1349" s="13"/>
      <c r="AR1349" s="14"/>
    </row>
    <row r="1350" spans="1:44" s="16" customFormat="1" ht="30.95" hidden="1" customHeight="1" x14ac:dyDescent="0.2">
      <c r="A1350" s="303"/>
      <c r="B1350" s="304"/>
      <c r="C1350" s="305"/>
      <c r="D1350" s="29"/>
      <c r="E1350" s="29"/>
      <c r="F1350" s="255"/>
      <c r="G1350" s="256"/>
      <c r="H1350" s="256"/>
      <c r="I1350" s="200"/>
      <c r="J1350" s="30"/>
      <c r="K1350" s="200"/>
      <c r="L1350" s="200"/>
      <c r="M1350" s="37"/>
      <c r="N1350" s="37"/>
      <c r="O1350" s="45"/>
      <c r="P1350" s="54"/>
      <c r="Q1350" s="260"/>
      <c r="R1350" s="261"/>
      <c r="S1350" s="261"/>
      <c r="T1350" s="38"/>
      <c r="U1350" s="261"/>
      <c r="V1350" s="256"/>
      <c r="W1350" s="256"/>
      <c r="X1350" s="256"/>
      <c r="Y1350" s="256"/>
      <c r="Z1350" s="310"/>
      <c r="AA1350" s="200"/>
      <c r="AB1350" s="312"/>
      <c r="AC1350" s="313"/>
      <c r="AD1350" s="51"/>
      <c r="AE1350" s="52"/>
      <c r="AF1350" s="41"/>
      <c r="AG1350" s="45"/>
      <c r="AH1350" s="28"/>
      <c r="AI1350" s="28"/>
      <c r="AJ1350" s="28"/>
      <c r="AK1350" s="28"/>
      <c r="AL1350" s="12"/>
      <c r="AM1350" s="12"/>
      <c r="AN1350" s="12"/>
      <c r="AO1350" s="12"/>
      <c r="AP1350" s="12"/>
      <c r="AQ1350" s="13"/>
      <c r="AR1350" s="14"/>
    </row>
    <row r="1351" spans="1:44" s="16" customFormat="1" ht="30.95" hidden="1" customHeight="1" x14ac:dyDescent="0.2">
      <c r="A1351" s="35" t="s">
        <v>2258</v>
      </c>
      <c r="B1351" s="36" t="s">
        <v>1405</v>
      </c>
      <c r="C1351" s="305"/>
      <c r="D1351" s="29"/>
      <c r="E1351" s="29"/>
      <c r="F1351" s="255"/>
      <c r="G1351" s="256"/>
      <c r="H1351" s="256"/>
      <c r="I1351" s="200"/>
      <c r="J1351" s="30" t="s">
        <v>2300</v>
      </c>
      <c r="K1351" s="200"/>
      <c r="L1351" s="200"/>
      <c r="M1351" s="37"/>
      <c r="N1351" s="37"/>
      <c r="O1351" s="45"/>
      <c r="P1351" s="54"/>
      <c r="Q1351" s="260"/>
      <c r="R1351" s="261"/>
      <c r="S1351" s="261"/>
      <c r="T1351" s="38"/>
      <c r="U1351" s="261"/>
      <c r="V1351" s="256"/>
      <c r="W1351" s="256"/>
      <c r="X1351" s="256"/>
      <c r="Y1351" s="256"/>
      <c r="Z1351" s="310"/>
      <c r="AA1351" s="200"/>
      <c r="AB1351" s="312"/>
      <c r="AC1351" s="313"/>
      <c r="AD1351" s="51"/>
      <c r="AE1351" s="52"/>
      <c r="AF1351" s="41"/>
      <c r="AG1351" s="45"/>
      <c r="AH1351" s="28"/>
      <c r="AI1351" s="28"/>
      <c r="AJ1351" s="28"/>
      <c r="AK1351" s="28"/>
      <c r="AL1351" s="12"/>
      <c r="AM1351" s="12"/>
      <c r="AN1351" s="12"/>
      <c r="AO1351" s="12"/>
      <c r="AP1351" s="12"/>
      <c r="AQ1351" s="13"/>
      <c r="AR1351" s="14"/>
    </row>
    <row r="1352" spans="1:44" s="16" customFormat="1" ht="30.95" hidden="1" customHeight="1" x14ac:dyDescent="0.2">
      <c r="A1352" s="303"/>
      <c r="B1352" s="304"/>
      <c r="C1352" s="305"/>
      <c r="D1352" s="29"/>
      <c r="E1352" s="29"/>
      <c r="F1352" s="255"/>
      <c r="G1352" s="256"/>
      <c r="H1352" s="256"/>
      <c r="I1352" s="200"/>
      <c r="J1352" s="30"/>
      <c r="K1352" s="200"/>
      <c r="L1352" s="200"/>
      <c r="M1352" s="37"/>
      <c r="N1352" s="37"/>
      <c r="O1352" s="45"/>
      <c r="P1352" s="54"/>
      <c r="Q1352" s="260"/>
      <c r="R1352" s="261"/>
      <c r="S1352" s="261"/>
      <c r="T1352" s="38"/>
      <c r="U1352" s="261"/>
      <c r="V1352" s="256"/>
      <c r="W1352" s="256"/>
      <c r="X1352" s="256"/>
      <c r="Y1352" s="256"/>
      <c r="Z1352" s="310"/>
      <c r="AA1352" s="200"/>
      <c r="AB1352" s="312"/>
      <c r="AC1352" s="313"/>
      <c r="AD1352" s="51"/>
      <c r="AE1352" s="52"/>
      <c r="AF1352" s="41"/>
      <c r="AG1352" s="45"/>
      <c r="AH1352" s="28"/>
      <c r="AI1352" s="28"/>
      <c r="AJ1352" s="28"/>
      <c r="AK1352" s="28"/>
      <c r="AL1352" s="12"/>
      <c r="AM1352" s="12"/>
      <c r="AN1352" s="12"/>
      <c r="AO1352" s="12"/>
      <c r="AP1352" s="12"/>
      <c r="AQ1352" s="13"/>
      <c r="AR1352" s="14"/>
    </row>
    <row r="1353" spans="1:44" s="225" customFormat="1" ht="30.95" hidden="1" customHeight="1" x14ac:dyDescent="0.2">
      <c r="A1353" s="317"/>
      <c r="B1353" s="318"/>
      <c r="C1353" s="319"/>
      <c r="D1353" s="211"/>
      <c r="E1353" s="211"/>
      <c r="F1353" s="263"/>
      <c r="G1353" s="264"/>
      <c r="H1353" s="264"/>
      <c r="I1353" s="265"/>
      <c r="J1353" s="212"/>
      <c r="K1353" s="265"/>
      <c r="L1353" s="265"/>
      <c r="M1353" s="213"/>
      <c r="N1353" s="213"/>
      <c r="O1353" s="214"/>
      <c r="P1353" s="206"/>
      <c r="Q1353" s="266"/>
      <c r="R1353" s="267"/>
      <c r="S1353" s="267"/>
      <c r="T1353" s="216"/>
      <c r="U1353" s="267"/>
      <c r="V1353" s="264"/>
      <c r="W1353" s="264"/>
      <c r="X1353" s="264"/>
      <c r="Y1353" s="264"/>
      <c r="Z1353" s="316"/>
      <c r="AA1353" s="265"/>
      <c r="AB1353" s="325"/>
      <c r="AC1353" s="326"/>
      <c r="AD1353" s="219"/>
      <c r="AE1353" s="220"/>
      <c r="AF1353" s="215"/>
      <c r="AG1353" s="226">
        <f>SUM(AG1266:AG1351)</f>
        <v>1043303.0455</v>
      </c>
      <c r="AH1353" s="221"/>
      <c r="AI1353" s="221"/>
      <c r="AJ1353" s="221"/>
      <c r="AK1353" s="221"/>
      <c r="AL1353" s="222"/>
      <c r="AM1353" s="222"/>
      <c r="AN1353" s="222"/>
      <c r="AO1353" s="222"/>
      <c r="AP1353" s="222"/>
      <c r="AQ1353" s="223"/>
      <c r="AR1353" s="224"/>
    </row>
    <row r="1354" spans="1:44" s="16" customFormat="1" ht="30.95" hidden="1" customHeight="1" x14ac:dyDescent="0.2">
      <c r="A1354" s="303"/>
      <c r="B1354" s="304"/>
      <c r="C1354" s="305"/>
      <c r="D1354" s="29"/>
      <c r="E1354" s="29"/>
      <c r="F1354" s="255"/>
      <c r="G1354" s="256"/>
      <c r="H1354" s="256"/>
      <c r="I1354" s="200"/>
      <c r="J1354" s="30"/>
      <c r="K1354" s="200"/>
      <c r="L1354" s="200"/>
      <c r="M1354" s="37"/>
      <c r="N1354" s="37"/>
      <c r="O1354" s="45"/>
      <c r="P1354" s="54"/>
      <c r="Q1354" s="260"/>
      <c r="R1354" s="261"/>
      <c r="S1354" s="261"/>
      <c r="T1354" s="38"/>
      <c r="U1354" s="261"/>
      <c r="V1354" s="256"/>
      <c r="W1354" s="256"/>
      <c r="X1354" s="256"/>
      <c r="Y1354" s="256"/>
      <c r="Z1354" s="310"/>
      <c r="AA1354" s="200"/>
      <c r="AB1354" s="312"/>
      <c r="AC1354" s="313"/>
      <c r="AD1354" s="51"/>
      <c r="AE1354" s="52"/>
      <c r="AF1354" s="41"/>
      <c r="AG1354" s="45"/>
      <c r="AH1354" s="28"/>
      <c r="AI1354" s="28"/>
      <c r="AJ1354" s="28"/>
      <c r="AK1354" s="28"/>
      <c r="AL1354" s="12"/>
      <c r="AM1354" s="12"/>
      <c r="AN1354" s="12"/>
      <c r="AO1354" s="12"/>
      <c r="AP1354" s="12"/>
      <c r="AQ1354" s="13"/>
      <c r="AR1354" s="14"/>
    </row>
    <row r="1355" spans="1:44" s="16" customFormat="1" ht="30.95" hidden="1" customHeight="1" x14ac:dyDescent="0.2">
      <c r="A1355" s="35" t="s">
        <v>2259</v>
      </c>
      <c r="B1355" s="36" t="s">
        <v>1412</v>
      </c>
      <c r="C1355" s="305"/>
      <c r="D1355" s="29"/>
      <c r="E1355" s="29"/>
      <c r="F1355" s="255"/>
      <c r="G1355" s="256"/>
      <c r="H1355" s="256"/>
      <c r="I1355" s="200"/>
      <c r="J1355" s="30" t="s">
        <v>2333</v>
      </c>
      <c r="K1355" s="200"/>
      <c r="L1355" s="200"/>
      <c r="M1355" s="37"/>
      <c r="N1355" s="37"/>
      <c r="O1355" s="45"/>
      <c r="P1355" s="54"/>
      <c r="Q1355" s="260"/>
      <c r="R1355" s="261"/>
      <c r="S1355" s="261"/>
      <c r="T1355" s="38"/>
      <c r="U1355" s="261"/>
      <c r="V1355" s="256"/>
      <c r="W1355" s="256"/>
      <c r="X1355" s="256"/>
      <c r="Y1355" s="256"/>
      <c r="Z1355" s="310"/>
      <c r="AA1355" s="200"/>
      <c r="AB1355" s="312"/>
      <c r="AC1355" s="313"/>
      <c r="AD1355" s="51"/>
      <c r="AE1355" s="52"/>
      <c r="AF1355" s="41"/>
      <c r="AG1355" s="45"/>
      <c r="AH1355" s="28"/>
      <c r="AI1355" s="28"/>
      <c r="AJ1355" s="28"/>
      <c r="AK1355" s="28"/>
      <c r="AL1355" s="12"/>
      <c r="AM1355" s="12"/>
      <c r="AN1355" s="12"/>
      <c r="AO1355" s="12"/>
      <c r="AP1355" s="12"/>
      <c r="AQ1355" s="13"/>
      <c r="AR1355" s="14"/>
    </row>
    <row r="1356" spans="1:44" s="16" customFormat="1" ht="30.95" hidden="1" customHeight="1" x14ac:dyDescent="0.2">
      <c r="A1356" s="303"/>
      <c r="B1356" s="304"/>
      <c r="C1356" s="305"/>
      <c r="D1356" s="29"/>
      <c r="E1356" s="29"/>
      <c r="F1356" s="255"/>
      <c r="G1356" s="256"/>
      <c r="H1356" s="256"/>
      <c r="I1356" s="200"/>
      <c r="J1356" s="30"/>
      <c r="K1356" s="200"/>
      <c r="L1356" s="200"/>
      <c r="M1356" s="37"/>
      <c r="N1356" s="37"/>
      <c r="O1356" s="45"/>
      <c r="P1356" s="54"/>
      <c r="Q1356" s="260"/>
      <c r="R1356" s="261"/>
      <c r="S1356" s="261"/>
      <c r="T1356" s="38"/>
      <c r="U1356" s="261"/>
      <c r="V1356" s="256"/>
      <c r="W1356" s="256"/>
      <c r="X1356" s="256"/>
      <c r="Y1356" s="256"/>
      <c r="Z1356" s="310"/>
      <c r="AA1356" s="200"/>
      <c r="AB1356" s="312"/>
      <c r="AC1356" s="313"/>
      <c r="AD1356" s="51"/>
      <c r="AE1356" s="52"/>
      <c r="AF1356" s="41"/>
      <c r="AG1356" s="45"/>
      <c r="AH1356" s="28"/>
      <c r="AI1356" s="28"/>
      <c r="AJ1356" s="28"/>
      <c r="AK1356" s="28"/>
      <c r="AL1356" s="12"/>
      <c r="AM1356" s="12"/>
      <c r="AN1356" s="12"/>
      <c r="AO1356" s="12"/>
      <c r="AP1356" s="12"/>
      <c r="AQ1356" s="13"/>
      <c r="AR1356" s="14"/>
    </row>
    <row r="1357" spans="1:44" s="16" customFormat="1" ht="30.95" hidden="1" customHeight="1" x14ac:dyDescent="0.2">
      <c r="A1357" s="303" t="s">
        <v>976</v>
      </c>
      <c r="B1357" s="304" t="s">
        <v>443</v>
      </c>
      <c r="C1357" s="305"/>
      <c r="D1357" s="29" t="s">
        <v>1276</v>
      </c>
      <c r="E1357" s="337" t="s">
        <v>1277</v>
      </c>
      <c r="F1357" s="255" t="s">
        <v>1889</v>
      </c>
      <c r="G1357" s="256" t="s">
        <v>269</v>
      </c>
      <c r="H1357" s="256" t="s">
        <v>1079</v>
      </c>
      <c r="I1357" s="200" t="s">
        <v>1890</v>
      </c>
      <c r="J1357" s="30" t="s">
        <v>447</v>
      </c>
      <c r="K1357" s="200">
        <v>25</v>
      </c>
      <c r="L1357" s="200" t="s">
        <v>1891</v>
      </c>
      <c r="M1357" s="37">
        <v>1110</v>
      </c>
      <c r="N1357" s="37">
        <v>12300</v>
      </c>
      <c r="O1357" s="45">
        <v>1</v>
      </c>
      <c r="P1357" s="54"/>
      <c r="Q1357" s="260">
        <v>1050</v>
      </c>
      <c r="R1357" s="261">
        <v>1050</v>
      </c>
      <c r="S1357" s="261">
        <v>6000</v>
      </c>
      <c r="T1357" s="38">
        <v>2</v>
      </c>
      <c r="U1357" s="261">
        <v>2</v>
      </c>
      <c r="V1357" s="256" t="s">
        <v>272</v>
      </c>
      <c r="W1357" s="256">
        <v>1250</v>
      </c>
      <c r="X1357" s="256">
        <v>1</v>
      </c>
      <c r="Y1357" s="256" t="s">
        <v>1365</v>
      </c>
      <c r="Z1357" s="310" t="s">
        <v>1016</v>
      </c>
      <c r="AA1357" s="200" t="s">
        <v>1470</v>
      </c>
      <c r="AB1357" s="312"/>
      <c r="AC1357" s="313"/>
      <c r="AD1357" s="51"/>
      <c r="AE1357" s="52">
        <v>13431</v>
      </c>
      <c r="AF1357" s="41"/>
      <c r="AG1357" s="45"/>
      <c r="AH1357" s="28"/>
      <c r="AI1357" s="28"/>
      <c r="AJ1357" s="28"/>
      <c r="AK1357" s="28"/>
      <c r="AL1357" s="12"/>
      <c r="AM1357" s="12"/>
      <c r="AN1357" s="12"/>
      <c r="AO1357" s="12"/>
      <c r="AP1357" s="12"/>
      <c r="AQ1357" s="13"/>
      <c r="AR1357" s="14"/>
    </row>
    <row r="1358" spans="1:44" s="16" customFormat="1" ht="30.95" hidden="1" customHeight="1" x14ac:dyDescent="0.2">
      <c r="A1358" s="303"/>
      <c r="B1358" s="304"/>
      <c r="C1358" s="305"/>
      <c r="D1358" s="29"/>
      <c r="E1358" s="29"/>
      <c r="F1358" s="255"/>
      <c r="G1358" s="256"/>
      <c r="H1358" s="256"/>
      <c r="I1358" s="200"/>
      <c r="J1358" s="30"/>
      <c r="K1358" s="200"/>
      <c r="L1358" s="200"/>
      <c r="M1358" s="37"/>
      <c r="N1358" s="37"/>
      <c r="O1358" s="45"/>
      <c r="P1358" s="54"/>
      <c r="Q1358" s="260"/>
      <c r="R1358" s="261"/>
      <c r="S1358" s="261"/>
      <c r="T1358" s="38"/>
      <c r="U1358" s="261"/>
      <c r="V1358" s="256"/>
      <c r="W1358" s="256"/>
      <c r="X1358" s="256"/>
      <c r="Y1358" s="256"/>
      <c r="Z1358" s="310"/>
      <c r="AA1358" s="200"/>
      <c r="AB1358" s="312"/>
      <c r="AC1358" s="313"/>
      <c r="AD1358" s="51"/>
      <c r="AE1358" s="52"/>
      <c r="AF1358" s="41"/>
      <c r="AG1358" s="45"/>
      <c r="AH1358" s="28"/>
      <c r="AI1358" s="28"/>
      <c r="AJ1358" s="28"/>
      <c r="AK1358" s="28"/>
      <c r="AL1358" s="12"/>
      <c r="AM1358" s="12"/>
      <c r="AN1358" s="12"/>
      <c r="AO1358" s="12"/>
      <c r="AP1358" s="12"/>
      <c r="AQ1358" s="13"/>
      <c r="AR1358" s="14"/>
    </row>
    <row r="1359" spans="1:44" s="16" customFormat="1" ht="30.95" hidden="1" customHeight="1" x14ac:dyDescent="0.2">
      <c r="A1359" s="303"/>
      <c r="B1359" s="304"/>
      <c r="C1359" s="305"/>
      <c r="D1359" s="29"/>
      <c r="E1359" s="29"/>
      <c r="F1359" s="255"/>
      <c r="G1359" s="256"/>
      <c r="H1359" s="256"/>
      <c r="I1359" s="200" t="s">
        <v>2325</v>
      </c>
      <c r="J1359" s="30"/>
      <c r="K1359" s="200"/>
      <c r="L1359" s="200"/>
      <c r="M1359" s="37"/>
      <c r="N1359" s="37"/>
      <c r="O1359" s="45"/>
      <c r="P1359" s="54"/>
      <c r="Q1359" s="260"/>
      <c r="R1359" s="261"/>
      <c r="S1359" s="261"/>
      <c r="T1359" s="38"/>
      <c r="U1359" s="261"/>
      <c r="V1359" s="256"/>
      <c r="W1359" s="256"/>
      <c r="X1359" s="256"/>
      <c r="Y1359" s="256"/>
      <c r="Z1359" s="310"/>
      <c r="AA1359" s="200"/>
      <c r="AB1359" s="312"/>
      <c r="AC1359" s="313"/>
      <c r="AD1359" s="51"/>
      <c r="AE1359" s="52"/>
      <c r="AF1359" s="41"/>
      <c r="AG1359" s="45"/>
      <c r="AH1359" s="28"/>
      <c r="AI1359" s="28"/>
      <c r="AJ1359" s="28"/>
      <c r="AK1359" s="28"/>
      <c r="AL1359" s="12"/>
      <c r="AM1359" s="12"/>
      <c r="AN1359" s="12"/>
      <c r="AO1359" s="12"/>
      <c r="AP1359" s="12"/>
      <c r="AQ1359" s="13"/>
      <c r="AR1359" s="14"/>
    </row>
    <row r="1360" spans="1:44" s="16" customFormat="1" ht="30.95" hidden="1" customHeight="1" x14ac:dyDescent="0.2">
      <c r="A1360" s="303"/>
      <c r="B1360" s="304"/>
      <c r="C1360" s="305"/>
      <c r="D1360" s="29"/>
      <c r="E1360" s="29"/>
      <c r="F1360" s="255"/>
      <c r="G1360" s="256"/>
      <c r="H1360" s="256"/>
      <c r="I1360" s="200"/>
      <c r="J1360" s="30"/>
      <c r="K1360" s="200"/>
      <c r="L1360" s="200"/>
      <c r="M1360" s="37"/>
      <c r="N1360" s="37"/>
      <c r="O1360" s="45"/>
      <c r="P1360" s="54"/>
      <c r="Q1360" s="260"/>
      <c r="R1360" s="261"/>
      <c r="S1360" s="261"/>
      <c r="T1360" s="38"/>
      <c r="U1360" s="261"/>
      <c r="V1360" s="256"/>
      <c r="W1360" s="256"/>
      <c r="X1360" s="256"/>
      <c r="Y1360" s="256"/>
      <c r="Z1360" s="310"/>
      <c r="AA1360" s="200"/>
      <c r="AB1360" s="312"/>
      <c r="AC1360" s="313"/>
      <c r="AD1360" s="51"/>
      <c r="AE1360" s="52"/>
      <c r="AF1360" s="41"/>
      <c r="AG1360" s="45"/>
      <c r="AH1360" s="28"/>
      <c r="AI1360" s="28"/>
      <c r="AJ1360" s="28"/>
      <c r="AK1360" s="28"/>
      <c r="AL1360" s="12"/>
      <c r="AM1360" s="12"/>
      <c r="AN1360" s="12"/>
      <c r="AO1360" s="12"/>
      <c r="AP1360" s="12"/>
      <c r="AQ1360" s="13"/>
      <c r="AR1360" s="14"/>
    </row>
    <row r="1361" spans="1:44" s="16" customFormat="1" ht="30.95" hidden="1" customHeight="1" x14ac:dyDescent="0.2">
      <c r="A1361" s="303" t="s">
        <v>2329</v>
      </c>
      <c r="B1361" s="304" t="s">
        <v>2330</v>
      </c>
      <c r="C1361" s="305"/>
      <c r="D1361" s="29"/>
      <c r="E1361" s="29"/>
      <c r="F1361" s="255"/>
      <c r="G1361" s="256"/>
      <c r="H1361" s="256"/>
      <c r="I1361" s="200"/>
      <c r="J1361" s="30" t="s">
        <v>2333</v>
      </c>
      <c r="K1361" s="200"/>
      <c r="L1361" s="200"/>
      <c r="M1361" s="37"/>
      <c r="N1361" s="37"/>
      <c r="O1361" s="45"/>
      <c r="P1361" s="54"/>
      <c r="Q1361" s="260"/>
      <c r="R1361" s="261"/>
      <c r="S1361" s="261"/>
      <c r="T1361" s="38"/>
      <c r="U1361" s="261"/>
      <c r="V1361" s="256"/>
      <c r="W1361" s="256"/>
      <c r="X1361" s="256"/>
      <c r="Y1361" s="256"/>
      <c r="Z1361" s="310"/>
      <c r="AA1361" s="200"/>
      <c r="AB1361" s="312"/>
      <c r="AC1361" s="313"/>
      <c r="AD1361" s="51"/>
      <c r="AE1361" s="52"/>
      <c r="AF1361" s="41"/>
      <c r="AG1361" s="45"/>
      <c r="AH1361" s="28"/>
      <c r="AI1361" s="28"/>
      <c r="AJ1361" s="28"/>
      <c r="AK1361" s="28"/>
      <c r="AL1361" s="12"/>
      <c r="AM1361" s="12"/>
      <c r="AN1361" s="12"/>
      <c r="AO1361" s="12"/>
      <c r="AP1361" s="12"/>
      <c r="AQ1361" s="13"/>
      <c r="AR1361" s="14"/>
    </row>
    <row r="1362" spans="1:44" s="16" customFormat="1" ht="30.95" hidden="1" customHeight="1" x14ac:dyDescent="0.2">
      <c r="A1362" s="303"/>
      <c r="B1362" s="304"/>
      <c r="C1362" s="305"/>
      <c r="D1362" s="29"/>
      <c r="E1362" s="29"/>
      <c r="F1362" s="255"/>
      <c r="G1362" s="256"/>
      <c r="H1362" s="256"/>
      <c r="I1362" s="200"/>
      <c r="J1362" s="30"/>
      <c r="K1362" s="200"/>
      <c r="L1362" s="200"/>
      <c r="M1362" s="37"/>
      <c r="N1362" s="37"/>
      <c r="O1362" s="45"/>
      <c r="P1362" s="54"/>
      <c r="Q1362" s="260"/>
      <c r="R1362" s="261"/>
      <c r="S1362" s="261"/>
      <c r="T1362" s="38"/>
      <c r="U1362" s="261"/>
      <c r="V1362" s="256"/>
      <c r="W1362" s="256"/>
      <c r="X1362" s="256"/>
      <c r="Y1362" s="256"/>
      <c r="Z1362" s="310"/>
      <c r="AA1362" s="200"/>
      <c r="AB1362" s="312"/>
      <c r="AC1362" s="313"/>
      <c r="AD1362" s="51"/>
      <c r="AE1362" s="52"/>
      <c r="AF1362" s="41"/>
      <c r="AG1362" s="45"/>
      <c r="AH1362" s="28"/>
      <c r="AI1362" s="28"/>
      <c r="AJ1362" s="28"/>
      <c r="AK1362" s="28"/>
      <c r="AL1362" s="12"/>
      <c r="AM1362" s="12"/>
      <c r="AN1362" s="12"/>
      <c r="AO1362" s="12"/>
      <c r="AP1362" s="12"/>
      <c r="AQ1362" s="13"/>
      <c r="AR1362" s="14"/>
    </row>
    <row r="1363" spans="1:44" s="16" customFormat="1" ht="30.95" hidden="1" customHeight="1" x14ac:dyDescent="0.2">
      <c r="A1363" s="303" t="s">
        <v>2301</v>
      </c>
      <c r="B1363" s="304" t="s">
        <v>2299</v>
      </c>
      <c r="C1363" s="305"/>
      <c r="D1363" s="29"/>
      <c r="E1363" s="29"/>
      <c r="F1363" s="255"/>
      <c r="G1363" s="256"/>
      <c r="H1363" s="256"/>
      <c r="I1363" s="200"/>
      <c r="J1363" s="30" t="s">
        <v>2304</v>
      </c>
      <c r="K1363" s="200"/>
      <c r="L1363" s="200"/>
      <c r="M1363" s="37"/>
      <c r="N1363" s="37"/>
      <c r="O1363" s="45"/>
      <c r="P1363" s="54"/>
      <c r="Q1363" s="260"/>
      <c r="R1363" s="261"/>
      <c r="S1363" s="261"/>
      <c r="T1363" s="38"/>
      <c r="U1363" s="261"/>
      <c r="V1363" s="256"/>
      <c r="W1363" s="256"/>
      <c r="X1363" s="256"/>
      <c r="Y1363" s="256"/>
      <c r="Z1363" s="310"/>
      <c r="AA1363" s="200"/>
      <c r="AB1363" s="312"/>
      <c r="AC1363" s="313"/>
      <c r="AD1363" s="51"/>
      <c r="AE1363" s="52"/>
      <c r="AF1363" s="41"/>
      <c r="AG1363" s="45"/>
      <c r="AH1363" s="28"/>
      <c r="AI1363" s="28"/>
      <c r="AJ1363" s="28"/>
      <c r="AK1363" s="28"/>
      <c r="AL1363" s="12"/>
      <c r="AM1363" s="12"/>
      <c r="AN1363" s="12"/>
      <c r="AO1363" s="12"/>
      <c r="AP1363" s="12"/>
      <c r="AQ1363" s="13"/>
      <c r="AR1363" s="14"/>
    </row>
    <row r="1364" spans="1:44" s="16" customFormat="1" ht="30.95" hidden="1" customHeight="1" x14ac:dyDescent="0.2">
      <c r="A1364" s="303"/>
      <c r="B1364" s="304"/>
      <c r="C1364" s="305"/>
      <c r="D1364" s="29"/>
      <c r="E1364" s="29"/>
      <c r="F1364" s="255"/>
      <c r="G1364" s="256"/>
      <c r="H1364" s="256"/>
      <c r="I1364" s="200"/>
      <c r="J1364" s="30"/>
      <c r="K1364" s="200"/>
      <c r="L1364" s="200"/>
      <c r="M1364" s="37"/>
      <c r="N1364" s="37"/>
      <c r="O1364" s="45"/>
      <c r="P1364" s="54"/>
      <c r="Q1364" s="260"/>
      <c r="R1364" s="261"/>
      <c r="S1364" s="261"/>
      <c r="T1364" s="38"/>
      <c r="U1364" s="261"/>
      <c r="V1364" s="256"/>
      <c r="W1364" s="256"/>
      <c r="X1364" s="256"/>
      <c r="Y1364" s="256"/>
      <c r="Z1364" s="310"/>
      <c r="AA1364" s="200"/>
      <c r="AB1364" s="312"/>
      <c r="AC1364" s="313"/>
      <c r="AD1364" s="51"/>
      <c r="AE1364" s="52"/>
      <c r="AF1364" s="41"/>
      <c r="AG1364" s="45"/>
      <c r="AH1364" s="28"/>
      <c r="AI1364" s="28"/>
      <c r="AJ1364" s="28"/>
      <c r="AK1364" s="28"/>
      <c r="AL1364" s="12"/>
      <c r="AM1364" s="12"/>
      <c r="AN1364" s="12"/>
      <c r="AO1364" s="12"/>
      <c r="AP1364" s="12"/>
      <c r="AQ1364" s="13"/>
      <c r="AR1364" s="14"/>
    </row>
    <row r="1365" spans="1:44" s="16" customFormat="1" ht="30.95" hidden="1" customHeight="1" x14ac:dyDescent="0.2">
      <c r="A1365" s="303" t="s">
        <v>2302</v>
      </c>
      <c r="B1365" s="304" t="s">
        <v>2303</v>
      </c>
      <c r="C1365" s="305"/>
      <c r="D1365" s="29"/>
      <c r="E1365" s="29"/>
      <c r="F1365" s="255"/>
      <c r="G1365" s="256"/>
      <c r="H1365" s="256"/>
      <c r="I1365" s="200"/>
      <c r="J1365" s="30" t="s">
        <v>2304</v>
      </c>
      <c r="K1365" s="200"/>
      <c r="L1365" s="200"/>
      <c r="M1365" s="37"/>
      <c r="N1365" s="37"/>
      <c r="O1365" s="45"/>
      <c r="P1365" s="54"/>
      <c r="Q1365" s="260"/>
      <c r="R1365" s="261"/>
      <c r="S1365" s="261"/>
      <c r="T1365" s="38"/>
      <c r="U1365" s="261"/>
      <c r="V1365" s="256"/>
      <c r="W1365" s="256"/>
      <c r="X1365" s="256"/>
      <c r="Y1365" s="256"/>
      <c r="Z1365" s="310"/>
      <c r="AA1365" s="200"/>
      <c r="AB1365" s="312"/>
      <c r="AC1365" s="313"/>
      <c r="AD1365" s="51"/>
      <c r="AE1365" s="52"/>
      <c r="AF1365" s="41"/>
      <c r="AG1365" s="45"/>
      <c r="AH1365" s="28"/>
      <c r="AI1365" s="28"/>
      <c r="AJ1365" s="28"/>
      <c r="AK1365" s="28"/>
      <c r="AL1365" s="12"/>
      <c r="AM1365" s="12"/>
      <c r="AN1365" s="12"/>
      <c r="AO1365" s="12"/>
      <c r="AP1365" s="12"/>
      <c r="AQ1365" s="13"/>
      <c r="AR1365" s="14"/>
    </row>
    <row r="1366" spans="1:44" s="16" customFormat="1" ht="30.95" hidden="1" customHeight="1" x14ac:dyDescent="0.2">
      <c r="A1366" s="303"/>
      <c r="B1366" s="304"/>
      <c r="C1366" s="305"/>
      <c r="D1366" s="29"/>
      <c r="E1366" s="29"/>
      <c r="F1366" s="255"/>
      <c r="G1366" s="256"/>
      <c r="H1366" s="256"/>
      <c r="I1366" s="200"/>
      <c r="J1366" s="30"/>
      <c r="K1366" s="200"/>
      <c r="L1366" s="200"/>
      <c r="M1366" s="37"/>
      <c r="N1366" s="37"/>
      <c r="O1366" s="45"/>
      <c r="P1366" s="54"/>
      <c r="Q1366" s="260"/>
      <c r="R1366" s="261"/>
      <c r="S1366" s="261"/>
      <c r="T1366" s="38"/>
      <c r="U1366" s="261"/>
      <c r="V1366" s="256"/>
      <c r="W1366" s="256"/>
      <c r="X1366" s="256"/>
      <c r="Y1366" s="256"/>
      <c r="Z1366" s="310"/>
      <c r="AA1366" s="200"/>
      <c r="AB1366" s="312"/>
      <c r="AC1366" s="313"/>
      <c r="AD1366" s="51"/>
      <c r="AE1366" s="52"/>
      <c r="AF1366" s="41"/>
      <c r="AG1366" s="45"/>
      <c r="AH1366" s="28"/>
      <c r="AI1366" s="28"/>
      <c r="AJ1366" s="28"/>
      <c r="AK1366" s="28"/>
      <c r="AL1366" s="12"/>
      <c r="AM1366" s="12"/>
      <c r="AN1366" s="12"/>
      <c r="AO1366" s="12"/>
      <c r="AP1366" s="12"/>
      <c r="AQ1366" s="13"/>
      <c r="AR1366" s="14"/>
    </row>
    <row r="1367" spans="1:44" s="16" customFormat="1" ht="30.95" hidden="1" customHeight="1" x14ac:dyDescent="0.2">
      <c r="A1367" s="303" t="s">
        <v>2392</v>
      </c>
      <c r="B1367" s="304" t="s">
        <v>1402</v>
      </c>
      <c r="C1367" s="305"/>
      <c r="D1367" s="29">
        <v>3750063</v>
      </c>
      <c r="E1367" s="29">
        <v>4170133</v>
      </c>
      <c r="F1367" s="255" t="str">
        <f>IF(D1367="","",VLOOKUP(D1367,契約台帳!$A$3:$K$4986,6,FALSE)&amp;VLOOKUP(D1367,契約台帳!$A$3:$K$4986,7,FALSE)&amp;VLOOKUP(D1367,契約台帳!$A$3:$K$4986,8,FALSE)&amp;VLOOKUP(D1367,契約台帳!$A$3:$K$4986,9,FALSE)&amp;VLOOKUP(D1367,契約台帳!$A$3:$K$4986,11,FALSE))</f>
        <v>3SNMCLBSCB</v>
      </c>
      <c r="G1367" s="256" t="str">
        <f>IF(D1367="","",VLOOKUP(F1367,製品マスタ!$G$5:$H$4999,2,FALSE))</f>
        <v>S</v>
      </c>
      <c r="H1367" s="256" t="str">
        <f>IF(D1367="","",VLOOKUP(F1367,製品マスタ!$G$5:$K$4999,5,FALSE))</f>
        <v>SCB</v>
      </c>
      <c r="I1367" s="200" t="str">
        <f>IF(D1367="","",VLOOKUP(F1367,製品マスタ!$G$5:$L$4999,6,FALSE))</f>
        <v>メタルミー　シロコート（Ｂ）</v>
      </c>
      <c r="J1367" s="30" t="s">
        <v>464</v>
      </c>
      <c r="K1367" s="200">
        <f>IF(D1367="","",VLOOKUP(D1367,契約台帳!$A$3:$L$4986,12,FALSE))</f>
        <v>25</v>
      </c>
      <c r="L1367" s="200" t="s">
        <v>2393</v>
      </c>
      <c r="M1367" s="37">
        <v>1060</v>
      </c>
      <c r="N1367" s="37">
        <v>12100</v>
      </c>
      <c r="O1367" s="45">
        <v>1</v>
      </c>
      <c r="P1367" s="316">
        <v>45379</v>
      </c>
      <c r="Q1367" s="260">
        <f>IF(D1367="","",IF(J1367="リード付け",M1367,VLOOKUP(D1367,契約台帳!$A$3:$N$4986,14,FALSE)))</f>
        <v>1060</v>
      </c>
      <c r="R1367" s="261">
        <f>IF(D1367="","",IF(J1367="リード付け",M1367,VLOOKUP(D1367,契約台帳!$A$3:$O$4986,15,FALSE)))</f>
        <v>1060</v>
      </c>
      <c r="S1367" s="261">
        <f>IF(D1367="","",IF(J1367="リード付け",N1367,VLOOKUP(D1367,契約台帳!$A$3:$P$4986,16,FALSE)))</f>
        <v>12100</v>
      </c>
      <c r="T1367" s="38">
        <v>1</v>
      </c>
      <c r="U1367" s="261">
        <f ca="1">IF(D1367="","",IF(OFFSET(D1367,-2,0)=D1367,"",VLOOKUP(D1367,契約台帳!$A$3:$R$4986,18,FALSE)))</f>
        <v>2</v>
      </c>
      <c r="V1367" s="256" t="str">
        <f>IF(J1367="巻返し",VLOOKUP(F1367&amp;K1367&amp;M1367,製品マスタ!$M$5:$AD$4999,18,FALSE),IF(J1367="リード付け","原反コア",IF(J1367="スリット",VLOOKUP(F1367&amp;K1367&amp;Q1367,製品マスタ!$N$5:$AD$4999,17,FALSE),"")))</f>
        <v>原反コア</v>
      </c>
      <c r="W1367" s="256" t="str">
        <f>IF(J1367="巻返し",VLOOKUP(F1367&amp;K1367&amp;M1367,製品マスタ!$M$5:$AE$4999,19,FALSE),IF(J1367="リード付け","-",IF(J1367="スリット",VLOOKUP(F1367&amp;K1367&amp;Q1367,製品マスタ!$N$5:$AE$4999,18,FALSE),"")))</f>
        <v>-</v>
      </c>
      <c r="X1367" s="256">
        <f>IF(D1367="","",VLOOKUP(D1367,契約台帳!$A$3:$Q$4986,17,FALSE))</f>
        <v>2</v>
      </c>
      <c r="Y1367" s="256" t="str">
        <f>IF(D1367="","",VLOOKUP(D1367,契約台帳!$A$3:$E$4986,5,FALSE))</f>
        <v>新タック化成㈱</v>
      </c>
      <c r="Z1367" s="310"/>
      <c r="AA1367" s="200"/>
      <c r="AB1367" s="312"/>
      <c r="AC1367" s="313"/>
      <c r="AD1367" s="51"/>
      <c r="AE1367" s="314"/>
      <c r="AF1367" s="315"/>
      <c r="AG1367" s="309"/>
      <c r="AH1367" s="28"/>
      <c r="AI1367" s="28"/>
      <c r="AJ1367" s="28"/>
      <c r="AK1367" s="28"/>
      <c r="AL1367" s="12"/>
      <c r="AM1367" s="12"/>
      <c r="AN1367" s="12"/>
      <c r="AO1367" s="12"/>
      <c r="AP1367" s="12"/>
      <c r="AQ1367" s="13"/>
      <c r="AR1367" s="14"/>
    </row>
    <row r="1368" spans="1:44" s="16" customFormat="1" ht="30.95" hidden="1" customHeight="1" x14ac:dyDescent="0.2">
      <c r="A1368" s="303"/>
      <c r="B1368" s="304"/>
      <c r="C1368" s="305"/>
      <c r="D1368" s="29"/>
      <c r="E1368" s="29"/>
      <c r="F1368" s="255"/>
      <c r="G1368" s="256"/>
      <c r="H1368" s="256"/>
      <c r="I1368" s="200"/>
      <c r="J1368" s="30"/>
      <c r="K1368" s="200"/>
      <c r="L1368" s="200"/>
      <c r="M1368" s="37"/>
      <c r="N1368" s="37"/>
      <c r="O1368" s="45"/>
      <c r="P1368" s="54"/>
      <c r="Q1368" s="260"/>
      <c r="R1368" s="261"/>
      <c r="S1368" s="261"/>
      <c r="T1368" s="38"/>
      <c r="U1368" s="261"/>
      <c r="V1368" s="256"/>
      <c r="W1368" s="256"/>
      <c r="X1368" s="256"/>
      <c r="Y1368" s="256"/>
      <c r="Z1368" s="310"/>
      <c r="AA1368" s="200"/>
      <c r="AB1368" s="312"/>
      <c r="AC1368" s="313"/>
      <c r="AD1368" s="51"/>
      <c r="AE1368" s="52"/>
      <c r="AF1368" s="41"/>
      <c r="AG1368" s="45"/>
      <c r="AH1368" s="28"/>
      <c r="AI1368" s="28"/>
      <c r="AJ1368" s="28"/>
      <c r="AK1368" s="28"/>
      <c r="AL1368" s="12"/>
      <c r="AM1368" s="12"/>
      <c r="AN1368" s="12"/>
      <c r="AO1368" s="12"/>
      <c r="AP1368" s="12"/>
      <c r="AQ1368" s="13"/>
      <c r="AR1368" s="14"/>
    </row>
    <row r="1369" spans="1:44" s="16" customFormat="1" ht="30.95" hidden="1" customHeight="1" x14ac:dyDescent="0.2">
      <c r="A1369" s="303"/>
      <c r="B1369" s="304"/>
      <c r="C1369" s="305"/>
      <c r="D1369" s="29">
        <v>3750056</v>
      </c>
      <c r="E1369" s="29">
        <v>4170134</v>
      </c>
      <c r="F1369" s="255" t="str">
        <f>IF(D1369="","",VLOOKUP(D1369,契約台帳!$A$3:$K$4986,6,FALSE)&amp;VLOOKUP(D1369,契約台帳!$A$3:$K$4986,7,FALSE)&amp;VLOOKUP(D1369,契約台帳!$A$3:$K$4986,8,FALSE)&amp;VLOOKUP(D1369,契約台帳!$A$3:$K$4986,9,FALSE)&amp;VLOOKUP(D1369,契約台帳!$A$3:$K$4986,11,FALSE))</f>
        <v>3SNMLBMSF</v>
      </c>
      <c r="G1369" s="256" t="str">
        <f>IF(D1369="","",VLOOKUP(F1369,製品マスタ!$G$5:$H$4999,2,FALSE))</f>
        <v>S</v>
      </c>
      <c r="H1369" s="256" t="str">
        <f>IF(D1369="","",VLOOKUP(F1369,製品マスタ!$G$5:$K$4999,5,FALSE))</f>
        <v>MSF</v>
      </c>
      <c r="I1369" s="200" t="str">
        <f>IF(D1369="","",VLOOKUP(F1369,製品マスタ!$G$5:$L$4999,6,FALSE))</f>
        <v>メタルミー　Ｓ</v>
      </c>
      <c r="J1369" s="30" t="s">
        <v>464</v>
      </c>
      <c r="K1369" s="200">
        <f>IF(D1369="","",VLOOKUP(D1369,契約台帳!$A$3:$L$4986,12,FALSE))</f>
        <v>25</v>
      </c>
      <c r="L1369" s="200" t="str">
        <f>IF(D1369="","",INDEX(製品マスタ!$Q$5:$Q$4999,MATCH(F1369&amp;K1369,製品マスタ!$AO$5:$AO$4999,0)))</f>
        <v>T62M</v>
      </c>
      <c r="M1369" s="37">
        <v>1020</v>
      </c>
      <c r="N1369" s="37">
        <v>12100</v>
      </c>
      <c r="O1369" s="45">
        <v>1</v>
      </c>
      <c r="P1369" s="316">
        <v>45379</v>
      </c>
      <c r="Q1369" s="260">
        <f>IF(D1369="","",IF(J1369="リード付け",M1369,VLOOKUP(D1369,契約台帳!$A$3:$N$4986,14,FALSE)))</f>
        <v>1020</v>
      </c>
      <c r="R1369" s="261">
        <f>IF(D1369="","",IF(J1369="リード付け",M1369,VLOOKUP(D1369,契約台帳!$A$3:$O$4986,15,FALSE)))</f>
        <v>1020</v>
      </c>
      <c r="S1369" s="261">
        <f>IF(D1369="","",IF(J1369="リード付け",N1369,VLOOKUP(D1369,契約台帳!$A$3:$P$4986,16,FALSE)))</f>
        <v>12100</v>
      </c>
      <c r="T1369" s="38">
        <v>1</v>
      </c>
      <c r="U1369" s="261">
        <f ca="1">IF(D1369="","",IF(OFFSET(D1369,-2,0)=D1369,"",VLOOKUP(D1369,契約台帳!$A$3:$R$4986,18,FALSE)))</f>
        <v>6</v>
      </c>
      <c r="V1369" s="256" t="str">
        <f>IF(J1369="巻返し",VLOOKUP(F1369&amp;K1369&amp;M1369,製品マスタ!$M$5:$AD$4999,18,FALSE),IF(J1369="リード付け","原反コア",IF(J1369="スリット",VLOOKUP(F1369&amp;K1369&amp;Q1369,製品マスタ!$N$5:$AD$4999,17,FALSE),"")))</f>
        <v>原反コア</v>
      </c>
      <c r="W1369" s="256" t="str">
        <f>IF(J1369="巻返し",VLOOKUP(F1369&amp;K1369&amp;M1369,製品マスタ!$M$5:$AE$4999,19,FALSE),IF(J1369="リード付け","-",IF(J1369="スリット",VLOOKUP(F1369&amp;K1369&amp;Q1369,製品マスタ!$N$5:$AE$4999,18,FALSE),"")))</f>
        <v>-</v>
      </c>
      <c r="X1369" s="256">
        <f>IF(D1369="","",VLOOKUP(D1369,契約台帳!$A$3:$Q$4986,17,FALSE))</f>
        <v>2</v>
      </c>
      <c r="Y1369" s="256" t="str">
        <f>IF(D1369="","",VLOOKUP(D1369,契約台帳!$A$3:$E$4986,5,FALSE))</f>
        <v>パナック㈱亀山工場</v>
      </c>
      <c r="Z1369" s="310"/>
      <c r="AA1369" s="200"/>
      <c r="AB1369" s="312"/>
      <c r="AC1369" s="313"/>
      <c r="AD1369" s="51"/>
      <c r="AE1369" s="314"/>
      <c r="AF1369" s="315"/>
      <c r="AG1369" s="309"/>
      <c r="AH1369" s="28"/>
      <c r="AI1369" s="28"/>
      <c r="AJ1369" s="28"/>
      <c r="AK1369" s="28"/>
      <c r="AL1369" s="12"/>
      <c r="AM1369" s="12"/>
      <c r="AN1369" s="12"/>
      <c r="AO1369" s="12"/>
      <c r="AP1369" s="12"/>
      <c r="AQ1369" s="13"/>
      <c r="AR1369" s="14"/>
    </row>
    <row r="1370" spans="1:44" s="16" customFormat="1" ht="30.95" hidden="1" customHeight="1" x14ac:dyDescent="0.2">
      <c r="A1370" s="303"/>
      <c r="B1370" s="304"/>
      <c r="C1370" s="305"/>
      <c r="D1370" s="29"/>
      <c r="E1370" s="29"/>
      <c r="F1370" s="255"/>
      <c r="G1370" s="256"/>
      <c r="H1370" s="256"/>
      <c r="I1370" s="200"/>
      <c r="J1370" s="30"/>
      <c r="K1370" s="200"/>
      <c r="L1370" s="200"/>
      <c r="M1370" s="37"/>
      <c r="N1370" s="37"/>
      <c r="O1370" s="45"/>
      <c r="P1370" s="54"/>
      <c r="Q1370" s="260"/>
      <c r="R1370" s="261"/>
      <c r="S1370" s="261"/>
      <c r="T1370" s="38"/>
      <c r="U1370" s="261"/>
      <c r="V1370" s="256"/>
      <c r="W1370" s="256"/>
      <c r="X1370" s="256"/>
      <c r="Y1370" s="256"/>
      <c r="Z1370" s="310"/>
      <c r="AA1370" s="200"/>
      <c r="AB1370" s="312"/>
      <c r="AC1370" s="313"/>
      <c r="AD1370" s="51"/>
      <c r="AE1370" s="52"/>
      <c r="AF1370" s="41"/>
      <c r="AG1370" s="45"/>
      <c r="AH1370" s="28"/>
      <c r="AI1370" s="28"/>
      <c r="AJ1370" s="28"/>
      <c r="AK1370" s="28"/>
      <c r="AL1370" s="12"/>
      <c r="AM1370" s="12"/>
      <c r="AN1370" s="12"/>
      <c r="AO1370" s="12"/>
      <c r="AP1370" s="12"/>
      <c r="AQ1370" s="13"/>
      <c r="AR1370" s="14"/>
    </row>
    <row r="1371" spans="1:44" s="16" customFormat="1" ht="30.95" hidden="1" customHeight="1" x14ac:dyDescent="0.2">
      <c r="A1371" s="303"/>
      <c r="B1371" s="304"/>
      <c r="C1371" s="305"/>
      <c r="D1371" s="29">
        <v>3750070</v>
      </c>
      <c r="E1371" s="29">
        <v>4170135</v>
      </c>
      <c r="F1371" s="255" t="str">
        <f>IF(D1371="","",VLOOKUP(D1371,契約台帳!$A$3:$K$4986,6,FALSE)&amp;VLOOKUP(D1371,契約台帳!$A$3:$K$4986,7,FALSE)&amp;VLOOKUP(D1371,契約台帳!$A$3:$K$4986,8,FALSE)&amp;VLOOKUP(D1371,契約台帳!$A$3:$K$4986,9,FALSE)&amp;VLOOKUP(D1371,契約台帳!$A$3:$K$4986,11,FALSE))</f>
        <v>3SNMLBMNGTBF</v>
      </c>
      <c r="G1371" s="256" t="str">
        <f>IF(D1371="","",VLOOKUP(F1371,製品マスタ!$G$5:$H$4999,2,FALSE))</f>
        <v>S</v>
      </c>
      <c r="H1371" s="256" t="str">
        <f>IF(D1371="","",VLOOKUP(F1371,製品マスタ!$G$5:$K$4999,5,FALSE))</f>
        <v>MNGTBF</v>
      </c>
      <c r="I1371" s="200" t="str">
        <f>IF(D1371="","",VLOOKUP(F1371,製品マスタ!$G$5:$L$4999,6,FALSE))</f>
        <v>メタルミー　ネーマー　銀艶　Ｂ</v>
      </c>
      <c r="J1371" s="30" t="s">
        <v>464</v>
      </c>
      <c r="K1371" s="200">
        <f>IF(D1371="","",VLOOKUP(D1371,契約台帳!$A$3:$L$4986,12,FALSE))</f>
        <v>25</v>
      </c>
      <c r="L1371" s="200" t="str">
        <f>IF(D1371="","",INDEX(製品マスタ!$Q$5:$Q$4999,MATCH(F1371&amp;K1371,製品マスタ!$AO$5:$AO$4999,0)))</f>
        <v>T62M</v>
      </c>
      <c r="M1371" s="37">
        <v>1005</v>
      </c>
      <c r="N1371" s="37">
        <v>12100</v>
      </c>
      <c r="O1371" s="45">
        <v>2</v>
      </c>
      <c r="P1371" s="316">
        <v>45379</v>
      </c>
      <c r="Q1371" s="260">
        <f>IF(D1371="","",IF(J1371="リード付け",M1371,VLOOKUP(D1371,契約台帳!$A$3:$N$4986,14,FALSE)))</f>
        <v>1005</v>
      </c>
      <c r="R1371" s="261">
        <f>IF(D1371="","",IF(J1371="リード付け",M1371,VLOOKUP(D1371,契約台帳!$A$3:$O$4986,15,FALSE)))</f>
        <v>1005</v>
      </c>
      <c r="S1371" s="261">
        <f>IF(D1371="","",IF(J1371="リード付け",N1371,VLOOKUP(D1371,契約台帳!$A$3:$P$4986,16,FALSE)))</f>
        <v>12100</v>
      </c>
      <c r="T1371" s="38">
        <v>2</v>
      </c>
      <c r="U1371" s="261">
        <f ca="1">IF(D1371="","",IF(OFFSET(D1371,-2,0)=D1371,"",VLOOKUP(D1371,契約台帳!$A$3:$R$4986,18,FALSE)))</f>
        <v>6</v>
      </c>
      <c r="V1371" s="256" t="str">
        <f>IF(J1371="巻返し",VLOOKUP(F1371&amp;K1371&amp;M1371,製品マスタ!$M$5:$AD$4999,18,FALSE),IF(J1371="リード付け","原反コア",IF(J1371="スリット",VLOOKUP(F1371&amp;K1371&amp;Q1371,製品マスタ!$N$5:$AD$4999,17,FALSE),"")))</f>
        <v>原反コア</v>
      </c>
      <c r="W1371" s="256" t="str">
        <f>IF(J1371="巻返し",VLOOKUP(F1371&amp;K1371&amp;M1371,製品マスタ!$M$5:$AE$4999,19,FALSE),IF(J1371="リード付け","-",IF(J1371="スリット",VLOOKUP(F1371&amp;K1371&amp;Q1371,製品マスタ!$N$5:$AE$4999,18,FALSE),"")))</f>
        <v>-</v>
      </c>
      <c r="X1371" s="256">
        <f>IF(D1371="","",VLOOKUP(D1371,契約台帳!$A$3:$Q$4986,17,FALSE))</f>
        <v>2</v>
      </c>
      <c r="Y1371" s="256" t="str">
        <f>IF(D1371="","",VLOOKUP(D1371,契約台帳!$A$3:$E$4986,5,FALSE))</f>
        <v>リンテック㈱</v>
      </c>
      <c r="Z1371" s="310"/>
      <c r="AA1371" s="301" t="s">
        <v>2248</v>
      </c>
      <c r="AB1371" s="312"/>
      <c r="AC1371" s="313"/>
      <c r="AD1371" s="51"/>
      <c r="AE1371" s="314"/>
      <c r="AF1371" s="315"/>
      <c r="AG1371" s="309"/>
      <c r="AH1371" s="28"/>
      <c r="AI1371" s="28"/>
      <c r="AJ1371" s="28"/>
      <c r="AK1371" s="28"/>
      <c r="AL1371" s="12"/>
      <c r="AM1371" s="12"/>
      <c r="AN1371" s="12"/>
      <c r="AO1371" s="12"/>
      <c r="AP1371" s="12"/>
      <c r="AQ1371" s="13"/>
      <c r="AR1371" s="14"/>
    </row>
    <row r="1372" spans="1:44" s="16" customFormat="1" ht="30.95" hidden="1" customHeight="1" x14ac:dyDescent="0.2">
      <c r="A1372" s="303"/>
      <c r="B1372" s="304"/>
      <c r="C1372" s="305"/>
      <c r="D1372" s="29"/>
      <c r="E1372" s="29"/>
      <c r="F1372" s="255"/>
      <c r="G1372" s="256"/>
      <c r="H1372" s="256"/>
      <c r="I1372" s="200"/>
      <c r="J1372" s="30"/>
      <c r="K1372" s="200"/>
      <c r="L1372" s="200"/>
      <c r="M1372" s="37"/>
      <c r="N1372" s="37"/>
      <c r="O1372" s="45"/>
      <c r="P1372" s="54"/>
      <c r="Q1372" s="260"/>
      <c r="R1372" s="261"/>
      <c r="S1372" s="261"/>
      <c r="T1372" s="38"/>
      <c r="U1372" s="261"/>
      <c r="V1372" s="256"/>
      <c r="W1372" s="256"/>
      <c r="X1372" s="256"/>
      <c r="Y1372" s="256"/>
      <c r="Z1372" s="310"/>
      <c r="AA1372" s="200"/>
      <c r="AB1372" s="312"/>
      <c r="AC1372" s="313"/>
      <c r="AD1372" s="51"/>
      <c r="AE1372" s="52"/>
      <c r="AF1372" s="41"/>
      <c r="AG1372" s="45"/>
      <c r="AH1372" s="28"/>
      <c r="AI1372" s="28"/>
      <c r="AJ1372" s="28"/>
      <c r="AK1372" s="28"/>
      <c r="AL1372" s="12"/>
      <c r="AM1372" s="12"/>
      <c r="AN1372" s="12"/>
      <c r="AO1372" s="12"/>
      <c r="AP1372" s="12"/>
      <c r="AQ1372" s="13"/>
      <c r="AR1372" s="14"/>
    </row>
    <row r="1373" spans="1:44" s="16" customFormat="1" ht="30.95" hidden="1" customHeight="1" x14ac:dyDescent="0.2">
      <c r="A1373" s="303" t="s">
        <v>2372</v>
      </c>
      <c r="B1373" s="304" t="s">
        <v>2373</v>
      </c>
      <c r="C1373" s="305"/>
      <c r="D1373" s="29"/>
      <c r="E1373" s="29"/>
      <c r="F1373" s="255"/>
      <c r="G1373" s="256"/>
      <c r="H1373" s="256"/>
      <c r="I1373" s="200"/>
      <c r="J1373" s="30"/>
      <c r="K1373" s="200"/>
      <c r="L1373" s="200"/>
      <c r="M1373" s="37"/>
      <c r="N1373" s="37"/>
      <c r="O1373" s="45"/>
      <c r="P1373" s="54"/>
      <c r="Q1373" s="260"/>
      <c r="R1373" s="261"/>
      <c r="S1373" s="261"/>
      <c r="T1373" s="38"/>
      <c r="U1373" s="261"/>
      <c r="V1373" s="256"/>
      <c r="W1373" s="256"/>
      <c r="X1373" s="256"/>
      <c r="Y1373" s="256"/>
      <c r="Z1373" s="310"/>
      <c r="AA1373" s="200"/>
      <c r="AB1373" s="312"/>
      <c r="AC1373" s="313"/>
      <c r="AD1373" s="51"/>
      <c r="AE1373" s="52"/>
      <c r="AF1373" s="41"/>
      <c r="AG1373" s="45"/>
      <c r="AH1373" s="28"/>
      <c r="AI1373" s="28"/>
      <c r="AJ1373" s="28"/>
      <c r="AK1373" s="28"/>
      <c r="AL1373" s="12"/>
      <c r="AM1373" s="12"/>
      <c r="AN1373" s="12"/>
      <c r="AO1373" s="12"/>
      <c r="AP1373" s="12"/>
      <c r="AQ1373" s="13"/>
      <c r="AR1373" s="14"/>
    </row>
    <row r="1374" spans="1:44" s="16" customFormat="1" ht="30.95" hidden="1" customHeight="1" x14ac:dyDescent="0.2">
      <c r="A1374" s="303"/>
      <c r="B1374" s="304"/>
      <c r="C1374" s="305"/>
      <c r="D1374" s="29"/>
      <c r="E1374" s="29"/>
      <c r="F1374" s="255"/>
      <c r="G1374" s="256"/>
      <c r="H1374" s="256"/>
      <c r="I1374" s="200"/>
      <c r="J1374" s="30"/>
      <c r="K1374" s="200"/>
      <c r="L1374" s="200"/>
      <c r="M1374" s="37"/>
      <c r="N1374" s="37"/>
      <c r="O1374" s="45"/>
      <c r="P1374" s="54"/>
      <c r="Q1374" s="260"/>
      <c r="R1374" s="261"/>
      <c r="S1374" s="261"/>
      <c r="T1374" s="38"/>
      <c r="U1374" s="261"/>
      <c r="V1374" s="256"/>
      <c r="W1374" s="256"/>
      <c r="X1374" s="256"/>
      <c r="Y1374" s="256"/>
      <c r="Z1374" s="310"/>
      <c r="AA1374" s="200"/>
      <c r="AB1374" s="312"/>
      <c r="AC1374" s="313"/>
      <c r="AD1374" s="51"/>
      <c r="AE1374" s="52"/>
      <c r="AF1374" s="41"/>
      <c r="AG1374" s="45"/>
      <c r="AH1374" s="28"/>
      <c r="AI1374" s="28"/>
      <c r="AJ1374" s="28"/>
      <c r="AK1374" s="28"/>
      <c r="AL1374" s="12"/>
      <c r="AM1374" s="12"/>
      <c r="AN1374" s="12"/>
      <c r="AO1374" s="12"/>
      <c r="AP1374" s="12"/>
      <c r="AQ1374" s="13"/>
      <c r="AR1374" s="14"/>
    </row>
    <row r="1375" spans="1:44" s="16" customFormat="1" ht="30.95" hidden="1" customHeight="1" x14ac:dyDescent="0.2">
      <c r="A1375" s="303" t="s">
        <v>2374</v>
      </c>
      <c r="B1375" s="304" t="s">
        <v>2375</v>
      </c>
      <c r="C1375" s="305"/>
      <c r="D1375" s="29"/>
      <c r="E1375" s="29"/>
      <c r="F1375" s="255"/>
      <c r="G1375" s="256"/>
      <c r="H1375" s="256"/>
      <c r="I1375" s="200"/>
      <c r="J1375" s="30"/>
      <c r="K1375" s="200"/>
      <c r="L1375" s="200"/>
      <c r="M1375" s="37"/>
      <c r="N1375" s="37"/>
      <c r="O1375" s="45"/>
      <c r="P1375" s="54"/>
      <c r="Q1375" s="260"/>
      <c r="R1375" s="261"/>
      <c r="S1375" s="261"/>
      <c r="T1375" s="38"/>
      <c r="U1375" s="261"/>
      <c r="V1375" s="256"/>
      <c r="W1375" s="256"/>
      <c r="X1375" s="256"/>
      <c r="Y1375" s="256"/>
      <c r="Z1375" s="310"/>
      <c r="AA1375" s="200"/>
      <c r="AB1375" s="312"/>
      <c r="AC1375" s="313"/>
      <c r="AD1375" s="51"/>
      <c r="AE1375" s="52"/>
      <c r="AF1375" s="41"/>
      <c r="AG1375" s="45"/>
      <c r="AH1375" s="28"/>
      <c r="AI1375" s="28"/>
      <c r="AJ1375" s="28"/>
      <c r="AK1375" s="28"/>
      <c r="AL1375" s="12"/>
      <c r="AM1375" s="12"/>
      <c r="AN1375" s="12"/>
      <c r="AO1375" s="12"/>
      <c r="AP1375" s="12"/>
      <c r="AQ1375" s="13"/>
      <c r="AR1375" s="14"/>
    </row>
    <row r="1376" spans="1:44" s="16" customFormat="1" ht="30.95" hidden="1" customHeight="1" x14ac:dyDescent="0.2">
      <c r="A1376" s="303"/>
      <c r="B1376" s="304"/>
      <c r="C1376" s="305"/>
      <c r="D1376" s="29"/>
      <c r="E1376" s="29"/>
      <c r="F1376" s="255"/>
      <c r="G1376" s="256"/>
      <c r="H1376" s="256"/>
      <c r="I1376" s="200"/>
      <c r="J1376" s="30"/>
      <c r="K1376" s="200"/>
      <c r="L1376" s="200"/>
      <c r="M1376" s="37"/>
      <c r="N1376" s="37"/>
      <c r="O1376" s="45"/>
      <c r="P1376" s="54"/>
      <c r="Q1376" s="260"/>
      <c r="R1376" s="261"/>
      <c r="S1376" s="261"/>
      <c r="T1376" s="38"/>
      <c r="U1376" s="261"/>
      <c r="V1376" s="256"/>
      <c r="W1376" s="256"/>
      <c r="X1376" s="256"/>
      <c r="Y1376" s="256"/>
      <c r="Z1376" s="310"/>
      <c r="AA1376" s="200"/>
      <c r="AB1376" s="312"/>
      <c r="AC1376" s="313"/>
      <c r="AD1376" s="51"/>
      <c r="AE1376" s="52"/>
      <c r="AF1376" s="41"/>
      <c r="AG1376" s="45"/>
      <c r="AH1376" s="28"/>
      <c r="AI1376" s="28"/>
      <c r="AJ1376" s="28"/>
      <c r="AK1376" s="28"/>
      <c r="AL1376" s="12"/>
      <c r="AM1376" s="12"/>
      <c r="AN1376" s="12"/>
      <c r="AO1376" s="12"/>
      <c r="AP1376" s="12"/>
      <c r="AQ1376" s="13"/>
      <c r="AR1376" s="14"/>
    </row>
    <row r="1377" spans="1:44" s="16" customFormat="1" ht="30.95" hidden="1" customHeight="1" x14ac:dyDescent="0.2">
      <c r="A1377" s="303" t="s">
        <v>2727</v>
      </c>
      <c r="B1377" s="304" t="s">
        <v>2728</v>
      </c>
      <c r="C1377" s="305"/>
      <c r="D1377" s="29">
        <v>3750059</v>
      </c>
      <c r="E1377" s="29">
        <v>4151644</v>
      </c>
      <c r="F1377" s="255" t="str">
        <f>IF(D1377="","",VLOOKUP(D1377,契約台帳!$A$3:$K$4986,6,FALSE)&amp;VLOOKUP(D1377,契約台帳!$A$3:$K$4986,7,FALSE)&amp;VLOOKUP(D1377,契約台帳!$A$3:$K$4986,8,FALSE)&amp;VLOOKUP(D1377,契約台帳!$A$3:$K$4986,9,FALSE)&amp;VLOOKUP(D1377,契約台帳!$A$3:$K$4986,11,FALSE))</f>
        <v>3SNMLBMTSF</v>
      </c>
      <c r="G1377" s="256" t="str">
        <f>IF(D1377="","",VLOOKUP(F1377,製品マスタ!$G$5:$H$4999,2,FALSE))</f>
        <v>S</v>
      </c>
      <c r="H1377" s="256" t="str">
        <f>IF(D1377="","",VLOOKUP(F1377,製品マスタ!$G$5:$K$4999,5,FALSE))</f>
        <v>MTSF</v>
      </c>
      <c r="I1377" s="200" t="str">
        <f>IF(D1377="","",VLOOKUP(F1377,製品マスタ!$G$5:$L$4999,6,FALSE))</f>
        <v>メタルミー　ＴＳ</v>
      </c>
      <c r="J1377" s="30" t="s">
        <v>447</v>
      </c>
      <c r="K1377" s="200">
        <f>IF(D1377="","",VLOOKUP(D1377,契約台帳!$A$3:$L$4986,12,FALSE))</f>
        <v>50</v>
      </c>
      <c r="L1377" s="200" t="str">
        <f>IF(D1377="","",INDEX(製品マスタ!$Q$5:$Q$4999,MATCH(F1377&amp;K1377,製品マスタ!$AO$5:$AO$4999,0)))</f>
        <v>T62M</v>
      </c>
      <c r="M1377" s="37">
        <v>1255</v>
      </c>
      <c r="N1377" s="37">
        <v>12200</v>
      </c>
      <c r="O1377" s="45">
        <v>1</v>
      </c>
      <c r="P1377" s="54"/>
      <c r="Q1377" s="260">
        <f>IF(D1377="","",IF(J1377="リード付け",M1377,VLOOKUP(D1377,契約台帳!$A$3:$N$4986,14,FALSE)))</f>
        <v>1255</v>
      </c>
      <c r="R1377" s="261">
        <f>IF(D1377="","",IF(J1377="リード付け",M1377,VLOOKUP(D1377,契約台帳!$A$3:$O$4986,15,FALSE)))</f>
        <v>1250</v>
      </c>
      <c r="S1377" s="261">
        <f>IF(D1377="","",IF(J1377="リード付け",N1377,VLOOKUP(D1377,契約台帳!$A$3:$P$4986,16,FALSE)))</f>
        <v>2000</v>
      </c>
      <c r="T1377" s="38">
        <v>6</v>
      </c>
      <c r="U1377" s="261">
        <f ca="1">IF(D1377="","",IF(OFFSET(D1377,-2,0)=D1377,"",VLOOKUP(D1377,契約台帳!$A$3:$R$4986,18,FALSE)))</f>
        <v>6</v>
      </c>
      <c r="V1377" s="256" t="str">
        <f>IF(J1377="巻返し",VLOOKUP(F1377&amp;K1377&amp;M1377,製品マスタ!$M$5:$AD$4999,18,FALSE),IF(J1377="リード付け","原反コア",IF(J1377="スリット",VLOOKUP(F1377&amp;K1377&amp;Q1377,製品マスタ!$N$5:$AD$4999,17,FALSE),"")))</f>
        <v>3ｲﾝﾁSｺｱ</v>
      </c>
      <c r="W1377" s="256">
        <f>IF(J1377="巻返し",VLOOKUP(F1377&amp;K1377&amp;M1377,製品マスタ!$M$5:$AE$4999,19,FALSE),IF(J1377="リード付け","-",IF(J1377="スリット",VLOOKUP(F1377&amp;K1377&amp;Q1377,製品マスタ!$N$5:$AE$4999,18,FALSE),"")))</f>
        <v>1260</v>
      </c>
      <c r="X1377" s="256">
        <f>IF(D1377="","",VLOOKUP(D1377,契約台帳!$A$3:$Q$4986,17,FALSE))</f>
        <v>2</v>
      </c>
      <c r="Y1377" s="256" t="str">
        <f>IF(D1377="","",VLOOKUP(D1377,契約台帳!$A$3:$E$4986,5,FALSE))</f>
        <v>日東電工㈱豊橋工場</v>
      </c>
      <c r="Z1377" s="310">
        <v>45391</v>
      </c>
      <c r="AA1377" s="200"/>
      <c r="AB1377" s="312"/>
      <c r="AC1377" s="313"/>
      <c r="AD1377" s="51" t="str">
        <f t="shared" si="0"/>
        <v>3SNMLBMTSF50</v>
      </c>
      <c r="AE1377" s="52">
        <f t="shared" si="1"/>
        <v>15311</v>
      </c>
      <c r="AF1377" s="41">
        <f>IF(AD1377="","",VLOOKUP(AD1377,原価マスタ!$A$2:$AJ$1693,13,FALSE))</f>
        <v>95</v>
      </c>
      <c r="AG1377" s="45">
        <f t="shared" si="2"/>
        <v>14545.45</v>
      </c>
      <c r="AH1377" s="28"/>
      <c r="AI1377" s="28"/>
      <c r="AJ1377" s="28"/>
      <c r="AK1377" s="28"/>
      <c r="AL1377" s="12"/>
      <c r="AM1377" s="12"/>
      <c r="AN1377" s="12"/>
      <c r="AO1377" s="12"/>
      <c r="AP1377" s="12"/>
      <c r="AQ1377" s="13"/>
      <c r="AR1377" s="14"/>
    </row>
    <row r="1378" spans="1:44" s="16" customFormat="1" ht="30.95" hidden="1" customHeight="1" x14ac:dyDescent="0.2">
      <c r="A1378" s="303"/>
      <c r="B1378" s="304"/>
      <c r="C1378" s="305"/>
      <c r="D1378" s="29"/>
      <c r="E1378" s="29"/>
      <c r="F1378" s="255"/>
      <c r="G1378" s="256"/>
      <c r="H1378" s="256"/>
      <c r="I1378" s="200"/>
      <c r="J1378" s="30"/>
      <c r="K1378" s="200"/>
      <c r="L1378" s="200"/>
      <c r="M1378" s="37"/>
      <c r="N1378" s="37"/>
      <c r="O1378" s="45"/>
      <c r="P1378" s="54"/>
      <c r="Q1378" s="260"/>
      <c r="R1378" s="261"/>
      <c r="S1378" s="261"/>
      <c r="T1378" s="38"/>
      <c r="U1378" s="261"/>
      <c r="V1378" s="256"/>
      <c r="W1378" s="256"/>
      <c r="X1378" s="256"/>
      <c r="Y1378" s="256"/>
      <c r="Z1378" s="310"/>
      <c r="AA1378" s="200"/>
      <c r="AB1378" s="312"/>
      <c r="AC1378" s="313"/>
      <c r="AD1378" s="51"/>
      <c r="AE1378" s="52"/>
      <c r="AF1378" s="41"/>
      <c r="AG1378" s="45"/>
      <c r="AH1378" s="28"/>
      <c r="AI1378" s="28"/>
      <c r="AJ1378" s="28"/>
      <c r="AK1378" s="28"/>
      <c r="AL1378" s="12"/>
      <c r="AM1378" s="12"/>
      <c r="AN1378" s="12"/>
      <c r="AO1378" s="12"/>
      <c r="AP1378" s="12"/>
      <c r="AQ1378" s="13"/>
      <c r="AR1378" s="14"/>
    </row>
    <row r="1379" spans="1:44" s="16" customFormat="1" ht="30.95" hidden="1" customHeight="1" x14ac:dyDescent="0.2">
      <c r="A1379" s="303"/>
      <c r="B1379" s="304"/>
      <c r="C1379" s="305"/>
      <c r="D1379" s="29">
        <v>3750056</v>
      </c>
      <c r="E1379" s="29">
        <v>4151649</v>
      </c>
      <c r="F1379" s="255" t="str">
        <f>IF(D1379="","",VLOOKUP(D1379,契約台帳!$A$3:$K$4986,6,FALSE)&amp;VLOOKUP(D1379,契約台帳!$A$3:$K$4986,7,FALSE)&amp;VLOOKUP(D1379,契約台帳!$A$3:$K$4986,8,FALSE)&amp;VLOOKUP(D1379,契約台帳!$A$3:$K$4986,9,FALSE)&amp;VLOOKUP(D1379,契約台帳!$A$3:$K$4986,11,FALSE))</f>
        <v>3SNMLBMSF</v>
      </c>
      <c r="G1379" s="256" t="str">
        <f>IF(D1379="","",VLOOKUP(F1379,製品マスタ!$G$5:$H$4999,2,FALSE))</f>
        <v>S</v>
      </c>
      <c r="H1379" s="256" t="str">
        <f>IF(D1379="","",VLOOKUP(F1379,製品マスタ!$G$5:$K$4999,5,FALSE))</f>
        <v>MSF</v>
      </c>
      <c r="I1379" s="200" t="str">
        <f>IF(D1379="","",VLOOKUP(F1379,製品マスタ!$G$5:$L$4999,6,FALSE))</f>
        <v>メタルミー　Ｓ</v>
      </c>
      <c r="J1379" s="30" t="s">
        <v>447</v>
      </c>
      <c r="K1379" s="200">
        <f>IF(D1379="","",VLOOKUP(D1379,契約台帳!$A$3:$L$4986,12,FALSE))</f>
        <v>25</v>
      </c>
      <c r="L1379" s="200" t="str">
        <f>IF(D1379="","",INDEX(製品マスタ!$Q$5:$Q$4999,MATCH(F1379&amp;K1379,製品マスタ!$AO$5:$AO$4999,0)))</f>
        <v>T62M</v>
      </c>
      <c r="M1379" s="37">
        <v>1020</v>
      </c>
      <c r="N1379" s="37">
        <v>12100</v>
      </c>
      <c r="O1379" s="45">
        <v>1</v>
      </c>
      <c r="P1379" s="54"/>
      <c r="Q1379" s="260">
        <f>IF(D1379="","",IF(J1379="リード付け",M1379,VLOOKUP(D1379,契約台帳!$A$3:$N$4986,14,FALSE)))</f>
        <v>1020</v>
      </c>
      <c r="R1379" s="261">
        <f>IF(D1379="","",IF(J1379="リード付け",M1379,VLOOKUP(D1379,契約台帳!$A$3:$O$4986,15,FALSE)))</f>
        <v>1020</v>
      </c>
      <c r="S1379" s="261">
        <f>IF(D1379="","",IF(J1379="リード付け",N1379,VLOOKUP(D1379,契約台帳!$A$3:$P$4986,16,FALSE)))</f>
        <v>2000</v>
      </c>
      <c r="T1379" s="38">
        <v>6</v>
      </c>
      <c r="U1379" s="261">
        <f ca="1">IF(D1379="","",IF(OFFSET(D1379,-2,0)=D1379,"",VLOOKUP(D1379,契約台帳!$A$3:$R$4986,18,FALSE)))</f>
        <v>6</v>
      </c>
      <c r="V1379" s="256" t="str">
        <f>IF(J1379="巻返し",VLOOKUP(F1379&amp;K1379&amp;M1379,製品マスタ!$M$5:$AD$4999,18,FALSE),IF(J1379="リード付け","原反コア",IF(J1379="スリット",VLOOKUP(F1379&amp;K1379&amp;Q1379,製品マスタ!$N$5:$AD$4999,17,FALSE),"")))</f>
        <v>3ｲﾝﾁSｺｱ</v>
      </c>
      <c r="W1379" s="256">
        <v>1025</v>
      </c>
      <c r="X1379" s="256">
        <f>IF(D1379="","",VLOOKUP(D1379,契約台帳!$A$3:$Q$4986,17,FALSE))</f>
        <v>2</v>
      </c>
      <c r="Y1379" s="256" t="str">
        <f>IF(D1379="","",VLOOKUP(D1379,契約台帳!$A$3:$E$4986,5,FALSE))</f>
        <v>パナック㈱亀山工場</v>
      </c>
      <c r="Z1379" s="310">
        <v>45391</v>
      </c>
      <c r="AA1379" s="200"/>
      <c r="AB1379" s="312"/>
      <c r="AC1379" s="313"/>
      <c r="AD1379" s="51" t="str">
        <f t="shared" si="0"/>
        <v>3SNMLBMSF25</v>
      </c>
      <c r="AE1379" s="52">
        <f t="shared" si="1"/>
        <v>12342</v>
      </c>
      <c r="AF1379" s="41">
        <f>IF(AD1379="","",VLOOKUP(AD1379,原価マスタ!$A$2:$AJ$1693,13,FALSE))</f>
        <v>97</v>
      </c>
      <c r="AG1379" s="45">
        <f t="shared" si="2"/>
        <v>11971.74</v>
      </c>
      <c r="AH1379" s="28"/>
      <c r="AI1379" s="28"/>
      <c r="AJ1379" s="28"/>
      <c r="AK1379" s="28"/>
      <c r="AL1379" s="12"/>
      <c r="AM1379" s="12"/>
      <c r="AN1379" s="12"/>
      <c r="AO1379" s="12"/>
      <c r="AP1379" s="12"/>
      <c r="AQ1379" s="13"/>
      <c r="AR1379" s="14"/>
    </row>
    <row r="1380" spans="1:44" s="16" customFormat="1" ht="30.95" hidden="1" customHeight="1" x14ac:dyDescent="0.2">
      <c r="A1380" s="303"/>
      <c r="B1380" s="304"/>
      <c r="C1380" s="305"/>
      <c r="D1380" s="29"/>
      <c r="E1380" s="29"/>
      <c r="F1380" s="255"/>
      <c r="G1380" s="256"/>
      <c r="H1380" s="256"/>
      <c r="I1380" s="200"/>
      <c r="J1380" s="30"/>
      <c r="K1380" s="200"/>
      <c r="L1380" s="200"/>
      <c r="M1380" s="37"/>
      <c r="N1380" s="37"/>
      <c r="O1380" s="45"/>
      <c r="P1380" s="54"/>
      <c r="Q1380" s="260"/>
      <c r="R1380" s="261"/>
      <c r="S1380" s="261"/>
      <c r="T1380" s="38"/>
      <c r="U1380" s="261"/>
      <c r="V1380" s="256"/>
      <c r="W1380" s="256"/>
      <c r="X1380" s="256"/>
      <c r="Y1380" s="256"/>
      <c r="Z1380" s="310"/>
      <c r="AA1380" s="200"/>
      <c r="AB1380" s="312"/>
      <c r="AC1380" s="313"/>
      <c r="AD1380" s="51"/>
      <c r="AE1380" s="52"/>
      <c r="AF1380" s="41"/>
      <c r="AG1380" s="45"/>
      <c r="AH1380" s="28"/>
      <c r="AI1380" s="28"/>
      <c r="AJ1380" s="28"/>
      <c r="AK1380" s="28"/>
      <c r="AL1380" s="12"/>
      <c r="AM1380" s="12"/>
      <c r="AN1380" s="12"/>
      <c r="AO1380" s="12"/>
      <c r="AP1380" s="12"/>
      <c r="AQ1380" s="13"/>
      <c r="AR1380" s="14"/>
    </row>
    <row r="1381" spans="1:44" s="16" customFormat="1" ht="30.95" hidden="1" customHeight="1" x14ac:dyDescent="0.2">
      <c r="A1381" s="303"/>
      <c r="B1381" s="304"/>
      <c r="C1381" s="305"/>
      <c r="D1381" s="29">
        <v>3741612</v>
      </c>
      <c r="E1381" s="29">
        <v>4151653</v>
      </c>
      <c r="F1381" s="255" t="str">
        <f>IF(D1381="","",VLOOKUP(D1381,契約台帳!$A$3:$K$4986,6,FALSE)&amp;VLOOKUP(D1381,契約台帳!$A$3:$K$4986,7,FALSE)&amp;VLOOKUP(D1381,契約台帳!$A$3:$K$4986,8,FALSE)&amp;VLOOKUP(D1381,契約台帳!$A$3:$K$4986,9,FALSE)&amp;VLOOKUP(D1381,契約台帳!$A$3:$K$4986,11,FALSE))</f>
        <v>3SNMLBMNGTBF</v>
      </c>
      <c r="G1381" s="256" t="str">
        <f>IF(D1381="","",VLOOKUP(F1381,製品マスタ!$G$5:$H$4999,2,FALSE))</f>
        <v>S</v>
      </c>
      <c r="H1381" s="256" t="str">
        <f>IF(D1381="","",VLOOKUP(F1381,製品マスタ!$G$5:$K$4999,5,FALSE))</f>
        <v>MNGTBF</v>
      </c>
      <c r="I1381" s="200" t="str">
        <f>IF(D1381="","",VLOOKUP(F1381,製品マスタ!$G$5:$L$4999,6,FALSE))</f>
        <v>メタルミー　ネーマー　銀艶　Ｂ</v>
      </c>
      <c r="J1381" s="30" t="s">
        <v>447</v>
      </c>
      <c r="K1381" s="200">
        <f>IF(D1381="","",VLOOKUP(D1381,契約台帳!$A$3:$L$4986,12,FALSE))</f>
        <v>50</v>
      </c>
      <c r="L1381" s="200" t="str">
        <f>IF(D1381="","",INDEX(製品マスタ!$Q$5:$Q$4999,MATCH(F1381&amp;K1381,製品マスタ!$AO$5:$AO$4999,0)))</f>
        <v>T62</v>
      </c>
      <c r="M1381" s="37">
        <v>1120</v>
      </c>
      <c r="N1381" s="37">
        <v>10000</v>
      </c>
      <c r="O1381" s="45">
        <v>1</v>
      </c>
      <c r="P1381" s="54"/>
      <c r="Q1381" s="260">
        <f>IF(D1381="","",IF(J1381="リード付け",M1381,VLOOKUP(D1381,契約台帳!$A$3:$N$4986,14,FALSE)))</f>
        <v>1120</v>
      </c>
      <c r="R1381" s="261">
        <f>IF(D1381="","",IF(J1381="リード付け",M1381,VLOOKUP(D1381,契約台帳!$A$3:$O$4986,15,FALSE)))</f>
        <v>1120</v>
      </c>
      <c r="S1381" s="261">
        <f>IF(D1381="","",IF(J1381="リード付け",N1381,VLOOKUP(D1381,契約台帳!$A$3:$P$4986,16,FALSE)))</f>
        <v>5000</v>
      </c>
      <c r="T1381" s="38">
        <v>2</v>
      </c>
      <c r="U1381" s="261">
        <f ca="1">IF(D1381="","",IF(OFFSET(D1381,-2,0)=D1381,"",VLOOKUP(D1381,契約台帳!$A$3:$R$4986,18,FALSE)))</f>
        <v>24</v>
      </c>
      <c r="V1381" s="256" t="str">
        <f>IF(J1381="巻返し",VLOOKUP(F1381&amp;K1381&amp;M1381,製品マスタ!$M$5:$AD$4999,18,FALSE),IF(J1381="リード付け","原反コア",IF(J1381="スリット",VLOOKUP(F1381&amp;K1381&amp;Q1381,製品マスタ!$N$5:$AD$4999,17,FALSE),"")))</f>
        <v>6ｲﾝﾁSｺｱ</v>
      </c>
      <c r="W1381" s="256">
        <f>IF(J1381="巻返し",VLOOKUP(F1381&amp;K1381&amp;M1381,製品マスタ!$M$5:$AE$4999,19,FALSE),IF(J1381="リード付け","-",IF(J1381="スリット",VLOOKUP(F1381&amp;K1381&amp;Q1381,製品マスタ!$N$5:$AE$4999,18,FALSE),"")))</f>
        <v>1125</v>
      </c>
      <c r="X1381" s="256">
        <f>IF(D1381="","",VLOOKUP(D1381,契約台帳!$A$3:$Q$4986,17,FALSE))</f>
        <v>2</v>
      </c>
      <c r="Y1381" s="256" t="str">
        <f>IF(D1381="","",VLOOKUP(D1381,契約台帳!$A$3:$E$4986,5,FALSE))</f>
        <v>リンテック㈱</v>
      </c>
      <c r="Z1381" s="310">
        <v>45391</v>
      </c>
      <c r="AA1381" s="200"/>
      <c r="AB1381" s="312"/>
      <c r="AC1381" s="313"/>
      <c r="AD1381" s="51" t="str">
        <f t="shared" si="0"/>
        <v>3SNMLBMNGTBF50</v>
      </c>
      <c r="AE1381" s="52">
        <f t="shared" si="1"/>
        <v>11200</v>
      </c>
      <c r="AF1381" s="41">
        <f>IF(AD1381="","",VLOOKUP(AD1381,原価マスタ!$A$2:$AJ$1693,13,FALSE))</f>
        <v>99</v>
      </c>
      <c r="AG1381" s="45">
        <f t="shared" si="2"/>
        <v>11088</v>
      </c>
      <c r="AH1381" s="28"/>
      <c r="AI1381" s="28"/>
      <c r="AJ1381" s="28"/>
      <c r="AK1381" s="28"/>
      <c r="AL1381" s="12"/>
      <c r="AM1381" s="12"/>
      <c r="AN1381" s="12"/>
      <c r="AO1381" s="12"/>
      <c r="AP1381" s="12"/>
      <c r="AQ1381" s="13"/>
      <c r="AR1381" s="14"/>
    </row>
    <row r="1382" spans="1:44" s="16" customFormat="1" ht="30.95" hidden="1" customHeight="1" x14ac:dyDescent="0.2">
      <c r="A1382" s="303"/>
      <c r="B1382" s="304"/>
      <c r="C1382" s="305"/>
      <c r="D1382" s="29"/>
      <c r="E1382" s="29"/>
      <c r="F1382" s="255"/>
      <c r="G1382" s="256"/>
      <c r="H1382" s="256"/>
      <c r="I1382" s="200"/>
      <c r="J1382" s="30"/>
      <c r="K1382" s="200"/>
      <c r="L1382" s="200"/>
      <c r="M1382" s="37"/>
      <c r="N1382" s="37"/>
      <c r="O1382" s="45"/>
      <c r="P1382" s="54"/>
      <c r="Q1382" s="260"/>
      <c r="R1382" s="261"/>
      <c r="S1382" s="261"/>
      <c r="T1382" s="38"/>
      <c r="U1382" s="261"/>
      <c r="V1382" s="256"/>
      <c r="W1382" s="256"/>
      <c r="X1382" s="256"/>
      <c r="Y1382" s="256"/>
      <c r="Z1382" s="310"/>
      <c r="AA1382" s="200"/>
      <c r="AB1382" s="312"/>
      <c r="AC1382" s="313"/>
      <c r="AD1382" s="51"/>
      <c r="AE1382" s="52"/>
      <c r="AF1382" s="41"/>
      <c r="AG1382" s="45"/>
      <c r="AH1382" s="28"/>
      <c r="AI1382" s="28"/>
      <c r="AJ1382" s="28"/>
      <c r="AK1382" s="28"/>
      <c r="AL1382" s="12"/>
      <c r="AM1382" s="12"/>
      <c r="AN1382" s="12"/>
      <c r="AO1382" s="12"/>
      <c r="AP1382" s="12"/>
      <c r="AQ1382" s="13"/>
      <c r="AR1382" s="14"/>
    </row>
    <row r="1383" spans="1:44" s="16" customFormat="1" ht="30.95" hidden="1" customHeight="1" x14ac:dyDescent="0.2">
      <c r="A1383" s="303"/>
      <c r="B1383" s="304"/>
      <c r="C1383" s="305"/>
      <c r="D1383" s="29">
        <v>3750071</v>
      </c>
      <c r="E1383" s="29">
        <v>4151628</v>
      </c>
      <c r="F1383" s="255" t="str">
        <f>IF(D1383="","",VLOOKUP(D1383,契約台帳!$A$3:$K$4986,6,FALSE)&amp;VLOOKUP(D1383,契約台帳!$A$3:$K$4986,7,FALSE)&amp;VLOOKUP(D1383,契約台帳!$A$3:$K$4986,8,FALSE)&amp;VLOOKUP(D1383,契約台帳!$A$3:$K$4986,9,FALSE)&amp;VLOOKUP(D1383,契約台帳!$A$3:$K$4986,11,FALSE))</f>
        <v>3SNMLBMNGTBF</v>
      </c>
      <c r="G1383" s="256" t="str">
        <f>IF(D1383="","",VLOOKUP(F1383,製品マスタ!$G$5:$H$4999,2,FALSE))</f>
        <v>S</v>
      </c>
      <c r="H1383" s="256" t="str">
        <f>IF(D1383="","",VLOOKUP(F1383,製品マスタ!$G$5:$K$4999,5,FALSE))</f>
        <v>MNGTBF</v>
      </c>
      <c r="I1383" s="200" t="str">
        <f>IF(D1383="","",VLOOKUP(F1383,製品マスタ!$G$5:$L$4999,6,FALSE))</f>
        <v>メタルミー　ネーマー　銀艶　Ｂ</v>
      </c>
      <c r="J1383" s="30" t="s">
        <v>447</v>
      </c>
      <c r="K1383" s="200">
        <f>IF(D1383="","",VLOOKUP(D1383,契約台帳!$A$3:$L$4986,12,FALSE))</f>
        <v>50</v>
      </c>
      <c r="L1383" s="200" t="str">
        <f>IF(D1383="","",INDEX(製品マスタ!$Q$5:$Q$4999,MATCH(F1383&amp;K1383,製品マスタ!$AO$5:$AO$4999,0)))</f>
        <v>T62</v>
      </c>
      <c r="M1383" s="37">
        <v>1120</v>
      </c>
      <c r="N1383" s="37">
        <v>10000</v>
      </c>
      <c r="O1383" s="45">
        <v>1</v>
      </c>
      <c r="P1383" s="54"/>
      <c r="Q1383" s="260">
        <f>IF(D1383="","",IF(J1383="リード付け",M1383,VLOOKUP(D1383,契約台帳!$A$3:$N$4986,14,FALSE)))</f>
        <v>1120</v>
      </c>
      <c r="R1383" s="261">
        <f>IF(D1383="","",IF(J1383="リード付け",M1383,VLOOKUP(D1383,契約台帳!$A$3:$O$4986,15,FALSE)))</f>
        <v>1120</v>
      </c>
      <c r="S1383" s="261">
        <f>IF(D1383="","",IF(J1383="リード付け",N1383,VLOOKUP(D1383,契約台帳!$A$3:$P$4986,16,FALSE)))</f>
        <v>5000</v>
      </c>
      <c r="T1383" s="38">
        <v>2</v>
      </c>
      <c r="U1383" s="261">
        <f ca="1">IF(D1383="","",IF(OFFSET(D1383,-2,0)=D1383,"",VLOOKUP(D1383,契約台帳!$A$3:$R$4986,18,FALSE)))</f>
        <v>50</v>
      </c>
      <c r="V1383" s="256" t="str">
        <f>IF(J1383="巻返し",VLOOKUP(F1383&amp;K1383&amp;M1383,製品マスタ!$M$5:$AD$4999,18,FALSE),IF(J1383="リード付け","原反コア",IF(J1383="スリット",VLOOKUP(F1383&amp;K1383&amp;Q1383,製品マスタ!$N$5:$AD$4999,17,FALSE),"")))</f>
        <v>6ｲﾝﾁSｺｱ</v>
      </c>
      <c r="W1383" s="256">
        <f>IF(J1383="巻返し",VLOOKUP(F1383&amp;K1383&amp;M1383,製品マスタ!$M$5:$AE$4999,19,FALSE),IF(J1383="リード付け","-",IF(J1383="スリット",VLOOKUP(F1383&amp;K1383&amp;Q1383,製品マスタ!$N$5:$AE$4999,18,FALSE),"")))</f>
        <v>1125</v>
      </c>
      <c r="X1383" s="256">
        <f>IF(D1383="","",VLOOKUP(D1383,契約台帳!$A$3:$Q$4986,17,FALSE))</f>
        <v>2</v>
      </c>
      <c r="Y1383" s="256" t="str">
        <f>IF(D1383="","",VLOOKUP(D1383,契約台帳!$A$3:$E$4986,5,FALSE))</f>
        <v>リンテック㈱</v>
      </c>
      <c r="Z1383" s="310">
        <v>45391</v>
      </c>
      <c r="AA1383" s="200"/>
      <c r="AB1383" s="312"/>
      <c r="AC1383" s="313"/>
      <c r="AD1383" s="51" t="str">
        <f t="shared" si="0"/>
        <v>3SNMLBMNGTBF50</v>
      </c>
      <c r="AE1383" s="52">
        <f t="shared" si="1"/>
        <v>11200</v>
      </c>
      <c r="AF1383" s="41">
        <f>IF(AD1383="","",VLOOKUP(AD1383,原価マスタ!$A$2:$AJ$1693,13,FALSE))</f>
        <v>99</v>
      </c>
      <c r="AG1383" s="45">
        <f t="shared" si="2"/>
        <v>11088</v>
      </c>
      <c r="AH1383" s="28"/>
      <c r="AI1383" s="28"/>
      <c r="AJ1383" s="28"/>
      <c r="AK1383" s="28"/>
      <c r="AL1383" s="12"/>
      <c r="AM1383" s="12"/>
      <c r="AN1383" s="12"/>
      <c r="AO1383" s="12"/>
      <c r="AP1383" s="12"/>
      <c r="AQ1383" s="13"/>
      <c r="AR1383" s="14"/>
    </row>
    <row r="1384" spans="1:44" s="16" customFormat="1" ht="30.95" hidden="1" customHeight="1" x14ac:dyDescent="0.2">
      <c r="A1384" s="303"/>
      <c r="B1384" s="304"/>
      <c r="C1384" s="305"/>
      <c r="D1384" s="29"/>
      <c r="E1384" s="29"/>
      <c r="F1384" s="255"/>
      <c r="G1384" s="256"/>
      <c r="H1384" s="256"/>
      <c r="I1384" s="200"/>
      <c r="J1384" s="30"/>
      <c r="K1384" s="200"/>
      <c r="L1384" s="200"/>
      <c r="M1384" s="37"/>
      <c r="N1384" s="37"/>
      <c r="O1384" s="45"/>
      <c r="P1384" s="54"/>
      <c r="Q1384" s="260"/>
      <c r="R1384" s="261"/>
      <c r="S1384" s="261"/>
      <c r="T1384" s="38"/>
      <c r="U1384" s="261"/>
      <c r="V1384" s="256"/>
      <c r="W1384" s="256"/>
      <c r="X1384" s="256"/>
      <c r="Y1384" s="256"/>
      <c r="Z1384" s="310"/>
      <c r="AA1384" s="200"/>
      <c r="AB1384" s="312"/>
      <c r="AC1384" s="313"/>
      <c r="AD1384" s="51"/>
      <c r="AE1384" s="52"/>
      <c r="AF1384" s="41"/>
      <c r="AG1384" s="45"/>
      <c r="AH1384" s="28"/>
      <c r="AI1384" s="28"/>
      <c r="AJ1384" s="28"/>
      <c r="AK1384" s="28"/>
      <c r="AL1384" s="12"/>
      <c r="AM1384" s="12"/>
      <c r="AN1384" s="12"/>
      <c r="AO1384" s="12"/>
      <c r="AP1384" s="12"/>
      <c r="AQ1384" s="13"/>
      <c r="AR1384" s="14"/>
    </row>
    <row r="1385" spans="1:44" s="16" customFormat="1" ht="30.95" hidden="1" customHeight="1" x14ac:dyDescent="0.2">
      <c r="A1385" s="303" t="s">
        <v>2729</v>
      </c>
      <c r="B1385" s="304" t="s">
        <v>2730</v>
      </c>
      <c r="C1385" s="305"/>
      <c r="D1385" s="29">
        <v>3750071</v>
      </c>
      <c r="E1385" s="29">
        <v>4151628</v>
      </c>
      <c r="F1385" s="255" t="str">
        <f>IF(D1385="","",VLOOKUP(D1385,契約台帳!$A$3:$K$4986,6,FALSE)&amp;VLOOKUP(D1385,契約台帳!$A$3:$K$4986,7,FALSE)&amp;VLOOKUP(D1385,契約台帳!$A$3:$K$4986,8,FALSE)&amp;VLOOKUP(D1385,契約台帳!$A$3:$K$4986,9,FALSE)&amp;VLOOKUP(D1385,契約台帳!$A$3:$K$4986,11,FALSE))</f>
        <v>3SNMLBMNGTBF</v>
      </c>
      <c r="G1385" s="256" t="str">
        <f>IF(D1385="","",VLOOKUP(F1385,製品マスタ!$G$5:$H$4999,2,FALSE))</f>
        <v>S</v>
      </c>
      <c r="H1385" s="256" t="str">
        <f>IF(D1385="","",VLOOKUP(F1385,製品マスタ!$G$5:$K$4999,5,FALSE))</f>
        <v>MNGTBF</v>
      </c>
      <c r="I1385" s="200" t="str">
        <f>IF(D1385="","",VLOOKUP(F1385,製品マスタ!$G$5:$L$4999,6,FALSE))</f>
        <v>メタルミー　ネーマー　銀艶　Ｂ</v>
      </c>
      <c r="J1385" s="30" t="s">
        <v>447</v>
      </c>
      <c r="K1385" s="200">
        <f>IF(D1385="","",VLOOKUP(D1385,契約台帳!$A$3:$L$4986,12,FALSE))</f>
        <v>50</v>
      </c>
      <c r="L1385" s="200" t="str">
        <f>IF(D1385="","",INDEX(製品マスタ!$Q$5:$Q$4999,MATCH(F1385&amp;K1385,製品マスタ!$AO$5:$AO$4999,0)))</f>
        <v>T62</v>
      </c>
      <c r="M1385" s="37">
        <v>1120</v>
      </c>
      <c r="N1385" s="37">
        <v>10000</v>
      </c>
      <c r="O1385" s="45">
        <v>4</v>
      </c>
      <c r="P1385" s="54"/>
      <c r="Q1385" s="260">
        <f>IF(D1385="","",IF(J1385="リード付け",M1385,VLOOKUP(D1385,契約台帳!$A$3:$N$4986,14,FALSE)))</f>
        <v>1120</v>
      </c>
      <c r="R1385" s="261">
        <f>IF(D1385="","",IF(J1385="リード付け",M1385,VLOOKUP(D1385,契約台帳!$A$3:$O$4986,15,FALSE)))</f>
        <v>1120</v>
      </c>
      <c r="S1385" s="261">
        <f>IF(D1385="","",IF(J1385="リード付け",N1385,VLOOKUP(D1385,契約台帳!$A$3:$P$4986,16,FALSE)))</f>
        <v>5000</v>
      </c>
      <c r="T1385" s="38">
        <v>8</v>
      </c>
      <c r="U1385" s="261" t="str">
        <f ca="1">IF(D1385="","",IF(OFFSET(D1385,-2,0)=D1385,"",VLOOKUP(D1385,契約台帳!$A$3:$R$4986,18,FALSE)))</f>
        <v/>
      </c>
      <c r="V1385" s="256" t="str">
        <f>IF(J1385="巻返し",VLOOKUP(F1385&amp;K1385&amp;M1385,製品マスタ!$M$5:$AD$4999,18,FALSE),IF(J1385="リード付け","原反コア",IF(J1385="スリット",VLOOKUP(F1385&amp;K1385&amp;Q1385,製品マスタ!$N$5:$AD$4999,17,FALSE),"")))</f>
        <v>6ｲﾝﾁSｺｱ</v>
      </c>
      <c r="W1385" s="256">
        <f>IF(J1385="巻返し",VLOOKUP(F1385&amp;K1385&amp;M1385,製品マスタ!$M$5:$AE$4999,19,FALSE),IF(J1385="リード付け","-",IF(J1385="スリット",VLOOKUP(F1385&amp;K1385&amp;Q1385,製品マスタ!$N$5:$AE$4999,18,FALSE),"")))</f>
        <v>1125</v>
      </c>
      <c r="X1385" s="256">
        <f>IF(D1385="","",VLOOKUP(D1385,契約台帳!$A$3:$Q$4986,17,FALSE))</f>
        <v>2</v>
      </c>
      <c r="Y1385" s="256" t="str">
        <f>IF(D1385="","",VLOOKUP(D1385,契約台帳!$A$3:$E$4986,5,FALSE))</f>
        <v>リンテック㈱</v>
      </c>
      <c r="Z1385" s="310">
        <v>45392</v>
      </c>
      <c r="AA1385" s="200"/>
      <c r="AB1385" s="312"/>
      <c r="AC1385" s="313"/>
      <c r="AD1385" s="51" t="str">
        <f t="shared" si="0"/>
        <v>3SNMLBMNGTBF50</v>
      </c>
      <c r="AE1385" s="52">
        <f t="shared" si="1"/>
        <v>44800</v>
      </c>
      <c r="AF1385" s="41">
        <f>IF(AD1385="","",VLOOKUP(AD1385,原価マスタ!$A$2:$AJ$1693,13,FALSE))</f>
        <v>99</v>
      </c>
      <c r="AG1385" s="45">
        <f t="shared" si="2"/>
        <v>44352</v>
      </c>
      <c r="AH1385" s="28"/>
      <c r="AI1385" s="28"/>
      <c r="AJ1385" s="28"/>
      <c r="AK1385" s="28"/>
      <c r="AL1385" s="12"/>
      <c r="AM1385" s="12"/>
      <c r="AN1385" s="12"/>
      <c r="AO1385" s="12"/>
      <c r="AP1385" s="12"/>
      <c r="AQ1385" s="13"/>
      <c r="AR1385" s="14"/>
    </row>
    <row r="1386" spans="1:44" s="16" customFormat="1" ht="30.95" hidden="1" customHeight="1" x14ac:dyDescent="0.2">
      <c r="A1386" s="303"/>
      <c r="B1386" s="304"/>
      <c r="C1386" s="305"/>
      <c r="D1386" s="29"/>
      <c r="E1386" s="29"/>
      <c r="F1386" s="255"/>
      <c r="G1386" s="256"/>
      <c r="H1386" s="256"/>
      <c r="I1386" s="200"/>
      <c r="J1386" s="30"/>
      <c r="K1386" s="200"/>
      <c r="L1386" s="200"/>
      <c r="M1386" s="37"/>
      <c r="N1386" s="37"/>
      <c r="O1386" s="45"/>
      <c r="P1386" s="54"/>
      <c r="Q1386" s="260"/>
      <c r="R1386" s="261"/>
      <c r="S1386" s="261"/>
      <c r="T1386" s="38"/>
      <c r="U1386" s="261"/>
      <c r="V1386" s="256"/>
      <c r="W1386" s="256"/>
      <c r="X1386" s="256"/>
      <c r="Y1386" s="256"/>
      <c r="Z1386" s="310"/>
      <c r="AA1386" s="200"/>
      <c r="AB1386" s="312"/>
      <c r="AC1386" s="313"/>
      <c r="AD1386" s="51"/>
      <c r="AE1386" s="52"/>
      <c r="AF1386" s="41"/>
      <c r="AG1386" s="45"/>
      <c r="AH1386" s="28"/>
      <c r="AI1386" s="28"/>
      <c r="AJ1386" s="28"/>
      <c r="AK1386" s="28"/>
      <c r="AL1386" s="12"/>
      <c r="AM1386" s="12"/>
      <c r="AN1386" s="12"/>
      <c r="AO1386" s="12"/>
      <c r="AP1386" s="12"/>
      <c r="AQ1386" s="13"/>
      <c r="AR1386" s="14"/>
    </row>
    <row r="1387" spans="1:44" s="16" customFormat="1" ht="30.95" hidden="1" customHeight="1" x14ac:dyDescent="0.2">
      <c r="A1387" s="303" t="s">
        <v>1025</v>
      </c>
      <c r="B1387" s="304" t="s">
        <v>445</v>
      </c>
      <c r="C1387" s="305"/>
      <c r="D1387" s="29"/>
      <c r="E1387" s="29"/>
      <c r="F1387" s="255"/>
      <c r="G1387" s="256"/>
      <c r="H1387" s="256"/>
      <c r="I1387" s="200"/>
      <c r="J1387" s="30" t="s">
        <v>448</v>
      </c>
      <c r="K1387" s="200"/>
      <c r="L1387" s="200"/>
      <c r="M1387" s="37"/>
      <c r="N1387" s="37"/>
      <c r="O1387" s="45"/>
      <c r="P1387" s="54"/>
      <c r="Q1387" s="260"/>
      <c r="R1387" s="261"/>
      <c r="S1387" s="261"/>
      <c r="T1387" s="38"/>
      <c r="U1387" s="261"/>
      <c r="V1387" s="256"/>
      <c r="W1387" s="256"/>
      <c r="X1387" s="256"/>
      <c r="Y1387" s="256"/>
      <c r="Z1387" s="310"/>
      <c r="AA1387" s="200"/>
      <c r="AB1387" s="312"/>
      <c r="AC1387" s="313"/>
      <c r="AD1387" s="51"/>
      <c r="AE1387" s="52"/>
      <c r="AF1387" s="41"/>
      <c r="AG1387" s="45"/>
      <c r="AH1387" s="28"/>
      <c r="AI1387" s="28"/>
      <c r="AJ1387" s="28"/>
      <c r="AK1387" s="28"/>
      <c r="AL1387" s="12"/>
      <c r="AM1387" s="12"/>
      <c r="AN1387" s="12"/>
      <c r="AO1387" s="12"/>
      <c r="AP1387" s="12"/>
      <c r="AQ1387" s="13"/>
      <c r="AR1387" s="14"/>
    </row>
    <row r="1388" spans="1:44" s="16" customFormat="1" ht="30.95" hidden="1" customHeight="1" x14ac:dyDescent="0.2">
      <c r="A1388" s="303"/>
      <c r="B1388" s="304"/>
      <c r="C1388" s="305"/>
      <c r="D1388" s="29"/>
      <c r="E1388" s="29"/>
      <c r="F1388" s="255"/>
      <c r="G1388" s="256"/>
      <c r="H1388" s="256"/>
      <c r="I1388" s="200"/>
      <c r="J1388" s="30"/>
      <c r="K1388" s="200"/>
      <c r="L1388" s="200"/>
      <c r="M1388" s="37"/>
      <c r="N1388" s="37"/>
      <c r="O1388" s="45"/>
      <c r="P1388" s="54"/>
      <c r="Q1388" s="260"/>
      <c r="R1388" s="261"/>
      <c r="S1388" s="261"/>
      <c r="T1388" s="38"/>
      <c r="U1388" s="261"/>
      <c r="V1388" s="256"/>
      <c r="W1388" s="256"/>
      <c r="X1388" s="256"/>
      <c r="Y1388" s="256"/>
      <c r="Z1388" s="310"/>
      <c r="AA1388" s="200"/>
      <c r="AB1388" s="312"/>
      <c r="AC1388" s="313"/>
      <c r="AD1388" s="51"/>
      <c r="AE1388" s="52"/>
      <c r="AF1388" s="41"/>
      <c r="AG1388" s="45"/>
      <c r="AH1388" s="28"/>
      <c r="AI1388" s="28"/>
      <c r="AJ1388" s="28"/>
      <c r="AK1388" s="28"/>
      <c r="AL1388" s="12"/>
      <c r="AM1388" s="12"/>
      <c r="AN1388" s="12"/>
      <c r="AO1388" s="12"/>
      <c r="AP1388" s="12"/>
      <c r="AQ1388" s="13"/>
      <c r="AR1388" s="14"/>
    </row>
    <row r="1389" spans="1:44" s="16" customFormat="1" ht="30.95" hidden="1" customHeight="1" x14ac:dyDescent="0.2">
      <c r="A1389" s="303" t="s">
        <v>1027</v>
      </c>
      <c r="B1389" s="304" t="s">
        <v>446</v>
      </c>
      <c r="C1389" s="305"/>
      <c r="D1389" s="29"/>
      <c r="E1389" s="29"/>
      <c r="F1389" s="255"/>
      <c r="G1389" s="256"/>
      <c r="H1389" s="256"/>
      <c r="I1389" s="200"/>
      <c r="J1389" s="30" t="s">
        <v>448</v>
      </c>
      <c r="K1389" s="200"/>
      <c r="L1389" s="200"/>
      <c r="M1389" s="37"/>
      <c r="N1389" s="37"/>
      <c r="O1389" s="45"/>
      <c r="P1389" s="54"/>
      <c r="Q1389" s="260"/>
      <c r="R1389" s="261"/>
      <c r="S1389" s="261"/>
      <c r="T1389" s="38"/>
      <c r="U1389" s="261"/>
      <c r="V1389" s="256"/>
      <c r="W1389" s="256"/>
      <c r="X1389" s="256"/>
      <c r="Y1389" s="256"/>
      <c r="Z1389" s="310"/>
      <c r="AA1389" s="200"/>
      <c r="AB1389" s="312"/>
      <c r="AC1389" s="313"/>
      <c r="AD1389" s="51"/>
      <c r="AE1389" s="52"/>
      <c r="AF1389" s="41"/>
      <c r="AG1389" s="45"/>
      <c r="AH1389" s="28"/>
      <c r="AI1389" s="28"/>
      <c r="AJ1389" s="28"/>
      <c r="AK1389" s="28"/>
      <c r="AL1389" s="12"/>
      <c r="AM1389" s="12"/>
      <c r="AN1389" s="12"/>
      <c r="AO1389" s="12"/>
      <c r="AP1389" s="12"/>
      <c r="AQ1389" s="13"/>
      <c r="AR1389" s="14"/>
    </row>
    <row r="1390" spans="1:44" s="16" customFormat="1" ht="30.95" hidden="1" customHeight="1" x14ac:dyDescent="0.2">
      <c r="A1390" s="303"/>
      <c r="B1390" s="304"/>
      <c r="C1390" s="305"/>
      <c r="D1390" s="29"/>
      <c r="E1390" s="29"/>
      <c r="F1390" s="255"/>
      <c r="G1390" s="256"/>
      <c r="H1390" s="256"/>
      <c r="I1390" s="200"/>
      <c r="J1390" s="30"/>
      <c r="K1390" s="200"/>
      <c r="L1390" s="200"/>
      <c r="M1390" s="37"/>
      <c r="N1390" s="37"/>
      <c r="O1390" s="45"/>
      <c r="P1390" s="54"/>
      <c r="Q1390" s="260"/>
      <c r="R1390" s="261"/>
      <c r="S1390" s="261"/>
      <c r="T1390" s="38"/>
      <c r="U1390" s="261"/>
      <c r="V1390" s="256"/>
      <c r="W1390" s="256"/>
      <c r="X1390" s="256"/>
      <c r="Y1390" s="256"/>
      <c r="Z1390" s="310"/>
      <c r="AA1390" s="200"/>
      <c r="AB1390" s="312"/>
      <c r="AC1390" s="313"/>
      <c r="AD1390" s="51"/>
      <c r="AE1390" s="52"/>
      <c r="AF1390" s="41"/>
      <c r="AG1390" s="45"/>
      <c r="AH1390" s="28"/>
      <c r="AI1390" s="28"/>
      <c r="AJ1390" s="28"/>
      <c r="AK1390" s="28"/>
      <c r="AL1390" s="12"/>
      <c r="AM1390" s="12"/>
      <c r="AN1390" s="12"/>
      <c r="AO1390" s="12"/>
      <c r="AP1390" s="12"/>
      <c r="AQ1390" s="13"/>
      <c r="AR1390" s="14"/>
    </row>
    <row r="1391" spans="1:44" s="16" customFormat="1" ht="30.95" hidden="1" customHeight="1" x14ac:dyDescent="0.2">
      <c r="A1391" s="303" t="s">
        <v>2731</v>
      </c>
      <c r="B1391" s="304" t="s">
        <v>2732</v>
      </c>
      <c r="C1391" s="305"/>
      <c r="D1391" s="29">
        <v>3750071</v>
      </c>
      <c r="E1391" s="29">
        <v>4151628</v>
      </c>
      <c r="F1391" s="255" t="str">
        <f>IF(D1391="","",VLOOKUP(D1391,契約台帳!$A$3:$K$4986,6,FALSE)&amp;VLOOKUP(D1391,契約台帳!$A$3:$K$4986,7,FALSE)&amp;VLOOKUP(D1391,契約台帳!$A$3:$K$4986,8,FALSE)&amp;VLOOKUP(D1391,契約台帳!$A$3:$K$4986,9,FALSE)&amp;VLOOKUP(D1391,契約台帳!$A$3:$K$4986,11,FALSE))</f>
        <v>3SNMLBMNGTBF</v>
      </c>
      <c r="G1391" s="256" t="str">
        <f>IF(D1391="","",VLOOKUP(F1391,製品マスタ!$G$5:$H$4999,2,FALSE))</f>
        <v>S</v>
      </c>
      <c r="H1391" s="256" t="str">
        <f>IF(D1391="","",VLOOKUP(F1391,製品マスタ!$G$5:$K$4999,5,FALSE))</f>
        <v>MNGTBF</v>
      </c>
      <c r="I1391" s="200" t="str">
        <f>IF(D1391="","",VLOOKUP(F1391,製品マスタ!$G$5:$L$4999,6,FALSE))</f>
        <v>メタルミー　ネーマー　銀艶　Ｂ</v>
      </c>
      <c r="J1391" s="30" t="s">
        <v>447</v>
      </c>
      <c r="K1391" s="200">
        <f>IF(D1391="","",VLOOKUP(D1391,契約台帳!$A$3:$L$4986,12,FALSE))</f>
        <v>50</v>
      </c>
      <c r="L1391" s="200" t="str">
        <f>IF(D1391="","",INDEX(製品マスタ!$Q$5:$Q$4999,MATCH(F1391&amp;K1391,製品マスタ!$AO$5:$AO$4999,0)))</f>
        <v>T62</v>
      </c>
      <c r="M1391" s="37">
        <v>1120</v>
      </c>
      <c r="N1391" s="37">
        <v>10000</v>
      </c>
      <c r="O1391" s="45">
        <v>7</v>
      </c>
      <c r="P1391" s="54"/>
      <c r="Q1391" s="260">
        <f>IF(D1391="","",IF(J1391="リード付け",M1391,VLOOKUP(D1391,契約台帳!$A$3:$N$4986,14,FALSE)))</f>
        <v>1120</v>
      </c>
      <c r="R1391" s="261">
        <f>IF(D1391="","",IF(J1391="リード付け",M1391,VLOOKUP(D1391,契約台帳!$A$3:$O$4986,15,FALSE)))</f>
        <v>1120</v>
      </c>
      <c r="S1391" s="261">
        <f>IF(D1391="","",IF(J1391="リード付け",N1391,VLOOKUP(D1391,契約台帳!$A$3:$P$4986,16,FALSE)))</f>
        <v>5000</v>
      </c>
      <c r="T1391" s="38">
        <v>14</v>
      </c>
      <c r="U1391" s="261">
        <f ca="1">IF(D1391="","",IF(OFFSET(D1391,-2,0)=D1391,"",VLOOKUP(D1391,契約台帳!$A$3:$R$4986,18,FALSE)))</f>
        <v>50</v>
      </c>
      <c r="V1391" s="256" t="str">
        <f>IF(J1391="巻返し",VLOOKUP(F1391&amp;K1391&amp;M1391,製品マスタ!$M$5:$AD$4999,18,FALSE),IF(J1391="リード付け","原反コア",IF(J1391="スリット",VLOOKUP(F1391&amp;K1391&amp;Q1391,製品マスタ!$N$5:$AD$4999,17,FALSE),"")))</f>
        <v>6ｲﾝﾁSｺｱ</v>
      </c>
      <c r="W1391" s="256">
        <f>IF(J1391="巻返し",VLOOKUP(F1391&amp;K1391&amp;M1391,製品マスタ!$M$5:$AE$4999,19,FALSE),IF(J1391="リード付け","-",IF(J1391="スリット",VLOOKUP(F1391&amp;K1391&amp;Q1391,製品マスタ!$N$5:$AE$4999,18,FALSE),"")))</f>
        <v>1125</v>
      </c>
      <c r="X1391" s="256">
        <f>IF(D1391="","",VLOOKUP(D1391,契約台帳!$A$3:$Q$4986,17,FALSE))</f>
        <v>2</v>
      </c>
      <c r="Y1391" s="256" t="str">
        <f>IF(D1391="","",VLOOKUP(D1391,契約台帳!$A$3:$E$4986,5,FALSE))</f>
        <v>リンテック㈱</v>
      </c>
      <c r="Z1391" s="310">
        <v>45393</v>
      </c>
      <c r="AA1391" s="200"/>
      <c r="AB1391" s="312"/>
      <c r="AC1391" s="313"/>
      <c r="AD1391" s="51" t="str">
        <f t="shared" si="0"/>
        <v>3SNMLBMNGTBF50</v>
      </c>
      <c r="AE1391" s="52">
        <f t="shared" si="1"/>
        <v>78400</v>
      </c>
      <c r="AF1391" s="41">
        <f>IF(AD1391="","",VLOOKUP(AD1391,原価マスタ!$A$2:$AJ$1693,13,FALSE))</f>
        <v>99</v>
      </c>
      <c r="AG1391" s="45">
        <f t="shared" si="2"/>
        <v>77616</v>
      </c>
      <c r="AH1391" s="28"/>
      <c r="AI1391" s="28"/>
      <c r="AJ1391" s="28"/>
      <c r="AK1391" s="28"/>
      <c r="AL1391" s="12"/>
      <c r="AM1391" s="12"/>
      <c r="AN1391" s="12"/>
      <c r="AO1391" s="12"/>
      <c r="AP1391" s="12"/>
      <c r="AQ1391" s="13"/>
      <c r="AR1391" s="14"/>
    </row>
    <row r="1392" spans="1:44" s="16" customFormat="1" ht="30.95" hidden="1" customHeight="1" x14ac:dyDescent="0.2">
      <c r="A1392" s="303"/>
      <c r="B1392" s="304"/>
      <c r="C1392" s="305"/>
      <c r="D1392" s="29"/>
      <c r="E1392" s="29"/>
      <c r="F1392" s="255"/>
      <c r="G1392" s="256"/>
      <c r="H1392" s="256"/>
      <c r="I1392" s="200"/>
      <c r="J1392" s="30"/>
      <c r="K1392" s="200"/>
      <c r="L1392" s="200"/>
      <c r="M1392" s="37"/>
      <c r="N1392" s="37"/>
      <c r="O1392" s="45"/>
      <c r="P1392" s="54"/>
      <c r="Q1392" s="260"/>
      <c r="R1392" s="261"/>
      <c r="S1392" s="261"/>
      <c r="T1392" s="38"/>
      <c r="U1392" s="261"/>
      <c r="V1392" s="256"/>
      <c r="W1392" s="256"/>
      <c r="X1392" s="256"/>
      <c r="Y1392" s="256"/>
      <c r="Z1392" s="310"/>
      <c r="AA1392" s="200"/>
      <c r="AB1392" s="312"/>
      <c r="AC1392" s="313"/>
      <c r="AD1392" s="51"/>
      <c r="AE1392" s="52"/>
      <c r="AF1392" s="41"/>
      <c r="AG1392" s="45"/>
      <c r="AH1392" s="28"/>
      <c r="AI1392" s="28"/>
      <c r="AJ1392" s="28"/>
      <c r="AK1392" s="28"/>
      <c r="AL1392" s="12"/>
      <c r="AM1392" s="12"/>
      <c r="AN1392" s="12"/>
      <c r="AO1392" s="12"/>
      <c r="AP1392" s="12"/>
      <c r="AQ1392" s="13"/>
      <c r="AR1392" s="14"/>
    </row>
    <row r="1393" spans="1:44" s="16" customFormat="1" ht="30.95" hidden="1" customHeight="1" x14ac:dyDescent="0.2">
      <c r="A1393" s="303" t="s">
        <v>1031</v>
      </c>
      <c r="B1393" s="304" t="s">
        <v>688</v>
      </c>
      <c r="C1393" s="305"/>
      <c r="D1393" s="29"/>
      <c r="E1393" s="29"/>
      <c r="F1393" s="255"/>
      <c r="G1393" s="256"/>
      <c r="H1393" s="256"/>
      <c r="I1393" s="279" t="s">
        <v>2750</v>
      </c>
      <c r="J1393" s="30"/>
      <c r="K1393" s="200"/>
      <c r="L1393" s="200"/>
      <c r="M1393" s="37"/>
      <c r="N1393" s="37"/>
      <c r="O1393" s="45"/>
      <c r="P1393" s="54"/>
      <c r="Q1393" s="260"/>
      <c r="R1393" s="261"/>
      <c r="S1393" s="261"/>
      <c r="T1393" s="38"/>
      <c r="U1393" s="261"/>
      <c r="V1393" s="256"/>
      <c r="W1393" s="256"/>
      <c r="X1393" s="256"/>
      <c r="Y1393" s="256"/>
      <c r="Z1393" s="310"/>
      <c r="AA1393" s="200"/>
      <c r="AB1393" s="312"/>
      <c r="AC1393" s="313"/>
      <c r="AD1393" s="51"/>
      <c r="AE1393" s="52"/>
      <c r="AF1393" s="41"/>
      <c r="AG1393" s="45"/>
      <c r="AH1393" s="28"/>
      <c r="AI1393" s="28"/>
      <c r="AJ1393" s="28"/>
      <c r="AK1393" s="28"/>
      <c r="AL1393" s="12"/>
      <c r="AM1393" s="12"/>
      <c r="AN1393" s="12"/>
      <c r="AO1393" s="12"/>
      <c r="AP1393" s="12"/>
      <c r="AQ1393" s="13"/>
      <c r="AR1393" s="14"/>
    </row>
    <row r="1394" spans="1:44" s="16" customFormat="1" ht="30.95" hidden="1" customHeight="1" x14ac:dyDescent="0.2">
      <c r="A1394" s="303"/>
      <c r="B1394" s="304"/>
      <c r="C1394" s="305"/>
      <c r="D1394" s="29"/>
      <c r="E1394" s="29"/>
      <c r="F1394" s="255"/>
      <c r="G1394" s="256"/>
      <c r="H1394" s="256"/>
      <c r="I1394" s="200"/>
      <c r="J1394" s="30"/>
      <c r="K1394" s="200"/>
      <c r="L1394" s="200"/>
      <c r="M1394" s="37"/>
      <c r="N1394" s="37"/>
      <c r="O1394" s="45"/>
      <c r="P1394" s="54"/>
      <c r="Q1394" s="260"/>
      <c r="R1394" s="261"/>
      <c r="S1394" s="261"/>
      <c r="T1394" s="38"/>
      <c r="U1394" s="261"/>
      <c r="V1394" s="256"/>
      <c r="W1394" s="256"/>
      <c r="X1394" s="256"/>
      <c r="Y1394" s="256"/>
      <c r="Z1394" s="310"/>
      <c r="AA1394" s="200"/>
      <c r="AB1394" s="312"/>
      <c r="AC1394" s="313"/>
      <c r="AD1394" s="51"/>
      <c r="AE1394" s="52"/>
      <c r="AF1394" s="41"/>
      <c r="AG1394" s="45"/>
      <c r="AH1394" s="28"/>
      <c r="AI1394" s="28"/>
      <c r="AJ1394" s="28"/>
      <c r="AK1394" s="28"/>
      <c r="AL1394" s="12"/>
      <c r="AM1394" s="12"/>
      <c r="AN1394" s="12"/>
      <c r="AO1394" s="12"/>
      <c r="AP1394" s="12"/>
      <c r="AQ1394" s="13"/>
      <c r="AR1394" s="14"/>
    </row>
    <row r="1395" spans="1:44" s="16" customFormat="1" ht="30.95" hidden="1" customHeight="1" x14ac:dyDescent="0.2">
      <c r="A1395" s="303" t="s">
        <v>1032</v>
      </c>
      <c r="B1395" s="304" t="s">
        <v>442</v>
      </c>
      <c r="C1395" s="305"/>
      <c r="D1395" s="29">
        <v>3750071</v>
      </c>
      <c r="E1395" s="29">
        <v>4151628</v>
      </c>
      <c r="F1395" s="255" t="str">
        <f>IF(D1395="","",VLOOKUP(D1395,契約台帳!$A$3:$K$4986,6,FALSE)&amp;VLOOKUP(D1395,契約台帳!$A$3:$K$4986,7,FALSE)&amp;VLOOKUP(D1395,契約台帳!$A$3:$K$4986,8,FALSE)&amp;VLOOKUP(D1395,契約台帳!$A$3:$K$4986,9,FALSE)&amp;VLOOKUP(D1395,契約台帳!$A$3:$K$4986,11,FALSE))</f>
        <v>3SNMLBMNGTBF</v>
      </c>
      <c r="G1395" s="256" t="str">
        <f>IF(D1395="","",VLOOKUP(F1395,製品マスタ!$G$5:$H$4999,2,FALSE))</f>
        <v>S</v>
      </c>
      <c r="H1395" s="256" t="str">
        <f>IF(D1395="","",VLOOKUP(F1395,製品マスタ!$G$5:$K$4999,5,FALSE))</f>
        <v>MNGTBF</v>
      </c>
      <c r="I1395" s="200" t="str">
        <f>IF(D1395="","",VLOOKUP(F1395,製品マスタ!$G$5:$L$4999,6,FALSE))</f>
        <v>メタルミー　ネーマー　銀艶　Ｂ</v>
      </c>
      <c r="J1395" s="30" t="s">
        <v>447</v>
      </c>
      <c r="K1395" s="200">
        <f>IF(D1395="","",VLOOKUP(D1395,契約台帳!$A$3:$L$4986,12,FALSE))</f>
        <v>50</v>
      </c>
      <c r="L1395" s="200" t="str">
        <f>IF(D1395="","",INDEX(製品マスタ!$Q$5:$Q$4999,MATCH(F1395&amp;K1395,製品マスタ!$AO$5:$AO$4999,0)))</f>
        <v>T62</v>
      </c>
      <c r="M1395" s="37">
        <v>1120</v>
      </c>
      <c r="N1395" s="37">
        <v>10000</v>
      </c>
      <c r="O1395" s="45">
        <v>7</v>
      </c>
      <c r="P1395" s="54"/>
      <c r="Q1395" s="260">
        <f>IF(D1395="","",IF(J1395="リード付け",M1395,VLOOKUP(D1395,契約台帳!$A$3:$N$4986,14,FALSE)))</f>
        <v>1120</v>
      </c>
      <c r="R1395" s="261">
        <f>IF(D1395="","",IF(J1395="リード付け",M1395,VLOOKUP(D1395,契約台帳!$A$3:$O$4986,15,FALSE)))</f>
        <v>1120</v>
      </c>
      <c r="S1395" s="261">
        <f>IF(D1395="","",IF(J1395="リード付け",N1395,VLOOKUP(D1395,契約台帳!$A$3:$P$4986,16,FALSE)))</f>
        <v>5000</v>
      </c>
      <c r="T1395" s="38">
        <v>14</v>
      </c>
      <c r="U1395" s="261">
        <f ca="1">IF(D1395="","",IF(OFFSET(D1395,-2,0)=D1395,"",VLOOKUP(D1395,契約台帳!$A$3:$R$4986,18,FALSE)))</f>
        <v>50</v>
      </c>
      <c r="V1395" s="256" t="str">
        <f>IF(J1395="巻返し",VLOOKUP(F1395&amp;K1395&amp;M1395,製品マスタ!$M$5:$AD$4999,18,FALSE),IF(J1395="リード付け","原反コア",IF(J1395="スリット",VLOOKUP(F1395&amp;K1395&amp;Q1395,製品マスタ!$N$5:$AD$4999,17,FALSE),"")))</f>
        <v>6ｲﾝﾁSｺｱ</v>
      </c>
      <c r="W1395" s="256">
        <f>IF(J1395="巻返し",VLOOKUP(F1395&amp;K1395&amp;M1395,製品マスタ!$M$5:$AE$4999,19,FALSE),IF(J1395="リード付け","-",IF(J1395="スリット",VLOOKUP(F1395&amp;K1395&amp;Q1395,製品マスタ!$N$5:$AE$4999,18,FALSE),"")))</f>
        <v>1125</v>
      </c>
      <c r="X1395" s="256">
        <f>IF(D1395="","",VLOOKUP(D1395,契約台帳!$A$3:$Q$4986,17,FALSE))</f>
        <v>2</v>
      </c>
      <c r="Y1395" s="256" t="str">
        <f>IF(D1395="","",VLOOKUP(D1395,契約台帳!$A$3:$E$4986,5,FALSE))</f>
        <v>リンテック㈱</v>
      </c>
      <c r="Z1395" s="310">
        <v>45398</v>
      </c>
      <c r="AA1395" s="200"/>
      <c r="AB1395" s="312"/>
      <c r="AC1395" s="313"/>
      <c r="AD1395" s="51" t="str">
        <f t="shared" si="0"/>
        <v>3SNMLBMNGTBF50</v>
      </c>
      <c r="AE1395" s="52">
        <f t="shared" si="1"/>
        <v>78400</v>
      </c>
      <c r="AF1395" s="41">
        <f>IF(AD1395="","",VLOOKUP(AD1395,原価マスタ!$A$2:$AJ$1693,13,FALSE))</f>
        <v>99</v>
      </c>
      <c r="AG1395" s="45">
        <f t="shared" si="2"/>
        <v>77616</v>
      </c>
      <c r="AH1395" s="28"/>
      <c r="AI1395" s="28"/>
      <c r="AJ1395" s="28"/>
      <c r="AK1395" s="28"/>
      <c r="AL1395" s="12"/>
      <c r="AM1395" s="12"/>
      <c r="AN1395" s="12"/>
      <c r="AO1395" s="12"/>
      <c r="AP1395" s="12"/>
      <c r="AQ1395" s="13"/>
      <c r="AR1395" s="14"/>
    </row>
    <row r="1396" spans="1:44" s="16" customFormat="1" ht="30.95" hidden="1" customHeight="1" x14ac:dyDescent="0.2">
      <c r="A1396" s="303"/>
      <c r="B1396" s="304"/>
      <c r="C1396" s="305"/>
      <c r="D1396" s="29"/>
      <c r="E1396" s="29"/>
      <c r="F1396" s="255"/>
      <c r="G1396" s="256"/>
      <c r="H1396" s="256"/>
      <c r="I1396" s="200"/>
      <c r="J1396" s="30"/>
      <c r="K1396" s="200"/>
      <c r="L1396" s="200"/>
      <c r="M1396" s="37"/>
      <c r="N1396" s="37"/>
      <c r="O1396" s="45"/>
      <c r="P1396" s="54"/>
      <c r="Q1396" s="260"/>
      <c r="R1396" s="261"/>
      <c r="S1396" s="261"/>
      <c r="T1396" s="38"/>
      <c r="U1396" s="261"/>
      <c r="V1396" s="256"/>
      <c r="W1396" s="256"/>
      <c r="X1396" s="256"/>
      <c r="Y1396" s="256"/>
      <c r="Z1396" s="310"/>
      <c r="AA1396" s="200"/>
      <c r="AB1396" s="312"/>
      <c r="AC1396" s="313"/>
      <c r="AD1396" s="51"/>
      <c r="AE1396" s="52"/>
      <c r="AF1396" s="41"/>
      <c r="AG1396" s="45"/>
      <c r="AH1396" s="28"/>
      <c r="AI1396" s="28"/>
      <c r="AJ1396" s="28"/>
      <c r="AK1396" s="28"/>
      <c r="AL1396" s="12"/>
      <c r="AM1396" s="12"/>
      <c r="AN1396" s="12"/>
      <c r="AO1396" s="12"/>
      <c r="AP1396" s="12"/>
      <c r="AQ1396" s="13"/>
      <c r="AR1396" s="14"/>
    </row>
    <row r="1397" spans="1:44" s="16" customFormat="1" ht="30.95" hidden="1" customHeight="1" x14ac:dyDescent="0.2">
      <c r="A1397" s="303" t="s">
        <v>1036</v>
      </c>
      <c r="B1397" s="304" t="s">
        <v>443</v>
      </c>
      <c r="C1397" s="305"/>
      <c r="D1397" s="29">
        <v>3750071</v>
      </c>
      <c r="E1397" s="29">
        <v>4151628</v>
      </c>
      <c r="F1397" s="255" t="str">
        <f>IF(D1397="","",VLOOKUP(D1397,契約台帳!$A$3:$K$4986,6,FALSE)&amp;VLOOKUP(D1397,契約台帳!$A$3:$K$4986,7,FALSE)&amp;VLOOKUP(D1397,契約台帳!$A$3:$K$4986,8,FALSE)&amp;VLOOKUP(D1397,契約台帳!$A$3:$K$4986,9,FALSE)&amp;VLOOKUP(D1397,契約台帳!$A$3:$K$4986,11,FALSE))</f>
        <v>3SNMLBMNGTBF</v>
      </c>
      <c r="G1397" s="256" t="str">
        <f>IF(D1397="","",VLOOKUP(F1397,製品マスタ!$G$5:$H$4999,2,FALSE))</f>
        <v>S</v>
      </c>
      <c r="H1397" s="256" t="str">
        <f>IF(D1397="","",VLOOKUP(F1397,製品マスタ!$G$5:$K$4999,5,FALSE))</f>
        <v>MNGTBF</v>
      </c>
      <c r="I1397" s="200" t="str">
        <f>IF(D1397="","",VLOOKUP(F1397,製品マスタ!$G$5:$L$4999,6,FALSE))</f>
        <v>メタルミー　ネーマー　銀艶　Ｂ</v>
      </c>
      <c r="J1397" s="30" t="s">
        <v>447</v>
      </c>
      <c r="K1397" s="200">
        <f>IF(D1397="","",VLOOKUP(D1397,契約台帳!$A$3:$L$4986,12,FALSE))</f>
        <v>50</v>
      </c>
      <c r="L1397" s="200" t="str">
        <f>IF(D1397="","",INDEX(製品マスタ!$Q$5:$Q$4999,MATCH(F1397&amp;K1397,製品マスタ!$AO$5:$AO$4999,0)))</f>
        <v>T62</v>
      </c>
      <c r="M1397" s="37">
        <v>1120</v>
      </c>
      <c r="N1397" s="37">
        <v>10000</v>
      </c>
      <c r="O1397" s="45">
        <v>6</v>
      </c>
      <c r="P1397" s="54"/>
      <c r="Q1397" s="260">
        <f>IF(D1397="","",IF(J1397="リード付け",M1397,VLOOKUP(D1397,契約台帳!$A$3:$N$4986,14,FALSE)))</f>
        <v>1120</v>
      </c>
      <c r="R1397" s="261">
        <f>IF(D1397="","",IF(J1397="リード付け",M1397,VLOOKUP(D1397,契約台帳!$A$3:$O$4986,15,FALSE)))</f>
        <v>1120</v>
      </c>
      <c r="S1397" s="261">
        <f>IF(D1397="","",IF(J1397="リード付け",N1397,VLOOKUP(D1397,契約台帳!$A$3:$P$4986,16,FALSE)))</f>
        <v>5000</v>
      </c>
      <c r="T1397" s="38">
        <v>12</v>
      </c>
      <c r="U1397" s="261" t="str">
        <f ca="1">IF(D1397="","",IF(OFFSET(D1397,-2,0)=D1397,"",VLOOKUP(D1397,契約台帳!$A$3:$R$4986,18,FALSE)))</f>
        <v/>
      </c>
      <c r="V1397" s="256" t="str">
        <f>IF(J1397="巻返し",VLOOKUP(F1397&amp;K1397&amp;M1397,製品マスタ!$M$5:$AD$4999,18,FALSE),IF(J1397="リード付け","原反コア",IF(J1397="スリット",VLOOKUP(F1397&amp;K1397&amp;Q1397,製品マスタ!$N$5:$AD$4999,17,FALSE),"")))</f>
        <v>6ｲﾝﾁSｺｱ</v>
      </c>
      <c r="W1397" s="256">
        <f>IF(J1397="巻返し",VLOOKUP(F1397&amp;K1397&amp;M1397,製品マスタ!$M$5:$AE$4999,19,FALSE),IF(J1397="リード付け","-",IF(J1397="スリット",VLOOKUP(F1397&amp;K1397&amp;Q1397,製品マスタ!$N$5:$AE$4999,18,FALSE),"")))</f>
        <v>1125</v>
      </c>
      <c r="X1397" s="256">
        <f>IF(D1397="","",VLOOKUP(D1397,契約台帳!$A$3:$Q$4986,17,FALSE))</f>
        <v>2</v>
      </c>
      <c r="Y1397" s="256" t="str">
        <f>IF(D1397="","",VLOOKUP(D1397,契約台帳!$A$3:$E$4986,5,FALSE))</f>
        <v>リンテック㈱</v>
      </c>
      <c r="Z1397" s="310">
        <v>45399</v>
      </c>
      <c r="AA1397" s="200"/>
      <c r="AB1397" s="312"/>
      <c r="AC1397" s="313"/>
      <c r="AD1397" s="51" t="str">
        <f t="shared" si="0"/>
        <v>3SNMLBMNGTBF50</v>
      </c>
      <c r="AE1397" s="52">
        <f t="shared" si="1"/>
        <v>67200</v>
      </c>
      <c r="AF1397" s="41">
        <f>IF(AD1397="","",VLOOKUP(AD1397,原価マスタ!$A$2:$AJ$1693,13,FALSE))</f>
        <v>99</v>
      </c>
      <c r="AG1397" s="45">
        <f t="shared" si="2"/>
        <v>66528</v>
      </c>
      <c r="AH1397" s="28"/>
      <c r="AI1397" s="28"/>
      <c r="AJ1397" s="28"/>
      <c r="AK1397" s="28"/>
      <c r="AL1397" s="12"/>
      <c r="AM1397" s="12"/>
      <c r="AN1397" s="12"/>
      <c r="AO1397" s="12"/>
      <c r="AP1397" s="12"/>
      <c r="AQ1397" s="13"/>
      <c r="AR1397" s="14"/>
    </row>
    <row r="1398" spans="1:44" s="16" customFormat="1" ht="30.95" hidden="1" customHeight="1" x14ac:dyDescent="0.2">
      <c r="A1398" s="303"/>
      <c r="B1398" s="304"/>
      <c r="C1398" s="305"/>
      <c r="D1398" s="29"/>
      <c r="E1398" s="29"/>
      <c r="F1398" s="255"/>
      <c r="G1398" s="256"/>
      <c r="H1398" s="256"/>
      <c r="I1398" s="200"/>
      <c r="J1398" s="30"/>
      <c r="K1398" s="200"/>
      <c r="L1398" s="200"/>
      <c r="M1398" s="37"/>
      <c r="N1398" s="37"/>
      <c r="O1398" s="45"/>
      <c r="P1398" s="54"/>
      <c r="Q1398" s="260"/>
      <c r="R1398" s="261"/>
      <c r="S1398" s="261"/>
      <c r="T1398" s="38"/>
      <c r="U1398" s="261"/>
      <c r="V1398" s="256"/>
      <c r="W1398" s="256"/>
      <c r="X1398" s="256"/>
      <c r="Y1398" s="256"/>
      <c r="Z1398" s="310"/>
      <c r="AA1398" s="200"/>
      <c r="AB1398" s="312"/>
      <c r="AC1398" s="313"/>
      <c r="AD1398" s="51"/>
      <c r="AE1398" s="52"/>
      <c r="AF1398" s="41"/>
      <c r="AG1398" s="45"/>
      <c r="AH1398" s="28"/>
      <c r="AI1398" s="28"/>
      <c r="AJ1398" s="28"/>
      <c r="AK1398" s="28"/>
      <c r="AL1398" s="12"/>
      <c r="AM1398" s="12"/>
      <c r="AN1398" s="12"/>
      <c r="AO1398" s="12"/>
      <c r="AP1398" s="12"/>
      <c r="AQ1398" s="13"/>
      <c r="AR1398" s="14"/>
    </row>
    <row r="1399" spans="1:44" s="16" customFormat="1" ht="30.95" hidden="1" customHeight="1" x14ac:dyDescent="0.2">
      <c r="A1399" s="303"/>
      <c r="B1399" s="304"/>
      <c r="C1399" s="305"/>
      <c r="D1399" s="29">
        <v>3750087</v>
      </c>
      <c r="E1399" s="29">
        <v>4151632</v>
      </c>
      <c r="F1399" s="255" t="str">
        <f>IF(D1399="","",VLOOKUP(D1399,契約台帳!$A$3:$K$4986,6,FALSE)&amp;VLOOKUP(D1399,契約台帳!$A$3:$K$4986,7,FALSE)&amp;VLOOKUP(D1399,契約台帳!$A$3:$K$4986,8,FALSE)&amp;VLOOKUP(D1399,契約台帳!$A$3:$K$4986,9,FALSE)&amp;VLOOKUP(D1399,契約台帳!$A$3:$K$4986,11,FALSE))</f>
        <v>3SYMLBMSBBF</v>
      </c>
      <c r="G1399" s="256" t="str">
        <f>IF(D1399="","",VLOOKUP(F1399,製品マスタ!$G$5:$H$4999,2,FALSE))</f>
        <v>S</v>
      </c>
      <c r="H1399" s="256" t="str">
        <f>IF(D1399="","",VLOOKUP(F1399,製品マスタ!$G$5:$K$4999,5,FALSE))</f>
        <v>MSBBF</v>
      </c>
      <c r="I1399" s="200" t="str">
        <f>IF(D1399="","",VLOOKUP(F1399,製品マスタ!$G$5:$L$4999,6,FALSE))</f>
        <v>ＭＥＴＡＬＵＭＹ　ＳＩＬＶＥＲ　ＢＲＩＧＨＴ　Ｔ６２Ｍ　Ｂ</v>
      </c>
      <c r="J1399" s="30" t="s">
        <v>447</v>
      </c>
      <c r="K1399" s="200">
        <f>IF(D1399="","",VLOOKUP(D1399,契約台帳!$A$3:$L$4986,12,FALSE))</f>
        <v>50</v>
      </c>
      <c r="L1399" s="200" t="str">
        <f>IF(D1399="","",INDEX(製品マスタ!$Q$5:$Q$4999,MATCH(F1399&amp;K1399,製品マスタ!$AO$5:$AO$4999,0)))</f>
        <v>T62</v>
      </c>
      <c r="M1399" s="37">
        <v>1120</v>
      </c>
      <c r="N1399" s="37">
        <v>10000</v>
      </c>
      <c r="O1399" s="45">
        <v>1</v>
      </c>
      <c r="P1399" s="54"/>
      <c r="Q1399" s="260">
        <f>IF(D1399="","",IF(J1399="リード付け",M1399,VLOOKUP(D1399,契約台帳!$A$3:$N$4986,14,FALSE)))</f>
        <v>1120</v>
      </c>
      <c r="R1399" s="261">
        <f>IF(D1399="","",IF(J1399="リード付け",M1399,VLOOKUP(D1399,契約台帳!$A$3:$O$4986,15,FALSE)))</f>
        <v>1120</v>
      </c>
      <c r="S1399" s="261">
        <f>IF(D1399="","",IF(J1399="リード付け",N1399,VLOOKUP(D1399,契約台帳!$A$3:$P$4986,16,FALSE)))</f>
        <v>5000</v>
      </c>
      <c r="T1399" s="38">
        <v>2</v>
      </c>
      <c r="U1399" s="261">
        <f ca="1">IF(D1399="","",IF(OFFSET(D1399,-2,0)=D1399,"",VLOOKUP(D1399,契約台帳!$A$3:$R$4986,18,FALSE)))</f>
        <v>2</v>
      </c>
      <c r="V1399" s="256" t="str">
        <f>IF(J1399="巻返し",VLOOKUP(F1399&amp;K1399&amp;M1399,製品マスタ!$M$5:$AD$4999,18,FALSE),IF(J1399="リード付け","原反コア",IF(J1399="スリット",VLOOKUP(F1399&amp;K1399&amp;Q1399,製品マスタ!$N$5:$AD$4999,17,FALSE),"")))</f>
        <v>6ｲﾝﾁSｺｱ</v>
      </c>
      <c r="W1399" s="256">
        <f>IF(J1399="巻返し",VLOOKUP(F1399&amp;K1399&amp;M1399,製品マスタ!$M$5:$AE$4999,19,FALSE),IF(J1399="リード付け","-",IF(J1399="スリット",VLOOKUP(F1399&amp;K1399&amp;Q1399,製品マスタ!$N$5:$AE$4999,18,FALSE),"")))</f>
        <v>1125</v>
      </c>
      <c r="X1399" s="256">
        <f>IF(D1399="","",VLOOKUP(D1399,契約台帳!$A$3:$Q$4986,17,FALSE))</f>
        <v>2</v>
      </c>
      <c r="Y1399" s="256" t="str">
        <f>IF(D1399="","",VLOOKUP(D1399,契約台帳!$A$3:$E$4986,5,FALSE))</f>
        <v>リンテック㈱</v>
      </c>
      <c r="Z1399" s="310">
        <v>45399</v>
      </c>
      <c r="AA1399" s="200"/>
      <c r="AB1399" s="312"/>
      <c r="AC1399" s="313"/>
      <c r="AD1399" s="51" t="str">
        <f t="shared" si="0"/>
        <v>3SYMLBMSBBF50</v>
      </c>
      <c r="AE1399" s="52">
        <f t="shared" si="1"/>
        <v>11200</v>
      </c>
      <c r="AF1399" s="41">
        <f>IF(AD1399="","",VLOOKUP(AD1399,原価マスタ!$A$2:$AJ$1693,13,FALSE))</f>
        <v>99</v>
      </c>
      <c r="AG1399" s="45">
        <f t="shared" si="2"/>
        <v>11088</v>
      </c>
      <c r="AH1399" s="28"/>
      <c r="AI1399" s="28"/>
      <c r="AJ1399" s="28"/>
      <c r="AK1399" s="28"/>
      <c r="AL1399" s="12"/>
      <c r="AM1399" s="12"/>
      <c r="AN1399" s="12"/>
      <c r="AO1399" s="12"/>
      <c r="AP1399" s="12"/>
      <c r="AQ1399" s="13"/>
      <c r="AR1399" s="14"/>
    </row>
    <row r="1400" spans="1:44" s="16" customFormat="1" ht="30.95" hidden="1" customHeight="1" x14ac:dyDescent="0.2">
      <c r="A1400" s="303"/>
      <c r="B1400" s="304"/>
      <c r="C1400" s="305"/>
      <c r="D1400" s="29"/>
      <c r="E1400" s="29"/>
      <c r="F1400" s="255"/>
      <c r="G1400" s="256"/>
      <c r="H1400" s="256"/>
      <c r="I1400" s="200"/>
      <c r="J1400" s="30"/>
      <c r="K1400" s="200"/>
      <c r="L1400" s="200"/>
      <c r="M1400" s="37"/>
      <c r="N1400" s="37"/>
      <c r="O1400" s="45"/>
      <c r="P1400" s="54"/>
      <c r="Q1400" s="260"/>
      <c r="R1400" s="261"/>
      <c r="S1400" s="261"/>
      <c r="T1400" s="38"/>
      <c r="U1400" s="261"/>
      <c r="V1400" s="256"/>
      <c r="W1400" s="256"/>
      <c r="X1400" s="256"/>
      <c r="Y1400" s="256"/>
      <c r="Z1400" s="310"/>
      <c r="AA1400" s="200"/>
      <c r="AB1400" s="312"/>
      <c r="AC1400" s="313"/>
      <c r="AD1400" s="51"/>
      <c r="AE1400" s="52"/>
      <c r="AF1400" s="41"/>
      <c r="AG1400" s="45"/>
      <c r="AH1400" s="28"/>
      <c r="AI1400" s="28"/>
      <c r="AJ1400" s="28"/>
      <c r="AK1400" s="28"/>
      <c r="AL1400" s="12"/>
      <c r="AM1400" s="12"/>
      <c r="AN1400" s="12"/>
      <c r="AO1400" s="12"/>
      <c r="AP1400" s="12"/>
      <c r="AQ1400" s="13"/>
      <c r="AR1400" s="14"/>
    </row>
    <row r="1401" spans="1:44" s="16" customFormat="1" ht="30.95" hidden="1" customHeight="1" x14ac:dyDescent="0.2">
      <c r="A1401" s="303" t="s">
        <v>1037</v>
      </c>
      <c r="B1401" s="304" t="s">
        <v>444</v>
      </c>
      <c r="C1401" s="305"/>
      <c r="D1401" s="29">
        <v>3750093</v>
      </c>
      <c r="E1401" s="29">
        <v>4151633</v>
      </c>
      <c r="F1401" s="255" t="str">
        <f>IF(D1401="","",VLOOKUP(D1401,契約台帳!$A$3:$K$4986,6,FALSE)&amp;VLOOKUP(D1401,契約台帳!$A$3:$K$4986,7,FALSE)&amp;VLOOKUP(D1401,契約台帳!$A$3:$K$4986,8,FALSE)&amp;VLOOKUP(D1401,契約台帳!$A$3:$K$4986,9,FALSE)&amp;VLOOKUP(D1401,契約台帳!$A$3:$K$4986,11,FALSE))</f>
        <v>3SYMLBMSBBF</v>
      </c>
      <c r="G1401" s="256" t="str">
        <f>IF(D1401="","",VLOOKUP(F1401,製品マスタ!$G$5:$H$4999,2,FALSE))</f>
        <v>S</v>
      </c>
      <c r="H1401" s="256" t="str">
        <f>IF(D1401="","",VLOOKUP(F1401,製品マスタ!$G$5:$K$4999,5,FALSE))</f>
        <v>MSBBF</v>
      </c>
      <c r="I1401" s="200" t="str">
        <f>IF(D1401="","",VLOOKUP(F1401,製品マスタ!$G$5:$L$4999,6,FALSE))</f>
        <v>ＭＥＴＡＬＵＭＹ　ＳＩＬＶＥＲ　ＢＲＩＧＨＴ　Ｔ６２Ｍ　Ｂ</v>
      </c>
      <c r="J1401" s="30" t="s">
        <v>447</v>
      </c>
      <c r="K1401" s="200">
        <f>IF(D1401="","",VLOOKUP(D1401,契約台帳!$A$3:$L$4986,12,FALSE))</f>
        <v>50</v>
      </c>
      <c r="L1401" s="200" t="str">
        <f>IF(D1401="","",INDEX(製品マスタ!$Q$5:$Q$4999,MATCH(F1401&amp;K1401,製品マスタ!$AO$5:$AO$4999,0)))</f>
        <v>T62</v>
      </c>
      <c r="M1401" s="37">
        <v>1120</v>
      </c>
      <c r="N1401" s="37">
        <v>10000</v>
      </c>
      <c r="O1401" s="45">
        <v>1</v>
      </c>
      <c r="P1401" s="54"/>
      <c r="Q1401" s="260">
        <f>IF(D1401="","",IF(J1401="リード付け",M1401,VLOOKUP(D1401,契約台帳!$A$3:$N$4986,14,FALSE)))</f>
        <v>1120</v>
      </c>
      <c r="R1401" s="261">
        <f>IF(D1401="","",IF(J1401="リード付け",M1401,VLOOKUP(D1401,契約台帳!$A$3:$O$4986,15,FALSE)))</f>
        <v>1120</v>
      </c>
      <c r="S1401" s="261">
        <f>IF(D1401="","",IF(J1401="リード付け",N1401,VLOOKUP(D1401,契約台帳!$A$3:$P$4986,16,FALSE)))</f>
        <v>5000</v>
      </c>
      <c r="T1401" s="38">
        <v>2</v>
      </c>
      <c r="U1401" s="261">
        <f ca="1">IF(D1401="","",IF(OFFSET(D1401,-2,0)=D1401,"",VLOOKUP(D1401,契約台帳!$A$3:$R$4986,18,FALSE)))</f>
        <v>2</v>
      </c>
      <c r="V1401" s="256" t="str">
        <f>IF(J1401="巻返し",VLOOKUP(F1401&amp;K1401&amp;M1401,製品マスタ!$M$5:$AD$4999,18,FALSE),IF(J1401="リード付け","原反コア",IF(J1401="スリット",VLOOKUP(F1401&amp;K1401&amp;Q1401,製品マスタ!$N$5:$AD$4999,17,FALSE),"")))</f>
        <v>6ｲﾝﾁSｺｱ</v>
      </c>
      <c r="W1401" s="256">
        <f>IF(J1401="巻返し",VLOOKUP(F1401&amp;K1401&amp;M1401,製品マスタ!$M$5:$AE$4999,19,FALSE),IF(J1401="リード付け","-",IF(J1401="スリット",VLOOKUP(F1401&amp;K1401&amp;Q1401,製品マスタ!$N$5:$AE$4999,18,FALSE),"")))</f>
        <v>1125</v>
      </c>
      <c r="X1401" s="256">
        <f>IF(D1401="","",VLOOKUP(D1401,契約台帳!$A$3:$Q$4986,17,FALSE))</f>
        <v>2</v>
      </c>
      <c r="Y1401" s="256" t="str">
        <f>IF(D1401="","",VLOOKUP(D1401,契約台帳!$A$3:$E$4986,5,FALSE))</f>
        <v>リンテック㈱</v>
      </c>
      <c r="Z1401" s="310">
        <v>45399</v>
      </c>
      <c r="AA1401" s="200"/>
      <c r="AB1401" s="312"/>
      <c r="AC1401" s="313"/>
      <c r="AD1401" s="51" t="str">
        <f t="shared" si="0"/>
        <v>3SYMLBMSBBF50</v>
      </c>
      <c r="AE1401" s="52">
        <f t="shared" si="1"/>
        <v>11200</v>
      </c>
      <c r="AF1401" s="41">
        <f>IF(AD1401="","",VLOOKUP(AD1401,原価マスタ!$A$2:$AJ$1693,13,FALSE))</f>
        <v>99</v>
      </c>
      <c r="AG1401" s="45">
        <f t="shared" si="2"/>
        <v>11088</v>
      </c>
      <c r="AH1401" s="28"/>
      <c r="AI1401" s="28"/>
      <c r="AJ1401" s="28"/>
      <c r="AK1401" s="28"/>
      <c r="AL1401" s="12"/>
      <c r="AM1401" s="12"/>
      <c r="AN1401" s="12"/>
      <c r="AO1401" s="12"/>
      <c r="AP1401" s="12"/>
      <c r="AQ1401" s="13"/>
      <c r="AR1401" s="14"/>
    </row>
    <row r="1402" spans="1:44" s="16" customFormat="1" ht="30.95" hidden="1" customHeight="1" x14ac:dyDescent="0.2">
      <c r="A1402" s="303"/>
      <c r="B1402" s="304"/>
      <c r="C1402" s="305"/>
      <c r="D1402" s="29"/>
      <c r="E1402" s="29"/>
      <c r="F1402" s="255"/>
      <c r="G1402" s="256"/>
      <c r="H1402" s="256"/>
      <c r="I1402" s="200"/>
      <c r="J1402" s="30"/>
      <c r="K1402" s="200"/>
      <c r="L1402" s="200"/>
      <c r="M1402" s="37"/>
      <c r="N1402" s="37"/>
      <c r="O1402" s="45"/>
      <c r="P1402" s="54"/>
      <c r="Q1402" s="260"/>
      <c r="R1402" s="261"/>
      <c r="S1402" s="261"/>
      <c r="T1402" s="38"/>
      <c r="U1402" s="261"/>
      <c r="V1402" s="256"/>
      <c r="W1402" s="256"/>
      <c r="X1402" s="256"/>
      <c r="Y1402" s="256"/>
      <c r="Z1402" s="310"/>
      <c r="AA1402" s="200"/>
      <c r="AB1402" s="312"/>
      <c r="AC1402" s="313"/>
      <c r="AD1402" s="51"/>
      <c r="AE1402" s="52"/>
      <c r="AF1402" s="41"/>
      <c r="AG1402" s="45"/>
      <c r="AH1402" s="28"/>
      <c r="AI1402" s="28"/>
      <c r="AJ1402" s="28"/>
      <c r="AK1402" s="28"/>
      <c r="AL1402" s="12"/>
      <c r="AM1402" s="12"/>
      <c r="AN1402" s="12"/>
      <c r="AO1402" s="12"/>
      <c r="AP1402" s="12"/>
      <c r="AQ1402" s="13"/>
      <c r="AR1402" s="14"/>
    </row>
    <row r="1403" spans="1:44" s="16" customFormat="1" ht="30.95" hidden="1" customHeight="1" x14ac:dyDescent="0.2">
      <c r="A1403" s="303"/>
      <c r="B1403" s="304"/>
      <c r="C1403" s="305"/>
      <c r="D1403" s="29">
        <v>3750090</v>
      </c>
      <c r="E1403" s="29">
        <v>4151642</v>
      </c>
      <c r="F1403" s="255" t="str">
        <f>IF(D1403="","",VLOOKUP(D1403,契約台帳!$A$3:$K$4986,6,FALSE)&amp;VLOOKUP(D1403,契約台帳!$A$3:$K$4986,7,FALSE)&amp;VLOOKUP(D1403,契約台帳!$A$3:$K$4986,8,FALSE)&amp;VLOOKUP(D1403,契約台帳!$A$3:$K$4986,9,FALSE)&amp;VLOOKUP(D1403,契約台帳!$A$3:$K$4986,11,FALSE))</f>
        <v>3SYMLBMSSMBF</v>
      </c>
      <c r="G1403" s="256" t="str">
        <f>IF(D1403="","",VLOOKUP(F1403,製品マスタ!$G$5:$H$4999,2,FALSE))</f>
        <v>S</v>
      </c>
      <c r="H1403" s="256" t="str">
        <f>IF(D1403="","",VLOOKUP(F1403,製品マスタ!$G$5:$K$4999,5,FALSE))</f>
        <v>MSSMBF</v>
      </c>
      <c r="I1403" s="200" t="str">
        <f>IF(D1403="","",VLOOKUP(F1403,製品マスタ!$G$5:$L$4999,6,FALSE))</f>
        <v>ＭＥＴＡＬＵＭＹ　ＳＩＬＶＥＲ　Ｓ－ＭＡＴＴＥ　Ｓ２８ＭＭ　Ｂ</v>
      </c>
      <c r="J1403" s="30" t="s">
        <v>447</v>
      </c>
      <c r="K1403" s="200">
        <f>IF(D1403="","",VLOOKUP(D1403,契約台帳!$A$3:$L$4986,12,FALSE))</f>
        <v>50</v>
      </c>
      <c r="L1403" s="200" t="str">
        <f>IF(D1403="","",INDEX(製品マスタ!$Q$5:$Q$4999,MATCH(F1403&amp;K1403,製品マスタ!$AO$5:$AO$4999,0)))</f>
        <v>LI-MAT</v>
      </c>
      <c r="M1403" s="37">
        <v>1120</v>
      </c>
      <c r="N1403" s="37">
        <v>8000</v>
      </c>
      <c r="O1403" s="45">
        <v>1</v>
      </c>
      <c r="P1403" s="54"/>
      <c r="Q1403" s="260">
        <f>IF(D1403="","",IF(J1403="リード付け",M1403,VLOOKUP(D1403,契約台帳!$A$3:$N$4986,14,FALSE)))</f>
        <v>1120</v>
      </c>
      <c r="R1403" s="261">
        <f>IF(D1403="","",IF(J1403="リード付け",M1403,VLOOKUP(D1403,契約台帳!$A$3:$O$4986,15,FALSE)))</f>
        <v>1120</v>
      </c>
      <c r="S1403" s="261">
        <f>IF(D1403="","",IF(J1403="リード付け",N1403,VLOOKUP(D1403,契約台帳!$A$3:$P$4986,16,FALSE)))</f>
        <v>4000</v>
      </c>
      <c r="T1403" s="38">
        <v>2</v>
      </c>
      <c r="U1403" s="261">
        <f ca="1">IF(D1403="","",IF(OFFSET(D1403,-2,0)=D1403,"",VLOOKUP(D1403,契約台帳!$A$3:$R$4986,18,FALSE)))</f>
        <v>2</v>
      </c>
      <c r="V1403" s="256" t="str">
        <f>IF(J1403="巻返し",VLOOKUP(F1403&amp;K1403&amp;M1403,製品マスタ!$M$5:$AD$4999,18,FALSE),IF(J1403="リード付け","原反コア",IF(J1403="スリット",VLOOKUP(F1403&amp;K1403&amp;Q1403,製品マスタ!$N$5:$AD$4999,17,FALSE),"")))</f>
        <v>6ｲﾝﾁSｺｱ</v>
      </c>
      <c r="W1403" s="256">
        <f>IF(J1403="巻返し",VLOOKUP(F1403&amp;K1403&amp;M1403,製品マスタ!$M$5:$AE$4999,19,FALSE),IF(J1403="リード付け","-",IF(J1403="スリット",VLOOKUP(F1403&amp;K1403&amp;Q1403,製品マスタ!$N$5:$AE$4999,18,FALSE),"")))</f>
        <v>1125</v>
      </c>
      <c r="X1403" s="256">
        <f>IF(D1403="","",VLOOKUP(D1403,契約台帳!$A$3:$Q$4986,17,FALSE))</f>
        <v>2</v>
      </c>
      <c r="Y1403" s="256" t="str">
        <f>IF(D1403="","",VLOOKUP(D1403,契約台帳!$A$3:$E$4986,5,FALSE))</f>
        <v>リンテック㈱</v>
      </c>
      <c r="Z1403" s="310">
        <v>45399</v>
      </c>
      <c r="AA1403" s="200"/>
      <c r="AB1403" s="312"/>
      <c r="AC1403" s="313"/>
      <c r="AD1403" s="51" t="str">
        <f t="shared" si="0"/>
        <v>3SYMLBMSSMBF50</v>
      </c>
      <c r="AE1403" s="52">
        <f t="shared" si="1"/>
        <v>8960</v>
      </c>
      <c r="AF1403" s="41">
        <f>IF(AD1403="","",VLOOKUP(AD1403,原価マスタ!$A$2:$AJ$1693,13,FALSE))</f>
        <v>98</v>
      </c>
      <c r="AG1403" s="45">
        <f t="shared" si="2"/>
        <v>8780.7999999999993</v>
      </c>
      <c r="AH1403" s="28"/>
      <c r="AI1403" s="28"/>
      <c r="AJ1403" s="28"/>
      <c r="AK1403" s="28"/>
      <c r="AL1403" s="12"/>
      <c r="AM1403" s="12"/>
      <c r="AN1403" s="12"/>
      <c r="AO1403" s="12"/>
      <c r="AP1403" s="12"/>
      <c r="AQ1403" s="13"/>
      <c r="AR1403" s="14"/>
    </row>
    <row r="1404" spans="1:44" s="16" customFormat="1" ht="30.95" hidden="1" customHeight="1" x14ac:dyDescent="0.2">
      <c r="A1404" s="303"/>
      <c r="B1404" s="304"/>
      <c r="C1404" s="305"/>
      <c r="D1404" s="29"/>
      <c r="E1404" s="29"/>
      <c r="F1404" s="255"/>
      <c r="G1404" s="256"/>
      <c r="H1404" s="256"/>
      <c r="I1404" s="200"/>
      <c r="J1404" s="30"/>
      <c r="K1404" s="200"/>
      <c r="L1404" s="200"/>
      <c r="M1404" s="37"/>
      <c r="N1404" s="37"/>
      <c r="O1404" s="45"/>
      <c r="P1404" s="54"/>
      <c r="Q1404" s="260"/>
      <c r="R1404" s="261"/>
      <c r="S1404" s="261"/>
      <c r="T1404" s="38"/>
      <c r="U1404" s="261"/>
      <c r="V1404" s="256"/>
      <c r="W1404" s="256"/>
      <c r="X1404" s="256"/>
      <c r="Y1404" s="256"/>
      <c r="Z1404" s="310"/>
      <c r="AA1404" s="200"/>
      <c r="AB1404" s="312"/>
      <c r="AC1404" s="313"/>
      <c r="AD1404" s="51"/>
      <c r="AE1404" s="52"/>
      <c r="AF1404" s="41"/>
      <c r="AG1404" s="45"/>
      <c r="AH1404" s="28"/>
      <c r="AI1404" s="28"/>
      <c r="AJ1404" s="28"/>
      <c r="AK1404" s="28"/>
      <c r="AL1404" s="12"/>
      <c r="AM1404" s="12"/>
      <c r="AN1404" s="12"/>
      <c r="AO1404" s="12"/>
      <c r="AP1404" s="12"/>
      <c r="AQ1404" s="13"/>
      <c r="AR1404" s="14"/>
    </row>
    <row r="1405" spans="1:44" s="16" customFormat="1" ht="30.95" hidden="1" customHeight="1" x14ac:dyDescent="0.2">
      <c r="A1405" s="303"/>
      <c r="B1405" s="304"/>
      <c r="C1405" s="305"/>
      <c r="D1405" s="29">
        <v>3750065</v>
      </c>
      <c r="E1405" s="29">
        <v>4151625</v>
      </c>
      <c r="F1405" s="255" t="str">
        <f>IF(D1405="","",VLOOKUP(D1405,契約台帳!$A$3:$K$4986,6,FALSE)&amp;VLOOKUP(D1405,契約台帳!$A$3:$K$4986,7,FALSE)&amp;VLOOKUP(D1405,契約台帳!$A$3:$K$4986,8,FALSE)&amp;VLOOKUP(D1405,契約台帳!$A$3:$K$4986,9,FALSE)&amp;VLOOKUP(D1405,契約台帳!$A$3:$K$4986,11,FALSE))</f>
        <v>3SNMLBMNGKKBF</v>
      </c>
      <c r="G1405" s="256" t="str">
        <f>IF(D1405="","",VLOOKUP(F1405,製品マスタ!$G$5:$H$4999,2,FALSE))</f>
        <v>S</v>
      </c>
      <c r="H1405" s="256" t="str">
        <f>IF(D1405="","",VLOOKUP(F1405,製品マスタ!$G$5:$K$4999,5,FALSE))</f>
        <v>MNGKKBF</v>
      </c>
      <c r="I1405" s="200" t="str">
        <f>IF(D1405="","",VLOOKUP(F1405,製品マスタ!$G$5:$L$4999,6,FALSE))</f>
        <v>メタルミー　ネーマー銀消改　Ｂ</v>
      </c>
      <c r="J1405" s="30" t="s">
        <v>447</v>
      </c>
      <c r="K1405" s="200">
        <f>IF(D1405="","",VLOOKUP(D1405,契約台帳!$A$3:$L$4986,12,FALSE))</f>
        <v>25</v>
      </c>
      <c r="L1405" s="200" t="str">
        <f>IF(D1405="","",INDEX(製品マスタ!$Q$5:$Q$4999,MATCH(F1405&amp;K1405,製品マスタ!$AO$5:$AO$4999,0)))</f>
        <v>FMATS99</v>
      </c>
      <c r="M1405" s="37">
        <v>1120</v>
      </c>
      <c r="N1405" s="37">
        <v>8000</v>
      </c>
      <c r="O1405" s="45">
        <v>2</v>
      </c>
      <c r="P1405" s="54"/>
      <c r="Q1405" s="260">
        <f>IF(D1405="","",IF(J1405="リード付け",M1405,VLOOKUP(D1405,契約台帳!$A$3:$N$4986,14,FALSE)))</f>
        <v>1120</v>
      </c>
      <c r="R1405" s="261">
        <f>IF(D1405="","",IF(J1405="リード付け",M1405,VLOOKUP(D1405,契約台帳!$A$3:$O$4986,15,FALSE)))</f>
        <v>1120</v>
      </c>
      <c r="S1405" s="261">
        <f>IF(D1405="","",IF(J1405="リード付け",N1405,VLOOKUP(D1405,契約台帳!$A$3:$P$4986,16,FALSE)))</f>
        <v>4000</v>
      </c>
      <c r="T1405" s="38">
        <v>4</v>
      </c>
      <c r="U1405" s="261">
        <f ca="1">IF(D1405="","",IF(OFFSET(D1405,-2,0)=D1405,"",VLOOKUP(D1405,契約台帳!$A$3:$R$4986,18,FALSE)))</f>
        <v>4</v>
      </c>
      <c r="V1405" s="256" t="str">
        <f>IF(J1405="巻返し",VLOOKUP(F1405&amp;K1405&amp;M1405,製品マスタ!$M$5:$AD$4999,18,FALSE),IF(J1405="リード付け","原反コア",IF(J1405="スリット",VLOOKUP(F1405&amp;K1405&amp;Q1405,製品マスタ!$N$5:$AD$4999,17,FALSE),"")))</f>
        <v>6ｲﾝﾁSｺｱ</v>
      </c>
      <c r="W1405" s="256">
        <f>IF(J1405="巻返し",VLOOKUP(F1405&amp;K1405&amp;M1405,製品マスタ!$M$5:$AE$4999,19,FALSE),IF(J1405="リード付け","-",IF(J1405="スリット",VLOOKUP(F1405&amp;K1405&amp;Q1405,製品マスタ!$N$5:$AE$4999,18,FALSE),"")))</f>
        <v>1125</v>
      </c>
      <c r="X1405" s="256">
        <f>IF(D1405="","",VLOOKUP(D1405,契約台帳!$A$3:$Q$4986,17,FALSE))</f>
        <v>2</v>
      </c>
      <c r="Y1405" s="256" t="str">
        <f>IF(D1405="","",VLOOKUP(D1405,契約台帳!$A$3:$E$4986,5,FALSE))</f>
        <v>リンテック㈱</v>
      </c>
      <c r="Z1405" s="310">
        <v>45399</v>
      </c>
      <c r="AA1405" s="200"/>
      <c r="AB1405" s="312"/>
      <c r="AC1405" s="313"/>
      <c r="AD1405" s="51" t="str">
        <f t="shared" si="0"/>
        <v>3SNMLBMNGKKBF25</v>
      </c>
      <c r="AE1405" s="52">
        <f t="shared" si="1"/>
        <v>17920</v>
      </c>
      <c r="AF1405" s="41">
        <f>IF(AD1405="","",VLOOKUP(AD1405,原価マスタ!$A$2:$AJ$1693,13,FALSE))</f>
        <v>96</v>
      </c>
      <c r="AG1405" s="45">
        <f t="shared" si="2"/>
        <v>17203.2</v>
      </c>
      <c r="AH1405" s="28"/>
      <c r="AI1405" s="28"/>
      <c r="AJ1405" s="28"/>
      <c r="AK1405" s="28"/>
      <c r="AL1405" s="12"/>
      <c r="AM1405" s="12"/>
      <c r="AN1405" s="12"/>
      <c r="AO1405" s="12"/>
      <c r="AP1405" s="12"/>
      <c r="AQ1405" s="13"/>
      <c r="AR1405" s="14"/>
    </row>
    <row r="1406" spans="1:44" s="16" customFormat="1" ht="30.95" hidden="1" customHeight="1" x14ac:dyDescent="0.2">
      <c r="A1406" s="303"/>
      <c r="B1406" s="304"/>
      <c r="C1406" s="305"/>
      <c r="D1406" s="29"/>
      <c r="E1406" s="29"/>
      <c r="F1406" s="255"/>
      <c r="G1406" s="256"/>
      <c r="H1406" s="256"/>
      <c r="I1406" s="200"/>
      <c r="J1406" s="30"/>
      <c r="K1406" s="200"/>
      <c r="L1406" s="200"/>
      <c r="M1406" s="37"/>
      <c r="N1406" s="37"/>
      <c r="O1406" s="45"/>
      <c r="P1406" s="54"/>
      <c r="Q1406" s="260"/>
      <c r="R1406" s="261"/>
      <c r="S1406" s="261"/>
      <c r="T1406" s="38"/>
      <c r="U1406" s="261"/>
      <c r="V1406" s="256"/>
      <c r="W1406" s="256"/>
      <c r="X1406" s="256"/>
      <c r="Y1406" s="256"/>
      <c r="Z1406" s="310"/>
      <c r="AA1406" s="200"/>
      <c r="AB1406" s="312"/>
      <c r="AC1406" s="313"/>
      <c r="AD1406" s="51"/>
      <c r="AE1406" s="52"/>
      <c r="AF1406" s="41"/>
      <c r="AG1406" s="45"/>
      <c r="AH1406" s="28"/>
      <c r="AI1406" s="28"/>
      <c r="AJ1406" s="28"/>
      <c r="AK1406" s="28"/>
      <c r="AL1406" s="12"/>
      <c r="AM1406" s="12"/>
      <c r="AN1406" s="12"/>
      <c r="AO1406" s="12"/>
      <c r="AP1406" s="12"/>
      <c r="AQ1406" s="13"/>
      <c r="AR1406" s="14"/>
    </row>
    <row r="1407" spans="1:44" s="16" customFormat="1" ht="30.95" hidden="1" customHeight="1" x14ac:dyDescent="0.2">
      <c r="A1407" s="303"/>
      <c r="B1407" s="304"/>
      <c r="C1407" s="305"/>
      <c r="D1407" s="29">
        <v>3750080</v>
      </c>
      <c r="E1407" s="29">
        <v>4151647</v>
      </c>
      <c r="F1407" s="255" t="str">
        <f>IF(D1407="","",VLOOKUP(D1407,契約台帳!$A$3:$K$4986,6,FALSE)&amp;VLOOKUP(D1407,契約台帳!$A$3:$K$4986,7,FALSE)&amp;VLOOKUP(D1407,契約台帳!$A$3:$K$4986,8,FALSE)&amp;VLOOKUP(D1407,契約台帳!$A$3:$K$4986,9,FALSE)&amp;VLOOKUP(D1407,契約台帳!$A$3:$K$4986,11,FALSE))</f>
        <v>3SNMLBMNQR66F</v>
      </c>
      <c r="G1407" s="256" t="str">
        <f>IF(D1407="","",VLOOKUP(F1407,製品マスタ!$G$5:$H$4999,2,FALSE))</f>
        <v>S</v>
      </c>
      <c r="H1407" s="256" t="str">
        <f>IF(D1407="","",VLOOKUP(F1407,製品マスタ!$G$5:$K$4999,5,FALSE))</f>
        <v>MNQR66F</v>
      </c>
      <c r="I1407" s="200" t="str">
        <f>IF(D1407="","",VLOOKUP(F1407,製品マスタ!$G$5:$L$4999,6,FALSE))</f>
        <v>ＱＲ６６蒸着品</v>
      </c>
      <c r="J1407" s="30" t="s">
        <v>447</v>
      </c>
      <c r="K1407" s="200">
        <f>IF(D1407="","",VLOOKUP(D1407,契約台帳!$A$3:$L$4986,12,FALSE))</f>
        <v>25</v>
      </c>
      <c r="L1407" s="200" t="str">
        <f>IF(D1407="","",INDEX(製品マスタ!$Q$5:$Q$4999,MATCH(F1407&amp;K1407,製品マスタ!$AO$5:$AO$4999,0)))</f>
        <v>E315</v>
      </c>
      <c r="M1407" s="37">
        <v>1100</v>
      </c>
      <c r="N1407" s="37">
        <v>18000</v>
      </c>
      <c r="O1407" s="45">
        <v>2</v>
      </c>
      <c r="P1407" s="54"/>
      <c r="Q1407" s="260">
        <f>IF(D1407="","",IF(J1407="リード付け",M1407,VLOOKUP(D1407,契約台帳!$A$3:$N$4986,14,FALSE)))</f>
        <v>1100</v>
      </c>
      <c r="R1407" s="261">
        <f>IF(D1407="","",IF(J1407="リード付け",M1407,VLOOKUP(D1407,契約台帳!$A$3:$O$4986,15,FALSE)))</f>
        <v>1100</v>
      </c>
      <c r="S1407" s="261">
        <f>IF(D1407="","",IF(J1407="リード付け",N1407,VLOOKUP(D1407,契約台帳!$A$3:$P$4986,16,FALSE)))</f>
        <v>6000</v>
      </c>
      <c r="T1407" s="38">
        <v>6</v>
      </c>
      <c r="U1407" s="261">
        <f ca="1">IF(D1407="","",IF(OFFSET(D1407,-2,0)=D1407,"",VLOOKUP(D1407,契約台帳!$A$3:$R$4986,18,FALSE)))</f>
        <v>10</v>
      </c>
      <c r="V1407" s="256" t="str">
        <f>IF(J1407="巻返し",VLOOKUP(F1407&amp;K1407&amp;M1407,製品マスタ!$M$5:$AD$4999,18,FALSE),IF(J1407="リード付け","原反コア",IF(J1407="スリット",VLOOKUP(F1407&amp;K1407&amp;Q1407,製品マスタ!$N$5:$AD$4999,17,FALSE),"")))</f>
        <v>6ｲﾝﾁMｺｱ</v>
      </c>
      <c r="W1407" s="256">
        <f>IF(J1407="巻返し",VLOOKUP(F1407&amp;K1407&amp;M1407,製品マスタ!$M$5:$AE$4999,19,FALSE),IF(J1407="リード付け","-",IF(J1407="スリット",VLOOKUP(F1407&amp;K1407&amp;Q1407,製品マスタ!$N$5:$AE$4999,18,FALSE),"")))</f>
        <v>1110</v>
      </c>
      <c r="X1407" s="256">
        <f>IF(D1407="","",VLOOKUP(D1407,契約台帳!$A$3:$Q$4986,17,FALSE))</f>
        <v>2</v>
      </c>
      <c r="Y1407" s="256" t="str">
        <f>IF(D1407="","",VLOOKUP(D1407,契約台帳!$A$3:$E$4986,5,FALSE))</f>
        <v>リンテック㈱</v>
      </c>
      <c r="Z1407" s="310">
        <v>45399</v>
      </c>
      <c r="AA1407" s="200"/>
      <c r="AB1407" s="312"/>
      <c r="AC1407" s="313"/>
      <c r="AD1407" s="51" t="str">
        <f t="shared" si="0"/>
        <v>3SNMLBMNQR66F25</v>
      </c>
      <c r="AE1407" s="52">
        <f t="shared" si="1"/>
        <v>39600</v>
      </c>
      <c r="AF1407" s="41">
        <f>IF(AD1407="","",VLOOKUP(AD1407,原価マスタ!$A$2:$AJ$1693,13,FALSE))</f>
        <v>98</v>
      </c>
      <c r="AG1407" s="45">
        <f t="shared" si="2"/>
        <v>38808</v>
      </c>
      <c r="AH1407" s="28"/>
      <c r="AI1407" s="28"/>
      <c r="AJ1407" s="28"/>
      <c r="AK1407" s="28"/>
      <c r="AL1407" s="12"/>
      <c r="AM1407" s="12"/>
      <c r="AN1407" s="12"/>
      <c r="AO1407" s="12"/>
      <c r="AP1407" s="12"/>
      <c r="AQ1407" s="13"/>
      <c r="AR1407" s="14"/>
    </row>
    <row r="1408" spans="1:44" s="16" customFormat="1" ht="30.95" hidden="1" customHeight="1" x14ac:dyDescent="0.2">
      <c r="A1408" s="303"/>
      <c r="B1408" s="304"/>
      <c r="C1408" s="305"/>
      <c r="D1408" s="29"/>
      <c r="E1408" s="29"/>
      <c r="F1408" s="255"/>
      <c r="G1408" s="256"/>
      <c r="H1408" s="256"/>
      <c r="I1408" s="200"/>
      <c r="J1408" s="30"/>
      <c r="K1408" s="200"/>
      <c r="L1408" s="200"/>
      <c r="M1408" s="37"/>
      <c r="N1408" s="37"/>
      <c r="O1408" s="45"/>
      <c r="P1408" s="54"/>
      <c r="Q1408" s="260"/>
      <c r="R1408" s="261"/>
      <c r="S1408" s="261"/>
      <c r="T1408" s="38"/>
      <c r="U1408" s="261"/>
      <c r="V1408" s="256"/>
      <c r="W1408" s="256"/>
      <c r="X1408" s="256"/>
      <c r="Y1408" s="256"/>
      <c r="Z1408" s="310"/>
      <c r="AA1408" s="200"/>
      <c r="AB1408" s="312"/>
      <c r="AC1408" s="313"/>
      <c r="AD1408" s="51"/>
      <c r="AE1408" s="52"/>
      <c r="AF1408" s="41"/>
      <c r="AG1408" s="45"/>
      <c r="AH1408" s="28"/>
      <c r="AI1408" s="28"/>
      <c r="AJ1408" s="28"/>
      <c r="AK1408" s="28"/>
      <c r="AL1408" s="12"/>
      <c r="AM1408" s="12"/>
      <c r="AN1408" s="12"/>
      <c r="AO1408" s="12"/>
      <c r="AP1408" s="12"/>
      <c r="AQ1408" s="13"/>
      <c r="AR1408" s="14"/>
    </row>
    <row r="1409" spans="1:44" s="16" customFormat="1" ht="30.95" hidden="1" customHeight="1" x14ac:dyDescent="0.2">
      <c r="A1409" s="303" t="s">
        <v>1039</v>
      </c>
      <c r="B1409" s="304" t="s">
        <v>445</v>
      </c>
      <c r="C1409" s="305"/>
      <c r="D1409" s="29"/>
      <c r="E1409" s="29"/>
      <c r="F1409" s="255"/>
      <c r="G1409" s="256"/>
      <c r="H1409" s="256"/>
      <c r="I1409" s="200"/>
      <c r="J1409" s="30" t="s">
        <v>448</v>
      </c>
      <c r="K1409" s="200"/>
      <c r="L1409" s="200"/>
      <c r="M1409" s="37"/>
      <c r="N1409" s="37"/>
      <c r="O1409" s="45"/>
      <c r="P1409" s="54"/>
      <c r="Q1409" s="260"/>
      <c r="R1409" s="261"/>
      <c r="S1409" s="261"/>
      <c r="T1409" s="38"/>
      <c r="U1409" s="261"/>
      <c r="V1409" s="256"/>
      <c r="W1409" s="256"/>
      <c r="X1409" s="256"/>
      <c r="Y1409" s="256"/>
      <c r="Z1409" s="310"/>
      <c r="AA1409" s="200"/>
      <c r="AB1409" s="312"/>
      <c r="AC1409" s="313"/>
      <c r="AD1409" s="51"/>
      <c r="AE1409" s="52"/>
      <c r="AF1409" s="41"/>
      <c r="AG1409" s="45"/>
      <c r="AH1409" s="28"/>
      <c r="AI1409" s="28"/>
      <c r="AJ1409" s="28"/>
      <c r="AK1409" s="28"/>
      <c r="AL1409" s="12"/>
      <c r="AM1409" s="12"/>
      <c r="AN1409" s="12"/>
      <c r="AO1409" s="12"/>
      <c r="AP1409" s="12"/>
      <c r="AQ1409" s="13"/>
      <c r="AR1409" s="14"/>
    </row>
    <row r="1410" spans="1:44" s="16" customFormat="1" ht="30.95" hidden="1" customHeight="1" x14ac:dyDescent="0.2">
      <c r="A1410" s="303"/>
      <c r="B1410" s="304"/>
      <c r="C1410" s="305"/>
      <c r="D1410" s="29"/>
      <c r="E1410" s="29"/>
      <c r="F1410" s="255"/>
      <c r="G1410" s="256"/>
      <c r="H1410" s="256"/>
      <c r="I1410" s="200"/>
      <c r="J1410" s="30"/>
      <c r="K1410" s="200"/>
      <c r="L1410" s="200"/>
      <c r="M1410" s="37"/>
      <c r="N1410" s="37"/>
      <c r="O1410" s="45"/>
      <c r="P1410" s="54"/>
      <c r="Q1410" s="260"/>
      <c r="R1410" s="261"/>
      <c r="S1410" s="261"/>
      <c r="T1410" s="38"/>
      <c r="U1410" s="261"/>
      <c r="V1410" s="256"/>
      <c r="W1410" s="256"/>
      <c r="X1410" s="256"/>
      <c r="Y1410" s="256"/>
      <c r="Z1410" s="310"/>
      <c r="AA1410" s="200"/>
      <c r="AB1410" s="312"/>
      <c r="AC1410" s="313"/>
      <c r="AD1410" s="51"/>
      <c r="AE1410" s="52"/>
      <c r="AF1410" s="41"/>
      <c r="AG1410" s="45"/>
      <c r="AH1410" s="28"/>
      <c r="AI1410" s="28"/>
      <c r="AJ1410" s="28"/>
      <c r="AK1410" s="28"/>
      <c r="AL1410" s="12"/>
      <c r="AM1410" s="12"/>
      <c r="AN1410" s="12"/>
      <c r="AO1410" s="12"/>
      <c r="AP1410" s="12"/>
      <c r="AQ1410" s="13"/>
      <c r="AR1410" s="14"/>
    </row>
    <row r="1411" spans="1:44" s="16" customFormat="1" ht="30.95" hidden="1" customHeight="1" x14ac:dyDescent="0.2">
      <c r="A1411" s="303" t="s">
        <v>1041</v>
      </c>
      <c r="B1411" s="304" t="s">
        <v>446</v>
      </c>
      <c r="C1411" s="305"/>
      <c r="D1411" s="29"/>
      <c r="E1411" s="29"/>
      <c r="F1411" s="255"/>
      <c r="G1411" s="256"/>
      <c r="H1411" s="256"/>
      <c r="I1411" s="200"/>
      <c r="J1411" s="30" t="s">
        <v>448</v>
      </c>
      <c r="K1411" s="200"/>
      <c r="L1411" s="200"/>
      <c r="M1411" s="37"/>
      <c r="N1411" s="37"/>
      <c r="O1411" s="45"/>
      <c r="P1411" s="54"/>
      <c r="Q1411" s="260"/>
      <c r="R1411" s="261"/>
      <c r="S1411" s="261"/>
      <c r="T1411" s="38"/>
      <c r="U1411" s="261"/>
      <c r="V1411" s="256"/>
      <c r="W1411" s="256"/>
      <c r="X1411" s="256"/>
      <c r="Y1411" s="256"/>
      <c r="Z1411" s="310"/>
      <c r="AA1411" s="200"/>
      <c r="AB1411" s="312"/>
      <c r="AC1411" s="313"/>
      <c r="AD1411" s="51"/>
      <c r="AE1411" s="52"/>
      <c r="AF1411" s="41"/>
      <c r="AG1411" s="45"/>
      <c r="AH1411" s="28"/>
      <c r="AI1411" s="28"/>
      <c r="AJ1411" s="28"/>
      <c r="AK1411" s="28"/>
      <c r="AL1411" s="12"/>
      <c r="AM1411" s="12"/>
      <c r="AN1411" s="12"/>
      <c r="AO1411" s="12"/>
      <c r="AP1411" s="12"/>
      <c r="AQ1411" s="13"/>
      <c r="AR1411" s="14"/>
    </row>
    <row r="1412" spans="1:44" s="16" customFormat="1" ht="30.95" hidden="1" customHeight="1" x14ac:dyDescent="0.2">
      <c r="A1412" s="303"/>
      <c r="B1412" s="304"/>
      <c r="C1412" s="305"/>
      <c r="D1412" s="29"/>
      <c r="E1412" s="29"/>
      <c r="F1412" s="255"/>
      <c r="G1412" s="256"/>
      <c r="H1412" s="256"/>
      <c r="I1412" s="200"/>
      <c r="J1412" s="30"/>
      <c r="K1412" s="200"/>
      <c r="L1412" s="200"/>
      <c r="M1412" s="37"/>
      <c r="N1412" s="37"/>
      <c r="O1412" s="45"/>
      <c r="P1412" s="54"/>
      <c r="Q1412" s="260"/>
      <c r="R1412" s="261"/>
      <c r="S1412" s="261"/>
      <c r="T1412" s="38"/>
      <c r="U1412" s="261"/>
      <c r="V1412" s="256"/>
      <c r="W1412" s="256"/>
      <c r="X1412" s="256"/>
      <c r="Y1412" s="256"/>
      <c r="Z1412" s="310"/>
      <c r="AA1412" s="200"/>
      <c r="AB1412" s="312"/>
      <c r="AC1412" s="313"/>
      <c r="AD1412" s="51"/>
      <c r="AE1412" s="52"/>
      <c r="AF1412" s="41"/>
      <c r="AG1412" s="45"/>
      <c r="AH1412" s="28"/>
      <c r="AI1412" s="28"/>
      <c r="AJ1412" s="28"/>
      <c r="AK1412" s="28"/>
      <c r="AL1412" s="12"/>
      <c r="AM1412" s="12"/>
      <c r="AN1412" s="12"/>
      <c r="AO1412" s="12"/>
      <c r="AP1412" s="12"/>
      <c r="AQ1412" s="13"/>
      <c r="AR1412" s="14"/>
    </row>
    <row r="1413" spans="1:44" s="16" customFormat="1" ht="30.95" hidden="1" customHeight="1" x14ac:dyDescent="0.2">
      <c r="A1413" s="303" t="s">
        <v>1043</v>
      </c>
      <c r="B1413" s="304" t="s">
        <v>462</v>
      </c>
      <c r="C1413" s="305"/>
      <c r="D1413" s="29">
        <v>3750080</v>
      </c>
      <c r="E1413" s="29">
        <v>4151647</v>
      </c>
      <c r="F1413" s="255" t="str">
        <f>IF(D1413="","",VLOOKUP(D1413,契約台帳!$A$3:$K$4986,6,FALSE)&amp;VLOOKUP(D1413,契約台帳!$A$3:$K$4986,7,FALSE)&amp;VLOOKUP(D1413,契約台帳!$A$3:$K$4986,8,FALSE)&amp;VLOOKUP(D1413,契約台帳!$A$3:$K$4986,9,FALSE)&amp;VLOOKUP(D1413,契約台帳!$A$3:$K$4986,11,FALSE))</f>
        <v>3SNMLBMNQR66F</v>
      </c>
      <c r="G1413" s="256" t="str">
        <f>IF(D1413="","",VLOOKUP(F1413,製品マスタ!$G$5:$H$4999,2,FALSE))</f>
        <v>S</v>
      </c>
      <c r="H1413" s="256" t="str">
        <f>IF(D1413="","",VLOOKUP(F1413,製品マスタ!$G$5:$K$4999,5,FALSE))</f>
        <v>MNQR66F</v>
      </c>
      <c r="I1413" s="200" t="str">
        <f>IF(D1413="","",VLOOKUP(F1413,製品マスタ!$G$5:$L$4999,6,FALSE))</f>
        <v>ＱＲ６６蒸着品</v>
      </c>
      <c r="J1413" s="30" t="s">
        <v>447</v>
      </c>
      <c r="K1413" s="200">
        <f>IF(D1413="","",VLOOKUP(D1413,契約台帳!$A$3:$L$4986,12,FALSE))</f>
        <v>25</v>
      </c>
      <c r="L1413" s="200" t="str">
        <f>IF(D1413="","",INDEX(製品マスタ!$Q$5:$Q$4999,MATCH(F1413&amp;K1413,製品マスタ!$AO$5:$AO$4999,0)))</f>
        <v>E315</v>
      </c>
      <c r="M1413" s="37">
        <v>1100</v>
      </c>
      <c r="N1413" s="37">
        <v>12000</v>
      </c>
      <c r="O1413" s="45">
        <v>2</v>
      </c>
      <c r="P1413" s="54"/>
      <c r="Q1413" s="260">
        <f>IF(D1413="","",IF(J1413="リード付け",M1413,VLOOKUP(D1413,契約台帳!$A$3:$N$4986,14,FALSE)))</f>
        <v>1100</v>
      </c>
      <c r="R1413" s="261">
        <f>IF(D1413="","",IF(J1413="リード付け",M1413,VLOOKUP(D1413,契約台帳!$A$3:$O$4986,15,FALSE)))</f>
        <v>1100</v>
      </c>
      <c r="S1413" s="261">
        <f>IF(D1413="","",IF(J1413="リード付け",N1413,VLOOKUP(D1413,契約台帳!$A$3:$P$4986,16,FALSE)))</f>
        <v>6000</v>
      </c>
      <c r="T1413" s="38">
        <v>4</v>
      </c>
      <c r="U1413" s="261">
        <f ca="1">IF(D1413="","",IF(OFFSET(D1413,-2,0)=D1413,"",VLOOKUP(D1413,契約台帳!$A$3:$R$4986,18,FALSE)))</f>
        <v>10</v>
      </c>
      <c r="V1413" s="256" t="str">
        <f>IF(J1413="巻返し",VLOOKUP(F1413&amp;K1413&amp;M1413,製品マスタ!$M$5:$AD$4999,18,FALSE),IF(J1413="リード付け","原反コア",IF(J1413="スリット",VLOOKUP(F1413&amp;K1413&amp;Q1413,製品マスタ!$N$5:$AD$4999,17,FALSE),"")))</f>
        <v>6ｲﾝﾁMｺｱ</v>
      </c>
      <c r="W1413" s="256">
        <f>IF(J1413="巻返し",VLOOKUP(F1413&amp;K1413&amp;M1413,製品マスタ!$M$5:$AE$4999,19,FALSE),IF(J1413="リード付け","-",IF(J1413="スリット",VLOOKUP(F1413&amp;K1413&amp;Q1413,製品マスタ!$N$5:$AE$4999,18,FALSE),"")))</f>
        <v>1110</v>
      </c>
      <c r="X1413" s="256">
        <f>IF(D1413="","",VLOOKUP(D1413,契約台帳!$A$3:$Q$4986,17,FALSE))</f>
        <v>2</v>
      </c>
      <c r="Y1413" s="256" t="str">
        <f>IF(D1413="","",VLOOKUP(D1413,契約台帳!$A$3:$E$4986,5,FALSE))</f>
        <v>リンテック㈱</v>
      </c>
      <c r="Z1413" s="310">
        <v>45400</v>
      </c>
      <c r="AA1413" s="200"/>
      <c r="AB1413" s="312"/>
      <c r="AC1413" s="313"/>
      <c r="AD1413" s="51" t="str">
        <f t="shared" ref="AD1413" si="81">IF(F1413="","",+F1413&amp;K1413)</f>
        <v>3SNMLBMNQR66F25</v>
      </c>
      <c r="AE1413" s="52">
        <f t="shared" ref="AE1413" si="82">+M1413*N1413*O1413/1000</f>
        <v>26400</v>
      </c>
      <c r="AF1413" s="41">
        <f>IF(AD1413="","",VLOOKUP(AD1413,原価マスタ!$A$2:$AJ$1693,13,FALSE))</f>
        <v>98</v>
      </c>
      <c r="AG1413" s="45">
        <f t="shared" ref="AG1413" si="83">IF(AF1413="","",+AE1413*AF1413/100)</f>
        <v>25872</v>
      </c>
      <c r="AH1413" s="28"/>
      <c r="AI1413" s="28"/>
      <c r="AJ1413" s="28"/>
      <c r="AK1413" s="28"/>
      <c r="AL1413" s="12"/>
      <c r="AM1413" s="12"/>
      <c r="AN1413" s="12"/>
      <c r="AO1413" s="12"/>
      <c r="AP1413" s="12"/>
      <c r="AQ1413" s="13"/>
      <c r="AR1413" s="14"/>
    </row>
    <row r="1414" spans="1:44" s="16" customFormat="1" ht="30.95" hidden="1" customHeight="1" x14ac:dyDescent="0.2">
      <c r="A1414" s="303"/>
      <c r="B1414" s="304"/>
      <c r="C1414" s="305"/>
      <c r="D1414" s="29"/>
      <c r="E1414" s="29"/>
      <c r="F1414" s="255"/>
      <c r="G1414" s="256"/>
      <c r="H1414" s="256"/>
      <c r="I1414" s="200"/>
      <c r="J1414" s="30"/>
      <c r="K1414" s="200"/>
      <c r="L1414" s="200"/>
      <c r="M1414" s="37"/>
      <c r="N1414" s="37"/>
      <c r="O1414" s="45"/>
      <c r="P1414" s="54"/>
      <c r="Q1414" s="260"/>
      <c r="R1414" s="261"/>
      <c r="S1414" s="261"/>
      <c r="T1414" s="38"/>
      <c r="U1414" s="261"/>
      <c r="V1414" s="256"/>
      <c r="W1414" s="256"/>
      <c r="X1414" s="256"/>
      <c r="Y1414" s="256"/>
      <c r="Z1414" s="310"/>
      <c r="AA1414" s="200"/>
      <c r="AB1414" s="312"/>
      <c r="AC1414" s="313"/>
      <c r="AD1414" s="51"/>
      <c r="AE1414" s="52"/>
      <c r="AF1414" s="41"/>
      <c r="AG1414" s="45"/>
      <c r="AH1414" s="28"/>
      <c r="AI1414" s="28"/>
      <c r="AJ1414" s="28"/>
      <c r="AK1414" s="28"/>
      <c r="AL1414" s="12"/>
      <c r="AM1414" s="12"/>
      <c r="AN1414" s="12"/>
      <c r="AO1414" s="12"/>
      <c r="AP1414" s="12"/>
      <c r="AQ1414" s="13"/>
      <c r="AR1414" s="14"/>
    </row>
    <row r="1415" spans="1:44" s="16" customFormat="1" ht="30.95" hidden="1" customHeight="1" x14ac:dyDescent="0.2">
      <c r="A1415" s="303"/>
      <c r="B1415" s="304"/>
      <c r="C1415" s="305"/>
      <c r="D1415" s="29">
        <v>3750067</v>
      </c>
      <c r="E1415" s="29">
        <v>4151624</v>
      </c>
      <c r="F1415" s="255" t="str">
        <f>IF(D1415="","",VLOOKUP(D1415,契約台帳!$A$3:$K$4986,6,FALSE)&amp;VLOOKUP(D1415,契約台帳!$A$3:$K$4986,7,FALSE)&amp;VLOOKUP(D1415,契約台帳!$A$3:$K$4986,8,FALSE)&amp;VLOOKUP(D1415,契約台帳!$A$3:$K$4986,9,FALSE)&amp;VLOOKUP(D1415,契約台帳!$A$3:$K$4986,11,FALSE))</f>
        <v>3SNMLBMNGKBF</v>
      </c>
      <c r="G1415" s="256" t="str">
        <f>IF(D1415="","",VLOOKUP(F1415,製品マスタ!$G$5:$H$4999,2,FALSE))</f>
        <v>S</v>
      </c>
      <c r="H1415" s="256" t="str">
        <f>IF(D1415="","",VLOOKUP(F1415,製品マスタ!$G$5:$K$4999,5,FALSE))</f>
        <v>MNGKBF</v>
      </c>
      <c r="I1415" s="200" t="str">
        <f>IF(D1415="","",VLOOKUP(F1415,製品マスタ!$G$5:$L$4999,6,FALSE))</f>
        <v>メタルミー　ネーマー銀消　Ｂ</v>
      </c>
      <c r="J1415" s="30" t="s">
        <v>447</v>
      </c>
      <c r="K1415" s="200">
        <f>IF(D1415="","",VLOOKUP(D1415,契約台帳!$A$3:$L$4986,12,FALSE))</f>
        <v>50</v>
      </c>
      <c r="L1415" s="200" t="str">
        <f>IF(D1415="","",INDEX(製品マスタ!$Q$5:$Q$4999,MATCH(F1415&amp;K1415,製品マスタ!$AO$5:$AO$4999,0)))</f>
        <v>MAT</v>
      </c>
      <c r="M1415" s="37">
        <v>1050</v>
      </c>
      <c r="N1415" s="37">
        <v>12300</v>
      </c>
      <c r="O1415" s="45">
        <v>2</v>
      </c>
      <c r="P1415" s="54"/>
      <c r="Q1415" s="260">
        <f>IF(D1415="","",IF(J1415="リード付け",M1415,VLOOKUP(D1415,契約台帳!$A$3:$N$4986,14,FALSE)))</f>
        <v>1050</v>
      </c>
      <c r="R1415" s="261">
        <f>IF(D1415="","",IF(J1415="リード付け",M1415,VLOOKUP(D1415,契約台帳!$A$3:$O$4986,15,FALSE)))</f>
        <v>1050</v>
      </c>
      <c r="S1415" s="261">
        <f>IF(D1415="","",IF(J1415="リード付け",N1415,VLOOKUP(D1415,契約台帳!$A$3:$P$4986,16,FALSE)))</f>
        <v>4100</v>
      </c>
      <c r="T1415" s="38">
        <v>6</v>
      </c>
      <c r="U1415" s="261">
        <f ca="1">IF(D1415="","",IF(OFFSET(D1415,-2,0)=D1415,"",VLOOKUP(D1415,契約台帳!$A$3:$R$4986,18,FALSE)))</f>
        <v>6</v>
      </c>
      <c r="V1415" s="256" t="str">
        <f>IF(J1415="巻返し",VLOOKUP(F1415&amp;K1415&amp;M1415,製品マスタ!$M$5:$AD$4999,18,FALSE),IF(J1415="リード付け","原反コア",IF(J1415="スリット",VLOOKUP(F1415&amp;K1415&amp;Q1415,製品マスタ!$N$5:$AD$4999,17,FALSE),"")))</f>
        <v>6ｲﾝﾁSｺｱ</v>
      </c>
      <c r="W1415" s="256">
        <f>IF(J1415="巻返し",VLOOKUP(F1415&amp;K1415&amp;M1415,製品マスタ!$M$5:$AE$4999,19,FALSE),IF(J1415="リード付け","-",IF(J1415="スリット",VLOOKUP(F1415&amp;K1415&amp;Q1415,製品マスタ!$N$5:$AE$4999,18,FALSE),"")))</f>
        <v>1055</v>
      </c>
      <c r="X1415" s="256">
        <f>IF(D1415="","",VLOOKUP(D1415,契約台帳!$A$3:$Q$4986,17,FALSE))</f>
        <v>2</v>
      </c>
      <c r="Y1415" s="256" t="str">
        <f>IF(D1415="","",VLOOKUP(D1415,契約台帳!$A$3:$E$4986,5,FALSE))</f>
        <v>リンテック㈱</v>
      </c>
      <c r="Z1415" s="310">
        <v>45400</v>
      </c>
      <c r="AA1415" s="200"/>
      <c r="AB1415" s="312"/>
      <c r="AC1415" s="313"/>
      <c r="AD1415" s="51" t="str">
        <f t="shared" ref="AD1415" si="84">IF(F1415="","",+F1415&amp;K1415)</f>
        <v>3SNMLBMNGKBF50</v>
      </c>
      <c r="AE1415" s="52">
        <f t="shared" ref="AE1415" si="85">+M1415*N1415*O1415/1000</f>
        <v>25830</v>
      </c>
      <c r="AF1415" s="41">
        <f>IF(AD1415="","",VLOOKUP(AD1415,原価マスタ!$A$2:$AJ$1693,13,FALSE))</f>
        <v>98</v>
      </c>
      <c r="AG1415" s="45">
        <f t="shared" ref="AG1415" si="86">IF(AF1415="","",+AE1415*AF1415/100)</f>
        <v>25313.4</v>
      </c>
      <c r="AH1415" s="28"/>
      <c r="AI1415" s="28"/>
      <c r="AJ1415" s="28"/>
      <c r="AK1415" s="28"/>
      <c r="AL1415" s="12"/>
      <c r="AM1415" s="12"/>
      <c r="AN1415" s="12"/>
      <c r="AO1415" s="12"/>
      <c r="AP1415" s="12"/>
      <c r="AQ1415" s="13"/>
      <c r="AR1415" s="14"/>
    </row>
    <row r="1416" spans="1:44" s="16" customFormat="1" ht="30.95" hidden="1" customHeight="1" x14ac:dyDescent="0.2">
      <c r="A1416" s="303"/>
      <c r="B1416" s="304"/>
      <c r="C1416" s="305"/>
      <c r="D1416" s="29"/>
      <c r="E1416" s="29"/>
      <c r="F1416" s="255"/>
      <c r="G1416" s="256"/>
      <c r="H1416" s="256"/>
      <c r="I1416" s="200"/>
      <c r="J1416" s="30"/>
      <c r="K1416" s="200"/>
      <c r="L1416" s="200"/>
      <c r="M1416" s="37"/>
      <c r="N1416" s="37"/>
      <c r="O1416" s="45"/>
      <c r="P1416" s="54"/>
      <c r="Q1416" s="260"/>
      <c r="R1416" s="261"/>
      <c r="S1416" s="261"/>
      <c r="T1416" s="38"/>
      <c r="U1416" s="261"/>
      <c r="V1416" s="256"/>
      <c r="W1416" s="256"/>
      <c r="X1416" s="256"/>
      <c r="Y1416" s="256"/>
      <c r="Z1416" s="310"/>
      <c r="AA1416" s="200"/>
      <c r="AB1416" s="312"/>
      <c r="AC1416" s="313"/>
      <c r="AD1416" s="51"/>
      <c r="AE1416" s="52"/>
      <c r="AF1416" s="41"/>
      <c r="AG1416" s="45"/>
      <c r="AH1416" s="28"/>
      <c r="AI1416" s="28"/>
      <c r="AJ1416" s="28"/>
      <c r="AK1416" s="28"/>
      <c r="AL1416" s="12"/>
      <c r="AM1416" s="12"/>
      <c r="AN1416" s="12"/>
      <c r="AO1416" s="12"/>
      <c r="AP1416" s="12"/>
      <c r="AQ1416" s="13"/>
      <c r="AR1416" s="14"/>
    </row>
    <row r="1417" spans="1:44" s="16" customFormat="1" ht="30.95" hidden="1" customHeight="1" x14ac:dyDescent="0.2">
      <c r="A1417" s="303"/>
      <c r="B1417" s="304"/>
      <c r="C1417" s="305"/>
      <c r="D1417" s="29">
        <v>3750083</v>
      </c>
      <c r="E1417" s="29">
        <v>4151646</v>
      </c>
      <c r="F1417" s="255" t="str">
        <f>IF(D1417="","",VLOOKUP(D1417,契約台帳!$A$3:$K$4986,6,FALSE)&amp;VLOOKUP(D1417,契約台帳!$A$3:$K$4986,7,FALSE)&amp;VLOOKUP(D1417,契約台帳!$A$3:$K$4986,8,FALSE)&amp;VLOOKUP(D1417,契約台帳!$A$3:$K$4986,9,FALSE)&amp;VLOOKUP(D1417,契約台帳!$A$3:$K$4986,11,FALSE))</f>
        <v>3SNMLBMNNGKBF</v>
      </c>
      <c r="G1417" s="256" t="str">
        <f>IF(D1417="","",VLOOKUP(F1417,製品マスタ!$G$5:$H$4999,2,FALSE))</f>
        <v>S</v>
      </c>
      <c r="H1417" s="256" t="str">
        <f>IF(D1417="","",VLOOKUP(F1417,製品マスタ!$G$5:$K$4999,5,FALSE))</f>
        <v>MNNGKBF</v>
      </c>
      <c r="I1417" s="200" t="str">
        <f>IF(D1417="","",VLOOKUP(F1417,製品マスタ!$G$5:$L$4999,6,FALSE))</f>
        <v>メタルミー　ニューネーマー銀消　Ｂ</v>
      </c>
      <c r="J1417" s="30" t="s">
        <v>447</v>
      </c>
      <c r="K1417" s="200">
        <f>IF(D1417="","",VLOOKUP(D1417,契約台帳!$A$3:$L$4986,12,FALSE))</f>
        <v>25</v>
      </c>
      <c r="L1417" s="200" t="str">
        <f>IF(D1417="","",INDEX(製品マスタ!$Q$5:$Q$4999,MATCH(F1417&amp;K1417,製品マスタ!$AO$5:$AO$4999,0)))</f>
        <v>X44C</v>
      </c>
      <c r="M1417" s="37">
        <v>1005</v>
      </c>
      <c r="N1417" s="37">
        <v>16000</v>
      </c>
      <c r="O1417" s="45">
        <v>1</v>
      </c>
      <c r="P1417" s="54"/>
      <c r="Q1417" s="260">
        <f>IF(D1417="","",IF(J1417="リード付け",M1417,VLOOKUP(D1417,契約台帳!$A$3:$N$4986,14,FALSE)))</f>
        <v>1005</v>
      </c>
      <c r="R1417" s="261">
        <f>IF(D1417="","",IF(J1417="リード付け",M1417,VLOOKUP(D1417,契約台帳!$A$3:$O$4986,15,FALSE)))</f>
        <v>1000</v>
      </c>
      <c r="S1417" s="261">
        <f>IF(D1417="","",IF(J1417="リード付け",N1417,VLOOKUP(D1417,契約台帳!$A$3:$P$4986,16,FALSE)))</f>
        <v>4000</v>
      </c>
      <c r="T1417" s="38">
        <v>4</v>
      </c>
      <c r="U1417" s="261">
        <f ca="1">IF(D1417="","",IF(OFFSET(D1417,-2,0)=D1417,"",VLOOKUP(D1417,契約台帳!$A$3:$R$4986,18,FALSE)))</f>
        <v>6</v>
      </c>
      <c r="V1417" s="256" t="str">
        <f>IF(J1417="巻返し",VLOOKUP(F1417&amp;K1417&amp;M1417,製品マスタ!$M$5:$AD$4999,18,FALSE),IF(J1417="リード付け","原反コア",IF(J1417="スリット",VLOOKUP(F1417&amp;K1417&amp;Q1417,製品マスタ!$N$5:$AD$4999,17,FALSE),"")))</f>
        <v>6ｲﾝﾁSｺｱ</v>
      </c>
      <c r="W1417" s="256">
        <f>IF(J1417="巻返し",VLOOKUP(F1417&amp;K1417&amp;M1417,製品マスタ!$M$5:$AE$4999,19,FALSE),IF(J1417="リード付け","-",IF(J1417="スリット",VLOOKUP(F1417&amp;K1417&amp;Q1417,製品マスタ!$N$5:$AE$4999,18,FALSE),"")))</f>
        <v>1015</v>
      </c>
      <c r="X1417" s="256">
        <f>IF(D1417="","",VLOOKUP(D1417,契約台帳!$A$3:$Q$4986,17,FALSE))</f>
        <v>2</v>
      </c>
      <c r="Y1417" s="256" t="str">
        <f>IF(D1417="","",VLOOKUP(D1417,契約台帳!$A$3:$E$4986,5,FALSE))</f>
        <v>リンテック㈱</v>
      </c>
      <c r="Z1417" s="310">
        <v>45400</v>
      </c>
      <c r="AA1417" s="200"/>
      <c r="AB1417" s="312"/>
      <c r="AC1417" s="313"/>
      <c r="AD1417" s="51" t="str">
        <f t="shared" ref="AD1417" si="87">IF(F1417="","",+F1417&amp;K1417)</f>
        <v>3SNMLBMNNGKBF25</v>
      </c>
      <c r="AE1417" s="52">
        <f t="shared" ref="AE1417" si="88">+M1417*N1417*O1417/1000</f>
        <v>16080</v>
      </c>
      <c r="AF1417" s="41">
        <f>IF(AD1417="","",VLOOKUP(AD1417,原価マスタ!$A$2:$AJ$1693,13,FALSE))</f>
        <v>98.3</v>
      </c>
      <c r="AG1417" s="45">
        <f t="shared" ref="AG1417" si="89">IF(AF1417="","",+AE1417*AF1417/100)</f>
        <v>15806.64</v>
      </c>
      <c r="AH1417" s="28"/>
      <c r="AI1417" s="28"/>
      <c r="AJ1417" s="28"/>
      <c r="AK1417" s="28"/>
      <c r="AL1417" s="12"/>
      <c r="AM1417" s="12"/>
      <c r="AN1417" s="12"/>
      <c r="AO1417" s="12"/>
      <c r="AP1417" s="12"/>
      <c r="AQ1417" s="13"/>
      <c r="AR1417" s="14"/>
    </row>
    <row r="1418" spans="1:44" s="16" customFormat="1" ht="30.95" hidden="1" customHeight="1" x14ac:dyDescent="0.2">
      <c r="A1418" s="303"/>
      <c r="B1418" s="304"/>
      <c r="C1418" s="305"/>
      <c r="D1418" s="29"/>
      <c r="E1418" s="29"/>
      <c r="F1418" s="255"/>
      <c r="G1418" s="256"/>
      <c r="H1418" s="256"/>
      <c r="I1418" s="200"/>
      <c r="J1418" s="30"/>
      <c r="K1418" s="200"/>
      <c r="L1418" s="200"/>
      <c r="M1418" s="37"/>
      <c r="N1418" s="37"/>
      <c r="O1418" s="45"/>
      <c r="P1418" s="54"/>
      <c r="Q1418" s="260"/>
      <c r="R1418" s="261"/>
      <c r="S1418" s="261"/>
      <c r="T1418" s="38"/>
      <c r="U1418" s="261"/>
      <c r="V1418" s="256"/>
      <c r="W1418" s="256"/>
      <c r="X1418" s="256"/>
      <c r="Y1418" s="256"/>
      <c r="Z1418" s="310"/>
      <c r="AA1418" s="200"/>
      <c r="AB1418" s="312"/>
      <c r="AC1418" s="313"/>
      <c r="AD1418" s="51"/>
      <c r="AE1418" s="52"/>
      <c r="AF1418" s="41"/>
      <c r="AG1418" s="45"/>
      <c r="AH1418" s="28"/>
      <c r="AI1418" s="28"/>
      <c r="AJ1418" s="28"/>
      <c r="AK1418" s="28"/>
      <c r="AL1418" s="12"/>
      <c r="AM1418" s="12"/>
      <c r="AN1418" s="12"/>
      <c r="AO1418" s="12"/>
      <c r="AP1418" s="12"/>
      <c r="AQ1418" s="13"/>
      <c r="AR1418" s="14"/>
    </row>
    <row r="1419" spans="1:44" s="16" customFormat="1" ht="30.95" hidden="1" customHeight="1" x14ac:dyDescent="0.2">
      <c r="A1419" s="303"/>
      <c r="B1419" s="304"/>
      <c r="C1419" s="305"/>
      <c r="D1419" s="29">
        <v>3750083</v>
      </c>
      <c r="E1419" s="29">
        <v>4151646</v>
      </c>
      <c r="F1419" s="255" t="str">
        <f>IF(D1419="","",VLOOKUP(D1419,契約台帳!$A$3:$K$4986,6,FALSE)&amp;VLOOKUP(D1419,契約台帳!$A$3:$K$4986,7,FALSE)&amp;VLOOKUP(D1419,契約台帳!$A$3:$K$4986,8,FALSE)&amp;VLOOKUP(D1419,契約台帳!$A$3:$K$4986,9,FALSE)&amp;VLOOKUP(D1419,契約台帳!$A$3:$K$4986,11,FALSE))</f>
        <v>3SNMLBMNNGKBF</v>
      </c>
      <c r="G1419" s="256" t="str">
        <f>IF(D1419="","",VLOOKUP(F1419,製品マスタ!$G$5:$H$4999,2,FALSE))</f>
        <v>S</v>
      </c>
      <c r="H1419" s="256" t="str">
        <f>IF(D1419="","",VLOOKUP(F1419,製品マスタ!$G$5:$K$4999,5,FALSE))</f>
        <v>MNNGKBF</v>
      </c>
      <c r="I1419" s="200" t="str">
        <f>IF(D1419="","",VLOOKUP(F1419,製品マスタ!$G$5:$L$4999,6,FALSE))</f>
        <v>メタルミー　ニューネーマー銀消　Ｂ</v>
      </c>
      <c r="J1419" s="30" t="s">
        <v>447</v>
      </c>
      <c r="K1419" s="200">
        <f>IF(D1419="","",VLOOKUP(D1419,契約台帳!$A$3:$L$4986,12,FALSE))</f>
        <v>25</v>
      </c>
      <c r="L1419" s="200" t="str">
        <f>IF(D1419="","",INDEX(製品マスタ!$Q$5:$Q$4999,MATCH(F1419&amp;K1419,製品マスタ!$AO$5:$AO$4999,0)))</f>
        <v>X44C</v>
      </c>
      <c r="M1419" s="37">
        <v>1005</v>
      </c>
      <c r="N1419" s="37">
        <v>8000</v>
      </c>
      <c r="O1419" s="45">
        <v>1</v>
      </c>
      <c r="P1419" s="54"/>
      <c r="Q1419" s="260">
        <f>IF(D1419="","",IF(J1419="リード付け",M1419,VLOOKUP(D1419,契約台帳!$A$3:$N$4986,14,FALSE)))</f>
        <v>1005</v>
      </c>
      <c r="R1419" s="261">
        <f>IF(D1419="","",IF(J1419="リード付け",M1419,VLOOKUP(D1419,契約台帳!$A$3:$O$4986,15,FALSE)))</f>
        <v>1000</v>
      </c>
      <c r="S1419" s="261">
        <f>IF(D1419="","",IF(J1419="リード付け",N1419,VLOOKUP(D1419,契約台帳!$A$3:$P$4986,16,FALSE)))</f>
        <v>4000</v>
      </c>
      <c r="T1419" s="38">
        <v>2</v>
      </c>
      <c r="U1419" s="261" t="str">
        <f ca="1">IF(D1419="","",IF(OFFSET(D1419,-2,0)=D1419,"",VLOOKUP(D1419,契約台帳!$A$3:$R$4986,18,FALSE)))</f>
        <v/>
      </c>
      <c r="V1419" s="256" t="str">
        <f>IF(J1419="巻返し",VLOOKUP(F1419&amp;K1419&amp;M1419,製品マスタ!$M$5:$AD$4999,18,FALSE),IF(J1419="リード付け","原反コア",IF(J1419="スリット",VLOOKUP(F1419&amp;K1419&amp;Q1419,製品マスタ!$N$5:$AD$4999,17,FALSE),"")))</f>
        <v>6ｲﾝﾁSｺｱ</v>
      </c>
      <c r="W1419" s="256">
        <f>IF(J1419="巻返し",VLOOKUP(F1419&amp;K1419&amp;M1419,製品マスタ!$M$5:$AE$4999,19,FALSE),IF(J1419="リード付け","-",IF(J1419="スリット",VLOOKUP(F1419&amp;K1419&amp;Q1419,製品マスタ!$N$5:$AE$4999,18,FALSE),"")))</f>
        <v>1015</v>
      </c>
      <c r="X1419" s="256">
        <f>IF(D1419="","",VLOOKUP(D1419,契約台帳!$A$3:$Q$4986,17,FALSE))</f>
        <v>2</v>
      </c>
      <c r="Y1419" s="256" t="str">
        <f>IF(D1419="","",VLOOKUP(D1419,契約台帳!$A$3:$E$4986,5,FALSE))</f>
        <v>リンテック㈱</v>
      </c>
      <c r="Z1419" s="310">
        <v>45400</v>
      </c>
      <c r="AA1419" s="200"/>
      <c r="AB1419" s="312"/>
      <c r="AC1419" s="313"/>
      <c r="AD1419" s="51" t="str">
        <f t="shared" ref="AD1419" si="90">IF(F1419="","",+F1419&amp;K1419)</f>
        <v>3SNMLBMNNGKBF25</v>
      </c>
      <c r="AE1419" s="52">
        <f t="shared" ref="AE1419" si="91">+M1419*N1419*O1419/1000</f>
        <v>8040</v>
      </c>
      <c r="AF1419" s="41">
        <f>IF(AD1419="","",VLOOKUP(AD1419,原価マスタ!$A$2:$AJ$1693,13,FALSE))</f>
        <v>98.3</v>
      </c>
      <c r="AG1419" s="45">
        <f t="shared" ref="AG1419" si="92">IF(AF1419="","",+AE1419*AF1419/100)</f>
        <v>7903.32</v>
      </c>
      <c r="AH1419" s="28"/>
      <c r="AI1419" s="28"/>
      <c r="AJ1419" s="28"/>
      <c r="AK1419" s="28"/>
      <c r="AL1419" s="12"/>
      <c r="AM1419" s="12"/>
      <c r="AN1419" s="12"/>
      <c r="AO1419" s="12"/>
      <c r="AP1419" s="12"/>
      <c r="AQ1419" s="13"/>
      <c r="AR1419" s="14"/>
    </row>
    <row r="1420" spans="1:44" s="16" customFormat="1" ht="30.95" hidden="1" customHeight="1" x14ac:dyDescent="0.2">
      <c r="A1420" s="303"/>
      <c r="B1420" s="304"/>
      <c r="C1420" s="305"/>
      <c r="D1420" s="29"/>
      <c r="E1420" s="29"/>
      <c r="F1420" s="255"/>
      <c r="G1420" s="256"/>
      <c r="H1420" s="256"/>
      <c r="I1420" s="200"/>
      <c r="J1420" s="30"/>
      <c r="K1420" s="200"/>
      <c r="L1420" s="200"/>
      <c r="M1420" s="37"/>
      <c r="N1420" s="37"/>
      <c r="O1420" s="45"/>
      <c r="P1420" s="54"/>
      <c r="Q1420" s="260"/>
      <c r="R1420" s="261"/>
      <c r="S1420" s="261"/>
      <c r="T1420" s="38"/>
      <c r="U1420" s="261"/>
      <c r="V1420" s="256"/>
      <c r="W1420" s="256"/>
      <c r="X1420" s="256"/>
      <c r="Y1420" s="256"/>
      <c r="Z1420" s="310"/>
      <c r="AA1420" s="200"/>
      <c r="AB1420" s="312"/>
      <c r="AC1420" s="313"/>
      <c r="AD1420" s="51"/>
      <c r="AE1420" s="52"/>
      <c r="AF1420" s="41"/>
      <c r="AG1420" s="45"/>
      <c r="AH1420" s="28"/>
      <c r="AI1420" s="28"/>
      <c r="AJ1420" s="28"/>
      <c r="AK1420" s="28"/>
      <c r="AL1420" s="12"/>
      <c r="AM1420" s="12"/>
      <c r="AN1420" s="12"/>
      <c r="AO1420" s="12"/>
      <c r="AP1420" s="12"/>
      <c r="AQ1420" s="13"/>
      <c r="AR1420" s="14"/>
    </row>
    <row r="1421" spans="1:44" s="16" customFormat="1" ht="30.95" hidden="1" customHeight="1" x14ac:dyDescent="0.2">
      <c r="A1421" s="303" t="s">
        <v>1045</v>
      </c>
      <c r="B1421" s="304" t="s">
        <v>688</v>
      </c>
      <c r="C1421" s="305"/>
      <c r="D1421" s="29">
        <v>3750070</v>
      </c>
      <c r="E1421" s="29">
        <v>4151650</v>
      </c>
      <c r="F1421" s="255" t="str">
        <f>IF(D1421="","",VLOOKUP(D1421,契約台帳!$A$3:$K$4986,6,FALSE)&amp;VLOOKUP(D1421,契約台帳!$A$3:$K$4986,7,FALSE)&amp;VLOOKUP(D1421,契約台帳!$A$3:$K$4986,8,FALSE)&amp;VLOOKUP(D1421,契約台帳!$A$3:$K$4986,9,FALSE)&amp;VLOOKUP(D1421,契約台帳!$A$3:$K$4986,11,FALSE))</f>
        <v>3SNMLBMNGTBF</v>
      </c>
      <c r="G1421" s="256" t="str">
        <f>IF(D1421="","",VLOOKUP(F1421,製品マスタ!$G$5:$H$4999,2,FALSE))</f>
        <v>S</v>
      </c>
      <c r="H1421" s="256" t="str">
        <f>IF(D1421="","",VLOOKUP(F1421,製品マスタ!$G$5:$K$4999,5,FALSE))</f>
        <v>MNGTBF</v>
      </c>
      <c r="I1421" s="200" t="str">
        <f>IF(D1421="","",VLOOKUP(F1421,製品マスタ!$G$5:$L$4999,6,FALSE))</f>
        <v>メタルミー　ネーマー　銀艶　Ｂ</v>
      </c>
      <c r="J1421" s="30" t="s">
        <v>447</v>
      </c>
      <c r="K1421" s="200">
        <f>IF(D1421="","",VLOOKUP(D1421,契約台帳!$A$3:$L$4986,12,FALSE))</f>
        <v>25</v>
      </c>
      <c r="L1421" s="200" t="str">
        <f>IF(D1421="","",INDEX(製品マスタ!$Q$5:$Q$4999,MATCH(F1421&amp;K1421,製品マスタ!$AO$5:$AO$4999,0)))</f>
        <v>T62M</v>
      </c>
      <c r="M1421" s="37">
        <v>1005</v>
      </c>
      <c r="N1421" s="37">
        <v>12100</v>
      </c>
      <c r="O1421" s="45">
        <v>2</v>
      </c>
      <c r="P1421" s="54"/>
      <c r="Q1421" s="260">
        <f>IF(D1421="","",IF(J1421="リード付け",M1421,VLOOKUP(D1421,契約台帳!$A$3:$N$4986,14,FALSE)))</f>
        <v>1005</v>
      </c>
      <c r="R1421" s="261">
        <f>IF(D1421="","",IF(J1421="リード付け",M1421,VLOOKUP(D1421,契約台帳!$A$3:$O$4986,15,FALSE)))</f>
        <v>1000</v>
      </c>
      <c r="S1421" s="261">
        <f>IF(D1421="","",IF(J1421="リード付け",N1421,VLOOKUP(D1421,契約台帳!$A$3:$P$4986,16,FALSE)))</f>
        <v>4000</v>
      </c>
      <c r="T1421" s="38">
        <v>6</v>
      </c>
      <c r="U1421" s="261">
        <f ca="1">IF(D1421="","",IF(OFFSET(D1421,-2,0)=D1421,"",VLOOKUP(D1421,契約台帳!$A$3:$R$4986,18,FALSE)))</f>
        <v>6</v>
      </c>
      <c r="V1421" s="256" t="str">
        <f>IF(J1421="巻返し",VLOOKUP(F1421&amp;K1421&amp;M1421,製品マスタ!$M$5:$AD$4999,18,FALSE),IF(J1421="リード付け","原反コア",IF(J1421="スリット",VLOOKUP(F1421&amp;K1421&amp;Q1421,製品マスタ!$N$5:$AD$4999,17,FALSE),"")))</f>
        <v>6ｲﾝﾁSｺｱ</v>
      </c>
      <c r="W1421" s="256">
        <f>IF(J1421="巻返し",VLOOKUP(F1421&amp;K1421&amp;M1421,製品マスタ!$M$5:$AE$4999,19,FALSE),IF(J1421="リード付け","-",IF(J1421="スリット",VLOOKUP(F1421&amp;K1421&amp;Q1421,製品マスタ!$N$5:$AE$4999,18,FALSE),"")))</f>
        <v>1015</v>
      </c>
      <c r="X1421" s="256">
        <f>IF(D1421="","",VLOOKUP(D1421,契約台帳!$A$3:$Q$4986,17,FALSE))</f>
        <v>2</v>
      </c>
      <c r="Y1421" s="256" t="str">
        <f>IF(D1421="","",VLOOKUP(D1421,契約台帳!$A$3:$E$4986,5,FALSE))</f>
        <v>リンテック㈱</v>
      </c>
      <c r="Z1421" s="310">
        <v>45401</v>
      </c>
      <c r="AA1421" s="200"/>
      <c r="AB1421" s="312"/>
      <c r="AC1421" s="313"/>
      <c r="AD1421" s="51" t="str">
        <f t="shared" si="0"/>
        <v>3SNMLBMNGTBF25</v>
      </c>
      <c r="AE1421" s="52">
        <f t="shared" si="1"/>
        <v>24321</v>
      </c>
      <c r="AF1421" s="41">
        <f>IF(AD1421="","",VLOOKUP(AD1421,原価マスタ!$A$2:$AJ$1693,13,FALSE))</f>
        <v>97.5</v>
      </c>
      <c r="AG1421" s="45">
        <f t="shared" si="2"/>
        <v>23712.974999999999</v>
      </c>
      <c r="AH1421" s="28"/>
      <c r="AI1421" s="28"/>
      <c r="AJ1421" s="28"/>
      <c r="AK1421" s="28"/>
      <c r="AL1421" s="12"/>
      <c r="AM1421" s="12"/>
      <c r="AN1421" s="12"/>
      <c r="AO1421" s="12"/>
      <c r="AP1421" s="12"/>
      <c r="AQ1421" s="13"/>
      <c r="AR1421" s="14"/>
    </row>
    <row r="1422" spans="1:44" s="16" customFormat="1" ht="30.95" hidden="1" customHeight="1" x14ac:dyDescent="0.2">
      <c r="A1422" s="303"/>
      <c r="B1422" s="304"/>
      <c r="C1422" s="305"/>
      <c r="D1422" s="29"/>
      <c r="E1422" s="29"/>
      <c r="F1422" s="255"/>
      <c r="G1422" s="256"/>
      <c r="H1422" s="256"/>
      <c r="I1422" s="200"/>
      <c r="J1422" s="30"/>
      <c r="K1422" s="200"/>
      <c r="L1422" s="200"/>
      <c r="M1422" s="37"/>
      <c r="N1422" s="37"/>
      <c r="O1422" s="45"/>
      <c r="P1422" s="54"/>
      <c r="Q1422" s="260"/>
      <c r="R1422" s="261"/>
      <c r="S1422" s="261"/>
      <c r="T1422" s="38"/>
      <c r="U1422" s="261"/>
      <c r="V1422" s="256"/>
      <c r="W1422" s="256"/>
      <c r="X1422" s="256"/>
      <c r="Y1422" s="256"/>
      <c r="Z1422" s="310"/>
      <c r="AA1422" s="200"/>
      <c r="AB1422" s="312"/>
      <c r="AC1422" s="313"/>
      <c r="AD1422" s="51"/>
      <c r="AE1422" s="52"/>
      <c r="AF1422" s="41"/>
      <c r="AG1422" s="45"/>
      <c r="AH1422" s="28"/>
      <c r="AI1422" s="28"/>
      <c r="AJ1422" s="28"/>
      <c r="AK1422" s="28"/>
      <c r="AL1422" s="12"/>
      <c r="AM1422" s="12"/>
      <c r="AN1422" s="12"/>
      <c r="AO1422" s="12"/>
      <c r="AP1422" s="12"/>
      <c r="AQ1422" s="13"/>
      <c r="AR1422" s="14"/>
    </row>
    <row r="1423" spans="1:44" s="16" customFormat="1" ht="30.95" hidden="1" customHeight="1" x14ac:dyDescent="0.2">
      <c r="A1423" s="303"/>
      <c r="B1423" s="304"/>
      <c r="C1423" s="305"/>
      <c r="D1423" s="29">
        <v>3750066</v>
      </c>
      <c r="E1423" s="29">
        <v>4151626</v>
      </c>
      <c r="F1423" s="255" t="str">
        <f>IF(D1423="","",VLOOKUP(D1423,契約台帳!$A$3:$K$4986,6,FALSE)&amp;VLOOKUP(D1423,契約台帳!$A$3:$K$4986,7,FALSE)&amp;VLOOKUP(D1423,契約台帳!$A$3:$K$4986,8,FALSE)&amp;VLOOKUP(D1423,契約台帳!$A$3:$K$4986,9,FALSE)&amp;VLOOKUP(D1423,契約台帳!$A$3:$K$4986,11,FALSE))</f>
        <v>3SNMLBMNGKKBF</v>
      </c>
      <c r="G1423" s="256" t="str">
        <f>IF(D1423="","",VLOOKUP(F1423,製品マスタ!$G$5:$H$4999,2,FALSE))</f>
        <v>S</v>
      </c>
      <c r="H1423" s="256" t="str">
        <f>IF(D1423="","",VLOOKUP(F1423,製品マスタ!$G$5:$K$4999,5,FALSE))</f>
        <v>MNGKKBF</v>
      </c>
      <c r="I1423" s="200" t="str">
        <f>IF(D1423="","",VLOOKUP(F1423,製品マスタ!$G$5:$L$4999,6,FALSE))</f>
        <v>メタルミー　ネーマー銀消改　Ｂ</v>
      </c>
      <c r="J1423" s="30" t="s">
        <v>447</v>
      </c>
      <c r="K1423" s="200">
        <f>IF(D1423="","",VLOOKUP(D1423,契約台帳!$A$3:$L$4986,12,FALSE))</f>
        <v>50</v>
      </c>
      <c r="L1423" s="200" t="str">
        <f>IF(D1423="","",INDEX(製品マスタ!$Q$5:$Q$4999,MATCH(F1423&amp;K1423,製品マスタ!$AO$5:$AO$4999,0)))</f>
        <v>S99-MAT</v>
      </c>
      <c r="M1423" s="37">
        <v>1120</v>
      </c>
      <c r="N1423" s="37">
        <v>12000</v>
      </c>
      <c r="O1423" s="45">
        <v>4</v>
      </c>
      <c r="P1423" s="54"/>
      <c r="Q1423" s="260">
        <f>IF(D1423="","",IF(J1423="リード付け",M1423,VLOOKUP(D1423,契約台帳!$A$3:$N$4986,14,FALSE)))</f>
        <v>1120</v>
      </c>
      <c r="R1423" s="261">
        <f>IF(D1423="","",IF(J1423="リード付け",M1423,VLOOKUP(D1423,契約台帳!$A$3:$O$4986,15,FALSE)))</f>
        <v>1120</v>
      </c>
      <c r="S1423" s="261">
        <f>IF(D1423="","",IF(J1423="リード付け",N1423,VLOOKUP(D1423,契約台帳!$A$3:$P$4986,16,FALSE)))</f>
        <v>4000</v>
      </c>
      <c r="T1423" s="38">
        <v>12</v>
      </c>
      <c r="U1423" s="261">
        <f ca="1">IF(D1423="","",IF(OFFSET(D1423,-2,0)=D1423,"",VLOOKUP(D1423,契約台帳!$A$3:$R$4986,18,FALSE)))</f>
        <v>30</v>
      </c>
      <c r="V1423" s="256" t="str">
        <f>IF(J1423="巻返し",VLOOKUP(F1423&amp;K1423&amp;M1423,製品マスタ!$M$5:$AD$4999,18,FALSE),IF(J1423="リード付け","原反コア",IF(J1423="スリット",VLOOKUP(F1423&amp;K1423&amp;Q1423,製品マスタ!$N$5:$AD$4999,17,FALSE),"")))</f>
        <v>6ｲﾝﾁSｺｱ</v>
      </c>
      <c r="W1423" s="256">
        <f>IF(J1423="巻返し",VLOOKUP(F1423&amp;K1423&amp;M1423,製品マスタ!$M$5:$AE$4999,19,FALSE),IF(J1423="リード付け","-",IF(J1423="スリット",VLOOKUP(F1423&amp;K1423&amp;Q1423,製品マスタ!$N$5:$AE$4999,18,FALSE),"")))</f>
        <v>1125</v>
      </c>
      <c r="X1423" s="256">
        <f>IF(D1423="","",VLOOKUP(D1423,契約台帳!$A$3:$Q$4986,17,FALSE))</f>
        <v>2</v>
      </c>
      <c r="Y1423" s="256" t="str">
        <f>IF(D1423="","",VLOOKUP(D1423,契約台帳!$A$3:$E$4986,5,FALSE))</f>
        <v>リンテック㈱</v>
      </c>
      <c r="Z1423" s="310">
        <v>45401</v>
      </c>
      <c r="AA1423" s="200"/>
      <c r="AB1423" s="312"/>
      <c r="AC1423" s="313"/>
      <c r="AD1423" s="51" t="str">
        <f t="shared" si="0"/>
        <v>3SNMLBMNGKKBF50</v>
      </c>
      <c r="AE1423" s="52">
        <f t="shared" si="1"/>
        <v>53760</v>
      </c>
      <c r="AF1423" s="41">
        <f>IF(AD1423="","",VLOOKUP(AD1423,原価マスタ!$A$2:$AJ$1693,13,FALSE))</f>
        <v>99</v>
      </c>
      <c r="AG1423" s="45">
        <f t="shared" si="2"/>
        <v>53222.400000000001</v>
      </c>
      <c r="AH1423" s="28"/>
      <c r="AI1423" s="28"/>
      <c r="AJ1423" s="28"/>
      <c r="AK1423" s="28"/>
      <c r="AL1423" s="12"/>
      <c r="AM1423" s="12"/>
      <c r="AN1423" s="12"/>
      <c r="AO1423" s="12"/>
      <c r="AP1423" s="12"/>
      <c r="AQ1423" s="13"/>
      <c r="AR1423" s="14"/>
    </row>
    <row r="1424" spans="1:44" s="16" customFormat="1" ht="30.95" hidden="1" customHeight="1" x14ac:dyDescent="0.2">
      <c r="A1424" s="303"/>
      <c r="B1424" s="304"/>
      <c r="C1424" s="305"/>
      <c r="D1424" s="29"/>
      <c r="E1424" s="29"/>
      <c r="F1424" s="255"/>
      <c r="G1424" s="256"/>
      <c r="H1424" s="256"/>
      <c r="I1424" s="200"/>
      <c r="J1424" s="30"/>
      <c r="K1424" s="200"/>
      <c r="L1424" s="200"/>
      <c r="M1424" s="37"/>
      <c r="N1424" s="37"/>
      <c r="O1424" s="45"/>
      <c r="P1424" s="54"/>
      <c r="Q1424" s="260"/>
      <c r="R1424" s="261"/>
      <c r="S1424" s="261"/>
      <c r="T1424" s="38"/>
      <c r="U1424" s="261"/>
      <c r="V1424" s="256"/>
      <c r="W1424" s="256"/>
      <c r="X1424" s="256"/>
      <c r="Y1424" s="256"/>
      <c r="Z1424" s="310"/>
      <c r="AA1424" s="200"/>
      <c r="AB1424" s="312"/>
      <c r="AC1424" s="313"/>
      <c r="AD1424" s="51"/>
      <c r="AE1424" s="52"/>
      <c r="AF1424" s="41"/>
      <c r="AG1424" s="45"/>
      <c r="AH1424" s="28"/>
      <c r="AI1424" s="28"/>
      <c r="AJ1424" s="28"/>
      <c r="AK1424" s="28"/>
      <c r="AL1424" s="12"/>
      <c r="AM1424" s="12"/>
      <c r="AN1424" s="12"/>
      <c r="AO1424" s="12"/>
      <c r="AP1424" s="12"/>
      <c r="AQ1424" s="13"/>
      <c r="AR1424" s="14"/>
    </row>
    <row r="1425" spans="1:44" s="16" customFormat="1" ht="30.95" hidden="1" customHeight="1" x14ac:dyDescent="0.2">
      <c r="A1425" s="303" t="s">
        <v>1056</v>
      </c>
      <c r="B1425" s="304" t="s">
        <v>442</v>
      </c>
      <c r="C1425" s="305"/>
      <c r="D1425" s="29">
        <v>3750066</v>
      </c>
      <c r="E1425" s="29">
        <v>4151626</v>
      </c>
      <c r="F1425" s="255" t="str">
        <f>IF(D1425="","",VLOOKUP(D1425,契約台帳!$A$3:$K$4986,6,FALSE)&amp;VLOOKUP(D1425,契約台帳!$A$3:$K$4986,7,FALSE)&amp;VLOOKUP(D1425,契約台帳!$A$3:$K$4986,8,FALSE)&amp;VLOOKUP(D1425,契約台帳!$A$3:$K$4986,9,FALSE)&amp;VLOOKUP(D1425,契約台帳!$A$3:$K$4986,11,FALSE))</f>
        <v>3SNMLBMNGKKBF</v>
      </c>
      <c r="G1425" s="256" t="str">
        <f>IF(D1425="","",VLOOKUP(F1425,製品マスタ!$G$5:$H$4999,2,FALSE))</f>
        <v>S</v>
      </c>
      <c r="H1425" s="256" t="str">
        <f>IF(D1425="","",VLOOKUP(F1425,製品マスタ!$G$5:$K$4999,5,FALSE))</f>
        <v>MNGKKBF</v>
      </c>
      <c r="I1425" s="200" t="str">
        <f>IF(D1425="","",VLOOKUP(F1425,製品マスタ!$G$5:$L$4999,6,FALSE))</f>
        <v>メタルミー　ネーマー銀消改　Ｂ</v>
      </c>
      <c r="J1425" s="30" t="s">
        <v>447</v>
      </c>
      <c r="K1425" s="200">
        <f>IF(D1425="","",VLOOKUP(D1425,契約台帳!$A$3:$L$4986,12,FALSE))</f>
        <v>50</v>
      </c>
      <c r="L1425" s="200" t="str">
        <f>IF(D1425="","",INDEX(製品マスタ!$Q$5:$Q$4999,MATCH(F1425&amp;K1425,製品マスタ!$AO$5:$AO$4999,0)))</f>
        <v>S99-MAT</v>
      </c>
      <c r="M1425" s="37">
        <v>1120</v>
      </c>
      <c r="N1425" s="37">
        <v>12000</v>
      </c>
      <c r="O1425" s="45">
        <v>6</v>
      </c>
      <c r="P1425" s="54"/>
      <c r="Q1425" s="260">
        <f>IF(D1425="","",IF(J1425="リード付け",M1425,VLOOKUP(D1425,契約台帳!$A$3:$N$4986,14,FALSE)))</f>
        <v>1120</v>
      </c>
      <c r="R1425" s="261">
        <f>IF(D1425="","",IF(J1425="リード付け",M1425,VLOOKUP(D1425,契約台帳!$A$3:$O$4986,15,FALSE)))</f>
        <v>1120</v>
      </c>
      <c r="S1425" s="261">
        <f>IF(D1425="","",IF(J1425="リード付け",N1425,VLOOKUP(D1425,契約台帳!$A$3:$P$4986,16,FALSE)))</f>
        <v>4000</v>
      </c>
      <c r="T1425" s="38">
        <v>18</v>
      </c>
      <c r="U1425" s="261" t="str">
        <f ca="1">IF(D1425="","",IF(OFFSET(D1425,-2,0)=D1425,"",VLOOKUP(D1425,契約台帳!$A$3:$R$4986,18,FALSE)))</f>
        <v/>
      </c>
      <c r="V1425" s="256" t="str">
        <f>IF(J1425="巻返し",VLOOKUP(F1425&amp;K1425&amp;M1425,製品マスタ!$M$5:$AD$4999,18,FALSE),IF(J1425="リード付け","原反コア",IF(J1425="スリット",VLOOKUP(F1425&amp;K1425&amp;Q1425,製品マスタ!$N$5:$AD$4999,17,FALSE),"")))</f>
        <v>6ｲﾝﾁSｺｱ</v>
      </c>
      <c r="W1425" s="256">
        <f>IF(J1425="巻返し",VLOOKUP(F1425&amp;K1425&amp;M1425,製品マスタ!$M$5:$AE$4999,19,FALSE),IF(J1425="リード付け","-",IF(J1425="スリット",VLOOKUP(F1425&amp;K1425&amp;Q1425,製品マスタ!$N$5:$AE$4999,18,FALSE),"")))</f>
        <v>1125</v>
      </c>
      <c r="X1425" s="256">
        <f>IF(D1425="","",VLOOKUP(D1425,契約台帳!$A$3:$Q$4986,17,FALSE))</f>
        <v>2</v>
      </c>
      <c r="Y1425" s="256" t="str">
        <f>IF(D1425="","",VLOOKUP(D1425,契約台帳!$A$3:$E$4986,5,FALSE))</f>
        <v>リンテック㈱</v>
      </c>
      <c r="Z1425" s="310">
        <v>45405</v>
      </c>
      <c r="AA1425" s="200"/>
      <c r="AB1425" s="312"/>
      <c r="AC1425" s="313"/>
      <c r="AD1425" s="51" t="str">
        <f t="shared" si="0"/>
        <v>3SNMLBMNGKKBF50</v>
      </c>
      <c r="AE1425" s="52">
        <f t="shared" si="1"/>
        <v>80640</v>
      </c>
      <c r="AF1425" s="41">
        <f>IF(AD1425="","",VLOOKUP(AD1425,原価マスタ!$A$2:$AJ$1693,13,FALSE))</f>
        <v>99</v>
      </c>
      <c r="AG1425" s="45">
        <f t="shared" si="2"/>
        <v>79833.600000000006</v>
      </c>
      <c r="AH1425" s="28"/>
      <c r="AI1425" s="28"/>
      <c r="AJ1425" s="28"/>
      <c r="AK1425" s="28"/>
      <c r="AL1425" s="12"/>
      <c r="AM1425" s="12"/>
      <c r="AN1425" s="12"/>
      <c r="AO1425" s="12"/>
      <c r="AP1425" s="12"/>
      <c r="AQ1425" s="13"/>
      <c r="AR1425" s="14"/>
    </row>
    <row r="1426" spans="1:44" s="16" customFormat="1" ht="30.95" hidden="1" customHeight="1" x14ac:dyDescent="0.2">
      <c r="A1426" s="303"/>
      <c r="B1426" s="304"/>
      <c r="C1426" s="305"/>
      <c r="D1426" s="29"/>
      <c r="E1426" s="29"/>
      <c r="F1426" s="255"/>
      <c r="G1426" s="256"/>
      <c r="H1426" s="256"/>
      <c r="I1426" s="200"/>
      <c r="J1426" s="30"/>
      <c r="K1426" s="200"/>
      <c r="L1426" s="200"/>
      <c r="M1426" s="37"/>
      <c r="N1426" s="37"/>
      <c r="O1426" s="45"/>
      <c r="P1426" s="54"/>
      <c r="Q1426" s="260"/>
      <c r="R1426" s="261"/>
      <c r="S1426" s="261"/>
      <c r="T1426" s="38"/>
      <c r="U1426" s="261"/>
      <c r="V1426" s="256"/>
      <c r="W1426" s="256"/>
      <c r="X1426" s="256"/>
      <c r="Y1426" s="256"/>
      <c r="Z1426" s="310"/>
      <c r="AA1426" s="200"/>
      <c r="AB1426" s="312"/>
      <c r="AC1426" s="313"/>
      <c r="AD1426" s="51"/>
      <c r="AE1426" s="52"/>
      <c r="AF1426" s="41"/>
      <c r="AG1426" s="45"/>
      <c r="AH1426" s="28"/>
      <c r="AI1426" s="28"/>
      <c r="AJ1426" s="28"/>
      <c r="AK1426" s="28"/>
      <c r="AL1426" s="12"/>
      <c r="AM1426" s="12"/>
      <c r="AN1426" s="12"/>
      <c r="AO1426" s="12"/>
      <c r="AP1426" s="12"/>
      <c r="AQ1426" s="13"/>
      <c r="AR1426" s="14"/>
    </row>
    <row r="1427" spans="1:44" s="16" customFormat="1" ht="30.95" hidden="1" customHeight="1" x14ac:dyDescent="0.2">
      <c r="A1427" s="303" t="s">
        <v>1059</v>
      </c>
      <c r="B1427" s="304" t="s">
        <v>443</v>
      </c>
      <c r="C1427" s="305"/>
      <c r="D1427" s="29"/>
      <c r="E1427" s="29"/>
      <c r="F1427" s="255"/>
      <c r="G1427" s="256"/>
      <c r="H1427" s="256"/>
      <c r="I1427" s="279" t="s">
        <v>2752</v>
      </c>
      <c r="J1427" s="30"/>
      <c r="K1427" s="200"/>
      <c r="L1427" s="200"/>
      <c r="M1427" s="37"/>
      <c r="N1427" s="37"/>
      <c r="O1427" s="45"/>
      <c r="P1427" s="54"/>
      <c r="Q1427" s="260"/>
      <c r="R1427" s="261"/>
      <c r="S1427" s="261"/>
      <c r="T1427" s="38"/>
      <c r="U1427" s="261"/>
      <c r="V1427" s="256"/>
      <c r="W1427" s="256"/>
      <c r="X1427" s="256"/>
      <c r="Y1427" s="256"/>
      <c r="Z1427" s="310"/>
      <c r="AA1427" s="200"/>
      <c r="AB1427" s="312"/>
      <c r="AC1427" s="313"/>
      <c r="AD1427" s="51"/>
      <c r="AE1427" s="52"/>
      <c r="AF1427" s="41"/>
      <c r="AG1427" s="45"/>
      <c r="AH1427" s="28"/>
      <c r="AI1427" s="28"/>
      <c r="AJ1427" s="28"/>
      <c r="AK1427" s="28"/>
      <c r="AL1427" s="12"/>
      <c r="AM1427" s="12"/>
      <c r="AN1427" s="12"/>
      <c r="AO1427" s="12"/>
      <c r="AP1427" s="12"/>
      <c r="AQ1427" s="13"/>
      <c r="AR1427" s="14"/>
    </row>
    <row r="1428" spans="1:44" s="16" customFormat="1" ht="30.95" hidden="1" customHeight="1" x14ac:dyDescent="0.2">
      <c r="A1428" s="303"/>
      <c r="B1428" s="304"/>
      <c r="C1428" s="305"/>
      <c r="D1428" s="29"/>
      <c r="E1428" s="29"/>
      <c r="F1428" s="255"/>
      <c r="G1428" s="256"/>
      <c r="H1428" s="256"/>
      <c r="I1428" s="200"/>
      <c r="J1428" s="30"/>
      <c r="K1428" s="200"/>
      <c r="L1428" s="200"/>
      <c r="M1428" s="37"/>
      <c r="N1428" s="37"/>
      <c r="O1428" s="45"/>
      <c r="P1428" s="54"/>
      <c r="Q1428" s="260"/>
      <c r="R1428" s="261"/>
      <c r="S1428" s="261"/>
      <c r="T1428" s="38"/>
      <c r="U1428" s="261"/>
      <c r="V1428" s="256"/>
      <c r="W1428" s="256"/>
      <c r="X1428" s="256"/>
      <c r="Y1428" s="256"/>
      <c r="Z1428" s="310"/>
      <c r="AA1428" s="200"/>
      <c r="AB1428" s="312"/>
      <c r="AC1428" s="313"/>
      <c r="AD1428" s="51"/>
      <c r="AE1428" s="52"/>
      <c r="AF1428" s="41"/>
      <c r="AG1428" s="45"/>
      <c r="AH1428" s="28"/>
      <c r="AI1428" s="28"/>
      <c r="AJ1428" s="28"/>
      <c r="AK1428" s="28"/>
      <c r="AL1428" s="12"/>
      <c r="AM1428" s="12"/>
      <c r="AN1428" s="12"/>
      <c r="AO1428" s="12"/>
      <c r="AP1428" s="12"/>
      <c r="AQ1428" s="13"/>
      <c r="AR1428" s="14"/>
    </row>
    <row r="1429" spans="1:44" s="16" customFormat="1" ht="30.95" hidden="1" customHeight="1" x14ac:dyDescent="0.2">
      <c r="A1429" s="303"/>
      <c r="B1429" s="304"/>
      <c r="C1429" s="305"/>
      <c r="D1429" s="29">
        <v>3750085</v>
      </c>
      <c r="E1429" s="29">
        <v>4151630</v>
      </c>
      <c r="F1429" s="255" t="str">
        <f>IF(D1429="","",VLOOKUP(D1429,契約台帳!$A$3:$K$4986,6,FALSE)&amp;VLOOKUP(D1429,契約台帳!$A$3:$K$4986,7,FALSE)&amp;VLOOKUP(D1429,契約台帳!$A$3:$K$4986,8,FALSE)&amp;VLOOKUP(D1429,契約台帳!$A$3:$K$4986,9,FALSE)&amp;VLOOKUP(D1429,契約台帳!$A$3:$K$4986,11,FALSE))</f>
        <v>3SYMLBMSBBF</v>
      </c>
      <c r="G1429" s="256" t="str">
        <f>IF(D1429="","",VLOOKUP(F1429,製品マスタ!$G$5:$H$4999,2,FALSE))</f>
        <v>S</v>
      </c>
      <c r="H1429" s="256" t="str">
        <f>IF(D1429="","",VLOOKUP(F1429,製品マスタ!$G$5:$K$4999,5,FALSE))</f>
        <v>MSBBF</v>
      </c>
      <c r="I1429" s="200" t="str">
        <f>IF(D1429="","",VLOOKUP(F1429,製品マスタ!$G$5:$L$4999,6,FALSE))</f>
        <v>ＭＥＴＡＬＵＭＹ　ＳＩＬＶＥＲ　ＢＲＩＧＨＴ　Ｔ６２Ｍ　Ｂ</v>
      </c>
      <c r="J1429" s="30" t="s">
        <v>447</v>
      </c>
      <c r="K1429" s="200">
        <f>IF(D1429="","",VLOOKUP(D1429,契約台帳!$A$3:$L$4986,12,FALSE))</f>
        <v>25</v>
      </c>
      <c r="L1429" s="200" t="str">
        <f>IF(D1429="","",INDEX(製品マスタ!$Q$5:$Q$4999,MATCH(F1429&amp;K1429,製品マスタ!$AO$5:$AO$4999,0)))</f>
        <v>T62</v>
      </c>
      <c r="M1429" s="37">
        <v>1120</v>
      </c>
      <c r="N1429" s="37">
        <v>8000</v>
      </c>
      <c r="O1429" s="45">
        <v>1</v>
      </c>
      <c r="P1429" s="54"/>
      <c r="Q1429" s="260">
        <f>IF(D1429="","",IF(J1429="リード付け",M1429,VLOOKUP(D1429,契約台帳!$A$3:$N$4986,14,FALSE)))</f>
        <v>1120</v>
      </c>
      <c r="R1429" s="261">
        <f>IF(D1429="","",IF(J1429="リード付け",M1429,VLOOKUP(D1429,契約台帳!$A$3:$O$4986,15,FALSE)))</f>
        <v>1120</v>
      </c>
      <c r="S1429" s="261">
        <f>IF(D1429="","",IF(J1429="リード付け",N1429,VLOOKUP(D1429,契約台帳!$A$3:$P$4986,16,FALSE)))</f>
        <v>8000</v>
      </c>
      <c r="T1429" s="38">
        <v>1</v>
      </c>
      <c r="U1429" s="261">
        <f ca="1">IF(D1429="","",IF(OFFSET(D1429,-2,0)=D1429,"",VLOOKUP(D1429,契約台帳!$A$3:$R$4986,18,FALSE)))</f>
        <v>1</v>
      </c>
      <c r="V1429" s="256" t="str">
        <f>IF(J1429="巻返し",VLOOKUP(F1429&amp;K1429&amp;M1429,製品マスタ!$M$5:$AD$4999,18,FALSE),IF(J1429="リード付け","原反コア",IF(J1429="スリット",VLOOKUP(F1429&amp;K1429&amp;Q1429,製品マスタ!$N$5:$AD$4999,17,FALSE),"")))</f>
        <v>6ｲﾝﾁSｺｱ</v>
      </c>
      <c r="W1429" s="256">
        <f>IF(J1429="巻返し",VLOOKUP(F1429&amp;K1429&amp;M1429,製品マスタ!$M$5:$AE$4999,19,FALSE),IF(J1429="リード付け","-",IF(J1429="スリット",VLOOKUP(F1429&amp;K1429&amp;Q1429,製品マスタ!$N$5:$AE$4999,18,FALSE),"")))</f>
        <v>1125</v>
      </c>
      <c r="X1429" s="256">
        <f>IF(D1429="","",VLOOKUP(D1429,契約台帳!$A$3:$Q$4986,17,FALSE))</f>
        <v>2</v>
      </c>
      <c r="Y1429" s="256" t="str">
        <f>IF(D1429="","",VLOOKUP(D1429,契約台帳!$A$3:$E$4986,5,FALSE))</f>
        <v>リンテック㈱</v>
      </c>
      <c r="Z1429" s="310">
        <v>45405</v>
      </c>
      <c r="AA1429" s="200"/>
      <c r="AB1429" s="312"/>
      <c r="AC1429" s="313"/>
      <c r="AD1429" s="51" t="str">
        <f t="shared" si="0"/>
        <v>3SYMLBMSBBF25</v>
      </c>
      <c r="AE1429" s="52">
        <f t="shared" si="1"/>
        <v>8960</v>
      </c>
      <c r="AF1429" s="41">
        <f>IF(AD1429="","",VLOOKUP(AD1429,原価マスタ!$A$2:$AJ$1693,13,FALSE))</f>
        <v>97.5</v>
      </c>
      <c r="AG1429" s="45">
        <f t="shared" si="2"/>
        <v>8736</v>
      </c>
      <c r="AH1429" s="28"/>
      <c r="AI1429" s="28"/>
      <c r="AJ1429" s="28"/>
      <c r="AK1429" s="28"/>
      <c r="AL1429" s="12"/>
      <c r="AM1429" s="12"/>
      <c r="AN1429" s="12"/>
      <c r="AO1429" s="12"/>
      <c r="AP1429" s="12"/>
      <c r="AQ1429" s="13"/>
      <c r="AR1429" s="14"/>
    </row>
    <row r="1430" spans="1:44" s="16" customFormat="1" ht="30.95" hidden="1" customHeight="1" x14ac:dyDescent="0.2">
      <c r="A1430" s="303"/>
      <c r="B1430" s="304"/>
      <c r="C1430" s="305"/>
      <c r="D1430" s="29"/>
      <c r="E1430" s="29"/>
      <c r="F1430" s="255"/>
      <c r="G1430" s="256"/>
      <c r="H1430" s="256"/>
      <c r="I1430" s="200"/>
      <c r="J1430" s="30"/>
      <c r="K1430" s="200"/>
      <c r="L1430" s="200"/>
      <c r="M1430" s="37"/>
      <c r="N1430" s="37"/>
      <c r="O1430" s="45"/>
      <c r="P1430" s="54"/>
      <c r="Q1430" s="260"/>
      <c r="R1430" s="261"/>
      <c r="S1430" s="261"/>
      <c r="T1430" s="38"/>
      <c r="U1430" s="261"/>
      <c r="V1430" s="256"/>
      <c r="W1430" s="256"/>
      <c r="X1430" s="256"/>
      <c r="Y1430" s="256"/>
      <c r="Z1430" s="310"/>
      <c r="AA1430" s="200"/>
      <c r="AB1430" s="312"/>
      <c r="AC1430" s="313"/>
      <c r="AD1430" s="51"/>
      <c r="AE1430" s="52"/>
      <c r="AF1430" s="41"/>
      <c r="AG1430" s="45"/>
      <c r="AH1430" s="28"/>
      <c r="AI1430" s="28"/>
      <c r="AJ1430" s="28"/>
      <c r="AK1430" s="28"/>
      <c r="AL1430" s="12"/>
      <c r="AM1430" s="12"/>
      <c r="AN1430" s="12"/>
      <c r="AO1430" s="12"/>
      <c r="AP1430" s="12"/>
      <c r="AQ1430" s="13"/>
      <c r="AR1430" s="14"/>
    </row>
    <row r="1431" spans="1:44" s="16" customFormat="1" ht="30.95" hidden="1" customHeight="1" x14ac:dyDescent="0.2">
      <c r="A1431" s="303"/>
      <c r="B1431" s="304"/>
      <c r="C1431" s="305"/>
      <c r="D1431" s="29">
        <v>3750091</v>
      </c>
      <c r="E1431" s="29">
        <v>4152630</v>
      </c>
      <c r="F1431" s="255" t="str">
        <f>IF(D1431="","",VLOOKUP(D1431,契約台帳!$A$3:$K$4986,6,FALSE)&amp;VLOOKUP(D1431,契約台帳!$A$3:$K$4986,7,FALSE)&amp;VLOOKUP(D1431,契約台帳!$A$3:$K$4986,8,FALSE)&amp;VLOOKUP(D1431,契約台帳!$A$3:$K$4986,9,FALSE)&amp;VLOOKUP(D1431,契約台帳!$A$3:$K$4986,11,FALSE))</f>
        <v>3SYMLBMSBBF</v>
      </c>
      <c r="G1431" s="256" t="str">
        <f>IF(D1431="","",VLOOKUP(F1431,製品マスタ!$G$5:$H$4999,2,FALSE))</f>
        <v>S</v>
      </c>
      <c r="H1431" s="256" t="str">
        <f>IF(D1431="","",VLOOKUP(F1431,製品マスタ!$G$5:$K$4999,5,FALSE))</f>
        <v>MSBBF</v>
      </c>
      <c r="I1431" s="200" t="str">
        <f>IF(D1431="","",VLOOKUP(F1431,製品マスタ!$G$5:$L$4999,6,FALSE))</f>
        <v>ＭＥＴＡＬＵＭＹ　ＳＩＬＶＥＲ　ＢＲＩＧＨＴ　Ｔ６２Ｍ　Ｂ</v>
      </c>
      <c r="J1431" s="30" t="s">
        <v>447</v>
      </c>
      <c r="K1431" s="200">
        <f>IF(D1431="","",VLOOKUP(D1431,契約台帳!$A$3:$L$4986,12,FALSE))</f>
        <v>25</v>
      </c>
      <c r="L1431" s="200" t="str">
        <f>IF(D1431="","",INDEX(製品マスタ!$Q$5:$Q$4999,MATCH(F1431&amp;K1431,製品マスタ!$AO$5:$AO$4999,0)))</f>
        <v>T62</v>
      </c>
      <c r="M1431" s="37">
        <v>1120</v>
      </c>
      <c r="N1431" s="37">
        <v>8000</v>
      </c>
      <c r="O1431" s="45">
        <v>1</v>
      </c>
      <c r="P1431" s="54"/>
      <c r="Q1431" s="260">
        <f>IF(D1431="","",IF(J1431="リード付け",M1431,VLOOKUP(D1431,契約台帳!$A$3:$N$4986,14,FALSE)))</f>
        <v>1120</v>
      </c>
      <c r="R1431" s="261">
        <f>IF(D1431="","",IF(J1431="リード付け",M1431,VLOOKUP(D1431,契約台帳!$A$3:$O$4986,15,FALSE)))</f>
        <v>1120</v>
      </c>
      <c r="S1431" s="261">
        <f>IF(D1431="","",IF(J1431="リード付け",N1431,VLOOKUP(D1431,契約台帳!$A$3:$P$4986,16,FALSE)))</f>
        <v>8000</v>
      </c>
      <c r="T1431" s="38">
        <v>1</v>
      </c>
      <c r="U1431" s="261">
        <f ca="1">IF(D1431="","",IF(OFFSET(D1431,-2,0)=D1431,"",VLOOKUP(D1431,契約台帳!$A$3:$R$4986,18,FALSE)))</f>
        <v>1</v>
      </c>
      <c r="V1431" s="256" t="str">
        <f>IF(J1431="巻返し",VLOOKUP(F1431&amp;K1431&amp;M1431,製品マスタ!$M$5:$AD$4999,18,FALSE),IF(J1431="リード付け","原反コア",IF(J1431="スリット",VLOOKUP(F1431&amp;K1431&amp;Q1431,製品マスタ!$N$5:$AD$4999,17,FALSE),"")))</f>
        <v>6ｲﾝﾁSｺｱ</v>
      </c>
      <c r="W1431" s="256">
        <f>IF(J1431="巻返し",VLOOKUP(F1431&amp;K1431&amp;M1431,製品マスタ!$M$5:$AE$4999,19,FALSE),IF(J1431="リード付け","-",IF(J1431="スリット",VLOOKUP(F1431&amp;K1431&amp;Q1431,製品マスタ!$N$5:$AE$4999,18,FALSE),"")))</f>
        <v>1125</v>
      </c>
      <c r="X1431" s="256">
        <f>IF(D1431="","",VLOOKUP(D1431,契約台帳!$A$3:$Q$4986,17,FALSE))</f>
        <v>2</v>
      </c>
      <c r="Y1431" s="256" t="str">
        <f>IF(D1431="","",VLOOKUP(D1431,契約台帳!$A$3:$E$4986,5,FALSE))</f>
        <v>リンテック㈱</v>
      </c>
      <c r="Z1431" s="310">
        <v>45405</v>
      </c>
      <c r="AA1431" s="200"/>
      <c r="AB1431" s="312"/>
      <c r="AC1431" s="313"/>
      <c r="AD1431" s="51" t="str">
        <f t="shared" ref="AD1431:AD1554" si="93">IF(F1431="","",+F1431&amp;K1431)</f>
        <v>3SYMLBMSBBF25</v>
      </c>
      <c r="AE1431" s="52">
        <f t="shared" ref="AE1431:AE1554" si="94">+M1431*N1431*O1431/1000</f>
        <v>8960</v>
      </c>
      <c r="AF1431" s="41">
        <f>IF(AD1431="","",VLOOKUP(AD1431,原価マスタ!$A$2:$AJ$1693,13,FALSE))</f>
        <v>97.5</v>
      </c>
      <c r="AG1431" s="45">
        <f t="shared" ref="AG1431:AG1554" si="95">IF(AF1431="","",+AE1431*AF1431/100)</f>
        <v>8736</v>
      </c>
      <c r="AH1431" s="28"/>
      <c r="AI1431" s="28"/>
      <c r="AJ1431" s="28"/>
      <c r="AK1431" s="28"/>
      <c r="AL1431" s="12"/>
      <c r="AM1431" s="12"/>
      <c r="AN1431" s="12"/>
      <c r="AO1431" s="12"/>
      <c r="AP1431" s="12"/>
      <c r="AQ1431" s="13"/>
      <c r="AR1431" s="14"/>
    </row>
    <row r="1432" spans="1:44" s="16" customFormat="1" ht="30.95" hidden="1" customHeight="1" x14ac:dyDescent="0.2">
      <c r="A1432" s="303"/>
      <c r="B1432" s="304"/>
      <c r="C1432" s="305"/>
      <c r="D1432" s="29"/>
      <c r="E1432" s="29"/>
      <c r="F1432" s="255"/>
      <c r="G1432" s="256"/>
      <c r="H1432" s="256"/>
      <c r="I1432" s="200"/>
      <c r="J1432" s="30"/>
      <c r="K1432" s="200"/>
      <c r="L1432" s="200"/>
      <c r="M1432" s="37"/>
      <c r="N1432" s="37"/>
      <c r="O1432" s="45"/>
      <c r="P1432" s="54"/>
      <c r="Q1432" s="260"/>
      <c r="R1432" s="261"/>
      <c r="S1432" s="261"/>
      <c r="T1432" s="38"/>
      <c r="U1432" s="261"/>
      <c r="V1432" s="256"/>
      <c r="W1432" s="256"/>
      <c r="X1432" s="256"/>
      <c r="Y1432" s="256"/>
      <c r="Z1432" s="310"/>
      <c r="AA1432" s="200"/>
      <c r="AB1432" s="312"/>
      <c r="AC1432" s="313"/>
      <c r="AD1432" s="51"/>
      <c r="AE1432" s="52"/>
      <c r="AF1432" s="41"/>
      <c r="AG1432" s="45"/>
      <c r="AH1432" s="28"/>
      <c r="AI1432" s="28"/>
      <c r="AJ1432" s="28"/>
      <c r="AK1432" s="28"/>
      <c r="AL1432" s="12"/>
      <c r="AM1432" s="12"/>
      <c r="AN1432" s="12"/>
      <c r="AO1432" s="12"/>
      <c r="AP1432" s="12"/>
      <c r="AQ1432" s="13"/>
      <c r="AR1432" s="14"/>
    </row>
    <row r="1433" spans="1:44" s="16" customFormat="1" ht="30.95" hidden="1" customHeight="1" x14ac:dyDescent="0.2">
      <c r="A1433" s="303" t="s">
        <v>1060</v>
      </c>
      <c r="B1433" s="304" t="s">
        <v>444</v>
      </c>
      <c r="C1433" s="305"/>
      <c r="D1433" s="29"/>
      <c r="E1433" s="29"/>
      <c r="F1433" s="255"/>
      <c r="G1433" s="256"/>
      <c r="H1433" s="256"/>
      <c r="I1433" s="279" t="s">
        <v>2752</v>
      </c>
      <c r="J1433" s="30"/>
      <c r="K1433" s="200"/>
      <c r="L1433" s="200"/>
      <c r="M1433" s="37"/>
      <c r="N1433" s="37"/>
      <c r="O1433" s="45"/>
      <c r="P1433" s="54"/>
      <c r="Q1433" s="260"/>
      <c r="R1433" s="261"/>
      <c r="S1433" s="261"/>
      <c r="T1433" s="38"/>
      <c r="U1433" s="261"/>
      <c r="V1433" s="256"/>
      <c r="W1433" s="256"/>
      <c r="X1433" s="256"/>
      <c r="Y1433" s="256"/>
      <c r="Z1433" s="310"/>
      <c r="AA1433" s="200"/>
      <c r="AB1433" s="312"/>
      <c r="AC1433" s="313"/>
      <c r="AD1433" s="51"/>
      <c r="AE1433" s="52"/>
      <c r="AF1433" s="41"/>
      <c r="AG1433" s="45"/>
      <c r="AH1433" s="28"/>
      <c r="AI1433" s="28"/>
      <c r="AJ1433" s="28"/>
      <c r="AK1433" s="28"/>
      <c r="AL1433" s="12"/>
      <c r="AM1433" s="12"/>
      <c r="AN1433" s="12"/>
      <c r="AO1433" s="12"/>
      <c r="AP1433" s="12"/>
      <c r="AQ1433" s="13"/>
      <c r="AR1433" s="14"/>
    </row>
    <row r="1434" spans="1:44" s="16" customFormat="1" ht="30.95" hidden="1" customHeight="1" x14ac:dyDescent="0.2">
      <c r="A1434" s="303"/>
      <c r="B1434" s="304"/>
      <c r="C1434" s="305"/>
      <c r="D1434" s="29"/>
      <c r="E1434" s="29"/>
      <c r="F1434" s="255"/>
      <c r="G1434" s="256"/>
      <c r="H1434" s="256"/>
      <c r="I1434" s="200"/>
      <c r="J1434" s="30"/>
      <c r="K1434" s="200"/>
      <c r="L1434" s="200"/>
      <c r="M1434" s="37"/>
      <c r="N1434" s="37"/>
      <c r="O1434" s="45"/>
      <c r="P1434" s="54"/>
      <c r="Q1434" s="260"/>
      <c r="R1434" s="261"/>
      <c r="S1434" s="261"/>
      <c r="T1434" s="38"/>
      <c r="U1434" s="261"/>
      <c r="V1434" s="256"/>
      <c r="W1434" s="256"/>
      <c r="X1434" s="256"/>
      <c r="Y1434" s="256"/>
      <c r="Z1434" s="310"/>
      <c r="AA1434" s="200"/>
      <c r="AB1434" s="312"/>
      <c r="AC1434" s="313"/>
      <c r="AD1434" s="51"/>
      <c r="AE1434" s="52"/>
      <c r="AF1434" s="41"/>
      <c r="AG1434" s="45"/>
      <c r="AH1434" s="28"/>
      <c r="AI1434" s="28"/>
      <c r="AJ1434" s="28"/>
      <c r="AK1434" s="28"/>
      <c r="AL1434" s="12"/>
      <c r="AM1434" s="12"/>
      <c r="AN1434" s="12"/>
      <c r="AO1434" s="12"/>
      <c r="AP1434" s="12"/>
      <c r="AQ1434" s="13"/>
      <c r="AR1434" s="14"/>
    </row>
    <row r="1435" spans="1:44" s="16" customFormat="1" ht="30.95" hidden="1" customHeight="1" x14ac:dyDescent="0.2">
      <c r="A1435" s="303"/>
      <c r="B1435" s="304"/>
      <c r="C1435" s="305"/>
      <c r="D1435" s="29">
        <v>3750072</v>
      </c>
      <c r="E1435" s="29">
        <v>4151629</v>
      </c>
      <c r="F1435" s="255" t="str">
        <f>IF(D1435="","",VLOOKUP(D1435,契約台帳!$A$3:$K$4986,6,FALSE)&amp;VLOOKUP(D1435,契約台帳!$A$3:$K$4986,7,FALSE)&amp;VLOOKUP(D1435,契約台帳!$A$3:$K$4986,8,FALSE)&amp;VLOOKUP(D1435,契約台帳!$A$3:$K$4986,9,FALSE)&amp;VLOOKUP(D1435,契約台帳!$A$3:$K$4986,11,FALSE))</f>
        <v>3SNMLBMNNGKBF</v>
      </c>
      <c r="G1435" s="256" t="str">
        <f>IF(D1435="","",VLOOKUP(F1435,製品マスタ!$G$5:$H$4999,2,FALSE))</f>
        <v>S</v>
      </c>
      <c r="H1435" s="256" t="str">
        <f>IF(D1435="","",VLOOKUP(F1435,製品マスタ!$G$5:$K$4999,5,FALSE))</f>
        <v>MNNGKBF</v>
      </c>
      <c r="I1435" s="200" t="str">
        <f>IF(D1435="","",VLOOKUP(F1435,製品マスタ!$G$5:$L$4999,6,FALSE))</f>
        <v>メタルミー　ニューネーマー銀消　Ｂ</v>
      </c>
      <c r="J1435" s="30" t="s">
        <v>447</v>
      </c>
      <c r="K1435" s="200">
        <f>IF(D1435="","",VLOOKUP(D1435,契約台帳!$A$3:$L$4986,12,FALSE))</f>
        <v>50</v>
      </c>
      <c r="L1435" s="200" t="str">
        <f>IF(D1435="","",INDEX(製品マスタ!$Q$5:$Q$4999,MATCH(F1435&amp;K1435,製品マスタ!$AO$5:$AO$4999,0)))</f>
        <v>X44</v>
      </c>
      <c r="M1435" s="37">
        <v>1000</v>
      </c>
      <c r="N1435" s="37">
        <v>12000</v>
      </c>
      <c r="O1435" s="45">
        <v>4</v>
      </c>
      <c r="P1435" s="54"/>
      <c r="Q1435" s="260">
        <f>IF(D1435="","",IF(J1435="リード付け",M1435,VLOOKUP(D1435,契約台帳!$A$3:$N$4986,14,FALSE)))</f>
        <v>1000</v>
      </c>
      <c r="R1435" s="261">
        <f>IF(D1435="","",IF(J1435="リード付け",M1435,VLOOKUP(D1435,契約台帳!$A$3:$O$4986,15,FALSE)))</f>
        <v>1000</v>
      </c>
      <c r="S1435" s="261">
        <f>IF(D1435="","",IF(J1435="リード付け",N1435,VLOOKUP(D1435,契約台帳!$A$3:$P$4986,16,FALSE)))</f>
        <v>4000</v>
      </c>
      <c r="T1435" s="38">
        <v>12</v>
      </c>
      <c r="U1435" s="261">
        <f ca="1">IF(D1435="","",IF(OFFSET(D1435,-2,0)=D1435,"",VLOOKUP(D1435,契約台帳!$A$3:$R$4986,18,FALSE)))</f>
        <v>28</v>
      </c>
      <c r="V1435" s="256" t="str">
        <f>IF(J1435="巻返し",VLOOKUP(F1435&amp;K1435&amp;M1435,製品マスタ!$M$5:$AD$4999,18,FALSE),IF(J1435="リード付け","原反コア",IF(J1435="スリット",VLOOKUP(F1435&amp;K1435&amp;Q1435,製品マスタ!$N$5:$AD$4999,17,FALSE),"")))</f>
        <v>6ｲﾝﾁSｺｱ</v>
      </c>
      <c r="W1435" s="256">
        <f>IF(J1435="巻返し",VLOOKUP(F1435&amp;K1435&amp;M1435,製品マスタ!$M$5:$AE$4999,19,FALSE),IF(J1435="リード付け","-",IF(J1435="スリット",VLOOKUP(F1435&amp;K1435&amp;Q1435,製品マスタ!$N$5:$AE$4999,18,FALSE),"")))</f>
        <v>1005</v>
      </c>
      <c r="X1435" s="256">
        <f>IF(D1435="","",VLOOKUP(D1435,契約台帳!$A$3:$Q$4986,17,FALSE))</f>
        <v>2</v>
      </c>
      <c r="Y1435" s="256" t="str">
        <f>IF(D1435="","",VLOOKUP(D1435,契約台帳!$A$3:$E$4986,5,FALSE))</f>
        <v>リンテック㈱</v>
      </c>
      <c r="Z1435" s="310">
        <v>45406</v>
      </c>
      <c r="AA1435" s="200"/>
      <c r="AB1435" s="312"/>
      <c r="AC1435" s="313"/>
      <c r="AD1435" s="51" t="str">
        <f t="shared" si="93"/>
        <v>3SNMLBMNNGKBF50</v>
      </c>
      <c r="AE1435" s="52">
        <f t="shared" si="94"/>
        <v>48000</v>
      </c>
      <c r="AF1435" s="41">
        <f>IF(AD1435="","",VLOOKUP(AD1435,原価マスタ!$A$2:$AJ$1693,13,FALSE))</f>
        <v>99</v>
      </c>
      <c r="AG1435" s="45">
        <f t="shared" si="95"/>
        <v>47520</v>
      </c>
      <c r="AH1435" s="28"/>
      <c r="AI1435" s="28"/>
      <c r="AJ1435" s="28"/>
      <c r="AK1435" s="28"/>
      <c r="AL1435" s="12"/>
      <c r="AM1435" s="12"/>
      <c r="AN1435" s="12"/>
      <c r="AO1435" s="12"/>
      <c r="AP1435" s="12"/>
      <c r="AQ1435" s="13"/>
      <c r="AR1435" s="14"/>
    </row>
    <row r="1436" spans="1:44" s="16" customFormat="1" ht="30.95" hidden="1" customHeight="1" x14ac:dyDescent="0.2">
      <c r="A1436" s="303"/>
      <c r="B1436" s="304"/>
      <c r="C1436" s="305"/>
      <c r="D1436" s="29"/>
      <c r="E1436" s="29"/>
      <c r="F1436" s="255"/>
      <c r="G1436" s="256"/>
      <c r="H1436" s="256"/>
      <c r="I1436" s="200"/>
      <c r="J1436" s="30"/>
      <c r="K1436" s="200"/>
      <c r="L1436" s="200"/>
      <c r="M1436" s="37"/>
      <c r="N1436" s="37"/>
      <c r="O1436" s="45"/>
      <c r="P1436" s="54"/>
      <c r="Q1436" s="260"/>
      <c r="R1436" s="261"/>
      <c r="S1436" s="261"/>
      <c r="T1436" s="38"/>
      <c r="U1436" s="261"/>
      <c r="V1436" s="256"/>
      <c r="W1436" s="256"/>
      <c r="X1436" s="256"/>
      <c r="Y1436" s="256"/>
      <c r="Z1436" s="310"/>
      <c r="AA1436" s="200"/>
      <c r="AB1436" s="312"/>
      <c r="AC1436" s="313"/>
      <c r="AD1436" s="51"/>
      <c r="AE1436" s="52"/>
      <c r="AF1436" s="41"/>
      <c r="AG1436" s="45"/>
      <c r="AH1436" s="28"/>
      <c r="AI1436" s="28"/>
      <c r="AJ1436" s="28"/>
      <c r="AK1436" s="28"/>
      <c r="AL1436" s="12"/>
      <c r="AM1436" s="12"/>
      <c r="AN1436" s="12"/>
      <c r="AO1436" s="12"/>
      <c r="AP1436" s="12"/>
      <c r="AQ1436" s="13"/>
      <c r="AR1436" s="14"/>
    </row>
    <row r="1437" spans="1:44" s="16" customFormat="1" ht="30.95" hidden="1" customHeight="1" x14ac:dyDescent="0.2">
      <c r="A1437" s="303" t="s">
        <v>1061</v>
      </c>
      <c r="B1437" s="304" t="s">
        <v>445</v>
      </c>
      <c r="C1437" s="305"/>
      <c r="D1437" s="29"/>
      <c r="E1437" s="29"/>
      <c r="F1437" s="255"/>
      <c r="G1437" s="256"/>
      <c r="H1437" s="256"/>
      <c r="I1437" s="200"/>
      <c r="J1437" s="30" t="s">
        <v>448</v>
      </c>
      <c r="K1437" s="200"/>
      <c r="L1437" s="200"/>
      <c r="M1437" s="37"/>
      <c r="N1437" s="37"/>
      <c r="O1437" s="45"/>
      <c r="P1437" s="54"/>
      <c r="Q1437" s="260"/>
      <c r="R1437" s="261"/>
      <c r="S1437" s="261"/>
      <c r="T1437" s="38"/>
      <c r="U1437" s="261"/>
      <c r="V1437" s="256"/>
      <c r="W1437" s="256"/>
      <c r="X1437" s="256"/>
      <c r="Y1437" s="256"/>
      <c r="Z1437" s="310"/>
      <c r="AA1437" s="200"/>
      <c r="AB1437" s="312"/>
      <c r="AC1437" s="313"/>
      <c r="AD1437" s="51"/>
      <c r="AE1437" s="52"/>
      <c r="AF1437" s="41"/>
      <c r="AG1437" s="45"/>
      <c r="AH1437" s="28"/>
      <c r="AI1437" s="28"/>
      <c r="AJ1437" s="28"/>
      <c r="AK1437" s="28"/>
      <c r="AL1437" s="12"/>
      <c r="AM1437" s="12"/>
      <c r="AN1437" s="12"/>
      <c r="AO1437" s="12"/>
      <c r="AP1437" s="12"/>
      <c r="AQ1437" s="13"/>
      <c r="AR1437" s="14"/>
    </row>
    <row r="1438" spans="1:44" s="16" customFormat="1" ht="30.95" hidden="1" customHeight="1" x14ac:dyDescent="0.2">
      <c r="A1438" s="303"/>
      <c r="B1438" s="304"/>
      <c r="C1438" s="305"/>
      <c r="D1438" s="29"/>
      <c r="E1438" s="29"/>
      <c r="F1438" s="255"/>
      <c r="G1438" s="256"/>
      <c r="H1438" s="256"/>
      <c r="I1438" s="200"/>
      <c r="J1438" s="30"/>
      <c r="K1438" s="200"/>
      <c r="L1438" s="200"/>
      <c r="M1438" s="37"/>
      <c r="N1438" s="37"/>
      <c r="O1438" s="45"/>
      <c r="P1438" s="54"/>
      <c r="Q1438" s="260"/>
      <c r="R1438" s="261"/>
      <c r="S1438" s="261"/>
      <c r="T1438" s="38"/>
      <c r="U1438" s="261"/>
      <c r="V1438" s="256"/>
      <c r="W1438" s="256"/>
      <c r="X1438" s="256"/>
      <c r="Y1438" s="256"/>
      <c r="Z1438" s="310"/>
      <c r="AA1438" s="200"/>
      <c r="AB1438" s="312"/>
      <c r="AC1438" s="313"/>
      <c r="AD1438" s="51"/>
      <c r="AE1438" s="52"/>
      <c r="AF1438" s="41"/>
      <c r="AG1438" s="45"/>
      <c r="AH1438" s="28"/>
      <c r="AI1438" s="28"/>
      <c r="AJ1438" s="28"/>
      <c r="AK1438" s="28"/>
      <c r="AL1438" s="12"/>
      <c r="AM1438" s="12"/>
      <c r="AN1438" s="12"/>
      <c r="AO1438" s="12"/>
      <c r="AP1438" s="12"/>
      <c r="AQ1438" s="13"/>
      <c r="AR1438" s="14"/>
    </row>
    <row r="1439" spans="1:44" s="16" customFormat="1" ht="30.95" hidden="1" customHeight="1" x14ac:dyDescent="0.2">
      <c r="A1439" s="303" t="s">
        <v>1062</v>
      </c>
      <c r="B1439" s="304" t="s">
        <v>446</v>
      </c>
      <c r="C1439" s="305"/>
      <c r="D1439" s="29"/>
      <c r="E1439" s="29"/>
      <c r="F1439" s="255"/>
      <c r="G1439" s="256"/>
      <c r="H1439" s="256"/>
      <c r="I1439" s="200"/>
      <c r="J1439" s="30" t="s">
        <v>448</v>
      </c>
      <c r="K1439" s="200"/>
      <c r="L1439" s="200"/>
      <c r="M1439" s="37"/>
      <c r="N1439" s="37"/>
      <c r="O1439" s="45"/>
      <c r="P1439" s="54"/>
      <c r="Q1439" s="260"/>
      <c r="R1439" s="261"/>
      <c r="S1439" s="261"/>
      <c r="T1439" s="38"/>
      <c r="U1439" s="261"/>
      <c r="V1439" s="256"/>
      <c r="W1439" s="256"/>
      <c r="X1439" s="256"/>
      <c r="Y1439" s="256"/>
      <c r="Z1439" s="310"/>
      <c r="AA1439" s="200"/>
      <c r="AB1439" s="312"/>
      <c r="AC1439" s="313"/>
      <c r="AD1439" s="51"/>
      <c r="AE1439" s="52"/>
      <c r="AF1439" s="41"/>
      <c r="AG1439" s="45"/>
      <c r="AH1439" s="28"/>
      <c r="AI1439" s="28"/>
      <c r="AJ1439" s="28"/>
      <c r="AK1439" s="28"/>
      <c r="AL1439" s="12"/>
      <c r="AM1439" s="12"/>
      <c r="AN1439" s="12"/>
      <c r="AO1439" s="12"/>
      <c r="AP1439" s="12"/>
      <c r="AQ1439" s="13"/>
      <c r="AR1439" s="14"/>
    </row>
    <row r="1440" spans="1:44" s="16" customFormat="1" ht="30.95" hidden="1" customHeight="1" x14ac:dyDescent="0.2">
      <c r="A1440" s="303"/>
      <c r="B1440" s="304"/>
      <c r="C1440" s="305"/>
      <c r="D1440" s="29"/>
      <c r="E1440" s="29"/>
      <c r="F1440" s="255"/>
      <c r="G1440" s="256"/>
      <c r="H1440" s="256"/>
      <c r="I1440" s="200"/>
      <c r="J1440" s="30"/>
      <c r="K1440" s="200"/>
      <c r="L1440" s="200"/>
      <c r="M1440" s="37"/>
      <c r="N1440" s="37"/>
      <c r="O1440" s="45"/>
      <c r="P1440" s="54"/>
      <c r="Q1440" s="260"/>
      <c r="R1440" s="261"/>
      <c r="S1440" s="261"/>
      <c r="T1440" s="38"/>
      <c r="U1440" s="261"/>
      <c r="V1440" s="256"/>
      <c r="W1440" s="256"/>
      <c r="X1440" s="256"/>
      <c r="Y1440" s="256"/>
      <c r="Z1440" s="310"/>
      <c r="AA1440" s="200"/>
      <c r="AB1440" s="312"/>
      <c r="AC1440" s="313"/>
      <c r="AD1440" s="51"/>
      <c r="AE1440" s="52"/>
      <c r="AF1440" s="41"/>
      <c r="AG1440" s="45"/>
      <c r="AH1440" s="28"/>
      <c r="AI1440" s="28"/>
      <c r="AJ1440" s="28"/>
      <c r="AK1440" s="28"/>
      <c r="AL1440" s="12"/>
      <c r="AM1440" s="12"/>
      <c r="AN1440" s="12"/>
      <c r="AO1440" s="12"/>
      <c r="AP1440" s="12"/>
      <c r="AQ1440" s="13"/>
      <c r="AR1440" s="14"/>
    </row>
    <row r="1441" spans="1:44" s="16" customFormat="1" ht="30.95" hidden="1" customHeight="1" x14ac:dyDescent="0.2">
      <c r="A1441" s="303" t="s">
        <v>1063</v>
      </c>
      <c r="B1441" s="304" t="s">
        <v>462</v>
      </c>
      <c r="C1441" s="305"/>
      <c r="D1441" s="29">
        <v>3750072</v>
      </c>
      <c r="E1441" s="29">
        <v>4151629</v>
      </c>
      <c r="F1441" s="255" t="str">
        <f>IF(D1441="","",VLOOKUP(D1441,契約台帳!$A$3:$K$4986,6,FALSE)&amp;VLOOKUP(D1441,契約台帳!$A$3:$K$4986,7,FALSE)&amp;VLOOKUP(D1441,契約台帳!$A$3:$K$4986,8,FALSE)&amp;VLOOKUP(D1441,契約台帳!$A$3:$K$4986,9,FALSE)&amp;VLOOKUP(D1441,契約台帳!$A$3:$K$4986,11,FALSE))</f>
        <v>3SNMLBMNNGKBF</v>
      </c>
      <c r="G1441" s="256" t="str">
        <f>IF(D1441="","",VLOOKUP(F1441,製品マスタ!$G$5:$H$4999,2,FALSE))</f>
        <v>S</v>
      </c>
      <c r="H1441" s="256" t="str">
        <f>IF(D1441="","",VLOOKUP(F1441,製品マスタ!$G$5:$K$4999,5,FALSE))</f>
        <v>MNNGKBF</v>
      </c>
      <c r="I1441" s="200" t="str">
        <f>IF(D1441="","",VLOOKUP(F1441,製品マスタ!$G$5:$L$4999,6,FALSE))</f>
        <v>メタルミー　ニューネーマー銀消　Ｂ</v>
      </c>
      <c r="J1441" s="30" t="s">
        <v>447</v>
      </c>
      <c r="K1441" s="200">
        <f>IF(D1441="","",VLOOKUP(D1441,契約台帳!$A$3:$L$4986,12,FALSE))</f>
        <v>50</v>
      </c>
      <c r="L1441" s="200" t="str">
        <f>IF(D1441="","",INDEX(製品マスタ!$Q$5:$Q$4999,MATCH(F1441&amp;K1441,製品マスタ!$AO$5:$AO$4999,0)))</f>
        <v>X44</v>
      </c>
      <c r="M1441" s="37">
        <v>1000</v>
      </c>
      <c r="N1441" s="37">
        <v>12000</v>
      </c>
      <c r="O1441" s="45">
        <v>4</v>
      </c>
      <c r="P1441" s="54"/>
      <c r="Q1441" s="260">
        <f>IF(D1441="","",IF(J1441="リード付け",M1441,VLOOKUP(D1441,契約台帳!$A$3:$N$4986,14,FALSE)))</f>
        <v>1000</v>
      </c>
      <c r="R1441" s="261">
        <f>IF(D1441="","",IF(J1441="リード付け",M1441,VLOOKUP(D1441,契約台帳!$A$3:$O$4986,15,FALSE)))</f>
        <v>1000</v>
      </c>
      <c r="S1441" s="261">
        <f>IF(D1441="","",IF(J1441="リード付け",N1441,VLOOKUP(D1441,契約台帳!$A$3:$P$4986,16,FALSE)))</f>
        <v>4000</v>
      </c>
      <c r="T1441" s="38">
        <v>12</v>
      </c>
      <c r="U1441" s="261">
        <f ca="1">IF(D1441="","",IF(OFFSET(D1441,-2,0)=D1441,"",VLOOKUP(D1441,契約台帳!$A$3:$R$4986,18,FALSE)))</f>
        <v>28</v>
      </c>
      <c r="V1441" s="256" t="str">
        <f>IF(J1441="巻返し",VLOOKUP(F1441&amp;K1441&amp;M1441,製品マスタ!$M$5:$AD$4999,18,FALSE),IF(J1441="リード付け","原反コア",IF(J1441="スリット",VLOOKUP(F1441&amp;K1441&amp;Q1441,製品マスタ!$N$5:$AD$4999,17,FALSE),"")))</f>
        <v>6ｲﾝﾁSｺｱ</v>
      </c>
      <c r="W1441" s="256">
        <f>IF(J1441="巻返し",VLOOKUP(F1441&amp;K1441&amp;M1441,製品マスタ!$M$5:$AE$4999,19,FALSE),IF(J1441="リード付け","-",IF(J1441="スリット",VLOOKUP(F1441&amp;K1441&amp;Q1441,製品マスタ!$N$5:$AE$4999,18,FALSE),"")))</f>
        <v>1005</v>
      </c>
      <c r="X1441" s="256">
        <f>IF(D1441="","",VLOOKUP(D1441,契約台帳!$A$3:$Q$4986,17,FALSE))</f>
        <v>2</v>
      </c>
      <c r="Y1441" s="256" t="str">
        <f>IF(D1441="","",VLOOKUP(D1441,契約台帳!$A$3:$E$4986,5,FALSE))</f>
        <v>リンテック㈱</v>
      </c>
      <c r="Z1441" s="310">
        <v>45407</v>
      </c>
      <c r="AA1441" s="200"/>
      <c r="AB1441" s="312"/>
      <c r="AC1441" s="313"/>
      <c r="AD1441" s="51" t="str">
        <f t="shared" si="93"/>
        <v>3SNMLBMNNGKBF50</v>
      </c>
      <c r="AE1441" s="52">
        <f t="shared" si="94"/>
        <v>48000</v>
      </c>
      <c r="AF1441" s="41">
        <f>IF(AD1441="","",VLOOKUP(AD1441,原価マスタ!$A$2:$AJ$1693,13,FALSE))</f>
        <v>99</v>
      </c>
      <c r="AG1441" s="45">
        <f t="shared" si="95"/>
        <v>47520</v>
      </c>
      <c r="AH1441" s="28"/>
      <c r="AI1441" s="28"/>
      <c r="AJ1441" s="28"/>
      <c r="AK1441" s="28"/>
      <c r="AL1441" s="12"/>
      <c r="AM1441" s="12"/>
      <c r="AN1441" s="12"/>
      <c r="AO1441" s="12"/>
      <c r="AP1441" s="12"/>
      <c r="AQ1441" s="13"/>
      <c r="AR1441" s="14"/>
    </row>
    <row r="1442" spans="1:44" s="16" customFormat="1" ht="30.95" hidden="1" customHeight="1" x14ac:dyDescent="0.2">
      <c r="A1442" s="303"/>
      <c r="B1442" s="304"/>
      <c r="C1442" s="305"/>
      <c r="D1442" s="29"/>
      <c r="E1442" s="29"/>
      <c r="F1442" s="255"/>
      <c r="G1442" s="256"/>
      <c r="H1442" s="256"/>
      <c r="I1442" s="200"/>
      <c r="J1442" s="30"/>
      <c r="K1442" s="200"/>
      <c r="L1442" s="200"/>
      <c r="M1442" s="37"/>
      <c r="N1442" s="37"/>
      <c r="O1442" s="45"/>
      <c r="P1442" s="54"/>
      <c r="Q1442" s="260"/>
      <c r="R1442" s="261"/>
      <c r="S1442" s="261"/>
      <c r="T1442" s="38"/>
      <c r="U1442" s="261"/>
      <c r="V1442" s="256"/>
      <c r="W1442" s="256"/>
      <c r="X1442" s="256"/>
      <c r="Y1442" s="256"/>
      <c r="Z1442" s="310"/>
      <c r="AA1442" s="200"/>
      <c r="AB1442" s="312"/>
      <c r="AC1442" s="313"/>
      <c r="AD1442" s="51"/>
      <c r="AE1442" s="52"/>
      <c r="AF1442" s="41"/>
      <c r="AG1442" s="45"/>
      <c r="AH1442" s="28"/>
      <c r="AI1442" s="28"/>
      <c r="AJ1442" s="28"/>
      <c r="AK1442" s="28"/>
      <c r="AL1442" s="12"/>
      <c r="AM1442" s="12"/>
      <c r="AN1442" s="12"/>
      <c r="AO1442" s="12"/>
      <c r="AP1442" s="12"/>
      <c r="AQ1442" s="13"/>
      <c r="AR1442" s="14"/>
    </row>
    <row r="1443" spans="1:44" s="16" customFormat="1" ht="30.95" hidden="1" customHeight="1" x14ac:dyDescent="0.2">
      <c r="A1443" s="303"/>
      <c r="B1443" s="304"/>
      <c r="C1443" s="305"/>
      <c r="D1443" s="29">
        <v>3750072</v>
      </c>
      <c r="E1443" s="29">
        <v>4151629</v>
      </c>
      <c r="F1443" s="255" t="str">
        <f>IF(D1443="","",VLOOKUP(D1443,契約台帳!$A$3:$K$4986,6,FALSE)&amp;VLOOKUP(D1443,契約台帳!$A$3:$K$4986,7,FALSE)&amp;VLOOKUP(D1443,契約台帳!$A$3:$K$4986,8,FALSE)&amp;VLOOKUP(D1443,契約台帳!$A$3:$K$4986,9,FALSE)&amp;VLOOKUP(D1443,契約台帳!$A$3:$K$4986,11,FALSE))</f>
        <v>3SNMLBMNNGKBF</v>
      </c>
      <c r="G1443" s="256" t="str">
        <f>IF(D1443="","",VLOOKUP(F1443,製品マスタ!$G$5:$H$4999,2,FALSE))</f>
        <v>S</v>
      </c>
      <c r="H1443" s="256" t="str">
        <f>IF(D1443="","",VLOOKUP(F1443,製品マスタ!$G$5:$K$4999,5,FALSE))</f>
        <v>MNNGKBF</v>
      </c>
      <c r="I1443" s="200" t="str">
        <f>IF(D1443="","",VLOOKUP(F1443,製品マスタ!$G$5:$L$4999,6,FALSE))</f>
        <v>メタルミー　ニューネーマー銀消　Ｂ</v>
      </c>
      <c r="J1443" s="30" t="s">
        <v>447</v>
      </c>
      <c r="K1443" s="200">
        <f>IF(D1443="","",VLOOKUP(D1443,契約台帳!$A$3:$L$4986,12,FALSE))</f>
        <v>50</v>
      </c>
      <c r="L1443" s="200" t="str">
        <f>IF(D1443="","",INDEX(製品マスタ!$Q$5:$Q$4999,MATCH(F1443&amp;K1443,製品マスタ!$AO$5:$AO$4999,0)))</f>
        <v>X44</v>
      </c>
      <c r="M1443" s="37">
        <v>1000</v>
      </c>
      <c r="N1443" s="37">
        <v>8000</v>
      </c>
      <c r="O1443" s="45">
        <v>2</v>
      </c>
      <c r="P1443" s="54"/>
      <c r="Q1443" s="260">
        <f>IF(D1443="","",IF(J1443="リード付け",M1443,VLOOKUP(D1443,契約台帳!$A$3:$N$4986,14,FALSE)))</f>
        <v>1000</v>
      </c>
      <c r="R1443" s="261">
        <f>IF(D1443="","",IF(J1443="リード付け",M1443,VLOOKUP(D1443,契約台帳!$A$3:$O$4986,15,FALSE)))</f>
        <v>1000</v>
      </c>
      <c r="S1443" s="261">
        <f>IF(D1443="","",IF(J1443="リード付け",N1443,VLOOKUP(D1443,契約台帳!$A$3:$P$4986,16,FALSE)))</f>
        <v>4000</v>
      </c>
      <c r="T1443" s="38">
        <v>4</v>
      </c>
      <c r="U1443" s="261" t="str">
        <f ca="1">IF(D1443="","",IF(OFFSET(D1443,-2,0)=D1443,"",VLOOKUP(D1443,契約台帳!$A$3:$R$4986,18,FALSE)))</f>
        <v/>
      </c>
      <c r="V1443" s="256" t="str">
        <f>IF(J1443="巻返し",VLOOKUP(F1443&amp;K1443&amp;M1443,製品マスタ!$M$5:$AD$4999,18,FALSE),IF(J1443="リード付け","原反コア",IF(J1443="スリット",VLOOKUP(F1443&amp;K1443&amp;Q1443,製品マスタ!$N$5:$AD$4999,17,FALSE),"")))</f>
        <v>6ｲﾝﾁSｺｱ</v>
      </c>
      <c r="W1443" s="256">
        <f>IF(J1443="巻返し",VLOOKUP(F1443&amp;K1443&amp;M1443,製品マスタ!$M$5:$AE$4999,19,FALSE),IF(J1443="リード付け","-",IF(J1443="スリット",VLOOKUP(F1443&amp;K1443&amp;Q1443,製品マスタ!$N$5:$AE$4999,18,FALSE),"")))</f>
        <v>1005</v>
      </c>
      <c r="X1443" s="256">
        <f>IF(D1443="","",VLOOKUP(D1443,契約台帳!$A$3:$Q$4986,17,FALSE))</f>
        <v>2</v>
      </c>
      <c r="Y1443" s="256" t="str">
        <f>IF(D1443="","",VLOOKUP(D1443,契約台帳!$A$3:$E$4986,5,FALSE))</f>
        <v>リンテック㈱</v>
      </c>
      <c r="Z1443" s="310">
        <v>45407</v>
      </c>
      <c r="AA1443" s="200"/>
      <c r="AB1443" s="312"/>
      <c r="AC1443" s="313"/>
      <c r="AD1443" s="51" t="str">
        <f t="shared" si="93"/>
        <v>3SNMLBMNNGKBF50</v>
      </c>
      <c r="AE1443" s="52">
        <f t="shared" si="94"/>
        <v>16000</v>
      </c>
      <c r="AF1443" s="41">
        <f>IF(AD1443="","",VLOOKUP(AD1443,原価マスタ!$A$2:$AJ$1693,13,FALSE))</f>
        <v>99</v>
      </c>
      <c r="AG1443" s="45">
        <f t="shared" si="95"/>
        <v>15840</v>
      </c>
      <c r="AH1443" s="28"/>
      <c r="AI1443" s="28"/>
      <c r="AJ1443" s="28"/>
      <c r="AK1443" s="28"/>
      <c r="AL1443" s="12"/>
      <c r="AM1443" s="12"/>
      <c r="AN1443" s="12"/>
      <c r="AO1443" s="12"/>
      <c r="AP1443" s="12"/>
      <c r="AQ1443" s="13"/>
      <c r="AR1443" s="14"/>
    </row>
    <row r="1444" spans="1:44" s="16" customFormat="1" ht="30.95" hidden="1" customHeight="1" x14ac:dyDescent="0.2">
      <c r="A1444" s="303"/>
      <c r="B1444" s="304"/>
      <c r="C1444" s="305"/>
      <c r="D1444" s="29"/>
      <c r="E1444" s="29"/>
      <c r="F1444" s="255"/>
      <c r="G1444" s="256"/>
      <c r="H1444" s="256"/>
      <c r="I1444" s="200"/>
      <c r="J1444" s="30"/>
      <c r="K1444" s="200"/>
      <c r="L1444" s="200"/>
      <c r="M1444" s="37"/>
      <c r="N1444" s="37"/>
      <c r="O1444" s="45"/>
      <c r="P1444" s="54"/>
      <c r="Q1444" s="260"/>
      <c r="R1444" s="261"/>
      <c r="S1444" s="261"/>
      <c r="T1444" s="38"/>
      <c r="U1444" s="261"/>
      <c r="V1444" s="256"/>
      <c r="W1444" s="256"/>
      <c r="X1444" s="256"/>
      <c r="Y1444" s="256"/>
      <c r="Z1444" s="310"/>
      <c r="AA1444" s="200"/>
      <c r="AB1444" s="312"/>
      <c r="AC1444" s="313"/>
      <c r="AD1444" s="51"/>
      <c r="AE1444" s="52"/>
      <c r="AF1444" s="41"/>
      <c r="AG1444" s="45"/>
      <c r="AH1444" s="28"/>
      <c r="AI1444" s="28"/>
      <c r="AJ1444" s="28"/>
      <c r="AK1444" s="28"/>
      <c r="AL1444" s="12"/>
      <c r="AM1444" s="12"/>
      <c r="AN1444" s="12"/>
      <c r="AO1444" s="12"/>
      <c r="AP1444" s="12"/>
      <c r="AQ1444" s="13"/>
      <c r="AR1444" s="14"/>
    </row>
    <row r="1445" spans="1:44" s="16" customFormat="1" ht="30.95" hidden="1" customHeight="1" x14ac:dyDescent="0.2">
      <c r="A1445" s="303" t="s">
        <v>1064</v>
      </c>
      <c r="B1445" s="304" t="s">
        <v>688</v>
      </c>
      <c r="C1445" s="305"/>
      <c r="D1445" s="29">
        <v>3750084</v>
      </c>
      <c r="E1445" s="29">
        <v>4151640</v>
      </c>
      <c r="F1445" s="255" t="str">
        <f>IF(D1445="","",VLOOKUP(D1445,契約台帳!$A$3:$K$4986,6,FALSE)&amp;VLOOKUP(D1445,契約台帳!$A$3:$K$4986,7,FALSE)&amp;VLOOKUP(D1445,契約台帳!$A$3:$K$4986,8,FALSE)&amp;VLOOKUP(D1445,契約台帳!$A$3:$K$4986,9,FALSE)&amp;VLOOKUP(D1445,契約台帳!$A$3:$K$4986,11,FALSE))</f>
        <v>3SYMLBMSSMBF</v>
      </c>
      <c r="G1445" s="256" t="str">
        <f>IF(D1445="","",VLOOKUP(F1445,製品マスタ!$G$5:$H$4999,2,FALSE))</f>
        <v>S</v>
      </c>
      <c r="H1445" s="256" t="str">
        <f>IF(D1445="","",VLOOKUP(F1445,製品マスタ!$G$5:$K$4999,5,FALSE))</f>
        <v>MSSMBF</v>
      </c>
      <c r="I1445" s="200" t="str">
        <f>IF(D1445="","",VLOOKUP(F1445,製品マスタ!$G$5:$L$4999,6,FALSE))</f>
        <v>ＭＥＴＡＬＵＭＹ　ＳＩＬＶＥＲ　Ｓ－ＭＡＴＴＥ　Ｓ２８ＭＭ　Ｂ</v>
      </c>
      <c r="J1445" s="30" t="s">
        <v>447</v>
      </c>
      <c r="K1445" s="200">
        <f>IF(D1445="","",VLOOKUP(D1445,契約台帳!$A$3:$L$4986,12,FALSE))</f>
        <v>25</v>
      </c>
      <c r="L1445" s="200" t="str">
        <f>IF(D1445="","",INDEX(製品マスタ!$Q$5:$Q$4999,MATCH(F1445&amp;K1445,製品マスタ!$AO$5:$AO$4999,0)))</f>
        <v>LI-MAT</v>
      </c>
      <c r="M1445" s="37">
        <v>1120</v>
      </c>
      <c r="N1445" s="37">
        <v>16000</v>
      </c>
      <c r="O1445" s="45">
        <v>1</v>
      </c>
      <c r="P1445" s="54"/>
      <c r="Q1445" s="260">
        <f>IF(D1445="","",IF(J1445="リード付け",M1445,VLOOKUP(D1445,契約台帳!$A$3:$N$4986,14,FALSE)))</f>
        <v>1120</v>
      </c>
      <c r="R1445" s="261">
        <f>IF(D1445="","",IF(J1445="リード付け",M1445,VLOOKUP(D1445,契約台帳!$A$3:$O$4986,15,FALSE)))</f>
        <v>1120</v>
      </c>
      <c r="S1445" s="261">
        <f>IF(D1445="","",IF(J1445="リード付け",N1445,VLOOKUP(D1445,契約台帳!$A$3:$P$4986,16,FALSE)))</f>
        <v>8000</v>
      </c>
      <c r="T1445" s="38">
        <v>2</v>
      </c>
      <c r="U1445" s="261">
        <f ca="1">IF(D1445="","",IF(OFFSET(D1445,-2,0)=D1445,"",VLOOKUP(D1445,契約台帳!$A$3:$R$4986,18,FALSE)))</f>
        <v>2</v>
      </c>
      <c r="V1445" s="256" t="str">
        <f>IF(J1445="巻返し",VLOOKUP(F1445&amp;K1445&amp;M1445,製品マスタ!$M$5:$AD$4999,18,FALSE),IF(J1445="リード付け","原反コア",IF(J1445="スリット",VLOOKUP(F1445&amp;K1445&amp;Q1445,製品マスタ!$N$5:$AD$4999,17,FALSE),"")))</f>
        <v>6ｲﾝﾁSｺｱ</v>
      </c>
      <c r="W1445" s="256">
        <f>IF(J1445="巻返し",VLOOKUP(F1445&amp;K1445&amp;M1445,製品マスタ!$M$5:$AE$4999,19,FALSE),IF(J1445="リード付け","-",IF(J1445="スリット",VLOOKUP(F1445&amp;K1445&amp;Q1445,製品マスタ!$N$5:$AE$4999,18,FALSE),"")))</f>
        <v>1125</v>
      </c>
      <c r="X1445" s="256">
        <f>IF(D1445="","",VLOOKUP(D1445,契約台帳!$A$3:$Q$4986,17,FALSE))</f>
        <v>2</v>
      </c>
      <c r="Y1445" s="256" t="str">
        <f>IF(D1445="","",VLOOKUP(D1445,契約台帳!$A$3:$E$4986,5,FALSE))</f>
        <v>リンテック㈱</v>
      </c>
      <c r="Z1445" s="310">
        <v>45408</v>
      </c>
      <c r="AA1445" s="200"/>
      <c r="AB1445" s="312"/>
      <c r="AC1445" s="313"/>
      <c r="AD1445" s="51" t="str">
        <f t="shared" si="93"/>
        <v>3SYMLBMSSMBF25</v>
      </c>
      <c r="AE1445" s="52">
        <f t="shared" si="94"/>
        <v>17920</v>
      </c>
      <c r="AF1445" s="41">
        <f>IF(AD1445="","",VLOOKUP(AD1445,原価マスタ!$A$2:$AJ$1693,13,FALSE))</f>
        <v>98</v>
      </c>
      <c r="AG1445" s="45">
        <f t="shared" si="95"/>
        <v>17561.599999999999</v>
      </c>
      <c r="AH1445" s="28"/>
      <c r="AI1445" s="28"/>
      <c r="AJ1445" s="28"/>
      <c r="AK1445" s="28"/>
      <c r="AL1445" s="12"/>
      <c r="AM1445" s="12"/>
      <c r="AN1445" s="12"/>
      <c r="AO1445" s="12"/>
      <c r="AP1445" s="12"/>
      <c r="AQ1445" s="13"/>
      <c r="AR1445" s="14"/>
    </row>
    <row r="1446" spans="1:44" s="16" customFormat="1" ht="30.95" hidden="1" customHeight="1" x14ac:dyDescent="0.2">
      <c r="A1446" s="303"/>
      <c r="B1446" s="304"/>
      <c r="C1446" s="305"/>
      <c r="D1446" s="29"/>
      <c r="E1446" s="29"/>
      <c r="F1446" s="255"/>
      <c r="G1446" s="256"/>
      <c r="H1446" s="256"/>
      <c r="I1446" s="200"/>
      <c r="J1446" s="30"/>
      <c r="K1446" s="200"/>
      <c r="L1446" s="200"/>
      <c r="M1446" s="37"/>
      <c r="N1446" s="37"/>
      <c r="O1446" s="45"/>
      <c r="P1446" s="54"/>
      <c r="Q1446" s="260"/>
      <c r="R1446" s="261"/>
      <c r="S1446" s="261"/>
      <c r="T1446" s="38"/>
      <c r="U1446" s="261"/>
      <c r="V1446" s="256"/>
      <c r="W1446" s="256"/>
      <c r="X1446" s="256"/>
      <c r="Y1446" s="256"/>
      <c r="Z1446" s="310"/>
      <c r="AA1446" s="200"/>
      <c r="AB1446" s="312"/>
      <c r="AC1446" s="313"/>
      <c r="AD1446" s="51"/>
      <c r="AE1446" s="52"/>
      <c r="AF1446" s="41"/>
      <c r="AG1446" s="45"/>
      <c r="AH1446" s="28"/>
      <c r="AI1446" s="28"/>
      <c r="AJ1446" s="28"/>
      <c r="AK1446" s="28"/>
      <c r="AL1446" s="12"/>
      <c r="AM1446" s="12"/>
      <c r="AN1446" s="12"/>
      <c r="AO1446" s="12"/>
      <c r="AP1446" s="12"/>
      <c r="AQ1446" s="13"/>
      <c r="AR1446" s="14"/>
    </row>
    <row r="1447" spans="1:44" s="16" customFormat="1" ht="30.6" hidden="1" customHeight="1" x14ac:dyDescent="0.2">
      <c r="A1447" s="303"/>
      <c r="B1447" s="304"/>
      <c r="C1447" s="305"/>
      <c r="D1447" s="29">
        <v>3752405</v>
      </c>
      <c r="E1447" s="29">
        <v>4151654</v>
      </c>
      <c r="F1447" s="255" t="str">
        <f>IF(D1447="","",VLOOKUP(D1447,契約台帳!$A$3:$K$4986,6,FALSE)&amp;VLOOKUP(D1447,契約台帳!$A$3:$K$4986,7,FALSE)&amp;VLOOKUP(D1447,契約台帳!$A$3:$K$4986,8,FALSE)&amp;VLOOKUP(D1447,契約台帳!$A$3:$K$4986,9,FALSE)&amp;VLOOKUP(D1447,契約台帳!$A$3:$K$4986,11,FALSE))</f>
        <v>3HSYMLBMSSMBF</v>
      </c>
      <c r="G1447" s="256" t="str">
        <f>IF(D1447="","",VLOOKUP(F1447,製品マスタ!$G$5:$H$4999,2,FALSE))</f>
        <v>S</v>
      </c>
      <c r="H1447" s="256" t="str">
        <f>IF(D1447="","",VLOOKUP(F1447,製品マスタ!$G$5:$K$4999,5,FALSE))</f>
        <v>MSSMBF</v>
      </c>
      <c r="I1447" s="200" t="str">
        <f>IF(D1447="","",VLOOKUP(F1447,製品マスタ!$G$5:$L$4999,6,FALSE))</f>
        <v>ＭＥＴＡＬＵＭＹ　ＳＩＬＶＥＲ　Ｓ－ＭＡＴＴＥ　Ｓ２８ＭＭ　Ｂ</v>
      </c>
      <c r="J1447" s="30" t="s">
        <v>447</v>
      </c>
      <c r="K1447" s="200">
        <f>IF(D1447="","",VLOOKUP(D1447,契約台帳!$A$3:$L$4986,12,FALSE))</f>
        <v>50</v>
      </c>
      <c r="L1447" s="200" t="str">
        <f>IF(D1447="","",INDEX(製品マスタ!$Q$5:$Q$4999,MATCH(F1447&amp;K1447,製品マスタ!$AO$5:$AO$4999,0)))</f>
        <v>LI-MAT</v>
      </c>
      <c r="M1447" s="37">
        <v>1120</v>
      </c>
      <c r="N1447" s="37">
        <v>8000</v>
      </c>
      <c r="O1447" s="45">
        <v>2</v>
      </c>
      <c r="P1447" s="54"/>
      <c r="Q1447" s="260">
        <f>IF(D1447="","",IF(J1447="リード付け",M1447,VLOOKUP(D1447,契約台帳!$A$3:$N$4986,14,FALSE)))</f>
        <v>1120</v>
      </c>
      <c r="R1447" s="261">
        <f>IF(D1447="","",IF(J1447="リード付け",M1447,VLOOKUP(D1447,契約台帳!$A$3:$O$4986,15,FALSE)))</f>
        <v>1120</v>
      </c>
      <c r="S1447" s="261">
        <f>IF(D1447="","",IF(J1447="リード付け",N1447,VLOOKUP(D1447,契約台帳!$A$3:$P$4986,16,FALSE)))</f>
        <v>4000</v>
      </c>
      <c r="T1447" s="38">
        <v>4</v>
      </c>
      <c r="U1447" s="261">
        <f ca="1">IF(D1447="","",IF(OFFSET(D1447,-2,0)=D1447,"",VLOOKUP(D1447,契約台帳!$A$3:$R$4986,18,FALSE)))</f>
        <v>4</v>
      </c>
      <c r="V1447" s="256" t="str">
        <f>IF(J1447="巻返し",VLOOKUP(F1447&amp;K1447&amp;M1447,製品マスタ!$M$5:$AD$4999,18,FALSE),IF(J1447="リード付け","原反コア",IF(J1447="スリット",VLOOKUP(F1447&amp;K1447&amp;Q1447,製品マスタ!$N$5:$AD$4999,17,FALSE),"")))</f>
        <v>6ｲﾝﾁSｺｱ</v>
      </c>
      <c r="W1447" s="256">
        <f>IF(J1447="巻返し",VLOOKUP(F1447&amp;K1447&amp;M1447,製品マスタ!$M$5:$AE$4999,19,FALSE),IF(J1447="リード付け","-",IF(J1447="スリット",VLOOKUP(F1447&amp;K1447&amp;Q1447,製品マスタ!$N$5:$AE$4999,18,FALSE),"")))</f>
        <v>1125</v>
      </c>
      <c r="X1447" s="256">
        <f>IF(D1447="","",VLOOKUP(D1447,契約台帳!$A$3:$Q$4986,17,FALSE))</f>
        <v>2</v>
      </c>
      <c r="Y1447" s="256" t="str">
        <f>IF(D1447="","",VLOOKUP(D1447,契約台帳!$A$3:$E$4986,5,FALSE))</f>
        <v>リンテック㈱</v>
      </c>
      <c r="Z1447" s="310">
        <v>45408</v>
      </c>
      <c r="AA1447" s="200"/>
      <c r="AB1447" s="312"/>
      <c r="AC1447" s="313"/>
      <c r="AD1447" s="51" t="str">
        <f t="shared" si="93"/>
        <v>3HSYMLBMSSMBF50</v>
      </c>
      <c r="AE1447" s="52">
        <f t="shared" si="94"/>
        <v>17920</v>
      </c>
      <c r="AF1447" s="41" t="e">
        <f>IF(AD1447="","",VLOOKUP(AD1447,原価マスタ!$A$2:$AJ$1693,13,FALSE))</f>
        <v>#N/A</v>
      </c>
      <c r="AG1447" s="45" t="e">
        <f t="shared" si="95"/>
        <v>#N/A</v>
      </c>
      <c r="AH1447" s="28"/>
      <c r="AI1447" s="28"/>
      <c r="AJ1447" s="28"/>
      <c r="AK1447" s="28"/>
      <c r="AL1447" s="12"/>
      <c r="AM1447" s="12"/>
      <c r="AN1447" s="12"/>
      <c r="AO1447" s="12"/>
      <c r="AP1447" s="12"/>
      <c r="AQ1447" s="13"/>
      <c r="AR1447" s="14"/>
    </row>
    <row r="1448" spans="1:44" s="16" customFormat="1" ht="30.6" hidden="1" customHeight="1" x14ac:dyDescent="0.2">
      <c r="A1448" s="303"/>
      <c r="B1448" s="304"/>
      <c r="C1448" s="305"/>
      <c r="D1448" s="29"/>
      <c r="E1448" s="29"/>
      <c r="F1448" s="255"/>
      <c r="G1448" s="256"/>
      <c r="H1448" s="256"/>
      <c r="I1448" s="200"/>
      <c r="J1448" s="30"/>
      <c r="K1448" s="200"/>
      <c r="L1448" s="200"/>
      <c r="M1448" s="37"/>
      <c r="N1448" s="37"/>
      <c r="O1448" s="45"/>
      <c r="P1448" s="54"/>
      <c r="Q1448" s="260"/>
      <c r="R1448" s="261"/>
      <c r="S1448" s="261"/>
      <c r="T1448" s="38"/>
      <c r="U1448" s="261"/>
      <c r="V1448" s="256"/>
      <c r="W1448" s="256"/>
      <c r="X1448" s="256"/>
      <c r="Y1448" s="256"/>
      <c r="Z1448" s="310"/>
      <c r="AA1448" s="200"/>
      <c r="AB1448" s="312"/>
      <c r="AC1448" s="313"/>
      <c r="AD1448" s="51"/>
      <c r="AE1448" s="52"/>
      <c r="AF1448" s="41"/>
      <c r="AG1448" s="45"/>
      <c r="AH1448" s="28"/>
      <c r="AI1448" s="28"/>
      <c r="AJ1448" s="28"/>
      <c r="AK1448" s="28"/>
      <c r="AL1448" s="12"/>
      <c r="AM1448" s="12"/>
      <c r="AN1448" s="12"/>
      <c r="AO1448" s="12"/>
      <c r="AP1448" s="12"/>
      <c r="AQ1448" s="13"/>
      <c r="AR1448" s="14"/>
    </row>
    <row r="1449" spans="1:44" s="16" customFormat="1" ht="30.95" hidden="1" customHeight="1" x14ac:dyDescent="0.2">
      <c r="A1449" s="303"/>
      <c r="B1449" s="304"/>
      <c r="C1449" s="305"/>
      <c r="D1449" s="29">
        <v>3750088</v>
      </c>
      <c r="E1449" s="29">
        <v>4151637</v>
      </c>
      <c r="F1449" s="255" t="str">
        <f>IF(D1449="","",VLOOKUP(D1449,契約台帳!$A$3:$K$4986,6,FALSE)&amp;VLOOKUP(D1449,契約台帳!$A$3:$K$4986,7,FALSE)&amp;VLOOKUP(D1449,契約台帳!$A$3:$K$4986,8,FALSE)&amp;VLOOKUP(D1449,契約台帳!$A$3:$K$4986,9,FALSE)&amp;VLOOKUP(D1449,契約台帳!$A$3:$K$4986,11,FALSE))</f>
        <v>3SYMLBMSNMBF</v>
      </c>
      <c r="G1449" s="256" t="str">
        <f>IF(D1449="","",VLOOKUP(F1449,製品マスタ!$G$5:$H$4999,2,FALSE))</f>
        <v>S</v>
      </c>
      <c r="H1449" s="256" t="str">
        <f>IF(D1449="","",VLOOKUP(F1449,製品マスタ!$G$5:$K$4999,5,FALSE))</f>
        <v>MSNMBF</v>
      </c>
      <c r="I1449" s="200" t="str">
        <f>IF(D1449="","",VLOOKUP(F1449,製品マスタ!$G$5:$L$4999,6,FALSE))</f>
        <v>ＭＥＴＡＬＵＭＹ　ＳＩＬＶＥＲ　Ｎ－ＭＡＴＴＥ　Ｘ４４Ｍ　Ｂ</v>
      </c>
      <c r="J1449" s="30" t="s">
        <v>447</v>
      </c>
      <c r="K1449" s="200">
        <f>IF(D1449="","",VLOOKUP(D1449,契約台帳!$A$3:$L$4986,12,FALSE))</f>
        <v>50</v>
      </c>
      <c r="L1449" s="200" t="str">
        <f>IF(D1449="","",INDEX(製品マスタ!$Q$5:$Q$4999,MATCH(F1449&amp;K1449,製品マスタ!$AO$5:$AO$4999,0)))</f>
        <v>X44</v>
      </c>
      <c r="M1449" s="37">
        <v>1120</v>
      </c>
      <c r="N1449" s="37">
        <v>8000</v>
      </c>
      <c r="O1449" s="45">
        <v>2</v>
      </c>
      <c r="P1449" s="54"/>
      <c r="Q1449" s="260">
        <f>IF(D1449="","",IF(J1449="リード付け",M1449,VLOOKUP(D1449,契約台帳!$A$3:$N$4986,14,FALSE)))</f>
        <v>1120</v>
      </c>
      <c r="R1449" s="261">
        <f>IF(D1449="","",IF(J1449="リード付け",M1449,VLOOKUP(D1449,契約台帳!$A$3:$O$4986,15,FALSE)))</f>
        <v>1120</v>
      </c>
      <c r="S1449" s="261">
        <f>IF(D1449="","",IF(J1449="リード付け",N1449,VLOOKUP(D1449,契約台帳!$A$3:$P$4986,16,FALSE)))</f>
        <v>4000</v>
      </c>
      <c r="T1449" s="38">
        <v>4</v>
      </c>
      <c r="U1449" s="261">
        <f ca="1">IF(D1449="","",IF(OFFSET(D1449,-2,0)=D1449,"",VLOOKUP(D1449,契約台帳!$A$3:$R$4986,18,FALSE)))</f>
        <v>4</v>
      </c>
      <c r="V1449" s="256" t="str">
        <f>IF(J1449="巻返し",VLOOKUP(F1449&amp;K1449&amp;M1449,製品マスタ!$M$5:$AD$4999,18,FALSE),IF(J1449="リード付け","原反コア",IF(J1449="スリット",VLOOKUP(F1449&amp;K1449&amp;Q1449,製品マスタ!$N$5:$AD$4999,17,FALSE),"")))</f>
        <v>6ｲﾝﾁMｺｱ</v>
      </c>
      <c r="W1449" s="256">
        <f>IF(J1449="巻返し",VLOOKUP(F1449&amp;K1449&amp;M1449,製品マスタ!$M$5:$AE$4999,19,FALSE),IF(J1449="リード付け","-",IF(J1449="スリット",VLOOKUP(F1449&amp;K1449&amp;Q1449,製品マスタ!$N$5:$AE$4999,18,FALSE),"")))</f>
        <v>1125</v>
      </c>
      <c r="X1449" s="256">
        <f>IF(D1449="","",VLOOKUP(D1449,契約台帳!$A$3:$Q$4986,17,FALSE))</f>
        <v>2</v>
      </c>
      <c r="Y1449" s="256" t="str">
        <f>IF(D1449="","",VLOOKUP(D1449,契約台帳!$A$3:$E$4986,5,FALSE))</f>
        <v>リンテック㈱</v>
      </c>
      <c r="Z1449" s="310">
        <v>45408</v>
      </c>
      <c r="AA1449" s="200"/>
      <c r="AB1449" s="312"/>
      <c r="AC1449" s="313"/>
      <c r="AD1449" s="51" t="str">
        <f t="shared" si="93"/>
        <v>3SYMLBMSNMBF50</v>
      </c>
      <c r="AE1449" s="52">
        <f t="shared" si="94"/>
        <v>17920</v>
      </c>
      <c r="AF1449" s="41">
        <f>IF(AD1449="","",VLOOKUP(AD1449,原価マスタ!$A$2:$AJ$1693,13,FALSE))</f>
        <v>98.8</v>
      </c>
      <c r="AG1449" s="45">
        <f t="shared" si="95"/>
        <v>17704.96</v>
      </c>
      <c r="AH1449" s="28"/>
      <c r="AI1449" s="28"/>
      <c r="AJ1449" s="28"/>
      <c r="AK1449" s="28"/>
      <c r="AL1449" s="12"/>
      <c r="AM1449" s="12"/>
      <c r="AN1449" s="12"/>
      <c r="AO1449" s="12"/>
      <c r="AP1449" s="12"/>
      <c r="AQ1449" s="13"/>
      <c r="AR1449" s="14"/>
    </row>
    <row r="1450" spans="1:44" s="16" customFormat="1" ht="30.95" hidden="1" customHeight="1" x14ac:dyDescent="0.2">
      <c r="A1450" s="303"/>
      <c r="B1450" s="304"/>
      <c r="C1450" s="305"/>
      <c r="D1450" s="29"/>
      <c r="E1450" s="29"/>
      <c r="F1450" s="255"/>
      <c r="G1450" s="256"/>
      <c r="H1450" s="256"/>
      <c r="I1450" s="200"/>
      <c r="J1450" s="30"/>
      <c r="K1450" s="200"/>
      <c r="L1450" s="200"/>
      <c r="M1450" s="37"/>
      <c r="N1450" s="37"/>
      <c r="O1450" s="45"/>
      <c r="P1450" s="54"/>
      <c r="Q1450" s="260"/>
      <c r="R1450" s="261"/>
      <c r="S1450" s="261"/>
      <c r="T1450" s="38"/>
      <c r="U1450" s="261"/>
      <c r="V1450" s="256"/>
      <c r="W1450" s="256"/>
      <c r="X1450" s="256"/>
      <c r="Y1450" s="256"/>
      <c r="Z1450" s="310"/>
      <c r="AA1450" s="200"/>
      <c r="AB1450" s="312"/>
      <c r="AC1450" s="313"/>
      <c r="AD1450" s="51"/>
      <c r="AE1450" s="52"/>
      <c r="AF1450" s="41"/>
      <c r="AG1450" s="45"/>
      <c r="AH1450" s="28"/>
      <c r="AI1450" s="28"/>
      <c r="AJ1450" s="28"/>
      <c r="AK1450" s="28"/>
      <c r="AL1450" s="12"/>
      <c r="AM1450" s="12"/>
      <c r="AN1450" s="12"/>
      <c r="AO1450" s="12"/>
      <c r="AP1450" s="12"/>
      <c r="AQ1450" s="13"/>
      <c r="AR1450" s="14"/>
    </row>
    <row r="1451" spans="1:44" s="16" customFormat="1" ht="30.95" hidden="1" customHeight="1" x14ac:dyDescent="0.2">
      <c r="A1451" s="303"/>
      <c r="B1451" s="304"/>
      <c r="C1451" s="305"/>
      <c r="D1451" s="29">
        <v>3750089</v>
      </c>
      <c r="E1451" s="29">
        <v>4151638</v>
      </c>
      <c r="F1451" s="255" t="str">
        <f>IF(D1451="","",VLOOKUP(D1451,契約台帳!$A$3:$K$4986,6,FALSE)&amp;VLOOKUP(D1451,契約台帳!$A$3:$K$4986,7,FALSE)&amp;VLOOKUP(D1451,契約台帳!$A$3:$K$4986,8,FALSE)&amp;VLOOKUP(D1451,契約台帳!$A$3:$K$4986,9,FALSE)&amp;VLOOKUP(D1451,契約台帳!$A$3:$K$4986,11,FALSE))</f>
        <v>3SYMLBMSNMBF</v>
      </c>
      <c r="G1451" s="256" t="str">
        <f>IF(D1451="","",VLOOKUP(F1451,製品マスタ!$G$5:$H$4999,2,FALSE))</f>
        <v>S</v>
      </c>
      <c r="H1451" s="256" t="str">
        <f>IF(D1451="","",VLOOKUP(F1451,製品マスタ!$G$5:$K$4999,5,FALSE))</f>
        <v>MSNMBF</v>
      </c>
      <c r="I1451" s="200" t="str">
        <f>IF(D1451="","",VLOOKUP(F1451,製品マスタ!$G$5:$L$4999,6,FALSE))</f>
        <v>ＭＥＴＡＬＵＭＹ　ＳＩＬＶＥＲ　Ｎ－ＭＡＴＴＥ　Ｘ４４Ｍ　Ｂ</v>
      </c>
      <c r="J1451" s="30" t="s">
        <v>447</v>
      </c>
      <c r="K1451" s="200">
        <f>IF(D1451="","",VLOOKUP(D1451,契約台帳!$A$3:$L$4986,12,FALSE))</f>
        <v>50</v>
      </c>
      <c r="L1451" s="200" t="str">
        <f>IF(D1451="","",INDEX(製品マスタ!$Q$5:$Q$4999,MATCH(F1451&amp;K1451,製品マスタ!$AO$5:$AO$4999,0)))</f>
        <v>X44</v>
      </c>
      <c r="M1451" s="37">
        <v>1120</v>
      </c>
      <c r="N1451" s="37">
        <v>8000</v>
      </c>
      <c r="O1451" s="45">
        <v>2</v>
      </c>
      <c r="P1451" s="54"/>
      <c r="Q1451" s="260">
        <f>IF(D1451="","",IF(J1451="リード付け",M1451,VLOOKUP(D1451,契約台帳!$A$3:$N$4986,14,FALSE)))</f>
        <v>1120</v>
      </c>
      <c r="R1451" s="261">
        <f>IF(D1451="","",IF(J1451="リード付け",M1451,VLOOKUP(D1451,契約台帳!$A$3:$O$4986,15,FALSE)))</f>
        <v>1120</v>
      </c>
      <c r="S1451" s="261">
        <f>IF(D1451="","",IF(J1451="リード付け",N1451,VLOOKUP(D1451,契約台帳!$A$3:$P$4986,16,FALSE)))</f>
        <v>4000</v>
      </c>
      <c r="T1451" s="38">
        <v>4</v>
      </c>
      <c r="U1451" s="261">
        <f ca="1">IF(D1451="","",IF(OFFSET(D1451,-2,0)=D1451,"",VLOOKUP(D1451,契約台帳!$A$3:$R$4986,18,FALSE)))</f>
        <v>4</v>
      </c>
      <c r="V1451" s="256" t="str">
        <f>IF(J1451="巻返し",VLOOKUP(F1451&amp;K1451&amp;M1451,製品マスタ!$M$5:$AD$4999,18,FALSE),IF(J1451="リード付け","原反コア",IF(J1451="スリット",VLOOKUP(F1451&amp;K1451&amp;Q1451,製品マスタ!$N$5:$AD$4999,17,FALSE),"")))</f>
        <v>6ｲﾝﾁMｺｱ</v>
      </c>
      <c r="W1451" s="256">
        <f>IF(J1451="巻返し",VLOOKUP(F1451&amp;K1451&amp;M1451,製品マスタ!$M$5:$AE$4999,19,FALSE),IF(J1451="リード付け","-",IF(J1451="スリット",VLOOKUP(F1451&amp;K1451&amp;Q1451,製品マスタ!$N$5:$AE$4999,18,FALSE),"")))</f>
        <v>1125</v>
      </c>
      <c r="X1451" s="256">
        <f>IF(D1451="","",VLOOKUP(D1451,契約台帳!$A$3:$Q$4986,17,FALSE))</f>
        <v>2</v>
      </c>
      <c r="Y1451" s="256" t="str">
        <f>IF(D1451="","",VLOOKUP(D1451,契約台帳!$A$3:$E$4986,5,FALSE))</f>
        <v>リンテック㈱</v>
      </c>
      <c r="Z1451" s="310">
        <v>45408</v>
      </c>
      <c r="AA1451" s="200"/>
      <c r="AB1451" s="312"/>
      <c r="AC1451" s="313"/>
      <c r="AD1451" s="51" t="str">
        <f t="shared" si="93"/>
        <v>3SYMLBMSNMBF50</v>
      </c>
      <c r="AE1451" s="52">
        <f t="shared" si="94"/>
        <v>17920</v>
      </c>
      <c r="AF1451" s="41">
        <f>IF(AD1451="","",VLOOKUP(AD1451,原価マスタ!$A$2:$AJ$1693,13,FALSE))</f>
        <v>98.8</v>
      </c>
      <c r="AG1451" s="45">
        <f t="shared" si="95"/>
        <v>17704.96</v>
      </c>
      <c r="AH1451" s="28"/>
      <c r="AI1451" s="28"/>
      <c r="AJ1451" s="28"/>
      <c r="AK1451" s="28"/>
      <c r="AL1451" s="12"/>
      <c r="AM1451" s="12"/>
      <c r="AN1451" s="12"/>
      <c r="AO1451" s="12"/>
      <c r="AP1451" s="12"/>
      <c r="AQ1451" s="13"/>
      <c r="AR1451" s="14"/>
    </row>
    <row r="1452" spans="1:44" s="16" customFormat="1" ht="30.95" hidden="1" customHeight="1" x14ac:dyDescent="0.2">
      <c r="A1452" s="303"/>
      <c r="B1452" s="304"/>
      <c r="C1452" s="305"/>
      <c r="D1452" s="29"/>
      <c r="E1452" s="29"/>
      <c r="F1452" s="255"/>
      <c r="G1452" s="256"/>
      <c r="H1452" s="256"/>
      <c r="I1452" s="200"/>
      <c r="J1452" s="30"/>
      <c r="K1452" s="200"/>
      <c r="L1452" s="200"/>
      <c r="M1452" s="37"/>
      <c r="N1452" s="37"/>
      <c r="O1452" s="45"/>
      <c r="P1452" s="54"/>
      <c r="Q1452" s="260"/>
      <c r="R1452" s="261"/>
      <c r="S1452" s="261"/>
      <c r="T1452" s="38"/>
      <c r="U1452" s="261"/>
      <c r="V1452" s="256"/>
      <c r="W1452" s="256"/>
      <c r="X1452" s="256"/>
      <c r="Y1452" s="256"/>
      <c r="Z1452" s="310"/>
      <c r="AA1452" s="200"/>
      <c r="AB1452" s="312"/>
      <c r="AC1452" s="313"/>
      <c r="AD1452" s="51"/>
      <c r="AE1452" s="52"/>
      <c r="AF1452" s="41"/>
      <c r="AG1452" s="45"/>
      <c r="AH1452" s="28"/>
      <c r="AI1452" s="28"/>
      <c r="AJ1452" s="28"/>
      <c r="AK1452" s="28"/>
      <c r="AL1452" s="12"/>
      <c r="AM1452" s="12"/>
      <c r="AN1452" s="12"/>
      <c r="AO1452" s="12"/>
      <c r="AP1452" s="12"/>
      <c r="AQ1452" s="13"/>
      <c r="AR1452" s="14"/>
    </row>
    <row r="1453" spans="1:44" s="16" customFormat="1" ht="30.95" hidden="1" customHeight="1" x14ac:dyDescent="0.2">
      <c r="A1453" s="303"/>
      <c r="B1453" s="304"/>
      <c r="C1453" s="305"/>
      <c r="D1453" s="29">
        <v>3750092</v>
      </c>
      <c r="E1453" s="29">
        <v>4151639</v>
      </c>
      <c r="F1453" s="255" t="str">
        <f>IF(D1453="","",VLOOKUP(D1453,契約台帳!$A$3:$K$4986,6,FALSE)&amp;VLOOKUP(D1453,契約台帳!$A$3:$K$4986,7,FALSE)&amp;VLOOKUP(D1453,契約台帳!$A$3:$K$4986,8,FALSE)&amp;VLOOKUP(D1453,契約台帳!$A$3:$K$4986,9,FALSE)&amp;VLOOKUP(D1453,契約台帳!$A$3:$K$4986,11,FALSE))</f>
        <v>3SYMLBMSNMBF</v>
      </c>
      <c r="G1453" s="256" t="str">
        <f>IF(D1453="","",VLOOKUP(F1453,製品マスタ!$G$5:$H$4999,2,FALSE))</f>
        <v>S</v>
      </c>
      <c r="H1453" s="256" t="str">
        <f>IF(D1453="","",VLOOKUP(F1453,製品マスタ!$G$5:$K$4999,5,FALSE))</f>
        <v>MSNMBF</v>
      </c>
      <c r="I1453" s="200" t="str">
        <f>IF(D1453="","",VLOOKUP(F1453,製品マスタ!$G$5:$L$4999,6,FALSE))</f>
        <v>ＭＥＴＡＬＵＭＹ　ＳＩＬＶＥＲ　Ｎ－ＭＡＴＴＥ　Ｘ４４Ｍ　Ｂ</v>
      </c>
      <c r="J1453" s="30" t="s">
        <v>447</v>
      </c>
      <c r="K1453" s="200">
        <f>IF(D1453="","",VLOOKUP(D1453,契約台帳!$A$3:$L$4986,12,FALSE))</f>
        <v>50</v>
      </c>
      <c r="L1453" s="200" t="str">
        <f>IF(D1453="","",INDEX(製品マスタ!$Q$5:$Q$4999,MATCH(F1453&amp;K1453,製品マスタ!$AO$5:$AO$4999,0)))</f>
        <v>X44</v>
      </c>
      <c r="M1453" s="37">
        <v>1120</v>
      </c>
      <c r="N1453" s="37">
        <v>8000</v>
      </c>
      <c r="O1453" s="45">
        <v>2</v>
      </c>
      <c r="P1453" s="54"/>
      <c r="Q1453" s="260">
        <f>IF(D1453="","",IF(J1453="リード付け",M1453,VLOOKUP(D1453,契約台帳!$A$3:$N$4986,14,FALSE)))</f>
        <v>1120</v>
      </c>
      <c r="R1453" s="261">
        <f>IF(D1453="","",IF(J1453="リード付け",M1453,VLOOKUP(D1453,契約台帳!$A$3:$O$4986,15,FALSE)))</f>
        <v>1120</v>
      </c>
      <c r="S1453" s="261">
        <f>IF(D1453="","",IF(J1453="リード付け",N1453,VLOOKUP(D1453,契約台帳!$A$3:$P$4986,16,FALSE)))</f>
        <v>4000</v>
      </c>
      <c r="T1453" s="38">
        <v>4</v>
      </c>
      <c r="U1453" s="261">
        <f ca="1">IF(D1453="","",IF(OFFSET(D1453,-2,0)=D1453,"",VLOOKUP(D1453,契約台帳!$A$3:$R$4986,18,FALSE)))</f>
        <v>4</v>
      </c>
      <c r="V1453" s="256" t="str">
        <f>IF(J1453="巻返し",VLOOKUP(F1453&amp;K1453&amp;M1453,製品マスタ!$M$5:$AD$4999,18,FALSE),IF(J1453="リード付け","原反コア",IF(J1453="スリット",VLOOKUP(F1453&amp;K1453&amp;Q1453,製品マスタ!$N$5:$AD$4999,17,FALSE),"")))</f>
        <v>6ｲﾝﾁMｺｱ</v>
      </c>
      <c r="W1453" s="256">
        <f>IF(J1453="巻返し",VLOOKUP(F1453&amp;K1453&amp;M1453,製品マスタ!$M$5:$AE$4999,19,FALSE),IF(J1453="リード付け","-",IF(J1453="スリット",VLOOKUP(F1453&amp;K1453&amp;Q1453,製品マスタ!$N$5:$AE$4999,18,FALSE),"")))</f>
        <v>1125</v>
      </c>
      <c r="X1453" s="256">
        <f>IF(D1453="","",VLOOKUP(D1453,契約台帳!$A$3:$Q$4986,17,FALSE))</f>
        <v>2</v>
      </c>
      <c r="Y1453" s="256" t="str">
        <f>IF(D1453="","",VLOOKUP(D1453,契約台帳!$A$3:$E$4986,5,FALSE))</f>
        <v>リンテック㈱</v>
      </c>
      <c r="Z1453" s="310">
        <v>45408</v>
      </c>
      <c r="AA1453" s="200"/>
      <c r="AB1453" s="312"/>
      <c r="AC1453" s="313"/>
      <c r="AD1453" s="51" t="str">
        <f t="shared" ref="AD1453" si="96">IF(F1453="","",+F1453&amp;K1453)</f>
        <v>3SYMLBMSNMBF50</v>
      </c>
      <c r="AE1453" s="52">
        <f t="shared" ref="AE1453" si="97">+M1453*N1453*O1453/1000</f>
        <v>17920</v>
      </c>
      <c r="AF1453" s="41">
        <f>IF(AD1453="","",VLOOKUP(AD1453,原価マスタ!$A$2:$AJ$1693,13,FALSE))</f>
        <v>98.8</v>
      </c>
      <c r="AG1453" s="45">
        <f t="shared" ref="AG1453" si="98">IF(AF1453="","",+AE1453*AF1453/100)</f>
        <v>17704.96</v>
      </c>
      <c r="AH1453" s="28"/>
      <c r="AI1453" s="28"/>
      <c r="AJ1453" s="28"/>
      <c r="AK1453" s="28"/>
      <c r="AL1453" s="12"/>
      <c r="AM1453" s="12"/>
      <c r="AN1453" s="12"/>
      <c r="AO1453" s="12"/>
      <c r="AP1453" s="12"/>
      <c r="AQ1453" s="13"/>
      <c r="AR1453" s="14"/>
    </row>
    <row r="1454" spans="1:44" s="16" customFormat="1" ht="30.95" hidden="1" customHeight="1" x14ac:dyDescent="0.2">
      <c r="A1454" s="303"/>
      <c r="B1454" s="304"/>
      <c r="C1454" s="305"/>
      <c r="D1454" s="29"/>
      <c r="E1454" s="29"/>
      <c r="F1454" s="255"/>
      <c r="G1454" s="256"/>
      <c r="H1454" s="256"/>
      <c r="I1454" s="200"/>
      <c r="J1454" s="30"/>
      <c r="K1454" s="200"/>
      <c r="L1454" s="200"/>
      <c r="M1454" s="37"/>
      <c r="N1454" s="37"/>
      <c r="O1454" s="45"/>
      <c r="P1454" s="54"/>
      <c r="Q1454" s="260"/>
      <c r="R1454" s="261"/>
      <c r="S1454" s="261"/>
      <c r="T1454" s="38"/>
      <c r="U1454" s="261"/>
      <c r="V1454" s="256"/>
      <c r="W1454" s="256"/>
      <c r="X1454" s="256"/>
      <c r="Y1454" s="256"/>
      <c r="Z1454" s="310"/>
      <c r="AA1454" s="200"/>
      <c r="AB1454" s="312"/>
      <c r="AC1454" s="313"/>
      <c r="AD1454" s="51"/>
      <c r="AE1454" s="52"/>
      <c r="AF1454" s="41"/>
      <c r="AG1454" s="45"/>
      <c r="AH1454" s="28"/>
      <c r="AI1454" s="28"/>
      <c r="AJ1454" s="28"/>
      <c r="AK1454" s="28"/>
      <c r="AL1454" s="12"/>
      <c r="AM1454" s="12"/>
      <c r="AN1454" s="12"/>
      <c r="AO1454" s="12"/>
      <c r="AP1454" s="12"/>
      <c r="AQ1454" s="13"/>
      <c r="AR1454" s="14"/>
    </row>
    <row r="1455" spans="1:44" s="16" customFormat="1" ht="30.95" hidden="1" customHeight="1" x14ac:dyDescent="0.2">
      <c r="A1455" s="303" t="s">
        <v>1065</v>
      </c>
      <c r="B1455" s="304" t="s">
        <v>442</v>
      </c>
      <c r="C1455" s="305"/>
      <c r="D1455" s="29"/>
      <c r="E1455" s="29"/>
      <c r="F1455" s="255" t="str">
        <f>IF(D1455="","",VLOOKUP(D1455,契約台帳!$A$3:$K$4986,6,FALSE)&amp;VLOOKUP(D1455,契約台帳!$A$3:$K$4986,7,FALSE)&amp;VLOOKUP(D1455,契約台帳!$A$3:$K$4986,8,FALSE)&amp;VLOOKUP(D1455,契約台帳!$A$3:$K$4986,9,FALSE)&amp;VLOOKUP(D1455,契約台帳!$A$3:$K$4986,11,FALSE))</f>
        <v/>
      </c>
      <c r="G1455" s="256" t="str">
        <f>IF(D1455="","",VLOOKUP(F1455,製品マスタ!$G$5:$H$4999,2,FALSE))</f>
        <v/>
      </c>
      <c r="H1455" s="256" t="str">
        <f>IF(D1455="","",VLOOKUP(F1455,製品マスタ!$G$5:$K$4999,5,FALSE))</f>
        <v/>
      </c>
      <c r="I1455" s="200" t="str">
        <f>IF(D1455="","",VLOOKUP(F1455,製品マスタ!$G$5:$L$4999,6,FALSE))</f>
        <v/>
      </c>
      <c r="J1455" s="30" t="s">
        <v>490</v>
      </c>
      <c r="K1455" s="200" t="str">
        <f>IF(D1455="","",VLOOKUP(D1455,契約台帳!$A$3:$L$4986,12,FALSE))</f>
        <v/>
      </c>
      <c r="L1455" s="200" t="str">
        <f>IF(D1455="","",INDEX(製品マスタ!$Q$5:$Q$4999,MATCH(F1455&amp;K1455,製品マスタ!$AO$5:$AO$4999,0)))</f>
        <v/>
      </c>
      <c r="M1455" s="37"/>
      <c r="N1455" s="37"/>
      <c r="O1455" s="45"/>
      <c r="P1455" s="54"/>
      <c r="Q1455" s="260" t="str">
        <f>IF(D1455="","",IF(J1455="リード付け",M1455,VLOOKUP(D1455,契約台帳!$A$3:$N$4986,14,FALSE)))</f>
        <v/>
      </c>
      <c r="R1455" s="261" t="str">
        <f>IF(D1455="","",IF(J1455="リード付け",M1455,VLOOKUP(D1455,契約台帳!$A$3:$O$4986,15,FALSE)))</f>
        <v/>
      </c>
      <c r="S1455" s="261" t="str">
        <f>IF(D1455="","",IF(J1455="リード付け",N1455,VLOOKUP(D1455,契約台帳!$A$3:$P$4986,16,FALSE)))</f>
        <v/>
      </c>
      <c r="T1455" s="38"/>
      <c r="U1455" s="261"/>
      <c r="V1455" s="256" t="str">
        <f>IF(J1455="巻返し",VLOOKUP(F1455&amp;K1455&amp;M1455,製品マスタ!$M$5:$AD$4999,18,FALSE),IF(J1455="リード付け","原反コア",IF(J1455="スリット",VLOOKUP(F1455&amp;K1455&amp;Q1455,製品マスタ!$N$5:$AD$4999,17,FALSE),"")))</f>
        <v/>
      </c>
      <c r="W1455" s="256" t="str">
        <f>IF(J1455="巻返し",VLOOKUP(F1455&amp;K1455&amp;M1455,製品マスタ!$M$5:$AE$4999,19,FALSE),IF(J1455="リード付け","-",IF(J1455="スリット",VLOOKUP(F1455&amp;K1455&amp;Q1455,製品マスタ!$N$5:$AE$4999,18,FALSE),"")))</f>
        <v/>
      </c>
      <c r="X1455" s="256" t="str">
        <f>IF(D1455="","",VLOOKUP(D1455,契約台帳!$A$3:$Q$4986,17,FALSE))</f>
        <v/>
      </c>
      <c r="Y1455" s="256" t="str">
        <f>IF(D1455="","",VLOOKUP(D1455,契約台帳!$A$3:$E$4986,5,FALSE))</f>
        <v/>
      </c>
      <c r="Z1455" s="310"/>
      <c r="AA1455" s="200"/>
      <c r="AB1455" s="312"/>
      <c r="AC1455" s="313"/>
      <c r="AD1455" s="51" t="str">
        <f t="shared" ref="AD1455" si="99">IF(F1455="","",+F1455&amp;K1455)</f>
        <v/>
      </c>
      <c r="AE1455" s="52">
        <f t="shared" ref="AE1455" si="100">+M1455*N1455*O1455/1000</f>
        <v>0</v>
      </c>
      <c r="AF1455" s="41" t="str">
        <f>IF(AD1455="","",VLOOKUP(AD1455,原価マスタ!$A$2:$AJ$1693,13,FALSE))</f>
        <v/>
      </c>
      <c r="AG1455" s="45" t="str">
        <f t="shared" ref="AG1455" si="101">IF(AF1455="","",+AE1455*AF1455/100)</f>
        <v/>
      </c>
      <c r="AH1455" s="28"/>
      <c r="AI1455" s="28"/>
      <c r="AJ1455" s="28"/>
      <c r="AK1455" s="28"/>
      <c r="AL1455" s="12"/>
      <c r="AM1455" s="12"/>
      <c r="AN1455" s="12"/>
      <c r="AO1455" s="12"/>
      <c r="AP1455" s="12"/>
      <c r="AQ1455" s="13"/>
      <c r="AR1455" s="14"/>
    </row>
    <row r="1456" spans="1:44" s="16" customFormat="1" ht="30.95" hidden="1" customHeight="1" x14ac:dyDescent="0.2">
      <c r="A1456" s="303"/>
      <c r="B1456" s="304"/>
      <c r="C1456" s="305"/>
      <c r="D1456" s="29"/>
      <c r="E1456" s="29"/>
      <c r="F1456" s="255"/>
      <c r="G1456" s="256"/>
      <c r="H1456" s="256"/>
      <c r="I1456" s="200"/>
      <c r="J1456" s="30"/>
      <c r="K1456" s="200"/>
      <c r="L1456" s="200"/>
      <c r="M1456" s="37"/>
      <c r="N1456" s="37"/>
      <c r="O1456" s="45"/>
      <c r="P1456" s="54"/>
      <c r="Q1456" s="260"/>
      <c r="R1456" s="261"/>
      <c r="S1456" s="261"/>
      <c r="T1456" s="38"/>
      <c r="U1456" s="261"/>
      <c r="V1456" s="256"/>
      <c r="W1456" s="256"/>
      <c r="X1456" s="256"/>
      <c r="Y1456" s="256"/>
      <c r="Z1456" s="310"/>
      <c r="AA1456" s="200"/>
      <c r="AB1456" s="312"/>
      <c r="AC1456" s="313"/>
      <c r="AD1456" s="51"/>
      <c r="AE1456" s="52"/>
      <c r="AF1456" s="41"/>
      <c r="AG1456" s="45"/>
      <c r="AH1456" s="28"/>
      <c r="AI1456" s="28"/>
      <c r="AJ1456" s="28"/>
      <c r="AK1456" s="28"/>
      <c r="AL1456" s="12"/>
      <c r="AM1456" s="12"/>
      <c r="AN1456" s="12"/>
      <c r="AO1456" s="12"/>
      <c r="AP1456" s="12"/>
      <c r="AQ1456" s="13"/>
      <c r="AR1456" s="14"/>
    </row>
    <row r="1457" spans="1:44" s="225" customFormat="1" ht="30.95" hidden="1" customHeight="1" x14ac:dyDescent="0.2">
      <c r="A1457" s="317"/>
      <c r="B1457" s="318"/>
      <c r="C1457" s="319"/>
      <c r="D1457" s="211"/>
      <c r="E1457" s="211"/>
      <c r="F1457" s="263"/>
      <c r="G1457" s="264"/>
      <c r="H1457" s="264"/>
      <c r="I1457" s="265"/>
      <c r="J1457" s="212"/>
      <c r="K1457" s="265"/>
      <c r="L1457" s="265"/>
      <c r="M1457" s="213"/>
      <c r="N1457" s="213"/>
      <c r="O1457" s="214"/>
      <c r="P1457" s="206"/>
      <c r="Q1457" s="266"/>
      <c r="R1457" s="267"/>
      <c r="S1457" s="267"/>
      <c r="T1457" s="216"/>
      <c r="U1457" s="267"/>
      <c r="V1457" s="264"/>
      <c r="W1457" s="264"/>
      <c r="X1457" s="264"/>
      <c r="Y1457" s="264"/>
      <c r="Z1457" s="316"/>
      <c r="AA1457" s="265"/>
      <c r="AB1457" s="325"/>
      <c r="AC1457" s="326"/>
      <c r="AD1457" s="219"/>
      <c r="AE1457" s="220"/>
      <c r="AF1457" s="215"/>
      <c r="AG1457" s="226" t="e">
        <f>SUM(AG1355:AG1456)</f>
        <v>#N/A</v>
      </c>
      <c r="AH1457" s="221"/>
      <c r="AI1457" s="221"/>
      <c r="AJ1457" s="221"/>
      <c r="AK1457" s="221"/>
      <c r="AL1457" s="222"/>
      <c r="AM1457" s="222"/>
      <c r="AN1457" s="222"/>
      <c r="AO1457" s="222"/>
      <c r="AP1457" s="222"/>
      <c r="AQ1457" s="223"/>
      <c r="AR1457" s="224"/>
    </row>
    <row r="1458" spans="1:44" s="16" customFormat="1" ht="30.95" hidden="1" customHeight="1" x14ac:dyDescent="0.2">
      <c r="A1458" s="303"/>
      <c r="B1458" s="304"/>
      <c r="C1458" s="305"/>
      <c r="D1458" s="29"/>
      <c r="E1458" s="29"/>
      <c r="F1458" s="255"/>
      <c r="G1458" s="256"/>
      <c r="H1458" s="256"/>
      <c r="I1458" s="200"/>
      <c r="J1458" s="30"/>
      <c r="K1458" s="200"/>
      <c r="L1458" s="200"/>
      <c r="M1458" s="37"/>
      <c r="N1458" s="37"/>
      <c r="O1458" s="45"/>
      <c r="P1458" s="54"/>
      <c r="Q1458" s="260"/>
      <c r="R1458" s="261"/>
      <c r="S1458" s="261"/>
      <c r="T1458" s="38"/>
      <c r="U1458" s="261"/>
      <c r="V1458" s="256"/>
      <c r="W1458" s="256"/>
      <c r="X1458" s="256"/>
      <c r="Y1458" s="256"/>
      <c r="Z1458" s="310"/>
      <c r="AA1458" s="200"/>
      <c r="AB1458" s="312"/>
      <c r="AC1458" s="313"/>
      <c r="AD1458" s="51"/>
      <c r="AE1458" s="52"/>
      <c r="AF1458" s="41"/>
      <c r="AG1458" s="45"/>
      <c r="AH1458" s="28"/>
      <c r="AI1458" s="28"/>
      <c r="AJ1458" s="28"/>
      <c r="AK1458" s="28"/>
      <c r="AL1458" s="12"/>
      <c r="AM1458" s="12"/>
      <c r="AN1458" s="12"/>
      <c r="AO1458" s="12"/>
      <c r="AP1458" s="12"/>
      <c r="AQ1458" s="13"/>
      <c r="AR1458" s="14"/>
    </row>
    <row r="1459" spans="1:44" s="16" customFormat="1" ht="30.95" customHeight="1" x14ac:dyDescent="0.2">
      <c r="A1459" s="303" t="s">
        <v>2733</v>
      </c>
      <c r="B1459" s="304" t="s">
        <v>2728</v>
      </c>
      <c r="C1459" s="305"/>
      <c r="D1459" s="29"/>
      <c r="E1459" s="29"/>
      <c r="F1459" s="255"/>
      <c r="G1459" s="256"/>
      <c r="H1459" s="256"/>
      <c r="I1459" s="200"/>
      <c r="J1459" s="30" t="s">
        <v>490</v>
      </c>
      <c r="K1459" s="200"/>
      <c r="L1459" s="200"/>
      <c r="M1459" s="37"/>
      <c r="N1459" s="37"/>
      <c r="O1459" s="45"/>
      <c r="P1459" s="54"/>
      <c r="Q1459" s="260"/>
      <c r="R1459" s="261"/>
      <c r="S1459" s="261"/>
      <c r="T1459" s="38"/>
      <c r="U1459" s="261"/>
      <c r="V1459" s="256"/>
      <c r="W1459" s="256"/>
      <c r="X1459" s="256"/>
      <c r="Y1459" s="256"/>
      <c r="Z1459" s="310"/>
      <c r="AA1459" s="200"/>
      <c r="AB1459" s="312"/>
      <c r="AC1459" s="313"/>
      <c r="AD1459" s="51"/>
      <c r="AE1459" s="52"/>
      <c r="AF1459" s="41"/>
      <c r="AG1459" s="45"/>
      <c r="AH1459" s="28"/>
      <c r="AI1459" s="28"/>
      <c r="AJ1459" s="28"/>
      <c r="AK1459" s="28"/>
      <c r="AL1459" s="12"/>
      <c r="AM1459" s="12"/>
      <c r="AN1459" s="12"/>
      <c r="AO1459" s="12"/>
      <c r="AP1459" s="12"/>
      <c r="AQ1459" s="13"/>
      <c r="AR1459" s="14"/>
    </row>
    <row r="1460" spans="1:44" s="16" customFormat="1" ht="30.95" customHeight="1" x14ac:dyDescent="0.2">
      <c r="A1460" s="303"/>
      <c r="B1460" s="304"/>
      <c r="C1460" s="305"/>
      <c r="D1460" s="29"/>
      <c r="E1460" s="29"/>
      <c r="F1460" s="255"/>
      <c r="G1460" s="256"/>
      <c r="H1460" s="256"/>
      <c r="I1460" s="200"/>
      <c r="J1460" s="30"/>
      <c r="K1460" s="200"/>
      <c r="L1460" s="200"/>
      <c r="M1460" s="37"/>
      <c r="N1460" s="37"/>
      <c r="O1460" s="45"/>
      <c r="P1460" s="54"/>
      <c r="Q1460" s="260"/>
      <c r="R1460" s="261"/>
      <c r="S1460" s="261"/>
      <c r="T1460" s="38"/>
      <c r="U1460" s="261"/>
      <c r="V1460" s="256"/>
      <c r="W1460" s="256"/>
      <c r="X1460" s="256"/>
      <c r="Y1460" s="256"/>
      <c r="Z1460" s="310"/>
      <c r="AA1460" s="200"/>
      <c r="AB1460" s="312"/>
      <c r="AC1460" s="313"/>
      <c r="AD1460" s="51"/>
      <c r="AE1460" s="52"/>
      <c r="AF1460" s="41"/>
      <c r="AG1460" s="45"/>
      <c r="AH1460" s="28"/>
      <c r="AI1460" s="28"/>
      <c r="AJ1460" s="28"/>
      <c r="AK1460" s="28"/>
      <c r="AL1460" s="12"/>
      <c r="AM1460" s="12"/>
      <c r="AN1460" s="12"/>
      <c r="AO1460" s="12"/>
      <c r="AP1460" s="12"/>
      <c r="AQ1460" s="13"/>
      <c r="AR1460" s="14"/>
    </row>
    <row r="1461" spans="1:44" s="16" customFormat="1" ht="30.95" customHeight="1" x14ac:dyDescent="0.2">
      <c r="A1461" s="303" t="s">
        <v>2734</v>
      </c>
      <c r="B1461" s="304" t="s">
        <v>2730</v>
      </c>
      <c r="C1461" s="305"/>
      <c r="D1461" s="29"/>
      <c r="E1461" s="29"/>
      <c r="F1461" s="255"/>
      <c r="G1461" s="256"/>
      <c r="H1461" s="256"/>
      <c r="I1461" s="200"/>
      <c r="J1461" s="30" t="s">
        <v>665</v>
      </c>
      <c r="K1461" s="200"/>
      <c r="L1461" s="200"/>
      <c r="M1461" s="37"/>
      <c r="N1461" s="37"/>
      <c r="O1461" s="45"/>
      <c r="P1461" s="54"/>
      <c r="Q1461" s="260"/>
      <c r="R1461" s="261"/>
      <c r="S1461" s="261"/>
      <c r="T1461" s="38"/>
      <c r="U1461" s="261"/>
      <c r="V1461" s="256"/>
      <c r="W1461" s="256"/>
      <c r="X1461" s="256"/>
      <c r="Y1461" s="256"/>
      <c r="Z1461" s="310"/>
      <c r="AA1461" s="200"/>
      <c r="AB1461" s="312"/>
      <c r="AC1461" s="313"/>
      <c r="AD1461" s="51"/>
      <c r="AE1461" s="52"/>
      <c r="AF1461" s="41"/>
      <c r="AG1461" s="45"/>
      <c r="AH1461" s="28"/>
      <c r="AI1461" s="28"/>
      <c r="AJ1461" s="28"/>
      <c r="AK1461" s="28"/>
      <c r="AL1461" s="12"/>
      <c r="AM1461" s="12"/>
      <c r="AN1461" s="12"/>
      <c r="AO1461" s="12"/>
      <c r="AP1461" s="12"/>
      <c r="AQ1461" s="13"/>
      <c r="AR1461" s="14"/>
    </row>
    <row r="1462" spans="1:44" s="16" customFormat="1" ht="30.95" customHeight="1" x14ac:dyDescent="0.2">
      <c r="A1462" s="303"/>
      <c r="B1462" s="304"/>
      <c r="C1462" s="305"/>
      <c r="D1462" s="29"/>
      <c r="E1462" s="29"/>
      <c r="F1462" s="255"/>
      <c r="G1462" s="256"/>
      <c r="H1462" s="256"/>
      <c r="I1462" s="200"/>
      <c r="J1462" s="30"/>
      <c r="K1462" s="200"/>
      <c r="L1462" s="200"/>
      <c r="M1462" s="37"/>
      <c r="N1462" s="37"/>
      <c r="O1462" s="45"/>
      <c r="P1462" s="54"/>
      <c r="Q1462" s="260"/>
      <c r="R1462" s="261"/>
      <c r="S1462" s="261"/>
      <c r="T1462" s="38"/>
      <c r="U1462" s="261"/>
      <c r="V1462" s="256"/>
      <c r="W1462" s="256"/>
      <c r="X1462" s="256"/>
      <c r="Y1462" s="256"/>
      <c r="Z1462" s="310"/>
      <c r="AA1462" s="200"/>
      <c r="AB1462" s="312"/>
      <c r="AC1462" s="313"/>
      <c r="AD1462" s="51"/>
      <c r="AE1462" s="52"/>
      <c r="AF1462" s="41"/>
      <c r="AG1462" s="45"/>
      <c r="AH1462" s="28"/>
      <c r="AI1462" s="28"/>
      <c r="AJ1462" s="28"/>
      <c r="AK1462" s="28"/>
      <c r="AL1462" s="12"/>
      <c r="AM1462" s="12"/>
      <c r="AN1462" s="12"/>
      <c r="AO1462" s="12"/>
      <c r="AP1462" s="12"/>
      <c r="AQ1462" s="13"/>
      <c r="AR1462" s="14"/>
    </row>
    <row r="1463" spans="1:44" s="16" customFormat="1" ht="30.95" customHeight="1" x14ac:dyDescent="0.2">
      <c r="A1463" s="303" t="s">
        <v>1068</v>
      </c>
      <c r="B1463" s="304" t="s">
        <v>445</v>
      </c>
      <c r="C1463" s="305"/>
      <c r="D1463" s="29"/>
      <c r="E1463" s="29"/>
      <c r="F1463" s="255"/>
      <c r="G1463" s="256"/>
      <c r="H1463" s="256"/>
      <c r="I1463" s="200"/>
      <c r="J1463" s="30" t="s">
        <v>448</v>
      </c>
      <c r="K1463" s="200"/>
      <c r="L1463" s="200"/>
      <c r="M1463" s="37"/>
      <c r="N1463" s="37"/>
      <c r="O1463" s="45"/>
      <c r="P1463" s="54"/>
      <c r="Q1463" s="260"/>
      <c r="R1463" s="261"/>
      <c r="S1463" s="261"/>
      <c r="T1463" s="38"/>
      <c r="U1463" s="261"/>
      <c r="V1463" s="256"/>
      <c r="W1463" s="256"/>
      <c r="X1463" s="256"/>
      <c r="Y1463" s="256"/>
      <c r="Z1463" s="310"/>
      <c r="AA1463" s="200"/>
      <c r="AB1463" s="312"/>
      <c r="AC1463" s="313"/>
      <c r="AD1463" s="51"/>
      <c r="AE1463" s="52"/>
      <c r="AF1463" s="41"/>
      <c r="AG1463" s="45"/>
      <c r="AH1463" s="28"/>
      <c r="AI1463" s="28"/>
      <c r="AJ1463" s="28"/>
      <c r="AK1463" s="28"/>
      <c r="AL1463" s="12"/>
      <c r="AM1463" s="12"/>
      <c r="AN1463" s="12"/>
      <c r="AO1463" s="12"/>
      <c r="AP1463" s="12"/>
      <c r="AQ1463" s="13"/>
      <c r="AR1463" s="14"/>
    </row>
    <row r="1464" spans="1:44" s="16" customFormat="1" ht="30.95" customHeight="1" x14ac:dyDescent="0.2">
      <c r="A1464" s="303"/>
      <c r="B1464" s="304"/>
      <c r="C1464" s="305"/>
      <c r="D1464" s="29"/>
      <c r="E1464" s="29"/>
      <c r="F1464" s="255"/>
      <c r="G1464" s="256"/>
      <c r="H1464" s="256"/>
      <c r="I1464" s="200"/>
      <c r="J1464" s="30"/>
      <c r="K1464" s="200"/>
      <c r="L1464" s="200"/>
      <c r="M1464" s="37"/>
      <c r="N1464" s="37"/>
      <c r="O1464" s="45"/>
      <c r="P1464" s="54"/>
      <c r="Q1464" s="260"/>
      <c r="R1464" s="261"/>
      <c r="S1464" s="261"/>
      <c r="T1464" s="38"/>
      <c r="U1464" s="261"/>
      <c r="V1464" s="256"/>
      <c r="W1464" s="256"/>
      <c r="X1464" s="256"/>
      <c r="Y1464" s="256"/>
      <c r="Z1464" s="310"/>
      <c r="AA1464" s="200"/>
      <c r="AB1464" s="312"/>
      <c r="AC1464" s="313"/>
      <c r="AD1464" s="51"/>
      <c r="AE1464" s="52"/>
      <c r="AF1464" s="41"/>
      <c r="AG1464" s="45"/>
      <c r="AH1464" s="28"/>
      <c r="AI1464" s="28"/>
      <c r="AJ1464" s="28"/>
      <c r="AK1464" s="28"/>
      <c r="AL1464" s="12"/>
      <c r="AM1464" s="12"/>
      <c r="AN1464" s="12"/>
      <c r="AO1464" s="12"/>
      <c r="AP1464" s="12"/>
      <c r="AQ1464" s="13"/>
      <c r="AR1464" s="14"/>
    </row>
    <row r="1465" spans="1:44" s="16" customFormat="1" ht="30.95" customHeight="1" x14ac:dyDescent="0.2">
      <c r="A1465" s="303" t="s">
        <v>1069</v>
      </c>
      <c r="B1465" s="304" t="s">
        <v>446</v>
      </c>
      <c r="C1465" s="305"/>
      <c r="D1465" s="29"/>
      <c r="E1465" s="29"/>
      <c r="F1465" s="255"/>
      <c r="G1465" s="256"/>
      <c r="H1465" s="256"/>
      <c r="I1465" s="200"/>
      <c r="J1465" s="30" t="s">
        <v>448</v>
      </c>
      <c r="K1465" s="200"/>
      <c r="L1465" s="200"/>
      <c r="M1465" s="37"/>
      <c r="N1465" s="37"/>
      <c r="O1465" s="45"/>
      <c r="P1465" s="54"/>
      <c r="Q1465" s="260"/>
      <c r="R1465" s="261"/>
      <c r="S1465" s="261"/>
      <c r="T1465" s="38"/>
      <c r="U1465" s="261"/>
      <c r="V1465" s="256"/>
      <c r="W1465" s="256"/>
      <c r="X1465" s="256"/>
      <c r="Y1465" s="256"/>
      <c r="Z1465" s="310"/>
      <c r="AA1465" s="200"/>
      <c r="AB1465" s="312"/>
      <c r="AC1465" s="313"/>
      <c r="AD1465" s="51"/>
      <c r="AE1465" s="52"/>
      <c r="AF1465" s="41"/>
      <c r="AG1465" s="45"/>
      <c r="AH1465" s="28"/>
      <c r="AI1465" s="28"/>
      <c r="AJ1465" s="28"/>
      <c r="AK1465" s="28"/>
      <c r="AL1465" s="12"/>
      <c r="AM1465" s="12"/>
      <c r="AN1465" s="12"/>
      <c r="AO1465" s="12"/>
      <c r="AP1465" s="12"/>
      <c r="AQ1465" s="13"/>
      <c r="AR1465" s="14"/>
    </row>
    <row r="1466" spans="1:44" s="16" customFormat="1" ht="30.95" customHeight="1" x14ac:dyDescent="0.2">
      <c r="A1466" s="303"/>
      <c r="B1466" s="304"/>
      <c r="C1466" s="305"/>
      <c r="D1466" s="29"/>
      <c r="E1466" s="29"/>
      <c r="F1466" s="255"/>
      <c r="G1466" s="256"/>
      <c r="H1466" s="256"/>
      <c r="I1466" s="200"/>
      <c r="J1466" s="30"/>
      <c r="K1466" s="200"/>
      <c r="L1466" s="200"/>
      <c r="M1466" s="37"/>
      <c r="N1466" s="37"/>
      <c r="O1466" s="45"/>
      <c r="P1466" s="54"/>
      <c r="Q1466" s="260"/>
      <c r="R1466" s="261"/>
      <c r="S1466" s="261"/>
      <c r="T1466" s="38"/>
      <c r="U1466" s="261"/>
      <c r="V1466" s="256"/>
      <c r="W1466" s="256"/>
      <c r="X1466" s="256"/>
      <c r="Y1466" s="256"/>
      <c r="Z1466" s="310"/>
      <c r="AA1466" s="200"/>
      <c r="AB1466" s="312"/>
      <c r="AC1466" s="313"/>
      <c r="AD1466" s="51"/>
      <c r="AE1466" s="52"/>
      <c r="AF1466" s="41"/>
      <c r="AG1466" s="45"/>
      <c r="AH1466" s="28"/>
      <c r="AI1466" s="28"/>
      <c r="AJ1466" s="28"/>
      <c r="AK1466" s="28"/>
      <c r="AL1466" s="12"/>
      <c r="AM1466" s="12"/>
      <c r="AN1466" s="12"/>
      <c r="AO1466" s="12"/>
      <c r="AP1466" s="12"/>
      <c r="AQ1466" s="13"/>
      <c r="AR1466" s="14"/>
    </row>
    <row r="1467" spans="1:44" s="16" customFormat="1" ht="30.95" customHeight="1" x14ac:dyDescent="0.2">
      <c r="A1467" s="303" t="s">
        <v>2793</v>
      </c>
      <c r="B1467" s="304" t="s">
        <v>2792</v>
      </c>
      <c r="C1467" s="305"/>
      <c r="D1467" s="29">
        <v>3754078</v>
      </c>
      <c r="E1467" s="29">
        <v>4170136</v>
      </c>
      <c r="F1467" s="255" t="str">
        <f>IF(D1467="","",VLOOKUP(D1467,契約台帳!$A$3:$K$4986,6,FALSE)&amp;VLOOKUP(D1467,契約台帳!$A$3:$K$4986,7,FALSE)&amp;VLOOKUP(D1467,契約台帳!$A$3:$K$4986,8,FALSE)&amp;VLOOKUP(D1467,契約台帳!$A$3:$K$4986,9,FALSE)&amp;VLOOKUP(D1467,契約台帳!$A$3:$K$4986,11,FALSE))</f>
        <v>3SNMLBMSF</v>
      </c>
      <c r="G1467" s="256" t="str">
        <f>IF(D1467="","",VLOOKUP(F1467,製品マスタ!$G$5:$H$4999,2,FALSE))</f>
        <v>S</v>
      </c>
      <c r="H1467" s="256" t="str">
        <f>IF(D1467="","",VLOOKUP(F1467,製品マスタ!$G$5:$K$4999,5,FALSE))</f>
        <v>MSF</v>
      </c>
      <c r="I1467" s="200" t="str">
        <f>IF(D1467="","",VLOOKUP(F1467,製品マスタ!$G$5:$L$4999,6,FALSE))</f>
        <v>メタルミー　Ｓ</v>
      </c>
      <c r="J1467" s="30" t="s">
        <v>464</v>
      </c>
      <c r="K1467" s="200">
        <f>IF(D1467="","",VLOOKUP(D1467,契約台帳!$A$3:$L$4986,12,FALSE))</f>
        <v>25</v>
      </c>
      <c r="L1467" s="200" t="str">
        <f>IF(D1467="","",INDEX(製品マスタ!$Q$5:$Q$4999,MATCH(F1467&amp;K1467,製品マスタ!$AO$5:$AO$4999,0)))</f>
        <v>T62M</v>
      </c>
      <c r="M1467" s="37">
        <v>1240</v>
      </c>
      <c r="N1467" s="37">
        <v>12200</v>
      </c>
      <c r="O1467" s="45">
        <v>1</v>
      </c>
      <c r="P1467" s="316">
        <v>45408</v>
      </c>
      <c r="Q1467" s="260">
        <f>IF(D1467="","",IF(J1467="リード付け",M1467,VLOOKUP(D1467,契約台帳!$A$3:$N$4986,14,FALSE)))</f>
        <v>1240</v>
      </c>
      <c r="R1467" s="261">
        <f>IF(D1467="","",IF(J1467="リード付け",M1467,VLOOKUP(D1467,契約台帳!$A$3:$O$4986,15,FALSE)))</f>
        <v>1240</v>
      </c>
      <c r="S1467" s="261">
        <f>IF(D1467="","",IF(J1467="リード付け",N1467,VLOOKUP(D1467,契約台帳!$A$3:$P$4986,16,FALSE)))</f>
        <v>12200</v>
      </c>
      <c r="T1467" s="38">
        <v>1</v>
      </c>
      <c r="U1467" s="261">
        <f ca="1">IF(D1467="","",IF(OFFSET(D1467,-2,0)=D1467,"",VLOOKUP(D1467,契約台帳!$A$3:$R$4986,18,FALSE)))</f>
        <v>12</v>
      </c>
      <c r="V1467" s="256" t="str">
        <f>IF(J1467="巻返し",VLOOKUP(F1467&amp;K1467&amp;M1467,製品マスタ!$M$5:$AD$4999,18,FALSE),IF(J1467="リード付け","原反コア",IF(J1467="スリット",VLOOKUP(F1467&amp;K1467&amp;Q1467,製品マスタ!$N$5:$AD$4999,17,FALSE),"")))</f>
        <v>原反コア</v>
      </c>
      <c r="W1467" s="256" t="str">
        <f>IF(J1467="巻返し",VLOOKUP(F1467&amp;K1467&amp;M1467,製品マスタ!$M$5:$AE$4999,19,FALSE),IF(J1467="リード付け","-",IF(J1467="スリット",VLOOKUP(F1467&amp;K1467&amp;Q1467,製品マスタ!$N$5:$AE$4999,18,FALSE),"")))</f>
        <v>-</v>
      </c>
      <c r="X1467" s="256">
        <f>IF(D1467="","",VLOOKUP(D1467,契約台帳!$A$3:$Q$4986,17,FALSE))</f>
        <v>1</v>
      </c>
      <c r="Y1467" s="256" t="str">
        <f>IF(D1467="","",VLOOKUP(D1467,契約台帳!$A$3:$E$4986,5,FALSE))</f>
        <v>日東シンコー㈱</v>
      </c>
      <c r="Z1467" s="310"/>
      <c r="AA1467" s="301"/>
      <c r="AB1467" s="312"/>
      <c r="AC1467" s="313"/>
      <c r="AD1467" s="51"/>
      <c r="AE1467" s="314"/>
      <c r="AF1467" s="315"/>
      <c r="AG1467" s="309"/>
      <c r="AH1467" s="28"/>
      <c r="AI1467" s="28"/>
      <c r="AJ1467" s="28"/>
      <c r="AK1467" s="28"/>
      <c r="AL1467" s="12"/>
      <c r="AM1467" s="12"/>
      <c r="AN1467" s="12"/>
      <c r="AO1467" s="12"/>
      <c r="AP1467" s="12"/>
      <c r="AQ1467" s="13"/>
      <c r="AR1467" s="14"/>
    </row>
    <row r="1468" spans="1:44" s="16" customFormat="1" ht="30.95" customHeight="1" x14ac:dyDescent="0.2">
      <c r="A1468" s="303"/>
      <c r="B1468" s="304"/>
      <c r="C1468" s="305"/>
      <c r="D1468" s="29"/>
      <c r="E1468" s="29"/>
      <c r="F1468" s="255"/>
      <c r="G1468" s="256"/>
      <c r="H1468" s="256"/>
      <c r="I1468" s="200"/>
      <c r="J1468" s="30"/>
      <c r="K1468" s="200"/>
      <c r="L1468" s="200"/>
      <c r="M1468" s="37"/>
      <c r="N1468" s="37"/>
      <c r="O1468" s="45"/>
      <c r="P1468" s="54"/>
      <c r="Q1468" s="260"/>
      <c r="R1468" s="261"/>
      <c r="S1468" s="261"/>
      <c r="T1468" s="38"/>
      <c r="U1468" s="261"/>
      <c r="V1468" s="256"/>
      <c r="W1468" s="256"/>
      <c r="X1468" s="256"/>
      <c r="Y1468" s="256"/>
      <c r="Z1468" s="310"/>
      <c r="AA1468" s="200"/>
      <c r="AB1468" s="312"/>
      <c r="AC1468" s="313"/>
      <c r="AD1468" s="51"/>
      <c r="AE1468" s="52"/>
      <c r="AF1468" s="41"/>
      <c r="AG1468" s="45"/>
      <c r="AH1468" s="28"/>
      <c r="AI1468" s="28"/>
      <c r="AJ1468" s="28"/>
      <c r="AK1468" s="28"/>
      <c r="AL1468" s="12"/>
      <c r="AM1468" s="12"/>
      <c r="AN1468" s="12"/>
      <c r="AO1468" s="12"/>
      <c r="AP1468" s="12"/>
      <c r="AQ1468" s="13"/>
      <c r="AR1468" s="14"/>
    </row>
    <row r="1469" spans="1:44" s="16" customFormat="1" ht="30.95" customHeight="1" x14ac:dyDescent="0.2">
      <c r="A1469" s="303"/>
      <c r="B1469" s="304"/>
      <c r="C1469" s="305"/>
      <c r="D1469" s="29">
        <v>3754079</v>
      </c>
      <c r="E1469" s="29">
        <v>4170137</v>
      </c>
      <c r="F1469" s="255" t="str">
        <f>IF(D1469="","",VLOOKUP(D1469,契約台帳!$A$3:$K$4986,6,FALSE)&amp;VLOOKUP(D1469,契約台帳!$A$3:$K$4986,7,FALSE)&amp;VLOOKUP(D1469,契約台帳!$A$3:$K$4986,8,FALSE)&amp;VLOOKUP(D1469,契約台帳!$A$3:$K$4986,9,FALSE)&amp;VLOOKUP(D1469,契約台帳!$A$3:$K$4986,11,FALSE))</f>
        <v>3SNMLBMSF</v>
      </c>
      <c r="G1469" s="256" t="str">
        <f>IF(D1469="","",VLOOKUP(F1469,製品マスタ!$G$5:$H$4999,2,FALSE))</f>
        <v>S</v>
      </c>
      <c r="H1469" s="256" t="str">
        <f>IF(D1469="","",VLOOKUP(F1469,製品マスタ!$G$5:$K$4999,5,FALSE))</f>
        <v>MSF</v>
      </c>
      <c r="I1469" s="200" t="str">
        <f>IF(D1469="","",VLOOKUP(F1469,製品マスタ!$G$5:$L$4999,6,FALSE))</f>
        <v>メタルミー　Ｓ</v>
      </c>
      <c r="J1469" s="30" t="s">
        <v>464</v>
      </c>
      <c r="K1469" s="200">
        <f>IF(D1469="","",VLOOKUP(D1469,契約台帳!$A$3:$L$4986,12,FALSE))</f>
        <v>25</v>
      </c>
      <c r="L1469" s="200" t="str">
        <f>IF(D1469="","",INDEX(製品マスタ!$Q$5:$Q$4999,MATCH(F1469&amp;K1469,製品マスタ!$AO$5:$AO$4999,0)))</f>
        <v>T62M</v>
      </c>
      <c r="M1469" s="37">
        <v>1240</v>
      </c>
      <c r="N1469" s="37">
        <v>12200</v>
      </c>
      <c r="O1469" s="45">
        <v>1</v>
      </c>
      <c r="P1469" s="316">
        <v>45408</v>
      </c>
      <c r="Q1469" s="260">
        <f>IF(D1469="","",IF(J1469="リード付け",M1469,VLOOKUP(D1469,契約台帳!$A$3:$N$4986,14,FALSE)))</f>
        <v>1240</v>
      </c>
      <c r="R1469" s="261">
        <f>IF(D1469="","",IF(J1469="リード付け",M1469,VLOOKUP(D1469,契約台帳!$A$3:$O$4986,15,FALSE)))</f>
        <v>1240</v>
      </c>
      <c r="S1469" s="261">
        <f>IF(D1469="","",IF(J1469="リード付け",N1469,VLOOKUP(D1469,契約台帳!$A$3:$P$4986,16,FALSE)))</f>
        <v>12200</v>
      </c>
      <c r="T1469" s="38">
        <v>1</v>
      </c>
      <c r="U1469" s="261">
        <f ca="1">IF(D1469="","",IF(OFFSET(D1469,-2,0)=D1469,"",VLOOKUP(D1469,契約台帳!$A$3:$R$4986,18,FALSE)))</f>
        <v>6</v>
      </c>
      <c r="V1469" s="256" t="str">
        <f>IF(J1469="巻返し",VLOOKUP(F1469&amp;K1469&amp;M1469,製品マスタ!$M$5:$AD$4999,18,FALSE),IF(J1469="リード付け","原反コア",IF(J1469="スリット",VLOOKUP(F1469&amp;K1469&amp;Q1469,製品マスタ!$N$5:$AD$4999,17,FALSE),"")))</f>
        <v>原反コア</v>
      </c>
      <c r="W1469" s="256" t="str">
        <f>IF(J1469="巻返し",VLOOKUP(F1469&amp;K1469&amp;M1469,製品マスタ!$M$5:$AE$4999,19,FALSE),IF(J1469="リード付け","-",IF(J1469="スリット",VLOOKUP(F1469&amp;K1469&amp;Q1469,製品マスタ!$N$5:$AE$4999,18,FALSE),"")))</f>
        <v>-</v>
      </c>
      <c r="X1469" s="256">
        <f>IF(D1469="","",VLOOKUP(D1469,契約台帳!$A$3:$Q$4986,17,FALSE))</f>
        <v>1</v>
      </c>
      <c r="Y1469" s="256" t="str">
        <f>IF(D1469="","",VLOOKUP(D1469,契約台帳!$A$3:$E$4986,5,FALSE))</f>
        <v>日精㈱東京支店</v>
      </c>
      <c r="Z1469" s="310"/>
      <c r="AA1469" s="301"/>
      <c r="AB1469" s="312"/>
      <c r="AC1469" s="313"/>
      <c r="AD1469" s="51"/>
      <c r="AE1469" s="314"/>
      <c r="AF1469" s="315"/>
      <c r="AG1469" s="309"/>
      <c r="AH1469" s="28"/>
      <c r="AI1469" s="28"/>
      <c r="AJ1469" s="28"/>
      <c r="AK1469" s="28"/>
      <c r="AL1469" s="12"/>
      <c r="AM1469" s="12"/>
      <c r="AN1469" s="12"/>
      <c r="AO1469" s="12"/>
      <c r="AP1469" s="12"/>
      <c r="AQ1469" s="13"/>
      <c r="AR1469" s="14"/>
    </row>
    <row r="1470" spans="1:44" s="16" customFormat="1" ht="30.95" customHeight="1" x14ac:dyDescent="0.2">
      <c r="A1470" s="303"/>
      <c r="B1470" s="304"/>
      <c r="C1470" s="305"/>
      <c r="D1470" s="29"/>
      <c r="E1470" s="29"/>
      <c r="F1470" s="255"/>
      <c r="G1470" s="256"/>
      <c r="H1470" s="256"/>
      <c r="I1470" s="200"/>
      <c r="J1470" s="30"/>
      <c r="K1470" s="200"/>
      <c r="L1470" s="200"/>
      <c r="M1470" s="37"/>
      <c r="N1470" s="37"/>
      <c r="O1470" s="45"/>
      <c r="P1470" s="54"/>
      <c r="Q1470" s="260"/>
      <c r="R1470" s="261"/>
      <c r="S1470" s="261"/>
      <c r="T1470" s="38"/>
      <c r="U1470" s="261"/>
      <c r="V1470" s="256"/>
      <c r="W1470" s="256"/>
      <c r="X1470" s="256"/>
      <c r="Y1470" s="256"/>
      <c r="Z1470" s="310"/>
      <c r="AA1470" s="200"/>
      <c r="AB1470" s="312"/>
      <c r="AC1470" s="313"/>
      <c r="AD1470" s="51"/>
      <c r="AE1470" s="52"/>
      <c r="AF1470" s="41"/>
      <c r="AG1470" s="45"/>
      <c r="AH1470" s="28"/>
      <c r="AI1470" s="28"/>
      <c r="AJ1470" s="28"/>
      <c r="AK1470" s="28"/>
      <c r="AL1470" s="12"/>
      <c r="AM1470" s="12"/>
      <c r="AN1470" s="12"/>
      <c r="AO1470" s="12"/>
      <c r="AP1470" s="12"/>
      <c r="AQ1470" s="13"/>
      <c r="AR1470" s="14"/>
    </row>
    <row r="1471" spans="1:44" s="16" customFormat="1" ht="30.95" customHeight="1" x14ac:dyDescent="0.2">
      <c r="A1471" s="303"/>
      <c r="B1471" s="304"/>
      <c r="C1471" s="305"/>
      <c r="D1471" s="29">
        <v>3754086</v>
      </c>
      <c r="E1471" s="29">
        <v>4170138</v>
      </c>
      <c r="F1471" s="255" t="str">
        <f>IF(D1471="","",VLOOKUP(D1471,契約台帳!$A$3:$K$4986,6,FALSE)&amp;VLOOKUP(D1471,契約台帳!$A$3:$K$4986,7,FALSE)&amp;VLOOKUP(D1471,契約台帳!$A$3:$K$4986,8,FALSE)&amp;VLOOKUP(D1471,契約台帳!$A$3:$K$4986,9,FALSE)&amp;VLOOKUP(D1471,契約台帳!$A$3:$K$4986,11,FALSE))</f>
        <v>3SNMLBMNGTBF</v>
      </c>
      <c r="G1471" s="256" t="str">
        <f>IF(D1471="","",VLOOKUP(F1471,製品マスタ!$G$5:$H$4999,2,FALSE))</f>
        <v>S</v>
      </c>
      <c r="H1471" s="256" t="str">
        <f>IF(D1471="","",VLOOKUP(F1471,製品マスタ!$G$5:$K$4999,5,FALSE))</f>
        <v>MNGTBF</v>
      </c>
      <c r="I1471" s="200" t="str">
        <f>IF(D1471="","",VLOOKUP(F1471,製品マスタ!$G$5:$L$4999,6,FALSE))</f>
        <v>メタルミー　ネーマー　銀艶　Ｂ</v>
      </c>
      <c r="J1471" s="30" t="s">
        <v>464</v>
      </c>
      <c r="K1471" s="200">
        <f>IF(D1471="","",VLOOKUP(D1471,契約台帳!$A$3:$L$4986,12,FALSE))</f>
        <v>25</v>
      </c>
      <c r="L1471" s="200" t="str">
        <f>IF(D1471="","",INDEX(製品マスタ!$Q$5:$Q$4999,MATCH(F1471&amp;K1471,製品マスタ!$AO$5:$AO$4999,0)))</f>
        <v>T62M</v>
      </c>
      <c r="M1471" s="37">
        <v>1005</v>
      </c>
      <c r="N1471" s="37">
        <v>12100</v>
      </c>
      <c r="O1471" s="45">
        <v>5</v>
      </c>
      <c r="P1471" s="316">
        <v>45408</v>
      </c>
      <c r="Q1471" s="260">
        <f>IF(D1471="","",IF(J1471="リード付け",M1471,VLOOKUP(D1471,契約台帳!$A$3:$N$4986,14,FALSE)))</f>
        <v>1005</v>
      </c>
      <c r="R1471" s="261">
        <f>IF(D1471="","",IF(J1471="リード付け",M1471,VLOOKUP(D1471,契約台帳!$A$3:$O$4986,15,FALSE)))</f>
        <v>1005</v>
      </c>
      <c r="S1471" s="261">
        <f>IF(D1471="","",IF(J1471="リード付け",N1471,VLOOKUP(D1471,契約台帳!$A$3:$P$4986,16,FALSE)))</f>
        <v>12100</v>
      </c>
      <c r="T1471" s="38">
        <v>5</v>
      </c>
      <c r="U1471" s="261">
        <f ca="1">IF(D1471="","",IF(OFFSET(D1471,-2,0)=D1471,"",VLOOKUP(D1471,契約台帳!$A$3:$R$4986,18,FALSE)))</f>
        <v>15</v>
      </c>
      <c r="V1471" s="256" t="str">
        <f>IF(J1471="巻返し",VLOOKUP(F1471&amp;K1471&amp;M1471,製品マスタ!$M$5:$AD$4999,18,FALSE),IF(J1471="リード付け","原反コア",IF(J1471="スリット",VLOOKUP(F1471&amp;K1471&amp;Q1471,製品マスタ!$N$5:$AD$4999,17,FALSE),"")))</f>
        <v>原反コア</v>
      </c>
      <c r="W1471" s="256" t="str">
        <f>IF(J1471="巻返し",VLOOKUP(F1471&amp;K1471&amp;M1471,製品マスタ!$M$5:$AE$4999,19,FALSE),IF(J1471="リード付け","-",IF(J1471="スリット",VLOOKUP(F1471&amp;K1471&amp;Q1471,製品マスタ!$N$5:$AE$4999,18,FALSE),"")))</f>
        <v>-</v>
      </c>
      <c r="X1471" s="256">
        <f>IF(D1471="","",VLOOKUP(D1471,契約台帳!$A$3:$Q$4986,17,FALSE))</f>
        <v>2</v>
      </c>
      <c r="Y1471" s="256" t="str">
        <f>IF(D1471="","",VLOOKUP(D1471,契約台帳!$A$3:$E$4986,5,FALSE))</f>
        <v>リンテック㈱</v>
      </c>
      <c r="Z1471" s="310"/>
      <c r="AA1471" s="301"/>
      <c r="AB1471" s="312"/>
      <c r="AC1471" s="313"/>
      <c r="AD1471" s="51"/>
      <c r="AE1471" s="314"/>
      <c r="AF1471" s="315"/>
      <c r="AG1471" s="309"/>
      <c r="AH1471" s="28"/>
      <c r="AI1471" s="28"/>
      <c r="AJ1471" s="28"/>
      <c r="AK1471" s="28"/>
      <c r="AL1471" s="12"/>
      <c r="AM1471" s="12"/>
      <c r="AN1471" s="12"/>
      <c r="AO1471" s="12"/>
      <c r="AP1471" s="12"/>
      <c r="AQ1471" s="13"/>
      <c r="AR1471" s="14"/>
    </row>
    <row r="1472" spans="1:44" s="16" customFormat="1" ht="30.95" customHeight="1" x14ac:dyDescent="0.2">
      <c r="A1472" s="303"/>
      <c r="B1472" s="304"/>
      <c r="C1472" s="305"/>
      <c r="D1472" s="29"/>
      <c r="E1472" s="29"/>
      <c r="F1472" s="255"/>
      <c r="G1472" s="256"/>
      <c r="H1472" s="256"/>
      <c r="I1472" s="200"/>
      <c r="J1472" s="30"/>
      <c r="K1472" s="200"/>
      <c r="L1472" s="200"/>
      <c r="M1472" s="37"/>
      <c r="N1472" s="37"/>
      <c r="O1472" s="45"/>
      <c r="P1472" s="54"/>
      <c r="Q1472" s="260"/>
      <c r="R1472" s="261"/>
      <c r="S1472" s="261"/>
      <c r="T1472" s="38"/>
      <c r="U1472" s="261"/>
      <c r="V1472" s="256"/>
      <c r="W1472" s="256"/>
      <c r="X1472" s="256"/>
      <c r="Y1472" s="256"/>
      <c r="Z1472" s="310"/>
      <c r="AA1472" s="200"/>
      <c r="AB1472" s="312"/>
      <c r="AC1472" s="313"/>
      <c r="AD1472" s="51"/>
      <c r="AE1472" s="52"/>
      <c r="AF1472" s="41"/>
      <c r="AG1472" s="45"/>
      <c r="AH1472" s="28"/>
      <c r="AI1472" s="28"/>
      <c r="AJ1472" s="28"/>
      <c r="AK1472" s="28"/>
      <c r="AL1472" s="12"/>
      <c r="AM1472" s="12"/>
      <c r="AN1472" s="12"/>
      <c r="AO1472" s="12"/>
      <c r="AP1472" s="12"/>
      <c r="AQ1472" s="13"/>
      <c r="AR1472" s="14"/>
    </row>
    <row r="1473" spans="1:44" s="16" customFormat="1" ht="30.95" customHeight="1" x14ac:dyDescent="0.2">
      <c r="A1473" s="303" t="s">
        <v>2794</v>
      </c>
      <c r="B1473" s="304" t="s">
        <v>2785</v>
      </c>
      <c r="C1473" s="305"/>
      <c r="D1473" s="29"/>
      <c r="E1473" s="29"/>
      <c r="F1473" s="255"/>
      <c r="G1473" s="256"/>
      <c r="H1473" s="256"/>
      <c r="I1473" s="200"/>
      <c r="J1473" s="30"/>
      <c r="K1473" s="200"/>
      <c r="L1473" s="200"/>
      <c r="M1473" s="37"/>
      <c r="N1473" s="37"/>
      <c r="O1473" s="45"/>
      <c r="P1473" s="54"/>
      <c r="Q1473" s="260"/>
      <c r="R1473" s="261"/>
      <c r="S1473" s="261"/>
      <c r="T1473" s="38"/>
      <c r="U1473" s="261"/>
      <c r="V1473" s="256"/>
      <c r="W1473" s="256"/>
      <c r="X1473" s="256"/>
      <c r="Y1473" s="256"/>
      <c r="Z1473" s="310"/>
      <c r="AA1473" s="200"/>
      <c r="AB1473" s="312"/>
      <c r="AC1473" s="313"/>
      <c r="AD1473" s="51"/>
      <c r="AE1473" s="52"/>
      <c r="AF1473" s="41"/>
      <c r="AG1473" s="45"/>
      <c r="AH1473" s="28"/>
      <c r="AI1473" s="28"/>
      <c r="AJ1473" s="28"/>
      <c r="AK1473" s="28"/>
      <c r="AL1473" s="12"/>
      <c r="AM1473" s="12"/>
      <c r="AN1473" s="12"/>
      <c r="AO1473" s="12"/>
      <c r="AP1473" s="12"/>
      <c r="AQ1473" s="13"/>
      <c r="AR1473" s="14"/>
    </row>
    <row r="1474" spans="1:44" s="16" customFormat="1" ht="30.95" customHeight="1" x14ac:dyDescent="0.2">
      <c r="A1474" s="303"/>
      <c r="B1474" s="304"/>
      <c r="C1474" s="305"/>
      <c r="D1474" s="29"/>
      <c r="E1474" s="29"/>
      <c r="F1474" s="255"/>
      <c r="G1474" s="256"/>
      <c r="H1474" s="256"/>
      <c r="I1474" s="200"/>
      <c r="J1474" s="30"/>
      <c r="K1474" s="200"/>
      <c r="L1474" s="200"/>
      <c r="M1474" s="37"/>
      <c r="N1474" s="37"/>
      <c r="O1474" s="45"/>
      <c r="P1474" s="54"/>
      <c r="Q1474" s="260"/>
      <c r="R1474" s="261"/>
      <c r="S1474" s="261"/>
      <c r="T1474" s="38"/>
      <c r="U1474" s="261"/>
      <c r="V1474" s="256"/>
      <c r="W1474" s="256"/>
      <c r="X1474" s="256"/>
      <c r="Y1474" s="256"/>
      <c r="Z1474" s="310"/>
      <c r="AA1474" s="200"/>
      <c r="AB1474" s="312"/>
      <c r="AC1474" s="313"/>
      <c r="AD1474" s="51"/>
      <c r="AE1474" s="52"/>
      <c r="AF1474" s="41"/>
      <c r="AG1474" s="45"/>
      <c r="AH1474" s="28"/>
      <c r="AI1474" s="28"/>
      <c r="AJ1474" s="28"/>
      <c r="AK1474" s="28"/>
      <c r="AL1474" s="12"/>
      <c r="AM1474" s="12"/>
      <c r="AN1474" s="12"/>
      <c r="AO1474" s="12"/>
      <c r="AP1474" s="12"/>
      <c r="AQ1474" s="13"/>
      <c r="AR1474" s="14"/>
    </row>
    <row r="1475" spans="1:44" s="16" customFormat="1" ht="30.95" customHeight="1" x14ac:dyDescent="0.2">
      <c r="A1475" s="303" t="s">
        <v>2780</v>
      </c>
      <c r="B1475" s="304" t="s">
        <v>2781</v>
      </c>
      <c r="C1475" s="305"/>
      <c r="D1475" s="29"/>
      <c r="E1475" s="29"/>
      <c r="F1475" s="255"/>
      <c r="G1475" s="256"/>
      <c r="H1475" s="256"/>
      <c r="I1475" s="200"/>
      <c r="J1475" s="30"/>
      <c r="K1475" s="200"/>
      <c r="L1475" s="200"/>
      <c r="M1475" s="37"/>
      <c r="N1475" s="37"/>
      <c r="O1475" s="45"/>
      <c r="P1475" s="54"/>
      <c r="Q1475" s="260"/>
      <c r="R1475" s="261"/>
      <c r="S1475" s="261"/>
      <c r="T1475" s="38"/>
      <c r="U1475" s="261"/>
      <c r="V1475" s="256"/>
      <c r="W1475" s="256"/>
      <c r="X1475" s="256"/>
      <c r="Y1475" s="256"/>
      <c r="Z1475" s="310"/>
      <c r="AA1475" s="200"/>
      <c r="AB1475" s="312"/>
      <c r="AC1475" s="313"/>
      <c r="AD1475" s="51"/>
      <c r="AE1475" s="52"/>
      <c r="AF1475" s="41"/>
      <c r="AG1475" s="45"/>
      <c r="AH1475" s="28"/>
      <c r="AI1475" s="28"/>
      <c r="AJ1475" s="28"/>
      <c r="AK1475" s="28"/>
      <c r="AL1475" s="12"/>
      <c r="AM1475" s="12"/>
      <c r="AN1475" s="12"/>
      <c r="AO1475" s="12"/>
      <c r="AP1475" s="12"/>
      <c r="AQ1475" s="13"/>
      <c r="AR1475" s="14"/>
    </row>
    <row r="1476" spans="1:44" s="16" customFormat="1" ht="30.95" customHeight="1" x14ac:dyDescent="0.2">
      <c r="A1476" s="303"/>
      <c r="B1476" s="304"/>
      <c r="C1476" s="305"/>
      <c r="D1476" s="29"/>
      <c r="E1476" s="29"/>
      <c r="F1476" s="255"/>
      <c r="G1476" s="256"/>
      <c r="H1476" s="256"/>
      <c r="I1476" s="200"/>
      <c r="J1476" s="30"/>
      <c r="K1476" s="200"/>
      <c r="L1476" s="200"/>
      <c r="M1476" s="37"/>
      <c r="N1476" s="37"/>
      <c r="O1476" s="45"/>
      <c r="P1476" s="54"/>
      <c r="Q1476" s="260"/>
      <c r="R1476" s="261"/>
      <c r="S1476" s="261"/>
      <c r="T1476" s="38"/>
      <c r="U1476" s="261"/>
      <c r="V1476" s="256"/>
      <c r="W1476" s="256"/>
      <c r="X1476" s="256"/>
      <c r="Y1476" s="256"/>
      <c r="Z1476" s="310"/>
      <c r="AA1476" s="200"/>
      <c r="AB1476" s="312"/>
      <c r="AC1476" s="313"/>
      <c r="AD1476" s="51"/>
      <c r="AE1476" s="52"/>
      <c r="AF1476" s="41"/>
      <c r="AG1476" s="45"/>
      <c r="AH1476" s="28"/>
      <c r="AI1476" s="28"/>
      <c r="AJ1476" s="28"/>
      <c r="AK1476" s="28"/>
      <c r="AL1476" s="12"/>
      <c r="AM1476" s="12"/>
      <c r="AN1476" s="12"/>
      <c r="AO1476" s="12"/>
      <c r="AP1476" s="12"/>
      <c r="AQ1476" s="13"/>
      <c r="AR1476" s="14"/>
    </row>
    <row r="1477" spans="1:44" s="16" customFormat="1" ht="30.95" customHeight="1" x14ac:dyDescent="0.2">
      <c r="A1477" s="303" t="s">
        <v>2782</v>
      </c>
      <c r="B1477" s="304" t="s">
        <v>2783</v>
      </c>
      <c r="C1477" s="305"/>
      <c r="D1477" s="29"/>
      <c r="E1477" s="29"/>
      <c r="F1477" s="255"/>
      <c r="G1477" s="256"/>
      <c r="H1477" s="256"/>
      <c r="I1477" s="200"/>
      <c r="J1477" s="30"/>
      <c r="K1477" s="200"/>
      <c r="L1477" s="200"/>
      <c r="M1477" s="37"/>
      <c r="N1477" s="37"/>
      <c r="O1477" s="45"/>
      <c r="P1477" s="54"/>
      <c r="Q1477" s="260"/>
      <c r="R1477" s="261"/>
      <c r="S1477" s="261"/>
      <c r="T1477" s="38"/>
      <c r="U1477" s="261"/>
      <c r="V1477" s="256"/>
      <c r="W1477" s="256"/>
      <c r="X1477" s="256"/>
      <c r="Y1477" s="256"/>
      <c r="Z1477" s="310"/>
      <c r="AA1477" s="200"/>
      <c r="AB1477" s="312"/>
      <c r="AC1477" s="313"/>
      <c r="AD1477" s="51"/>
      <c r="AE1477" s="52"/>
      <c r="AF1477" s="41"/>
      <c r="AG1477" s="45"/>
      <c r="AH1477" s="28"/>
      <c r="AI1477" s="28"/>
      <c r="AJ1477" s="28"/>
      <c r="AK1477" s="28"/>
      <c r="AL1477" s="12"/>
      <c r="AM1477" s="12"/>
      <c r="AN1477" s="12"/>
      <c r="AO1477" s="12"/>
      <c r="AP1477" s="12"/>
      <c r="AQ1477" s="13"/>
      <c r="AR1477" s="14"/>
    </row>
    <row r="1478" spans="1:44" s="16" customFormat="1" ht="30.95" customHeight="1" x14ac:dyDescent="0.2">
      <c r="A1478" s="303"/>
      <c r="B1478" s="304"/>
      <c r="C1478" s="305"/>
      <c r="D1478" s="29"/>
      <c r="E1478" s="29"/>
      <c r="F1478" s="255"/>
      <c r="G1478" s="256"/>
      <c r="H1478" s="256"/>
      <c r="I1478" s="200"/>
      <c r="J1478" s="30"/>
      <c r="K1478" s="200"/>
      <c r="L1478" s="200"/>
      <c r="M1478" s="37"/>
      <c r="N1478" s="37"/>
      <c r="O1478" s="45"/>
      <c r="P1478" s="54"/>
      <c r="Q1478" s="260"/>
      <c r="R1478" s="261"/>
      <c r="S1478" s="261"/>
      <c r="T1478" s="38"/>
      <c r="U1478" s="261"/>
      <c r="V1478" s="256"/>
      <c r="W1478" s="256"/>
      <c r="X1478" s="256"/>
      <c r="Y1478" s="256"/>
      <c r="Z1478" s="310"/>
      <c r="AA1478" s="200"/>
      <c r="AB1478" s="312"/>
      <c r="AC1478" s="313"/>
      <c r="AD1478" s="51"/>
      <c r="AE1478" s="52"/>
      <c r="AF1478" s="41"/>
      <c r="AG1478" s="45"/>
      <c r="AH1478" s="28"/>
      <c r="AI1478" s="28"/>
      <c r="AJ1478" s="28"/>
      <c r="AK1478" s="28"/>
      <c r="AL1478" s="12"/>
      <c r="AM1478" s="12"/>
      <c r="AN1478" s="12"/>
      <c r="AO1478" s="12"/>
      <c r="AP1478" s="12"/>
      <c r="AQ1478" s="13"/>
      <c r="AR1478" s="14"/>
    </row>
    <row r="1479" spans="1:44" s="16" customFormat="1" ht="30.95" customHeight="1" x14ac:dyDescent="0.2">
      <c r="A1479" s="303" t="s">
        <v>2795</v>
      </c>
      <c r="B1479" s="304" t="s">
        <v>2787</v>
      </c>
      <c r="C1479" s="305"/>
      <c r="D1479" s="29"/>
      <c r="E1479" s="29"/>
      <c r="F1479" s="255"/>
      <c r="G1479" s="256"/>
      <c r="H1479" s="256"/>
      <c r="I1479" s="200"/>
      <c r="J1479" s="30" t="s">
        <v>448</v>
      </c>
      <c r="K1479" s="200"/>
      <c r="L1479" s="200"/>
      <c r="M1479" s="37"/>
      <c r="N1479" s="37"/>
      <c r="O1479" s="45"/>
      <c r="P1479" s="54"/>
      <c r="Q1479" s="260"/>
      <c r="R1479" s="261"/>
      <c r="S1479" s="261"/>
      <c r="T1479" s="38"/>
      <c r="U1479" s="261"/>
      <c r="V1479" s="256"/>
      <c r="W1479" s="256"/>
      <c r="X1479" s="256"/>
      <c r="Y1479" s="256"/>
      <c r="Z1479" s="310"/>
      <c r="AA1479" s="200"/>
      <c r="AB1479" s="312"/>
      <c r="AC1479" s="313"/>
      <c r="AD1479" s="51"/>
      <c r="AE1479" s="52"/>
      <c r="AF1479" s="41"/>
      <c r="AG1479" s="45"/>
      <c r="AH1479" s="28"/>
      <c r="AI1479" s="28"/>
      <c r="AJ1479" s="28"/>
      <c r="AK1479" s="28"/>
      <c r="AL1479" s="12"/>
      <c r="AM1479" s="12"/>
      <c r="AN1479" s="12"/>
      <c r="AO1479" s="12"/>
      <c r="AP1479" s="12"/>
      <c r="AQ1479" s="13"/>
      <c r="AR1479" s="14"/>
    </row>
    <row r="1480" spans="1:44" s="16" customFormat="1" ht="30.95" customHeight="1" x14ac:dyDescent="0.2">
      <c r="A1480" s="303"/>
      <c r="B1480" s="304"/>
      <c r="C1480" s="305"/>
      <c r="D1480" s="29"/>
      <c r="E1480" s="29"/>
      <c r="F1480" s="255"/>
      <c r="G1480" s="256"/>
      <c r="H1480" s="256"/>
      <c r="I1480" s="200"/>
      <c r="J1480" s="30"/>
      <c r="K1480" s="200"/>
      <c r="L1480" s="200"/>
      <c r="M1480" s="37"/>
      <c r="N1480" s="37"/>
      <c r="O1480" s="45"/>
      <c r="P1480" s="54"/>
      <c r="Q1480" s="260"/>
      <c r="R1480" s="261"/>
      <c r="S1480" s="261"/>
      <c r="T1480" s="38"/>
      <c r="U1480" s="261"/>
      <c r="V1480" s="256"/>
      <c r="W1480" s="256"/>
      <c r="X1480" s="256"/>
      <c r="Y1480" s="256"/>
      <c r="Z1480" s="310"/>
      <c r="AA1480" s="200"/>
      <c r="AB1480" s="312"/>
      <c r="AC1480" s="313"/>
      <c r="AD1480" s="51"/>
      <c r="AE1480" s="52"/>
      <c r="AF1480" s="41"/>
      <c r="AG1480" s="45"/>
      <c r="AH1480" s="28"/>
      <c r="AI1480" s="28"/>
      <c r="AJ1480" s="28"/>
      <c r="AK1480" s="28"/>
      <c r="AL1480" s="12"/>
      <c r="AM1480" s="12"/>
      <c r="AN1480" s="12"/>
      <c r="AO1480" s="12"/>
      <c r="AP1480" s="12"/>
      <c r="AQ1480" s="13"/>
      <c r="AR1480" s="14"/>
    </row>
    <row r="1481" spans="1:44" s="16" customFormat="1" ht="30.95" customHeight="1" x14ac:dyDescent="0.2">
      <c r="A1481" s="303" t="s">
        <v>2796</v>
      </c>
      <c r="B1481" s="304" t="s">
        <v>2788</v>
      </c>
      <c r="C1481" s="305"/>
      <c r="D1481" s="29"/>
      <c r="E1481" s="29"/>
      <c r="F1481" s="255"/>
      <c r="G1481" s="256"/>
      <c r="H1481" s="256"/>
      <c r="I1481" s="200"/>
      <c r="J1481" s="30" t="s">
        <v>448</v>
      </c>
      <c r="K1481" s="200"/>
      <c r="L1481" s="200"/>
      <c r="M1481" s="37"/>
      <c r="N1481" s="37"/>
      <c r="O1481" s="45"/>
      <c r="P1481" s="54"/>
      <c r="Q1481" s="260"/>
      <c r="R1481" s="261"/>
      <c r="S1481" s="261"/>
      <c r="T1481" s="38"/>
      <c r="U1481" s="261"/>
      <c r="V1481" s="256"/>
      <c r="W1481" s="256"/>
      <c r="X1481" s="256"/>
      <c r="Y1481" s="256"/>
      <c r="Z1481" s="310"/>
      <c r="AA1481" s="200"/>
      <c r="AB1481" s="312"/>
      <c r="AC1481" s="313"/>
      <c r="AD1481" s="51"/>
      <c r="AE1481" s="52"/>
      <c r="AF1481" s="41"/>
      <c r="AG1481" s="45"/>
      <c r="AH1481" s="28"/>
      <c r="AI1481" s="28"/>
      <c r="AJ1481" s="28"/>
      <c r="AK1481" s="28"/>
      <c r="AL1481" s="12"/>
      <c r="AM1481" s="12"/>
      <c r="AN1481" s="12"/>
      <c r="AO1481" s="12"/>
      <c r="AP1481" s="12"/>
      <c r="AQ1481" s="13"/>
      <c r="AR1481" s="14"/>
    </row>
    <row r="1482" spans="1:44" s="16" customFormat="1" ht="30.95" customHeight="1" x14ac:dyDescent="0.2">
      <c r="A1482" s="303"/>
      <c r="B1482" s="304"/>
      <c r="C1482" s="305"/>
      <c r="D1482" s="29"/>
      <c r="E1482" s="29"/>
      <c r="F1482" s="255"/>
      <c r="G1482" s="256"/>
      <c r="H1482" s="256"/>
      <c r="I1482" s="200"/>
      <c r="J1482" s="30"/>
      <c r="K1482" s="200"/>
      <c r="L1482" s="200"/>
      <c r="M1482" s="37"/>
      <c r="N1482" s="37"/>
      <c r="O1482" s="45"/>
      <c r="P1482" s="54"/>
      <c r="Q1482" s="260"/>
      <c r="R1482" s="261"/>
      <c r="S1482" s="261"/>
      <c r="T1482" s="38"/>
      <c r="U1482" s="261"/>
      <c r="V1482" s="256"/>
      <c r="W1482" s="256"/>
      <c r="X1482" s="256"/>
      <c r="Y1482" s="256"/>
      <c r="Z1482" s="310"/>
      <c r="AA1482" s="200"/>
      <c r="AB1482" s="312"/>
      <c r="AC1482" s="313"/>
      <c r="AD1482" s="51"/>
      <c r="AE1482" s="52"/>
      <c r="AF1482" s="41"/>
      <c r="AG1482" s="45"/>
      <c r="AH1482" s="28"/>
      <c r="AI1482" s="28"/>
      <c r="AJ1482" s="28"/>
      <c r="AK1482" s="28"/>
      <c r="AL1482" s="12"/>
      <c r="AM1482" s="12"/>
      <c r="AN1482" s="12"/>
      <c r="AO1482" s="12"/>
      <c r="AP1482" s="12"/>
      <c r="AQ1482" s="13"/>
      <c r="AR1482" s="14"/>
    </row>
    <row r="1483" spans="1:44" s="16" customFormat="1" ht="30.95" customHeight="1" x14ac:dyDescent="0.2">
      <c r="A1483" s="303" t="s">
        <v>2797</v>
      </c>
      <c r="B1483" s="304" t="s">
        <v>2790</v>
      </c>
      <c r="C1483" s="305"/>
      <c r="D1483" s="29"/>
      <c r="E1483" s="29"/>
      <c r="F1483" s="255"/>
      <c r="G1483" s="256"/>
      <c r="H1483" s="256"/>
      <c r="I1483" s="200"/>
      <c r="J1483" s="30" t="s">
        <v>448</v>
      </c>
      <c r="K1483" s="200"/>
      <c r="L1483" s="200"/>
      <c r="M1483" s="37"/>
      <c r="N1483" s="37"/>
      <c r="O1483" s="45"/>
      <c r="P1483" s="54"/>
      <c r="Q1483" s="260"/>
      <c r="R1483" s="261"/>
      <c r="S1483" s="261"/>
      <c r="T1483" s="38"/>
      <c r="U1483" s="261"/>
      <c r="V1483" s="256"/>
      <c r="W1483" s="256"/>
      <c r="X1483" s="256"/>
      <c r="Y1483" s="256"/>
      <c r="Z1483" s="310"/>
      <c r="AA1483" s="200"/>
      <c r="AB1483" s="312"/>
      <c r="AC1483" s="313"/>
      <c r="AD1483" s="51"/>
      <c r="AE1483" s="52"/>
      <c r="AF1483" s="41"/>
      <c r="AG1483" s="45"/>
      <c r="AH1483" s="28"/>
      <c r="AI1483" s="28"/>
      <c r="AJ1483" s="28"/>
      <c r="AK1483" s="28"/>
      <c r="AL1483" s="12"/>
      <c r="AM1483" s="12"/>
      <c r="AN1483" s="12"/>
      <c r="AO1483" s="12"/>
      <c r="AP1483" s="12"/>
      <c r="AQ1483" s="13"/>
      <c r="AR1483" s="14"/>
    </row>
    <row r="1484" spans="1:44" s="16" customFormat="1" ht="30.95" customHeight="1" x14ac:dyDescent="0.2">
      <c r="A1484" s="303"/>
      <c r="B1484" s="304"/>
      <c r="C1484" s="305"/>
      <c r="D1484" s="29"/>
      <c r="E1484" s="29"/>
      <c r="F1484" s="255"/>
      <c r="G1484" s="256"/>
      <c r="H1484" s="256"/>
      <c r="I1484" s="200"/>
      <c r="J1484" s="30"/>
      <c r="K1484" s="200"/>
      <c r="L1484" s="200"/>
      <c r="M1484" s="37"/>
      <c r="N1484" s="37"/>
      <c r="O1484" s="45"/>
      <c r="P1484" s="54"/>
      <c r="Q1484" s="260"/>
      <c r="R1484" s="261"/>
      <c r="S1484" s="261"/>
      <c r="T1484" s="38"/>
      <c r="U1484" s="261"/>
      <c r="V1484" s="256"/>
      <c r="W1484" s="256"/>
      <c r="X1484" s="256"/>
      <c r="Y1484" s="256"/>
      <c r="Z1484" s="310"/>
      <c r="AA1484" s="200"/>
      <c r="AB1484" s="312"/>
      <c r="AC1484" s="313"/>
      <c r="AD1484" s="51"/>
      <c r="AE1484" s="52"/>
      <c r="AF1484" s="41"/>
      <c r="AG1484" s="45"/>
      <c r="AH1484" s="28"/>
      <c r="AI1484" s="28"/>
      <c r="AJ1484" s="28"/>
      <c r="AK1484" s="28"/>
      <c r="AL1484" s="12"/>
      <c r="AM1484" s="12"/>
      <c r="AN1484" s="12"/>
      <c r="AO1484" s="12"/>
      <c r="AP1484" s="12"/>
      <c r="AQ1484" s="13"/>
      <c r="AR1484" s="14"/>
    </row>
    <row r="1485" spans="1:44" s="16" customFormat="1" ht="30.95" customHeight="1" x14ac:dyDescent="0.2">
      <c r="A1485" s="303" t="s">
        <v>2798</v>
      </c>
      <c r="B1485" s="304" t="s">
        <v>2792</v>
      </c>
      <c r="C1485" s="305"/>
      <c r="D1485" s="29"/>
      <c r="E1485" s="29"/>
      <c r="F1485" s="255"/>
      <c r="G1485" s="256"/>
      <c r="H1485" s="256"/>
      <c r="I1485" s="200"/>
      <c r="J1485" s="30" t="s">
        <v>448</v>
      </c>
      <c r="K1485" s="200"/>
      <c r="L1485" s="200"/>
      <c r="M1485" s="37"/>
      <c r="N1485" s="37"/>
      <c r="O1485" s="45"/>
      <c r="P1485" s="54"/>
      <c r="Q1485" s="260"/>
      <c r="R1485" s="261"/>
      <c r="S1485" s="261"/>
      <c r="T1485" s="38"/>
      <c r="U1485" s="261"/>
      <c r="V1485" s="256"/>
      <c r="W1485" s="256"/>
      <c r="X1485" s="256"/>
      <c r="Y1485" s="256"/>
      <c r="Z1485" s="310"/>
      <c r="AA1485" s="200"/>
      <c r="AB1485" s="312"/>
      <c r="AC1485" s="313"/>
      <c r="AD1485" s="51"/>
      <c r="AE1485" s="52"/>
      <c r="AF1485" s="41"/>
      <c r="AG1485" s="45"/>
      <c r="AH1485" s="28"/>
      <c r="AI1485" s="28"/>
      <c r="AJ1485" s="28"/>
      <c r="AK1485" s="28"/>
      <c r="AL1485" s="12"/>
      <c r="AM1485" s="12"/>
      <c r="AN1485" s="12"/>
      <c r="AO1485" s="12"/>
      <c r="AP1485" s="12"/>
      <c r="AQ1485" s="13"/>
      <c r="AR1485" s="14"/>
    </row>
    <row r="1486" spans="1:44" s="16" customFormat="1" ht="30.95" customHeight="1" x14ac:dyDescent="0.2">
      <c r="A1486" s="303"/>
      <c r="B1486" s="304"/>
      <c r="C1486" s="305"/>
      <c r="D1486" s="29"/>
      <c r="E1486" s="29"/>
      <c r="F1486" s="255"/>
      <c r="G1486" s="256"/>
      <c r="H1486" s="256"/>
      <c r="I1486" s="200"/>
      <c r="J1486" s="30"/>
      <c r="K1486" s="200"/>
      <c r="L1486" s="200"/>
      <c r="M1486" s="37"/>
      <c r="N1486" s="37"/>
      <c r="O1486" s="45"/>
      <c r="P1486" s="54"/>
      <c r="Q1486" s="260"/>
      <c r="R1486" s="261"/>
      <c r="S1486" s="261"/>
      <c r="T1486" s="38"/>
      <c r="U1486" s="261"/>
      <c r="V1486" s="256"/>
      <c r="W1486" s="256"/>
      <c r="X1486" s="256"/>
      <c r="Y1486" s="256"/>
      <c r="Z1486" s="310"/>
      <c r="AA1486" s="200"/>
      <c r="AB1486" s="312"/>
      <c r="AC1486" s="313"/>
      <c r="AD1486" s="51"/>
      <c r="AE1486" s="52"/>
      <c r="AF1486" s="41"/>
      <c r="AG1486" s="45"/>
      <c r="AH1486" s="28"/>
      <c r="AI1486" s="28"/>
      <c r="AJ1486" s="28"/>
      <c r="AK1486" s="28"/>
      <c r="AL1486" s="12"/>
      <c r="AM1486" s="12"/>
      <c r="AN1486" s="12"/>
      <c r="AO1486" s="12"/>
      <c r="AP1486" s="12"/>
      <c r="AQ1486" s="13"/>
      <c r="AR1486" s="14"/>
    </row>
    <row r="1487" spans="1:44" s="16" customFormat="1" ht="30.95" customHeight="1" x14ac:dyDescent="0.2">
      <c r="A1487" s="303" t="s">
        <v>2784</v>
      </c>
      <c r="B1487" s="304" t="s">
        <v>2785</v>
      </c>
      <c r="C1487" s="305"/>
      <c r="D1487" s="29"/>
      <c r="E1487" s="29"/>
      <c r="F1487" s="255"/>
      <c r="G1487" s="256"/>
      <c r="H1487" s="256"/>
      <c r="I1487" s="200"/>
      <c r="J1487" s="30"/>
      <c r="K1487" s="200"/>
      <c r="L1487" s="200"/>
      <c r="M1487" s="37"/>
      <c r="N1487" s="37"/>
      <c r="O1487" s="45"/>
      <c r="P1487" s="54"/>
      <c r="Q1487" s="260"/>
      <c r="R1487" s="261"/>
      <c r="S1487" s="261"/>
      <c r="T1487" s="38"/>
      <c r="U1487" s="261"/>
      <c r="V1487" s="256"/>
      <c r="W1487" s="256"/>
      <c r="X1487" s="256"/>
      <c r="Y1487" s="256"/>
      <c r="Z1487" s="310"/>
      <c r="AA1487" s="200"/>
      <c r="AB1487" s="312"/>
      <c r="AC1487" s="313"/>
      <c r="AD1487" s="51"/>
      <c r="AE1487" s="52"/>
      <c r="AF1487" s="41"/>
      <c r="AG1487" s="45"/>
      <c r="AH1487" s="28"/>
      <c r="AI1487" s="28"/>
      <c r="AJ1487" s="28"/>
      <c r="AK1487" s="28"/>
      <c r="AL1487" s="12"/>
      <c r="AM1487" s="12"/>
      <c r="AN1487" s="12"/>
      <c r="AO1487" s="12"/>
      <c r="AP1487" s="12"/>
      <c r="AQ1487" s="13"/>
      <c r="AR1487" s="14"/>
    </row>
    <row r="1488" spans="1:44" s="16" customFormat="1" ht="30.95" customHeight="1" x14ac:dyDescent="0.2">
      <c r="A1488" s="303"/>
      <c r="B1488" s="304"/>
      <c r="C1488" s="305"/>
      <c r="D1488" s="29"/>
      <c r="E1488" s="29"/>
      <c r="F1488" s="255"/>
      <c r="G1488" s="256"/>
      <c r="H1488" s="256"/>
      <c r="I1488" s="200"/>
      <c r="J1488" s="30"/>
      <c r="K1488" s="200"/>
      <c r="L1488" s="200"/>
      <c r="M1488" s="37"/>
      <c r="N1488" s="37"/>
      <c r="O1488" s="45"/>
      <c r="P1488" s="54"/>
      <c r="Q1488" s="260"/>
      <c r="R1488" s="261"/>
      <c r="S1488" s="261"/>
      <c r="T1488" s="38"/>
      <c r="U1488" s="261"/>
      <c r="V1488" s="256"/>
      <c r="W1488" s="256"/>
      <c r="X1488" s="256"/>
      <c r="Y1488" s="256"/>
      <c r="Z1488" s="310"/>
      <c r="AA1488" s="200"/>
      <c r="AB1488" s="312"/>
      <c r="AC1488" s="313"/>
      <c r="AD1488" s="51"/>
      <c r="AE1488" s="52"/>
      <c r="AF1488" s="41"/>
      <c r="AG1488" s="45"/>
      <c r="AH1488" s="28"/>
      <c r="AI1488" s="28"/>
      <c r="AJ1488" s="28"/>
      <c r="AK1488" s="28"/>
      <c r="AL1488" s="12"/>
      <c r="AM1488" s="12"/>
      <c r="AN1488" s="12"/>
      <c r="AO1488" s="12"/>
      <c r="AP1488" s="12"/>
      <c r="AQ1488" s="13"/>
      <c r="AR1488" s="14"/>
    </row>
    <row r="1489" spans="1:44" s="16" customFormat="1" ht="30.95" customHeight="1" x14ac:dyDescent="0.2">
      <c r="A1489" s="303"/>
      <c r="B1489" s="304"/>
      <c r="C1489" s="305"/>
      <c r="D1489" s="29"/>
      <c r="E1489" s="29"/>
      <c r="F1489" s="255"/>
      <c r="G1489" s="256"/>
      <c r="H1489" s="256"/>
      <c r="I1489" s="200"/>
      <c r="J1489" s="30"/>
      <c r="K1489" s="200"/>
      <c r="L1489" s="200"/>
      <c r="M1489" s="37"/>
      <c r="N1489" s="37"/>
      <c r="O1489" s="45"/>
      <c r="P1489" s="54"/>
      <c r="Q1489" s="260"/>
      <c r="R1489" s="261"/>
      <c r="S1489" s="261"/>
      <c r="T1489" s="38"/>
      <c r="U1489" s="261"/>
      <c r="V1489" s="256"/>
      <c r="W1489" s="256"/>
      <c r="X1489" s="256"/>
      <c r="Y1489" s="256"/>
      <c r="Z1489" s="310"/>
      <c r="AA1489" s="200"/>
      <c r="AB1489" s="312"/>
      <c r="AC1489" s="313"/>
      <c r="AD1489" s="51"/>
      <c r="AE1489" s="52"/>
      <c r="AF1489" s="41"/>
      <c r="AG1489" s="45"/>
      <c r="AH1489" s="28"/>
      <c r="AI1489" s="28"/>
      <c r="AJ1489" s="28"/>
      <c r="AK1489" s="28"/>
      <c r="AL1489" s="12"/>
      <c r="AM1489" s="12"/>
      <c r="AN1489" s="12"/>
      <c r="AO1489" s="12"/>
      <c r="AP1489" s="12"/>
      <c r="AQ1489" s="13"/>
      <c r="AR1489" s="14"/>
    </row>
    <row r="1490" spans="1:44" s="16" customFormat="1" ht="30.95" customHeight="1" x14ac:dyDescent="0.2">
      <c r="A1490" s="303"/>
      <c r="B1490" s="304"/>
      <c r="C1490" s="305"/>
      <c r="D1490" s="29"/>
      <c r="E1490" s="29"/>
      <c r="F1490" s="255"/>
      <c r="G1490" s="256"/>
      <c r="H1490" s="256"/>
      <c r="I1490" s="200"/>
      <c r="J1490" s="30"/>
      <c r="K1490" s="200"/>
      <c r="L1490" s="200"/>
      <c r="M1490" s="37"/>
      <c r="N1490" s="37"/>
      <c r="O1490" s="45"/>
      <c r="P1490" s="54"/>
      <c r="Q1490" s="260"/>
      <c r="R1490" s="261"/>
      <c r="S1490" s="261"/>
      <c r="T1490" s="38"/>
      <c r="U1490" s="261"/>
      <c r="V1490" s="256"/>
      <c r="W1490" s="256"/>
      <c r="X1490" s="256"/>
      <c r="Y1490" s="256"/>
      <c r="Z1490" s="310"/>
      <c r="AA1490" s="200"/>
      <c r="AB1490" s="312"/>
      <c r="AC1490" s="313"/>
      <c r="AD1490" s="51"/>
      <c r="AE1490" s="52"/>
      <c r="AF1490" s="41"/>
      <c r="AG1490" s="45"/>
      <c r="AH1490" s="28"/>
      <c r="AI1490" s="28"/>
      <c r="AJ1490" s="28"/>
      <c r="AK1490" s="28"/>
      <c r="AL1490" s="12"/>
      <c r="AM1490" s="12"/>
      <c r="AN1490" s="12"/>
      <c r="AO1490" s="12"/>
      <c r="AP1490" s="12"/>
      <c r="AQ1490" s="13"/>
      <c r="AR1490" s="14"/>
    </row>
    <row r="1491" spans="1:44" s="16" customFormat="1" ht="30.95" customHeight="1" x14ac:dyDescent="0.2">
      <c r="A1491" s="303"/>
      <c r="B1491" s="304"/>
      <c r="C1491" s="305"/>
      <c r="D1491" s="29"/>
      <c r="E1491" s="29"/>
      <c r="F1491" s="255"/>
      <c r="G1491" s="256"/>
      <c r="H1491" s="256"/>
      <c r="I1491" s="200"/>
      <c r="J1491" s="30"/>
      <c r="K1491" s="200"/>
      <c r="L1491" s="200"/>
      <c r="M1491" s="37"/>
      <c r="N1491" s="37"/>
      <c r="O1491" s="45"/>
      <c r="P1491" s="54"/>
      <c r="Q1491" s="260"/>
      <c r="R1491" s="261"/>
      <c r="S1491" s="261"/>
      <c r="T1491" s="38"/>
      <c r="U1491" s="261"/>
      <c r="V1491" s="256"/>
      <c r="W1491" s="256"/>
      <c r="X1491" s="256"/>
      <c r="Y1491" s="256"/>
      <c r="Z1491" s="310"/>
      <c r="AA1491" s="200"/>
      <c r="AB1491" s="312"/>
      <c r="AC1491" s="313"/>
      <c r="AD1491" s="51"/>
      <c r="AE1491" s="52"/>
      <c r="AF1491" s="41"/>
      <c r="AG1491" s="45"/>
      <c r="AH1491" s="28"/>
      <c r="AI1491" s="28"/>
      <c r="AJ1491" s="28"/>
      <c r="AK1491" s="28"/>
      <c r="AL1491" s="12"/>
      <c r="AM1491" s="12"/>
      <c r="AN1491" s="12"/>
      <c r="AO1491" s="12"/>
      <c r="AP1491" s="12"/>
      <c r="AQ1491" s="13"/>
      <c r="AR1491" s="14"/>
    </row>
    <row r="1492" spans="1:44" s="16" customFormat="1" ht="30.95" customHeight="1" x14ac:dyDescent="0.2">
      <c r="A1492" s="303"/>
      <c r="B1492" s="304"/>
      <c r="C1492" s="305"/>
      <c r="D1492" s="29"/>
      <c r="E1492" s="29"/>
      <c r="F1492" s="255"/>
      <c r="G1492" s="256"/>
      <c r="H1492" s="256"/>
      <c r="I1492" s="200"/>
      <c r="J1492" s="30"/>
      <c r="K1492" s="200"/>
      <c r="L1492" s="200"/>
      <c r="M1492" s="37"/>
      <c r="N1492" s="37"/>
      <c r="O1492" s="45"/>
      <c r="P1492" s="54"/>
      <c r="Q1492" s="260"/>
      <c r="R1492" s="261"/>
      <c r="S1492" s="261"/>
      <c r="T1492" s="38"/>
      <c r="U1492" s="261"/>
      <c r="V1492" s="256"/>
      <c r="W1492" s="256"/>
      <c r="X1492" s="256"/>
      <c r="Y1492" s="256"/>
      <c r="Z1492" s="310"/>
      <c r="AA1492" s="200"/>
      <c r="AB1492" s="312"/>
      <c r="AC1492" s="313"/>
      <c r="AD1492" s="51"/>
      <c r="AE1492" s="52"/>
      <c r="AF1492" s="41"/>
      <c r="AG1492" s="45"/>
      <c r="AH1492" s="28"/>
      <c r="AI1492" s="28"/>
      <c r="AJ1492" s="28"/>
      <c r="AK1492" s="28"/>
      <c r="AL1492" s="12"/>
      <c r="AM1492" s="12"/>
      <c r="AN1492" s="12"/>
      <c r="AO1492" s="12"/>
      <c r="AP1492" s="12"/>
      <c r="AQ1492" s="13"/>
      <c r="AR1492" s="14"/>
    </row>
    <row r="1493" spans="1:44" s="16" customFormat="1" ht="30.95" customHeight="1" x14ac:dyDescent="0.2">
      <c r="A1493" s="303"/>
      <c r="B1493" s="304"/>
      <c r="C1493" s="305"/>
      <c r="D1493" s="29"/>
      <c r="E1493" s="29"/>
      <c r="F1493" s="255"/>
      <c r="G1493" s="256"/>
      <c r="H1493" s="256"/>
      <c r="I1493" s="200"/>
      <c r="J1493" s="30"/>
      <c r="K1493" s="200"/>
      <c r="L1493" s="200"/>
      <c r="M1493" s="37"/>
      <c r="N1493" s="37"/>
      <c r="O1493" s="45"/>
      <c r="P1493" s="54"/>
      <c r="Q1493" s="260"/>
      <c r="R1493" s="261"/>
      <c r="S1493" s="261"/>
      <c r="T1493" s="38"/>
      <c r="U1493" s="261"/>
      <c r="V1493" s="256"/>
      <c r="W1493" s="256"/>
      <c r="X1493" s="256"/>
      <c r="Y1493" s="256"/>
      <c r="Z1493" s="310"/>
      <c r="AA1493" s="200"/>
      <c r="AB1493" s="312"/>
      <c r="AC1493" s="313"/>
      <c r="AD1493" s="51"/>
      <c r="AE1493" s="52"/>
      <c r="AF1493" s="41"/>
      <c r="AG1493" s="45"/>
      <c r="AH1493" s="28"/>
      <c r="AI1493" s="28"/>
      <c r="AJ1493" s="28"/>
      <c r="AK1493" s="28"/>
      <c r="AL1493" s="12"/>
      <c r="AM1493" s="12"/>
      <c r="AN1493" s="12"/>
      <c r="AO1493" s="12"/>
      <c r="AP1493" s="12"/>
      <c r="AQ1493" s="13"/>
      <c r="AR1493" s="14"/>
    </row>
    <row r="1494" spans="1:44" s="16" customFormat="1" ht="30.95" customHeight="1" x14ac:dyDescent="0.2">
      <c r="A1494" s="303"/>
      <c r="B1494" s="304"/>
      <c r="C1494" s="305"/>
      <c r="D1494" s="29"/>
      <c r="E1494" s="29"/>
      <c r="F1494" s="255"/>
      <c r="G1494" s="256"/>
      <c r="H1494" s="256"/>
      <c r="I1494" s="200"/>
      <c r="J1494" s="30"/>
      <c r="K1494" s="200"/>
      <c r="L1494" s="200"/>
      <c r="M1494" s="37"/>
      <c r="N1494" s="37"/>
      <c r="O1494" s="45"/>
      <c r="P1494" s="54"/>
      <c r="Q1494" s="260"/>
      <c r="R1494" s="261"/>
      <c r="S1494" s="261"/>
      <c r="T1494" s="38"/>
      <c r="U1494" s="261"/>
      <c r="V1494" s="256"/>
      <c r="W1494" s="256"/>
      <c r="X1494" s="256"/>
      <c r="Y1494" s="256"/>
      <c r="Z1494" s="310"/>
      <c r="AA1494" s="200"/>
      <c r="AB1494" s="312"/>
      <c r="AC1494" s="313"/>
      <c r="AD1494" s="51"/>
      <c r="AE1494" s="52"/>
      <c r="AF1494" s="41"/>
      <c r="AG1494" s="45"/>
      <c r="AH1494" s="28"/>
      <c r="AI1494" s="28"/>
      <c r="AJ1494" s="28"/>
      <c r="AK1494" s="28"/>
      <c r="AL1494" s="12"/>
      <c r="AM1494" s="12"/>
      <c r="AN1494" s="12"/>
      <c r="AO1494" s="12"/>
      <c r="AP1494" s="12"/>
      <c r="AQ1494" s="13"/>
      <c r="AR1494" s="14"/>
    </row>
    <row r="1495" spans="1:44" s="16" customFormat="1" ht="30.95" customHeight="1" x14ac:dyDescent="0.2">
      <c r="A1495" s="303"/>
      <c r="B1495" s="304"/>
      <c r="C1495" s="305"/>
      <c r="D1495" s="29"/>
      <c r="E1495" s="29"/>
      <c r="F1495" s="255"/>
      <c r="G1495" s="256"/>
      <c r="H1495" s="256"/>
      <c r="I1495" s="200"/>
      <c r="J1495" s="30"/>
      <c r="K1495" s="200"/>
      <c r="L1495" s="200"/>
      <c r="M1495" s="37"/>
      <c r="N1495" s="37"/>
      <c r="O1495" s="45"/>
      <c r="P1495" s="54"/>
      <c r="Q1495" s="260"/>
      <c r="R1495" s="261"/>
      <c r="S1495" s="261"/>
      <c r="T1495" s="38"/>
      <c r="U1495" s="261"/>
      <c r="V1495" s="256"/>
      <c r="W1495" s="256"/>
      <c r="X1495" s="256"/>
      <c r="Y1495" s="256"/>
      <c r="Z1495" s="310"/>
      <c r="AA1495" s="200"/>
      <c r="AB1495" s="312"/>
      <c r="AC1495" s="313"/>
      <c r="AD1495" s="51"/>
      <c r="AE1495" s="52"/>
      <c r="AF1495" s="41"/>
      <c r="AG1495" s="45"/>
      <c r="AH1495" s="28"/>
      <c r="AI1495" s="28"/>
      <c r="AJ1495" s="28"/>
      <c r="AK1495" s="28"/>
      <c r="AL1495" s="12"/>
      <c r="AM1495" s="12"/>
      <c r="AN1495" s="12"/>
      <c r="AO1495" s="12"/>
      <c r="AP1495" s="12"/>
      <c r="AQ1495" s="13"/>
      <c r="AR1495" s="14"/>
    </row>
    <row r="1496" spans="1:44" s="16" customFormat="1" ht="30.95" customHeight="1" x14ac:dyDescent="0.2">
      <c r="A1496" s="303"/>
      <c r="B1496" s="304"/>
      <c r="C1496" s="305"/>
      <c r="D1496" s="29"/>
      <c r="E1496" s="29"/>
      <c r="F1496" s="255"/>
      <c r="G1496" s="256"/>
      <c r="H1496" s="256"/>
      <c r="I1496" s="200"/>
      <c r="J1496" s="30"/>
      <c r="K1496" s="200"/>
      <c r="L1496" s="200"/>
      <c r="M1496" s="37"/>
      <c r="N1496" s="37"/>
      <c r="O1496" s="45"/>
      <c r="P1496" s="54"/>
      <c r="Q1496" s="260"/>
      <c r="R1496" s="261"/>
      <c r="S1496" s="261"/>
      <c r="T1496" s="38"/>
      <c r="U1496" s="261"/>
      <c r="V1496" s="256"/>
      <c r="W1496" s="256"/>
      <c r="X1496" s="256"/>
      <c r="Y1496" s="256"/>
      <c r="Z1496" s="310"/>
      <c r="AA1496" s="200"/>
      <c r="AB1496" s="312"/>
      <c r="AC1496" s="313"/>
      <c r="AD1496" s="51"/>
      <c r="AE1496" s="52"/>
      <c r="AF1496" s="41"/>
      <c r="AG1496" s="45"/>
      <c r="AH1496" s="28"/>
      <c r="AI1496" s="28"/>
      <c r="AJ1496" s="28"/>
      <c r="AK1496" s="28"/>
      <c r="AL1496" s="12"/>
      <c r="AM1496" s="12"/>
      <c r="AN1496" s="12"/>
      <c r="AO1496" s="12"/>
      <c r="AP1496" s="12"/>
      <c r="AQ1496" s="13"/>
      <c r="AR1496" s="14"/>
    </row>
    <row r="1497" spans="1:44" s="16" customFormat="1" ht="30.95" customHeight="1" x14ac:dyDescent="0.2">
      <c r="A1497" s="303"/>
      <c r="B1497" s="304"/>
      <c r="C1497" s="305"/>
      <c r="D1497" s="29"/>
      <c r="E1497" s="29"/>
      <c r="F1497" s="255"/>
      <c r="G1497" s="256"/>
      <c r="H1497" s="256"/>
      <c r="I1497" s="200"/>
      <c r="J1497" s="30"/>
      <c r="K1497" s="200"/>
      <c r="L1497" s="200"/>
      <c r="M1497" s="37"/>
      <c r="N1497" s="37"/>
      <c r="O1497" s="45"/>
      <c r="P1497" s="54"/>
      <c r="Q1497" s="260"/>
      <c r="R1497" s="261"/>
      <c r="S1497" s="261"/>
      <c r="T1497" s="38"/>
      <c r="U1497" s="261"/>
      <c r="V1497" s="256"/>
      <c r="W1497" s="256"/>
      <c r="X1497" s="256"/>
      <c r="Y1497" s="256"/>
      <c r="Z1497" s="310"/>
      <c r="AA1497" s="200"/>
      <c r="AB1497" s="312"/>
      <c r="AC1497" s="313"/>
      <c r="AD1497" s="51"/>
      <c r="AE1497" s="52"/>
      <c r="AF1497" s="41"/>
      <c r="AG1497" s="45"/>
      <c r="AH1497" s="28"/>
      <c r="AI1497" s="28"/>
      <c r="AJ1497" s="28"/>
      <c r="AK1497" s="28"/>
      <c r="AL1497" s="12"/>
      <c r="AM1497" s="12"/>
      <c r="AN1497" s="12"/>
      <c r="AO1497" s="12"/>
      <c r="AP1497" s="12"/>
      <c r="AQ1497" s="13"/>
      <c r="AR1497" s="14"/>
    </row>
    <row r="1498" spans="1:44" s="16" customFormat="1" ht="30.95" customHeight="1" x14ac:dyDescent="0.2">
      <c r="A1498" s="303"/>
      <c r="B1498" s="304"/>
      <c r="C1498" s="305"/>
      <c r="D1498" s="29"/>
      <c r="E1498" s="29"/>
      <c r="F1498" s="255"/>
      <c r="G1498" s="256"/>
      <c r="H1498" s="256"/>
      <c r="I1498" s="200"/>
      <c r="J1498" s="30"/>
      <c r="K1498" s="200"/>
      <c r="L1498" s="200"/>
      <c r="M1498" s="37"/>
      <c r="N1498" s="37"/>
      <c r="O1498" s="45"/>
      <c r="P1498" s="54"/>
      <c r="Q1498" s="260"/>
      <c r="R1498" s="261"/>
      <c r="S1498" s="261"/>
      <c r="T1498" s="38"/>
      <c r="U1498" s="261"/>
      <c r="V1498" s="256"/>
      <c r="W1498" s="256"/>
      <c r="X1498" s="256"/>
      <c r="Y1498" s="256"/>
      <c r="Z1498" s="310"/>
      <c r="AA1498" s="200"/>
      <c r="AB1498" s="312"/>
      <c r="AC1498" s="313"/>
      <c r="AD1498" s="51"/>
      <c r="AE1498" s="52"/>
      <c r="AF1498" s="41"/>
      <c r="AG1498" s="45"/>
      <c r="AH1498" s="28"/>
      <c r="AI1498" s="28"/>
      <c r="AJ1498" s="28"/>
      <c r="AK1498" s="28"/>
      <c r="AL1498" s="12"/>
      <c r="AM1498" s="12"/>
      <c r="AN1498" s="12"/>
      <c r="AO1498" s="12"/>
      <c r="AP1498" s="12"/>
      <c r="AQ1498" s="13"/>
      <c r="AR1498" s="14"/>
    </row>
    <row r="1499" spans="1:44" s="16" customFormat="1" ht="30.95" customHeight="1" x14ac:dyDescent="0.2">
      <c r="A1499" s="303"/>
      <c r="B1499" s="304"/>
      <c r="C1499" s="305"/>
      <c r="D1499" s="29"/>
      <c r="E1499" s="29"/>
      <c r="F1499" s="255"/>
      <c r="G1499" s="256"/>
      <c r="H1499" s="256"/>
      <c r="I1499" s="200"/>
      <c r="J1499" s="30"/>
      <c r="K1499" s="200"/>
      <c r="L1499" s="200"/>
      <c r="M1499" s="37"/>
      <c r="N1499" s="37"/>
      <c r="O1499" s="45"/>
      <c r="P1499" s="54"/>
      <c r="Q1499" s="260"/>
      <c r="R1499" s="261"/>
      <c r="S1499" s="261"/>
      <c r="T1499" s="38"/>
      <c r="U1499" s="261"/>
      <c r="V1499" s="256"/>
      <c r="W1499" s="256"/>
      <c r="X1499" s="256"/>
      <c r="Y1499" s="256"/>
      <c r="Z1499" s="310"/>
      <c r="AA1499" s="200"/>
      <c r="AB1499" s="312"/>
      <c r="AC1499" s="313"/>
      <c r="AD1499" s="51"/>
      <c r="AE1499" s="52"/>
      <c r="AF1499" s="41"/>
      <c r="AG1499" s="45"/>
      <c r="AH1499" s="28"/>
      <c r="AI1499" s="28"/>
      <c r="AJ1499" s="28"/>
      <c r="AK1499" s="28"/>
      <c r="AL1499" s="12"/>
      <c r="AM1499" s="12"/>
      <c r="AN1499" s="12"/>
      <c r="AO1499" s="12"/>
      <c r="AP1499" s="12"/>
      <c r="AQ1499" s="13"/>
      <c r="AR1499" s="14"/>
    </row>
    <row r="1500" spans="1:44" s="16" customFormat="1" ht="30.95" customHeight="1" x14ac:dyDescent="0.2">
      <c r="A1500" s="303"/>
      <c r="B1500" s="304"/>
      <c r="C1500" s="305"/>
      <c r="D1500" s="29"/>
      <c r="E1500" s="29"/>
      <c r="F1500" s="255"/>
      <c r="G1500" s="256"/>
      <c r="H1500" s="256"/>
      <c r="I1500" s="200"/>
      <c r="J1500" s="30"/>
      <c r="K1500" s="200"/>
      <c r="L1500" s="200"/>
      <c r="M1500" s="37"/>
      <c r="N1500" s="37"/>
      <c r="O1500" s="45"/>
      <c r="P1500" s="54"/>
      <c r="Q1500" s="260"/>
      <c r="R1500" s="261"/>
      <c r="S1500" s="261"/>
      <c r="T1500" s="38"/>
      <c r="U1500" s="261"/>
      <c r="V1500" s="256"/>
      <c r="W1500" s="256"/>
      <c r="X1500" s="256"/>
      <c r="Y1500" s="256"/>
      <c r="Z1500" s="310"/>
      <c r="AA1500" s="200"/>
      <c r="AB1500" s="312"/>
      <c r="AC1500" s="313"/>
      <c r="AD1500" s="51"/>
      <c r="AE1500" s="52"/>
      <c r="AF1500" s="41"/>
      <c r="AG1500" s="45"/>
      <c r="AH1500" s="28"/>
      <c r="AI1500" s="28"/>
      <c r="AJ1500" s="28"/>
      <c r="AK1500" s="28"/>
      <c r="AL1500" s="12"/>
      <c r="AM1500" s="12"/>
      <c r="AN1500" s="12"/>
      <c r="AO1500" s="12"/>
      <c r="AP1500" s="12"/>
      <c r="AQ1500" s="13"/>
      <c r="AR1500" s="14"/>
    </row>
    <row r="1501" spans="1:44" s="16" customFormat="1" ht="30.95" customHeight="1" x14ac:dyDescent="0.2">
      <c r="A1501" s="303"/>
      <c r="B1501" s="304"/>
      <c r="C1501" s="305"/>
      <c r="D1501" s="29"/>
      <c r="E1501" s="29"/>
      <c r="F1501" s="255" t="str">
        <f>IF(D1501="","",VLOOKUP(D1501,契約台帳!$A$3:$K$4986,6,FALSE)&amp;VLOOKUP(D1501,契約台帳!$A$3:$K$4986,7,FALSE)&amp;VLOOKUP(D1501,契約台帳!$A$3:$K$4986,8,FALSE)&amp;VLOOKUP(D1501,契約台帳!$A$3:$K$4986,9,FALSE)&amp;VLOOKUP(D1501,契約台帳!$A$3:$K$4986,11,FALSE))</f>
        <v/>
      </c>
      <c r="G1501" s="256" t="str">
        <f>IF(D1501="","",VLOOKUP(F1501,製品マスタ!$G$5:$H$4999,2,FALSE))</f>
        <v/>
      </c>
      <c r="H1501" s="256" t="str">
        <f>IF(D1501="","",VLOOKUP(F1501,製品マスタ!$G$5:$K$4999,5,FALSE))</f>
        <v/>
      </c>
      <c r="I1501" s="200" t="str">
        <f>IF(D1501="","",VLOOKUP(F1501,製品マスタ!$G$5:$L$4999,6,FALSE))</f>
        <v/>
      </c>
      <c r="J1501" s="30" t="s">
        <v>447</v>
      </c>
      <c r="K1501" s="200" t="str">
        <f>IF(D1501="","",VLOOKUP(D1501,契約台帳!$A$3:$L$4986,12,FALSE))</f>
        <v/>
      </c>
      <c r="L1501" s="200" t="str">
        <f>IF(D1501="","",INDEX(製品マスタ!$Q$5:$Q$4999,MATCH(F1501&amp;K1501,製品マスタ!$AO$5:$AO$4999,0)))</f>
        <v/>
      </c>
      <c r="M1501" s="37"/>
      <c r="N1501" s="37"/>
      <c r="O1501" s="45"/>
      <c r="P1501" s="54"/>
      <c r="Q1501" s="260" t="str">
        <f>IF(D1501="","",IF(J1501="リード付け",M1501,VLOOKUP(D1501,契約台帳!$A$3:$N$4986,14,FALSE)))</f>
        <v/>
      </c>
      <c r="R1501" s="261" t="str">
        <f>IF(D1501="","",IF(J1501="リード付け",M1501,VLOOKUP(D1501,契約台帳!$A$3:$O$4986,15,FALSE)))</f>
        <v/>
      </c>
      <c r="S1501" s="261" t="str">
        <f>IF(D1501="","",IF(J1501="リード付け",N1501,VLOOKUP(D1501,契約台帳!$A$3:$P$4986,16,FALSE)))</f>
        <v/>
      </c>
      <c r="T1501" s="38"/>
      <c r="U1501" s="261" t="str">
        <f ca="1">IF(D1501="","",IF(OFFSET(D1501,-2,0)=D1501,"",VLOOKUP(D1501,契約台帳!$A$3:$R$4986,18,FALSE)))</f>
        <v/>
      </c>
      <c r="V1501" s="256" t="e">
        <f>IF(J1501="巻返し",VLOOKUP(F1501&amp;K1501&amp;M1501,製品マスタ!$M$5:$AD$4999,18,FALSE),IF(J1501="リード付け","原反コア",IF(J1501="スリット",VLOOKUP(F1501&amp;K1501&amp;Q1501,製品マスタ!$N$5:$AD$4999,17,FALSE),"")))</f>
        <v>#N/A</v>
      </c>
      <c r="W1501" s="256" t="e">
        <f>IF(J1501="巻返し",VLOOKUP(F1501&amp;K1501&amp;M1501,製品マスタ!$M$5:$AE$4999,19,FALSE),IF(J1501="リード付け","-",IF(J1501="スリット",VLOOKUP(F1501&amp;K1501&amp;Q1501,製品マスタ!$N$5:$AE$4999,18,FALSE),"")))</f>
        <v>#N/A</v>
      </c>
      <c r="X1501" s="256" t="str">
        <f>IF(D1501="","",VLOOKUP(D1501,契約台帳!$A$3:$Q$4986,17,FALSE))</f>
        <v/>
      </c>
      <c r="Y1501" s="256" t="str">
        <f>IF(D1501="","",VLOOKUP(D1501,契約台帳!$A$3:$E$4986,5,FALSE))</f>
        <v/>
      </c>
      <c r="Z1501" s="310"/>
      <c r="AA1501" s="200"/>
      <c r="AB1501" s="312"/>
      <c r="AC1501" s="313"/>
      <c r="AD1501" s="51" t="str">
        <f t="shared" si="93"/>
        <v/>
      </c>
      <c r="AE1501" s="52">
        <f t="shared" si="94"/>
        <v>0</v>
      </c>
      <c r="AF1501" s="41" t="str">
        <f>IF(AD1501="","",VLOOKUP(AD1501,原価マスタ!$A$2:$AJ$1693,13,FALSE))</f>
        <v/>
      </c>
      <c r="AG1501" s="45" t="str">
        <f t="shared" si="95"/>
        <v/>
      </c>
      <c r="AH1501" s="28"/>
      <c r="AI1501" s="28"/>
      <c r="AJ1501" s="28"/>
      <c r="AK1501" s="28"/>
      <c r="AL1501" s="12"/>
      <c r="AM1501" s="12"/>
      <c r="AN1501" s="12"/>
      <c r="AO1501" s="12"/>
      <c r="AP1501" s="12"/>
      <c r="AQ1501" s="13"/>
      <c r="AR1501" s="14"/>
    </row>
    <row r="1502" spans="1:44" s="16" customFormat="1" ht="30.95" customHeight="1" x14ac:dyDescent="0.2">
      <c r="A1502" s="303"/>
      <c r="B1502" s="304"/>
      <c r="C1502" s="305"/>
      <c r="D1502" s="29"/>
      <c r="E1502" s="29"/>
      <c r="F1502" s="255" t="str">
        <f>IF(D1502="","",VLOOKUP(D1502,契約台帳!$A$3:$K$4986,6,FALSE)&amp;VLOOKUP(D1502,契約台帳!$A$3:$K$4986,7,FALSE)&amp;VLOOKUP(D1502,契約台帳!$A$3:$K$4986,8,FALSE)&amp;VLOOKUP(D1502,契約台帳!$A$3:$K$4986,9,FALSE)&amp;VLOOKUP(D1502,契約台帳!$A$3:$K$4986,11,FALSE))</f>
        <v/>
      </c>
      <c r="G1502" s="256" t="str">
        <f>IF(D1502="","",VLOOKUP(F1502,製品マスタ!$G$5:$H$4999,2,FALSE))</f>
        <v/>
      </c>
      <c r="H1502" s="256" t="str">
        <f>IF(D1502="","",VLOOKUP(F1502,製品マスタ!$G$5:$K$4999,5,FALSE))</f>
        <v/>
      </c>
      <c r="I1502" s="200" t="str">
        <f>IF(D1502="","",VLOOKUP(F1502,製品マスタ!$G$5:$L$4999,6,FALSE))</f>
        <v/>
      </c>
      <c r="J1502" s="30" t="s">
        <v>447</v>
      </c>
      <c r="K1502" s="200" t="str">
        <f>IF(D1502="","",VLOOKUP(D1502,契約台帳!$A$3:$L$4986,12,FALSE))</f>
        <v/>
      </c>
      <c r="L1502" s="200" t="str">
        <f>IF(D1502="","",INDEX(製品マスタ!$Q$5:$Q$4999,MATCH(F1502&amp;K1502,製品マスタ!$AO$5:$AO$4999,0)))</f>
        <v/>
      </c>
      <c r="M1502" s="37"/>
      <c r="N1502" s="37"/>
      <c r="O1502" s="45"/>
      <c r="P1502" s="54"/>
      <c r="Q1502" s="260" t="str">
        <f>IF(D1502="","",IF(J1502="リード付け",M1502,VLOOKUP(D1502,契約台帳!$A$3:$N$4986,14,FALSE)))</f>
        <v/>
      </c>
      <c r="R1502" s="261" t="str">
        <f>IF(D1502="","",IF(J1502="リード付け",M1502,VLOOKUP(D1502,契約台帳!$A$3:$O$4986,15,FALSE)))</f>
        <v/>
      </c>
      <c r="S1502" s="261" t="str">
        <f>IF(D1502="","",IF(J1502="リード付け",N1502,VLOOKUP(D1502,契約台帳!$A$3:$P$4986,16,FALSE)))</f>
        <v/>
      </c>
      <c r="T1502" s="38"/>
      <c r="U1502" s="261" t="str">
        <f ca="1">IF(D1502="","",IF(OFFSET(D1502,-2,0)=D1502,"",VLOOKUP(D1502,契約台帳!$A$3:$R$4986,18,FALSE)))</f>
        <v/>
      </c>
      <c r="V1502" s="256" t="e">
        <f>IF(J1502="巻返し",VLOOKUP(F1502&amp;K1502&amp;M1502,製品マスタ!$M$5:$AD$4999,18,FALSE),IF(J1502="リード付け","原反コア",IF(J1502="スリット",VLOOKUP(F1502&amp;K1502&amp;Q1502,製品マスタ!$N$5:$AD$4999,17,FALSE),"")))</f>
        <v>#N/A</v>
      </c>
      <c r="W1502" s="256" t="e">
        <f>IF(J1502="巻返し",VLOOKUP(F1502&amp;K1502&amp;M1502,製品マスタ!$M$5:$AE$4999,19,FALSE),IF(J1502="リード付け","-",IF(J1502="スリット",VLOOKUP(F1502&amp;K1502&amp;Q1502,製品マスタ!$N$5:$AE$4999,18,FALSE),"")))</f>
        <v>#N/A</v>
      </c>
      <c r="X1502" s="256" t="str">
        <f>IF(D1502="","",VLOOKUP(D1502,契約台帳!$A$3:$Q$4986,17,FALSE))</f>
        <v/>
      </c>
      <c r="Y1502" s="256" t="str">
        <f>IF(D1502="","",VLOOKUP(D1502,契約台帳!$A$3:$E$4986,5,FALSE))</f>
        <v/>
      </c>
      <c r="Z1502" s="310"/>
      <c r="AA1502" s="200"/>
      <c r="AB1502" s="312"/>
      <c r="AC1502" s="313"/>
      <c r="AD1502" s="51" t="str">
        <f t="shared" si="93"/>
        <v/>
      </c>
      <c r="AE1502" s="52">
        <f t="shared" si="94"/>
        <v>0</v>
      </c>
      <c r="AF1502" s="41" t="str">
        <f>IF(AD1502="","",VLOOKUP(AD1502,原価マスタ!$A$2:$AJ$1693,13,FALSE))</f>
        <v/>
      </c>
      <c r="AG1502" s="45" t="str">
        <f t="shared" si="95"/>
        <v/>
      </c>
      <c r="AH1502" s="28"/>
      <c r="AI1502" s="28"/>
      <c r="AJ1502" s="28"/>
      <c r="AK1502" s="28"/>
      <c r="AL1502" s="12"/>
      <c r="AM1502" s="12"/>
      <c r="AN1502" s="12"/>
      <c r="AO1502" s="12"/>
      <c r="AP1502" s="12"/>
      <c r="AQ1502" s="13"/>
      <c r="AR1502" s="14"/>
    </row>
    <row r="1503" spans="1:44" s="16" customFormat="1" ht="30.95" customHeight="1" x14ac:dyDescent="0.2">
      <c r="A1503" s="303"/>
      <c r="B1503" s="304"/>
      <c r="C1503" s="305"/>
      <c r="D1503" s="29"/>
      <c r="E1503" s="29"/>
      <c r="F1503" s="255" t="str">
        <f>IF(D1503="","",VLOOKUP(D1503,契約台帳!$A$3:$K$4986,6,FALSE)&amp;VLOOKUP(D1503,契約台帳!$A$3:$K$4986,7,FALSE)&amp;VLOOKUP(D1503,契約台帳!$A$3:$K$4986,8,FALSE)&amp;VLOOKUP(D1503,契約台帳!$A$3:$K$4986,9,FALSE)&amp;VLOOKUP(D1503,契約台帳!$A$3:$K$4986,11,FALSE))</f>
        <v/>
      </c>
      <c r="G1503" s="256" t="str">
        <f>IF(D1503="","",VLOOKUP(F1503,製品マスタ!$G$5:$H$4999,2,FALSE))</f>
        <v/>
      </c>
      <c r="H1503" s="256" t="str">
        <f>IF(D1503="","",VLOOKUP(F1503,製品マスタ!$G$5:$K$4999,5,FALSE))</f>
        <v/>
      </c>
      <c r="I1503" s="200" t="str">
        <f>IF(D1503="","",VLOOKUP(F1503,製品マスタ!$G$5:$L$4999,6,FALSE))</f>
        <v/>
      </c>
      <c r="J1503" s="30" t="s">
        <v>447</v>
      </c>
      <c r="K1503" s="200" t="str">
        <f>IF(D1503="","",VLOOKUP(D1503,契約台帳!$A$3:$L$4986,12,FALSE))</f>
        <v/>
      </c>
      <c r="L1503" s="200" t="str">
        <f>IF(D1503="","",INDEX(製品マスタ!$Q$5:$Q$4999,MATCH(F1503&amp;K1503,製品マスタ!$AO$5:$AO$4999,0)))</f>
        <v/>
      </c>
      <c r="M1503" s="37"/>
      <c r="N1503" s="37"/>
      <c r="O1503" s="45"/>
      <c r="P1503" s="54"/>
      <c r="Q1503" s="260" t="str">
        <f>IF(D1503="","",IF(J1503="リード付け",M1503,VLOOKUP(D1503,契約台帳!$A$3:$N$4986,14,FALSE)))</f>
        <v/>
      </c>
      <c r="R1503" s="261" t="str">
        <f>IF(D1503="","",IF(J1503="リード付け",M1503,VLOOKUP(D1503,契約台帳!$A$3:$O$4986,15,FALSE)))</f>
        <v/>
      </c>
      <c r="S1503" s="261" t="str">
        <f>IF(D1503="","",IF(J1503="リード付け",N1503,VLOOKUP(D1503,契約台帳!$A$3:$P$4986,16,FALSE)))</f>
        <v/>
      </c>
      <c r="T1503" s="38"/>
      <c r="U1503" s="261" t="str">
        <f ca="1">IF(D1503="","",IF(OFFSET(D1503,-2,0)=D1503,"",VLOOKUP(D1503,契約台帳!$A$3:$R$4986,18,FALSE)))</f>
        <v/>
      </c>
      <c r="V1503" s="256" t="e">
        <f>IF(J1503="巻返し",VLOOKUP(F1503&amp;K1503&amp;M1503,製品マスタ!$M$5:$AD$4999,18,FALSE),IF(J1503="リード付け","原反コア",IF(J1503="スリット",VLOOKUP(F1503&amp;K1503&amp;Q1503,製品マスタ!$N$5:$AD$4999,17,FALSE),"")))</f>
        <v>#N/A</v>
      </c>
      <c r="W1503" s="256" t="e">
        <f>IF(J1503="巻返し",VLOOKUP(F1503&amp;K1503&amp;M1503,製品マスタ!$M$5:$AE$4999,19,FALSE),IF(J1503="リード付け","-",IF(J1503="スリット",VLOOKUP(F1503&amp;K1503&amp;Q1503,製品マスタ!$N$5:$AE$4999,18,FALSE),"")))</f>
        <v>#N/A</v>
      </c>
      <c r="X1503" s="256" t="str">
        <f>IF(D1503="","",VLOOKUP(D1503,契約台帳!$A$3:$Q$4986,17,FALSE))</f>
        <v/>
      </c>
      <c r="Y1503" s="256" t="str">
        <f>IF(D1503="","",VLOOKUP(D1503,契約台帳!$A$3:$E$4986,5,FALSE))</f>
        <v/>
      </c>
      <c r="Z1503" s="310"/>
      <c r="AA1503" s="200"/>
      <c r="AB1503" s="312"/>
      <c r="AC1503" s="313"/>
      <c r="AD1503" s="51" t="str">
        <f t="shared" si="93"/>
        <v/>
      </c>
      <c r="AE1503" s="52">
        <f t="shared" si="94"/>
        <v>0</v>
      </c>
      <c r="AF1503" s="41" t="str">
        <f>IF(AD1503="","",VLOOKUP(AD1503,原価マスタ!$A$2:$AJ$1693,13,FALSE))</f>
        <v/>
      </c>
      <c r="AG1503" s="45" t="str">
        <f t="shared" si="95"/>
        <v/>
      </c>
      <c r="AH1503" s="28"/>
      <c r="AI1503" s="28"/>
      <c r="AJ1503" s="28"/>
      <c r="AK1503" s="28"/>
      <c r="AL1503" s="12"/>
      <c r="AM1503" s="12"/>
      <c r="AN1503" s="12"/>
      <c r="AO1503" s="12"/>
      <c r="AP1503" s="12"/>
      <c r="AQ1503" s="13"/>
      <c r="AR1503" s="14"/>
    </row>
    <row r="1504" spans="1:44" s="16" customFormat="1" ht="30.95" customHeight="1" x14ac:dyDescent="0.2">
      <c r="A1504" s="303"/>
      <c r="B1504" s="304"/>
      <c r="C1504" s="305"/>
      <c r="D1504" s="29"/>
      <c r="E1504" s="29"/>
      <c r="F1504" s="255" t="str">
        <f>IF(D1504="","",VLOOKUP(D1504,契約台帳!$A$3:$K$4986,6,FALSE)&amp;VLOOKUP(D1504,契約台帳!$A$3:$K$4986,7,FALSE)&amp;VLOOKUP(D1504,契約台帳!$A$3:$K$4986,8,FALSE)&amp;VLOOKUP(D1504,契約台帳!$A$3:$K$4986,9,FALSE)&amp;VLOOKUP(D1504,契約台帳!$A$3:$K$4986,11,FALSE))</f>
        <v/>
      </c>
      <c r="G1504" s="256" t="str">
        <f>IF(D1504="","",VLOOKUP(F1504,製品マスタ!$G$5:$H$4999,2,FALSE))</f>
        <v/>
      </c>
      <c r="H1504" s="256" t="str">
        <f>IF(D1504="","",VLOOKUP(F1504,製品マスタ!$G$5:$K$4999,5,FALSE))</f>
        <v/>
      </c>
      <c r="I1504" s="200" t="str">
        <f>IF(D1504="","",VLOOKUP(F1504,製品マスタ!$G$5:$L$4999,6,FALSE))</f>
        <v/>
      </c>
      <c r="J1504" s="30" t="s">
        <v>447</v>
      </c>
      <c r="K1504" s="200" t="str">
        <f>IF(D1504="","",VLOOKUP(D1504,契約台帳!$A$3:$L$4986,12,FALSE))</f>
        <v/>
      </c>
      <c r="L1504" s="200" t="str">
        <f>IF(D1504="","",INDEX(製品マスタ!$Q$5:$Q$4999,MATCH(F1504&amp;K1504,製品マスタ!$AO$5:$AO$4999,0)))</f>
        <v/>
      </c>
      <c r="M1504" s="37"/>
      <c r="N1504" s="37"/>
      <c r="O1504" s="45"/>
      <c r="P1504" s="54"/>
      <c r="Q1504" s="260" t="str">
        <f>IF(D1504="","",IF(J1504="リード付け",M1504,VLOOKUP(D1504,契約台帳!$A$3:$N$4986,14,FALSE)))</f>
        <v/>
      </c>
      <c r="R1504" s="261" t="str">
        <f>IF(D1504="","",IF(J1504="リード付け",M1504,VLOOKUP(D1504,契約台帳!$A$3:$O$4986,15,FALSE)))</f>
        <v/>
      </c>
      <c r="S1504" s="261" t="str">
        <f>IF(D1504="","",IF(J1504="リード付け",N1504,VLOOKUP(D1504,契約台帳!$A$3:$P$4986,16,FALSE)))</f>
        <v/>
      </c>
      <c r="T1504" s="38"/>
      <c r="U1504" s="261" t="str">
        <f ca="1">IF(D1504="","",IF(OFFSET(D1504,-2,0)=D1504,"",VLOOKUP(D1504,契約台帳!$A$3:$R$4986,18,FALSE)))</f>
        <v/>
      </c>
      <c r="V1504" s="256" t="e">
        <f>IF(J1504="巻返し",VLOOKUP(F1504&amp;K1504&amp;M1504,製品マスタ!$M$5:$AD$4999,18,FALSE),IF(J1504="リード付け","原反コア",IF(J1504="スリット",VLOOKUP(F1504&amp;K1504&amp;Q1504,製品マスタ!$N$5:$AD$4999,17,FALSE),"")))</f>
        <v>#N/A</v>
      </c>
      <c r="W1504" s="256" t="e">
        <f>IF(J1504="巻返し",VLOOKUP(F1504&amp;K1504&amp;M1504,製品マスタ!$M$5:$AE$4999,19,FALSE),IF(J1504="リード付け","-",IF(J1504="スリット",VLOOKUP(F1504&amp;K1504&amp;Q1504,製品マスタ!$N$5:$AE$4999,18,FALSE),"")))</f>
        <v>#N/A</v>
      </c>
      <c r="X1504" s="256" t="str">
        <f>IF(D1504="","",VLOOKUP(D1504,契約台帳!$A$3:$Q$4986,17,FALSE))</f>
        <v/>
      </c>
      <c r="Y1504" s="256" t="str">
        <f>IF(D1504="","",VLOOKUP(D1504,契約台帳!$A$3:$E$4986,5,FALSE))</f>
        <v/>
      </c>
      <c r="Z1504" s="310"/>
      <c r="AA1504" s="200"/>
      <c r="AB1504" s="312"/>
      <c r="AC1504" s="313"/>
      <c r="AD1504" s="51" t="str">
        <f t="shared" si="93"/>
        <v/>
      </c>
      <c r="AE1504" s="52">
        <f t="shared" si="94"/>
        <v>0</v>
      </c>
      <c r="AF1504" s="41" t="str">
        <f>IF(AD1504="","",VLOOKUP(AD1504,原価マスタ!$A$2:$AJ$1693,13,FALSE))</f>
        <v/>
      </c>
      <c r="AG1504" s="45" t="str">
        <f t="shared" si="95"/>
        <v/>
      </c>
      <c r="AH1504" s="28"/>
      <c r="AI1504" s="28"/>
      <c r="AJ1504" s="28"/>
      <c r="AK1504" s="28"/>
      <c r="AL1504" s="12"/>
      <c r="AM1504" s="12"/>
      <c r="AN1504" s="12"/>
      <c r="AO1504" s="12"/>
      <c r="AP1504" s="12"/>
      <c r="AQ1504" s="13"/>
      <c r="AR1504" s="14"/>
    </row>
    <row r="1505" spans="1:44" s="16" customFormat="1" ht="30.95" customHeight="1" x14ac:dyDescent="0.2">
      <c r="A1505" s="303"/>
      <c r="B1505" s="304"/>
      <c r="C1505" s="305"/>
      <c r="D1505" s="29"/>
      <c r="E1505" s="29"/>
      <c r="F1505" s="255" t="str">
        <f>IF(D1505="","",VLOOKUP(D1505,契約台帳!$A$3:$K$4986,6,FALSE)&amp;VLOOKUP(D1505,契約台帳!$A$3:$K$4986,7,FALSE)&amp;VLOOKUP(D1505,契約台帳!$A$3:$K$4986,8,FALSE)&amp;VLOOKUP(D1505,契約台帳!$A$3:$K$4986,9,FALSE)&amp;VLOOKUP(D1505,契約台帳!$A$3:$K$4986,11,FALSE))</f>
        <v/>
      </c>
      <c r="G1505" s="256" t="str">
        <f>IF(D1505="","",VLOOKUP(F1505,製品マスタ!$G$5:$H$4999,2,FALSE))</f>
        <v/>
      </c>
      <c r="H1505" s="256" t="str">
        <f>IF(D1505="","",VLOOKUP(F1505,製品マスタ!$G$5:$K$4999,5,FALSE))</f>
        <v/>
      </c>
      <c r="I1505" s="200" t="str">
        <f>IF(D1505="","",VLOOKUP(F1505,製品マスタ!$G$5:$L$4999,6,FALSE))</f>
        <v/>
      </c>
      <c r="J1505" s="30" t="s">
        <v>447</v>
      </c>
      <c r="K1505" s="200" t="str">
        <f>IF(D1505="","",VLOOKUP(D1505,契約台帳!$A$3:$L$4986,12,FALSE))</f>
        <v/>
      </c>
      <c r="L1505" s="200" t="str">
        <f>IF(D1505="","",INDEX(製品マスタ!$Q$5:$Q$4999,MATCH(F1505&amp;K1505,製品マスタ!$AO$5:$AO$4999,0)))</f>
        <v/>
      </c>
      <c r="M1505" s="37"/>
      <c r="N1505" s="37"/>
      <c r="O1505" s="45"/>
      <c r="P1505" s="54"/>
      <c r="Q1505" s="260" t="str">
        <f>IF(D1505="","",IF(J1505="リード付け",M1505,VLOOKUP(D1505,契約台帳!$A$3:$N$4986,14,FALSE)))</f>
        <v/>
      </c>
      <c r="R1505" s="261" t="str">
        <f>IF(D1505="","",IF(J1505="リード付け",M1505,VLOOKUP(D1505,契約台帳!$A$3:$O$4986,15,FALSE)))</f>
        <v/>
      </c>
      <c r="S1505" s="261" t="str">
        <f>IF(D1505="","",IF(J1505="リード付け",N1505,VLOOKUP(D1505,契約台帳!$A$3:$P$4986,16,FALSE)))</f>
        <v/>
      </c>
      <c r="T1505" s="38"/>
      <c r="U1505" s="261" t="str">
        <f ca="1">IF(D1505="","",IF(OFFSET(D1505,-2,0)=D1505,"",VLOOKUP(D1505,契約台帳!$A$3:$R$4986,18,FALSE)))</f>
        <v/>
      </c>
      <c r="V1505" s="256" t="e">
        <f>IF(J1505="巻返し",VLOOKUP(F1505&amp;K1505&amp;M1505,製品マスタ!$M$5:$AD$4999,18,FALSE),IF(J1505="リード付け","原反コア",IF(J1505="スリット",VLOOKUP(F1505&amp;K1505&amp;Q1505,製品マスタ!$N$5:$AD$4999,17,FALSE),"")))</f>
        <v>#N/A</v>
      </c>
      <c r="W1505" s="256" t="e">
        <f>IF(J1505="巻返し",VLOOKUP(F1505&amp;K1505&amp;M1505,製品マスタ!$M$5:$AE$4999,19,FALSE),IF(J1505="リード付け","-",IF(J1505="スリット",VLOOKUP(F1505&amp;K1505&amp;Q1505,製品マスタ!$N$5:$AE$4999,18,FALSE),"")))</f>
        <v>#N/A</v>
      </c>
      <c r="X1505" s="256" t="str">
        <f>IF(D1505="","",VLOOKUP(D1505,契約台帳!$A$3:$Q$4986,17,FALSE))</f>
        <v/>
      </c>
      <c r="Y1505" s="256" t="str">
        <f>IF(D1505="","",VLOOKUP(D1505,契約台帳!$A$3:$E$4986,5,FALSE))</f>
        <v/>
      </c>
      <c r="Z1505" s="310"/>
      <c r="AA1505" s="200"/>
      <c r="AB1505" s="312"/>
      <c r="AC1505" s="313"/>
      <c r="AD1505" s="51" t="str">
        <f t="shared" si="93"/>
        <v/>
      </c>
      <c r="AE1505" s="52">
        <f t="shared" si="94"/>
        <v>0</v>
      </c>
      <c r="AF1505" s="41" t="str">
        <f>IF(AD1505="","",VLOOKUP(AD1505,原価マスタ!$A$2:$AJ$1693,13,FALSE))</f>
        <v/>
      </c>
      <c r="AG1505" s="45" t="str">
        <f t="shared" si="95"/>
        <v/>
      </c>
      <c r="AH1505" s="28"/>
      <c r="AI1505" s="28"/>
      <c r="AJ1505" s="28"/>
      <c r="AK1505" s="28"/>
      <c r="AL1505" s="12"/>
      <c r="AM1505" s="12"/>
      <c r="AN1505" s="12"/>
      <c r="AO1505" s="12"/>
      <c r="AP1505" s="12"/>
      <c r="AQ1505" s="13"/>
      <c r="AR1505" s="14"/>
    </row>
    <row r="1506" spans="1:44" s="16" customFormat="1" ht="30.95" customHeight="1" x14ac:dyDescent="0.2">
      <c r="A1506" s="303"/>
      <c r="B1506" s="304"/>
      <c r="C1506" s="305"/>
      <c r="D1506" s="29"/>
      <c r="E1506" s="29"/>
      <c r="F1506" s="255" t="str">
        <f>IF(D1506="","",VLOOKUP(D1506,契約台帳!$A$3:$K$4986,6,FALSE)&amp;VLOOKUP(D1506,契約台帳!$A$3:$K$4986,7,FALSE)&amp;VLOOKUP(D1506,契約台帳!$A$3:$K$4986,8,FALSE)&amp;VLOOKUP(D1506,契約台帳!$A$3:$K$4986,9,FALSE)&amp;VLOOKUP(D1506,契約台帳!$A$3:$K$4986,11,FALSE))</f>
        <v/>
      </c>
      <c r="G1506" s="256" t="str">
        <f>IF(D1506="","",VLOOKUP(F1506,製品マスタ!$G$5:$H$4999,2,FALSE))</f>
        <v/>
      </c>
      <c r="H1506" s="256" t="str">
        <f>IF(D1506="","",VLOOKUP(F1506,製品マスタ!$G$5:$K$4999,5,FALSE))</f>
        <v/>
      </c>
      <c r="I1506" s="200" t="str">
        <f>IF(D1506="","",VLOOKUP(F1506,製品マスタ!$G$5:$L$4999,6,FALSE))</f>
        <v/>
      </c>
      <c r="J1506" s="30" t="s">
        <v>447</v>
      </c>
      <c r="K1506" s="200" t="str">
        <f>IF(D1506="","",VLOOKUP(D1506,契約台帳!$A$3:$L$4986,12,FALSE))</f>
        <v/>
      </c>
      <c r="L1506" s="200" t="str">
        <f>IF(D1506="","",INDEX(製品マスタ!$Q$5:$Q$4999,MATCH(F1506&amp;K1506,製品マスタ!$AO$5:$AO$4999,0)))</f>
        <v/>
      </c>
      <c r="M1506" s="37"/>
      <c r="N1506" s="37"/>
      <c r="O1506" s="45"/>
      <c r="P1506" s="54"/>
      <c r="Q1506" s="260" t="str">
        <f>IF(D1506="","",IF(J1506="リード付け",M1506,VLOOKUP(D1506,契約台帳!$A$3:$N$4986,14,FALSE)))</f>
        <v/>
      </c>
      <c r="R1506" s="261" t="str">
        <f>IF(D1506="","",IF(J1506="リード付け",M1506,VLOOKUP(D1506,契約台帳!$A$3:$O$4986,15,FALSE)))</f>
        <v/>
      </c>
      <c r="S1506" s="261" t="str">
        <f>IF(D1506="","",IF(J1506="リード付け",N1506,VLOOKUP(D1506,契約台帳!$A$3:$P$4986,16,FALSE)))</f>
        <v/>
      </c>
      <c r="T1506" s="38"/>
      <c r="U1506" s="261" t="str">
        <f ca="1">IF(D1506="","",IF(OFFSET(D1506,-2,0)=D1506,"",VLOOKUP(D1506,契約台帳!$A$3:$R$4986,18,FALSE)))</f>
        <v/>
      </c>
      <c r="V1506" s="256" t="e">
        <f>IF(J1506="巻返し",VLOOKUP(F1506&amp;K1506&amp;M1506,製品マスタ!$M$5:$AD$4999,18,FALSE),IF(J1506="リード付け","原反コア",IF(J1506="スリット",VLOOKUP(F1506&amp;K1506&amp;Q1506,製品マスタ!$N$5:$AD$4999,17,FALSE),"")))</f>
        <v>#N/A</v>
      </c>
      <c r="W1506" s="256" t="e">
        <f>IF(J1506="巻返し",VLOOKUP(F1506&amp;K1506&amp;M1506,製品マスタ!$M$5:$AE$4999,19,FALSE),IF(J1506="リード付け","-",IF(J1506="スリット",VLOOKUP(F1506&amp;K1506&amp;Q1506,製品マスタ!$N$5:$AE$4999,18,FALSE),"")))</f>
        <v>#N/A</v>
      </c>
      <c r="X1506" s="256" t="str">
        <f>IF(D1506="","",VLOOKUP(D1506,契約台帳!$A$3:$Q$4986,17,FALSE))</f>
        <v/>
      </c>
      <c r="Y1506" s="256" t="str">
        <f>IF(D1506="","",VLOOKUP(D1506,契約台帳!$A$3:$E$4986,5,FALSE))</f>
        <v/>
      </c>
      <c r="Z1506" s="310"/>
      <c r="AA1506" s="200"/>
      <c r="AB1506" s="312"/>
      <c r="AC1506" s="313"/>
      <c r="AD1506" s="51" t="str">
        <f t="shared" si="93"/>
        <v/>
      </c>
      <c r="AE1506" s="52">
        <f t="shared" si="94"/>
        <v>0</v>
      </c>
      <c r="AF1506" s="41" t="str">
        <f>IF(AD1506="","",VLOOKUP(AD1506,原価マスタ!$A$2:$AJ$1693,13,FALSE))</f>
        <v/>
      </c>
      <c r="AG1506" s="45" t="str">
        <f t="shared" si="95"/>
        <v/>
      </c>
      <c r="AH1506" s="28"/>
      <c r="AI1506" s="28"/>
      <c r="AJ1506" s="28"/>
      <c r="AK1506" s="28"/>
      <c r="AL1506" s="12"/>
      <c r="AM1506" s="12"/>
      <c r="AN1506" s="12"/>
      <c r="AO1506" s="12"/>
      <c r="AP1506" s="12"/>
      <c r="AQ1506" s="13"/>
      <c r="AR1506" s="14"/>
    </row>
    <row r="1507" spans="1:44" s="16" customFormat="1" ht="30.95" customHeight="1" x14ac:dyDescent="0.2">
      <c r="A1507" s="303"/>
      <c r="B1507" s="304"/>
      <c r="C1507" s="305"/>
      <c r="D1507" s="29"/>
      <c r="E1507" s="29"/>
      <c r="F1507" s="255" t="str">
        <f>IF(D1507="","",VLOOKUP(D1507,契約台帳!$A$3:$K$4986,6,FALSE)&amp;VLOOKUP(D1507,契約台帳!$A$3:$K$4986,7,FALSE)&amp;VLOOKUP(D1507,契約台帳!$A$3:$K$4986,8,FALSE)&amp;VLOOKUP(D1507,契約台帳!$A$3:$K$4986,9,FALSE)&amp;VLOOKUP(D1507,契約台帳!$A$3:$K$4986,11,FALSE))</f>
        <v/>
      </c>
      <c r="G1507" s="256" t="str">
        <f>IF(D1507="","",VLOOKUP(F1507,製品マスタ!$G$5:$H$4999,2,FALSE))</f>
        <v/>
      </c>
      <c r="H1507" s="256" t="str">
        <f>IF(D1507="","",VLOOKUP(F1507,製品マスタ!$G$5:$K$4999,5,FALSE))</f>
        <v/>
      </c>
      <c r="I1507" s="200" t="str">
        <f>IF(D1507="","",VLOOKUP(F1507,製品マスタ!$G$5:$L$4999,6,FALSE))</f>
        <v/>
      </c>
      <c r="J1507" s="30" t="s">
        <v>447</v>
      </c>
      <c r="K1507" s="200" t="str">
        <f>IF(D1507="","",VLOOKUP(D1507,契約台帳!$A$3:$L$4986,12,FALSE))</f>
        <v/>
      </c>
      <c r="L1507" s="200" t="str">
        <f>IF(D1507="","",INDEX(製品マスタ!$Q$5:$Q$4999,MATCH(F1507&amp;K1507,製品マスタ!$AO$5:$AO$4999,0)))</f>
        <v/>
      </c>
      <c r="M1507" s="37"/>
      <c r="N1507" s="37"/>
      <c r="O1507" s="45"/>
      <c r="P1507" s="54"/>
      <c r="Q1507" s="260" t="str">
        <f>IF(D1507="","",IF(J1507="リード付け",M1507,VLOOKUP(D1507,契約台帳!$A$3:$N$4986,14,FALSE)))</f>
        <v/>
      </c>
      <c r="R1507" s="261" t="str">
        <f>IF(D1507="","",IF(J1507="リード付け",M1507,VLOOKUP(D1507,契約台帳!$A$3:$O$4986,15,FALSE)))</f>
        <v/>
      </c>
      <c r="S1507" s="261" t="str">
        <f>IF(D1507="","",IF(J1507="リード付け",N1507,VLOOKUP(D1507,契約台帳!$A$3:$P$4986,16,FALSE)))</f>
        <v/>
      </c>
      <c r="T1507" s="38"/>
      <c r="U1507" s="261" t="str">
        <f ca="1">IF(D1507="","",IF(OFFSET(D1507,-2,0)=D1507,"",VLOOKUP(D1507,契約台帳!$A$3:$R$4986,18,FALSE)))</f>
        <v/>
      </c>
      <c r="V1507" s="256" t="e">
        <f>IF(J1507="巻返し",VLOOKUP(F1507&amp;K1507&amp;M1507,製品マスタ!$M$5:$AD$4999,18,FALSE),IF(J1507="リード付け","原反コア",IF(J1507="スリット",VLOOKUP(F1507&amp;K1507&amp;Q1507,製品マスタ!$N$5:$AD$4999,17,FALSE),"")))</f>
        <v>#N/A</v>
      </c>
      <c r="W1507" s="256" t="e">
        <f>IF(J1507="巻返し",VLOOKUP(F1507&amp;K1507&amp;M1507,製品マスタ!$M$5:$AE$4999,19,FALSE),IF(J1507="リード付け","-",IF(J1507="スリット",VLOOKUP(F1507&amp;K1507&amp;Q1507,製品マスタ!$N$5:$AE$4999,18,FALSE),"")))</f>
        <v>#N/A</v>
      </c>
      <c r="X1507" s="256" t="str">
        <f>IF(D1507="","",VLOOKUP(D1507,契約台帳!$A$3:$Q$4986,17,FALSE))</f>
        <v/>
      </c>
      <c r="Y1507" s="256" t="str">
        <f>IF(D1507="","",VLOOKUP(D1507,契約台帳!$A$3:$E$4986,5,FALSE))</f>
        <v/>
      </c>
      <c r="Z1507" s="310"/>
      <c r="AA1507" s="200"/>
      <c r="AB1507" s="312"/>
      <c r="AC1507" s="313"/>
      <c r="AD1507" s="51" t="str">
        <f t="shared" si="93"/>
        <v/>
      </c>
      <c r="AE1507" s="52">
        <f t="shared" si="94"/>
        <v>0</v>
      </c>
      <c r="AF1507" s="41" t="str">
        <f>IF(AD1507="","",VLOOKUP(AD1507,原価マスタ!$A$2:$AJ$1693,13,FALSE))</f>
        <v/>
      </c>
      <c r="AG1507" s="45" t="str">
        <f t="shared" si="95"/>
        <v/>
      </c>
      <c r="AH1507" s="28"/>
      <c r="AI1507" s="28"/>
      <c r="AJ1507" s="28"/>
      <c r="AK1507" s="28"/>
      <c r="AL1507" s="12"/>
      <c r="AM1507" s="12"/>
      <c r="AN1507" s="12"/>
      <c r="AO1507" s="12"/>
      <c r="AP1507" s="12"/>
      <c r="AQ1507" s="13"/>
      <c r="AR1507" s="14"/>
    </row>
    <row r="1508" spans="1:44" s="16" customFormat="1" ht="30.95" customHeight="1" x14ac:dyDescent="0.2">
      <c r="A1508" s="303"/>
      <c r="B1508" s="304"/>
      <c r="C1508" s="305"/>
      <c r="D1508" s="29"/>
      <c r="E1508" s="29"/>
      <c r="F1508" s="255" t="str">
        <f>IF(D1508="","",VLOOKUP(D1508,契約台帳!$A$3:$K$4986,6,FALSE)&amp;VLOOKUP(D1508,契約台帳!$A$3:$K$4986,7,FALSE)&amp;VLOOKUP(D1508,契約台帳!$A$3:$K$4986,8,FALSE)&amp;VLOOKUP(D1508,契約台帳!$A$3:$K$4986,9,FALSE)&amp;VLOOKUP(D1508,契約台帳!$A$3:$K$4986,11,FALSE))</f>
        <v/>
      </c>
      <c r="G1508" s="256" t="str">
        <f>IF(D1508="","",VLOOKUP(F1508,製品マスタ!$G$5:$H$4999,2,FALSE))</f>
        <v/>
      </c>
      <c r="H1508" s="256" t="str">
        <f>IF(D1508="","",VLOOKUP(F1508,製品マスタ!$G$5:$K$4999,5,FALSE))</f>
        <v/>
      </c>
      <c r="I1508" s="200" t="str">
        <f>IF(D1508="","",VLOOKUP(F1508,製品マスタ!$G$5:$L$4999,6,FALSE))</f>
        <v/>
      </c>
      <c r="J1508" s="30" t="s">
        <v>447</v>
      </c>
      <c r="K1508" s="200" t="str">
        <f>IF(D1508="","",VLOOKUP(D1508,契約台帳!$A$3:$L$4986,12,FALSE))</f>
        <v/>
      </c>
      <c r="L1508" s="200" t="str">
        <f>IF(D1508="","",INDEX(製品マスタ!$Q$5:$Q$4999,MATCH(F1508&amp;K1508,製品マスタ!$AO$5:$AO$4999,0)))</f>
        <v/>
      </c>
      <c r="M1508" s="37"/>
      <c r="N1508" s="37"/>
      <c r="O1508" s="45"/>
      <c r="P1508" s="54"/>
      <c r="Q1508" s="260" t="str">
        <f>IF(D1508="","",IF(J1508="リード付け",M1508,VLOOKUP(D1508,契約台帳!$A$3:$N$4986,14,FALSE)))</f>
        <v/>
      </c>
      <c r="R1508" s="261" t="str">
        <f>IF(D1508="","",IF(J1508="リード付け",M1508,VLOOKUP(D1508,契約台帳!$A$3:$O$4986,15,FALSE)))</f>
        <v/>
      </c>
      <c r="S1508" s="261" t="str">
        <f>IF(D1508="","",IF(J1508="リード付け",N1508,VLOOKUP(D1508,契約台帳!$A$3:$P$4986,16,FALSE)))</f>
        <v/>
      </c>
      <c r="T1508" s="38"/>
      <c r="U1508" s="261" t="str">
        <f ca="1">IF(D1508="","",IF(OFFSET(D1508,-2,0)=D1508,"",VLOOKUP(D1508,契約台帳!$A$3:$R$4986,18,FALSE)))</f>
        <v/>
      </c>
      <c r="V1508" s="256" t="e">
        <f>IF(J1508="巻返し",VLOOKUP(F1508&amp;K1508&amp;M1508,製品マスタ!$M$5:$AD$4999,18,FALSE),IF(J1508="リード付け","原反コア",IF(J1508="スリット",VLOOKUP(F1508&amp;K1508&amp;Q1508,製品マスタ!$N$5:$AD$4999,17,FALSE),"")))</f>
        <v>#N/A</v>
      </c>
      <c r="W1508" s="256" t="e">
        <f>IF(J1508="巻返し",VLOOKUP(F1508&amp;K1508&amp;M1508,製品マスタ!$M$5:$AE$4999,19,FALSE),IF(J1508="リード付け","-",IF(J1508="スリット",VLOOKUP(F1508&amp;K1508&amp;Q1508,製品マスタ!$N$5:$AE$4999,18,FALSE),"")))</f>
        <v>#N/A</v>
      </c>
      <c r="X1508" s="256" t="str">
        <f>IF(D1508="","",VLOOKUP(D1508,契約台帳!$A$3:$Q$4986,17,FALSE))</f>
        <v/>
      </c>
      <c r="Y1508" s="256" t="str">
        <f>IF(D1508="","",VLOOKUP(D1508,契約台帳!$A$3:$E$4986,5,FALSE))</f>
        <v/>
      </c>
      <c r="Z1508" s="310"/>
      <c r="AA1508" s="200"/>
      <c r="AB1508" s="312"/>
      <c r="AC1508" s="313"/>
      <c r="AD1508" s="51" t="str">
        <f t="shared" si="93"/>
        <v/>
      </c>
      <c r="AE1508" s="52">
        <f t="shared" si="94"/>
        <v>0</v>
      </c>
      <c r="AF1508" s="41" t="str">
        <f>IF(AD1508="","",VLOOKUP(AD1508,原価マスタ!$A$2:$AJ$1693,13,FALSE))</f>
        <v/>
      </c>
      <c r="AG1508" s="45" t="str">
        <f t="shared" si="95"/>
        <v/>
      </c>
      <c r="AH1508" s="28"/>
      <c r="AI1508" s="28"/>
      <c r="AJ1508" s="28"/>
      <c r="AK1508" s="28"/>
      <c r="AL1508" s="12"/>
      <c r="AM1508" s="12"/>
      <c r="AN1508" s="12"/>
      <c r="AO1508" s="12"/>
      <c r="AP1508" s="12"/>
      <c r="AQ1508" s="13"/>
      <c r="AR1508" s="14"/>
    </row>
    <row r="1509" spans="1:44" s="16" customFormat="1" ht="30.95" customHeight="1" x14ac:dyDescent="0.2">
      <c r="A1509" s="303"/>
      <c r="B1509" s="304"/>
      <c r="C1509" s="305"/>
      <c r="D1509" s="29"/>
      <c r="E1509" s="29"/>
      <c r="F1509" s="255" t="str">
        <f>IF(D1509="","",VLOOKUP(D1509,契約台帳!$A$3:$K$4986,6,FALSE)&amp;VLOOKUP(D1509,契約台帳!$A$3:$K$4986,7,FALSE)&amp;VLOOKUP(D1509,契約台帳!$A$3:$K$4986,8,FALSE)&amp;VLOOKUP(D1509,契約台帳!$A$3:$K$4986,9,FALSE)&amp;VLOOKUP(D1509,契約台帳!$A$3:$K$4986,11,FALSE))</f>
        <v/>
      </c>
      <c r="G1509" s="256" t="str">
        <f>IF(D1509="","",VLOOKUP(F1509,製品マスタ!$G$5:$H$4999,2,FALSE))</f>
        <v/>
      </c>
      <c r="H1509" s="256" t="str">
        <f>IF(D1509="","",VLOOKUP(F1509,製品マスタ!$G$5:$K$4999,5,FALSE))</f>
        <v/>
      </c>
      <c r="I1509" s="200" t="str">
        <f>IF(D1509="","",VLOOKUP(F1509,製品マスタ!$G$5:$L$4999,6,FALSE))</f>
        <v/>
      </c>
      <c r="J1509" s="30" t="s">
        <v>447</v>
      </c>
      <c r="K1509" s="200" t="str">
        <f>IF(D1509="","",VLOOKUP(D1509,契約台帳!$A$3:$L$4986,12,FALSE))</f>
        <v/>
      </c>
      <c r="L1509" s="200" t="str">
        <f>IF(D1509="","",INDEX(製品マスタ!$Q$5:$Q$4999,MATCH(F1509&amp;K1509,製品マスタ!$AO$5:$AO$4999,0)))</f>
        <v/>
      </c>
      <c r="M1509" s="37"/>
      <c r="N1509" s="37"/>
      <c r="O1509" s="45"/>
      <c r="P1509" s="54"/>
      <c r="Q1509" s="260" t="str">
        <f>IF(D1509="","",IF(J1509="リード付け",M1509,VLOOKUP(D1509,契約台帳!$A$3:$N$4986,14,FALSE)))</f>
        <v/>
      </c>
      <c r="R1509" s="261" t="str">
        <f>IF(D1509="","",IF(J1509="リード付け",M1509,VLOOKUP(D1509,契約台帳!$A$3:$O$4986,15,FALSE)))</f>
        <v/>
      </c>
      <c r="S1509" s="261" t="str">
        <f>IF(D1509="","",IF(J1509="リード付け",N1509,VLOOKUP(D1509,契約台帳!$A$3:$P$4986,16,FALSE)))</f>
        <v/>
      </c>
      <c r="T1509" s="38"/>
      <c r="U1509" s="261" t="str">
        <f ca="1">IF(D1509="","",IF(OFFSET(D1509,-2,0)=D1509,"",VLOOKUP(D1509,契約台帳!$A$3:$R$4986,18,FALSE)))</f>
        <v/>
      </c>
      <c r="V1509" s="256" t="e">
        <f>IF(J1509="巻返し",VLOOKUP(F1509&amp;K1509&amp;M1509,製品マスタ!$M$5:$AD$4999,18,FALSE),IF(J1509="リード付け","原反コア",IF(J1509="スリット",VLOOKUP(F1509&amp;K1509&amp;Q1509,製品マスタ!$N$5:$AD$4999,17,FALSE),"")))</f>
        <v>#N/A</v>
      </c>
      <c r="W1509" s="256" t="e">
        <f>IF(J1509="巻返し",VLOOKUP(F1509&amp;K1509&amp;M1509,製品マスタ!$M$5:$AE$4999,19,FALSE),IF(J1509="リード付け","-",IF(J1509="スリット",VLOOKUP(F1509&amp;K1509&amp;Q1509,製品マスタ!$N$5:$AE$4999,18,FALSE),"")))</f>
        <v>#N/A</v>
      </c>
      <c r="X1509" s="256" t="str">
        <f>IF(D1509="","",VLOOKUP(D1509,契約台帳!$A$3:$Q$4986,17,FALSE))</f>
        <v/>
      </c>
      <c r="Y1509" s="256" t="str">
        <f>IF(D1509="","",VLOOKUP(D1509,契約台帳!$A$3:$E$4986,5,FALSE))</f>
        <v/>
      </c>
      <c r="Z1509" s="310"/>
      <c r="AA1509" s="200"/>
      <c r="AB1509" s="312"/>
      <c r="AC1509" s="313"/>
      <c r="AD1509" s="51" t="str">
        <f t="shared" si="93"/>
        <v/>
      </c>
      <c r="AE1509" s="52">
        <f t="shared" si="94"/>
        <v>0</v>
      </c>
      <c r="AF1509" s="41" t="str">
        <f>IF(AD1509="","",VLOOKUP(AD1509,原価マスタ!$A$2:$AJ$1693,13,FALSE))</f>
        <v/>
      </c>
      <c r="AG1509" s="45" t="str">
        <f t="shared" si="95"/>
        <v/>
      </c>
      <c r="AH1509" s="28"/>
      <c r="AI1509" s="28"/>
      <c r="AJ1509" s="28"/>
      <c r="AK1509" s="28"/>
      <c r="AL1509" s="12"/>
      <c r="AM1509" s="12"/>
      <c r="AN1509" s="12"/>
      <c r="AO1509" s="12"/>
      <c r="AP1509" s="12"/>
      <c r="AQ1509" s="13"/>
      <c r="AR1509" s="14"/>
    </row>
    <row r="1510" spans="1:44" s="16" customFormat="1" ht="30.95" customHeight="1" x14ac:dyDescent="0.2">
      <c r="A1510" s="303"/>
      <c r="B1510" s="304"/>
      <c r="C1510" s="305"/>
      <c r="D1510" s="29"/>
      <c r="E1510" s="29"/>
      <c r="F1510" s="255" t="str">
        <f>IF(D1510="","",VLOOKUP(D1510,契約台帳!$A$3:$K$4986,6,FALSE)&amp;VLOOKUP(D1510,契約台帳!$A$3:$K$4986,7,FALSE)&amp;VLOOKUP(D1510,契約台帳!$A$3:$K$4986,8,FALSE)&amp;VLOOKUP(D1510,契約台帳!$A$3:$K$4986,9,FALSE)&amp;VLOOKUP(D1510,契約台帳!$A$3:$K$4986,11,FALSE))</f>
        <v/>
      </c>
      <c r="G1510" s="256" t="str">
        <f>IF(D1510="","",VLOOKUP(F1510,製品マスタ!$G$5:$H$4999,2,FALSE))</f>
        <v/>
      </c>
      <c r="H1510" s="256" t="str">
        <f>IF(D1510="","",VLOOKUP(F1510,製品マスタ!$G$5:$K$4999,5,FALSE))</f>
        <v/>
      </c>
      <c r="I1510" s="200" t="str">
        <f>IF(D1510="","",VLOOKUP(F1510,製品マスタ!$G$5:$L$4999,6,FALSE))</f>
        <v/>
      </c>
      <c r="J1510" s="30" t="s">
        <v>447</v>
      </c>
      <c r="K1510" s="200" t="str">
        <f>IF(D1510="","",VLOOKUP(D1510,契約台帳!$A$3:$L$4986,12,FALSE))</f>
        <v/>
      </c>
      <c r="L1510" s="200" t="str">
        <f>IF(D1510="","",INDEX(製品マスタ!$Q$5:$Q$4999,MATCH(F1510&amp;K1510,製品マスタ!$AO$5:$AO$4999,0)))</f>
        <v/>
      </c>
      <c r="M1510" s="37"/>
      <c r="N1510" s="37"/>
      <c r="O1510" s="45"/>
      <c r="P1510" s="54"/>
      <c r="Q1510" s="260" t="str">
        <f>IF(D1510="","",IF(J1510="リード付け",M1510,VLOOKUP(D1510,契約台帳!$A$3:$N$4986,14,FALSE)))</f>
        <v/>
      </c>
      <c r="R1510" s="261" t="str">
        <f>IF(D1510="","",IF(J1510="リード付け",M1510,VLOOKUP(D1510,契約台帳!$A$3:$O$4986,15,FALSE)))</f>
        <v/>
      </c>
      <c r="S1510" s="261" t="str">
        <f>IF(D1510="","",IF(J1510="リード付け",N1510,VLOOKUP(D1510,契約台帳!$A$3:$P$4986,16,FALSE)))</f>
        <v/>
      </c>
      <c r="T1510" s="38"/>
      <c r="U1510" s="261" t="str">
        <f ca="1">IF(D1510="","",IF(OFFSET(D1510,-2,0)=D1510,"",VLOOKUP(D1510,契約台帳!$A$3:$R$4986,18,FALSE)))</f>
        <v/>
      </c>
      <c r="V1510" s="256" t="e">
        <f>IF(J1510="巻返し",VLOOKUP(F1510&amp;K1510&amp;M1510,製品マスタ!$M$5:$AD$4999,18,FALSE),IF(J1510="リード付け","原反コア",IF(J1510="スリット",VLOOKUP(F1510&amp;K1510&amp;Q1510,製品マスタ!$N$5:$AD$4999,17,FALSE),"")))</f>
        <v>#N/A</v>
      </c>
      <c r="W1510" s="256" t="e">
        <f>IF(J1510="巻返し",VLOOKUP(F1510&amp;K1510&amp;M1510,製品マスタ!$M$5:$AE$4999,19,FALSE),IF(J1510="リード付け","-",IF(J1510="スリット",VLOOKUP(F1510&amp;K1510&amp;Q1510,製品マスタ!$N$5:$AE$4999,18,FALSE),"")))</f>
        <v>#N/A</v>
      </c>
      <c r="X1510" s="256" t="str">
        <f>IF(D1510="","",VLOOKUP(D1510,契約台帳!$A$3:$Q$4986,17,FALSE))</f>
        <v/>
      </c>
      <c r="Y1510" s="256" t="str">
        <f>IF(D1510="","",VLOOKUP(D1510,契約台帳!$A$3:$E$4986,5,FALSE))</f>
        <v/>
      </c>
      <c r="Z1510" s="310"/>
      <c r="AA1510" s="200"/>
      <c r="AB1510" s="312"/>
      <c r="AC1510" s="313"/>
      <c r="AD1510" s="51" t="str">
        <f t="shared" si="93"/>
        <v/>
      </c>
      <c r="AE1510" s="52">
        <f t="shared" si="94"/>
        <v>0</v>
      </c>
      <c r="AF1510" s="41" t="str">
        <f>IF(AD1510="","",VLOOKUP(AD1510,原価マスタ!$A$2:$AJ$1693,13,FALSE))</f>
        <v/>
      </c>
      <c r="AG1510" s="45" t="str">
        <f t="shared" si="95"/>
        <v/>
      </c>
      <c r="AH1510" s="28"/>
      <c r="AI1510" s="28"/>
      <c r="AJ1510" s="28"/>
      <c r="AK1510" s="28"/>
      <c r="AL1510" s="12"/>
      <c r="AM1510" s="12"/>
      <c r="AN1510" s="12"/>
      <c r="AO1510" s="12"/>
      <c r="AP1510" s="12"/>
      <c r="AQ1510" s="13"/>
      <c r="AR1510" s="14"/>
    </row>
    <row r="1511" spans="1:44" s="16" customFormat="1" ht="30.95" customHeight="1" x14ac:dyDescent="0.2">
      <c r="A1511" s="303"/>
      <c r="B1511" s="304"/>
      <c r="C1511" s="305"/>
      <c r="D1511" s="29"/>
      <c r="E1511" s="29"/>
      <c r="F1511" s="255" t="str">
        <f>IF(D1511="","",VLOOKUP(D1511,契約台帳!$A$3:$K$4986,6,FALSE)&amp;VLOOKUP(D1511,契約台帳!$A$3:$K$4986,7,FALSE)&amp;VLOOKUP(D1511,契約台帳!$A$3:$K$4986,8,FALSE)&amp;VLOOKUP(D1511,契約台帳!$A$3:$K$4986,9,FALSE)&amp;VLOOKUP(D1511,契約台帳!$A$3:$K$4986,11,FALSE))</f>
        <v/>
      </c>
      <c r="G1511" s="256" t="str">
        <f>IF(D1511="","",VLOOKUP(F1511,製品マスタ!$G$5:$H$4999,2,FALSE))</f>
        <v/>
      </c>
      <c r="H1511" s="256" t="str">
        <f>IF(D1511="","",VLOOKUP(F1511,製品マスタ!$G$5:$K$4999,5,FALSE))</f>
        <v/>
      </c>
      <c r="I1511" s="200" t="str">
        <f>IF(D1511="","",VLOOKUP(F1511,製品マスタ!$G$5:$L$4999,6,FALSE))</f>
        <v/>
      </c>
      <c r="J1511" s="30" t="s">
        <v>447</v>
      </c>
      <c r="K1511" s="200" t="str">
        <f>IF(D1511="","",VLOOKUP(D1511,契約台帳!$A$3:$L$4986,12,FALSE))</f>
        <v/>
      </c>
      <c r="L1511" s="200" t="str">
        <f>IF(D1511="","",INDEX(製品マスタ!$Q$5:$Q$4999,MATCH(F1511&amp;K1511,製品マスタ!$AO$5:$AO$4999,0)))</f>
        <v/>
      </c>
      <c r="M1511" s="37"/>
      <c r="N1511" s="37"/>
      <c r="O1511" s="45"/>
      <c r="P1511" s="54"/>
      <c r="Q1511" s="260" t="str">
        <f>IF(D1511="","",IF(J1511="リード付け",M1511,VLOOKUP(D1511,契約台帳!$A$3:$N$4986,14,FALSE)))</f>
        <v/>
      </c>
      <c r="R1511" s="261" t="str">
        <f>IF(D1511="","",IF(J1511="リード付け",M1511,VLOOKUP(D1511,契約台帳!$A$3:$O$4986,15,FALSE)))</f>
        <v/>
      </c>
      <c r="S1511" s="261" t="str">
        <f>IF(D1511="","",IF(J1511="リード付け",N1511,VLOOKUP(D1511,契約台帳!$A$3:$P$4986,16,FALSE)))</f>
        <v/>
      </c>
      <c r="T1511" s="38"/>
      <c r="U1511" s="261" t="str">
        <f ca="1">IF(D1511="","",IF(OFFSET(D1511,-2,0)=D1511,"",VLOOKUP(D1511,契約台帳!$A$3:$R$4986,18,FALSE)))</f>
        <v/>
      </c>
      <c r="V1511" s="256" t="e">
        <f>IF(J1511="巻返し",VLOOKUP(F1511&amp;K1511&amp;M1511,製品マスタ!$M$5:$AD$4999,18,FALSE),IF(J1511="リード付け","原反コア",IF(J1511="スリット",VLOOKUP(F1511&amp;K1511&amp;Q1511,製品マスタ!$N$5:$AD$4999,17,FALSE),"")))</f>
        <v>#N/A</v>
      </c>
      <c r="W1511" s="256" t="e">
        <f>IF(J1511="巻返し",VLOOKUP(F1511&amp;K1511&amp;M1511,製品マスタ!$M$5:$AE$4999,19,FALSE),IF(J1511="リード付け","-",IF(J1511="スリット",VLOOKUP(F1511&amp;K1511&amp;Q1511,製品マスタ!$N$5:$AE$4999,18,FALSE),"")))</f>
        <v>#N/A</v>
      </c>
      <c r="X1511" s="256" t="str">
        <f>IF(D1511="","",VLOOKUP(D1511,契約台帳!$A$3:$Q$4986,17,FALSE))</f>
        <v/>
      </c>
      <c r="Y1511" s="256" t="str">
        <f>IF(D1511="","",VLOOKUP(D1511,契約台帳!$A$3:$E$4986,5,FALSE))</f>
        <v/>
      </c>
      <c r="Z1511" s="310"/>
      <c r="AA1511" s="200"/>
      <c r="AB1511" s="312"/>
      <c r="AC1511" s="313"/>
      <c r="AD1511" s="51" t="str">
        <f t="shared" si="93"/>
        <v/>
      </c>
      <c r="AE1511" s="52">
        <f t="shared" si="94"/>
        <v>0</v>
      </c>
      <c r="AF1511" s="41" t="str">
        <f>IF(AD1511="","",VLOOKUP(AD1511,原価マスタ!$A$2:$AJ$1693,13,FALSE))</f>
        <v/>
      </c>
      <c r="AG1511" s="45" t="str">
        <f t="shared" si="95"/>
        <v/>
      </c>
      <c r="AH1511" s="28"/>
      <c r="AI1511" s="28"/>
      <c r="AJ1511" s="28"/>
      <c r="AK1511" s="28"/>
      <c r="AL1511" s="12"/>
      <c r="AM1511" s="12"/>
      <c r="AN1511" s="12"/>
      <c r="AO1511" s="12"/>
      <c r="AP1511" s="12"/>
      <c r="AQ1511" s="13"/>
      <c r="AR1511" s="14"/>
    </row>
    <row r="1512" spans="1:44" s="16" customFormat="1" ht="30.95" customHeight="1" x14ac:dyDescent="0.2">
      <c r="A1512" s="303"/>
      <c r="B1512" s="304"/>
      <c r="C1512" s="305"/>
      <c r="D1512" s="29"/>
      <c r="E1512" s="29"/>
      <c r="F1512" s="255" t="str">
        <f>IF(D1512="","",VLOOKUP(D1512,契約台帳!$A$3:$K$4986,6,FALSE)&amp;VLOOKUP(D1512,契約台帳!$A$3:$K$4986,7,FALSE)&amp;VLOOKUP(D1512,契約台帳!$A$3:$K$4986,8,FALSE)&amp;VLOOKUP(D1512,契約台帳!$A$3:$K$4986,9,FALSE)&amp;VLOOKUP(D1512,契約台帳!$A$3:$K$4986,11,FALSE))</f>
        <v/>
      </c>
      <c r="G1512" s="256" t="str">
        <f>IF(D1512="","",VLOOKUP(F1512,製品マスタ!$G$5:$H$4999,2,FALSE))</f>
        <v/>
      </c>
      <c r="H1512" s="256" t="str">
        <f>IF(D1512="","",VLOOKUP(F1512,製品マスタ!$G$5:$K$4999,5,FALSE))</f>
        <v/>
      </c>
      <c r="I1512" s="200" t="str">
        <f>IF(D1512="","",VLOOKUP(F1512,製品マスタ!$G$5:$L$4999,6,FALSE))</f>
        <v/>
      </c>
      <c r="J1512" s="30" t="s">
        <v>447</v>
      </c>
      <c r="K1512" s="200" t="str">
        <f>IF(D1512="","",VLOOKUP(D1512,契約台帳!$A$3:$L$4986,12,FALSE))</f>
        <v/>
      </c>
      <c r="L1512" s="200" t="str">
        <f>IF(D1512="","",INDEX(製品マスタ!$Q$5:$Q$4999,MATCH(F1512&amp;K1512,製品マスタ!$AO$5:$AO$4999,0)))</f>
        <v/>
      </c>
      <c r="M1512" s="37"/>
      <c r="N1512" s="37"/>
      <c r="O1512" s="45"/>
      <c r="P1512" s="54"/>
      <c r="Q1512" s="260" t="str">
        <f>IF(D1512="","",IF(J1512="リード付け",M1512,VLOOKUP(D1512,契約台帳!$A$3:$N$4986,14,FALSE)))</f>
        <v/>
      </c>
      <c r="R1512" s="261" t="str">
        <f>IF(D1512="","",IF(J1512="リード付け",M1512,VLOOKUP(D1512,契約台帳!$A$3:$O$4986,15,FALSE)))</f>
        <v/>
      </c>
      <c r="S1512" s="261" t="str">
        <f>IF(D1512="","",IF(J1512="リード付け",N1512,VLOOKUP(D1512,契約台帳!$A$3:$P$4986,16,FALSE)))</f>
        <v/>
      </c>
      <c r="T1512" s="38"/>
      <c r="U1512" s="261" t="str">
        <f ca="1">IF(D1512="","",IF(OFFSET(D1512,-2,0)=D1512,"",VLOOKUP(D1512,契約台帳!$A$3:$R$4986,18,FALSE)))</f>
        <v/>
      </c>
      <c r="V1512" s="256" t="e">
        <f>IF(J1512="巻返し",VLOOKUP(F1512&amp;K1512&amp;M1512,製品マスタ!$M$5:$AD$4999,18,FALSE),IF(J1512="リード付け","原反コア",IF(J1512="スリット",VLOOKUP(F1512&amp;K1512&amp;Q1512,製品マスタ!$N$5:$AD$4999,17,FALSE),"")))</f>
        <v>#N/A</v>
      </c>
      <c r="W1512" s="256" t="e">
        <f>IF(J1512="巻返し",VLOOKUP(F1512&amp;K1512&amp;M1512,製品マスタ!$M$5:$AE$4999,19,FALSE),IF(J1512="リード付け","-",IF(J1512="スリット",VLOOKUP(F1512&amp;K1512&amp;Q1512,製品マスタ!$N$5:$AE$4999,18,FALSE),"")))</f>
        <v>#N/A</v>
      </c>
      <c r="X1512" s="256" t="str">
        <f>IF(D1512="","",VLOOKUP(D1512,契約台帳!$A$3:$Q$4986,17,FALSE))</f>
        <v/>
      </c>
      <c r="Y1512" s="256" t="str">
        <f>IF(D1512="","",VLOOKUP(D1512,契約台帳!$A$3:$E$4986,5,FALSE))</f>
        <v/>
      </c>
      <c r="Z1512" s="310"/>
      <c r="AA1512" s="200"/>
      <c r="AB1512" s="312"/>
      <c r="AC1512" s="313"/>
      <c r="AD1512" s="51" t="str">
        <f t="shared" si="93"/>
        <v/>
      </c>
      <c r="AE1512" s="52">
        <f t="shared" si="94"/>
        <v>0</v>
      </c>
      <c r="AF1512" s="41" t="str">
        <f>IF(AD1512="","",VLOOKUP(AD1512,原価マスタ!$A$2:$AJ$1693,13,FALSE))</f>
        <v/>
      </c>
      <c r="AG1512" s="45" t="str">
        <f t="shared" si="95"/>
        <v/>
      </c>
      <c r="AH1512" s="28"/>
      <c r="AI1512" s="28"/>
      <c r="AJ1512" s="28"/>
      <c r="AK1512" s="28"/>
      <c r="AL1512" s="12"/>
      <c r="AM1512" s="12"/>
      <c r="AN1512" s="12"/>
      <c r="AO1512" s="12"/>
      <c r="AP1512" s="12"/>
      <c r="AQ1512" s="13"/>
      <c r="AR1512" s="14"/>
    </row>
    <row r="1513" spans="1:44" s="16" customFormat="1" ht="30.95" customHeight="1" x14ac:dyDescent="0.2">
      <c r="A1513" s="303"/>
      <c r="B1513" s="304"/>
      <c r="C1513" s="305"/>
      <c r="D1513" s="29"/>
      <c r="E1513" s="29"/>
      <c r="F1513" s="255" t="str">
        <f>IF(D1513="","",VLOOKUP(D1513,契約台帳!$A$3:$K$4986,6,FALSE)&amp;VLOOKUP(D1513,契約台帳!$A$3:$K$4986,7,FALSE)&amp;VLOOKUP(D1513,契約台帳!$A$3:$K$4986,8,FALSE)&amp;VLOOKUP(D1513,契約台帳!$A$3:$K$4986,9,FALSE)&amp;VLOOKUP(D1513,契約台帳!$A$3:$K$4986,11,FALSE))</f>
        <v/>
      </c>
      <c r="G1513" s="256" t="str">
        <f>IF(D1513="","",VLOOKUP(F1513,製品マスタ!$G$5:$H$4999,2,FALSE))</f>
        <v/>
      </c>
      <c r="H1513" s="256" t="str">
        <f>IF(D1513="","",VLOOKUP(F1513,製品マスタ!$G$5:$K$4999,5,FALSE))</f>
        <v/>
      </c>
      <c r="I1513" s="200" t="str">
        <f>IF(D1513="","",VLOOKUP(F1513,製品マスタ!$G$5:$L$4999,6,FALSE))</f>
        <v/>
      </c>
      <c r="J1513" s="30" t="s">
        <v>447</v>
      </c>
      <c r="K1513" s="200" t="str">
        <f>IF(D1513="","",VLOOKUP(D1513,契約台帳!$A$3:$L$4986,12,FALSE))</f>
        <v/>
      </c>
      <c r="L1513" s="200" t="str">
        <f>IF(D1513="","",INDEX(製品マスタ!$Q$5:$Q$4999,MATCH(F1513&amp;K1513,製品マスタ!$AO$5:$AO$4999,0)))</f>
        <v/>
      </c>
      <c r="M1513" s="37"/>
      <c r="N1513" s="37"/>
      <c r="O1513" s="45"/>
      <c r="P1513" s="54"/>
      <c r="Q1513" s="260" t="str">
        <f>IF(D1513="","",IF(J1513="リード付け",M1513,VLOOKUP(D1513,契約台帳!$A$3:$N$4986,14,FALSE)))</f>
        <v/>
      </c>
      <c r="R1513" s="261" t="str">
        <f>IF(D1513="","",IF(J1513="リード付け",M1513,VLOOKUP(D1513,契約台帳!$A$3:$O$4986,15,FALSE)))</f>
        <v/>
      </c>
      <c r="S1513" s="261" t="str">
        <f>IF(D1513="","",IF(J1513="リード付け",N1513,VLOOKUP(D1513,契約台帳!$A$3:$P$4986,16,FALSE)))</f>
        <v/>
      </c>
      <c r="T1513" s="38"/>
      <c r="U1513" s="261" t="str">
        <f ca="1">IF(D1513="","",IF(OFFSET(D1513,-2,0)=D1513,"",VLOOKUP(D1513,契約台帳!$A$3:$R$4986,18,FALSE)))</f>
        <v/>
      </c>
      <c r="V1513" s="256" t="e">
        <f>IF(J1513="巻返し",VLOOKUP(F1513&amp;K1513&amp;M1513,製品マスタ!$M$5:$AD$4999,18,FALSE),IF(J1513="リード付け","原反コア",IF(J1513="スリット",VLOOKUP(F1513&amp;K1513&amp;Q1513,製品マスタ!$N$5:$AD$4999,17,FALSE),"")))</f>
        <v>#N/A</v>
      </c>
      <c r="W1513" s="256" t="e">
        <f>IF(J1513="巻返し",VLOOKUP(F1513&amp;K1513&amp;M1513,製品マスタ!$M$5:$AE$4999,19,FALSE),IF(J1513="リード付け","-",IF(J1513="スリット",VLOOKUP(F1513&amp;K1513&amp;Q1513,製品マスタ!$N$5:$AE$4999,18,FALSE),"")))</f>
        <v>#N/A</v>
      </c>
      <c r="X1513" s="256" t="str">
        <f>IF(D1513="","",VLOOKUP(D1513,契約台帳!$A$3:$Q$4986,17,FALSE))</f>
        <v/>
      </c>
      <c r="Y1513" s="256" t="str">
        <f>IF(D1513="","",VLOOKUP(D1513,契約台帳!$A$3:$E$4986,5,FALSE))</f>
        <v/>
      </c>
      <c r="Z1513" s="310"/>
      <c r="AA1513" s="200"/>
      <c r="AB1513" s="312"/>
      <c r="AC1513" s="313"/>
      <c r="AD1513" s="51" t="str">
        <f t="shared" si="93"/>
        <v/>
      </c>
      <c r="AE1513" s="52">
        <f t="shared" si="94"/>
        <v>0</v>
      </c>
      <c r="AF1513" s="41" t="str">
        <f>IF(AD1513="","",VLOOKUP(AD1513,原価マスタ!$A$2:$AJ$1693,13,FALSE))</f>
        <v/>
      </c>
      <c r="AG1513" s="45" t="str">
        <f t="shared" si="95"/>
        <v/>
      </c>
      <c r="AH1513" s="28"/>
      <c r="AI1513" s="28"/>
      <c r="AJ1513" s="28"/>
      <c r="AK1513" s="28"/>
      <c r="AL1513" s="12"/>
      <c r="AM1513" s="12"/>
      <c r="AN1513" s="12"/>
      <c r="AO1513" s="12"/>
      <c r="AP1513" s="12"/>
      <c r="AQ1513" s="13"/>
      <c r="AR1513" s="14"/>
    </row>
    <row r="1514" spans="1:44" s="16" customFormat="1" ht="30.95" customHeight="1" x14ac:dyDescent="0.2">
      <c r="A1514" s="303"/>
      <c r="B1514" s="304"/>
      <c r="C1514" s="305"/>
      <c r="D1514" s="29"/>
      <c r="E1514" s="29"/>
      <c r="F1514" s="255" t="str">
        <f>IF(D1514="","",VLOOKUP(D1514,契約台帳!$A$3:$K$4986,6,FALSE)&amp;VLOOKUP(D1514,契約台帳!$A$3:$K$4986,7,FALSE)&amp;VLOOKUP(D1514,契約台帳!$A$3:$K$4986,8,FALSE)&amp;VLOOKUP(D1514,契約台帳!$A$3:$K$4986,9,FALSE)&amp;VLOOKUP(D1514,契約台帳!$A$3:$K$4986,11,FALSE))</f>
        <v/>
      </c>
      <c r="G1514" s="256" t="str">
        <f>IF(D1514="","",VLOOKUP(F1514,製品マスタ!$G$5:$H$4999,2,FALSE))</f>
        <v/>
      </c>
      <c r="H1514" s="256" t="str">
        <f>IF(D1514="","",VLOOKUP(F1514,製品マスタ!$G$5:$K$4999,5,FALSE))</f>
        <v/>
      </c>
      <c r="I1514" s="200" t="str">
        <f>IF(D1514="","",VLOOKUP(F1514,製品マスタ!$G$5:$L$4999,6,FALSE))</f>
        <v/>
      </c>
      <c r="J1514" s="30" t="s">
        <v>447</v>
      </c>
      <c r="K1514" s="200" t="str">
        <f>IF(D1514="","",VLOOKUP(D1514,契約台帳!$A$3:$L$4986,12,FALSE))</f>
        <v/>
      </c>
      <c r="L1514" s="200" t="str">
        <f>IF(D1514="","",INDEX(製品マスタ!$Q$5:$Q$4999,MATCH(F1514&amp;K1514,製品マスタ!$AO$5:$AO$4999,0)))</f>
        <v/>
      </c>
      <c r="M1514" s="37"/>
      <c r="N1514" s="37"/>
      <c r="O1514" s="45"/>
      <c r="P1514" s="54"/>
      <c r="Q1514" s="260" t="str">
        <f>IF(D1514="","",IF(J1514="リード付け",M1514,VLOOKUP(D1514,契約台帳!$A$3:$N$4986,14,FALSE)))</f>
        <v/>
      </c>
      <c r="R1514" s="261" t="str">
        <f>IF(D1514="","",IF(J1514="リード付け",M1514,VLOOKUP(D1514,契約台帳!$A$3:$O$4986,15,FALSE)))</f>
        <v/>
      </c>
      <c r="S1514" s="261" t="str">
        <f>IF(D1514="","",IF(J1514="リード付け",N1514,VLOOKUP(D1514,契約台帳!$A$3:$P$4986,16,FALSE)))</f>
        <v/>
      </c>
      <c r="T1514" s="38"/>
      <c r="U1514" s="261" t="str">
        <f ca="1">IF(D1514="","",IF(OFFSET(D1514,-2,0)=D1514,"",VLOOKUP(D1514,契約台帳!$A$3:$R$4986,18,FALSE)))</f>
        <v/>
      </c>
      <c r="V1514" s="256" t="e">
        <f>IF(J1514="巻返し",VLOOKUP(F1514&amp;K1514&amp;M1514,製品マスタ!$M$5:$AD$4999,18,FALSE),IF(J1514="リード付け","原反コア",IF(J1514="スリット",VLOOKUP(F1514&amp;K1514&amp;Q1514,製品マスタ!$N$5:$AD$4999,17,FALSE),"")))</f>
        <v>#N/A</v>
      </c>
      <c r="W1514" s="256" t="e">
        <f>IF(J1514="巻返し",VLOOKUP(F1514&amp;K1514&amp;M1514,製品マスタ!$M$5:$AE$4999,19,FALSE),IF(J1514="リード付け","-",IF(J1514="スリット",VLOOKUP(F1514&amp;K1514&amp;Q1514,製品マスタ!$N$5:$AE$4999,18,FALSE),"")))</f>
        <v>#N/A</v>
      </c>
      <c r="X1514" s="256" t="str">
        <f>IF(D1514="","",VLOOKUP(D1514,契約台帳!$A$3:$Q$4986,17,FALSE))</f>
        <v/>
      </c>
      <c r="Y1514" s="256" t="str">
        <f>IF(D1514="","",VLOOKUP(D1514,契約台帳!$A$3:$E$4986,5,FALSE))</f>
        <v/>
      </c>
      <c r="Z1514" s="310"/>
      <c r="AA1514" s="200"/>
      <c r="AB1514" s="312"/>
      <c r="AC1514" s="313"/>
      <c r="AD1514" s="51" t="str">
        <f t="shared" si="93"/>
        <v/>
      </c>
      <c r="AE1514" s="52">
        <f t="shared" si="94"/>
        <v>0</v>
      </c>
      <c r="AF1514" s="41" t="str">
        <f>IF(AD1514="","",VLOOKUP(AD1514,原価マスタ!$A$2:$AJ$1693,13,FALSE))</f>
        <v/>
      </c>
      <c r="AG1514" s="45" t="str">
        <f t="shared" si="95"/>
        <v/>
      </c>
      <c r="AH1514" s="28"/>
      <c r="AI1514" s="28"/>
      <c r="AJ1514" s="28"/>
      <c r="AK1514" s="28"/>
      <c r="AL1514" s="12"/>
      <c r="AM1514" s="12"/>
      <c r="AN1514" s="12"/>
      <c r="AO1514" s="12"/>
      <c r="AP1514" s="12"/>
      <c r="AQ1514" s="13"/>
      <c r="AR1514" s="14"/>
    </row>
    <row r="1515" spans="1:44" s="16" customFormat="1" ht="30.95" customHeight="1" x14ac:dyDescent="0.2">
      <c r="A1515" s="303"/>
      <c r="B1515" s="304"/>
      <c r="C1515" s="305"/>
      <c r="D1515" s="29"/>
      <c r="E1515" s="29"/>
      <c r="F1515" s="255" t="str">
        <f>IF(D1515="","",VLOOKUP(D1515,契約台帳!$A$3:$K$4986,6,FALSE)&amp;VLOOKUP(D1515,契約台帳!$A$3:$K$4986,7,FALSE)&amp;VLOOKUP(D1515,契約台帳!$A$3:$K$4986,8,FALSE)&amp;VLOOKUP(D1515,契約台帳!$A$3:$K$4986,9,FALSE)&amp;VLOOKUP(D1515,契約台帳!$A$3:$K$4986,11,FALSE))</f>
        <v/>
      </c>
      <c r="G1515" s="256" t="str">
        <f>IF(D1515="","",VLOOKUP(F1515,製品マスタ!$G$5:$H$4999,2,FALSE))</f>
        <v/>
      </c>
      <c r="H1515" s="256" t="str">
        <f>IF(D1515="","",VLOOKUP(F1515,製品マスタ!$G$5:$K$4999,5,FALSE))</f>
        <v/>
      </c>
      <c r="I1515" s="200" t="str">
        <f>IF(D1515="","",VLOOKUP(F1515,製品マスタ!$G$5:$L$4999,6,FALSE))</f>
        <v/>
      </c>
      <c r="J1515" s="30" t="s">
        <v>447</v>
      </c>
      <c r="K1515" s="200" t="str">
        <f>IF(D1515="","",VLOOKUP(D1515,契約台帳!$A$3:$L$4986,12,FALSE))</f>
        <v/>
      </c>
      <c r="L1515" s="200" t="str">
        <f>IF(D1515="","",INDEX(製品マスタ!$Q$5:$Q$4999,MATCH(F1515&amp;K1515,製品マスタ!$AO$5:$AO$4999,0)))</f>
        <v/>
      </c>
      <c r="M1515" s="37"/>
      <c r="N1515" s="37"/>
      <c r="O1515" s="45"/>
      <c r="P1515" s="54"/>
      <c r="Q1515" s="260" t="str">
        <f>IF(D1515="","",IF(J1515="リード付け",M1515,VLOOKUP(D1515,契約台帳!$A$3:$N$4986,14,FALSE)))</f>
        <v/>
      </c>
      <c r="R1515" s="261" t="str">
        <f>IF(D1515="","",IF(J1515="リード付け",M1515,VLOOKUP(D1515,契約台帳!$A$3:$O$4986,15,FALSE)))</f>
        <v/>
      </c>
      <c r="S1515" s="261" t="str">
        <f>IF(D1515="","",IF(J1515="リード付け",N1515,VLOOKUP(D1515,契約台帳!$A$3:$P$4986,16,FALSE)))</f>
        <v/>
      </c>
      <c r="T1515" s="38"/>
      <c r="U1515" s="261" t="str">
        <f ca="1">IF(D1515="","",IF(OFFSET(D1515,-2,0)=D1515,"",VLOOKUP(D1515,契約台帳!$A$3:$R$4986,18,FALSE)))</f>
        <v/>
      </c>
      <c r="V1515" s="256" t="e">
        <f>IF(J1515="巻返し",VLOOKUP(F1515&amp;K1515&amp;M1515,製品マスタ!$M$5:$AD$4999,18,FALSE),IF(J1515="リード付け","原反コア",IF(J1515="スリット",VLOOKUP(F1515&amp;K1515&amp;Q1515,製品マスタ!$N$5:$AD$4999,17,FALSE),"")))</f>
        <v>#N/A</v>
      </c>
      <c r="W1515" s="256" t="e">
        <f>IF(J1515="巻返し",VLOOKUP(F1515&amp;K1515&amp;M1515,製品マスタ!$M$5:$AE$4999,19,FALSE),IF(J1515="リード付け","-",IF(J1515="スリット",VLOOKUP(F1515&amp;K1515&amp;Q1515,製品マスタ!$N$5:$AE$4999,18,FALSE),"")))</f>
        <v>#N/A</v>
      </c>
      <c r="X1515" s="256" t="str">
        <f>IF(D1515="","",VLOOKUP(D1515,契約台帳!$A$3:$Q$4986,17,FALSE))</f>
        <v/>
      </c>
      <c r="Y1515" s="256" t="str">
        <f>IF(D1515="","",VLOOKUP(D1515,契約台帳!$A$3:$E$4986,5,FALSE))</f>
        <v/>
      </c>
      <c r="Z1515" s="310"/>
      <c r="AA1515" s="200"/>
      <c r="AB1515" s="312"/>
      <c r="AC1515" s="313"/>
      <c r="AD1515" s="51" t="str">
        <f t="shared" si="93"/>
        <v/>
      </c>
      <c r="AE1515" s="52">
        <f t="shared" si="94"/>
        <v>0</v>
      </c>
      <c r="AF1515" s="41" t="str">
        <f>IF(AD1515="","",VLOOKUP(AD1515,原価マスタ!$A$2:$AJ$1693,13,FALSE))</f>
        <v/>
      </c>
      <c r="AG1515" s="45" t="str">
        <f t="shared" si="95"/>
        <v/>
      </c>
      <c r="AH1515" s="28"/>
      <c r="AI1515" s="28"/>
      <c r="AJ1515" s="28"/>
      <c r="AK1515" s="28"/>
      <c r="AL1515" s="12"/>
      <c r="AM1515" s="12"/>
      <c r="AN1515" s="12"/>
      <c r="AO1515" s="12"/>
      <c r="AP1515" s="12"/>
      <c r="AQ1515" s="13"/>
      <c r="AR1515" s="14"/>
    </row>
    <row r="1516" spans="1:44" s="16" customFormat="1" ht="30.95" customHeight="1" x14ac:dyDescent="0.2">
      <c r="A1516" s="303"/>
      <c r="B1516" s="304"/>
      <c r="C1516" s="305"/>
      <c r="D1516" s="29"/>
      <c r="E1516" s="29"/>
      <c r="F1516" s="255" t="str">
        <f>IF(D1516="","",VLOOKUP(D1516,契約台帳!$A$3:$K$4986,6,FALSE)&amp;VLOOKUP(D1516,契約台帳!$A$3:$K$4986,7,FALSE)&amp;VLOOKUP(D1516,契約台帳!$A$3:$K$4986,8,FALSE)&amp;VLOOKUP(D1516,契約台帳!$A$3:$K$4986,9,FALSE)&amp;VLOOKUP(D1516,契約台帳!$A$3:$K$4986,11,FALSE))</f>
        <v/>
      </c>
      <c r="G1516" s="256" t="str">
        <f>IF(D1516="","",VLOOKUP(F1516,製品マスタ!$G$5:$H$4999,2,FALSE))</f>
        <v/>
      </c>
      <c r="H1516" s="256" t="str">
        <f>IF(D1516="","",VLOOKUP(F1516,製品マスタ!$G$5:$K$4999,5,FALSE))</f>
        <v/>
      </c>
      <c r="I1516" s="200" t="str">
        <f>IF(D1516="","",VLOOKUP(F1516,製品マスタ!$G$5:$L$4999,6,FALSE))</f>
        <v/>
      </c>
      <c r="J1516" s="30" t="s">
        <v>447</v>
      </c>
      <c r="K1516" s="200" t="str">
        <f>IF(D1516="","",VLOOKUP(D1516,契約台帳!$A$3:$L$4986,12,FALSE))</f>
        <v/>
      </c>
      <c r="L1516" s="200" t="str">
        <f>IF(D1516="","",INDEX(製品マスタ!$Q$5:$Q$4999,MATCH(F1516&amp;K1516,製品マスタ!$AO$5:$AO$4999,0)))</f>
        <v/>
      </c>
      <c r="M1516" s="37"/>
      <c r="N1516" s="37"/>
      <c r="O1516" s="45"/>
      <c r="P1516" s="54"/>
      <c r="Q1516" s="260" t="str">
        <f>IF(D1516="","",IF(J1516="リード付け",M1516,VLOOKUP(D1516,契約台帳!$A$3:$N$4986,14,FALSE)))</f>
        <v/>
      </c>
      <c r="R1516" s="261" t="str">
        <f>IF(D1516="","",IF(J1516="リード付け",M1516,VLOOKUP(D1516,契約台帳!$A$3:$O$4986,15,FALSE)))</f>
        <v/>
      </c>
      <c r="S1516" s="261" t="str">
        <f>IF(D1516="","",IF(J1516="リード付け",N1516,VLOOKUP(D1516,契約台帳!$A$3:$P$4986,16,FALSE)))</f>
        <v/>
      </c>
      <c r="T1516" s="38"/>
      <c r="U1516" s="261" t="str">
        <f ca="1">IF(D1516="","",IF(OFFSET(D1516,-2,0)=D1516,"",VLOOKUP(D1516,契約台帳!$A$3:$R$4986,18,FALSE)))</f>
        <v/>
      </c>
      <c r="V1516" s="256" t="e">
        <f>IF(J1516="巻返し",VLOOKUP(F1516&amp;K1516&amp;M1516,製品マスタ!$M$5:$AD$4999,18,FALSE),IF(J1516="リード付け","原反コア",IF(J1516="スリット",VLOOKUP(F1516&amp;K1516&amp;Q1516,製品マスタ!$N$5:$AD$4999,17,FALSE),"")))</f>
        <v>#N/A</v>
      </c>
      <c r="W1516" s="256" t="e">
        <f>IF(J1516="巻返し",VLOOKUP(F1516&amp;K1516&amp;M1516,製品マスタ!$M$5:$AE$4999,19,FALSE),IF(J1516="リード付け","-",IF(J1516="スリット",VLOOKUP(F1516&amp;K1516&amp;Q1516,製品マスタ!$N$5:$AE$4999,18,FALSE),"")))</f>
        <v>#N/A</v>
      </c>
      <c r="X1516" s="256" t="str">
        <f>IF(D1516="","",VLOOKUP(D1516,契約台帳!$A$3:$Q$4986,17,FALSE))</f>
        <v/>
      </c>
      <c r="Y1516" s="256" t="str">
        <f>IF(D1516="","",VLOOKUP(D1516,契約台帳!$A$3:$E$4986,5,FALSE))</f>
        <v/>
      </c>
      <c r="Z1516" s="310"/>
      <c r="AA1516" s="200"/>
      <c r="AB1516" s="312"/>
      <c r="AC1516" s="313"/>
      <c r="AD1516" s="51" t="str">
        <f t="shared" si="93"/>
        <v/>
      </c>
      <c r="AE1516" s="52">
        <f t="shared" si="94"/>
        <v>0</v>
      </c>
      <c r="AF1516" s="41" t="str">
        <f>IF(AD1516="","",VLOOKUP(AD1516,原価マスタ!$A$2:$AJ$1693,13,FALSE))</f>
        <v/>
      </c>
      <c r="AG1516" s="45" t="str">
        <f t="shared" si="95"/>
        <v/>
      </c>
      <c r="AH1516" s="28"/>
      <c r="AI1516" s="28"/>
      <c r="AJ1516" s="28"/>
      <c r="AK1516" s="28"/>
      <c r="AL1516" s="12"/>
      <c r="AM1516" s="12"/>
      <c r="AN1516" s="12"/>
      <c r="AO1516" s="12"/>
      <c r="AP1516" s="12"/>
      <c r="AQ1516" s="13"/>
      <c r="AR1516" s="14"/>
    </row>
    <row r="1517" spans="1:44" s="16" customFormat="1" ht="30.95" customHeight="1" x14ac:dyDescent="0.2">
      <c r="A1517" s="303"/>
      <c r="B1517" s="304"/>
      <c r="C1517" s="305"/>
      <c r="D1517" s="29"/>
      <c r="E1517" s="29"/>
      <c r="F1517" s="255" t="str">
        <f>IF(D1517="","",VLOOKUP(D1517,契約台帳!$A$3:$K$4986,6,FALSE)&amp;VLOOKUP(D1517,契約台帳!$A$3:$K$4986,7,FALSE)&amp;VLOOKUP(D1517,契約台帳!$A$3:$K$4986,8,FALSE)&amp;VLOOKUP(D1517,契約台帳!$A$3:$K$4986,9,FALSE)&amp;VLOOKUP(D1517,契約台帳!$A$3:$K$4986,11,FALSE))</f>
        <v/>
      </c>
      <c r="G1517" s="256" t="str">
        <f>IF(D1517="","",VLOOKUP(F1517,製品マスタ!$G$5:$H$4999,2,FALSE))</f>
        <v/>
      </c>
      <c r="H1517" s="256" t="str">
        <f>IF(D1517="","",VLOOKUP(F1517,製品マスタ!$G$5:$K$4999,5,FALSE))</f>
        <v/>
      </c>
      <c r="I1517" s="200" t="str">
        <f>IF(D1517="","",VLOOKUP(F1517,製品マスタ!$G$5:$L$4999,6,FALSE))</f>
        <v/>
      </c>
      <c r="J1517" s="30" t="s">
        <v>447</v>
      </c>
      <c r="K1517" s="200" t="str">
        <f>IF(D1517="","",VLOOKUP(D1517,契約台帳!$A$3:$L$4986,12,FALSE))</f>
        <v/>
      </c>
      <c r="L1517" s="200" t="str">
        <f>IF(D1517="","",INDEX(製品マスタ!$Q$5:$Q$4999,MATCH(F1517&amp;K1517,製品マスタ!$AO$5:$AO$4999,0)))</f>
        <v/>
      </c>
      <c r="M1517" s="37"/>
      <c r="N1517" s="37"/>
      <c r="O1517" s="45"/>
      <c r="P1517" s="54"/>
      <c r="Q1517" s="260" t="str">
        <f>IF(D1517="","",IF(J1517="リード付け",M1517,VLOOKUP(D1517,契約台帳!$A$3:$N$4986,14,FALSE)))</f>
        <v/>
      </c>
      <c r="R1517" s="261" t="str">
        <f>IF(D1517="","",IF(J1517="リード付け",M1517,VLOOKUP(D1517,契約台帳!$A$3:$O$4986,15,FALSE)))</f>
        <v/>
      </c>
      <c r="S1517" s="261" t="str">
        <f>IF(D1517="","",IF(J1517="リード付け",N1517,VLOOKUP(D1517,契約台帳!$A$3:$P$4986,16,FALSE)))</f>
        <v/>
      </c>
      <c r="T1517" s="38"/>
      <c r="U1517" s="261" t="str">
        <f ca="1">IF(D1517="","",IF(OFFSET(D1517,-2,0)=D1517,"",VLOOKUP(D1517,契約台帳!$A$3:$R$4986,18,FALSE)))</f>
        <v/>
      </c>
      <c r="V1517" s="256" t="e">
        <f>IF(J1517="巻返し",VLOOKUP(F1517&amp;K1517&amp;M1517,製品マスタ!$M$5:$AD$4999,18,FALSE),IF(J1517="リード付け","原反コア",IF(J1517="スリット",VLOOKUP(F1517&amp;K1517&amp;Q1517,製品マスタ!$N$5:$AD$4999,17,FALSE),"")))</f>
        <v>#N/A</v>
      </c>
      <c r="W1517" s="256" t="e">
        <f>IF(J1517="巻返し",VLOOKUP(F1517&amp;K1517&amp;M1517,製品マスタ!$M$5:$AE$4999,19,FALSE),IF(J1517="リード付け","-",IF(J1517="スリット",VLOOKUP(F1517&amp;K1517&amp;Q1517,製品マスタ!$N$5:$AE$4999,18,FALSE),"")))</f>
        <v>#N/A</v>
      </c>
      <c r="X1517" s="256" t="str">
        <f>IF(D1517="","",VLOOKUP(D1517,契約台帳!$A$3:$Q$4986,17,FALSE))</f>
        <v/>
      </c>
      <c r="Y1517" s="256" t="str">
        <f>IF(D1517="","",VLOOKUP(D1517,契約台帳!$A$3:$E$4986,5,FALSE))</f>
        <v/>
      </c>
      <c r="Z1517" s="310"/>
      <c r="AA1517" s="200"/>
      <c r="AB1517" s="312"/>
      <c r="AC1517" s="313"/>
      <c r="AD1517" s="51" t="str">
        <f t="shared" si="93"/>
        <v/>
      </c>
      <c r="AE1517" s="52">
        <f t="shared" si="94"/>
        <v>0</v>
      </c>
      <c r="AF1517" s="41" t="str">
        <f>IF(AD1517="","",VLOOKUP(AD1517,原価マスタ!$A$2:$AJ$1693,13,FALSE))</f>
        <v/>
      </c>
      <c r="AG1517" s="45" t="str">
        <f t="shared" si="95"/>
        <v/>
      </c>
      <c r="AH1517" s="28"/>
      <c r="AI1517" s="28"/>
      <c r="AJ1517" s="28"/>
      <c r="AK1517" s="28"/>
      <c r="AL1517" s="12"/>
      <c r="AM1517" s="12"/>
      <c r="AN1517" s="12"/>
      <c r="AO1517" s="12"/>
      <c r="AP1517" s="12"/>
      <c r="AQ1517" s="13"/>
      <c r="AR1517" s="14"/>
    </row>
    <row r="1518" spans="1:44" s="16" customFormat="1" ht="30.95" customHeight="1" x14ac:dyDescent="0.2">
      <c r="A1518" s="303"/>
      <c r="B1518" s="304"/>
      <c r="C1518" s="305"/>
      <c r="D1518" s="29"/>
      <c r="E1518" s="29"/>
      <c r="F1518" s="255" t="str">
        <f>IF(D1518="","",VLOOKUP(D1518,契約台帳!$A$3:$K$4986,6,FALSE)&amp;VLOOKUP(D1518,契約台帳!$A$3:$K$4986,7,FALSE)&amp;VLOOKUP(D1518,契約台帳!$A$3:$K$4986,8,FALSE)&amp;VLOOKUP(D1518,契約台帳!$A$3:$K$4986,9,FALSE)&amp;VLOOKUP(D1518,契約台帳!$A$3:$K$4986,11,FALSE))</f>
        <v/>
      </c>
      <c r="G1518" s="256" t="str">
        <f>IF(D1518="","",VLOOKUP(F1518,製品マスタ!$G$5:$H$4999,2,FALSE))</f>
        <v/>
      </c>
      <c r="H1518" s="256" t="str">
        <f>IF(D1518="","",VLOOKUP(F1518,製品マスタ!$G$5:$K$4999,5,FALSE))</f>
        <v/>
      </c>
      <c r="I1518" s="200" t="str">
        <f>IF(D1518="","",VLOOKUP(F1518,製品マスタ!$G$5:$L$4999,6,FALSE))</f>
        <v/>
      </c>
      <c r="J1518" s="30" t="s">
        <v>447</v>
      </c>
      <c r="K1518" s="200" t="str">
        <f>IF(D1518="","",VLOOKUP(D1518,契約台帳!$A$3:$L$4986,12,FALSE))</f>
        <v/>
      </c>
      <c r="L1518" s="200" t="str">
        <f>IF(D1518="","",INDEX(製品マスタ!$Q$5:$Q$4999,MATCH(F1518&amp;K1518,製品マスタ!$AO$5:$AO$4999,0)))</f>
        <v/>
      </c>
      <c r="M1518" s="37"/>
      <c r="N1518" s="37"/>
      <c r="O1518" s="45"/>
      <c r="P1518" s="54"/>
      <c r="Q1518" s="260" t="str">
        <f>IF(D1518="","",IF(J1518="リード付け",M1518,VLOOKUP(D1518,契約台帳!$A$3:$N$4986,14,FALSE)))</f>
        <v/>
      </c>
      <c r="R1518" s="261" t="str">
        <f>IF(D1518="","",IF(J1518="リード付け",M1518,VLOOKUP(D1518,契約台帳!$A$3:$O$4986,15,FALSE)))</f>
        <v/>
      </c>
      <c r="S1518" s="261" t="str">
        <f>IF(D1518="","",IF(J1518="リード付け",N1518,VLOOKUP(D1518,契約台帳!$A$3:$P$4986,16,FALSE)))</f>
        <v/>
      </c>
      <c r="T1518" s="38"/>
      <c r="U1518" s="261" t="str">
        <f ca="1">IF(D1518="","",IF(OFFSET(D1518,-2,0)=D1518,"",VLOOKUP(D1518,契約台帳!$A$3:$R$4986,18,FALSE)))</f>
        <v/>
      </c>
      <c r="V1518" s="256" t="e">
        <f>IF(J1518="巻返し",VLOOKUP(F1518&amp;K1518&amp;M1518,製品マスタ!$M$5:$AD$4999,18,FALSE),IF(J1518="リード付け","原反コア",IF(J1518="スリット",VLOOKUP(F1518&amp;K1518&amp;Q1518,製品マスタ!$N$5:$AD$4999,17,FALSE),"")))</f>
        <v>#N/A</v>
      </c>
      <c r="W1518" s="256" t="e">
        <f>IF(J1518="巻返し",VLOOKUP(F1518&amp;K1518&amp;M1518,製品マスタ!$M$5:$AE$4999,19,FALSE),IF(J1518="リード付け","-",IF(J1518="スリット",VLOOKUP(F1518&amp;K1518&amp;Q1518,製品マスタ!$N$5:$AE$4999,18,FALSE),"")))</f>
        <v>#N/A</v>
      </c>
      <c r="X1518" s="256" t="str">
        <f>IF(D1518="","",VLOOKUP(D1518,契約台帳!$A$3:$Q$4986,17,FALSE))</f>
        <v/>
      </c>
      <c r="Y1518" s="256" t="str">
        <f>IF(D1518="","",VLOOKUP(D1518,契約台帳!$A$3:$E$4986,5,FALSE))</f>
        <v/>
      </c>
      <c r="Z1518" s="310"/>
      <c r="AA1518" s="200"/>
      <c r="AB1518" s="312"/>
      <c r="AC1518" s="313"/>
      <c r="AD1518" s="51" t="str">
        <f t="shared" si="93"/>
        <v/>
      </c>
      <c r="AE1518" s="52">
        <f t="shared" si="94"/>
        <v>0</v>
      </c>
      <c r="AF1518" s="41" t="str">
        <f>IF(AD1518="","",VLOOKUP(AD1518,原価マスタ!$A$2:$AJ$1693,13,FALSE))</f>
        <v/>
      </c>
      <c r="AG1518" s="45" t="str">
        <f t="shared" si="95"/>
        <v/>
      </c>
      <c r="AH1518" s="28"/>
      <c r="AI1518" s="28"/>
      <c r="AJ1518" s="28"/>
      <c r="AK1518" s="28"/>
      <c r="AL1518" s="12"/>
      <c r="AM1518" s="12"/>
      <c r="AN1518" s="12"/>
      <c r="AO1518" s="12"/>
      <c r="AP1518" s="12"/>
      <c r="AQ1518" s="13"/>
      <c r="AR1518" s="14"/>
    </row>
    <row r="1519" spans="1:44" s="16" customFormat="1" ht="30.95" customHeight="1" x14ac:dyDescent="0.2">
      <c r="A1519" s="303"/>
      <c r="B1519" s="304"/>
      <c r="C1519" s="305"/>
      <c r="D1519" s="29"/>
      <c r="E1519" s="29"/>
      <c r="F1519" s="255" t="str">
        <f>IF(D1519="","",VLOOKUP(D1519,契約台帳!$A$3:$K$4986,6,FALSE)&amp;VLOOKUP(D1519,契約台帳!$A$3:$K$4986,7,FALSE)&amp;VLOOKUP(D1519,契約台帳!$A$3:$K$4986,8,FALSE)&amp;VLOOKUP(D1519,契約台帳!$A$3:$K$4986,9,FALSE)&amp;VLOOKUP(D1519,契約台帳!$A$3:$K$4986,11,FALSE))</f>
        <v/>
      </c>
      <c r="G1519" s="256" t="str">
        <f>IF(D1519="","",VLOOKUP(F1519,製品マスタ!$G$5:$H$4999,2,FALSE))</f>
        <v/>
      </c>
      <c r="H1519" s="256" t="str">
        <f>IF(D1519="","",VLOOKUP(F1519,製品マスタ!$G$5:$K$4999,5,FALSE))</f>
        <v/>
      </c>
      <c r="I1519" s="200" t="str">
        <f>IF(D1519="","",VLOOKUP(F1519,製品マスタ!$G$5:$L$4999,6,FALSE))</f>
        <v/>
      </c>
      <c r="J1519" s="30" t="s">
        <v>447</v>
      </c>
      <c r="K1519" s="200" t="str">
        <f>IF(D1519="","",VLOOKUP(D1519,契約台帳!$A$3:$L$4986,12,FALSE))</f>
        <v/>
      </c>
      <c r="L1519" s="200" t="str">
        <f>IF(D1519="","",INDEX(製品マスタ!$Q$5:$Q$4999,MATCH(F1519&amp;K1519,製品マスタ!$AO$5:$AO$4999,0)))</f>
        <v/>
      </c>
      <c r="M1519" s="37"/>
      <c r="N1519" s="37"/>
      <c r="O1519" s="45"/>
      <c r="P1519" s="54"/>
      <c r="Q1519" s="260" t="str">
        <f>IF(D1519="","",IF(J1519="リード付け",M1519,VLOOKUP(D1519,契約台帳!$A$3:$N$4986,14,FALSE)))</f>
        <v/>
      </c>
      <c r="R1519" s="261" t="str">
        <f>IF(D1519="","",IF(J1519="リード付け",M1519,VLOOKUP(D1519,契約台帳!$A$3:$O$4986,15,FALSE)))</f>
        <v/>
      </c>
      <c r="S1519" s="261" t="str">
        <f>IF(D1519="","",IF(J1519="リード付け",N1519,VLOOKUP(D1519,契約台帳!$A$3:$P$4986,16,FALSE)))</f>
        <v/>
      </c>
      <c r="T1519" s="38"/>
      <c r="U1519" s="261" t="str">
        <f ca="1">IF(D1519="","",IF(OFFSET(D1519,-2,0)=D1519,"",VLOOKUP(D1519,契約台帳!$A$3:$R$4986,18,FALSE)))</f>
        <v/>
      </c>
      <c r="V1519" s="256" t="e">
        <f>IF(J1519="巻返し",VLOOKUP(F1519&amp;K1519&amp;M1519,製品マスタ!$M$5:$AD$4999,18,FALSE),IF(J1519="リード付け","原反コア",IF(J1519="スリット",VLOOKUP(F1519&amp;K1519&amp;Q1519,製品マスタ!$N$5:$AD$4999,17,FALSE),"")))</f>
        <v>#N/A</v>
      </c>
      <c r="W1519" s="256" t="e">
        <f>IF(J1519="巻返し",VLOOKUP(F1519&amp;K1519&amp;M1519,製品マスタ!$M$5:$AE$4999,19,FALSE),IF(J1519="リード付け","-",IF(J1519="スリット",VLOOKUP(F1519&amp;K1519&amp;Q1519,製品マスタ!$N$5:$AE$4999,18,FALSE),"")))</f>
        <v>#N/A</v>
      </c>
      <c r="X1519" s="256" t="str">
        <f>IF(D1519="","",VLOOKUP(D1519,契約台帳!$A$3:$Q$4986,17,FALSE))</f>
        <v/>
      </c>
      <c r="Y1519" s="256" t="str">
        <f>IF(D1519="","",VLOOKUP(D1519,契約台帳!$A$3:$E$4986,5,FALSE))</f>
        <v/>
      </c>
      <c r="Z1519" s="310"/>
      <c r="AA1519" s="200"/>
      <c r="AB1519" s="312"/>
      <c r="AC1519" s="313"/>
      <c r="AD1519" s="51" t="str">
        <f t="shared" si="93"/>
        <v/>
      </c>
      <c r="AE1519" s="52">
        <f t="shared" si="94"/>
        <v>0</v>
      </c>
      <c r="AF1519" s="41" t="str">
        <f>IF(AD1519="","",VLOOKUP(AD1519,原価マスタ!$A$2:$AJ$1693,13,FALSE))</f>
        <v/>
      </c>
      <c r="AG1519" s="45" t="str">
        <f t="shared" si="95"/>
        <v/>
      </c>
      <c r="AH1519" s="28"/>
      <c r="AI1519" s="28"/>
      <c r="AJ1519" s="28"/>
      <c r="AK1519" s="28"/>
      <c r="AL1519" s="12"/>
      <c r="AM1519" s="12"/>
      <c r="AN1519" s="12"/>
      <c r="AO1519" s="12"/>
      <c r="AP1519" s="12"/>
      <c r="AQ1519" s="13"/>
      <c r="AR1519" s="14"/>
    </row>
    <row r="1520" spans="1:44" s="16" customFormat="1" ht="30.95" customHeight="1" x14ac:dyDescent="0.2">
      <c r="A1520" s="303"/>
      <c r="B1520" s="304"/>
      <c r="C1520" s="305"/>
      <c r="D1520" s="29"/>
      <c r="E1520" s="29"/>
      <c r="F1520" s="255" t="str">
        <f>IF(D1520="","",VLOOKUP(D1520,契約台帳!$A$3:$K$4986,6,FALSE)&amp;VLOOKUP(D1520,契約台帳!$A$3:$K$4986,7,FALSE)&amp;VLOOKUP(D1520,契約台帳!$A$3:$K$4986,8,FALSE)&amp;VLOOKUP(D1520,契約台帳!$A$3:$K$4986,9,FALSE)&amp;VLOOKUP(D1520,契約台帳!$A$3:$K$4986,11,FALSE))</f>
        <v/>
      </c>
      <c r="G1520" s="256" t="str">
        <f>IF(D1520="","",VLOOKUP(F1520,製品マスタ!$G$5:$H$4999,2,FALSE))</f>
        <v/>
      </c>
      <c r="H1520" s="256" t="str">
        <f>IF(D1520="","",VLOOKUP(F1520,製品マスタ!$G$5:$K$4999,5,FALSE))</f>
        <v/>
      </c>
      <c r="I1520" s="200" t="str">
        <f>IF(D1520="","",VLOOKUP(F1520,製品マスタ!$G$5:$L$4999,6,FALSE))</f>
        <v/>
      </c>
      <c r="J1520" s="30" t="s">
        <v>447</v>
      </c>
      <c r="K1520" s="200" t="str">
        <f>IF(D1520="","",VLOOKUP(D1520,契約台帳!$A$3:$L$4986,12,FALSE))</f>
        <v/>
      </c>
      <c r="L1520" s="200" t="str">
        <f>IF(D1520="","",INDEX(製品マスタ!$Q$5:$Q$4999,MATCH(F1520&amp;K1520,製品マスタ!$AO$5:$AO$4999,0)))</f>
        <v/>
      </c>
      <c r="M1520" s="37"/>
      <c r="N1520" s="37"/>
      <c r="O1520" s="45"/>
      <c r="P1520" s="54"/>
      <c r="Q1520" s="260" t="str">
        <f>IF(D1520="","",IF(J1520="リード付け",M1520,VLOOKUP(D1520,契約台帳!$A$3:$N$4986,14,FALSE)))</f>
        <v/>
      </c>
      <c r="R1520" s="261" t="str">
        <f>IF(D1520="","",IF(J1520="リード付け",M1520,VLOOKUP(D1520,契約台帳!$A$3:$O$4986,15,FALSE)))</f>
        <v/>
      </c>
      <c r="S1520" s="261" t="str">
        <f>IF(D1520="","",IF(J1520="リード付け",N1520,VLOOKUP(D1520,契約台帳!$A$3:$P$4986,16,FALSE)))</f>
        <v/>
      </c>
      <c r="T1520" s="38"/>
      <c r="U1520" s="261" t="str">
        <f ca="1">IF(D1520="","",IF(OFFSET(D1520,-2,0)=D1520,"",VLOOKUP(D1520,契約台帳!$A$3:$R$4986,18,FALSE)))</f>
        <v/>
      </c>
      <c r="V1520" s="256" t="e">
        <f>IF(J1520="巻返し",VLOOKUP(F1520&amp;K1520&amp;M1520,製品マスタ!$M$5:$AD$4999,18,FALSE),IF(J1520="リード付け","原反コア",IF(J1520="スリット",VLOOKUP(F1520&amp;K1520&amp;Q1520,製品マスタ!$N$5:$AD$4999,17,FALSE),"")))</f>
        <v>#N/A</v>
      </c>
      <c r="W1520" s="256" t="e">
        <f>IF(J1520="巻返し",VLOOKUP(F1520&amp;K1520&amp;M1520,製品マスタ!$M$5:$AE$4999,19,FALSE),IF(J1520="リード付け","-",IF(J1520="スリット",VLOOKUP(F1520&amp;K1520&amp;Q1520,製品マスタ!$N$5:$AE$4999,18,FALSE),"")))</f>
        <v>#N/A</v>
      </c>
      <c r="X1520" s="256" t="str">
        <f>IF(D1520="","",VLOOKUP(D1520,契約台帳!$A$3:$Q$4986,17,FALSE))</f>
        <v/>
      </c>
      <c r="Y1520" s="256" t="str">
        <f>IF(D1520="","",VLOOKUP(D1520,契約台帳!$A$3:$E$4986,5,FALSE))</f>
        <v/>
      </c>
      <c r="Z1520" s="310"/>
      <c r="AA1520" s="200"/>
      <c r="AB1520" s="312"/>
      <c r="AC1520" s="313"/>
      <c r="AD1520" s="51" t="str">
        <f t="shared" si="93"/>
        <v/>
      </c>
      <c r="AE1520" s="52">
        <f t="shared" si="94"/>
        <v>0</v>
      </c>
      <c r="AF1520" s="41" t="str">
        <f>IF(AD1520="","",VLOOKUP(AD1520,原価マスタ!$A$2:$AJ$1693,13,FALSE))</f>
        <v/>
      </c>
      <c r="AG1520" s="45" t="str">
        <f t="shared" si="95"/>
        <v/>
      </c>
      <c r="AH1520" s="28"/>
      <c r="AI1520" s="28"/>
      <c r="AJ1520" s="28"/>
      <c r="AK1520" s="28"/>
      <c r="AL1520" s="12"/>
      <c r="AM1520" s="12"/>
      <c r="AN1520" s="12"/>
      <c r="AO1520" s="12"/>
      <c r="AP1520" s="12"/>
      <c r="AQ1520" s="13"/>
      <c r="AR1520" s="14"/>
    </row>
    <row r="1521" spans="1:44" s="16" customFormat="1" ht="30.95" customHeight="1" x14ac:dyDescent="0.2">
      <c r="A1521" s="303"/>
      <c r="B1521" s="304"/>
      <c r="C1521" s="305"/>
      <c r="D1521" s="29"/>
      <c r="E1521" s="29"/>
      <c r="F1521" s="255" t="str">
        <f>IF(D1521="","",VLOOKUP(D1521,契約台帳!$A$3:$K$4986,6,FALSE)&amp;VLOOKUP(D1521,契約台帳!$A$3:$K$4986,7,FALSE)&amp;VLOOKUP(D1521,契約台帳!$A$3:$K$4986,8,FALSE)&amp;VLOOKUP(D1521,契約台帳!$A$3:$K$4986,9,FALSE)&amp;VLOOKUP(D1521,契約台帳!$A$3:$K$4986,11,FALSE))</f>
        <v/>
      </c>
      <c r="G1521" s="256" t="str">
        <f>IF(D1521="","",VLOOKUP(F1521,製品マスタ!$G$5:$H$4999,2,FALSE))</f>
        <v/>
      </c>
      <c r="H1521" s="256" t="str">
        <f>IF(D1521="","",VLOOKUP(F1521,製品マスタ!$G$5:$K$4999,5,FALSE))</f>
        <v/>
      </c>
      <c r="I1521" s="200" t="str">
        <f>IF(D1521="","",VLOOKUP(F1521,製品マスタ!$G$5:$L$4999,6,FALSE))</f>
        <v/>
      </c>
      <c r="J1521" s="30" t="s">
        <v>447</v>
      </c>
      <c r="K1521" s="200" t="str">
        <f>IF(D1521="","",VLOOKUP(D1521,契約台帳!$A$3:$L$4986,12,FALSE))</f>
        <v/>
      </c>
      <c r="L1521" s="200" t="str">
        <f>IF(D1521="","",INDEX(製品マスタ!$Q$5:$Q$4999,MATCH(F1521&amp;K1521,製品マスタ!$AO$5:$AO$4999,0)))</f>
        <v/>
      </c>
      <c r="M1521" s="37"/>
      <c r="N1521" s="37"/>
      <c r="O1521" s="45"/>
      <c r="P1521" s="54"/>
      <c r="Q1521" s="260" t="str">
        <f>IF(D1521="","",IF(J1521="リード付け",M1521,VLOOKUP(D1521,契約台帳!$A$3:$N$4986,14,FALSE)))</f>
        <v/>
      </c>
      <c r="R1521" s="261" t="str">
        <f>IF(D1521="","",IF(J1521="リード付け",M1521,VLOOKUP(D1521,契約台帳!$A$3:$O$4986,15,FALSE)))</f>
        <v/>
      </c>
      <c r="S1521" s="261" t="str">
        <f>IF(D1521="","",IF(J1521="リード付け",N1521,VLOOKUP(D1521,契約台帳!$A$3:$P$4986,16,FALSE)))</f>
        <v/>
      </c>
      <c r="T1521" s="38"/>
      <c r="U1521" s="261" t="str">
        <f ca="1">IF(D1521="","",IF(OFFSET(D1521,-2,0)=D1521,"",VLOOKUP(D1521,契約台帳!$A$3:$R$4986,18,FALSE)))</f>
        <v/>
      </c>
      <c r="V1521" s="256" t="e">
        <f>IF(J1521="巻返し",VLOOKUP(F1521&amp;K1521&amp;M1521,製品マスタ!$M$5:$AD$4999,18,FALSE),IF(J1521="リード付け","原反コア",IF(J1521="スリット",VLOOKUP(F1521&amp;K1521&amp;Q1521,製品マスタ!$N$5:$AD$4999,17,FALSE),"")))</f>
        <v>#N/A</v>
      </c>
      <c r="W1521" s="256" t="e">
        <f>IF(J1521="巻返し",VLOOKUP(F1521&amp;K1521&amp;M1521,製品マスタ!$M$5:$AE$4999,19,FALSE),IF(J1521="リード付け","-",IF(J1521="スリット",VLOOKUP(F1521&amp;K1521&amp;Q1521,製品マスタ!$N$5:$AE$4999,18,FALSE),"")))</f>
        <v>#N/A</v>
      </c>
      <c r="X1521" s="256" t="str">
        <f>IF(D1521="","",VLOOKUP(D1521,契約台帳!$A$3:$Q$4986,17,FALSE))</f>
        <v/>
      </c>
      <c r="Y1521" s="256" t="str">
        <f>IF(D1521="","",VLOOKUP(D1521,契約台帳!$A$3:$E$4986,5,FALSE))</f>
        <v/>
      </c>
      <c r="Z1521" s="310"/>
      <c r="AA1521" s="200"/>
      <c r="AB1521" s="312"/>
      <c r="AC1521" s="313"/>
      <c r="AD1521" s="51" t="str">
        <f t="shared" si="93"/>
        <v/>
      </c>
      <c r="AE1521" s="52">
        <f t="shared" si="94"/>
        <v>0</v>
      </c>
      <c r="AF1521" s="41" t="str">
        <f>IF(AD1521="","",VLOOKUP(AD1521,原価マスタ!$A$2:$AJ$1693,13,FALSE))</f>
        <v/>
      </c>
      <c r="AG1521" s="45" t="str">
        <f t="shared" si="95"/>
        <v/>
      </c>
      <c r="AH1521" s="28"/>
      <c r="AI1521" s="28"/>
      <c r="AJ1521" s="28"/>
      <c r="AK1521" s="28"/>
      <c r="AL1521" s="12"/>
      <c r="AM1521" s="12"/>
      <c r="AN1521" s="12"/>
      <c r="AO1521" s="12"/>
      <c r="AP1521" s="12"/>
      <c r="AQ1521" s="13"/>
      <c r="AR1521" s="14"/>
    </row>
    <row r="1522" spans="1:44" s="16" customFormat="1" ht="30.95" customHeight="1" x14ac:dyDescent="0.2">
      <c r="A1522" s="303"/>
      <c r="B1522" s="304"/>
      <c r="C1522" s="305"/>
      <c r="D1522" s="29"/>
      <c r="E1522" s="29"/>
      <c r="F1522" s="255" t="str">
        <f>IF(D1522="","",VLOOKUP(D1522,契約台帳!$A$3:$K$4986,6,FALSE)&amp;VLOOKUP(D1522,契約台帳!$A$3:$K$4986,7,FALSE)&amp;VLOOKUP(D1522,契約台帳!$A$3:$K$4986,8,FALSE)&amp;VLOOKUP(D1522,契約台帳!$A$3:$K$4986,9,FALSE)&amp;VLOOKUP(D1522,契約台帳!$A$3:$K$4986,11,FALSE))</f>
        <v/>
      </c>
      <c r="G1522" s="256" t="str">
        <f>IF(D1522="","",VLOOKUP(F1522,製品マスタ!$G$5:$H$4999,2,FALSE))</f>
        <v/>
      </c>
      <c r="H1522" s="256" t="str">
        <f>IF(D1522="","",VLOOKUP(F1522,製品マスタ!$G$5:$K$4999,5,FALSE))</f>
        <v/>
      </c>
      <c r="I1522" s="200" t="str">
        <f>IF(D1522="","",VLOOKUP(F1522,製品マスタ!$G$5:$L$4999,6,FALSE))</f>
        <v/>
      </c>
      <c r="J1522" s="30" t="s">
        <v>447</v>
      </c>
      <c r="K1522" s="200" t="str">
        <f>IF(D1522="","",VLOOKUP(D1522,契約台帳!$A$3:$L$4986,12,FALSE))</f>
        <v/>
      </c>
      <c r="L1522" s="200" t="str">
        <f>IF(D1522="","",INDEX(製品マスタ!$Q$5:$Q$4999,MATCH(F1522&amp;K1522,製品マスタ!$AO$5:$AO$4999,0)))</f>
        <v/>
      </c>
      <c r="M1522" s="37"/>
      <c r="N1522" s="37"/>
      <c r="O1522" s="45"/>
      <c r="P1522" s="54"/>
      <c r="Q1522" s="260" t="str">
        <f>IF(D1522="","",IF(J1522="リード付け",M1522,VLOOKUP(D1522,契約台帳!$A$3:$N$4986,14,FALSE)))</f>
        <v/>
      </c>
      <c r="R1522" s="261" t="str">
        <f>IF(D1522="","",IF(J1522="リード付け",M1522,VLOOKUP(D1522,契約台帳!$A$3:$O$4986,15,FALSE)))</f>
        <v/>
      </c>
      <c r="S1522" s="261" t="str">
        <f>IF(D1522="","",IF(J1522="リード付け",N1522,VLOOKUP(D1522,契約台帳!$A$3:$P$4986,16,FALSE)))</f>
        <v/>
      </c>
      <c r="T1522" s="38"/>
      <c r="U1522" s="261" t="str">
        <f ca="1">IF(D1522="","",IF(OFFSET(D1522,-2,0)=D1522,"",VLOOKUP(D1522,契約台帳!$A$3:$R$4986,18,FALSE)))</f>
        <v/>
      </c>
      <c r="V1522" s="256" t="e">
        <f>IF(J1522="巻返し",VLOOKUP(F1522&amp;K1522&amp;M1522,製品マスタ!$M$5:$AD$4999,18,FALSE),IF(J1522="リード付け","原反コア",IF(J1522="スリット",VLOOKUP(F1522&amp;K1522&amp;Q1522,製品マスタ!$N$5:$AD$4999,17,FALSE),"")))</f>
        <v>#N/A</v>
      </c>
      <c r="W1522" s="256" t="e">
        <f>IF(J1522="巻返し",VLOOKUP(F1522&amp;K1522&amp;M1522,製品マスタ!$M$5:$AE$4999,19,FALSE),IF(J1522="リード付け","-",IF(J1522="スリット",VLOOKUP(F1522&amp;K1522&amp;Q1522,製品マスタ!$N$5:$AE$4999,18,FALSE),"")))</f>
        <v>#N/A</v>
      </c>
      <c r="X1522" s="256" t="str">
        <f>IF(D1522="","",VLOOKUP(D1522,契約台帳!$A$3:$Q$4986,17,FALSE))</f>
        <v/>
      </c>
      <c r="Y1522" s="256" t="str">
        <f>IF(D1522="","",VLOOKUP(D1522,契約台帳!$A$3:$E$4986,5,FALSE))</f>
        <v/>
      </c>
      <c r="Z1522" s="310"/>
      <c r="AA1522" s="200"/>
      <c r="AB1522" s="312"/>
      <c r="AC1522" s="313"/>
      <c r="AD1522" s="51" t="str">
        <f t="shared" si="93"/>
        <v/>
      </c>
      <c r="AE1522" s="52">
        <f t="shared" si="94"/>
        <v>0</v>
      </c>
      <c r="AF1522" s="41" t="str">
        <f>IF(AD1522="","",VLOOKUP(AD1522,原価マスタ!$A$2:$AJ$1693,13,FALSE))</f>
        <v/>
      </c>
      <c r="AG1522" s="45" t="str">
        <f t="shared" si="95"/>
        <v/>
      </c>
      <c r="AH1522" s="28"/>
      <c r="AI1522" s="28"/>
      <c r="AJ1522" s="28"/>
      <c r="AK1522" s="28"/>
      <c r="AL1522" s="12"/>
      <c r="AM1522" s="12"/>
      <c r="AN1522" s="12"/>
      <c r="AO1522" s="12"/>
      <c r="AP1522" s="12"/>
      <c r="AQ1522" s="13"/>
      <c r="AR1522" s="14"/>
    </row>
    <row r="1523" spans="1:44" s="16" customFormat="1" ht="30.95" customHeight="1" x14ac:dyDescent="0.2">
      <c r="A1523" s="303"/>
      <c r="B1523" s="304"/>
      <c r="C1523" s="305"/>
      <c r="D1523" s="29"/>
      <c r="E1523" s="29"/>
      <c r="F1523" s="255" t="str">
        <f>IF(D1523="","",VLOOKUP(D1523,契約台帳!$A$3:$K$4986,6,FALSE)&amp;VLOOKUP(D1523,契約台帳!$A$3:$K$4986,7,FALSE)&amp;VLOOKUP(D1523,契約台帳!$A$3:$K$4986,8,FALSE)&amp;VLOOKUP(D1523,契約台帳!$A$3:$K$4986,9,FALSE)&amp;VLOOKUP(D1523,契約台帳!$A$3:$K$4986,11,FALSE))</f>
        <v/>
      </c>
      <c r="G1523" s="256" t="str">
        <f>IF(D1523="","",VLOOKUP(F1523,製品マスタ!$G$5:$H$4999,2,FALSE))</f>
        <v/>
      </c>
      <c r="H1523" s="256" t="str">
        <f>IF(D1523="","",VLOOKUP(F1523,製品マスタ!$G$5:$K$4999,5,FALSE))</f>
        <v/>
      </c>
      <c r="I1523" s="200" t="str">
        <f>IF(D1523="","",VLOOKUP(F1523,製品マスタ!$G$5:$L$4999,6,FALSE))</f>
        <v/>
      </c>
      <c r="J1523" s="30" t="s">
        <v>447</v>
      </c>
      <c r="K1523" s="200" t="str">
        <f>IF(D1523="","",VLOOKUP(D1523,契約台帳!$A$3:$L$4986,12,FALSE))</f>
        <v/>
      </c>
      <c r="L1523" s="200" t="str">
        <f>IF(D1523="","",INDEX(製品マスタ!$Q$5:$Q$4999,MATCH(F1523&amp;K1523,製品マスタ!$AO$5:$AO$4999,0)))</f>
        <v/>
      </c>
      <c r="M1523" s="37"/>
      <c r="N1523" s="37"/>
      <c r="O1523" s="45"/>
      <c r="P1523" s="54"/>
      <c r="Q1523" s="260" t="str">
        <f>IF(D1523="","",IF(J1523="リード付け",M1523,VLOOKUP(D1523,契約台帳!$A$3:$N$4986,14,FALSE)))</f>
        <v/>
      </c>
      <c r="R1523" s="261" t="str">
        <f>IF(D1523="","",IF(J1523="リード付け",M1523,VLOOKUP(D1523,契約台帳!$A$3:$O$4986,15,FALSE)))</f>
        <v/>
      </c>
      <c r="S1523" s="261" t="str">
        <f>IF(D1523="","",IF(J1523="リード付け",N1523,VLOOKUP(D1523,契約台帳!$A$3:$P$4986,16,FALSE)))</f>
        <v/>
      </c>
      <c r="T1523" s="38"/>
      <c r="U1523" s="261" t="str">
        <f ca="1">IF(D1523="","",IF(OFFSET(D1523,-2,0)=D1523,"",VLOOKUP(D1523,契約台帳!$A$3:$R$4986,18,FALSE)))</f>
        <v/>
      </c>
      <c r="V1523" s="256" t="e">
        <f>IF(J1523="巻返し",VLOOKUP(F1523&amp;K1523&amp;M1523,製品マスタ!$M$5:$AD$4999,18,FALSE),IF(J1523="リード付け","原反コア",IF(J1523="スリット",VLOOKUP(F1523&amp;K1523&amp;Q1523,製品マスタ!$N$5:$AD$4999,17,FALSE),"")))</f>
        <v>#N/A</v>
      </c>
      <c r="W1523" s="256" t="e">
        <f>IF(J1523="巻返し",VLOOKUP(F1523&amp;K1523&amp;M1523,製品マスタ!$M$5:$AE$4999,19,FALSE),IF(J1523="リード付け","-",IF(J1523="スリット",VLOOKUP(F1523&amp;K1523&amp;Q1523,製品マスタ!$N$5:$AE$4999,18,FALSE),"")))</f>
        <v>#N/A</v>
      </c>
      <c r="X1523" s="256" t="str">
        <f>IF(D1523="","",VLOOKUP(D1523,契約台帳!$A$3:$Q$4986,17,FALSE))</f>
        <v/>
      </c>
      <c r="Y1523" s="256" t="str">
        <f>IF(D1523="","",VLOOKUP(D1523,契約台帳!$A$3:$E$4986,5,FALSE))</f>
        <v/>
      </c>
      <c r="Z1523" s="310"/>
      <c r="AA1523" s="200"/>
      <c r="AB1523" s="312"/>
      <c r="AC1523" s="313"/>
      <c r="AD1523" s="51" t="str">
        <f t="shared" si="93"/>
        <v/>
      </c>
      <c r="AE1523" s="52">
        <f t="shared" si="94"/>
        <v>0</v>
      </c>
      <c r="AF1523" s="41" t="str">
        <f>IF(AD1523="","",VLOOKUP(AD1523,原価マスタ!$A$2:$AJ$1693,13,FALSE))</f>
        <v/>
      </c>
      <c r="AG1523" s="45" t="str">
        <f t="shared" si="95"/>
        <v/>
      </c>
      <c r="AH1523" s="28"/>
      <c r="AI1523" s="28"/>
      <c r="AJ1523" s="28"/>
      <c r="AK1523" s="28"/>
      <c r="AL1523" s="12"/>
      <c r="AM1523" s="12"/>
      <c r="AN1523" s="12"/>
      <c r="AO1523" s="12"/>
      <c r="AP1523" s="12"/>
      <c r="AQ1523" s="13"/>
      <c r="AR1523" s="14"/>
    </row>
    <row r="1524" spans="1:44" s="16" customFormat="1" ht="30.95" customHeight="1" x14ac:dyDescent="0.2">
      <c r="A1524" s="303"/>
      <c r="B1524" s="304"/>
      <c r="C1524" s="305"/>
      <c r="D1524" s="29"/>
      <c r="E1524" s="29"/>
      <c r="F1524" s="255" t="str">
        <f>IF(D1524="","",VLOOKUP(D1524,契約台帳!$A$3:$K$4986,6,FALSE)&amp;VLOOKUP(D1524,契約台帳!$A$3:$K$4986,7,FALSE)&amp;VLOOKUP(D1524,契約台帳!$A$3:$K$4986,8,FALSE)&amp;VLOOKUP(D1524,契約台帳!$A$3:$K$4986,9,FALSE)&amp;VLOOKUP(D1524,契約台帳!$A$3:$K$4986,11,FALSE))</f>
        <v/>
      </c>
      <c r="G1524" s="256" t="str">
        <f>IF(D1524="","",VLOOKUP(F1524,製品マスタ!$G$5:$H$4999,2,FALSE))</f>
        <v/>
      </c>
      <c r="H1524" s="256" t="str">
        <f>IF(D1524="","",VLOOKUP(F1524,製品マスタ!$G$5:$K$4999,5,FALSE))</f>
        <v/>
      </c>
      <c r="I1524" s="200" t="str">
        <f>IF(D1524="","",VLOOKUP(F1524,製品マスタ!$G$5:$L$4999,6,FALSE))</f>
        <v/>
      </c>
      <c r="J1524" s="30" t="s">
        <v>447</v>
      </c>
      <c r="K1524" s="200" t="str">
        <f>IF(D1524="","",VLOOKUP(D1524,契約台帳!$A$3:$L$4986,12,FALSE))</f>
        <v/>
      </c>
      <c r="L1524" s="200" t="str">
        <f>IF(D1524="","",INDEX(製品マスタ!$Q$5:$Q$4999,MATCH(F1524&amp;K1524,製品マスタ!$AO$5:$AO$4999,0)))</f>
        <v/>
      </c>
      <c r="M1524" s="37"/>
      <c r="N1524" s="37"/>
      <c r="O1524" s="45"/>
      <c r="P1524" s="54"/>
      <c r="Q1524" s="260" t="str">
        <f>IF(D1524="","",IF(J1524="リード付け",M1524,VLOOKUP(D1524,契約台帳!$A$3:$N$4986,14,FALSE)))</f>
        <v/>
      </c>
      <c r="R1524" s="261" t="str">
        <f>IF(D1524="","",IF(J1524="リード付け",M1524,VLOOKUP(D1524,契約台帳!$A$3:$O$4986,15,FALSE)))</f>
        <v/>
      </c>
      <c r="S1524" s="261" t="str">
        <f>IF(D1524="","",IF(J1524="リード付け",N1524,VLOOKUP(D1524,契約台帳!$A$3:$P$4986,16,FALSE)))</f>
        <v/>
      </c>
      <c r="T1524" s="38"/>
      <c r="U1524" s="261" t="str">
        <f ca="1">IF(D1524="","",IF(OFFSET(D1524,-2,0)=D1524,"",VLOOKUP(D1524,契約台帳!$A$3:$R$4986,18,FALSE)))</f>
        <v/>
      </c>
      <c r="V1524" s="256" t="e">
        <f>IF(J1524="巻返し",VLOOKUP(F1524&amp;K1524&amp;M1524,製品マスタ!$M$5:$AD$4999,18,FALSE),IF(J1524="リード付け","原反コア",IF(J1524="スリット",VLOOKUP(F1524&amp;K1524&amp;Q1524,製品マスタ!$N$5:$AD$4999,17,FALSE),"")))</f>
        <v>#N/A</v>
      </c>
      <c r="W1524" s="256" t="e">
        <f>IF(J1524="巻返し",VLOOKUP(F1524&amp;K1524&amp;M1524,製品マスタ!$M$5:$AE$4999,19,FALSE),IF(J1524="リード付け","-",IF(J1524="スリット",VLOOKUP(F1524&amp;K1524&amp;Q1524,製品マスタ!$N$5:$AE$4999,18,FALSE),"")))</f>
        <v>#N/A</v>
      </c>
      <c r="X1524" s="256" t="str">
        <f>IF(D1524="","",VLOOKUP(D1524,契約台帳!$A$3:$Q$4986,17,FALSE))</f>
        <v/>
      </c>
      <c r="Y1524" s="256" t="str">
        <f>IF(D1524="","",VLOOKUP(D1524,契約台帳!$A$3:$E$4986,5,FALSE))</f>
        <v/>
      </c>
      <c r="Z1524" s="310"/>
      <c r="AA1524" s="200"/>
      <c r="AB1524" s="312"/>
      <c r="AC1524" s="313"/>
      <c r="AD1524" s="51" t="str">
        <f t="shared" si="93"/>
        <v/>
      </c>
      <c r="AE1524" s="52">
        <f t="shared" si="94"/>
        <v>0</v>
      </c>
      <c r="AF1524" s="41" t="str">
        <f>IF(AD1524="","",VLOOKUP(AD1524,原価マスタ!$A$2:$AJ$1693,13,FALSE))</f>
        <v/>
      </c>
      <c r="AG1524" s="45" t="str">
        <f t="shared" si="95"/>
        <v/>
      </c>
      <c r="AH1524" s="28"/>
      <c r="AI1524" s="28"/>
      <c r="AJ1524" s="28"/>
      <c r="AK1524" s="28"/>
      <c r="AL1524" s="12"/>
      <c r="AM1524" s="12"/>
      <c r="AN1524" s="12"/>
      <c r="AO1524" s="12"/>
      <c r="AP1524" s="12"/>
      <c r="AQ1524" s="13"/>
      <c r="AR1524" s="14"/>
    </row>
    <row r="1525" spans="1:44" s="16" customFormat="1" ht="30.95" customHeight="1" x14ac:dyDescent="0.2">
      <c r="A1525" s="303"/>
      <c r="B1525" s="304"/>
      <c r="C1525" s="305"/>
      <c r="D1525" s="29"/>
      <c r="E1525" s="29"/>
      <c r="F1525" s="255" t="str">
        <f>IF(D1525="","",VLOOKUP(D1525,契約台帳!$A$3:$K$4986,6,FALSE)&amp;VLOOKUP(D1525,契約台帳!$A$3:$K$4986,7,FALSE)&amp;VLOOKUP(D1525,契約台帳!$A$3:$K$4986,8,FALSE)&amp;VLOOKUP(D1525,契約台帳!$A$3:$K$4986,9,FALSE)&amp;VLOOKUP(D1525,契約台帳!$A$3:$K$4986,11,FALSE))</f>
        <v/>
      </c>
      <c r="G1525" s="256" t="str">
        <f>IF(D1525="","",VLOOKUP(F1525,製品マスタ!$G$5:$H$4999,2,FALSE))</f>
        <v/>
      </c>
      <c r="H1525" s="256" t="str">
        <f>IF(D1525="","",VLOOKUP(F1525,製品マスタ!$G$5:$K$4999,5,FALSE))</f>
        <v/>
      </c>
      <c r="I1525" s="200" t="str">
        <f>IF(D1525="","",VLOOKUP(F1525,製品マスタ!$G$5:$L$4999,6,FALSE))</f>
        <v/>
      </c>
      <c r="J1525" s="30" t="s">
        <v>447</v>
      </c>
      <c r="K1525" s="200" t="str">
        <f>IF(D1525="","",VLOOKUP(D1525,契約台帳!$A$3:$L$4986,12,FALSE))</f>
        <v/>
      </c>
      <c r="L1525" s="200" t="str">
        <f>IF(D1525="","",INDEX(製品マスタ!$Q$5:$Q$4999,MATCH(F1525&amp;K1525,製品マスタ!$AO$5:$AO$4999,0)))</f>
        <v/>
      </c>
      <c r="M1525" s="37"/>
      <c r="N1525" s="37"/>
      <c r="O1525" s="45"/>
      <c r="P1525" s="54"/>
      <c r="Q1525" s="260" t="str">
        <f>IF(D1525="","",IF(J1525="リード付け",M1525,VLOOKUP(D1525,契約台帳!$A$3:$N$4986,14,FALSE)))</f>
        <v/>
      </c>
      <c r="R1525" s="261" t="str">
        <f>IF(D1525="","",IF(J1525="リード付け",M1525,VLOOKUP(D1525,契約台帳!$A$3:$O$4986,15,FALSE)))</f>
        <v/>
      </c>
      <c r="S1525" s="261" t="str">
        <f>IF(D1525="","",IF(J1525="リード付け",N1525,VLOOKUP(D1525,契約台帳!$A$3:$P$4986,16,FALSE)))</f>
        <v/>
      </c>
      <c r="T1525" s="38"/>
      <c r="U1525" s="261" t="str">
        <f ca="1">IF(D1525="","",IF(OFFSET(D1525,-2,0)=D1525,"",VLOOKUP(D1525,契約台帳!$A$3:$R$4986,18,FALSE)))</f>
        <v/>
      </c>
      <c r="V1525" s="256" t="e">
        <f>IF(J1525="巻返し",VLOOKUP(F1525&amp;K1525&amp;M1525,製品マスタ!$M$5:$AD$4999,18,FALSE),IF(J1525="リード付け","原反コア",IF(J1525="スリット",VLOOKUP(F1525&amp;K1525&amp;Q1525,製品マスタ!$N$5:$AD$4999,17,FALSE),"")))</f>
        <v>#N/A</v>
      </c>
      <c r="W1525" s="256" t="e">
        <f>IF(J1525="巻返し",VLOOKUP(F1525&amp;K1525&amp;M1525,製品マスタ!$M$5:$AE$4999,19,FALSE),IF(J1525="リード付け","-",IF(J1525="スリット",VLOOKUP(F1525&amp;K1525&amp;Q1525,製品マスタ!$N$5:$AE$4999,18,FALSE),"")))</f>
        <v>#N/A</v>
      </c>
      <c r="X1525" s="256" t="str">
        <f>IF(D1525="","",VLOOKUP(D1525,契約台帳!$A$3:$Q$4986,17,FALSE))</f>
        <v/>
      </c>
      <c r="Y1525" s="256" t="str">
        <f>IF(D1525="","",VLOOKUP(D1525,契約台帳!$A$3:$E$4986,5,FALSE))</f>
        <v/>
      </c>
      <c r="Z1525" s="310"/>
      <c r="AA1525" s="200"/>
      <c r="AB1525" s="312"/>
      <c r="AC1525" s="313"/>
      <c r="AD1525" s="51" t="str">
        <f t="shared" si="93"/>
        <v/>
      </c>
      <c r="AE1525" s="52">
        <f t="shared" si="94"/>
        <v>0</v>
      </c>
      <c r="AF1525" s="41" t="str">
        <f>IF(AD1525="","",VLOOKUP(AD1525,原価マスタ!$A$2:$AJ$1693,13,FALSE))</f>
        <v/>
      </c>
      <c r="AG1525" s="45" t="str">
        <f t="shared" si="95"/>
        <v/>
      </c>
      <c r="AH1525" s="28"/>
      <c r="AI1525" s="28"/>
      <c r="AJ1525" s="28"/>
      <c r="AK1525" s="28"/>
      <c r="AL1525" s="12"/>
      <c r="AM1525" s="12"/>
      <c r="AN1525" s="12"/>
      <c r="AO1525" s="12"/>
      <c r="AP1525" s="12"/>
      <c r="AQ1525" s="13"/>
      <c r="AR1525" s="14"/>
    </row>
    <row r="1526" spans="1:44" s="16" customFormat="1" ht="30.95" customHeight="1" x14ac:dyDescent="0.2">
      <c r="A1526" s="303"/>
      <c r="B1526" s="304"/>
      <c r="C1526" s="305"/>
      <c r="D1526" s="29"/>
      <c r="E1526" s="29"/>
      <c r="F1526" s="255" t="str">
        <f>IF(D1526="","",VLOOKUP(D1526,契約台帳!$A$3:$K$4986,6,FALSE)&amp;VLOOKUP(D1526,契約台帳!$A$3:$K$4986,7,FALSE)&amp;VLOOKUP(D1526,契約台帳!$A$3:$K$4986,8,FALSE)&amp;VLOOKUP(D1526,契約台帳!$A$3:$K$4986,9,FALSE)&amp;VLOOKUP(D1526,契約台帳!$A$3:$K$4986,11,FALSE))</f>
        <v/>
      </c>
      <c r="G1526" s="256" t="str">
        <f>IF(D1526="","",VLOOKUP(F1526,製品マスタ!$G$5:$H$4999,2,FALSE))</f>
        <v/>
      </c>
      <c r="H1526" s="256" t="str">
        <f>IF(D1526="","",VLOOKUP(F1526,製品マスタ!$G$5:$K$4999,5,FALSE))</f>
        <v/>
      </c>
      <c r="I1526" s="200" t="str">
        <f>IF(D1526="","",VLOOKUP(F1526,製品マスタ!$G$5:$L$4999,6,FALSE))</f>
        <v/>
      </c>
      <c r="J1526" s="30" t="s">
        <v>447</v>
      </c>
      <c r="K1526" s="200" t="str">
        <f>IF(D1526="","",VLOOKUP(D1526,契約台帳!$A$3:$L$4986,12,FALSE))</f>
        <v/>
      </c>
      <c r="L1526" s="200" t="str">
        <f>IF(D1526="","",INDEX(製品マスタ!$Q$5:$Q$4999,MATCH(F1526&amp;K1526,製品マスタ!$AO$5:$AO$4999,0)))</f>
        <v/>
      </c>
      <c r="M1526" s="37"/>
      <c r="N1526" s="37"/>
      <c r="O1526" s="45"/>
      <c r="P1526" s="54"/>
      <c r="Q1526" s="260" t="str">
        <f>IF(D1526="","",IF(J1526="リード付け",M1526,VLOOKUP(D1526,契約台帳!$A$3:$N$4986,14,FALSE)))</f>
        <v/>
      </c>
      <c r="R1526" s="261" t="str">
        <f>IF(D1526="","",IF(J1526="リード付け",M1526,VLOOKUP(D1526,契約台帳!$A$3:$O$4986,15,FALSE)))</f>
        <v/>
      </c>
      <c r="S1526" s="261" t="str">
        <f>IF(D1526="","",IF(J1526="リード付け",N1526,VLOOKUP(D1526,契約台帳!$A$3:$P$4986,16,FALSE)))</f>
        <v/>
      </c>
      <c r="T1526" s="38"/>
      <c r="U1526" s="261" t="str">
        <f ca="1">IF(D1526="","",IF(OFFSET(D1526,-2,0)=D1526,"",VLOOKUP(D1526,契約台帳!$A$3:$R$4986,18,FALSE)))</f>
        <v/>
      </c>
      <c r="V1526" s="256" t="e">
        <f>IF(J1526="巻返し",VLOOKUP(F1526&amp;K1526&amp;M1526,製品マスタ!$M$5:$AD$4999,18,FALSE),IF(J1526="リード付け","原反コア",IF(J1526="スリット",VLOOKUP(F1526&amp;K1526&amp;Q1526,製品マスタ!$N$5:$AD$4999,17,FALSE),"")))</f>
        <v>#N/A</v>
      </c>
      <c r="W1526" s="256" t="e">
        <f>IF(J1526="巻返し",VLOOKUP(F1526&amp;K1526&amp;M1526,製品マスタ!$M$5:$AE$4999,19,FALSE),IF(J1526="リード付け","-",IF(J1526="スリット",VLOOKUP(F1526&amp;K1526&amp;Q1526,製品マスタ!$N$5:$AE$4999,18,FALSE),"")))</f>
        <v>#N/A</v>
      </c>
      <c r="X1526" s="256" t="str">
        <f>IF(D1526="","",VLOOKUP(D1526,契約台帳!$A$3:$Q$4986,17,FALSE))</f>
        <v/>
      </c>
      <c r="Y1526" s="256" t="str">
        <f>IF(D1526="","",VLOOKUP(D1526,契約台帳!$A$3:$E$4986,5,FALSE))</f>
        <v/>
      </c>
      <c r="Z1526" s="310"/>
      <c r="AA1526" s="200"/>
      <c r="AB1526" s="312"/>
      <c r="AC1526" s="313"/>
      <c r="AD1526" s="51" t="str">
        <f t="shared" si="93"/>
        <v/>
      </c>
      <c r="AE1526" s="52">
        <f t="shared" si="94"/>
        <v>0</v>
      </c>
      <c r="AF1526" s="41" t="str">
        <f>IF(AD1526="","",VLOOKUP(AD1526,原価マスタ!$A$2:$AJ$1693,13,FALSE))</f>
        <v/>
      </c>
      <c r="AG1526" s="45" t="str">
        <f t="shared" si="95"/>
        <v/>
      </c>
      <c r="AH1526" s="28"/>
      <c r="AI1526" s="28"/>
      <c r="AJ1526" s="28"/>
      <c r="AK1526" s="28"/>
      <c r="AL1526" s="12"/>
      <c r="AM1526" s="12"/>
      <c r="AN1526" s="12"/>
      <c r="AO1526" s="12"/>
      <c r="AP1526" s="12"/>
      <c r="AQ1526" s="13"/>
      <c r="AR1526" s="14"/>
    </row>
    <row r="1527" spans="1:44" s="16" customFormat="1" ht="30.95" customHeight="1" x14ac:dyDescent="0.2">
      <c r="A1527" s="303"/>
      <c r="B1527" s="304"/>
      <c r="C1527" s="305"/>
      <c r="D1527" s="29"/>
      <c r="E1527" s="29"/>
      <c r="F1527" s="255" t="str">
        <f>IF(D1527="","",VLOOKUP(D1527,契約台帳!$A$3:$K$4986,6,FALSE)&amp;VLOOKUP(D1527,契約台帳!$A$3:$K$4986,7,FALSE)&amp;VLOOKUP(D1527,契約台帳!$A$3:$K$4986,8,FALSE)&amp;VLOOKUP(D1527,契約台帳!$A$3:$K$4986,9,FALSE)&amp;VLOOKUP(D1527,契約台帳!$A$3:$K$4986,11,FALSE))</f>
        <v/>
      </c>
      <c r="G1527" s="256" t="str">
        <f>IF(D1527="","",VLOOKUP(F1527,製品マスタ!$G$5:$H$4999,2,FALSE))</f>
        <v/>
      </c>
      <c r="H1527" s="256" t="str">
        <f>IF(D1527="","",VLOOKUP(F1527,製品マスタ!$G$5:$K$4999,5,FALSE))</f>
        <v/>
      </c>
      <c r="I1527" s="200" t="str">
        <f>IF(D1527="","",VLOOKUP(F1527,製品マスタ!$G$5:$L$4999,6,FALSE))</f>
        <v/>
      </c>
      <c r="J1527" s="30" t="s">
        <v>447</v>
      </c>
      <c r="K1527" s="200" t="str">
        <f>IF(D1527="","",VLOOKUP(D1527,契約台帳!$A$3:$L$4986,12,FALSE))</f>
        <v/>
      </c>
      <c r="L1527" s="200" t="str">
        <f>IF(D1527="","",INDEX(製品マスタ!$Q$5:$Q$4999,MATCH(F1527&amp;K1527,製品マスタ!$AO$5:$AO$4999,0)))</f>
        <v/>
      </c>
      <c r="M1527" s="37"/>
      <c r="N1527" s="37"/>
      <c r="O1527" s="45"/>
      <c r="P1527" s="54"/>
      <c r="Q1527" s="260" t="str">
        <f>IF(D1527="","",IF(J1527="リード付け",M1527,VLOOKUP(D1527,契約台帳!$A$3:$N$4986,14,FALSE)))</f>
        <v/>
      </c>
      <c r="R1527" s="261" t="str">
        <f>IF(D1527="","",IF(J1527="リード付け",M1527,VLOOKUP(D1527,契約台帳!$A$3:$O$4986,15,FALSE)))</f>
        <v/>
      </c>
      <c r="S1527" s="261" t="str">
        <f>IF(D1527="","",IF(J1527="リード付け",N1527,VLOOKUP(D1527,契約台帳!$A$3:$P$4986,16,FALSE)))</f>
        <v/>
      </c>
      <c r="T1527" s="38"/>
      <c r="U1527" s="261" t="str">
        <f ca="1">IF(D1527="","",IF(OFFSET(D1527,-2,0)=D1527,"",VLOOKUP(D1527,契約台帳!$A$3:$R$4986,18,FALSE)))</f>
        <v/>
      </c>
      <c r="V1527" s="256" t="e">
        <f>IF(J1527="巻返し",VLOOKUP(F1527&amp;K1527&amp;M1527,製品マスタ!$M$5:$AD$4999,18,FALSE),IF(J1527="リード付け","原反コア",IF(J1527="スリット",VLOOKUP(F1527&amp;K1527&amp;Q1527,製品マスタ!$N$5:$AD$4999,17,FALSE),"")))</f>
        <v>#N/A</v>
      </c>
      <c r="W1527" s="256" t="e">
        <f>IF(J1527="巻返し",VLOOKUP(F1527&amp;K1527&amp;M1527,製品マスタ!$M$5:$AE$4999,19,FALSE),IF(J1527="リード付け","-",IF(J1527="スリット",VLOOKUP(F1527&amp;K1527&amp;Q1527,製品マスタ!$N$5:$AE$4999,18,FALSE),"")))</f>
        <v>#N/A</v>
      </c>
      <c r="X1527" s="256" t="str">
        <f>IF(D1527="","",VLOOKUP(D1527,契約台帳!$A$3:$Q$4986,17,FALSE))</f>
        <v/>
      </c>
      <c r="Y1527" s="256" t="str">
        <f>IF(D1527="","",VLOOKUP(D1527,契約台帳!$A$3:$E$4986,5,FALSE))</f>
        <v/>
      </c>
      <c r="Z1527" s="310"/>
      <c r="AA1527" s="200"/>
      <c r="AB1527" s="312"/>
      <c r="AC1527" s="313"/>
      <c r="AD1527" s="51" t="str">
        <f t="shared" si="93"/>
        <v/>
      </c>
      <c r="AE1527" s="52">
        <f t="shared" si="94"/>
        <v>0</v>
      </c>
      <c r="AF1527" s="41" t="str">
        <f>IF(AD1527="","",VLOOKUP(AD1527,原価マスタ!$A$2:$AJ$1693,13,FALSE))</f>
        <v/>
      </c>
      <c r="AG1527" s="45" t="str">
        <f t="shared" si="95"/>
        <v/>
      </c>
      <c r="AH1527" s="28"/>
      <c r="AI1527" s="28"/>
      <c r="AJ1527" s="28"/>
      <c r="AK1527" s="28"/>
      <c r="AL1527" s="12"/>
      <c r="AM1527" s="12"/>
      <c r="AN1527" s="12"/>
      <c r="AO1527" s="12"/>
      <c r="AP1527" s="12"/>
      <c r="AQ1527" s="13"/>
      <c r="AR1527" s="14"/>
    </row>
    <row r="1528" spans="1:44" s="16" customFormat="1" ht="30.95" customHeight="1" x14ac:dyDescent="0.2">
      <c r="A1528" s="303"/>
      <c r="B1528" s="304"/>
      <c r="C1528" s="305"/>
      <c r="D1528" s="29"/>
      <c r="E1528" s="29"/>
      <c r="F1528" s="255" t="str">
        <f>IF(D1528="","",VLOOKUP(D1528,契約台帳!$A$3:$K$4986,6,FALSE)&amp;VLOOKUP(D1528,契約台帳!$A$3:$K$4986,7,FALSE)&amp;VLOOKUP(D1528,契約台帳!$A$3:$K$4986,8,FALSE)&amp;VLOOKUP(D1528,契約台帳!$A$3:$K$4986,9,FALSE)&amp;VLOOKUP(D1528,契約台帳!$A$3:$K$4986,11,FALSE))</f>
        <v/>
      </c>
      <c r="G1528" s="256" t="str">
        <f>IF(D1528="","",VLOOKUP(F1528,製品マスタ!$G$5:$H$4999,2,FALSE))</f>
        <v/>
      </c>
      <c r="H1528" s="256" t="str">
        <f>IF(D1528="","",VLOOKUP(F1528,製品マスタ!$G$5:$K$4999,5,FALSE))</f>
        <v/>
      </c>
      <c r="I1528" s="200" t="str">
        <f>IF(D1528="","",VLOOKUP(F1528,製品マスタ!$G$5:$L$4999,6,FALSE))</f>
        <v/>
      </c>
      <c r="J1528" s="30" t="s">
        <v>447</v>
      </c>
      <c r="K1528" s="200" t="str">
        <f>IF(D1528="","",VLOOKUP(D1528,契約台帳!$A$3:$L$4986,12,FALSE))</f>
        <v/>
      </c>
      <c r="L1528" s="200" t="str">
        <f>IF(D1528="","",INDEX(製品マスタ!$Q$5:$Q$4999,MATCH(F1528&amp;K1528,製品マスタ!$AO$5:$AO$4999,0)))</f>
        <v/>
      </c>
      <c r="M1528" s="37"/>
      <c r="N1528" s="37"/>
      <c r="O1528" s="45"/>
      <c r="P1528" s="54"/>
      <c r="Q1528" s="260" t="str">
        <f>IF(D1528="","",IF(J1528="リード付け",M1528,VLOOKUP(D1528,契約台帳!$A$3:$N$4986,14,FALSE)))</f>
        <v/>
      </c>
      <c r="R1528" s="261" t="str">
        <f>IF(D1528="","",IF(J1528="リード付け",M1528,VLOOKUP(D1528,契約台帳!$A$3:$O$4986,15,FALSE)))</f>
        <v/>
      </c>
      <c r="S1528" s="261" t="str">
        <f>IF(D1528="","",IF(J1528="リード付け",N1528,VLOOKUP(D1528,契約台帳!$A$3:$P$4986,16,FALSE)))</f>
        <v/>
      </c>
      <c r="T1528" s="38"/>
      <c r="U1528" s="261" t="str">
        <f ca="1">IF(D1528="","",IF(OFFSET(D1528,-2,0)=D1528,"",VLOOKUP(D1528,契約台帳!$A$3:$R$4986,18,FALSE)))</f>
        <v/>
      </c>
      <c r="V1528" s="256" t="e">
        <f>IF(J1528="巻返し",VLOOKUP(F1528&amp;K1528&amp;M1528,製品マスタ!$M$5:$AD$4999,18,FALSE),IF(J1528="リード付け","原反コア",IF(J1528="スリット",VLOOKUP(F1528&amp;K1528&amp;Q1528,製品マスタ!$N$5:$AD$4999,17,FALSE),"")))</f>
        <v>#N/A</v>
      </c>
      <c r="W1528" s="256" t="e">
        <f>IF(J1528="巻返し",VLOOKUP(F1528&amp;K1528&amp;M1528,製品マスタ!$M$5:$AE$4999,19,FALSE),IF(J1528="リード付け","-",IF(J1528="スリット",VLOOKUP(F1528&amp;K1528&amp;Q1528,製品マスタ!$N$5:$AE$4999,18,FALSE),"")))</f>
        <v>#N/A</v>
      </c>
      <c r="X1528" s="256" t="str">
        <f>IF(D1528="","",VLOOKUP(D1528,契約台帳!$A$3:$Q$4986,17,FALSE))</f>
        <v/>
      </c>
      <c r="Y1528" s="256" t="str">
        <f>IF(D1528="","",VLOOKUP(D1528,契約台帳!$A$3:$E$4986,5,FALSE))</f>
        <v/>
      </c>
      <c r="Z1528" s="310"/>
      <c r="AA1528" s="200"/>
      <c r="AB1528" s="312"/>
      <c r="AC1528" s="313"/>
      <c r="AD1528" s="51" t="str">
        <f t="shared" si="93"/>
        <v/>
      </c>
      <c r="AE1528" s="52">
        <f t="shared" si="94"/>
        <v>0</v>
      </c>
      <c r="AF1528" s="41" t="str">
        <f>IF(AD1528="","",VLOOKUP(AD1528,原価マスタ!$A$2:$AJ$1693,13,FALSE))</f>
        <v/>
      </c>
      <c r="AG1528" s="45" t="str">
        <f t="shared" si="95"/>
        <v/>
      </c>
      <c r="AH1528" s="28"/>
      <c r="AI1528" s="28"/>
      <c r="AJ1528" s="28"/>
      <c r="AK1528" s="28"/>
      <c r="AL1528" s="12"/>
      <c r="AM1528" s="12"/>
      <c r="AN1528" s="12"/>
      <c r="AO1528" s="12"/>
      <c r="AP1528" s="12"/>
      <c r="AQ1528" s="13"/>
      <c r="AR1528" s="14"/>
    </row>
    <row r="1529" spans="1:44" s="16" customFormat="1" ht="30.95" customHeight="1" x14ac:dyDescent="0.2">
      <c r="A1529" s="303"/>
      <c r="B1529" s="304"/>
      <c r="C1529" s="305"/>
      <c r="D1529" s="29"/>
      <c r="E1529" s="29"/>
      <c r="F1529" s="255" t="str">
        <f>IF(D1529="","",VLOOKUP(D1529,契約台帳!$A$3:$K$4986,6,FALSE)&amp;VLOOKUP(D1529,契約台帳!$A$3:$K$4986,7,FALSE)&amp;VLOOKUP(D1529,契約台帳!$A$3:$K$4986,8,FALSE)&amp;VLOOKUP(D1529,契約台帳!$A$3:$K$4986,9,FALSE)&amp;VLOOKUP(D1529,契約台帳!$A$3:$K$4986,11,FALSE))</f>
        <v/>
      </c>
      <c r="G1529" s="256" t="str">
        <f>IF(D1529="","",VLOOKUP(F1529,製品マスタ!$G$5:$H$4999,2,FALSE))</f>
        <v/>
      </c>
      <c r="H1529" s="256" t="str">
        <f>IF(D1529="","",VLOOKUP(F1529,製品マスタ!$G$5:$K$4999,5,FALSE))</f>
        <v/>
      </c>
      <c r="I1529" s="200" t="str">
        <f>IF(D1529="","",VLOOKUP(F1529,製品マスタ!$G$5:$L$4999,6,FALSE))</f>
        <v/>
      </c>
      <c r="J1529" s="30" t="s">
        <v>447</v>
      </c>
      <c r="K1529" s="200" t="str">
        <f>IF(D1529="","",VLOOKUP(D1529,契約台帳!$A$3:$L$4986,12,FALSE))</f>
        <v/>
      </c>
      <c r="L1529" s="200" t="str">
        <f>IF(D1529="","",INDEX(製品マスタ!$Q$5:$Q$4999,MATCH(F1529&amp;K1529,製品マスタ!$AO$5:$AO$4999,0)))</f>
        <v/>
      </c>
      <c r="M1529" s="37"/>
      <c r="N1529" s="37"/>
      <c r="O1529" s="45"/>
      <c r="P1529" s="54"/>
      <c r="Q1529" s="260" t="str">
        <f>IF(D1529="","",IF(J1529="リード付け",M1529,VLOOKUP(D1529,契約台帳!$A$3:$N$4986,14,FALSE)))</f>
        <v/>
      </c>
      <c r="R1529" s="261" t="str">
        <f>IF(D1529="","",IF(J1529="リード付け",M1529,VLOOKUP(D1529,契約台帳!$A$3:$O$4986,15,FALSE)))</f>
        <v/>
      </c>
      <c r="S1529" s="261" t="str">
        <f>IF(D1529="","",IF(J1529="リード付け",N1529,VLOOKUP(D1529,契約台帳!$A$3:$P$4986,16,FALSE)))</f>
        <v/>
      </c>
      <c r="T1529" s="38"/>
      <c r="U1529" s="261" t="str">
        <f ca="1">IF(D1529="","",IF(OFFSET(D1529,-2,0)=D1529,"",VLOOKUP(D1529,契約台帳!$A$3:$R$4986,18,FALSE)))</f>
        <v/>
      </c>
      <c r="V1529" s="256" t="e">
        <f>IF(J1529="巻返し",VLOOKUP(F1529&amp;K1529&amp;M1529,製品マスタ!$M$5:$AD$4999,18,FALSE),IF(J1529="リード付け","原反コア",IF(J1529="スリット",VLOOKUP(F1529&amp;K1529&amp;Q1529,製品マスタ!$N$5:$AD$4999,17,FALSE),"")))</f>
        <v>#N/A</v>
      </c>
      <c r="W1529" s="256" t="e">
        <f>IF(J1529="巻返し",VLOOKUP(F1529&amp;K1529&amp;M1529,製品マスタ!$M$5:$AE$4999,19,FALSE),IF(J1529="リード付け","-",IF(J1529="スリット",VLOOKUP(F1529&amp;K1529&amp;Q1529,製品マスタ!$N$5:$AE$4999,18,FALSE),"")))</f>
        <v>#N/A</v>
      </c>
      <c r="X1529" s="256" t="str">
        <f>IF(D1529="","",VLOOKUP(D1529,契約台帳!$A$3:$Q$4986,17,FALSE))</f>
        <v/>
      </c>
      <c r="Y1529" s="256" t="str">
        <f>IF(D1529="","",VLOOKUP(D1529,契約台帳!$A$3:$E$4986,5,FALSE))</f>
        <v/>
      </c>
      <c r="Z1529" s="310"/>
      <c r="AA1529" s="200"/>
      <c r="AB1529" s="312"/>
      <c r="AC1529" s="313"/>
      <c r="AD1529" s="51" t="str">
        <f t="shared" si="93"/>
        <v/>
      </c>
      <c r="AE1529" s="52">
        <f t="shared" si="94"/>
        <v>0</v>
      </c>
      <c r="AF1529" s="41" t="str">
        <f>IF(AD1529="","",VLOOKUP(AD1529,原価マスタ!$A$2:$AJ$1693,13,FALSE))</f>
        <v/>
      </c>
      <c r="AG1529" s="45" t="str">
        <f t="shared" si="95"/>
        <v/>
      </c>
      <c r="AH1529" s="28"/>
      <c r="AI1529" s="28"/>
      <c r="AJ1529" s="28"/>
      <c r="AK1529" s="28"/>
      <c r="AL1529" s="12"/>
      <c r="AM1529" s="12"/>
      <c r="AN1529" s="12"/>
      <c r="AO1529" s="12"/>
      <c r="AP1529" s="12"/>
      <c r="AQ1529" s="13"/>
      <c r="AR1529" s="14"/>
    </row>
    <row r="1530" spans="1:44" s="16" customFormat="1" ht="30.95" customHeight="1" x14ac:dyDescent="0.2">
      <c r="A1530" s="303"/>
      <c r="B1530" s="304"/>
      <c r="C1530" s="305"/>
      <c r="D1530" s="29"/>
      <c r="E1530" s="29"/>
      <c r="F1530" s="255" t="str">
        <f>IF(D1530="","",VLOOKUP(D1530,契約台帳!$A$3:$K$4986,6,FALSE)&amp;VLOOKUP(D1530,契約台帳!$A$3:$K$4986,7,FALSE)&amp;VLOOKUP(D1530,契約台帳!$A$3:$K$4986,8,FALSE)&amp;VLOOKUP(D1530,契約台帳!$A$3:$K$4986,9,FALSE)&amp;VLOOKUP(D1530,契約台帳!$A$3:$K$4986,11,FALSE))</f>
        <v/>
      </c>
      <c r="G1530" s="256" t="str">
        <f>IF(D1530="","",VLOOKUP(F1530,製品マスタ!$G$5:$H$4999,2,FALSE))</f>
        <v/>
      </c>
      <c r="H1530" s="256" t="str">
        <f>IF(D1530="","",VLOOKUP(F1530,製品マスタ!$G$5:$K$4999,5,FALSE))</f>
        <v/>
      </c>
      <c r="I1530" s="200" t="str">
        <f>IF(D1530="","",VLOOKUP(F1530,製品マスタ!$G$5:$L$4999,6,FALSE))</f>
        <v/>
      </c>
      <c r="J1530" s="30" t="s">
        <v>447</v>
      </c>
      <c r="K1530" s="200" t="str">
        <f>IF(D1530="","",VLOOKUP(D1530,契約台帳!$A$3:$L$4986,12,FALSE))</f>
        <v/>
      </c>
      <c r="L1530" s="200" t="str">
        <f>IF(D1530="","",INDEX(製品マスタ!$Q$5:$Q$4999,MATCH(F1530&amp;K1530,製品マスタ!$AO$5:$AO$4999,0)))</f>
        <v/>
      </c>
      <c r="M1530" s="37"/>
      <c r="N1530" s="37"/>
      <c r="O1530" s="45"/>
      <c r="P1530" s="54"/>
      <c r="Q1530" s="260" t="str">
        <f>IF(D1530="","",IF(J1530="リード付け",M1530,VLOOKUP(D1530,契約台帳!$A$3:$N$4986,14,FALSE)))</f>
        <v/>
      </c>
      <c r="R1530" s="261" t="str">
        <f>IF(D1530="","",IF(J1530="リード付け",M1530,VLOOKUP(D1530,契約台帳!$A$3:$O$4986,15,FALSE)))</f>
        <v/>
      </c>
      <c r="S1530" s="261" t="str">
        <f>IF(D1530="","",IF(J1530="リード付け",N1530,VLOOKUP(D1530,契約台帳!$A$3:$P$4986,16,FALSE)))</f>
        <v/>
      </c>
      <c r="T1530" s="38"/>
      <c r="U1530" s="261" t="str">
        <f ca="1">IF(D1530="","",IF(OFFSET(D1530,-2,0)=D1530,"",VLOOKUP(D1530,契約台帳!$A$3:$R$4986,18,FALSE)))</f>
        <v/>
      </c>
      <c r="V1530" s="256" t="e">
        <f>IF(J1530="巻返し",VLOOKUP(F1530&amp;K1530&amp;M1530,製品マスタ!$M$5:$AD$4999,18,FALSE),IF(J1530="リード付け","原反コア",IF(J1530="スリット",VLOOKUP(F1530&amp;K1530&amp;Q1530,製品マスタ!$N$5:$AD$4999,17,FALSE),"")))</f>
        <v>#N/A</v>
      </c>
      <c r="W1530" s="256" t="e">
        <f>IF(J1530="巻返し",VLOOKUP(F1530&amp;K1530&amp;M1530,製品マスタ!$M$5:$AE$4999,19,FALSE),IF(J1530="リード付け","-",IF(J1530="スリット",VLOOKUP(F1530&amp;K1530&amp;Q1530,製品マスタ!$N$5:$AE$4999,18,FALSE),"")))</f>
        <v>#N/A</v>
      </c>
      <c r="X1530" s="256" t="str">
        <f>IF(D1530="","",VLOOKUP(D1530,契約台帳!$A$3:$Q$4986,17,FALSE))</f>
        <v/>
      </c>
      <c r="Y1530" s="256" t="str">
        <f>IF(D1530="","",VLOOKUP(D1530,契約台帳!$A$3:$E$4986,5,FALSE))</f>
        <v/>
      </c>
      <c r="Z1530" s="310"/>
      <c r="AA1530" s="200"/>
      <c r="AB1530" s="312"/>
      <c r="AC1530" s="313"/>
      <c r="AD1530" s="51" t="str">
        <f t="shared" si="93"/>
        <v/>
      </c>
      <c r="AE1530" s="52">
        <f t="shared" si="94"/>
        <v>0</v>
      </c>
      <c r="AF1530" s="41" t="str">
        <f>IF(AD1530="","",VLOOKUP(AD1530,原価マスタ!$A$2:$AJ$1693,13,FALSE))</f>
        <v/>
      </c>
      <c r="AG1530" s="45" t="str">
        <f t="shared" si="95"/>
        <v/>
      </c>
      <c r="AH1530" s="28"/>
      <c r="AI1530" s="28"/>
      <c r="AJ1530" s="28"/>
      <c r="AK1530" s="28"/>
      <c r="AL1530" s="12"/>
      <c r="AM1530" s="12"/>
      <c r="AN1530" s="12"/>
      <c r="AO1530" s="12"/>
      <c r="AP1530" s="12"/>
      <c r="AQ1530" s="13"/>
      <c r="AR1530" s="14"/>
    </row>
    <row r="1531" spans="1:44" s="16" customFormat="1" ht="30.95" customHeight="1" x14ac:dyDescent="0.2">
      <c r="A1531" s="303"/>
      <c r="B1531" s="304"/>
      <c r="C1531" s="305"/>
      <c r="D1531" s="29"/>
      <c r="E1531" s="29"/>
      <c r="F1531" s="255" t="str">
        <f>IF(D1531="","",VLOOKUP(D1531,契約台帳!$A$3:$K$4986,6,FALSE)&amp;VLOOKUP(D1531,契約台帳!$A$3:$K$4986,7,FALSE)&amp;VLOOKUP(D1531,契約台帳!$A$3:$K$4986,8,FALSE)&amp;VLOOKUP(D1531,契約台帳!$A$3:$K$4986,9,FALSE)&amp;VLOOKUP(D1531,契約台帳!$A$3:$K$4986,11,FALSE))</f>
        <v/>
      </c>
      <c r="G1531" s="256" t="str">
        <f>IF(D1531="","",VLOOKUP(F1531,製品マスタ!$G$5:$H$4999,2,FALSE))</f>
        <v/>
      </c>
      <c r="H1531" s="256" t="str">
        <f>IF(D1531="","",VLOOKUP(F1531,製品マスタ!$G$5:$K$4999,5,FALSE))</f>
        <v/>
      </c>
      <c r="I1531" s="200" t="str">
        <f>IF(D1531="","",VLOOKUP(F1531,製品マスタ!$G$5:$L$4999,6,FALSE))</f>
        <v/>
      </c>
      <c r="J1531" s="30" t="s">
        <v>447</v>
      </c>
      <c r="K1531" s="200" t="str">
        <f>IF(D1531="","",VLOOKUP(D1531,契約台帳!$A$3:$L$4986,12,FALSE))</f>
        <v/>
      </c>
      <c r="L1531" s="200" t="str">
        <f>IF(D1531="","",INDEX(製品マスタ!$Q$5:$Q$4999,MATCH(F1531&amp;K1531,製品マスタ!$AO$5:$AO$4999,0)))</f>
        <v/>
      </c>
      <c r="M1531" s="37"/>
      <c r="N1531" s="37"/>
      <c r="O1531" s="45"/>
      <c r="P1531" s="54"/>
      <c r="Q1531" s="260" t="str">
        <f>IF(D1531="","",IF(J1531="リード付け",M1531,VLOOKUP(D1531,契約台帳!$A$3:$N$4986,14,FALSE)))</f>
        <v/>
      </c>
      <c r="R1531" s="261" t="str">
        <f>IF(D1531="","",IF(J1531="リード付け",M1531,VLOOKUP(D1531,契約台帳!$A$3:$O$4986,15,FALSE)))</f>
        <v/>
      </c>
      <c r="S1531" s="261" t="str">
        <f>IF(D1531="","",IF(J1531="リード付け",N1531,VLOOKUP(D1531,契約台帳!$A$3:$P$4986,16,FALSE)))</f>
        <v/>
      </c>
      <c r="T1531" s="38"/>
      <c r="U1531" s="261" t="str">
        <f ca="1">IF(D1531="","",IF(OFFSET(D1531,-2,0)=D1531,"",VLOOKUP(D1531,契約台帳!$A$3:$R$4986,18,FALSE)))</f>
        <v/>
      </c>
      <c r="V1531" s="256" t="e">
        <f>IF(J1531="巻返し",VLOOKUP(F1531&amp;K1531&amp;M1531,製品マスタ!$M$5:$AD$4999,18,FALSE),IF(J1531="リード付け","原反コア",IF(J1531="スリット",VLOOKUP(F1531&amp;K1531&amp;Q1531,製品マスタ!$N$5:$AD$4999,17,FALSE),"")))</f>
        <v>#N/A</v>
      </c>
      <c r="W1531" s="256" t="e">
        <f>IF(J1531="巻返し",VLOOKUP(F1531&amp;K1531&amp;M1531,製品マスタ!$M$5:$AE$4999,19,FALSE),IF(J1531="リード付け","-",IF(J1531="スリット",VLOOKUP(F1531&amp;K1531&amp;Q1531,製品マスタ!$N$5:$AE$4999,18,FALSE),"")))</f>
        <v>#N/A</v>
      </c>
      <c r="X1531" s="256" t="str">
        <f>IF(D1531="","",VLOOKUP(D1531,契約台帳!$A$3:$Q$4986,17,FALSE))</f>
        <v/>
      </c>
      <c r="Y1531" s="256" t="str">
        <f>IF(D1531="","",VLOOKUP(D1531,契約台帳!$A$3:$E$4986,5,FALSE))</f>
        <v/>
      </c>
      <c r="Z1531" s="310"/>
      <c r="AA1531" s="200"/>
      <c r="AB1531" s="312"/>
      <c r="AC1531" s="313"/>
      <c r="AD1531" s="51" t="str">
        <f t="shared" si="93"/>
        <v/>
      </c>
      <c r="AE1531" s="52">
        <f t="shared" si="94"/>
        <v>0</v>
      </c>
      <c r="AF1531" s="41" t="str">
        <f>IF(AD1531="","",VLOOKUP(AD1531,原価マスタ!$A$2:$AJ$1693,13,FALSE))</f>
        <v/>
      </c>
      <c r="AG1531" s="45" t="str">
        <f t="shared" si="95"/>
        <v/>
      </c>
      <c r="AH1531" s="28"/>
      <c r="AI1531" s="28"/>
      <c r="AJ1531" s="28"/>
      <c r="AK1531" s="28"/>
      <c r="AL1531" s="12"/>
      <c r="AM1531" s="12"/>
      <c r="AN1531" s="12"/>
      <c r="AO1531" s="12"/>
      <c r="AP1531" s="12"/>
      <c r="AQ1531" s="13"/>
      <c r="AR1531" s="14"/>
    </row>
    <row r="1532" spans="1:44" s="16" customFormat="1" ht="30.95" customHeight="1" x14ac:dyDescent="0.2">
      <c r="A1532" s="303"/>
      <c r="B1532" s="304"/>
      <c r="C1532" s="305"/>
      <c r="D1532" s="29"/>
      <c r="E1532" s="29"/>
      <c r="F1532" s="255" t="str">
        <f>IF(D1532="","",VLOOKUP(D1532,契約台帳!$A$3:$K$4986,6,FALSE)&amp;VLOOKUP(D1532,契約台帳!$A$3:$K$4986,7,FALSE)&amp;VLOOKUP(D1532,契約台帳!$A$3:$K$4986,8,FALSE)&amp;VLOOKUP(D1532,契約台帳!$A$3:$K$4986,9,FALSE)&amp;VLOOKUP(D1532,契約台帳!$A$3:$K$4986,11,FALSE))</f>
        <v/>
      </c>
      <c r="G1532" s="256" t="str">
        <f>IF(D1532="","",VLOOKUP(F1532,製品マスタ!$G$5:$H$4999,2,FALSE))</f>
        <v/>
      </c>
      <c r="H1532" s="256" t="str">
        <f>IF(D1532="","",VLOOKUP(F1532,製品マスタ!$G$5:$K$4999,5,FALSE))</f>
        <v/>
      </c>
      <c r="I1532" s="200" t="str">
        <f>IF(D1532="","",VLOOKUP(F1532,製品マスタ!$G$5:$L$4999,6,FALSE))</f>
        <v/>
      </c>
      <c r="J1532" s="30" t="s">
        <v>447</v>
      </c>
      <c r="K1532" s="200" t="str">
        <f>IF(D1532="","",VLOOKUP(D1532,契約台帳!$A$3:$L$4986,12,FALSE))</f>
        <v/>
      </c>
      <c r="L1532" s="200" t="str">
        <f>IF(D1532="","",INDEX(製品マスタ!$Q$5:$Q$4999,MATCH(F1532&amp;K1532,製品マスタ!$AO$5:$AO$4999,0)))</f>
        <v/>
      </c>
      <c r="M1532" s="37"/>
      <c r="N1532" s="37"/>
      <c r="O1532" s="45"/>
      <c r="P1532" s="54"/>
      <c r="Q1532" s="260" t="str">
        <f>IF(D1532="","",IF(J1532="リード付け",M1532,VLOOKUP(D1532,契約台帳!$A$3:$N$4986,14,FALSE)))</f>
        <v/>
      </c>
      <c r="R1532" s="261" t="str">
        <f>IF(D1532="","",IF(J1532="リード付け",M1532,VLOOKUP(D1532,契約台帳!$A$3:$O$4986,15,FALSE)))</f>
        <v/>
      </c>
      <c r="S1532" s="261" t="str">
        <f>IF(D1532="","",IF(J1532="リード付け",N1532,VLOOKUP(D1532,契約台帳!$A$3:$P$4986,16,FALSE)))</f>
        <v/>
      </c>
      <c r="T1532" s="38"/>
      <c r="U1532" s="261" t="str">
        <f ca="1">IF(D1532="","",IF(OFFSET(D1532,-2,0)=D1532,"",VLOOKUP(D1532,契約台帳!$A$3:$R$4986,18,FALSE)))</f>
        <v/>
      </c>
      <c r="V1532" s="256" t="e">
        <f>IF(J1532="巻返し",VLOOKUP(F1532&amp;K1532&amp;M1532,製品マスタ!$M$5:$AD$4999,18,FALSE),IF(J1532="リード付け","原反コア",IF(J1532="スリット",VLOOKUP(F1532&amp;K1532&amp;Q1532,製品マスタ!$N$5:$AD$4999,17,FALSE),"")))</f>
        <v>#N/A</v>
      </c>
      <c r="W1532" s="256" t="e">
        <f>IF(J1532="巻返し",VLOOKUP(F1532&amp;K1532&amp;M1532,製品マスタ!$M$5:$AE$4999,19,FALSE),IF(J1532="リード付け","-",IF(J1532="スリット",VLOOKUP(F1532&amp;K1532&amp;Q1532,製品マスタ!$N$5:$AE$4999,18,FALSE),"")))</f>
        <v>#N/A</v>
      </c>
      <c r="X1532" s="256" t="str">
        <f>IF(D1532="","",VLOOKUP(D1532,契約台帳!$A$3:$Q$4986,17,FALSE))</f>
        <v/>
      </c>
      <c r="Y1532" s="256" t="str">
        <f>IF(D1532="","",VLOOKUP(D1532,契約台帳!$A$3:$E$4986,5,FALSE))</f>
        <v/>
      </c>
      <c r="Z1532" s="310"/>
      <c r="AA1532" s="200"/>
      <c r="AB1532" s="312"/>
      <c r="AC1532" s="313"/>
      <c r="AD1532" s="51" t="str">
        <f t="shared" si="93"/>
        <v/>
      </c>
      <c r="AE1532" s="52">
        <f t="shared" si="94"/>
        <v>0</v>
      </c>
      <c r="AF1532" s="41" t="str">
        <f>IF(AD1532="","",VLOOKUP(AD1532,原価マスタ!$A$2:$AJ$1693,13,FALSE))</f>
        <v/>
      </c>
      <c r="AG1532" s="45" t="str">
        <f t="shared" si="95"/>
        <v/>
      </c>
      <c r="AH1532" s="28"/>
      <c r="AI1532" s="28"/>
      <c r="AJ1532" s="28"/>
      <c r="AK1532" s="28"/>
      <c r="AL1532" s="12"/>
      <c r="AM1532" s="12"/>
      <c r="AN1532" s="12"/>
      <c r="AO1532" s="12"/>
      <c r="AP1532" s="12"/>
      <c r="AQ1532" s="13"/>
      <c r="AR1532" s="14"/>
    </row>
    <row r="1533" spans="1:44" s="16" customFormat="1" ht="30.95" customHeight="1" x14ac:dyDescent="0.2">
      <c r="A1533" s="303"/>
      <c r="B1533" s="304"/>
      <c r="C1533" s="305"/>
      <c r="D1533" s="29"/>
      <c r="E1533" s="29"/>
      <c r="F1533" s="255" t="str">
        <f>IF(D1533="","",VLOOKUP(D1533,契約台帳!$A$3:$K$4986,6,FALSE)&amp;VLOOKUP(D1533,契約台帳!$A$3:$K$4986,7,FALSE)&amp;VLOOKUP(D1533,契約台帳!$A$3:$K$4986,8,FALSE)&amp;VLOOKUP(D1533,契約台帳!$A$3:$K$4986,9,FALSE)&amp;VLOOKUP(D1533,契約台帳!$A$3:$K$4986,11,FALSE))</f>
        <v/>
      </c>
      <c r="G1533" s="256" t="str">
        <f>IF(D1533="","",VLOOKUP(F1533,製品マスタ!$G$5:$H$4999,2,FALSE))</f>
        <v/>
      </c>
      <c r="H1533" s="256" t="str">
        <f>IF(D1533="","",VLOOKUP(F1533,製品マスタ!$G$5:$K$4999,5,FALSE))</f>
        <v/>
      </c>
      <c r="I1533" s="200" t="str">
        <f>IF(D1533="","",VLOOKUP(F1533,製品マスタ!$G$5:$L$4999,6,FALSE))</f>
        <v/>
      </c>
      <c r="J1533" s="30" t="s">
        <v>447</v>
      </c>
      <c r="K1533" s="200" t="str">
        <f>IF(D1533="","",VLOOKUP(D1533,契約台帳!$A$3:$L$4986,12,FALSE))</f>
        <v/>
      </c>
      <c r="L1533" s="200" t="str">
        <f>IF(D1533="","",INDEX(製品マスタ!$Q$5:$Q$4999,MATCH(F1533&amp;K1533,製品マスタ!$AO$5:$AO$4999,0)))</f>
        <v/>
      </c>
      <c r="M1533" s="37"/>
      <c r="N1533" s="37"/>
      <c r="O1533" s="45"/>
      <c r="P1533" s="54"/>
      <c r="Q1533" s="260" t="str">
        <f>IF(D1533="","",IF(J1533="リード付け",M1533,VLOOKUP(D1533,契約台帳!$A$3:$N$4986,14,FALSE)))</f>
        <v/>
      </c>
      <c r="R1533" s="261" t="str">
        <f>IF(D1533="","",IF(J1533="リード付け",M1533,VLOOKUP(D1533,契約台帳!$A$3:$O$4986,15,FALSE)))</f>
        <v/>
      </c>
      <c r="S1533" s="261" t="str">
        <f>IF(D1533="","",IF(J1533="リード付け",N1533,VLOOKUP(D1533,契約台帳!$A$3:$P$4986,16,FALSE)))</f>
        <v/>
      </c>
      <c r="T1533" s="38"/>
      <c r="U1533" s="261" t="str">
        <f ca="1">IF(D1533="","",IF(OFFSET(D1533,-2,0)=D1533,"",VLOOKUP(D1533,契約台帳!$A$3:$R$4986,18,FALSE)))</f>
        <v/>
      </c>
      <c r="V1533" s="256" t="e">
        <f>IF(J1533="巻返し",VLOOKUP(F1533&amp;K1533&amp;M1533,製品マスタ!$M$5:$AD$4999,18,FALSE),IF(J1533="リード付け","原反コア",IF(J1533="スリット",VLOOKUP(F1533&amp;K1533&amp;Q1533,製品マスタ!$N$5:$AD$4999,17,FALSE),"")))</f>
        <v>#N/A</v>
      </c>
      <c r="W1533" s="256" t="e">
        <f>IF(J1533="巻返し",VLOOKUP(F1533&amp;K1533&amp;M1533,製品マスタ!$M$5:$AE$4999,19,FALSE),IF(J1533="リード付け","-",IF(J1533="スリット",VLOOKUP(F1533&amp;K1533&amp;Q1533,製品マスタ!$N$5:$AE$4999,18,FALSE),"")))</f>
        <v>#N/A</v>
      </c>
      <c r="X1533" s="256" t="str">
        <f>IF(D1533="","",VLOOKUP(D1533,契約台帳!$A$3:$Q$4986,17,FALSE))</f>
        <v/>
      </c>
      <c r="Y1533" s="256" t="str">
        <f>IF(D1533="","",VLOOKUP(D1533,契約台帳!$A$3:$E$4986,5,FALSE))</f>
        <v/>
      </c>
      <c r="Z1533" s="310"/>
      <c r="AA1533" s="200"/>
      <c r="AB1533" s="312"/>
      <c r="AC1533" s="313"/>
      <c r="AD1533" s="51" t="str">
        <f t="shared" si="93"/>
        <v/>
      </c>
      <c r="AE1533" s="52">
        <f t="shared" si="94"/>
        <v>0</v>
      </c>
      <c r="AF1533" s="41" t="str">
        <f>IF(AD1533="","",VLOOKUP(AD1533,原価マスタ!$A$2:$AJ$1693,13,FALSE))</f>
        <v/>
      </c>
      <c r="AG1533" s="45" t="str">
        <f t="shared" si="95"/>
        <v/>
      </c>
      <c r="AH1533" s="28"/>
      <c r="AI1533" s="28"/>
      <c r="AJ1533" s="28"/>
      <c r="AK1533" s="28"/>
      <c r="AL1533" s="12"/>
      <c r="AM1533" s="12"/>
      <c r="AN1533" s="12"/>
      <c r="AO1533" s="12"/>
      <c r="AP1533" s="12"/>
      <c r="AQ1533" s="13"/>
      <c r="AR1533" s="14"/>
    </row>
    <row r="1534" spans="1:44" s="16" customFormat="1" ht="30.95" customHeight="1" x14ac:dyDescent="0.2">
      <c r="A1534" s="303"/>
      <c r="B1534" s="304"/>
      <c r="C1534" s="305"/>
      <c r="D1534" s="29"/>
      <c r="E1534" s="29"/>
      <c r="F1534" s="255" t="str">
        <f>IF(D1534="","",VLOOKUP(D1534,契約台帳!$A$3:$K$4986,6,FALSE)&amp;VLOOKUP(D1534,契約台帳!$A$3:$K$4986,7,FALSE)&amp;VLOOKUP(D1534,契約台帳!$A$3:$K$4986,8,FALSE)&amp;VLOOKUP(D1534,契約台帳!$A$3:$K$4986,9,FALSE)&amp;VLOOKUP(D1534,契約台帳!$A$3:$K$4986,11,FALSE))</f>
        <v/>
      </c>
      <c r="G1534" s="256" t="str">
        <f>IF(D1534="","",VLOOKUP(F1534,製品マスタ!$G$5:$H$4999,2,FALSE))</f>
        <v/>
      </c>
      <c r="H1534" s="256" t="str">
        <f>IF(D1534="","",VLOOKUP(F1534,製品マスタ!$G$5:$K$4999,5,FALSE))</f>
        <v/>
      </c>
      <c r="I1534" s="200" t="str">
        <f>IF(D1534="","",VLOOKUP(F1534,製品マスタ!$G$5:$L$4999,6,FALSE))</f>
        <v/>
      </c>
      <c r="J1534" s="30" t="s">
        <v>447</v>
      </c>
      <c r="K1534" s="200" t="str">
        <f>IF(D1534="","",VLOOKUP(D1534,契約台帳!$A$3:$L$4986,12,FALSE))</f>
        <v/>
      </c>
      <c r="L1534" s="200" t="str">
        <f>IF(D1534="","",INDEX(製品マスタ!$Q$5:$Q$4999,MATCH(F1534&amp;K1534,製品マスタ!$AO$5:$AO$4999,0)))</f>
        <v/>
      </c>
      <c r="M1534" s="37"/>
      <c r="N1534" s="37"/>
      <c r="O1534" s="45"/>
      <c r="P1534" s="54"/>
      <c r="Q1534" s="260" t="str">
        <f>IF(D1534="","",IF(J1534="リード付け",M1534,VLOOKUP(D1534,契約台帳!$A$3:$N$4986,14,FALSE)))</f>
        <v/>
      </c>
      <c r="R1534" s="261" t="str">
        <f>IF(D1534="","",IF(J1534="リード付け",M1534,VLOOKUP(D1534,契約台帳!$A$3:$O$4986,15,FALSE)))</f>
        <v/>
      </c>
      <c r="S1534" s="261" t="str">
        <f>IF(D1534="","",IF(J1534="リード付け",N1534,VLOOKUP(D1534,契約台帳!$A$3:$P$4986,16,FALSE)))</f>
        <v/>
      </c>
      <c r="T1534" s="38"/>
      <c r="U1534" s="261" t="str">
        <f ca="1">IF(D1534="","",IF(OFFSET(D1534,-2,0)=D1534,"",VLOOKUP(D1534,契約台帳!$A$3:$R$4986,18,FALSE)))</f>
        <v/>
      </c>
      <c r="V1534" s="256" t="e">
        <f>IF(J1534="巻返し",VLOOKUP(F1534&amp;K1534&amp;M1534,製品マスタ!$M$5:$AD$4999,18,FALSE),IF(J1534="リード付け","原反コア",IF(J1534="スリット",VLOOKUP(F1534&amp;K1534&amp;Q1534,製品マスタ!$N$5:$AD$4999,17,FALSE),"")))</f>
        <v>#N/A</v>
      </c>
      <c r="W1534" s="256" t="e">
        <f>IF(J1534="巻返し",VLOOKUP(F1534&amp;K1534&amp;M1534,製品マスタ!$M$5:$AE$4999,19,FALSE),IF(J1534="リード付け","-",IF(J1534="スリット",VLOOKUP(F1534&amp;K1534&amp;Q1534,製品マスタ!$N$5:$AE$4999,18,FALSE),"")))</f>
        <v>#N/A</v>
      </c>
      <c r="X1534" s="256" t="str">
        <f>IF(D1534="","",VLOOKUP(D1534,契約台帳!$A$3:$Q$4986,17,FALSE))</f>
        <v/>
      </c>
      <c r="Y1534" s="256" t="str">
        <f>IF(D1534="","",VLOOKUP(D1534,契約台帳!$A$3:$E$4986,5,FALSE))</f>
        <v/>
      </c>
      <c r="Z1534" s="310"/>
      <c r="AA1534" s="200"/>
      <c r="AB1534" s="312"/>
      <c r="AC1534" s="313"/>
      <c r="AD1534" s="51" t="str">
        <f t="shared" si="93"/>
        <v/>
      </c>
      <c r="AE1534" s="52">
        <f t="shared" si="94"/>
        <v>0</v>
      </c>
      <c r="AF1534" s="41" t="str">
        <f>IF(AD1534="","",VLOOKUP(AD1534,原価マスタ!$A$2:$AJ$1693,13,FALSE))</f>
        <v/>
      </c>
      <c r="AG1534" s="45" t="str">
        <f t="shared" si="95"/>
        <v/>
      </c>
      <c r="AH1534" s="28"/>
      <c r="AI1534" s="28"/>
      <c r="AJ1534" s="28"/>
      <c r="AK1534" s="28"/>
      <c r="AL1534" s="12"/>
      <c r="AM1534" s="12"/>
      <c r="AN1534" s="12"/>
      <c r="AO1534" s="12"/>
      <c r="AP1534" s="12"/>
      <c r="AQ1534" s="13"/>
      <c r="AR1534" s="14"/>
    </row>
    <row r="1535" spans="1:44" s="16" customFormat="1" ht="30.95" customHeight="1" x14ac:dyDescent="0.2">
      <c r="A1535" s="303"/>
      <c r="B1535" s="304"/>
      <c r="C1535" s="305"/>
      <c r="D1535" s="29"/>
      <c r="E1535" s="29"/>
      <c r="F1535" s="255" t="str">
        <f>IF(D1535="","",VLOOKUP(D1535,契約台帳!$A$3:$K$4986,6,FALSE)&amp;VLOOKUP(D1535,契約台帳!$A$3:$K$4986,7,FALSE)&amp;VLOOKUP(D1535,契約台帳!$A$3:$K$4986,8,FALSE)&amp;VLOOKUP(D1535,契約台帳!$A$3:$K$4986,9,FALSE)&amp;VLOOKUP(D1535,契約台帳!$A$3:$K$4986,11,FALSE))</f>
        <v/>
      </c>
      <c r="G1535" s="256" t="str">
        <f>IF(D1535="","",VLOOKUP(F1535,製品マスタ!$G$5:$H$4999,2,FALSE))</f>
        <v/>
      </c>
      <c r="H1535" s="256" t="str">
        <f>IF(D1535="","",VLOOKUP(F1535,製品マスタ!$G$5:$K$4999,5,FALSE))</f>
        <v/>
      </c>
      <c r="I1535" s="200" t="str">
        <f>IF(D1535="","",VLOOKUP(F1535,製品マスタ!$G$5:$L$4999,6,FALSE))</f>
        <v/>
      </c>
      <c r="J1535" s="30" t="s">
        <v>447</v>
      </c>
      <c r="K1535" s="200" t="str">
        <f>IF(D1535="","",VLOOKUP(D1535,契約台帳!$A$3:$L$4986,12,FALSE))</f>
        <v/>
      </c>
      <c r="L1535" s="200" t="str">
        <f>IF(D1535="","",INDEX(製品マスタ!$Q$5:$Q$4999,MATCH(F1535&amp;K1535,製品マスタ!$AO$5:$AO$4999,0)))</f>
        <v/>
      </c>
      <c r="M1535" s="37"/>
      <c r="N1535" s="37"/>
      <c r="O1535" s="45"/>
      <c r="P1535" s="54"/>
      <c r="Q1535" s="260" t="str">
        <f>IF(D1535="","",IF(J1535="リード付け",M1535,VLOOKUP(D1535,契約台帳!$A$3:$N$4986,14,FALSE)))</f>
        <v/>
      </c>
      <c r="R1535" s="261" t="str">
        <f>IF(D1535="","",IF(J1535="リード付け",M1535,VLOOKUP(D1535,契約台帳!$A$3:$O$4986,15,FALSE)))</f>
        <v/>
      </c>
      <c r="S1535" s="261" t="str">
        <f>IF(D1535="","",IF(J1535="リード付け",N1535,VLOOKUP(D1535,契約台帳!$A$3:$P$4986,16,FALSE)))</f>
        <v/>
      </c>
      <c r="T1535" s="38"/>
      <c r="U1535" s="261" t="str">
        <f ca="1">IF(D1535="","",IF(OFFSET(D1535,-2,0)=D1535,"",VLOOKUP(D1535,契約台帳!$A$3:$R$4986,18,FALSE)))</f>
        <v/>
      </c>
      <c r="V1535" s="256" t="e">
        <f>IF(J1535="巻返し",VLOOKUP(F1535&amp;K1535&amp;M1535,製品マスタ!$M$5:$AD$4999,18,FALSE),IF(J1535="リード付け","原反コア",IF(J1535="スリット",VLOOKUP(F1535&amp;K1535&amp;Q1535,製品マスタ!$N$5:$AD$4999,17,FALSE),"")))</f>
        <v>#N/A</v>
      </c>
      <c r="W1535" s="256" t="e">
        <f>IF(J1535="巻返し",VLOOKUP(F1535&amp;K1535&amp;M1535,製品マスタ!$M$5:$AE$4999,19,FALSE),IF(J1535="リード付け","-",IF(J1535="スリット",VLOOKUP(F1535&amp;K1535&amp;Q1535,製品マスタ!$N$5:$AE$4999,18,FALSE),"")))</f>
        <v>#N/A</v>
      </c>
      <c r="X1535" s="256" t="str">
        <f>IF(D1535="","",VLOOKUP(D1535,契約台帳!$A$3:$Q$4986,17,FALSE))</f>
        <v/>
      </c>
      <c r="Y1535" s="256" t="str">
        <f>IF(D1535="","",VLOOKUP(D1535,契約台帳!$A$3:$E$4986,5,FALSE))</f>
        <v/>
      </c>
      <c r="Z1535" s="310"/>
      <c r="AA1535" s="200"/>
      <c r="AB1535" s="312"/>
      <c r="AC1535" s="313"/>
      <c r="AD1535" s="51" t="str">
        <f t="shared" si="93"/>
        <v/>
      </c>
      <c r="AE1535" s="52">
        <f t="shared" si="94"/>
        <v>0</v>
      </c>
      <c r="AF1535" s="41" t="str">
        <f>IF(AD1535="","",VLOOKUP(AD1535,原価マスタ!$A$2:$AJ$1693,13,FALSE))</f>
        <v/>
      </c>
      <c r="AG1535" s="45" t="str">
        <f t="shared" si="95"/>
        <v/>
      </c>
      <c r="AH1535" s="28"/>
      <c r="AI1535" s="28"/>
      <c r="AJ1535" s="28"/>
      <c r="AK1535" s="28"/>
      <c r="AL1535" s="12"/>
      <c r="AM1535" s="12"/>
      <c r="AN1535" s="12"/>
      <c r="AO1535" s="12"/>
      <c r="AP1535" s="12"/>
      <c r="AQ1535" s="13"/>
      <c r="AR1535" s="14"/>
    </row>
    <row r="1536" spans="1:44" s="16" customFormat="1" ht="30.95" customHeight="1" x14ac:dyDescent="0.2">
      <c r="A1536" s="303"/>
      <c r="B1536" s="304"/>
      <c r="C1536" s="305"/>
      <c r="D1536" s="29"/>
      <c r="E1536" s="29"/>
      <c r="F1536" s="255" t="str">
        <f>IF(D1536="","",VLOOKUP(D1536,契約台帳!$A$3:$K$4986,6,FALSE)&amp;VLOOKUP(D1536,契約台帳!$A$3:$K$4986,7,FALSE)&amp;VLOOKUP(D1536,契約台帳!$A$3:$K$4986,8,FALSE)&amp;VLOOKUP(D1536,契約台帳!$A$3:$K$4986,9,FALSE)&amp;VLOOKUP(D1536,契約台帳!$A$3:$K$4986,11,FALSE))</f>
        <v/>
      </c>
      <c r="G1536" s="256" t="str">
        <f>IF(D1536="","",VLOOKUP(F1536,製品マスタ!$G$5:$H$4999,2,FALSE))</f>
        <v/>
      </c>
      <c r="H1536" s="256" t="str">
        <f>IF(D1536="","",VLOOKUP(F1536,製品マスタ!$G$5:$K$4999,5,FALSE))</f>
        <v/>
      </c>
      <c r="I1536" s="200" t="str">
        <f>IF(D1536="","",VLOOKUP(F1536,製品マスタ!$G$5:$L$4999,6,FALSE))</f>
        <v/>
      </c>
      <c r="J1536" s="30" t="s">
        <v>447</v>
      </c>
      <c r="K1536" s="200" t="str">
        <f>IF(D1536="","",VLOOKUP(D1536,契約台帳!$A$3:$L$4986,12,FALSE))</f>
        <v/>
      </c>
      <c r="L1536" s="200" t="str">
        <f>IF(D1536="","",INDEX(製品マスタ!$Q$5:$Q$4999,MATCH(F1536&amp;K1536,製品マスタ!$AO$5:$AO$4999,0)))</f>
        <v/>
      </c>
      <c r="M1536" s="37"/>
      <c r="N1536" s="37"/>
      <c r="O1536" s="45"/>
      <c r="P1536" s="54"/>
      <c r="Q1536" s="260" t="str">
        <f>IF(D1536="","",IF(J1536="リード付け",M1536,VLOOKUP(D1536,契約台帳!$A$3:$N$4986,14,FALSE)))</f>
        <v/>
      </c>
      <c r="R1536" s="261" t="str">
        <f>IF(D1536="","",IF(J1536="リード付け",M1536,VLOOKUP(D1536,契約台帳!$A$3:$O$4986,15,FALSE)))</f>
        <v/>
      </c>
      <c r="S1536" s="261" t="str">
        <f>IF(D1536="","",IF(J1536="リード付け",N1536,VLOOKUP(D1536,契約台帳!$A$3:$P$4986,16,FALSE)))</f>
        <v/>
      </c>
      <c r="T1536" s="38"/>
      <c r="U1536" s="261" t="str">
        <f ca="1">IF(D1536="","",IF(OFFSET(D1536,-2,0)=D1536,"",VLOOKUP(D1536,契約台帳!$A$3:$R$4986,18,FALSE)))</f>
        <v/>
      </c>
      <c r="V1536" s="256" t="e">
        <f>IF(J1536="巻返し",VLOOKUP(F1536&amp;K1536&amp;M1536,製品マスタ!$M$5:$AD$4999,18,FALSE),IF(J1536="リード付け","原反コア",IF(J1536="スリット",VLOOKUP(F1536&amp;K1536&amp;Q1536,製品マスタ!$N$5:$AD$4999,17,FALSE),"")))</f>
        <v>#N/A</v>
      </c>
      <c r="W1536" s="256" t="e">
        <f>IF(J1536="巻返し",VLOOKUP(F1536&amp;K1536&amp;M1536,製品マスタ!$M$5:$AE$4999,19,FALSE),IF(J1536="リード付け","-",IF(J1536="スリット",VLOOKUP(F1536&amp;K1536&amp;Q1536,製品マスタ!$N$5:$AE$4999,18,FALSE),"")))</f>
        <v>#N/A</v>
      </c>
      <c r="X1536" s="256" t="str">
        <f>IF(D1536="","",VLOOKUP(D1536,契約台帳!$A$3:$Q$4986,17,FALSE))</f>
        <v/>
      </c>
      <c r="Y1536" s="256" t="str">
        <f>IF(D1536="","",VLOOKUP(D1536,契約台帳!$A$3:$E$4986,5,FALSE))</f>
        <v/>
      </c>
      <c r="Z1536" s="310"/>
      <c r="AA1536" s="200"/>
      <c r="AB1536" s="312"/>
      <c r="AC1536" s="313"/>
      <c r="AD1536" s="51" t="str">
        <f t="shared" si="93"/>
        <v/>
      </c>
      <c r="AE1536" s="52">
        <f t="shared" si="94"/>
        <v>0</v>
      </c>
      <c r="AF1536" s="41" t="str">
        <f>IF(AD1536="","",VLOOKUP(AD1536,原価マスタ!$A$2:$AJ$1693,13,FALSE))</f>
        <v/>
      </c>
      <c r="AG1536" s="45" t="str">
        <f t="shared" si="95"/>
        <v/>
      </c>
      <c r="AH1536" s="28"/>
      <c r="AI1536" s="28"/>
      <c r="AJ1536" s="28"/>
      <c r="AK1536" s="28"/>
      <c r="AL1536" s="12"/>
      <c r="AM1536" s="12"/>
      <c r="AN1536" s="12"/>
      <c r="AO1536" s="12"/>
      <c r="AP1536" s="12"/>
      <c r="AQ1536" s="13"/>
      <c r="AR1536" s="14"/>
    </row>
    <row r="1537" spans="1:44" s="16" customFormat="1" ht="30.95" customHeight="1" x14ac:dyDescent="0.2">
      <c r="A1537" s="303"/>
      <c r="B1537" s="304"/>
      <c r="C1537" s="305"/>
      <c r="D1537" s="29"/>
      <c r="E1537" s="29"/>
      <c r="F1537" s="255" t="str">
        <f>IF(D1537="","",VLOOKUP(D1537,契約台帳!$A$3:$K$4986,6,FALSE)&amp;VLOOKUP(D1537,契約台帳!$A$3:$K$4986,7,FALSE)&amp;VLOOKUP(D1537,契約台帳!$A$3:$K$4986,8,FALSE)&amp;VLOOKUP(D1537,契約台帳!$A$3:$K$4986,9,FALSE)&amp;VLOOKUP(D1537,契約台帳!$A$3:$K$4986,11,FALSE))</f>
        <v/>
      </c>
      <c r="G1537" s="256" t="str">
        <f>IF(D1537="","",VLOOKUP(F1537,製品マスタ!$G$5:$H$4999,2,FALSE))</f>
        <v/>
      </c>
      <c r="H1537" s="256" t="str">
        <f>IF(D1537="","",VLOOKUP(F1537,製品マスタ!$G$5:$K$4999,5,FALSE))</f>
        <v/>
      </c>
      <c r="I1537" s="200" t="str">
        <f>IF(D1537="","",VLOOKUP(F1537,製品マスタ!$G$5:$L$4999,6,FALSE))</f>
        <v/>
      </c>
      <c r="J1537" s="30" t="s">
        <v>447</v>
      </c>
      <c r="K1537" s="200" t="str">
        <f>IF(D1537="","",VLOOKUP(D1537,契約台帳!$A$3:$L$4986,12,FALSE))</f>
        <v/>
      </c>
      <c r="L1537" s="200" t="str">
        <f>IF(D1537="","",INDEX(製品マスタ!$Q$5:$Q$4999,MATCH(F1537&amp;K1537,製品マスタ!$AO$5:$AO$4999,0)))</f>
        <v/>
      </c>
      <c r="M1537" s="37"/>
      <c r="N1537" s="37"/>
      <c r="O1537" s="45"/>
      <c r="P1537" s="54"/>
      <c r="Q1537" s="260" t="str">
        <f>IF(D1537="","",IF(J1537="リード付け",M1537,VLOOKUP(D1537,契約台帳!$A$3:$N$4986,14,FALSE)))</f>
        <v/>
      </c>
      <c r="R1537" s="261" t="str">
        <f>IF(D1537="","",IF(J1537="リード付け",M1537,VLOOKUP(D1537,契約台帳!$A$3:$O$4986,15,FALSE)))</f>
        <v/>
      </c>
      <c r="S1537" s="261" t="str">
        <f>IF(D1537="","",IF(J1537="リード付け",N1537,VLOOKUP(D1537,契約台帳!$A$3:$P$4986,16,FALSE)))</f>
        <v/>
      </c>
      <c r="T1537" s="38"/>
      <c r="U1537" s="261" t="str">
        <f ca="1">IF(D1537="","",IF(OFFSET(D1537,-2,0)=D1537,"",VLOOKUP(D1537,契約台帳!$A$3:$R$4986,18,FALSE)))</f>
        <v/>
      </c>
      <c r="V1537" s="256" t="e">
        <f>IF(J1537="巻返し",VLOOKUP(F1537&amp;K1537&amp;M1537,製品マスタ!$M$5:$AD$4999,18,FALSE),IF(J1537="リード付け","原反コア",IF(J1537="スリット",VLOOKUP(F1537&amp;K1537&amp;Q1537,製品マスタ!$N$5:$AD$4999,17,FALSE),"")))</f>
        <v>#N/A</v>
      </c>
      <c r="W1537" s="256" t="e">
        <f>IF(J1537="巻返し",VLOOKUP(F1537&amp;K1537&amp;M1537,製品マスタ!$M$5:$AE$4999,19,FALSE),IF(J1537="リード付け","-",IF(J1537="スリット",VLOOKUP(F1537&amp;K1537&amp;Q1537,製品マスタ!$N$5:$AE$4999,18,FALSE),"")))</f>
        <v>#N/A</v>
      </c>
      <c r="X1537" s="256" t="str">
        <f>IF(D1537="","",VLOOKUP(D1537,契約台帳!$A$3:$Q$4986,17,FALSE))</f>
        <v/>
      </c>
      <c r="Y1537" s="256" t="str">
        <f>IF(D1537="","",VLOOKUP(D1537,契約台帳!$A$3:$E$4986,5,FALSE))</f>
        <v/>
      </c>
      <c r="Z1537" s="310"/>
      <c r="AA1537" s="200"/>
      <c r="AB1537" s="312"/>
      <c r="AC1537" s="313"/>
      <c r="AD1537" s="51" t="str">
        <f t="shared" si="93"/>
        <v/>
      </c>
      <c r="AE1537" s="52">
        <f t="shared" si="94"/>
        <v>0</v>
      </c>
      <c r="AF1537" s="41" t="str">
        <f>IF(AD1537="","",VLOOKUP(AD1537,原価マスタ!$A$2:$AJ$1693,13,FALSE))</f>
        <v/>
      </c>
      <c r="AG1537" s="45" t="str">
        <f t="shared" si="95"/>
        <v/>
      </c>
      <c r="AH1537" s="28"/>
      <c r="AI1537" s="28"/>
      <c r="AJ1537" s="28"/>
      <c r="AK1537" s="28"/>
      <c r="AL1537" s="12"/>
      <c r="AM1537" s="12"/>
      <c r="AN1537" s="12"/>
      <c r="AO1537" s="12"/>
      <c r="AP1537" s="12"/>
      <c r="AQ1537" s="13"/>
      <c r="AR1537" s="14"/>
    </row>
    <row r="1538" spans="1:44" s="16" customFormat="1" ht="30.95" customHeight="1" x14ac:dyDescent="0.2">
      <c r="A1538" s="303"/>
      <c r="B1538" s="304"/>
      <c r="C1538" s="305"/>
      <c r="D1538" s="29"/>
      <c r="E1538" s="29"/>
      <c r="F1538" s="255" t="str">
        <f>IF(D1538="","",VLOOKUP(D1538,契約台帳!$A$3:$K$4986,6,FALSE)&amp;VLOOKUP(D1538,契約台帳!$A$3:$K$4986,7,FALSE)&amp;VLOOKUP(D1538,契約台帳!$A$3:$K$4986,8,FALSE)&amp;VLOOKUP(D1538,契約台帳!$A$3:$K$4986,9,FALSE)&amp;VLOOKUP(D1538,契約台帳!$A$3:$K$4986,11,FALSE))</f>
        <v/>
      </c>
      <c r="G1538" s="256" t="str">
        <f>IF(D1538="","",VLOOKUP(F1538,製品マスタ!$G$5:$H$4999,2,FALSE))</f>
        <v/>
      </c>
      <c r="H1538" s="256" t="str">
        <f>IF(D1538="","",VLOOKUP(F1538,製品マスタ!$G$5:$K$4999,5,FALSE))</f>
        <v/>
      </c>
      <c r="I1538" s="200" t="str">
        <f>IF(D1538="","",VLOOKUP(F1538,製品マスタ!$G$5:$L$4999,6,FALSE))</f>
        <v/>
      </c>
      <c r="J1538" s="30" t="s">
        <v>447</v>
      </c>
      <c r="K1538" s="200" t="str">
        <f>IF(D1538="","",VLOOKUP(D1538,契約台帳!$A$3:$L$4986,12,FALSE))</f>
        <v/>
      </c>
      <c r="L1538" s="200" t="str">
        <f>IF(D1538="","",INDEX(製品マスタ!$Q$5:$Q$4999,MATCH(F1538&amp;K1538,製品マスタ!$AO$5:$AO$4999,0)))</f>
        <v/>
      </c>
      <c r="M1538" s="37"/>
      <c r="N1538" s="37"/>
      <c r="O1538" s="45"/>
      <c r="P1538" s="54"/>
      <c r="Q1538" s="260" t="str">
        <f>IF(D1538="","",IF(J1538="リード付け",M1538,VLOOKUP(D1538,契約台帳!$A$3:$N$4986,14,FALSE)))</f>
        <v/>
      </c>
      <c r="R1538" s="261" t="str">
        <f>IF(D1538="","",IF(J1538="リード付け",M1538,VLOOKUP(D1538,契約台帳!$A$3:$O$4986,15,FALSE)))</f>
        <v/>
      </c>
      <c r="S1538" s="261" t="str">
        <f>IF(D1538="","",IF(J1538="リード付け",N1538,VLOOKUP(D1538,契約台帳!$A$3:$P$4986,16,FALSE)))</f>
        <v/>
      </c>
      <c r="T1538" s="38"/>
      <c r="U1538" s="261" t="str">
        <f ca="1">IF(D1538="","",IF(OFFSET(D1538,-2,0)=D1538,"",VLOOKUP(D1538,契約台帳!$A$3:$R$4986,18,FALSE)))</f>
        <v/>
      </c>
      <c r="V1538" s="256" t="e">
        <f>IF(J1538="巻返し",VLOOKUP(F1538&amp;K1538&amp;M1538,製品マスタ!$M$5:$AD$4999,18,FALSE),IF(J1538="リード付け","原反コア",IF(J1538="スリット",VLOOKUP(F1538&amp;K1538&amp;Q1538,製品マスタ!$N$5:$AD$4999,17,FALSE),"")))</f>
        <v>#N/A</v>
      </c>
      <c r="W1538" s="256" t="e">
        <f>IF(J1538="巻返し",VLOOKUP(F1538&amp;K1538&amp;M1538,製品マスタ!$M$5:$AE$4999,19,FALSE),IF(J1538="リード付け","-",IF(J1538="スリット",VLOOKUP(F1538&amp;K1538&amp;Q1538,製品マスタ!$N$5:$AE$4999,18,FALSE),"")))</f>
        <v>#N/A</v>
      </c>
      <c r="X1538" s="256" t="str">
        <f>IF(D1538="","",VLOOKUP(D1538,契約台帳!$A$3:$Q$4986,17,FALSE))</f>
        <v/>
      </c>
      <c r="Y1538" s="256" t="str">
        <f>IF(D1538="","",VLOOKUP(D1538,契約台帳!$A$3:$E$4986,5,FALSE))</f>
        <v/>
      </c>
      <c r="Z1538" s="310"/>
      <c r="AA1538" s="200"/>
      <c r="AB1538" s="312"/>
      <c r="AC1538" s="313"/>
      <c r="AD1538" s="51" t="str">
        <f t="shared" si="93"/>
        <v/>
      </c>
      <c r="AE1538" s="52">
        <f t="shared" si="94"/>
        <v>0</v>
      </c>
      <c r="AF1538" s="41" t="str">
        <f>IF(AD1538="","",VLOOKUP(AD1538,原価マスタ!$A$2:$AJ$1693,13,FALSE))</f>
        <v/>
      </c>
      <c r="AG1538" s="45" t="str">
        <f t="shared" si="95"/>
        <v/>
      </c>
      <c r="AH1538" s="28"/>
      <c r="AI1538" s="28"/>
      <c r="AJ1538" s="28"/>
      <c r="AK1538" s="28"/>
      <c r="AL1538" s="12"/>
      <c r="AM1538" s="12"/>
      <c r="AN1538" s="12"/>
      <c r="AO1538" s="12"/>
      <c r="AP1538" s="12"/>
      <c r="AQ1538" s="13"/>
      <c r="AR1538" s="14"/>
    </row>
    <row r="1539" spans="1:44" s="16" customFormat="1" ht="30.95" customHeight="1" x14ac:dyDescent="0.2">
      <c r="A1539" s="303"/>
      <c r="B1539" s="304"/>
      <c r="C1539" s="305"/>
      <c r="D1539" s="29"/>
      <c r="E1539" s="29"/>
      <c r="F1539" s="255" t="str">
        <f>IF(D1539="","",VLOOKUP(D1539,契約台帳!$A$3:$K$4986,6,FALSE)&amp;VLOOKUP(D1539,契約台帳!$A$3:$K$4986,7,FALSE)&amp;VLOOKUP(D1539,契約台帳!$A$3:$K$4986,8,FALSE)&amp;VLOOKUP(D1539,契約台帳!$A$3:$K$4986,9,FALSE)&amp;VLOOKUP(D1539,契約台帳!$A$3:$K$4986,11,FALSE))</f>
        <v/>
      </c>
      <c r="G1539" s="256" t="str">
        <f>IF(D1539="","",VLOOKUP(F1539,製品マスタ!$G$5:$H$4999,2,FALSE))</f>
        <v/>
      </c>
      <c r="H1539" s="256" t="str">
        <f>IF(D1539="","",VLOOKUP(F1539,製品マスタ!$G$5:$K$4999,5,FALSE))</f>
        <v/>
      </c>
      <c r="I1539" s="200" t="str">
        <f>IF(D1539="","",VLOOKUP(F1539,製品マスタ!$G$5:$L$4999,6,FALSE))</f>
        <v/>
      </c>
      <c r="J1539" s="30" t="s">
        <v>447</v>
      </c>
      <c r="K1539" s="200" t="str">
        <f>IF(D1539="","",VLOOKUP(D1539,契約台帳!$A$3:$L$4986,12,FALSE))</f>
        <v/>
      </c>
      <c r="L1539" s="200" t="str">
        <f>IF(D1539="","",INDEX(製品マスタ!$Q$5:$Q$4999,MATCH(F1539&amp;K1539,製品マスタ!$AO$5:$AO$4999,0)))</f>
        <v/>
      </c>
      <c r="M1539" s="37"/>
      <c r="N1539" s="37"/>
      <c r="O1539" s="45"/>
      <c r="P1539" s="54"/>
      <c r="Q1539" s="260" t="str">
        <f>IF(D1539="","",IF(J1539="リード付け",M1539,VLOOKUP(D1539,契約台帳!$A$3:$N$4986,14,FALSE)))</f>
        <v/>
      </c>
      <c r="R1539" s="261" t="str">
        <f>IF(D1539="","",IF(J1539="リード付け",M1539,VLOOKUP(D1539,契約台帳!$A$3:$O$4986,15,FALSE)))</f>
        <v/>
      </c>
      <c r="S1539" s="261" t="str">
        <f>IF(D1539="","",IF(J1539="リード付け",N1539,VLOOKUP(D1539,契約台帳!$A$3:$P$4986,16,FALSE)))</f>
        <v/>
      </c>
      <c r="T1539" s="38"/>
      <c r="U1539" s="261" t="str">
        <f ca="1">IF(D1539="","",IF(OFFSET(D1539,-2,0)=D1539,"",VLOOKUP(D1539,契約台帳!$A$3:$R$4986,18,FALSE)))</f>
        <v/>
      </c>
      <c r="V1539" s="256" t="e">
        <f>IF(J1539="巻返し",VLOOKUP(F1539&amp;K1539&amp;M1539,製品マスタ!$M$5:$AD$4999,18,FALSE),IF(J1539="リード付け","原反コア",IF(J1539="スリット",VLOOKUP(F1539&amp;K1539&amp;Q1539,製品マスタ!$N$5:$AD$4999,17,FALSE),"")))</f>
        <v>#N/A</v>
      </c>
      <c r="W1539" s="256" t="e">
        <f>IF(J1539="巻返し",VLOOKUP(F1539&amp;K1539&amp;M1539,製品マスタ!$M$5:$AE$4999,19,FALSE),IF(J1539="リード付け","-",IF(J1539="スリット",VLOOKUP(F1539&amp;K1539&amp;Q1539,製品マスタ!$N$5:$AE$4999,18,FALSE),"")))</f>
        <v>#N/A</v>
      </c>
      <c r="X1539" s="256" t="str">
        <f>IF(D1539="","",VLOOKUP(D1539,契約台帳!$A$3:$Q$4986,17,FALSE))</f>
        <v/>
      </c>
      <c r="Y1539" s="256" t="str">
        <f>IF(D1539="","",VLOOKUP(D1539,契約台帳!$A$3:$E$4986,5,FALSE))</f>
        <v/>
      </c>
      <c r="Z1539" s="310"/>
      <c r="AA1539" s="200"/>
      <c r="AB1539" s="312"/>
      <c r="AC1539" s="313"/>
      <c r="AD1539" s="51" t="str">
        <f t="shared" si="93"/>
        <v/>
      </c>
      <c r="AE1539" s="52">
        <f t="shared" si="94"/>
        <v>0</v>
      </c>
      <c r="AF1539" s="41" t="str">
        <f>IF(AD1539="","",VLOOKUP(AD1539,原価マスタ!$A$2:$AJ$1693,13,FALSE))</f>
        <v/>
      </c>
      <c r="AG1539" s="45" t="str">
        <f t="shared" si="95"/>
        <v/>
      </c>
      <c r="AH1539" s="28"/>
      <c r="AI1539" s="28"/>
      <c r="AJ1539" s="28"/>
      <c r="AK1539" s="28"/>
      <c r="AL1539" s="12"/>
      <c r="AM1539" s="12"/>
      <c r="AN1539" s="12"/>
      <c r="AO1539" s="12"/>
      <c r="AP1539" s="12"/>
      <c r="AQ1539" s="13"/>
      <c r="AR1539" s="14"/>
    </row>
    <row r="1540" spans="1:44" s="16" customFormat="1" ht="30.95" customHeight="1" x14ac:dyDescent="0.2">
      <c r="A1540" s="303"/>
      <c r="B1540" s="304"/>
      <c r="C1540" s="305"/>
      <c r="D1540" s="29"/>
      <c r="E1540" s="29"/>
      <c r="F1540" s="255" t="str">
        <f>IF(D1540="","",VLOOKUP(D1540,契約台帳!$A$3:$K$4986,6,FALSE)&amp;VLOOKUP(D1540,契約台帳!$A$3:$K$4986,7,FALSE)&amp;VLOOKUP(D1540,契約台帳!$A$3:$K$4986,8,FALSE)&amp;VLOOKUP(D1540,契約台帳!$A$3:$K$4986,9,FALSE)&amp;VLOOKUP(D1540,契約台帳!$A$3:$K$4986,11,FALSE))</f>
        <v/>
      </c>
      <c r="G1540" s="256" t="str">
        <f>IF(D1540="","",VLOOKUP(F1540,製品マスタ!$G$5:$H$4999,2,FALSE))</f>
        <v/>
      </c>
      <c r="H1540" s="256" t="str">
        <f>IF(D1540="","",VLOOKUP(F1540,製品マスタ!$G$5:$K$4999,5,FALSE))</f>
        <v/>
      </c>
      <c r="I1540" s="200" t="str">
        <f>IF(D1540="","",VLOOKUP(F1540,製品マスタ!$G$5:$L$4999,6,FALSE))</f>
        <v/>
      </c>
      <c r="J1540" s="30" t="s">
        <v>447</v>
      </c>
      <c r="K1540" s="200" t="str">
        <f>IF(D1540="","",VLOOKUP(D1540,契約台帳!$A$3:$L$4986,12,FALSE))</f>
        <v/>
      </c>
      <c r="L1540" s="200" t="str">
        <f>IF(D1540="","",INDEX(製品マスタ!$Q$5:$Q$4999,MATCH(F1540&amp;K1540,製品マスタ!$AO$5:$AO$4999,0)))</f>
        <v/>
      </c>
      <c r="M1540" s="37"/>
      <c r="N1540" s="37"/>
      <c r="O1540" s="45"/>
      <c r="P1540" s="54"/>
      <c r="Q1540" s="260" t="str">
        <f>IF(D1540="","",IF(J1540="リード付け",M1540,VLOOKUP(D1540,契約台帳!$A$3:$N$4986,14,FALSE)))</f>
        <v/>
      </c>
      <c r="R1540" s="261" t="str">
        <f>IF(D1540="","",IF(J1540="リード付け",M1540,VLOOKUP(D1540,契約台帳!$A$3:$O$4986,15,FALSE)))</f>
        <v/>
      </c>
      <c r="S1540" s="261" t="str">
        <f>IF(D1540="","",IF(J1540="リード付け",N1540,VLOOKUP(D1540,契約台帳!$A$3:$P$4986,16,FALSE)))</f>
        <v/>
      </c>
      <c r="T1540" s="38"/>
      <c r="U1540" s="261" t="str">
        <f ca="1">IF(D1540="","",IF(OFFSET(D1540,-2,0)=D1540,"",VLOOKUP(D1540,契約台帳!$A$3:$R$4986,18,FALSE)))</f>
        <v/>
      </c>
      <c r="V1540" s="256" t="e">
        <f>IF(J1540="巻返し",VLOOKUP(F1540&amp;K1540&amp;M1540,製品マスタ!$M$5:$AD$4999,18,FALSE),IF(J1540="リード付け","原反コア",IF(J1540="スリット",VLOOKUP(F1540&amp;K1540&amp;Q1540,製品マスタ!$N$5:$AD$4999,17,FALSE),"")))</f>
        <v>#N/A</v>
      </c>
      <c r="W1540" s="256" t="e">
        <f>IF(J1540="巻返し",VLOOKUP(F1540&amp;K1540&amp;M1540,製品マスタ!$M$5:$AE$4999,19,FALSE),IF(J1540="リード付け","-",IF(J1540="スリット",VLOOKUP(F1540&amp;K1540&amp;Q1540,製品マスタ!$N$5:$AE$4999,18,FALSE),"")))</f>
        <v>#N/A</v>
      </c>
      <c r="X1540" s="256" t="str">
        <f>IF(D1540="","",VLOOKUP(D1540,契約台帳!$A$3:$Q$4986,17,FALSE))</f>
        <v/>
      </c>
      <c r="Y1540" s="256" t="str">
        <f>IF(D1540="","",VLOOKUP(D1540,契約台帳!$A$3:$E$4986,5,FALSE))</f>
        <v/>
      </c>
      <c r="Z1540" s="310"/>
      <c r="AA1540" s="200"/>
      <c r="AB1540" s="312"/>
      <c r="AC1540" s="313"/>
      <c r="AD1540" s="51" t="str">
        <f t="shared" si="93"/>
        <v/>
      </c>
      <c r="AE1540" s="52">
        <f t="shared" si="94"/>
        <v>0</v>
      </c>
      <c r="AF1540" s="41" t="str">
        <f>IF(AD1540="","",VLOOKUP(AD1540,原価マスタ!$A$2:$AJ$1693,13,FALSE))</f>
        <v/>
      </c>
      <c r="AG1540" s="45" t="str">
        <f t="shared" si="95"/>
        <v/>
      </c>
      <c r="AH1540" s="28"/>
      <c r="AI1540" s="28"/>
      <c r="AJ1540" s="28"/>
      <c r="AK1540" s="28"/>
      <c r="AL1540" s="12"/>
      <c r="AM1540" s="12"/>
      <c r="AN1540" s="12"/>
      <c r="AO1540" s="12"/>
      <c r="AP1540" s="12"/>
      <c r="AQ1540" s="13"/>
      <c r="AR1540" s="14"/>
    </row>
    <row r="1541" spans="1:44" s="16" customFormat="1" ht="30.95" customHeight="1" x14ac:dyDescent="0.2">
      <c r="A1541" s="303"/>
      <c r="B1541" s="304"/>
      <c r="C1541" s="305"/>
      <c r="D1541" s="29"/>
      <c r="E1541" s="29"/>
      <c r="F1541" s="255" t="str">
        <f>IF(D1541="","",VLOOKUP(D1541,契約台帳!$A$3:$K$4986,6,FALSE)&amp;VLOOKUP(D1541,契約台帳!$A$3:$K$4986,7,FALSE)&amp;VLOOKUP(D1541,契約台帳!$A$3:$K$4986,8,FALSE)&amp;VLOOKUP(D1541,契約台帳!$A$3:$K$4986,9,FALSE)&amp;VLOOKUP(D1541,契約台帳!$A$3:$K$4986,11,FALSE))</f>
        <v/>
      </c>
      <c r="G1541" s="256" t="str">
        <f>IF(D1541="","",VLOOKUP(F1541,製品マスタ!$G$5:$H$4999,2,FALSE))</f>
        <v/>
      </c>
      <c r="H1541" s="256" t="str">
        <f>IF(D1541="","",VLOOKUP(F1541,製品マスタ!$G$5:$K$4999,5,FALSE))</f>
        <v/>
      </c>
      <c r="I1541" s="200" t="str">
        <f>IF(D1541="","",VLOOKUP(F1541,製品マスタ!$G$5:$L$4999,6,FALSE))</f>
        <v/>
      </c>
      <c r="J1541" s="30" t="s">
        <v>447</v>
      </c>
      <c r="K1541" s="200" t="str">
        <f>IF(D1541="","",VLOOKUP(D1541,契約台帳!$A$3:$L$4986,12,FALSE))</f>
        <v/>
      </c>
      <c r="L1541" s="200" t="str">
        <f>IF(D1541="","",INDEX(製品マスタ!$Q$5:$Q$4999,MATCH(F1541&amp;K1541,製品マスタ!$AO$5:$AO$4999,0)))</f>
        <v/>
      </c>
      <c r="M1541" s="37"/>
      <c r="N1541" s="37"/>
      <c r="O1541" s="45"/>
      <c r="P1541" s="54"/>
      <c r="Q1541" s="260" t="str">
        <f>IF(D1541="","",IF(J1541="リード付け",M1541,VLOOKUP(D1541,契約台帳!$A$3:$N$4986,14,FALSE)))</f>
        <v/>
      </c>
      <c r="R1541" s="261" t="str">
        <f>IF(D1541="","",IF(J1541="リード付け",M1541,VLOOKUP(D1541,契約台帳!$A$3:$O$4986,15,FALSE)))</f>
        <v/>
      </c>
      <c r="S1541" s="261" t="str">
        <f>IF(D1541="","",IF(J1541="リード付け",N1541,VLOOKUP(D1541,契約台帳!$A$3:$P$4986,16,FALSE)))</f>
        <v/>
      </c>
      <c r="T1541" s="38"/>
      <c r="U1541" s="261" t="str">
        <f ca="1">IF(D1541="","",IF(OFFSET(D1541,-2,0)=D1541,"",VLOOKUP(D1541,契約台帳!$A$3:$R$4986,18,FALSE)))</f>
        <v/>
      </c>
      <c r="V1541" s="256" t="e">
        <f>IF(J1541="巻返し",VLOOKUP(F1541&amp;K1541&amp;M1541,製品マスタ!$M$5:$AD$4999,18,FALSE),IF(J1541="リード付け","原反コア",IF(J1541="スリット",VLOOKUP(F1541&amp;K1541&amp;Q1541,製品マスタ!$N$5:$AD$4999,17,FALSE),"")))</f>
        <v>#N/A</v>
      </c>
      <c r="W1541" s="256" t="e">
        <f>IF(J1541="巻返し",VLOOKUP(F1541&amp;K1541&amp;M1541,製品マスタ!$M$5:$AE$4999,19,FALSE),IF(J1541="リード付け","-",IF(J1541="スリット",VLOOKUP(F1541&amp;K1541&amp;Q1541,製品マスタ!$N$5:$AE$4999,18,FALSE),"")))</f>
        <v>#N/A</v>
      </c>
      <c r="X1541" s="256" t="str">
        <f>IF(D1541="","",VLOOKUP(D1541,契約台帳!$A$3:$Q$4986,17,FALSE))</f>
        <v/>
      </c>
      <c r="Y1541" s="256" t="str">
        <f>IF(D1541="","",VLOOKUP(D1541,契約台帳!$A$3:$E$4986,5,FALSE))</f>
        <v/>
      </c>
      <c r="Z1541" s="310"/>
      <c r="AA1541" s="200"/>
      <c r="AB1541" s="312"/>
      <c r="AC1541" s="313"/>
      <c r="AD1541" s="51" t="str">
        <f t="shared" si="93"/>
        <v/>
      </c>
      <c r="AE1541" s="52">
        <f t="shared" si="94"/>
        <v>0</v>
      </c>
      <c r="AF1541" s="41" t="str">
        <f>IF(AD1541="","",VLOOKUP(AD1541,原価マスタ!$A$2:$AJ$1693,13,FALSE))</f>
        <v/>
      </c>
      <c r="AG1541" s="45" t="str">
        <f t="shared" si="95"/>
        <v/>
      </c>
      <c r="AH1541" s="28"/>
      <c r="AI1541" s="28"/>
      <c r="AJ1541" s="28"/>
      <c r="AK1541" s="28"/>
      <c r="AL1541" s="12"/>
      <c r="AM1541" s="12"/>
      <c r="AN1541" s="12"/>
      <c r="AO1541" s="12"/>
      <c r="AP1541" s="12"/>
      <c r="AQ1541" s="13"/>
      <c r="AR1541" s="14"/>
    </row>
    <row r="1542" spans="1:44" s="16" customFormat="1" ht="30.95" customHeight="1" x14ac:dyDescent="0.2">
      <c r="A1542" s="303"/>
      <c r="B1542" s="304"/>
      <c r="C1542" s="305"/>
      <c r="D1542" s="29"/>
      <c r="E1542" s="29"/>
      <c r="F1542" s="255" t="str">
        <f>IF(D1542="","",VLOOKUP(D1542,契約台帳!$A$3:$K$4986,6,FALSE)&amp;VLOOKUP(D1542,契約台帳!$A$3:$K$4986,7,FALSE)&amp;VLOOKUP(D1542,契約台帳!$A$3:$K$4986,8,FALSE)&amp;VLOOKUP(D1542,契約台帳!$A$3:$K$4986,9,FALSE)&amp;VLOOKUP(D1542,契約台帳!$A$3:$K$4986,11,FALSE))</f>
        <v/>
      </c>
      <c r="G1542" s="256" t="str">
        <f>IF(D1542="","",VLOOKUP(F1542,製品マスタ!$G$5:$H$4999,2,FALSE))</f>
        <v/>
      </c>
      <c r="H1542" s="256" t="str">
        <f>IF(D1542="","",VLOOKUP(F1542,製品マスタ!$G$5:$K$4999,5,FALSE))</f>
        <v/>
      </c>
      <c r="I1542" s="200" t="str">
        <f>IF(D1542="","",VLOOKUP(F1542,製品マスタ!$G$5:$L$4999,6,FALSE))</f>
        <v/>
      </c>
      <c r="J1542" s="30" t="s">
        <v>447</v>
      </c>
      <c r="K1542" s="200" t="str">
        <f>IF(D1542="","",VLOOKUP(D1542,契約台帳!$A$3:$L$4986,12,FALSE))</f>
        <v/>
      </c>
      <c r="L1542" s="200" t="str">
        <f>IF(D1542="","",INDEX(製品マスタ!$Q$5:$Q$4999,MATCH(F1542&amp;K1542,製品マスタ!$AO$5:$AO$4999,0)))</f>
        <v/>
      </c>
      <c r="M1542" s="37"/>
      <c r="N1542" s="37"/>
      <c r="O1542" s="45"/>
      <c r="P1542" s="54"/>
      <c r="Q1542" s="260" t="str">
        <f>IF(D1542="","",IF(J1542="リード付け",M1542,VLOOKUP(D1542,契約台帳!$A$3:$N$4986,14,FALSE)))</f>
        <v/>
      </c>
      <c r="R1542" s="261" t="str">
        <f>IF(D1542="","",IF(J1542="リード付け",M1542,VLOOKUP(D1542,契約台帳!$A$3:$O$4986,15,FALSE)))</f>
        <v/>
      </c>
      <c r="S1542" s="261" t="str">
        <f>IF(D1542="","",IF(J1542="リード付け",N1542,VLOOKUP(D1542,契約台帳!$A$3:$P$4986,16,FALSE)))</f>
        <v/>
      </c>
      <c r="T1542" s="38"/>
      <c r="U1542" s="261" t="str">
        <f ca="1">IF(D1542="","",IF(OFFSET(D1542,-2,0)=D1542,"",VLOOKUP(D1542,契約台帳!$A$3:$R$4986,18,FALSE)))</f>
        <v/>
      </c>
      <c r="V1542" s="256" t="e">
        <f>IF(J1542="巻返し",VLOOKUP(F1542&amp;K1542&amp;M1542,製品マスタ!$M$5:$AD$4999,18,FALSE),IF(J1542="リード付け","原反コア",IF(J1542="スリット",VLOOKUP(F1542&amp;K1542&amp;Q1542,製品マスタ!$N$5:$AD$4999,17,FALSE),"")))</f>
        <v>#N/A</v>
      </c>
      <c r="W1542" s="256" t="e">
        <f>IF(J1542="巻返し",VLOOKUP(F1542&amp;K1542&amp;M1542,製品マスタ!$M$5:$AE$4999,19,FALSE),IF(J1542="リード付け","-",IF(J1542="スリット",VLOOKUP(F1542&amp;K1542&amp;Q1542,製品マスタ!$N$5:$AE$4999,18,FALSE),"")))</f>
        <v>#N/A</v>
      </c>
      <c r="X1542" s="256" t="str">
        <f>IF(D1542="","",VLOOKUP(D1542,契約台帳!$A$3:$Q$4986,17,FALSE))</f>
        <v/>
      </c>
      <c r="Y1542" s="256" t="str">
        <f>IF(D1542="","",VLOOKUP(D1542,契約台帳!$A$3:$E$4986,5,FALSE))</f>
        <v/>
      </c>
      <c r="Z1542" s="310"/>
      <c r="AA1542" s="200"/>
      <c r="AB1542" s="312"/>
      <c r="AC1542" s="313"/>
      <c r="AD1542" s="51" t="str">
        <f t="shared" si="93"/>
        <v/>
      </c>
      <c r="AE1542" s="52">
        <f t="shared" si="94"/>
        <v>0</v>
      </c>
      <c r="AF1542" s="41" t="str">
        <f>IF(AD1542="","",VLOOKUP(AD1542,原価マスタ!$A$2:$AJ$1693,13,FALSE))</f>
        <v/>
      </c>
      <c r="AG1542" s="45" t="str">
        <f t="shared" si="95"/>
        <v/>
      </c>
      <c r="AH1542" s="28"/>
      <c r="AI1542" s="28"/>
      <c r="AJ1542" s="28"/>
      <c r="AK1542" s="28"/>
      <c r="AL1542" s="12"/>
      <c r="AM1542" s="12"/>
      <c r="AN1542" s="12"/>
      <c r="AO1542" s="12"/>
      <c r="AP1542" s="12"/>
      <c r="AQ1542" s="13"/>
      <c r="AR1542" s="14"/>
    </row>
    <row r="1543" spans="1:44" s="16" customFormat="1" ht="30.95" customHeight="1" x14ac:dyDescent="0.2">
      <c r="A1543" s="303"/>
      <c r="B1543" s="304"/>
      <c r="C1543" s="305"/>
      <c r="D1543" s="29"/>
      <c r="E1543" s="29"/>
      <c r="F1543" s="255" t="str">
        <f>IF(D1543="","",VLOOKUP(D1543,契約台帳!$A$3:$K$4986,6,FALSE)&amp;VLOOKUP(D1543,契約台帳!$A$3:$K$4986,7,FALSE)&amp;VLOOKUP(D1543,契約台帳!$A$3:$K$4986,8,FALSE)&amp;VLOOKUP(D1543,契約台帳!$A$3:$K$4986,9,FALSE)&amp;VLOOKUP(D1543,契約台帳!$A$3:$K$4986,11,FALSE))</f>
        <v/>
      </c>
      <c r="G1543" s="256" t="str">
        <f>IF(D1543="","",VLOOKUP(F1543,製品マスタ!$G$5:$H$4999,2,FALSE))</f>
        <v/>
      </c>
      <c r="H1543" s="256" t="str">
        <f>IF(D1543="","",VLOOKUP(F1543,製品マスタ!$G$5:$K$4999,5,FALSE))</f>
        <v/>
      </c>
      <c r="I1543" s="200" t="str">
        <f>IF(D1543="","",VLOOKUP(F1543,製品マスタ!$G$5:$L$4999,6,FALSE))</f>
        <v/>
      </c>
      <c r="J1543" s="30" t="s">
        <v>447</v>
      </c>
      <c r="K1543" s="200" t="str">
        <f>IF(D1543="","",VLOOKUP(D1543,契約台帳!$A$3:$L$4986,12,FALSE))</f>
        <v/>
      </c>
      <c r="L1543" s="200" t="str">
        <f>IF(D1543="","",INDEX(製品マスタ!$Q$5:$Q$4999,MATCH(F1543&amp;K1543,製品マスタ!$AO$5:$AO$4999,0)))</f>
        <v/>
      </c>
      <c r="M1543" s="37"/>
      <c r="N1543" s="37"/>
      <c r="O1543" s="45"/>
      <c r="P1543" s="54"/>
      <c r="Q1543" s="260" t="str">
        <f>IF(D1543="","",IF(J1543="リード付け",M1543,VLOOKUP(D1543,契約台帳!$A$3:$N$4986,14,FALSE)))</f>
        <v/>
      </c>
      <c r="R1543" s="261" t="str">
        <f>IF(D1543="","",IF(J1543="リード付け",M1543,VLOOKUP(D1543,契約台帳!$A$3:$O$4986,15,FALSE)))</f>
        <v/>
      </c>
      <c r="S1543" s="261" t="str">
        <f>IF(D1543="","",IF(J1543="リード付け",N1543,VLOOKUP(D1543,契約台帳!$A$3:$P$4986,16,FALSE)))</f>
        <v/>
      </c>
      <c r="T1543" s="38"/>
      <c r="U1543" s="261" t="str">
        <f ca="1">IF(D1543="","",IF(OFFSET(D1543,-2,0)=D1543,"",VLOOKUP(D1543,契約台帳!$A$3:$R$4986,18,FALSE)))</f>
        <v/>
      </c>
      <c r="V1543" s="256" t="e">
        <f>IF(J1543="巻返し",VLOOKUP(F1543&amp;K1543&amp;M1543,製品マスタ!$M$5:$AD$4999,18,FALSE),IF(J1543="リード付け","原反コア",IF(J1543="スリット",VLOOKUP(F1543&amp;K1543&amp;Q1543,製品マスタ!$N$5:$AD$4999,17,FALSE),"")))</f>
        <v>#N/A</v>
      </c>
      <c r="W1543" s="256" t="e">
        <f>IF(J1543="巻返し",VLOOKUP(F1543&amp;K1543&amp;M1543,製品マスタ!$M$5:$AE$4999,19,FALSE),IF(J1543="リード付け","-",IF(J1543="スリット",VLOOKUP(F1543&amp;K1543&amp;Q1543,製品マスタ!$N$5:$AE$4999,18,FALSE),"")))</f>
        <v>#N/A</v>
      </c>
      <c r="X1543" s="256" t="str">
        <f>IF(D1543="","",VLOOKUP(D1543,契約台帳!$A$3:$Q$4986,17,FALSE))</f>
        <v/>
      </c>
      <c r="Y1543" s="256" t="str">
        <f>IF(D1543="","",VLOOKUP(D1543,契約台帳!$A$3:$E$4986,5,FALSE))</f>
        <v/>
      </c>
      <c r="Z1543" s="310"/>
      <c r="AA1543" s="200"/>
      <c r="AB1543" s="312"/>
      <c r="AC1543" s="313"/>
      <c r="AD1543" s="51" t="str">
        <f t="shared" si="93"/>
        <v/>
      </c>
      <c r="AE1543" s="52">
        <f t="shared" si="94"/>
        <v>0</v>
      </c>
      <c r="AF1543" s="41" t="str">
        <f>IF(AD1543="","",VLOOKUP(AD1543,原価マスタ!$A$2:$AJ$1693,13,FALSE))</f>
        <v/>
      </c>
      <c r="AG1543" s="45" t="str">
        <f t="shared" si="95"/>
        <v/>
      </c>
      <c r="AH1543" s="28"/>
      <c r="AI1543" s="28"/>
      <c r="AJ1543" s="28"/>
      <c r="AK1543" s="28"/>
      <c r="AL1543" s="12"/>
      <c r="AM1543" s="12"/>
      <c r="AN1543" s="12"/>
      <c r="AO1543" s="12"/>
      <c r="AP1543" s="12"/>
      <c r="AQ1543" s="13"/>
      <c r="AR1543" s="14"/>
    </row>
    <row r="1544" spans="1:44" s="16" customFormat="1" ht="30.95" customHeight="1" x14ac:dyDescent="0.2">
      <c r="A1544" s="303"/>
      <c r="B1544" s="304"/>
      <c r="C1544" s="305"/>
      <c r="D1544" s="29"/>
      <c r="E1544" s="29"/>
      <c r="F1544" s="255" t="str">
        <f>IF(D1544="","",VLOOKUP(D1544,契約台帳!$A$3:$K$4986,6,FALSE)&amp;VLOOKUP(D1544,契約台帳!$A$3:$K$4986,7,FALSE)&amp;VLOOKUP(D1544,契約台帳!$A$3:$K$4986,8,FALSE)&amp;VLOOKUP(D1544,契約台帳!$A$3:$K$4986,9,FALSE)&amp;VLOOKUP(D1544,契約台帳!$A$3:$K$4986,11,FALSE))</f>
        <v/>
      </c>
      <c r="G1544" s="256" t="str">
        <f>IF(D1544="","",VLOOKUP(F1544,製品マスタ!$G$5:$H$4999,2,FALSE))</f>
        <v/>
      </c>
      <c r="H1544" s="256" t="str">
        <f>IF(D1544="","",VLOOKUP(F1544,製品マスタ!$G$5:$K$4999,5,FALSE))</f>
        <v/>
      </c>
      <c r="I1544" s="200" t="str">
        <f>IF(D1544="","",VLOOKUP(F1544,製品マスタ!$G$5:$L$4999,6,FALSE))</f>
        <v/>
      </c>
      <c r="J1544" s="30" t="s">
        <v>447</v>
      </c>
      <c r="K1544" s="200" t="str">
        <f>IF(D1544="","",VLOOKUP(D1544,契約台帳!$A$3:$L$4986,12,FALSE))</f>
        <v/>
      </c>
      <c r="L1544" s="200" t="str">
        <f>IF(D1544="","",INDEX(製品マスタ!$Q$5:$Q$4999,MATCH(F1544&amp;K1544,製品マスタ!$AO$5:$AO$4999,0)))</f>
        <v/>
      </c>
      <c r="M1544" s="37"/>
      <c r="N1544" s="37"/>
      <c r="O1544" s="45"/>
      <c r="P1544" s="54"/>
      <c r="Q1544" s="260" t="str">
        <f>IF(D1544="","",IF(J1544="リード付け",M1544,VLOOKUP(D1544,契約台帳!$A$3:$N$4986,14,FALSE)))</f>
        <v/>
      </c>
      <c r="R1544" s="261" t="str">
        <f>IF(D1544="","",IF(J1544="リード付け",M1544,VLOOKUP(D1544,契約台帳!$A$3:$O$4986,15,FALSE)))</f>
        <v/>
      </c>
      <c r="S1544" s="261" t="str">
        <f>IF(D1544="","",IF(J1544="リード付け",N1544,VLOOKUP(D1544,契約台帳!$A$3:$P$4986,16,FALSE)))</f>
        <v/>
      </c>
      <c r="T1544" s="38"/>
      <c r="U1544" s="261" t="str">
        <f ca="1">IF(D1544="","",IF(OFFSET(D1544,-2,0)=D1544,"",VLOOKUP(D1544,契約台帳!$A$3:$R$4986,18,FALSE)))</f>
        <v/>
      </c>
      <c r="V1544" s="256" t="e">
        <f>IF(J1544="巻返し",VLOOKUP(F1544&amp;K1544&amp;M1544,製品マスタ!$M$5:$AD$4999,18,FALSE),IF(J1544="リード付け","原反コア",IF(J1544="スリット",VLOOKUP(F1544&amp;K1544&amp;Q1544,製品マスタ!$N$5:$AD$4999,17,FALSE),"")))</f>
        <v>#N/A</v>
      </c>
      <c r="W1544" s="256" t="e">
        <f>IF(J1544="巻返し",VLOOKUP(F1544&amp;K1544&amp;M1544,製品マスタ!$M$5:$AE$4999,19,FALSE),IF(J1544="リード付け","-",IF(J1544="スリット",VLOOKUP(F1544&amp;K1544&amp;Q1544,製品マスタ!$N$5:$AE$4999,18,FALSE),"")))</f>
        <v>#N/A</v>
      </c>
      <c r="X1544" s="256" t="str">
        <f>IF(D1544="","",VLOOKUP(D1544,契約台帳!$A$3:$Q$4986,17,FALSE))</f>
        <v/>
      </c>
      <c r="Y1544" s="256" t="str">
        <f>IF(D1544="","",VLOOKUP(D1544,契約台帳!$A$3:$E$4986,5,FALSE))</f>
        <v/>
      </c>
      <c r="Z1544" s="310"/>
      <c r="AA1544" s="200"/>
      <c r="AB1544" s="312"/>
      <c r="AC1544" s="313"/>
      <c r="AD1544" s="51" t="str">
        <f t="shared" si="93"/>
        <v/>
      </c>
      <c r="AE1544" s="52">
        <f t="shared" si="94"/>
        <v>0</v>
      </c>
      <c r="AF1544" s="41" t="str">
        <f>IF(AD1544="","",VLOOKUP(AD1544,原価マスタ!$A$2:$AJ$1693,13,FALSE))</f>
        <v/>
      </c>
      <c r="AG1544" s="45" t="str">
        <f t="shared" si="95"/>
        <v/>
      </c>
      <c r="AH1544" s="28"/>
      <c r="AI1544" s="28"/>
      <c r="AJ1544" s="28"/>
      <c r="AK1544" s="28"/>
      <c r="AL1544" s="12"/>
      <c r="AM1544" s="12"/>
      <c r="AN1544" s="12"/>
      <c r="AO1544" s="12"/>
      <c r="AP1544" s="12"/>
      <c r="AQ1544" s="13"/>
      <c r="AR1544" s="14"/>
    </row>
    <row r="1545" spans="1:44" s="16" customFormat="1" ht="30.95" customHeight="1" x14ac:dyDescent="0.2">
      <c r="A1545" s="303"/>
      <c r="B1545" s="304"/>
      <c r="C1545" s="305"/>
      <c r="D1545" s="29"/>
      <c r="E1545" s="29"/>
      <c r="F1545" s="255" t="str">
        <f>IF(D1545="","",VLOOKUP(D1545,契約台帳!$A$3:$K$4986,6,FALSE)&amp;VLOOKUP(D1545,契約台帳!$A$3:$K$4986,7,FALSE)&amp;VLOOKUP(D1545,契約台帳!$A$3:$K$4986,8,FALSE)&amp;VLOOKUP(D1545,契約台帳!$A$3:$K$4986,9,FALSE)&amp;VLOOKUP(D1545,契約台帳!$A$3:$K$4986,11,FALSE))</f>
        <v/>
      </c>
      <c r="G1545" s="256" t="str">
        <f>IF(D1545="","",VLOOKUP(F1545,製品マスタ!$G$5:$H$4999,2,FALSE))</f>
        <v/>
      </c>
      <c r="H1545" s="256" t="str">
        <f>IF(D1545="","",VLOOKUP(F1545,製品マスタ!$G$5:$K$4999,5,FALSE))</f>
        <v/>
      </c>
      <c r="I1545" s="200" t="str">
        <f>IF(D1545="","",VLOOKUP(F1545,製品マスタ!$G$5:$L$4999,6,FALSE))</f>
        <v/>
      </c>
      <c r="J1545" s="30" t="s">
        <v>447</v>
      </c>
      <c r="K1545" s="200" t="str">
        <f>IF(D1545="","",VLOOKUP(D1545,契約台帳!$A$3:$L$4986,12,FALSE))</f>
        <v/>
      </c>
      <c r="L1545" s="200" t="str">
        <f>IF(D1545="","",INDEX(製品マスタ!$Q$5:$Q$4999,MATCH(F1545&amp;K1545,製品マスタ!$AO$5:$AO$4999,0)))</f>
        <v/>
      </c>
      <c r="M1545" s="37"/>
      <c r="N1545" s="37"/>
      <c r="O1545" s="45"/>
      <c r="P1545" s="54"/>
      <c r="Q1545" s="260" t="str">
        <f>IF(D1545="","",IF(J1545="リード付け",M1545,VLOOKUP(D1545,契約台帳!$A$3:$N$4986,14,FALSE)))</f>
        <v/>
      </c>
      <c r="R1545" s="261" t="str">
        <f>IF(D1545="","",IF(J1545="リード付け",M1545,VLOOKUP(D1545,契約台帳!$A$3:$O$4986,15,FALSE)))</f>
        <v/>
      </c>
      <c r="S1545" s="261" t="str">
        <f>IF(D1545="","",IF(J1545="リード付け",N1545,VLOOKUP(D1545,契約台帳!$A$3:$P$4986,16,FALSE)))</f>
        <v/>
      </c>
      <c r="T1545" s="38"/>
      <c r="U1545" s="261" t="str">
        <f ca="1">IF(D1545="","",IF(OFFSET(D1545,-2,0)=D1545,"",VLOOKUP(D1545,契約台帳!$A$3:$R$4986,18,FALSE)))</f>
        <v/>
      </c>
      <c r="V1545" s="256" t="e">
        <f>IF(J1545="巻返し",VLOOKUP(F1545&amp;K1545&amp;M1545,製品マスタ!$M$5:$AD$4999,18,FALSE),IF(J1545="リード付け","原反コア",IF(J1545="スリット",VLOOKUP(F1545&amp;K1545&amp;Q1545,製品マスタ!$N$5:$AD$4999,17,FALSE),"")))</f>
        <v>#N/A</v>
      </c>
      <c r="W1545" s="256" t="e">
        <f>IF(J1545="巻返し",VLOOKUP(F1545&amp;K1545&amp;M1545,製品マスタ!$M$5:$AE$4999,19,FALSE),IF(J1545="リード付け","-",IF(J1545="スリット",VLOOKUP(F1545&amp;K1545&amp;Q1545,製品マスタ!$N$5:$AE$4999,18,FALSE),"")))</f>
        <v>#N/A</v>
      </c>
      <c r="X1545" s="256" t="str">
        <f>IF(D1545="","",VLOOKUP(D1545,契約台帳!$A$3:$Q$4986,17,FALSE))</f>
        <v/>
      </c>
      <c r="Y1545" s="256" t="str">
        <f>IF(D1545="","",VLOOKUP(D1545,契約台帳!$A$3:$E$4986,5,FALSE))</f>
        <v/>
      </c>
      <c r="Z1545" s="310"/>
      <c r="AA1545" s="200"/>
      <c r="AB1545" s="312"/>
      <c r="AC1545" s="313"/>
      <c r="AD1545" s="51" t="str">
        <f t="shared" si="93"/>
        <v/>
      </c>
      <c r="AE1545" s="52">
        <f t="shared" si="94"/>
        <v>0</v>
      </c>
      <c r="AF1545" s="41" t="str">
        <f>IF(AD1545="","",VLOOKUP(AD1545,原価マスタ!$A$2:$AJ$1693,13,FALSE))</f>
        <v/>
      </c>
      <c r="AG1545" s="45" t="str">
        <f t="shared" si="95"/>
        <v/>
      </c>
      <c r="AH1545" s="28"/>
      <c r="AI1545" s="28"/>
      <c r="AJ1545" s="28"/>
      <c r="AK1545" s="28"/>
      <c r="AL1545" s="12"/>
      <c r="AM1545" s="12"/>
      <c r="AN1545" s="12"/>
      <c r="AO1545" s="12"/>
      <c r="AP1545" s="12"/>
      <c r="AQ1545" s="13"/>
      <c r="AR1545" s="14"/>
    </row>
    <row r="1546" spans="1:44" s="16" customFormat="1" ht="30.95" customHeight="1" x14ac:dyDescent="0.2">
      <c r="A1546" s="303"/>
      <c r="B1546" s="304"/>
      <c r="C1546" s="305"/>
      <c r="D1546" s="29"/>
      <c r="E1546" s="29"/>
      <c r="F1546" s="255" t="str">
        <f>IF(D1546="","",VLOOKUP(D1546,契約台帳!$A$3:$K$4986,6,FALSE)&amp;VLOOKUP(D1546,契約台帳!$A$3:$K$4986,7,FALSE)&amp;VLOOKUP(D1546,契約台帳!$A$3:$K$4986,8,FALSE)&amp;VLOOKUP(D1546,契約台帳!$A$3:$K$4986,9,FALSE)&amp;VLOOKUP(D1546,契約台帳!$A$3:$K$4986,11,FALSE))</f>
        <v/>
      </c>
      <c r="G1546" s="256" t="str">
        <f>IF(D1546="","",VLOOKUP(F1546,製品マスタ!$G$5:$H$4999,2,FALSE))</f>
        <v/>
      </c>
      <c r="H1546" s="256" t="str">
        <f>IF(D1546="","",VLOOKUP(F1546,製品マスタ!$G$5:$K$4999,5,FALSE))</f>
        <v/>
      </c>
      <c r="I1546" s="200" t="str">
        <f>IF(D1546="","",VLOOKUP(F1546,製品マスタ!$G$5:$L$4999,6,FALSE))</f>
        <v/>
      </c>
      <c r="J1546" s="30" t="s">
        <v>447</v>
      </c>
      <c r="K1546" s="200" t="str">
        <f>IF(D1546="","",VLOOKUP(D1546,契約台帳!$A$3:$L$4986,12,FALSE))</f>
        <v/>
      </c>
      <c r="L1546" s="200" t="str">
        <f>IF(D1546="","",INDEX(製品マスタ!$Q$5:$Q$4999,MATCH(F1546&amp;K1546,製品マスタ!$AO$5:$AO$4999,0)))</f>
        <v/>
      </c>
      <c r="M1546" s="37"/>
      <c r="N1546" s="37"/>
      <c r="O1546" s="45"/>
      <c r="P1546" s="54"/>
      <c r="Q1546" s="260" t="str">
        <f>IF(D1546="","",IF(J1546="リード付け",M1546,VLOOKUP(D1546,契約台帳!$A$3:$N$4986,14,FALSE)))</f>
        <v/>
      </c>
      <c r="R1546" s="261" t="str">
        <f>IF(D1546="","",IF(J1546="リード付け",M1546,VLOOKUP(D1546,契約台帳!$A$3:$O$4986,15,FALSE)))</f>
        <v/>
      </c>
      <c r="S1546" s="261" t="str">
        <f>IF(D1546="","",IF(J1546="リード付け",N1546,VLOOKUP(D1546,契約台帳!$A$3:$P$4986,16,FALSE)))</f>
        <v/>
      </c>
      <c r="T1546" s="38"/>
      <c r="U1546" s="261" t="str">
        <f ca="1">IF(D1546="","",IF(OFFSET(D1546,-2,0)=D1546,"",VLOOKUP(D1546,契約台帳!$A$3:$R$4986,18,FALSE)))</f>
        <v/>
      </c>
      <c r="V1546" s="256" t="e">
        <f>IF(J1546="巻返し",VLOOKUP(F1546&amp;K1546&amp;M1546,製品マスタ!$M$5:$AD$4999,18,FALSE),IF(J1546="リード付け","原反コア",IF(J1546="スリット",VLOOKUP(F1546&amp;K1546&amp;Q1546,製品マスタ!$N$5:$AD$4999,17,FALSE),"")))</f>
        <v>#N/A</v>
      </c>
      <c r="W1546" s="256" t="e">
        <f>IF(J1546="巻返し",VLOOKUP(F1546&amp;K1546&amp;M1546,製品マスタ!$M$5:$AE$4999,19,FALSE),IF(J1546="リード付け","-",IF(J1546="スリット",VLOOKUP(F1546&amp;K1546&amp;Q1546,製品マスタ!$N$5:$AE$4999,18,FALSE),"")))</f>
        <v>#N/A</v>
      </c>
      <c r="X1546" s="256" t="str">
        <f>IF(D1546="","",VLOOKUP(D1546,契約台帳!$A$3:$Q$4986,17,FALSE))</f>
        <v/>
      </c>
      <c r="Y1546" s="256" t="str">
        <f>IF(D1546="","",VLOOKUP(D1546,契約台帳!$A$3:$E$4986,5,FALSE))</f>
        <v/>
      </c>
      <c r="Z1546" s="310"/>
      <c r="AA1546" s="200"/>
      <c r="AB1546" s="312"/>
      <c r="AC1546" s="313"/>
      <c r="AD1546" s="51" t="str">
        <f t="shared" si="93"/>
        <v/>
      </c>
      <c r="AE1546" s="52">
        <f t="shared" si="94"/>
        <v>0</v>
      </c>
      <c r="AF1546" s="41" t="str">
        <f>IF(AD1546="","",VLOOKUP(AD1546,原価マスタ!$A$2:$AJ$1693,13,FALSE))</f>
        <v/>
      </c>
      <c r="AG1546" s="45" t="str">
        <f t="shared" si="95"/>
        <v/>
      </c>
      <c r="AH1546" s="28"/>
      <c r="AI1546" s="28"/>
      <c r="AJ1546" s="28"/>
      <c r="AK1546" s="28"/>
      <c r="AL1546" s="12"/>
      <c r="AM1546" s="12"/>
      <c r="AN1546" s="12"/>
      <c r="AO1546" s="12"/>
      <c r="AP1546" s="12"/>
      <c r="AQ1546" s="13"/>
      <c r="AR1546" s="14"/>
    </row>
    <row r="1547" spans="1:44" s="16" customFormat="1" ht="30.95" customHeight="1" x14ac:dyDescent="0.2">
      <c r="A1547" s="303"/>
      <c r="B1547" s="304"/>
      <c r="C1547" s="305"/>
      <c r="D1547" s="29"/>
      <c r="E1547" s="29"/>
      <c r="F1547" s="255" t="str">
        <f>IF(D1547="","",VLOOKUP(D1547,契約台帳!$A$3:$K$4986,6,FALSE)&amp;VLOOKUP(D1547,契約台帳!$A$3:$K$4986,7,FALSE)&amp;VLOOKUP(D1547,契約台帳!$A$3:$K$4986,8,FALSE)&amp;VLOOKUP(D1547,契約台帳!$A$3:$K$4986,9,FALSE)&amp;VLOOKUP(D1547,契約台帳!$A$3:$K$4986,11,FALSE))</f>
        <v/>
      </c>
      <c r="G1547" s="256" t="str">
        <f>IF(D1547="","",VLOOKUP(F1547,製品マスタ!$G$5:$H$4999,2,FALSE))</f>
        <v/>
      </c>
      <c r="H1547" s="256" t="str">
        <f>IF(D1547="","",VLOOKUP(F1547,製品マスタ!$G$5:$K$4999,5,FALSE))</f>
        <v/>
      </c>
      <c r="I1547" s="200" t="str">
        <f>IF(D1547="","",VLOOKUP(F1547,製品マスタ!$G$5:$L$4999,6,FALSE))</f>
        <v/>
      </c>
      <c r="J1547" s="30" t="s">
        <v>447</v>
      </c>
      <c r="K1547" s="200" t="str">
        <f>IF(D1547="","",VLOOKUP(D1547,契約台帳!$A$3:$L$4986,12,FALSE))</f>
        <v/>
      </c>
      <c r="L1547" s="200" t="str">
        <f>IF(D1547="","",INDEX(製品マスタ!$Q$5:$Q$4999,MATCH(F1547&amp;K1547,製品マスタ!$AO$5:$AO$4999,0)))</f>
        <v/>
      </c>
      <c r="M1547" s="37"/>
      <c r="N1547" s="37"/>
      <c r="O1547" s="45"/>
      <c r="P1547" s="54"/>
      <c r="Q1547" s="260" t="str">
        <f>IF(D1547="","",IF(J1547="リード付け",M1547,VLOOKUP(D1547,契約台帳!$A$3:$N$4986,14,FALSE)))</f>
        <v/>
      </c>
      <c r="R1547" s="261" t="str">
        <f>IF(D1547="","",IF(J1547="リード付け",M1547,VLOOKUP(D1547,契約台帳!$A$3:$O$4986,15,FALSE)))</f>
        <v/>
      </c>
      <c r="S1547" s="261" t="str">
        <f>IF(D1547="","",IF(J1547="リード付け",N1547,VLOOKUP(D1547,契約台帳!$A$3:$P$4986,16,FALSE)))</f>
        <v/>
      </c>
      <c r="T1547" s="38"/>
      <c r="U1547" s="261" t="str">
        <f ca="1">IF(D1547="","",IF(OFFSET(D1547,-2,0)=D1547,"",VLOOKUP(D1547,契約台帳!$A$3:$R$4986,18,FALSE)))</f>
        <v/>
      </c>
      <c r="V1547" s="256" t="e">
        <f>IF(J1547="巻返し",VLOOKUP(F1547&amp;K1547&amp;M1547,製品マスタ!$M$5:$AD$4999,18,FALSE),IF(J1547="リード付け","原反コア",IF(J1547="スリット",VLOOKUP(F1547&amp;K1547&amp;Q1547,製品マスタ!$N$5:$AD$4999,17,FALSE),"")))</f>
        <v>#N/A</v>
      </c>
      <c r="W1547" s="256" t="e">
        <f>IF(J1547="巻返し",VLOOKUP(F1547&amp;K1547&amp;M1547,製品マスタ!$M$5:$AE$4999,19,FALSE),IF(J1547="リード付け","-",IF(J1547="スリット",VLOOKUP(F1547&amp;K1547&amp;Q1547,製品マスタ!$N$5:$AE$4999,18,FALSE),"")))</f>
        <v>#N/A</v>
      </c>
      <c r="X1547" s="256" t="str">
        <f>IF(D1547="","",VLOOKUP(D1547,契約台帳!$A$3:$Q$4986,17,FALSE))</f>
        <v/>
      </c>
      <c r="Y1547" s="256" t="str">
        <f>IF(D1547="","",VLOOKUP(D1547,契約台帳!$A$3:$E$4986,5,FALSE))</f>
        <v/>
      </c>
      <c r="Z1547" s="310"/>
      <c r="AA1547" s="200"/>
      <c r="AB1547" s="312"/>
      <c r="AC1547" s="313"/>
      <c r="AD1547" s="51" t="str">
        <f t="shared" si="93"/>
        <v/>
      </c>
      <c r="AE1547" s="52">
        <f t="shared" si="94"/>
        <v>0</v>
      </c>
      <c r="AF1547" s="41" t="str">
        <f>IF(AD1547="","",VLOOKUP(AD1547,原価マスタ!$A$2:$AJ$1693,13,FALSE))</f>
        <v/>
      </c>
      <c r="AG1547" s="45" t="str">
        <f t="shared" si="95"/>
        <v/>
      </c>
      <c r="AH1547" s="28"/>
      <c r="AI1547" s="28"/>
      <c r="AJ1547" s="28"/>
      <c r="AK1547" s="28"/>
      <c r="AL1547" s="12"/>
      <c r="AM1547" s="12"/>
      <c r="AN1547" s="12"/>
      <c r="AO1547" s="12"/>
      <c r="AP1547" s="12"/>
      <c r="AQ1547" s="13"/>
      <c r="AR1547" s="14"/>
    </row>
    <row r="1548" spans="1:44" s="16" customFormat="1" ht="30.95" customHeight="1" x14ac:dyDescent="0.2">
      <c r="A1548" s="303"/>
      <c r="B1548" s="304"/>
      <c r="C1548" s="305"/>
      <c r="D1548" s="29"/>
      <c r="E1548" s="29"/>
      <c r="F1548" s="255" t="str">
        <f>IF(D1548="","",VLOOKUP(D1548,契約台帳!$A$3:$K$4986,6,FALSE)&amp;VLOOKUP(D1548,契約台帳!$A$3:$K$4986,7,FALSE)&amp;VLOOKUP(D1548,契約台帳!$A$3:$K$4986,8,FALSE)&amp;VLOOKUP(D1548,契約台帳!$A$3:$K$4986,9,FALSE)&amp;VLOOKUP(D1548,契約台帳!$A$3:$K$4986,11,FALSE))</f>
        <v/>
      </c>
      <c r="G1548" s="256" t="str">
        <f>IF(D1548="","",VLOOKUP(F1548,製品マスタ!$G$5:$H$4999,2,FALSE))</f>
        <v/>
      </c>
      <c r="H1548" s="256" t="str">
        <f>IF(D1548="","",VLOOKUP(F1548,製品マスタ!$G$5:$K$4999,5,FALSE))</f>
        <v/>
      </c>
      <c r="I1548" s="200" t="str">
        <f>IF(D1548="","",VLOOKUP(F1548,製品マスタ!$G$5:$L$4999,6,FALSE))</f>
        <v/>
      </c>
      <c r="J1548" s="30" t="s">
        <v>447</v>
      </c>
      <c r="K1548" s="200" t="str">
        <f>IF(D1548="","",VLOOKUP(D1548,契約台帳!$A$3:$L$4986,12,FALSE))</f>
        <v/>
      </c>
      <c r="L1548" s="200" t="str">
        <f>IF(D1548="","",INDEX(製品マスタ!$Q$5:$Q$4999,MATCH(F1548&amp;K1548,製品マスタ!$AO$5:$AO$4999,0)))</f>
        <v/>
      </c>
      <c r="M1548" s="37"/>
      <c r="N1548" s="37"/>
      <c r="O1548" s="45"/>
      <c r="P1548" s="54"/>
      <c r="Q1548" s="260" t="str">
        <f>IF(D1548="","",IF(J1548="リード付け",M1548,VLOOKUP(D1548,契約台帳!$A$3:$N$4986,14,FALSE)))</f>
        <v/>
      </c>
      <c r="R1548" s="261" t="str">
        <f>IF(D1548="","",IF(J1548="リード付け",M1548,VLOOKUP(D1548,契約台帳!$A$3:$O$4986,15,FALSE)))</f>
        <v/>
      </c>
      <c r="S1548" s="261" t="str">
        <f>IF(D1548="","",IF(J1548="リード付け",N1548,VLOOKUP(D1548,契約台帳!$A$3:$P$4986,16,FALSE)))</f>
        <v/>
      </c>
      <c r="T1548" s="38"/>
      <c r="U1548" s="261" t="str">
        <f ca="1">IF(D1548="","",IF(OFFSET(D1548,-2,0)=D1548,"",VLOOKUP(D1548,契約台帳!$A$3:$R$4986,18,FALSE)))</f>
        <v/>
      </c>
      <c r="V1548" s="256" t="e">
        <f>IF(J1548="巻返し",VLOOKUP(F1548&amp;K1548&amp;M1548,製品マスタ!$M$5:$AD$4999,18,FALSE),IF(J1548="リード付け","原反コア",IF(J1548="スリット",VLOOKUP(F1548&amp;K1548&amp;Q1548,製品マスタ!$N$5:$AD$4999,17,FALSE),"")))</f>
        <v>#N/A</v>
      </c>
      <c r="W1548" s="256" t="e">
        <f>IF(J1548="巻返し",VLOOKUP(F1548&amp;K1548&amp;M1548,製品マスタ!$M$5:$AE$4999,19,FALSE),IF(J1548="リード付け","-",IF(J1548="スリット",VLOOKUP(F1548&amp;K1548&amp;Q1548,製品マスタ!$N$5:$AE$4999,18,FALSE),"")))</f>
        <v>#N/A</v>
      </c>
      <c r="X1548" s="256" t="str">
        <f>IF(D1548="","",VLOOKUP(D1548,契約台帳!$A$3:$Q$4986,17,FALSE))</f>
        <v/>
      </c>
      <c r="Y1548" s="256" t="str">
        <f>IF(D1548="","",VLOOKUP(D1548,契約台帳!$A$3:$E$4986,5,FALSE))</f>
        <v/>
      </c>
      <c r="Z1548" s="310"/>
      <c r="AA1548" s="200"/>
      <c r="AB1548" s="312"/>
      <c r="AC1548" s="313"/>
      <c r="AD1548" s="51" t="str">
        <f t="shared" si="93"/>
        <v/>
      </c>
      <c r="AE1548" s="52">
        <f t="shared" si="94"/>
        <v>0</v>
      </c>
      <c r="AF1548" s="41" t="str">
        <f>IF(AD1548="","",VLOOKUP(AD1548,原価マスタ!$A$2:$AJ$1693,13,FALSE))</f>
        <v/>
      </c>
      <c r="AG1548" s="45" t="str">
        <f t="shared" si="95"/>
        <v/>
      </c>
      <c r="AH1548" s="28"/>
      <c r="AI1548" s="28"/>
      <c r="AJ1548" s="28"/>
      <c r="AK1548" s="28"/>
      <c r="AL1548" s="12"/>
      <c r="AM1548" s="12"/>
      <c r="AN1548" s="12"/>
      <c r="AO1548" s="12"/>
      <c r="AP1548" s="12"/>
      <c r="AQ1548" s="13"/>
      <c r="AR1548" s="14"/>
    </row>
    <row r="1549" spans="1:44" s="16" customFormat="1" ht="30.95" customHeight="1" x14ac:dyDescent="0.2">
      <c r="A1549" s="303"/>
      <c r="B1549" s="304"/>
      <c r="C1549" s="305"/>
      <c r="D1549" s="29"/>
      <c r="E1549" s="29"/>
      <c r="F1549" s="255" t="str">
        <f>IF(D1549="","",VLOOKUP(D1549,契約台帳!$A$3:$K$4986,6,FALSE)&amp;VLOOKUP(D1549,契約台帳!$A$3:$K$4986,7,FALSE)&amp;VLOOKUP(D1549,契約台帳!$A$3:$K$4986,8,FALSE)&amp;VLOOKUP(D1549,契約台帳!$A$3:$K$4986,9,FALSE)&amp;VLOOKUP(D1549,契約台帳!$A$3:$K$4986,11,FALSE))</f>
        <v/>
      </c>
      <c r="G1549" s="256" t="str">
        <f>IF(D1549="","",VLOOKUP(F1549,製品マスタ!$G$5:$H$4999,2,FALSE))</f>
        <v/>
      </c>
      <c r="H1549" s="256" t="str">
        <f>IF(D1549="","",VLOOKUP(F1549,製品マスタ!$G$5:$K$4999,5,FALSE))</f>
        <v/>
      </c>
      <c r="I1549" s="200" t="str">
        <f>IF(D1549="","",VLOOKUP(F1549,製品マスタ!$G$5:$L$4999,6,FALSE))</f>
        <v/>
      </c>
      <c r="J1549" s="30" t="s">
        <v>447</v>
      </c>
      <c r="K1549" s="200" t="str">
        <f>IF(D1549="","",VLOOKUP(D1549,契約台帳!$A$3:$L$4986,12,FALSE))</f>
        <v/>
      </c>
      <c r="L1549" s="200" t="str">
        <f>IF(D1549="","",INDEX(製品マスタ!$Q$5:$Q$4999,MATCH(F1549&amp;K1549,製品マスタ!$AO$5:$AO$4999,0)))</f>
        <v/>
      </c>
      <c r="M1549" s="37"/>
      <c r="N1549" s="37"/>
      <c r="O1549" s="45"/>
      <c r="P1549" s="54"/>
      <c r="Q1549" s="260" t="str">
        <f>IF(D1549="","",IF(J1549="リード付け",M1549,VLOOKUP(D1549,契約台帳!$A$3:$N$4986,14,FALSE)))</f>
        <v/>
      </c>
      <c r="R1549" s="261" t="str">
        <f>IF(D1549="","",IF(J1549="リード付け",M1549,VLOOKUP(D1549,契約台帳!$A$3:$O$4986,15,FALSE)))</f>
        <v/>
      </c>
      <c r="S1549" s="261" t="str">
        <f>IF(D1549="","",IF(J1549="リード付け",N1549,VLOOKUP(D1549,契約台帳!$A$3:$P$4986,16,FALSE)))</f>
        <v/>
      </c>
      <c r="T1549" s="38"/>
      <c r="U1549" s="261" t="str">
        <f ca="1">IF(D1549="","",IF(OFFSET(D1549,-2,0)=D1549,"",VLOOKUP(D1549,契約台帳!$A$3:$R$4986,18,FALSE)))</f>
        <v/>
      </c>
      <c r="V1549" s="256" t="e">
        <f>IF(J1549="巻返し",VLOOKUP(F1549&amp;K1549&amp;M1549,製品マスタ!$M$5:$AD$4999,18,FALSE),IF(J1549="リード付け","原反コア",IF(J1549="スリット",VLOOKUP(F1549&amp;K1549&amp;Q1549,製品マスタ!$N$5:$AD$4999,17,FALSE),"")))</f>
        <v>#N/A</v>
      </c>
      <c r="W1549" s="256" t="e">
        <f>IF(J1549="巻返し",VLOOKUP(F1549&amp;K1549&amp;M1549,製品マスタ!$M$5:$AE$4999,19,FALSE),IF(J1549="リード付け","-",IF(J1549="スリット",VLOOKUP(F1549&amp;K1549&amp;Q1549,製品マスタ!$N$5:$AE$4999,18,FALSE),"")))</f>
        <v>#N/A</v>
      </c>
      <c r="X1549" s="256" t="str">
        <f>IF(D1549="","",VLOOKUP(D1549,契約台帳!$A$3:$Q$4986,17,FALSE))</f>
        <v/>
      </c>
      <c r="Y1549" s="256" t="str">
        <f>IF(D1549="","",VLOOKUP(D1549,契約台帳!$A$3:$E$4986,5,FALSE))</f>
        <v/>
      </c>
      <c r="Z1549" s="310"/>
      <c r="AA1549" s="200"/>
      <c r="AB1549" s="312"/>
      <c r="AC1549" s="313"/>
      <c r="AD1549" s="51" t="str">
        <f t="shared" si="93"/>
        <v/>
      </c>
      <c r="AE1549" s="52">
        <f t="shared" si="94"/>
        <v>0</v>
      </c>
      <c r="AF1549" s="41" t="str">
        <f>IF(AD1549="","",VLOOKUP(AD1549,原価マスタ!$A$2:$AJ$1693,13,FALSE))</f>
        <v/>
      </c>
      <c r="AG1549" s="45" t="str">
        <f t="shared" si="95"/>
        <v/>
      </c>
      <c r="AH1549" s="28"/>
      <c r="AI1549" s="28"/>
      <c r="AJ1549" s="28"/>
      <c r="AK1549" s="28"/>
      <c r="AL1549" s="12"/>
      <c r="AM1549" s="12"/>
      <c r="AN1549" s="12"/>
      <c r="AO1549" s="12"/>
      <c r="AP1549" s="12"/>
      <c r="AQ1549" s="13"/>
      <c r="AR1549" s="14"/>
    </row>
    <row r="1550" spans="1:44" s="16" customFormat="1" ht="30.95" customHeight="1" x14ac:dyDescent="0.2">
      <c r="A1550" s="303"/>
      <c r="B1550" s="304"/>
      <c r="C1550" s="305"/>
      <c r="D1550" s="29"/>
      <c r="E1550" s="29"/>
      <c r="F1550" s="255" t="str">
        <f>IF(D1550="","",VLOOKUP(D1550,契約台帳!$A$3:$K$4986,6,FALSE)&amp;VLOOKUP(D1550,契約台帳!$A$3:$K$4986,7,FALSE)&amp;VLOOKUP(D1550,契約台帳!$A$3:$K$4986,8,FALSE)&amp;VLOOKUP(D1550,契約台帳!$A$3:$K$4986,9,FALSE)&amp;VLOOKUP(D1550,契約台帳!$A$3:$K$4986,11,FALSE))</f>
        <v/>
      </c>
      <c r="G1550" s="256" t="str">
        <f>IF(D1550="","",VLOOKUP(F1550,製品マスタ!$G$5:$H$4999,2,FALSE))</f>
        <v/>
      </c>
      <c r="H1550" s="256" t="str">
        <f>IF(D1550="","",VLOOKUP(F1550,製品マスタ!$G$5:$K$4999,5,FALSE))</f>
        <v/>
      </c>
      <c r="I1550" s="200" t="str">
        <f>IF(D1550="","",VLOOKUP(F1550,製品マスタ!$G$5:$L$4999,6,FALSE))</f>
        <v/>
      </c>
      <c r="J1550" s="30" t="s">
        <v>447</v>
      </c>
      <c r="K1550" s="200" t="str">
        <f>IF(D1550="","",VLOOKUP(D1550,契約台帳!$A$3:$L$4986,12,FALSE))</f>
        <v/>
      </c>
      <c r="L1550" s="200" t="str">
        <f>IF(D1550="","",INDEX(製品マスタ!$Q$5:$Q$4999,MATCH(F1550&amp;K1550,製品マスタ!$AO$5:$AO$4999,0)))</f>
        <v/>
      </c>
      <c r="M1550" s="37"/>
      <c r="N1550" s="37"/>
      <c r="O1550" s="45"/>
      <c r="P1550" s="54"/>
      <c r="Q1550" s="260" t="str">
        <f>IF(D1550="","",IF(J1550="リード付け",M1550,VLOOKUP(D1550,契約台帳!$A$3:$N$4986,14,FALSE)))</f>
        <v/>
      </c>
      <c r="R1550" s="261" t="str">
        <f>IF(D1550="","",IF(J1550="リード付け",M1550,VLOOKUP(D1550,契約台帳!$A$3:$O$4986,15,FALSE)))</f>
        <v/>
      </c>
      <c r="S1550" s="261" t="str">
        <f>IF(D1550="","",IF(J1550="リード付け",N1550,VLOOKUP(D1550,契約台帳!$A$3:$P$4986,16,FALSE)))</f>
        <v/>
      </c>
      <c r="T1550" s="38"/>
      <c r="U1550" s="261" t="str">
        <f ca="1">IF(D1550="","",IF(OFFSET(D1550,-2,0)=D1550,"",VLOOKUP(D1550,契約台帳!$A$3:$R$4986,18,FALSE)))</f>
        <v/>
      </c>
      <c r="V1550" s="256" t="e">
        <f>IF(J1550="巻返し",VLOOKUP(F1550&amp;K1550&amp;M1550,製品マスタ!$M$5:$AD$4999,18,FALSE),IF(J1550="リード付け","原反コア",IF(J1550="スリット",VLOOKUP(F1550&amp;K1550&amp;Q1550,製品マスタ!$N$5:$AD$4999,17,FALSE),"")))</f>
        <v>#N/A</v>
      </c>
      <c r="W1550" s="256" t="e">
        <f>IF(J1550="巻返し",VLOOKUP(F1550&amp;K1550&amp;M1550,製品マスタ!$M$5:$AE$4999,19,FALSE),IF(J1550="リード付け","-",IF(J1550="スリット",VLOOKUP(F1550&amp;K1550&amp;Q1550,製品マスタ!$N$5:$AE$4999,18,FALSE),"")))</f>
        <v>#N/A</v>
      </c>
      <c r="X1550" s="256" t="str">
        <f>IF(D1550="","",VLOOKUP(D1550,契約台帳!$A$3:$Q$4986,17,FALSE))</f>
        <v/>
      </c>
      <c r="Y1550" s="256" t="str">
        <f>IF(D1550="","",VLOOKUP(D1550,契約台帳!$A$3:$E$4986,5,FALSE))</f>
        <v/>
      </c>
      <c r="Z1550" s="310"/>
      <c r="AA1550" s="200"/>
      <c r="AB1550" s="312"/>
      <c r="AC1550" s="313"/>
      <c r="AD1550" s="51" t="str">
        <f t="shared" si="93"/>
        <v/>
      </c>
      <c r="AE1550" s="52">
        <f t="shared" si="94"/>
        <v>0</v>
      </c>
      <c r="AF1550" s="41" t="str">
        <f>IF(AD1550="","",VLOOKUP(AD1550,原価マスタ!$A$2:$AJ$1693,13,FALSE))</f>
        <v/>
      </c>
      <c r="AG1550" s="45" t="str">
        <f t="shared" si="95"/>
        <v/>
      </c>
      <c r="AH1550" s="28"/>
      <c r="AI1550" s="28"/>
      <c r="AJ1550" s="28"/>
      <c r="AK1550" s="28"/>
      <c r="AL1550" s="12"/>
      <c r="AM1550" s="12"/>
      <c r="AN1550" s="12"/>
      <c r="AO1550" s="12"/>
      <c r="AP1550" s="12"/>
      <c r="AQ1550" s="13"/>
      <c r="AR1550" s="14"/>
    </row>
    <row r="1551" spans="1:44" s="16" customFormat="1" ht="30.95" customHeight="1" x14ac:dyDescent="0.2">
      <c r="A1551" s="303"/>
      <c r="B1551" s="304"/>
      <c r="C1551" s="305"/>
      <c r="D1551" s="29"/>
      <c r="E1551" s="29"/>
      <c r="F1551" s="255" t="str">
        <f>IF(D1551="","",VLOOKUP(D1551,契約台帳!$A$3:$K$4986,6,FALSE)&amp;VLOOKUP(D1551,契約台帳!$A$3:$K$4986,7,FALSE)&amp;VLOOKUP(D1551,契約台帳!$A$3:$K$4986,8,FALSE)&amp;VLOOKUP(D1551,契約台帳!$A$3:$K$4986,9,FALSE)&amp;VLOOKUP(D1551,契約台帳!$A$3:$K$4986,11,FALSE))</f>
        <v/>
      </c>
      <c r="G1551" s="256" t="str">
        <f>IF(D1551="","",VLOOKUP(F1551,製品マスタ!$G$5:$H$4999,2,FALSE))</f>
        <v/>
      </c>
      <c r="H1551" s="256" t="str">
        <f>IF(D1551="","",VLOOKUP(F1551,製品マスタ!$G$5:$K$4999,5,FALSE))</f>
        <v/>
      </c>
      <c r="I1551" s="200" t="str">
        <f>IF(D1551="","",VLOOKUP(F1551,製品マスタ!$G$5:$L$4999,6,FALSE))</f>
        <v/>
      </c>
      <c r="J1551" s="30" t="s">
        <v>447</v>
      </c>
      <c r="K1551" s="200" t="str">
        <f>IF(D1551="","",VLOOKUP(D1551,契約台帳!$A$3:$L$4986,12,FALSE))</f>
        <v/>
      </c>
      <c r="L1551" s="200" t="str">
        <f>IF(D1551="","",INDEX(製品マスタ!$Q$5:$Q$4999,MATCH(F1551&amp;K1551,製品マスタ!$AO$5:$AO$4999,0)))</f>
        <v/>
      </c>
      <c r="M1551" s="37"/>
      <c r="N1551" s="37"/>
      <c r="O1551" s="45"/>
      <c r="P1551" s="54"/>
      <c r="Q1551" s="260" t="str">
        <f>IF(D1551="","",IF(J1551="リード付け",M1551,VLOOKUP(D1551,契約台帳!$A$3:$N$4986,14,FALSE)))</f>
        <v/>
      </c>
      <c r="R1551" s="261" t="str">
        <f>IF(D1551="","",IF(J1551="リード付け",M1551,VLOOKUP(D1551,契約台帳!$A$3:$O$4986,15,FALSE)))</f>
        <v/>
      </c>
      <c r="S1551" s="261" t="str">
        <f>IF(D1551="","",IF(J1551="リード付け",N1551,VLOOKUP(D1551,契約台帳!$A$3:$P$4986,16,FALSE)))</f>
        <v/>
      </c>
      <c r="T1551" s="38"/>
      <c r="U1551" s="261" t="str">
        <f ca="1">IF(D1551="","",IF(OFFSET(D1551,-2,0)=D1551,"",VLOOKUP(D1551,契約台帳!$A$3:$R$4986,18,FALSE)))</f>
        <v/>
      </c>
      <c r="V1551" s="256" t="e">
        <f>IF(J1551="巻返し",VLOOKUP(F1551&amp;K1551&amp;M1551,製品マスタ!$M$5:$AD$4999,18,FALSE),IF(J1551="リード付け","原反コア",IF(J1551="スリット",VLOOKUP(F1551&amp;K1551&amp;Q1551,製品マスタ!$N$5:$AD$4999,17,FALSE),"")))</f>
        <v>#N/A</v>
      </c>
      <c r="W1551" s="256" t="e">
        <f>IF(J1551="巻返し",VLOOKUP(F1551&amp;K1551&amp;M1551,製品マスタ!$M$5:$AE$4999,19,FALSE),IF(J1551="リード付け","-",IF(J1551="スリット",VLOOKUP(F1551&amp;K1551&amp;Q1551,製品マスタ!$N$5:$AE$4999,18,FALSE),"")))</f>
        <v>#N/A</v>
      </c>
      <c r="X1551" s="256" t="str">
        <f>IF(D1551="","",VLOOKUP(D1551,契約台帳!$A$3:$Q$4986,17,FALSE))</f>
        <v/>
      </c>
      <c r="Y1551" s="256" t="str">
        <f>IF(D1551="","",VLOOKUP(D1551,契約台帳!$A$3:$E$4986,5,FALSE))</f>
        <v/>
      </c>
      <c r="Z1551" s="310"/>
      <c r="AA1551" s="200"/>
      <c r="AB1551" s="312"/>
      <c r="AC1551" s="313"/>
      <c r="AD1551" s="51" t="str">
        <f t="shared" si="93"/>
        <v/>
      </c>
      <c r="AE1551" s="52">
        <f t="shared" si="94"/>
        <v>0</v>
      </c>
      <c r="AF1551" s="41" t="str">
        <f>IF(AD1551="","",VLOOKUP(AD1551,原価マスタ!$A$2:$AJ$1693,13,FALSE))</f>
        <v/>
      </c>
      <c r="AG1551" s="45" t="str">
        <f t="shared" si="95"/>
        <v/>
      </c>
      <c r="AH1551" s="28"/>
      <c r="AI1551" s="28"/>
      <c r="AJ1551" s="28"/>
      <c r="AK1551" s="28"/>
      <c r="AL1551" s="12"/>
      <c r="AM1551" s="12"/>
      <c r="AN1551" s="12"/>
      <c r="AO1551" s="12"/>
      <c r="AP1551" s="12"/>
      <c r="AQ1551" s="13"/>
      <c r="AR1551" s="14"/>
    </row>
    <row r="1552" spans="1:44" s="16" customFormat="1" ht="30.95" customHeight="1" x14ac:dyDescent="0.2">
      <c r="A1552" s="303"/>
      <c r="B1552" s="304"/>
      <c r="C1552" s="305"/>
      <c r="D1552" s="29"/>
      <c r="E1552" s="29"/>
      <c r="F1552" s="255" t="str">
        <f>IF(D1552="","",VLOOKUP(D1552,契約台帳!$A$3:$K$4986,6,FALSE)&amp;VLOOKUP(D1552,契約台帳!$A$3:$K$4986,7,FALSE)&amp;VLOOKUP(D1552,契約台帳!$A$3:$K$4986,8,FALSE)&amp;VLOOKUP(D1552,契約台帳!$A$3:$K$4986,9,FALSE)&amp;VLOOKUP(D1552,契約台帳!$A$3:$K$4986,11,FALSE))</f>
        <v/>
      </c>
      <c r="G1552" s="256" t="str">
        <f>IF(D1552="","",VLOOKUP(F1552,製品マスタ!$G$5:$H$4999,2,FALSE))</f>
        <v/>
      </c>
      <c r="H1552" s="256" t="str">
        <f>IF(D1552="","",VLOOKUP(F1552,製品マスタ!$G$5:$K$4999,5,FALSE))</f>
        <v/>
      </c>
      <c r="I1552" s="200" t="str">
        <f>IF(D1552="","",VLOOKUP(F1552,製品マスタ!$G$5:$L$4999,6,FALSE))</f>
        <v/>
      </c>
      <c r="J1552" s="30" t="s">
        <v>447</v>
      </c>
      <c r="K1552" s="200" t="str">
        <f>IF(D1552="","",VLOOKUP(D1552,契約台帳!$A$3:$L$4986,12,FALSE))</f>
        <v/>
      </c>
      <c r="L1552" s="200" t="str">
        <f>IF(D1552="","",INDEX(製品マスタ!$Q$5:$Q$4999,MATCH(F1552&amp;K1552,製品マスタ!$AO$5:$AO$4999,0)))</f>
        <v/>
      </c>
      <c r="M1552" s="37"/>
      <c r="N1552" s="37"/>
      <c r="O1552" s="45"/>
      <c r="P1552" s="54"/>
      <c r="Q1552" s="260" t="str">
        <f>IF(D1552="","",IF(J1552="リード付け",M1552,VLOOKUP(D1552,契約台帳!$A$3:$N$4986,14,FALSE)))</f>
        <v/>
      </c>
      <c r="R1552" s="261" t="str">
        <f>IF(D1552="","",IF(J1552="リード付け",M1552,VLOOKUP(D1552,契約台帳!$A$3:$O$4986,15,FALSE)))</f>
        <v/>
      </c>
      <c r="S1552" s="261" t="str">
        <f>IF(D1552="","",IF(J1552="リード付け",N1552,VLOOKUP(D1552,契約台帳!$A$3:$P$4986,16,FALSE)))</f>
        <v/>
      </c>
      <c r="T1552" s="38"/>
      <c r="U1552" s="261" t="str">
        <f ca="1">IF(D1552="","",IF(OFFSET(D1552,-2,0)=D1552,"",VLOOKUP(D1552,契約台帳!$A$3:$R$4986,18,FALSE)))</f>
        <v/>
      </c>
      <c r="V1552" s="256" t="e">
        <f>IF(J1552="巻返し",VLOOKUP(F1552&amp;K1552&amp;M1552,製品マスタ!$M$5:$AD$4999,18,FALSE),IF(J1552="リード付け","原反コア",IF(J1552="スリット",VLOOKUP(F1552&amp;K1552&amp;Q1552,製品マスタ!$N$5:$AD$4999,17,FALSE),"")))</f>
        <v>#N/A</v>
      </c>
      <c r="W1552" s="256" t="e">
        <f>IF(J1552="巻返し",VLOOKUP(F1552&amp;K1552&amp;M1552,製品マスタ!$M$5:$AE$4999,19,FALSE),IF(J1552="リード付け","-",IF(J1552="スリット",VLOOKUP(F1552&amp;K1552&amp;Q1552,製品マスタ!$N$5:$AE$4999,18,FALSE),"")))</f>
        <v>#N/A</v>
      </c>
      <c r="X1552" s="256" t="str">
        <f>IF(D1552="","",VLOOKUP(D1552,契約台帳!$A$3:$Q$4986,17,FALSE))</f>
        <v/>
      </c>
      <c r="Y1552" s="256" t="str">
        <f>IF(D1552="","",VLOOKUP(D1552,契約台帳!$A$3:$E$4986,5,FALSE))</f>
        <v/>
      </c>
      <c r="Z1552" s="310"/>
      <c r="AA1552" s="200"/>
      <c r="AB1552" s="312"/>
      <c r="AC1552" s="313"/>
      <c r="AD1552" s="51" t="str">
        <f t="shared" si="93"/>
        <v/>
      </c>
      <c r="AE1552" s="52">
        <f t="shared" si="94"/>
        <v>0</v>
      </c>
      <c r="AF1552" s="41" t="str">
        <f>IF(AD1552="","",VLOOKUP(AD1552,原価マスタ!$A$2:$AJ$1693,13,FALSE))</f>
        <v/>
      </c>
      <c r="AG1552" s="45" t="str">
        <f t="shared" si="95"/>
        <v/>
      </c>
      <c r="AH1552" s="28"/>
      <c r="AI1552" s="28"/>
      <c r="AJ1552" s="28"/>
      <c r="AK1552" s="28"/>
      <c r="AL1552" s="12"/>
      <c r="AM1552" s="12"/>
      <c r="AN1552" s="12"/>
      <c r="AO1552" s="12"/>
      <c r="AP1552" s="12"/>
      <c r="AQ1552" s="13"/>
      <c r="AR1552" s="14"/>
    </row>
    <row r="1553" spans="1:44" s="16" customFormat="1" ht="30.95" customHeight="1" x14ac:dyDescent="0.2">
      <c r="A1553" s="303"/>
      <c r="B1553" s="304"/>
      <c r="C1553" s="305"/>
      <c r="D1553" s="29"/>
      <c r="E1553" s="29"/>
      <c r="F1553" s="255" t="str">
        <f>IF(D1553="","",VLOOKUP(D1553,契約台帳!$A$3:$K$4986,6,FALSE)&amp;VLOOKUP(D1553,契約台帳!$A$3:$K$4986,7,FALSE)&amp;VLOOKUP(D1553,契約台帳!$A$3:$K$4986,8,FALSE)&amp;VLOOKUP(D1553,契約台帳!$A$3:$K$4986,9,FALSE)&amp;VLOOKUP(D1553,契約台帳!$A$3:$K$4986,11,FALSE))</f>
        <v/>
      </c>
      <c r="G1553" s="256" t="str">
        <f>IF(D1553="","",VLOOKUP(F1553,製品マスタ!$G$5:$H$4999,2,FALSE))</f>
        <v/>
      </c>
      <c r="H1553" s="256" t="str">
        <f>IF(D1553="","",VLOOKUP(F1553,製品マスタ!$G$5:$K$4999,5,FALSE))</f>
        <v/>
      </c>
      <c r="I1553" s="200" t="str">
        <f>IF(D1553="","",VLOOKUP(F1553,製品マスタ!$G$5:$L$4999,6,FALSE))</f>
        <v/>
      </c>
      <c r="J1553" s="30" t="s">
        <v>447</v>
      </c>
      <c r="K1553" s="200" t="str">
        <f>IF(D1553="","",VLOOKUP(D1553,契約台帳!$A$3:$L$4986,12,FALSE))</f>
        <v/>
      </c>
      <c r="L1553" s="200" t="str">
        <f>IF(D1553="","",INDEX(製品マスタ!$Q$5:$Q$4999,MATCH(F1553&amp;K1553,製品マスタ!$AO$5:$AO$4999,0)))</f>
        <v/>
      </c>
      <c r="M1553" s="37"/>
      <c r="N1553" s="37"/>
      <c r="O1553" s="45"/>
      <c r="P1553" s="54"/>
      <c r="Q1553" s="260" t="str">
        <f>IF(D1553="","",IF(J1553="リード付け",M1553,VLOOKUP(D1553,契約台帳!$A$3:$N$4986,14,FALSE)))</f>
        <v/>
      </c>
      <c r="R1553" s="261" t="str">
        <f>IF(D1553="","",IF(J1553="リード付け",M1553,VLOOKUP(D1553,契約台帳!$A$3:$O$4986,15,FALSE)))</f>
        <v/>
      </c>
      <c r="S1553" s="261" t="str">
        <f>IF(D1553="","",IF(J1553="リード付け",N1553,VLOOKUP(D1553,契約台帳!$A$3:$P$4986,16,FALSE)))</f>
        <v/>
      </c>
      <c r="T1553" s="38"/>
      <c r="U1553" s="261" t="str">
        <f ca="1">IF(D1553="","",IF(OFFSET(D1553,-2,0)=D1553,"",VLOOKUP(D1553,契約台帳!$A$3:$R$4986,18,FALSE)))</f>
        <v/>
      </c>
      <c r="V1553" s="256" t="e">
        <f>IF(J1553="巻返し",VLOOKUP(F1553&amp;K1553&amp;M1553,製品マスタ!$M$5:$AD$4999,18,FALSE),IF(J1553="リード付け","原反コア",IF(J1553="スリット",VLOOKUP(F1553&amp;K1553&amp;Q1553,製品マスタ!$N$5:$AD$4999,17,FALSE),"")))</f>
        <v>#N/A</v>
      </c>
      <c r="W1553" s="256" t="e">
        <f>IF(J1553="巻返し",VLOOKUP(F1553&amp;K1553&amp;M1553,製品マスタ!$M$5:$AE$4999,19,FALSE),IF(J1553="リード付け","-",IF(J1553="スリット",VLOOKUP(F1553&amp;K1553&amp;Q1553,製品マスタ!$N$5:$AE$4999,18,FALSE),"")))</f>
        <v>#N/A</v>
      </c>
      <c r="X1553" s="256" t="str">
        <f>IF(D1553="","",VLOOKUP(D1553,契約台帳!$A$3:$Q$4986,17,FALSE))</f>
        <v/>
      </c>
      <c r="Y1553" s="256" t="str">
        <f>IF(D1553="","",VLOOKUP(D1553,契約台帳!$A$3:$E$4986,5,FALSE))</f>
        <v/>
      </c>
      <c r="Z1553" s="310"/>
      <c r="AA1553" s="200"/>
      <c r="AB1553" s="312"/>
      <c r="AC1553" s="313"/>
      <c r="AD1553" s="51" t="str">
        <f t="shared" si="93"/>
        <v/>
      </c>
      <c r="AE1553" s="52">
        <f t="shared" si="94"/>
        <v>0</v>
      </c>
      <c r="AF1553" s="41" t="str">
        <f>IF(AD1553="","",VLOOKUP(AD1553,原価マスタ!$A$2:$AJ$1693,13,FALSE))</f>
        <v/>
      </c>
      <c r="AG1553" s="45" t="str">
        <f t="shared" si="95"/>
        <v/>
      </c>
      <c r="AH1553" s="28"/>
      <c r="AI1553" s="28"/>
      <c r="AJ1553" s="28"/>
      <c r="AK1553" s="28"/>
      <c r="AL1553" s="12"/>
      <c r="AM1553" s="12"/>
      <c r="AN1553" s="12"/>
      <c r="AO1553" s="12"/>
      <c r="AP1553" s="12"/>
      <c r="AQ1553" s="13"/>
      <c r="AR1553" s="14"/>
    </row>
    <row r="1554" spans="1:44" s="16" customFormat="1" ht="30.95" customHeight="1" x14ac:dyDescent="0.2">
      <c r="A1554" s="303"/>
      <c r="B1554" s="304"/>
      <c r="C1554" s="305"/>
      <c r="D1554" s="29"/>
      <c r="E1554" s="29"/>
      <c r="F1554" s="255" t="str">
        <f>IF(D1554="","",VLOOKUP(D1554,契約台帳!$A$3:$K$4986,6,FALSE)&amp;VLOOKUP(D1554,契約台帳!$A$3:$K$4986,7,FALSE)&amp;VLOOKUP(D1554,契約台帳!$A$3:$K$4986,8,FALSE)&amp;VLOOKUP(D1554,契約台帳!$A$3:$K$4986,9,FALSE)&amp;VLOOKUP(D1554,契約台帳!$A$3:$K$4986,11,FALSE))</f>
        <v/>
      </c>
      <c r="G1554" s="256" t="str">
        <f>IF(D1554="","",VLOOKUP(F1554,製品マスタ!$G$5:$H$4999,2,FALSE))</f>
        <v/>
      </c>
      <c r="H1554" s="256" t="str">
        <f>IF(D1554="","",VLOOKUP(F1554,製品マスタ!$G$5:$K$4999,5,FALSE))</f>
        <v/>
      </c>
      <c r="I1554" s="200" t="str">
        <f>IF(D1554="","",VLOOKUP(F1554,製品マスタ!$G$5:$L$4999,6,FALSE))</f>
        <v/>
      </c>
      <c r="J1554" s="30" t="s">
        <v>447</v>
      </c>
      <c r="K1554" s="200" t="str">
        <f>IF(D1554="","",VLOOKUP(D1554,契約台帳!$A$3:$L$4986,12,FALSE))</f>
        <v/>
      </c>
      <c r="L1554" s="200" t="str">
        <f>IF(D1554="","",INDEX(製品マスタ!$Q$5:$Q$4999,MATCH(F1554&amp;K1554,製品マスタ!$AO$5:$AO$4999,0)))</f>
        <v/>
      </c>
      <c r="M1554" s="37"/>
      <c r="N1554" s="37"/>
      <c r="O1554" s="45"/>
      <c r="P1554" s="54"/>
      <c r="Q1554" s="260" t="str">
        <f>IF(D1554="","",IF(J1554="リード付け",M1554,VLOOKUP(D1554,契約台帳!$A$3:$N$4986,14,FALSE)))</f>
        <v/>
      </c>
      <c r="R1554" s="261" t="str">
        <f>IF(D1554="","",IF(J1554="リード付け",M1554,VLOOKUP(D1554,契約台帳!$A$3:$O$4986,15,FALSE)))</f>
        <v/>
      </c>
      <c r="S1554" s="261" t="str">
        <f>IF(D1554="","",IF(J1554="リード付け",N1554,VLOOKUP(D1554,契約台帳!$A$3:$P$4986,16,FALSE)))</f>
        <v/>
      </c>
      <c r="T1554" s="38"/>
      <c r="U1554" s="261" t="str">
        <f ca="1">IF(D1554="","",IF(OFFSET(D1554,-2,0)=D1554,"",VLOOKUP(D1554,契約台帳!$A$3:$R$4986,18,FALSE)))</f>
        <v/>
      </c>
      <c r="V1554" s="256" t="e">
        <f>IF(J1554="巻返し",VLOOKUP(F1554&amp;K1554&amp;M1554,製品マスタ!$M$5:$AD$4999,18,FALSE),IF(J1554="リード付け","原反コア",IF(J1554="スリット",VLOOKUP(F1554&amp;K1554&amp;Q1554,製品マスタ!$N$5:$AD$4999,17,FALSE),"")))</f>
        <v>#N/A</v>
      </c>
      <c r="W1554" s="256" t="e">
        <f>IF(J1554="巻返し",VLOOKUP(F1554&amp;K1554&amp;M1554,製品マスタ!$M$5:$AE$4999,19,FALSE),IF(J1554="リード付け","-",IF(J1554="スリット",VLOOKUP(F1554&amp;K1554&amp;Q1554,製品マスタ!$N$5:$AE$4999,18,FALSE),"")))</f>
        <v>#N/A</v>
      </c>
      <c r="X1554" s="256" t="str">
        <f>IF(D1554="","",VLOOKUP(D1554,契約台帳!$A$3:$Q$4986,17,FALSE))</f>
        <v/>
      </c>
      <c r="Y1554" s="256" t="str">
        <f>IF(D1554="","",VLOOKUP(D1554,契約台帳!$A$3:$E$4986,5,FALSE))</f>
        <v/>
      </c>
      <c r="Z1554" s="310"/>
      <c r="AA1554" s="200"/>
      <c r="AB1554" s="312"/>
      <c r="AC1554" s="313"/>
      <c r="AD1554" s="51" t="str">
        <f t="shared" si="93"/>
        <v/>
      </c>
      <c r="AE1554" s="52">
        <f t="shared" si="94"/>
        <v>0</v>
      </c>
      <c r="AF1554" s="41" t="str">
        <f>IF(AD1554="","",VLOOKUP(AD1554,原価マスタ!$A$2:$AJ$1693,13,FALSE))</f>
        <v/>
      </c>
      <c r="AG1554" s="45" t="str">
        <f t="shared" si="95"/>
        <v/>
      </c>
      <c r="AH1554" s="28"/>
      <c r="AI1554" s="28"/>
      <c r="AJ1554" s="28"/>
      <c r="AK1554" s="28"/>
      <c r="AL1554" s="12"/>
      <c r="AM1554" s="12"/>
      <c r="AN1554" s="12"/>
      <c r="AO1554" s="12"/>
      <c r="AP1554" s="12"/>
      <c r="AQ1554" s="13"/>
      <c r="AR1554" s="14"/>
    </row>
    <row r="1555" spans="1:44" s="16" customFormat="1" ht="30.95" customHeight="1" x14ac:dyDescent="0.2">
      <c r="A1555" s="303"/>
      <c r="B1555" s="304"/>
      <c r="C1555" s="305"/>
      <c r="D1555" s="306"/>
      <c r="E1555" s="306"/>
      <c r="F1555" s="255"/>
      <c r="G1555" s="256"/>
      <c r="H1555" s="256"/>
      <c r="I1555" s="200"/>
      <c r="J1555" s="307"/>
      <c r="K1555" s="200"/>
      <c r="L1555" s="200"/>
      <c r="M1555" s="308"/>
      <c r="N1555" s="308"/>
      <c r="O1555" s="309"/>
      <c r="P1555" s="310"/>
      <c r="Q1555" s="260"/>
      <c r="R1555" s="261"/>
      <c r="S1555" s="261"/>
      <c r="T1555" s="311"/>
      <c r="U1555" s="261"/>
      <c r="V1555" s="256"/>
      <c r="W1555" s="256"/>
      <c r="X1555" s="256"/>
      <c r="Y1555" s="256"/>
      <c r="Z1555" s="310"/>
      <c r="AA1555" s="200"/>
      <c r="AB1555" s="312"/>
      <c r="AC1555" s="313"/>
      <c r="AD1555" s="51"/>
      <c r="AE1555" s="314"/>
      <c r="AF1555" s="315"/>
      <c r="AG1555" s="309"/>
      <c r="AH1555" s="28"/>
      <c r="AI1555" s="28"/>
      <c r="AJ1555" s="28"/>
      <c r="AK1555" s="28"/>
      <c r="AL1555" s="12"/>
      <c r="AM1555" s="12"/>
      <c r="AN1555" s="12"/>
      <c r="AO1555" s="12"/>
      <c r="AP1555" s="12"/>
      <c r="AQ1555" s="13"/>
      <c r="AR1555" s="14"/>
    </row>
    <row r="1556" spans="1:44" s="16" customFormat="1" ht="30.95" customHeight="1" x14ac:dyDescent="0.2">
      <c r="A1556" s="303"/>
      <c r="B1556" s="304"/>
      <c r="C1556" s="305"/>
      <c r="D1556" s="306"/>
      <c r="E1556" s="306"/>
      <c r="F1556" s="255"/>
      <c r="G1556" s="256"/>
      <c r="H1556" s="256"/>
      <c r="I1556" s="200"/>
      <c r="J1556" s="307"/>
      <c r="K1556" s="200"/>
      <c r="L1556" s="200"/>
      <c r="M1556" s="308"/>
      <c r="N1556" s="308"/>
      <c r="O1556" s="309"/>
      <c r="P1556" s="310"/>
      <c r="Q1556" s="260"/>
      <c r="R1556" s="261"/>
      <c r="S1556" s="261"/>
      <c r="T1556" s="311"/>
      <c r="U1556" s="261"/>
      <c r="V1556" s="256"/>
      <c r="W1556" s="256"/>
      <c r="X1556" s="256"/>
      <c r="Y1556" s="256"/>
      <c r="Z1556" s="310"/>
      <c r="AA1556" s="200"/>
      <c r="AB1556" s="312"/>
      <c r="AC1556" s="313"/>
      <c r="AD1556" s="51"/>
      <c r="AE1556" s="314"/>
      <c r="AF1556" s="315"/>
      <c r="AG1556" s="309"/>
      <c r="AH1556" s="28"/>
      <c r="AI1556" s="28"/>
      <c r="AJ1556" s="28"/>
      <c r="AK1556" s="28"/>
      <c r="AL1556" s="12"/>
      <c r="AM1556" s="12"/>
      <c r="AN1556" s="12"/>
      <c r="AO1556" s="12"/>
      <c r="AP1556" s="12"/>
      <c r="AQ1556" s="13"/>
      <c r="AR1556" s="14"/>
    </row>
    <row r="1557" spans="1:44" s="16" customFormat="1" ht="30.95" customHeight="1" x14ac:dyDescent="0.2">
      <c r="A1557" s="303"/>
      <c r="B1557" s="304"/>
      <c r="C1557" s="305"/>
      <c r="D1557" s="306"/>
      <c r="E1557" s="306"/>
      <c r="F1557" s="255"/>
      <c r="G1557" s="256"/>
      <c r="H1557" s="256"/>
      <c r="I1557" s="200"/>
      <c r="J1557" s="307"/>
      <c r="K1557" s="200"/>
      <c r="L1557" s="200"/>
      <c r="M1557" s="308"/>
      <c r="N1557" s="308"/>
      <c r="O1557" s="309"/>
      <c r="P1557" s="310"/>
      <c r="Q1557" s="260"/>
      <c r="R1557" s="261"/>
      <c r="S1557" s="261"/>
      <c r="T1557" s="311"/>
      <c r="U1557" s="261"/>
      <c r="V1557" s="256"/>
      <c r="W1557" s="256"/>
      <c r="X1557" s="256"/>
      <c r="Y1557" s="256"/>
      <c r="Z1557" s="310"/>
      <c r="AA1557" s="200"/>
      <c r="AB1557" s="312"/>
      <c r="AC1557" s="313"/>
      <c r="AD1557" s="51"/>
      <c r="AE1557" s="314"/>
      <c r="AF1557" s="315"/>
      <c r="AG1557" s="309"/>
      <c r="AH1557" s="28"/>
      <c r="AI1557" s="28"/>
      <c r="AJ1557" s="28"/>
      <c r="AK1557" s="28"/>
      <c r="AL1557" s="12"/>
      <c r="AM1557" s="12"/>
      <c r="AN1557" s="12"/>
      <c r="AO1557" s="12"/>
      <c r="AP1557" s="12"/>
      <c r="AQ1557" s="13"/>
      <c r="AR1557" s="14"/>
    </row>
    <row r="1558" spans="1:44" s="16" customFormat="1" ht="30.95" customHeight="1" x14ac:dyDescent="0.2">
      <c r="A1558" s="303"/>
      <c r="B1558" s="304"/>
      <c r="C1558" s="305"/>
      <c r="D1558" s="306"/>
      <c r="E1558" s="306"/>
      <c r="F1558" s="255"/>
      <c r="G1558" s="256"/>
      <c r="H1558" s="256"/>
      <c r="I1558" s="200"/>
      <c r="J1558" s="307"/>
      <c r="K1558" s="200"/>
      <c r="L1558" s="200"/>
      <c r="M1558" s="308"/>
      <c r="N1558" s="308"/>
      <c r="O1558" s="309"/>
      <c r="P1558" s="310"/>
      <c r="Q1558" s="260"/>
      <c r="R1558" s="261"/>
      <c r="S1558" s="261"/>
      <c r="T1558" s="311"/>
      <c r="U1558" s="261"/>
      <c r="V1558" s="256"/>
      <c r="W1558" s="256"/>
      <c r="X1558" s="256"/>
      <c r="Y1558" s="256"/>
      <c r="Z1558" s="310"/>
      <c r="AA1558" s="200"/>
      <c r="AB1558" s="312"/>
      <c r="AC1558" s="313"/>
      <c r="AD1558" s="51"/>
      <c r="AE1558" s="314"/>
      <c r="AF1558" s="315"/>
      <c r="AG1558" s="309"/>
      <c r="AH1558" s="28"/>
      <c r="AI1558" s="28"/>
      <c r="AJ1558" s="28"/>
      <c r="AK1558" s="28"/>
      <c r="AL1558" s="12"/>
      <c r="AM1558" s="12"/>
      <c r="AN1558" s="12"/>
      <c r="AO1558" s="12"/>
      <c r="AP1558" s="12"/>
      <c r="AQ1558" s="13"/>
      <c r="AR1558" s="14"/>
    </row>
    <row r="1559" spans="1:44" s="16" customFormat="1" ht="30.95" customHeight="1" x14ac:dyDescent="0.2">
      <c r="A1559" s="303"/>
      <c r="B1559" s="304"/>
      <c r="C1559" s="305"/>
      <c r="D1559" s="306"/>
      <c r="E1559" s="306"/>
      <c r="F1559" s="255"/>
      <c r="G1559" s="256"/>
      <c r="H1559" s="256"/>
      <c r="I1559" s="200"/>
      <c r="J1559" s="307"/>
      <c r="K1559" s="200"/>
      <c r="L1559" s="200"/>
      <c r="M1559" s="308"/>
      <c r="N1559" s="308"/>
      <c r="O1559" s="309"/>
      <c r="P1559" s="310"/>
      <c r="Q1559" s="260"/>
      <c r="R1559" s="261"/>
      <c r="S1559" s="261"/>
      <c r="T1559" s="311"/>
      <c r="U1559" s="261"/>
      <c r="V1559" s="256"/>
      <c r="W1559" s="256"/>
      <c r="X1559" s="256"/>
      <c r="Y1559" s="256"/>
      <c r="Z1559" s="310"/>
      <c r="AA1559" s="200"/>
      <c r="AB1559" s="312"/>
      <c r="AC1559" s="313"/>
      <c r="AD1559" s="51"/>
      <c r="AE1559" s="314"/>
      <c r="AF1559" s="315"/>
      <c r="AG1559" s="309"/>
      <c r="AH1559" s="28"/>
      <c r="AI1559" s="28"/>
      <c r="AJ1559" s="28"/>
      <c r="AK1559" s="28"/>
      <c r="AL1559" s="12"/>
      <c r="AM1559" s="12"/>
      <c r="AN1559" s="12"/>
      <c r="AO1559" s="12"/>
      <c r="AP1559" s="12"/>
      <c r="AQ1559" s="13"/>
      <c r="AR1559" s="14"/>
    </row>
    <row r="1560" spans="1:44" s="16" customFormat="1" ht="30.95" customHeight="1" x14ac:dyDescent="0.2">
      <c r="A1560" s="303"/>
      <c r="B1560" s="304"/>
      <c r="C1560" s="305"/>
      <c r="D1560" s="306"/>
      <c r="E1560" s="306"/>
      <c r="F1560" s="255"/>
      <c r="G1560" s="256"/>
      <c r="H1560" s="256"/>
      <c r="I1560" s="200"/>
      <c r="J1560" s="307"/>
      <c r="K1560" s="200"/>
      <c r="L1560" s="200"/>
      <c r="M1560" s="308"/>
      <c r="N1560" s="308"/>
      <c r="O1560" s="309"/>
      <c r="P1560" s="310"/>
      <c r="Q1560" s="260"/>
      <c r="R1560" s="261"/>
      <c r="S1560" s="261"/>
      <c r="T1560" s="311"/>
      <c r="U1560" s="261"/>
      <c r="V1560" s="256"/>
      <c r="W1560" s="256"/>
      <c r="X1560" s="256"/>
      <c r="Y1560" s="256"/>
      <c r="Z1560" s="310"/>
      <c r="AA1560" s="200"/>
      <c r="AB1560" s="312"/>
      <c r="AC1560" s="313"/>
      <c r="AD1560" s="51"/>
      <c r="AE1560" s="314"/>
      <c r="AF1560" s="315"/>
      <c r="AG1560" s="309"/>
      <c r="AH1560" s="28"/>
      <c r="AI1560" s="28"/>
      <c r="AJ1560" s="28"/>
      <c r="AK1560" s="28"/>
      <c r="AL1560" s="12"/>
      <c r="AM1560" s="12"/>
      <c r="AN1560" s="12"/>
      <c r="AO1560" s="12"/>
      <c r="AP1560" s="12"/>
      <c r="AQ1560" s="13"/>
      <c r="AR1560" s="14"/>
    </row>
    <row r="1561" spans="1:44" s="16" customFormat="1" ht="30.95" customHeight="1" x14ac:dyDescent="0.2">
      <c r="A1561" s="303"/>
      <c r="B1561" s="304"/>
      <c r="C1561" s="305"/>
      <c r="D1561" s="306"/>
      <c r="E1561" s="306"/>
      <c r="F1561" s="255"/>
      <c r="G1561" s="256"/>
      <c r="H1561" s="256"/>
      <c r="I1561" s="200"/>
      <c r="J1561" s="307"/>
      <c r="K1561" s="200"/>
      <c r="L1561" s="200"/>
      <c r="M1561" s="308"/>
      <c r="N1561" s="308"/>
      <c r="O1561" s="309"/>
      <c r="P1561" s="310"/>
      <c r="Q1561" s="260"/>
      <c r="R1561" s="261"/>
      <c r="S1561" s="261"/>
      <c r="T1561" s="311"/>
      <c r="U1561" s="261"/>
      <c r="V1561" s="256"/>
      <c r="W1561" s="256"/>
      <c r="X1561" s="256"/>
      <c r="Y1561" s="256"/>
      <c r="Z1561" s="310"/>
      <c r="AA1561" s="200"/>
      <c r="AB1561" s="312"/>
      <c r="AC1561" s="313"/>
      <c r="AD1561" s="51"/>
      <c r="AE1561" s="314"/>
      <c r="AF1561" s="315"/>
      <c r="AG1561" s="309"/>
      <c r="AH1561" s="28"/>
      <c r="AI1561" s="28"/>
      <c r="AJ1561" s="28"/>
      <c r="AK1561" s="28"/>
      <c r="AL1561" s="12"/>
      <c r="AM1561" s="12"/>
      <c r="AN1561" s="12"/>
      <c r="AO1561" s="12"/>
      <c r="AP1561" s="12"/>
      <c r="AQ1561" s="13"/>
      <c r="AR1561" s="14"/>
    </row>
    <row r="1562" spans="1:44" s="16" customFormat="1" ht="30.95" customHeight="1" x14ac:dyDescent="0.2">
      <c r="A1562" s="303"/>
      <c r="B1562" s="304"/>
      <c r="C1562" s="305"/>
      <c r="D1562" s="306"/>
      <c r="E1562" s="306"/>
      <c r="F1562" s="255"/>
      <c r="G1562" s="256"/>
      <c r="H1562" s="256"/>
      <c r="I1562" s="200"/>
      <c r="J1562" s="307"/>
      <c r="K1562" s="200"/>
      <c r="L1562" s="200"/>
      <c r="M1562" s="308"/>
      <c r="N1562" s="308"/>
      <c r="O1562" s="309"/>
      <c r="P1562" s="310"/>
      <c r="Q1562" s="260"/>
      <c r="R1562" s="261"/>
      <c r="S1562" s="261"/>
      <c r="T1562" s="311"/>
      <c r="U1562" s="261"/>
      <c r="V1562" s="256"/>
      <c r="W1562" s="256"/>
      <c r="X1562" s="256"/>
      <c r="Y1562" s="256"/>
      <c r="Z1562" s="310"/>
      <c r="AA1562" s="200"/>
      <c r="AB1562" s="312"/>
      <c r="AC1562" s="313"/>
      <c r="AD1562" s="51"/>
      <c r="AE1562" s="314"/>
      <c r="AF1562" s="315"/>
      <c r="AG1562" s="309"/>
      <c r="AH1562" s="28"/>
      <c r="AI1562" s="28"/>
      <c r="AJ1562" s="28"/>
      <c r="AK1562" s="28"/>
      <c r="AL1562" s="12"/>
      <c r="AM1562" s="12"/>
      <c r="AN1562" s="12"/>
      <c r="AO1562" s="12"/>
      <c r="AP1562" s="12"/>
      <c r="AQ1562" s="13"/>
      <c r="AR1562" s="14"/>
    </row>
    <row r="1563" spans="1:44" s="16" customFormat="1" ht="30.95" customHeight="1" x14ac:dyDescent="0.2">
      <c r="A1563" s="303"/>
      <c r="B1563" s="304"/>
      <c r="C1563" s="305"/>
      <c r="D1563" s="306"/>
      <c r="E1563" s="306"/>
      <c r="F1563" s="255"/>
      <c r="G1563" s="256"/>
      <c r="H1563" s="256"/>
      <c r="I1563" s="200"/>
      <c r="J1563" s="307"/>
      <c r="K1563" s="200"/>
      <c r="L1563" s="200"/>
      <c r="M1563" s="308"/>
      <c r="N1563" s="308"/>
      <c r="O1563" s="309"/>
      <c r="P1563" s="310"/>
      <c r="Q1563" s="260"/>
      <c r="R1563" s="261"/>
      <c r="S1563" s="261"/>
      <c r="T1563" s="311"/>
      <c r="U1563" s="261"/>
      <c r="V1563" s="256"/>
      <c r="W1563" s="256"/>
      <c r="X1563" s="256"/>
      <c r="Y1563" s="256"/>
      <c r="Z1563" s="310"/>
      <c r="AA1563" s="200"/>
      <c r="AB1563" s="312"/>
      <c r="AC1563" s="313"/>
      <c r="AD1563" s="51"/>
      <c r="AE1563" s="314"/>
      <c r="AF1563" s="315"/>
      <c r="AG1563" s="309"/>
      <c r="AH1563" s="28"/>
      <c r="AI1563" s="28"/>
      <c r="AJ1563" s="28"/>
      <c r="AK1563" s="28"/>
      <c r="AL1563" s="12"/>
      <c r="AM1563" s="12"/>
      <c r="AN1563" s="12"/>
      <c r="AO1563" s="12"/>
      <c r="AP1563" s="12"/>
      <c r="AQ1563" s="13"/>
      <c r="AR1563" s="14"/>
    </row>
    <row r="1564" spans="1:44" s="16" customFormat="1" ht="30.95" customHeight="1" x14ac:dyDescent="0.2">
      <c r="A1564" s="303"/>
      <c r="B1564" s="304"/>
      <c r="C1564" s="305"/>
      <c r="D1564" s="306"/>
      <c r="E1564" s="306"/>
      <c r="F1564" s="255"/>
      <c r="G1564" s="256"/>
      <c r="H1564" s="256"/>
      <c r="I1564" s="200"/>
      <c r="J1564" s="307"/>
      <c r="K1564" s="200"/>
      <c r="L1564" s="200"/>
      <c r="M1564" s="308"/>
      <c r="N1564" s="308"/>
      <c r="O1564" s="309"/>
      <c r="P1564" s="310"/>
      <c r="Q1564" s="260"/>
      <c r="R1564" s="261"/>
      <c r="S1564" s="261"/>
      <c r="T1564" s="311"/>
      <c r="U1564" s="261"/>
      <c r="V1564" s="256"/>
      <c r="W1564" s="256"/>
      <c r="X1564" s="256"/>
      <c r="Y1564" s="256"/>
      <c r="Z1564" s="310"/>
      <c r="AA1564" s="200"/>
      <c r="AB1564" s="312"/>
      <c r="AC1564" s="313"/>
      <c r="AD1564" s="51"/>
      <c r="AE1564" s="314"/>
      <c r="AF1564" s="315"/>
      <c r="AG1564" s="309"/>
      <c r="AH1564" s="28"/>
      <c r="AI1564" s="28"/>
      <c r="AJ1564" s="28"/>
      <c r="AK1564" s="28"/>
      <c r="AL1564" s="12"/>
      <c r="AM1564" s="12"/>
      <c r="AN1564" s="12"/>
      <c r="AO1564" s="12"/>
      <c r="AP1564" s="12"/>
      <c r="AQ1564" s="13"/>
      <c r="AR1564" s="14"/>
    </row>
    <row r="1565" spans="1:44" s="16" customFormat="1" ht="30.95" customHeight="1" x14ac:dyDescent="0.2">
      <c r="A1565" s="303"/>
      <c r="B1565" s="304"/>
      <c r="C1565" s="305"/>
      <c r="D1565" s="306"/>
      <c r="E1565" s="306"/>
      <c r="F1565" s="255"/>
      <c r="G1565" s="256"/>
      <c r="H1565" s="256"/>
      <c r="I1565" s="200"/>
      <c r="J1565" s="307"/>
      <c r="K1565" s="200"/>
      <c r="L1565" s="200"/>
      <c r="M1565" s="308"/>
      <c r="N1565" s="308"/>
      <c r="O1565" s="309"/>
      <c r="P1565" s="310"/>
      <c r="Q1565" s="260"/>
      <c r="R1565" s="261"/>
      <c r="S1565" s="261"/>
      <c r="T1565" s="311"/>
      <c r="U1565" s="261"/>
      <c r="V1565" s="256"/>
      <c r="W1565" s="256"/>
      <c r="X1565" s="256"/>
      <c r="Y1565" s="256"/>
      <c r="Z1565" s="310"/>
      <c r="AA1565" s="200"/>
      <c r="AB1565" s="312"/>
      <c r="AC1565" s="313"/>
      <c r="AD1565" s="51"/>
      <c r="AE1565" s="314"/>
      <c r="AF1565" s="315"/>
      <c r="AG1565" s="309"/>
      <c r="AH1565" s="28"/>
      <c r="AI1565" s="28"/>
      <c r="AJ1565" s="28"/>
      <c r="AK1565" s="28"/>
      <c r="AL1565" s="12"/>
      <c r="AM1565" s="12"/>
      <c r="AN1565" s="12"/>
      <c r="AO1565" s="12"/>
      <c r="AP1565" s="12"/>
      <c r="AQ1565" s="13"/>
      <c r="AR1565" s="14"/>
    </row>
    <row r="1566" spans="1:44" s="16" customFormat="1" ht="30.95" customHeight="1" x14ac:dyDescent="0.2">
      <c r="A1566" s="303"/>
      <c r="B1566" s="304"/>
      <c r="C1566" s="305"/>
      <c r="D1566" s="306"/>
      <c r="E1566" s="306"/>
      <c r="F1566" s="255"/>
      <c r="G1566" s="256"/>
      <c r="H1566" s="256"/>
      <c r="I1566" s="200"/>
      <c r="J1566" s="307"/>
      <c r="K1566" s="200"/>
      <c r="L1566" s="200"/>
      <c r="M1566" s="308"/>
      <c r="N1566" s="308"/>
      <c r="O1566" s="309"/>
      <c r="P1566" s="310"/>
      <c r="Q1566" s="260"/>
      <c r="R1566" s="261"/>
      <c r="S1566" s="261"/>
      <c r="T1566" s="311"/>
      <c r="U1566" s="261"/>
      <c r="V1566" s="256"/>
      <c r="W1566" s="256"/>
      <c r="X1566" s="256"/>
      <c r="Y1566" s="256"/>
      <c r="Z1566" s="310"/>
      <c r="AA1566" s="200"/>
      <c r="AB1566" s="312"/>
      <c r="AC1566" s="313"/>
      <c r="AD1566" s="51"/>
      <c r="AE1566" s="314"/>
      <c r="AF1566" s="315"/>
      <c r="AG1566" s="309"/>
      <c r="AH1566" s="28"/>
      <c r="AI1566" s="28"/>
      <c r="AJ1566" s="28"/>
      <c r="AK1566" s="28"/>
      <c r="AL1566" s="12"/>
      <c r="AM1566" s="12"/>
      <c r="AN1566" s="12"/>
      <c r="AO1566" s="12"/>
      <c r="AP1566" s="12"/>
      <c r="AQ1566" s="13"/>
      <c r="AR1566" s="14"/>
    </row>
    <row r="1567" spans="1:44" s="16" customFormat="1" ht="30.95" customHeight="1" x14ac:dyDescent="0.2">
      <c r="A1567" s="303"/>
      <c r="B1567" s="304"/>
      <c r="C1567" s="305"/>
      <c r="D1567" s="306"/>
      <c r="E1567" s="306"/>
      <c r="F1567" s="255"/>
      <c r="G1567" s="256"/>
      <c r="H1567" s="256"/>
      <c r="I1567" s="200"/>
      <c r="J1567" s="307"/>
      <c r="K1567" s="200"/>
      <c r="L1567" s="200"/>
      <c r="M1567" s="308"/>
      <c r="N1567" s="308"/>
      <c r="O1567" s="309"/>
      <c r="P1567" s="310"/>
      <c r="Q1567" s="260"/>
      <c r="R1567" s="261"/>
      <c r="S1567" s="261"/>
      <c r="T1567" s="311"/>
      <c r="U1567" s="261"/>
      <c r="V1567" s="256"/>
      <c r="W1567" s="256"/>
      <c r="X1567" s="256"/>
      <c r="Y1567" s="256"/>
      <c r="Z1567" s="310"/>
      <c r="AA1567" s="200"/>
      <c r="AB1567" s="312"/>
      <c r="AC1567" s="313"/>
      <c r="AD1567" s="51"/>
      <c r="AE1567" s="314"/>
      <c r="AF1567" s="315"/>
      <c r="AG1567" s="309"/>
      <c r="AH1567" s="28"/>
      <c r="AI1567" s="28"/>
      <c r="AJ1567" s="28"/>
      <c r="AK1567" s="28"/>
      <c r="AL1567" s="12"/>
      <c r="AM1567" s="12"/>
      <c r="AN1567" s="12"/>
      <c r="AO1567" s="12"/>
      <c r="AP1567" s="12"/>
      <c r="AQ1567" s="13"/>
      <c r="AR1567" s="14"/>
    </row>
    <row r="1568" spans="1:44" s="16" customFormat="1" ht="30.95" customHeight="1" x14ac:dyDescent="0.2">
      <c r="A1568" s="303"/>
      <c r="B1568" s="304"/>
      <c r="C1568" s="305"/>
      <c r="D1568" s="306"/>
      <c r="E1568" s="306"/>
      <c r="F1568" s="255"/>
      <c r="G1568" s="256"/>
      <c r="H1568" s="256"/>
      <c r="I1568" s="200"/>
      <c r="J1568" s="307"/>
      <c r="K1568" s="200"/>
      <c r="L1568" s="200"/>
      <c r="M1568" s="308"/>
      <c r="N1568" s="308"/>
      <c r="O1568" s="309"/>
      <c r="P1568" s="310"/>
      <c r="Q1568" s="260"/>
      <c r="R1568" s="261"/>
      <c r="S1568" s="261"/>
      <c r="T1568" s="311"/>
      <c r="U1568" s="261"/>
      <c r="V1568" s="256"/>
      <c r="W1568" s="256"/>
      <c r="X1568" s="256"/>
      <c r="Y1568" s="256"/>
      <c r="Z1568" s="310"/>
      <c r="AA1568" s="200"/>
      <c r="AB1568" s="312"/>
      <c r="AC1568" s="313"/>
      <c r="AD1568" s="51"/>
      <c r="AE1568" s="314"/>
      <c r="AF1568" s="315"/>
      <c r="AG1568" s="309"/>
      <c r="AH1568" s="28"/>
      <c r="AI1568" s="28"/>
      <c r="AJ1568" s="28"/>
      <c r="AK1568" s="28"/>
      <c r="AL1568" s="12"/>
      <c r="AM1568" s="12"/>
      <c r="AN1568" s="12"/>
      <c r="AO1568" s="12"/>
      <c r="AP1568" s="12"/>
      <c r="AQ1568" s="13"/>
      <c r="AR1568" s="14"/>
    </row>
    <row r="1569" spans="1:44" s="16" customFormat="1" ht="30.95" customHeight="1" x14ac:dyDescent="0.2">
      <c r="A1569" s="303"/>
      <c r="B1569" s="304"/>
      <c r="C1569" s="305"/>
      <c r="D1569" s="306"/>
      <c r="E1569" s="306"/>
      <c r="F1569" s="255"/>
      <c r="G1569" s="256"/>
      <c r="H1569" s="256"/>
      <c r="I1569" s="200"/>
      <c r="J1569" s="307"/>
      <c r="K1569" s="200"/>
      <c r="L1569" s="200"/>
      <c r="M1569" s="308"/>
      <c r="N1569" s="308"/>
      <c r="O1569" s="309"/>
      <c r="P1569" s="310"/>
      <c r="Q1569" s="260"/>
      <c r="R1569" s="261"/>
      <c r="S1569" s="261"/>
      <c r="T1569" s="311"/>
      <c r="U1569" s="261"/>
      <c r="V1569" s="256"/>
      <c r="W1569" s="256"/>
      <c r="X1569" s="256"/>
      <c r="Y1569" s="256"/>
      <c r="Z1569" s="310"/>
      <c r="AA1569" s="200"/>
      <c r="AB1569" s="312"/>
      <c r="AC1569" s="313"/>
      <c r="AD1569" s="51"/>
      <c r="AE1569" s="314"/>
      <c r="AF1569" s="315"/>
      <c r="AG1569" s="309"/>
      <c r="AH1569" s="28"/>
      <c r="AI1569" s="28"/>
      <c r="AJ1569" s="28"/>
      <c r="AK1569" s="28"/>
      <c r="AL1569" s="12"/>
      <c r="AM1569" s="12"/>
      <c r="AN1569" s="12"/>
      <c r="AO1569" s="12"/>
      <c r="AP1569" s="12"/>
      <c r="AQ1569" s="13"/>
      <c r="AR1569" s="14"/>
    </row>
    <row r="1570" spans="1:44" s="16" customFormat="1" ht="30.95" customHeight="1" x14ac:dyDescent="0.2">
      <c r="A1570" s="303"/>
      <c r="B1570" s="304"/>
      <c r="C1570" s="305"/>
      <c r="D1570" s="306"/>
      <c r="E1570" s="306"/>
      <c r="F1570" s="255"/>
      <c r="G1570" s="256"/>
      <c r="H1570" s="256"/>
      <c r="I1570" s="200"/>
      <c r="J1570" s="307"/>
      <c r="K1570" s="200"/>
      <c r="L1570" s="200"/>
      <c r="M1570" s="308"/>
      <c r="N1570" s="308"/>
      <c r="O1570" s="309"/>
      <c r="P1570" s="310"/>
      <c r="Q1570" s="260"/>
      <c r="R1570" s="261"/>
      <c r="S1570" s="261"/>
      <c r="T1570" s="311"/>
      <c r="U1570" s="261"/>
      <c r="V1570" s="256"/>
      <c r="W1570" s="256"/>
      <c r="X1570" s="256"/>
      <c r="Y1570" s="256"/>
      <c r="Z1570" s="310"/>
      <c r="AA1570" s="200"/>
      <c r="AB1570" s="312"/>
      <c r="AC1570" s="313"/>
      <c r="AD1570" s="51"/>
      <c r="AE1570" s="314"/>
      <c r="AF1570" s="315"/>
      <c r="AG1570" s="309"/>
      <c r="AH1570" s="28"/>
      <c r="AI1570" s="28"/>
      <c r="AJ1570" s="28"/>
      <c r="AK1570" s="28"/>
      <c r="AL1570" s="12"/>
      <c r="AM1570" s="12"/>
      <c r="AN1570" s="12"/>
      <c r="AO1570" s="12"/>
      <c r="AP1570" s="12"/>
      <c r="AQ1570" s="13"/>
      <c r="AR1570" s="14"/>
    </row>
    <row r="1571" spans="1:44" s="16" customFormat="1" ht="30.95" customHeight="1" x14ac:dyDescent="0.2">
      <c r="A1571" s="303"/>
      <c r="B1571" s="304"/>
      <c r="C1571" s="305"/>
      <c r="D1571" s="306"/>
      <c r="E1571" s="306"/>
      <c r="F1571" s="255"/>
      <c r="G1571" s="256"/>
      <c r="H1571" s="256"/>
      <c r="I1571" s="200"/>
      <c r="J1571" s="307"/>
      <c r="K1571" s="200"/>
      <c r="L1571" s="200"/>
      <c r="M1571" s="308"/>
      <c r="N1571" s="308"/>
      <c r="O1571" s="309"/>
      <c r="P1571" s="310"/>
      <c r="Q1571" s="260"/>
      <c r="R1571" s="261"/>
      <c r="S1571" s="261"/>
      <c r="T1571" s="311"/>
      <c r="U1571" s="261"/>
      <c r="V1571" s="256"/>
      <c r="W1571" s="256"/>
      <c r="X1571" s="256"/>
      <c r="Y1571" s="256"/>
      <c r="Z1571" s="310"/>
      <c r="AA1571" s="200"/>
      <c r="AB1571" s="312"/>
      <c r="AC1571" s="313"/>
      <c r="AD1571" s="51"/>
      <c r="AE1571" s="314"/>
      <c r="AF1571" s="315"/>
      <c r="AG1571" s="309"/>
      <c r="AH1571" s="28"/>
      <c r="AI1571" s="28"/>
      <c r="AJ1571" s="28"/>
      <c r="AK1571" s="28"/>
      <c r="AL1571" s="12"/>
      <c r="AM1571" s="12"/>
      <c r="AN1571" s="12"/>
      <c r="AO1571" s="12"/>
      <c r="AP1571" s="12"/>
      <c r="AQ1571" s="13"/>
      <c r="AR1571" s="14"/>
    </row>
    <row r="1572" spans="1:44" s="16" customFormat="1" ht="30.95" customHeight="1" x14ac:dyDescent="0.2">
      <c r="A1572" s="303"/>
      <c r="B1572" s="304"/>
      <c r="C1572" s="305"/>
      <c r="D1572" s="306"/>
      <c r="E1572" s="306"/>
      <c r="F1572" s="255"/>
      <c r="G1572" s="256"/>
      <c r="H1572" s="256"/>
      <c r="I1572" s="200"/>
      <c r="J1572" s="307"/>
      <c r="K1572" s="200"/>
      <c r="L1572" s="200"/>
      <c r="M1572" s="308"/>
      <c r="N1572" s="308"/>
      <c r="O1572" s="309"/>
      <c r="P1572" s="310"/>
      <c r="Q1572" s="260"/>
      <c r="R1572" s="261"/>
      <c r="S1572" s="261"/>
      <c r="T1572" s="311"/>
      <c r="U1572" s="261"/>
      <c r="V1572" s="256"/>
      <c r="W1572" s="256"/>
      <c r="X1572" s="256"/>
      <c r="Y1572" s="256"/>
      <c r="Z1572" s="310"/>
      <c r="AA1572" s="200"/>
      <c r="AB1572" s="312"/>
      <c r="AC1572" s="313"/>
      <c r="AD1572" s="51"/>
      <c r="AE1572" s="314"/>
      <c r="AF1572" s="315"/>
      <c r="AG1572" s="309"/>
      <c r="AH1572" s="28"/>
      <c r="AI1572" s="28"/>
      <c r="AJ1572" s="28"/>
      <c r="AK1572" s="28"/>
      <c r="AL1572" s="12"/>
      <c r="AM1572" s="12"/>
      <c r="AN1572" s="12"/>
      <c r="AO1572" s="12"/>
      <c r="AP1572" s="12"/>
      <c r="AQ1572" s="13"/>
      <c r="AR1572" s="14"/>
    </row>
    <row r="1573" spans="1:44" s="16" customFormat="1" ht="30.95" customHeight="1" x14ac:dyDescent="0.2">
      <c r="A1573" s="303"/>
      <c r="B1573" s="304"/>
      <c r="C1573" s="305"/>
      <c r="D1573" s="306"/>
      <c r="E1573" s="306"/>
      <c r="F1573" s="255"/>
      <c r="G1573" s="256"/>
      <c r="H1573" s="256"/>
      <c r="I1573" s="200"/>
      <c r="J1573" s="307"/>
      <c r="K1573" s="200"/>
      <c r="L1573" s="200"/>
      <c r="M1573" s="308"/>
      <c r="N1573" s="308"/>
      <c r="O1573" s="309"/>
      <c r="P1573" s="310"/>
      <c r="Q1573" s="260"/>
      <c r="R1573" s="261"/>
      <c r="S1573" s="261"/>
      <c r="T1573" s="311"/>
      <c r="U1573" s="261"/>
      <c r="V1573" s="256"/>
      <c r="W1573" s="256"/>
      <c r="X1573" s="256"/>
      <c r="Y1573" s="256"/>
      <c r="Z1573" s="310"/>
      <c r="AA1573" s="200"/>
      <c r="AB1573" s="312"/>
      <c r="AC1573" s="313"/>
      <c r="AD1573" s="51"/>
      <c r="AE1573" s="314"/>
      <c r="AF1573" s="315"/>
      <c r="AG1573" s="309"/>
      <c r="AH1573" s="28"/>
      <c r="AI1573" s="28"/>
      <c r="AJ1573" s="28"/>
      <c r="AK1573" s="28"/>
      <c r="AL1573" s="12"/>
      <c r="AM1573" s="12"/>
      <c r="AN1573" s="12"/>
      <c r="AO1573" s="12"/>
      <c r="AP1573" s="12"/>
      <c r="AQ1573" s="13"/>
      <c r="AR1573" s="14"/>
    </row>
    <row r="1574" spans="1:44" s="16" customFormat="1" ht="30.95" customHeight="1" x14ac:dyDescent="0.2">
      <c r="A1574" s="303"/>
      <c r="B1574" s="304"/>
      <c r="C1574" s="305"/>
      <c r="D1574" s="306"/>
      <c r="E1574" s="306"/>
      <c r="F1574" s="255"/>
      <c r="G1574" s="256"/>
      <c r="H1574" s="256"/>
      <c r="I1574" s="200"/>
      <c r="J1574" s="307"/>
      <c r="K1574" s="200"/>
      <c r="L1574" s="200"/>
      <c r="M1574" s="308"/>
      <c r="N1574" s="308"/>
      <c r="O1574" s="309"/>
      <c r="P1574" s="310"/>
      <c r="Q1574" s="260"/>
      <c r="R1574" s="261"/>
      <c r="S1574" s="261"/>
      <c r="T1574" s="311"/>
      <c r="U1574" s="261"/>
      <c r="V1574" s="256"/>
      <c r="W1574" s="256"/>
      <c r="X1574" s="256"/>
      <c r="Y1574" s="256"/>
      <c r="Z1574" s="310"/>
      <c r="AA1574" s="200"/>
      <c r="AB1574" s="312"/>
      <c r="AC1574" s="313"/>
      <c r="AD1574" s="51"/>
      <c r="AE1574" s="314"/>
      <c r="AF1574" s="315"/>
      <c r="AG1574" s="309"/>
      <c r="AH1574" s="28"/>
      <c r="AI1574" s="28"/>
      <c r="AJ1574" s="28"/>
      <c r="AK1574" s="28"/>
      <c r="AL1574" s="12"/>
      <c r="AM1574" s="12"/>
      <c r="AN1574" s="12"/>
      <c r="AO1574" s="12"/>
      <c r="AP1574" s="12"/>
      <c r="AQ1574" s="13"/>
      <c r="AR1574" s="14"/>
    </row>
    <row r="1575" spans="1:44" s="16" customFormat="1" ht="30.95" customHeight="1" x14ac:dyDescent="0.2">
      <c r="A1575" s="303"/>
      <c r="B1575" s="304"/>
      <c r="C1575" s="305"/>
      <c r="D1575" s="306"/>
      <c r="E1575" s="306"/>
      <c r="F1575" s="255"/>
      <c r="G1575" s="256"/>
      <c r="H1575" s="256"/>
      <c r="I1575" s="200"/>
      <c r="J1575" s="307"/>
      <c r="K1575" s="200"/>
      <c r="L1575" s="200"/>
      <c r="M1575" s="308"/>
      <c r="N1575" s="308"/>
      <c r="O1575" s="309"/>
      <c r="P1575" s="310"/>
      <c r="Q1575" s="260"/>
      <c r="R1575" s="261"/>
      <c r="S1575" s="261"/>
      <c r="T1575" s="311"/>
      <c r="U1575" s="261"/>
      <c r="V1575" s="256"/>
      <c r="W1575" s="256"/>
      <c r="X1575" s="256"/>
      <c r="Y1575" s="256"/>
      <c r="Z1575" s="310"/>
      <c r="AA1575" s="200"/>
      <c r="AB1575" s="312"/>
      <c r="AC1575" s="313"/>
      <c r="AD1575" s="51"/>
      <c r="AE1575" s="314"/>
      <c r="AF1575" s="315"/>
      <c r="AG1575" s="309"/>
      <c r="AH1575" s="28"/>
      <c r="AI1575" s="28"/>
      <c r="AJ1575" s="28"/>
      <c r="AK1575" s="28"/>
      <c r="AL1575" s="12"/>
      <c r="AM1575" s="12"/>
      <c r="AN1575" s="12"/>
      <c r="AO1575" s="12"/>
      <c r="AP1575" s="12"/>
      <c r="AQ1575" s="13"/>
      <c r="AR1575" s="14"/>
    </row>
    <row r="1576" spans="1:44" s="16" customFormat="1" ht="30.95" customHeight="1" x14ac:dyDescent="0.2">
      <c r="A1576" s="303"/>
      <c r="B1576" s="304"/>
      <c r="C1576" s="305"/>
      <c r="D1576" s="306"/>
      <c r="E1576" s="306"/>
      <c r="F1576" s="255"/>
      <c r="G1576" s="256"/>
      <c r="H1576" s="256"/>
      <c r="I1576" s="200"/>
      <c r="J1576" s="307"/>
      <c r="K1576" s="200"/>
      <c r="L1576" s="200"/>
      <c r="M1576" s="308"/>
      <c r="N1576" s="308"/>
      <c r="O1576" s="309"/>
      <c r="P1576" s="310"/>
      <c r="Q1576" s="260"/>
      <c r="R1576" s="261"/>
      <c r="S1576" s="261"/>
      <c r="T1576" s="311"/>
      <c r="U1576" s="261"/>
      <c r="V1576" s="256"/>
      <c r="W1576" s="256"/>
      <c r="X1576" s="256"/>
      <c r="Y1576" s="256"/>
      <c r="Z1576" s="310"/>
      <c r="AA1576" s="200"/>
      <c r="AB1576" s="312"/>
      <c r="AC1576" s="313"/>
      <c r="AD1576" s="51"/>
      <c r="AE1576" s="314"/>
      <c r="AF1576" s="315"/>
      <c r="AG1576" s="309"/>
      <c r="AH1576" s="28"/>
      <c r="AI1576" s="28"/>
      <c r="AJ1576" s="28"/>
      <c r="AK1576" s="28"/>
      <c r="AL1576" s="12"/>
      <c r="AM1576" s="12"/>
      <c r="AN1576" s="12"/>
      <c r="AO1576" s="12"/>
      <c r="AP1576" s="12"/>
      <c r="AQ1576" s="13"/>
      <c r="AR1576" s="14"/>
    </row>
    <row r="1577" spans="1:44" s="16" customFormat="1" ht="30.95" customHeight="1" x14ac:dyDescent="0.2">
      <c r="A1577" s="303"/>
      <c r="B1577" s="304"/>
      <c r="C1577" s="305"/>
      <c r="D1577" s="306"/>
      <c r="E1577" s="306"/>
      <c r="F1577" s="255"/>
      <c r="G1577" s="256"/>
      <c r="H1577" s="256"/>
      <c r="I1577" s="200"/>
      <c r="J1577" s="307"/>
      <c r="K1577" s="200"/>
      <c r="L1577" s="200"/>
      <c r="M1577" s="308"/>
      <c r="N1577" s="308"/>
      <c r="O1577" s="309"/>
      <c r="P1577" s="310"/>
      <c r="Q1577" s="260"/>
      <c r="R1577" s="261"/>
      <c r="S1577" s="261"/>
      <c r="T1577" s="311"/>
      <c r="U1577" s="261"/>
      <c r="V1577" s="256"/>
      <c r="W1577" s="256"/>
      <c r="X1577" s="256"/>
      <c r="Y1577" s="256"/>
      <c r="Z1577" s="310"/>
      <c r="AA1577" s="200"/>
      <c r="AB1577" s="312"/>
      <c r="AC1577" s="313"/>
      <c r="AD1577" s="51"/>
      <c r="AE1577" s="314"/>
      <c r="AF1577" s="315"/>
      <c r="AG1577" s="309"/>
      <c r="AH1577" s="28"/>
      <c r="AI1577" s="28"/>
      <c r="AJ1577" s="28"/>
      <c r="AK1577" s="28"/>
      <c r="AL1577" s="12"/>
      <c r="AM1577" s="12"/>
      <c r="AN1577" s="12"/>
      <c r="AO1577" s="12"/>
      <c r="AP1577" s="12"/>
      <c r="AQ1577" s="13"/>
      <c r="AR1577" s="14"/>
    </row>
    <row r="1578" spans="1:44" s="16" customFormat="1" ht="30.95" customHeight="1" x14ac:dyDescent="0.2">
      <c r="A1578" s="303"/>
      <c r="B1578" s="304"/>
      <c r="C1578" s="305"/>
      <c r="D1578" s="306"/>
      <c r="E1578" s="306"/>
      <c r="F1578" s="255"/>
      <c r="G1578" s="256"/>
      <c r="H1578" s="256"/>
      <c r="I1578" s="200"/>
      <c r="J1578" s="307"/>
      <c r="K1578" s="200"/>
      <c r="L1578" s="200"/>
      <c r="M1578" s="308"/>
      <c r="N1578" s="308"/>
      <c r="O1578" s="309"/>
      <c r="P1578" s="310"/>
      <c r="Q1578" s="260"/>
      <c r="R1578" s="261"/>
      <c r="S1578" s="261"/>
      <c r="T1578" s="311"/>
      <c r="U1578" s="261"/>
      <c r="V1578" s="256"/>
      <c r="W1578" s="256"/>
      <c r="X1578" s="256"/>
      <c r="Y1578" s="256"/>
      <c r="Z1578" s="310"/>
      <c r="AA1578" s="200"/>
      <c r="AB1578" s="312"/>
      <c r="AC1578" s="313"/>
      <c r="AD1578" s="51"/>
      <c r="AE1578" s="314"/>
      <c r="AF1578" s="315"/>
      <c r="AG1578" s="309"/>
      <c r="AH1578" s="28"/>
      <c r="AI1578" s="28"/>
      <c r="AJ1578" s="28"/>
      <c r="AK1578" s="28"/>
      <c r="AL1578" s="12"/>
      <c r="AM1578" s="12"/>
      <c r="AN1578" s="12"/>
      <c r="AO1578" s="12"/>
      <c r="AP1578" s="12"/>
      <c r="AQ1578" s="13"/>
      <c r="AR1578" s="14"/>
    </row>
    <row r="1579" spans="1:44" s="16" customFormat="1" ht="30.95" customHeight="1" x14ac:dyDescent="0.2">
      <c r="A1579" s="303"/>
      <c r="B1579" s="304"/>
      <c r="C1579" s="305"/>
      <c r="D1579" s="306"/>
      <c r="E1579" s="306"/>
      <c r="F1579" s="255"/>
      <c r="G1579" s="256"/>
      <c r="H1579" s="256"/>
      <c r="I1579" s="200"/>
      <c r="J1579" s="307"/>
      <c r="K1579" s="200"/>
      <c r="L1579" s="200"/>
      <c r="M1579" s="308"/>
      <c r="N1579" s="308"/>
      <c r="O1579" s="309"/>
      <c r="P1579" s="310"/>
      <c r="Q1579" s="260"/>
      <c r="R1579" s="261"/>
      <c r="S1579" s="261"/>
      <c r="T1579" s="311"/>
      <c r="U1579" s="261"/>
      <c r="V1579" s="256"/>
      <c r="W1579" s="256"/>
      <c r="X1579" s="256"/>
      <c r="Y1579" s="256"/>
      <c r="Z1579" s="310"/>
      <c r="AA1579" s="200"/>
      <c r="AB1579" s="312"/>
      <c r="AC1579" s="313"/>
      <c r="AD1579" s="51"/>
      <c r="AE1579" s="314"/>
      <c r="AF1579" s="315"/>
      <c r="AG1579" s="309"/>
      <c r="AH1579" s="28"/>
      <c r="AI1579" s="28"/>
      <c r="AJ1579" s="28"/>
      <c r="AK1579" s="28"/>
      <c r="AL1579" s="12"/>
      <c r="AM1579" s="12"/>
      <c r="AN1579" s="12"/>
      <c r="AO1579" s="12"/>
      <c r="AP1579" s="12"/>
      <c r="AQ1579" s="13"/>
      <c r="AR1579" s="14"/>
    </row>
    <row r="1580" spans="1:44" s="16" customFormat="1" ht="30.95" customHeight="1" x14ac:dyDescent="0.2">
      <c r="A1580" s="303"/>
      <c r="B1580" s="304"/>
      <c r="C1580" s="305"/>
      <c r="D1580" s="306"/>
      <c r="E1580" s="306"/>
      <c r="F1580" s="255"/>
      <c r="G1580" s="256"/>
      <c r="H1580" s="256"/>
      <c r="I1580" s="200"/>
      <c r="J1580" s="307"/>
      <c r="K1580" s="200"/>
      <c r="L1580" s="200"/>
      <c r="M1580" s="308"/>
      <c r="N1580" s="308"/>
      <c r="O1580" s="309"/>
      <c r="P1580" s="310"/>
      <c r="Q1580" s="260"/>
      <c r="R1580" s="261"/>
      <c r="S1580" s="261"/>
      <c r="T1580" s="311"/>
      <c r="U1580" s="261"/>
      <c r="V1580" s="256"/>
      <c r="W1580" s="256"/>
      <c r="X1580" s="256"/>
      <c r="Y1580" s="256"/>
      <c r="Z1580" s="310"/>
      <c r="AA1580" s="200"/>
      <c r="AB1580" s="312"/>
      <c r="AC1580" s="313"/>
      <c r="AD1580" s="51"/>
      <c r="AE1580" s="314"/>
      <c r="AF1580" s="315"/>
      <c r="AG1580" s="309"/>
      <c r="AH1580" s="28"/>
      <c r="AI1580" s="28"/>
      <c r="AJ1580" s="28"/>
      <c r="AK1580" s="28"/>
      <c r="AL1580" s="12"/>
      <c r="AM1580" s="12"/>
      <c r="AN1580" s="12"/>
      <c r="AO1580" s="12"/>
      <c r="AP1580" s="12"/>
      <c r="AQ1580" s="13"/>
      <c r="AR1580" s="14"/>
    </row>
    <row r="1581" spans="1:44" s="16" customFormat="1" ht="30.95" customHeight="1" x14ac:dyDescent="0.2">
      <c r="A1581" s="303"/>
      <c r="B1581" s="304"/>
      <c r="C1581" s="305"/>
      <c r="D1581" s="306"/>
      <c r="E1581" s="306"/>
      <c r="F1581" s="255"/>
      <c r="G1581" s="256"/>
      <c r="H1581" s="256"/>
      <c r="I1581" s="200"/>
      <c r="J1581" s="307"/>
      <c r="K1581" s="200"/>
      <c r="L1581" s="200"/>
      <c r="M1581" s="308"/>
      <c r="N1581" s="308"/>
      <c r="O1581" s="309"/>
      <c r="P1581" s="310"/>
      <c r="Q1581" s="260"/>
      <c r="R1581" s="261"/>
      <c r="S1581" s="261"/>
      <c r="T1581" s="311"/>
      <c r="U1581" s="261"/>
      <c r="V1581" s="256"/>
      <c r="W1581" s="256"/>
      <c r="X1581" s="256"/>
      <c r="Y1581" s="256"/>
      <c r="Z1581" s="310"/>
      <c r="AA1581" s="200"/>
      <c r="AB1581" s="312"/>
      <c r="AC1581" s="313"/>
      <c r="AD1581" s="51"/>
      <c r="AE1581" s="314"/>
      <c r="AF1581" s="315"/>
      <c r="AG1581" s="309"/>
      <c r="AH1581" s="28"/>
      <c r="AI1581" s="28"/>
      <c r="AJ1581" s="28"/>
      <c r="AK1581" s="28"/>
      <c r="AL1581" s="12"/>
      <c r="AM1581" s="12"/>
      <c r="AN1581" s="12"/>
      <c r="AO1581" s="12"/>
      <c r="AP1581" s="12"/>
      <c r="AQ1581" s="13"/>
      <c r="AR1581" s="14"/>
    </row>
    <row r="1582" spans="1:44" s="16" customFormat="1" ht="30.95" customHeight="1" x14ac:dyDescent="0.2">
      <c r="A1582" s="303"/>
      <c r="B1582" s="304"/>
      <c r="C1582" s="305"/>
      <c r="D1582" s="306"/>
      <c r="E1582" s="306"/>
      <c r="F1582" s="255"/>
      <c r="G1582" s="256"/>
      <c r="H1582" s="256"/>
      <c r="I1582" s="200"/>
      <c r="J1582" s="307"/>
      <c r="K1582" s="200"/>
      <c r="L1582" s="200"/>
      <c r="M1582" s="308"/>
      <c r="N1582" s="308"/>
      <c r="O1582" s="309"/>
      <c r="P1582" s="310"/>
      <c r="Q1582" s="260"/>
      <c r="R1582" s="261"/>
      <c r="S1582" s="261"/>
      <c r="T1582" s="311"/>
      <c r="U1582" s="261"/>
      <c r="V1582" s="256"/>
      <c r="W1582" s="256"/>
      <c r="X1582" s="256"/>
      <c r="Y1582" s="256"/>
      <c r="Z1582" s="310"/>
      <c r="AA1582" s="200"/>
      <c r="AB1582" s="312"/>
      <c r="AC1582" s="313"/>
      <c r="AD1582" s="51"/>
      <c r="AE1582" s="314"/>
      <c r="AF1582" s="315"/>
      <c r="AG1582" s="309"/>
      <c r="AH1582" s="28"/>
      <c r="AI1582" s="28"/>
      <c r="AJ1582" s="28"/>
      <c r="AK1582" s="28"/>
      <c r="AL1582" s="12"/>
      <c r="AM1582" s="12"/>
      <c r="AN1582" s="12"/>
      <c r="AO1582" s="12"/>
      <c r="AP1582" s="12"/>
      <c r="AQ1582" s="13"/>
      <c r="AR1582" s="14"/>
    </row>
    <row r="1583" spans="1:44" s="16" customFormat="1" ht="30.95" customHeight="1" x14ac:dyDescent="0.2">
      <c r="A1583" s="303"/>
      <c r="B1583" s="304"/>
      <c r="C1583" s="305"/>
      <c r="D1583" s="306"/>
      <c r="E1583" s="306"/>
      <c r="F1583" s="255"/>
      <c r="G1583" s="256"/>
      <c r="H1583" s="256"/>
      <c r="I1583" s="200"/>
      <c r="J1583" s="307"/>
      <c r="K1583" s="200"/>
      <c r="L1583" s="200"/>
      <c r="M1583" s="308"/>
      <c r="N1583" s="308"/>
      <c r="O1583" s="309"/>
      <c r="P1583" s="310"/>
      <c r="Q1583" s="260"/>
      <c r="R1583" s="261"/>
      <c r="S1583" s="261"/>
      <c r="T1583" s="311"/>
      <c r="U1583" s="261"/>
      <c r="V1583" s="256"/>
      <c r="W1583" s="256"/>
      <c r="X1583" s="256"/>
      <c r="Y1583" s="256"/>
      <c r="Z1583" s="310"/>
      <c r="AA1583" s="200"/>
      <c r="AB1583" s="312"/>
      <c r="AC1583" s="313"/>
      <c r="AD1583" s="51"/>
      <c r="AE1583" s="314"/>
      <c r="AF1583" s="315"/>
      <c r="AG1583" s="309"/>
      <c r="AH1583" s="28"/>
      <c r="AI1583" s="28"/>
      <c r="AJ1583" s="28"/>
      <c r="AK1583" s="28"/>
      <c r="AL1583" s="12"/>
      <c r="AM1583" s="12"/>
      <c r="AN1583" s="12"/>
      <c r="AO1583" s="12"/>
      <c r="AP1583" s="12"/>
      <c r="AQ1583" s="13"/>
      <c r="AR1583" s="14"/>
    </row>
    <row r="1584" spans="1:44" s="16" customFormat="1" ht="30.95" customHeight="1" x14ac:dyDescent="0.2">
      <c r="A1584" s="303"/>
      <c r="B1584" s="304"/>
      <c r="C1584" s="305"/>
      <c r="D1584" s="306"/>
      <c r="E1584" s="306"/>
      <c r="F1584" s="255"/>
      <c r="G1584" s="256"/>
      <c r="H1584" s="256"/>
      <c r="I1584" s="200"/>
      <c r="J1584" s="307"/>
      <c r="K1584" s="200"/>
      <c r="L1584" s="200"/>
      <c r="M1584" s="308"/>
      <c r="N1584" s="308"/>
      <c r="O1584" s="309"/>
      <c r="P1584" s="310"/>
      <c r="Q1584" s="260"/>
      <c r="R1584" s="261"/>
      <c r="S1584" s="261"/>
      <c r="T1584" s="311"/>
      <c r="U1584" s="261"/>
      <c r="V1584" s="256"/>
      <c r="W1584" s="256"/>
      <c r="X1584" s="256"/>
      <c r="Y1584" s="256"/>
      <c r="Z1584" s="310"/>
      <c r="AA1584" s="200"/>
      <c r="AB1584" s="312"/>
      <c r="AC1584" s="313"/>
      <c r="AD1584" s="51"/>
      <c r="AE1584" s="314"/>
      <c r="AF1584" s="315"/>
      <c r="AG1584" s="309"/>
      <c r="AH1584" s="28"/>
      <c r="AI1584" s="28"/>
      <c r="AJ1584" s="28"/>
      <c r="AK1584" s="28"/>
      <c r="AL1584" s="12"/>
      <c r="AM1584" s="12"/>
      <c r="AN1584" s="12"/>
      <c r="AO1584" s="12"/>
      <c r="AP1584" s="12"/>
      <c r="AQ1584" s="13"/>
      <c r="AR1584" s="14"/>
    </row>
    <row r="1585" spans="1:44" s="16" customFormat="1" ht="30.95" customHeight="1" x14ac:dyDescent="0.2">
      <c r="A1585" s="303"/>
      <c r="B1585" s="304"/>
      <c r="C1585" s="305"/>
      <c r="D1585" s="306"/>
      <c r="E1585" s="306"/>
      <c r="F1585" s="255"/>
      <c r="G1585" s="256"/>
      <c r="H1585" s="256"/>
      <c r="I1585" s="200"/>
      <c r="J1585" s="307"/>
      <c r="K1585" s="200"/>
      <c r="L1585" s="200"/>
      <c r="M1585" s="308"/>
      <c r="N1585" s="308"/>
      <c r="O1585" s="309"/>
      <c r="P1585" s="310"/>
      <c r="Q1585" s="260"/>
      <c r="R1585" s="261"/>
      <c r="S1585" s="261"/>
      <c r="T1585" s="311"/>
      <c r="U1585" s="261"/>
      <c r="V1585" s="256"/>
      <c r="W1585" s="256"/>
      <c r="X1585" s="256"/>
      <c r="Y1585" s="256"/>
      <c r="Z1585" s="310"/>
      <c r="AA1585" s="200"/>
      <c r="AB1585" s="312"/>
      <c r="AC1585" s="313"/>
      <c r="AD1585" s="51"/>
      <c r="AE1585" s="314"/>
      <c r="AF1585" s="315"/>
      <c r="AG1585" s="309"/>
      <c r="AH1585" s="28"/>
      <c r="AI1585" s="28"/>
      <c r="AJ1585" s="28"/>
      <c r="AK1585" s="28"/>
      <c r="AL1585" s="12"/>
      <c r="AM1585" s="12"/>
      <c r="AN1585" s="12"/>
      <c r="AO1585" s="12"/>
      <c r="AP1585" s="12"/>
      <c r="AQ1585" s="13"/>
      <c r="AR1585" s="14"/>
    </row>
    <row r="1586" spans="1:44" s="16" customFormat="1" ht="30.95" customHeight="1" x14ac:dyDescent="0.2">
      <c r="A1586" s="303"/>
      <c r="B1586" s="304"/>
      <c r="C1586" s="305"/>
      <c r="D1586" s="306"/>
      <c r="E1586" s="306"/>
      <c r="F1586" s="255"/>
      <c r="G1586" s="256"/>
      <c r="H1586" s="256"/>
      <c r="I1586" s="200"/>
      <c r="J1586" s="307"/>
      <c r="K1586" s="200"/>
      <c r="L1586" s="200"/>
      <c r="M1586" s="308"/>
      <c r="N1586" s="308"/>
      <c r="O1586" s="309"/>
      <c r="P1586" s="310"/>
      <c r="Q1586" s="260"/>
      <c r="R1586" s="261"/>
      <c r="S1586" s="261"/>
      <c r="T1586" s="311"/>
      <c r="U1586" s="261"/>
      <c r="V1586" s="256"/>
      <c r="W1586" s="256"/>
      <c r="X1586" s="256"/>
      <c r="Y1586" s="256"/>
      <c r="Z1586" s="310"/>
      <c r="AA1586" s="200"/>
      <c r="AB1586" s="312"/>
      <c r="AC1586" s="313"/>
      <c r="AD1586" s="51"/>
      <c r="AE1586" s="314"/>
      <c r="AF1586" s="315"/>
      <c r="AG1586" s="309"/>
      <c r="AH1586" s="28"/>
      <c r="AI1586" s="28"/>
      <c r="AJ1586" s="28"/>
      <c r="AK1586" s="28"/>
      <c r="AL1586" s="12"/>
      <c r="AM1586" s="12"/>
      <c r="AN1586" s="12"/>
      <c r="AO1586" s="12"/>
      <c r="AP1586" s="12"/>
      <c r="AQ1586" s="13"/>
      <c r="AR1586" s="14"/>
    </row>
    <row r="1587" spans="1:44" s="16" customFormat="1" ht="30.95" customHeight="1" x14ac:dyDescent="0.2">
      <c r="A1587" s="303"/>
      <c r="B1587" s="304"/>
      <c r="C1587" s="305"/>
      <c r="D1587" s="306"/>
      <c r="E1587" s="306"/>
      <c r="F1587" s="255"/>
      <c r="G1587" s="256"/>
      <c r="H1587" s="256"/>
      <c r="I1587" s="200"/>
      <c r="J1587" s="307"/>
      <c r="K1587" s="200"/>
      <c r="L1587" s="200"/>
      <c r="M1587" s="308"/>
      <c r="N1587" s="308"/>
      <c r="O1587" s="309"/>
      <c r="P1587" s="310"/>
      <c r="Q1587" s="260"/>
      <c r="R1587" s="261"/>
      <c r="S1587" s="261"/>
      <c r="T1587" s="311"/>
      <c r="U1587" s="261"/>
      <c r="V1587" s="256"/>
      <c r="W1587" s="256"/>
      <c r="X1587" s="256"/>
      <c r="Y1587" s="256"/>
      <c r="Z1587" s="310"/>
      <c r="AA1587" s="200"/>
      <c r="AB1587" s="312"/>
      <c r="AC1587" s="313"/>
      <c r="AD1587" s="51"/>
      <c r="AE1587" s="314"/>
      <c r="AF1587" s="315"/>
      <c r="AG1587" s="309"/>
      <c r="AH1587" s="28"/>
      <c r="AI1587" s="28"/>
      <c r="AJ1587" s="28"/>
      <c r="AK1587" s="28"/>
      <c r="AL1587" s="12"/>
      <c r="AM1587" s="12"/>
      <c r="AN1587" s="12"/>
      <c r="AO1587" s="12"/>
      <c r="AP1587" s="12"/>
      <c r="AQ1587" s="13"/>
      <c r="AR1587" s="14"/>
    </row>
    <row r="1588" spans="1:44" s="16" customFormat="1" ht="30.95" customHeight="1" x14ac:dyDescent="0.2">
      <c r="A1588" s="303"/>
      <c r="B1588" s="304"/>
      <c r="C1588" s="305"/>
      <c r="D1588" s="306"/>
      <c r="E1588" s="306"/>
      <c r="F1588" s="255"/>
      <c r="G1588" s="256"/>
      <c r="H1588" s="256"/>
      <c r="I1588" s="200"/>
      <c r="J1588" s="307"/>
      <c r="K1588" s="200"/>
      <c r="L1588" s="200"/>
      <c r="M1588" s="308"/>
      <c r="N1588" s="308"/>
      <c r="O1588" s="309"/>
      <c r="P1588" s="310"/>
      <c r="Q1588" s="260"/>
      <c r="R1588" s="261"/>
      <c r="S1588" s="261"/>
      <c r="T1588" s="311"/>
      <c r="U1588" s="261"/>
      <c r="V1588" s="256"/>
      <c r="W1588" s="256"/>
      <c r="X1588" s="256"/>
      <c r="Y1588" s="256"/>
      <c r="Z1588" s="310"/>
      <c r="AA1588" s="200"/>
      <c r="AB1588" s="312"/>
      <c r="AC1588" s="313"/>
      <c r="AD1588" s="51"/>
      <c r="AE1588" s="314"/>
      <c r="AF1588" s="315"/>
      <c r="AG1588" s="309"/>
      <c r="AH1588" s="28"/>
      <c r="AI1588" s="28"/>
      <c r="AJ1588" s="28"/>
      <c r="AK1588" s="28"/>
      <c r="AL1588" s="12"/>
      <c r="AM1588" s="12"/>
      <c r="AN1588" s="12"/>
      <c r="AO1588" s="12"/>
      <c r="AP1588" s="12"/>
      <c r="AQ1588" s="13"/>
      <c r="AR1588" s="14"/>
    </row>
    <row r="1589" spans="1:44" s="16" customFormat="1" ht="30.95" customHeight="1" x14ac:dyDescent="0.2">
      <c r="A1589" s="303"/>
      <c r="B1589" s="304"/>
      <c r="C1589" s="305"/>
      <c r="D1589" s="306"/>
      <c r="E1589" s="306"/>
      <c r="F1589" s="255"/>
      <c r="G1589" s="256"/>
      <c r="H1589" s="256"/>
      <c r="I1589" s="200"/>
      <c r="J1589" s="307"/>
      <c r="K1589" s="200"/>
      <c r="L1589" s="200"/>
      <c r="M1589" s="308"/>
      <c r="N1589" s="308"/>
      <c r="O1589" s="309"/>
      <c r="P1589" s="310"/>
      <c r="Q1589" s="260"/>
      <c r="R1589" s="261"/>
      <c r="S1589" s="261"/>
      <c r="T1589" s="311"/>
      <c r="U1589" s="261"/>
      <c r="V1589" s="256"/>
      <c r="W1589" s="256"/>
      <c r="X1589" s="256"/>
      <c r="Y1589" s="256"/>
      <c r="Z1589" s="310"/>
      <c r="AA1589" s="200"/>
      <c r="AB1589" s="312"/>
      <c r="AC1589" s="313"/>
      <c r="AD1589" s="51"/>
      <c r="AE1589" s="314"/>
      <c r="AF1589" s="315"/>
      <c r="AG1589" s="309"/>
      <c r="AH1589" s="28"/>
      <c r="AI1589" s="28"/>
      <c r="AJ1589" s="28"/>
      <c r="AK1589" s="28"/>
      <c r="AL1589" s="12"/>
      <c r="AM1589" s="12"/>
      <c r="AN1589" s="12"/>
      <c r="AO1589" s="12"/>
      <c r="AP1589" s="12"/>
      <c r="AQ1589" s="13"/>
      <c r="AR1589" s="14"/>
    </row>
    <row r="1590" spans="1:44" s="16" customFormat="1" ht="30.95" customHeight="1" x14ac:dyDescent="0.2">
      <c r="A1590" s="303"/>
      <c r="B1590" s="304"/>
      <c r="C1590" s="305"/>
      <c r="D1590" s="306"/>
      <c r="E1590" s="306"/>
      <c r="F1590" s="255"/>
      <c r="G1590" s="256"/>
      <c r="H1590" s="256"/>
      <c r="I1590" s="200"/>
      <c r="J1590" s="307"/>
      <c r="K1590" s="200"/>
      <c r="L1590" s="200"/>
      <c r="M1590" s="308"/>
      <c r="N1590" s="308"/>
      <c r="O1590" s="309"/>
      <c r="P1590" s="310"/>
      <c r="Q1590" s="260"/>
      <c r="R1590" s="261"/>
      <c r="S1590" s="261"/>
      <c r="T1590" s="311"/>
      <c r="U1590" s="261"/>
      <c r="V1590" s="256"/>
      <c r="W1590" s="256"/>
      <c r="X1590" s="256"/>
      <c r="Y1590" s="256"/>
      <c r="Z1590" s="310"/>
      <c r="AA1590" s="200"/>
      <c r="AB1590" s="312"/>
      <c r="AC1590" s="313"/>
      <c r="AD1590" s="51"/>
      <c r="AE1590" s="314"/>
      <c r="AF1590" s="315"/>
      <c r="AG1590" s="309"/>
      <c r="AH1590" s="28"/>
      <c r="AI1590" s="28"/>
      <c r="AJ1590" s="28"/>
      <c r="AK1590" s="28"/>
      <c r="AL1590" s="12"/>
      <c r="AM1590" s="12"/>
      <c r="AN1590" s="12"/>
      <c r="AO1590" s="12"/>
      <c r="AP1590" s="12"/>
      <c r="AQ1590" s="13"/>
      <c r="AR1590" s="14"/>
    </row>
    <row r="1591" spans="1:44" s="16" customFormat="1" ht="30.95" customHeight="1" x14ac:dyDescent="0.2">
      <c r="A1591" s="303"/>
      <c r="B1591" s="304"/>
      <c r="C1591" s="305"/>
      <c r="D1591" s="306"/>
      <c r="E1591" s="306"/>
      <c r="F1591" s="255"/>
      <c r="G1591" s="256"/>
      <c r="H1591" s="256"/>
      <c r="I1591" s="200"/>
      <c r="J1591" s="307"/>
      <c r="K1591" s="200"/>
      <c r="L1591" s="200"/>
      <c r="M1591" s="308"/>
      <c r="N1591" s="308"/>
      <c r="O1591" s="309"/>
      <c r="P1591" s="310"/>
      <c r="Q1591" s="260"/>
      <c r="R1591" s="261"/>
      <c r="S1591" s="261"/>
      <c r="T1591" s="311"/>
      <c r="U1591" s="261"/>
      <c r="V1591" s="256"/>
      <c r="W1591" s="256"/>
      <c r="X1591" s="256"/>
      <c r="Y1591" s="256"/>
      <c r="Z1591" s="310"/>
      <c r="AA1591" s="200"/>
      <c r="AB1591" s="312"/>
      <c r="AC1591" s="313"/>
      <c r="AD1591" s="51"/>
      <c r="AE1591" s="314"/>
      <c r="AF1591" s="315"/>
      <c r="AG1591" s="309"/>
      <c r="AH1591" s="28"/>
      <c r="AI1591" s="28"/>
      <c r="AJ1591" s="28"/>
      <c r="AK1591" s="28"/>
      <c r="AL1591" s="12"/>
      <c r="AM1591" s="12"/>
      <c r="AN1591" s="12"/>
      <c r="AO1591" s="12"/>
      <c r="AP1591" s="12"/>
      <c r="AQ1591" s="13"/>
      <c r="AR1591" s="14"/>
    </row>
    <row r="1592" spans="1:44" s="16" customFormat="1" ht="30.95" customHeight="1" x14ac:dyDescent="0.2">
      <c r="A1592" s="303"/>
      <c r="B1592" s="304"/>
      <c r="C1592" s="305"/>
      <c r="D1592" s="306"/>
      <c r="E1592" s="306"/>
      <c r="F1592" s="255"/>
      <c r="G1592" s="256"/>
      <c r="H1592" s="256"/>
      <c r="I1592" s="200"/>
      <c r="J1592" s="307"/>
      <c r="K1592" s="200"/>
      <c r="L1592" s="200"/>
      <c r="M1592" s="308"/>
      <c r="N1592" s="308"/>
      <c r="O1592" s="309"/>
      <c r="P1592" s="310"/>
      <c r="Q1592" s="260"/>
      <c r="R1592" s="261"/>
      <c r="S1592" s="261"/>
      <c r="T1592" s="311"/>
      <c r="U1592" s="261"/>
      <c r="V1592" s="256"/>
      <c r="W1592" s="256"/>
      <c r="X1592" s="256"/>
      <c r="Y1592" s="256"/>
      <c r="Z1592" s="310"/>
      <c r="AA1592" s="200"/>
      <c r="AB1592" s="312"/>
      <c r="AC1592" s="313"/>
      <c r="AD1592" s="51"/>
      <c r="AE1592" s="314"/>
      <c r="AF1592" s="315"/>
      <c r="AG1592" s="309"/>
      <c r="AH1592" s="28"/>
      <c r="AI1592" s="28"/>
      <c r="AJ1592" s="28"/>
      <c r="AK1592" s="28"/>
      <c r="AL1592" s="12"/>
      <c r="AM1592" s="12"/>
      <c r="AN1592" s="12"/>
      <c r="AO1592" s="12"/>
      <c r="AP1592" s="12"/>
      <c r="AQ1592" s="13"/>
      <c r="AR1592" s="14"/>
    </row>
    <row r="1593" spans="1:44" s="16" customFormat="1" ht="30.95" customHeight="1" x14ac:dyDescent="0.2">
      <c r="A1593" s="303"/>
      <c r="B1593" s="304"/>
      <c r="C1593" s="305"/>
      <c r="D1593" s="306"/>
      <c r="E1593" s="306"/>
      <c r="F1593" s="255"/>
      <c r="G1593" s="256"/>
      <c r="H1593" s="256"/>
      <c r="I1593" s="200"/>
      <c r="J1593" s="307"/>
      <c r="K1593" s="200"/>
      <c r="L1593" s="200"/>
      <c r="M1593" s="308"/>
      <c r="N1593" s="308"/>
      <c r="O1593" s="309"/>
      <c r="P1593" s="310"/>
      <c r="Q1593" s="260"/>
      <c r="R1593" s="261"/>
      <c r="S1593" s="261"/>
      <c r="T1593" s="311"/>
      <c r="U1593" s="261"/>
      <c r="V1593" s="256"/>
      <c r="W1593" s="256"/>
      <c r="X1593" s="256"/>
      <c r="Y1593" s="256"/>
      <c r="Z1593" s="310"/>
      <c r="AA1593" s="200"/>
      <c r="AB1593" s="312"/>
      <c r="AC1593" s="313"/>
      <c r="AD1593" s="51"/>
      <c r="AE1593" s="314"/>
      <c r="AF1593" s="315"/>
      <c r="AG1593" s="309"/>
      <c r="AH1593" s="28"/>
      <c r="AI1593" s="28"/>
      <c r="AJ1593" s="28"/>
      <c r="AK1593" s="28"/>
      <c r="AL1593" s="12"/>
      <c r="AM1593" s="12"/>
      <c r="AN1593" s="12"/>
      <c r="AO1593" s="12"/>
      <c r="AP1593" s="12"/>
      <c r="AQ1593" s="13"/>
      <c r="AR1593" s="14"/>
    </row>
    <row r="1594" spans="1:44" s="16" customFormat="1" ht="30.95" customHeight="1" x14ac:dyDescent="0.2">
      <c r="A1594" s="303"/>
      <c r="B1594" s="304"/>
      <c r="C1594" s="305"/>
      <c r="D1594" s="306"/>
      <c r="E1594" s="306"/>
      <c r="F1594" s="255"/>
      <c r="G1594" s="256"/>
      <c r="H1594" s="256"/>
      <c r="I1594" s="200"/>
      <c r="J1594" s="307"/>
      <c r="K1594" s="200"/>
      <c r="L1594" s="200"/>
      <c r="M1594" s="308"/>
      <c r="N1594" s="308"/>
      <c r="O1594" s="309"/>
      <c r="P1594" s="310"/>
      <c r="Q1594" s="260"/>
      <c r="R1594" s="261"/>
      <c r="S1594" s="261"/>
      <c r="T1594" s="311"/>
      <c r="U1594" s="261"/>
      <c r="V1594" s="256"/>
      <c r="W1594" s="256"/>
      <c r="X1594" s="256"/>
      <c r="Y1594" s="256"/>
      <c r="Z1594" s="310"/>
      <c r="AA1594" s="200"/>
      <c r="AB1594" s="312"/>
      <c r="AC1594" s="313"/>
      <c r="AD1594" s="51"/>
      <c r="AE1594" s="314"/>
      <c r="AF1594" s="315"/>
      <c r="AG1594" s="309"/>
      <c r="AH1594" s="28"/>
      <c r="AI1594" s="28"/>
      <c r="AJ1594" s="28"/>
      <c r="AK1594" s="28"/>
      <c r="AL1594" s="12"/>
      <c r="AM1594" s="12"/>
      <c r="AN1594" s="12"/>
      <c r="AO1594" s="12"/>
      <c r="AP1594" s="12"/>
      <c r="AQ1594" s="13"/>
      <c r="AR1594" s="14"/>
    </row>
    <row r="1595" spans="1:44" s="16" customFormat="1" ht="30.95" customHeight="1" x14ac:dyDescent="0.2">
      <c r="A1595" s="303"/>
      <c r="B1595" s="304"/>
      <c r="C1595" s="305"/>
      <c r="D1595" s="306"/>
      <c r="E1595" s="306"/>
      <c r="F1595" s="255"/>
      <c r="G1595" s="256"/>
      <c r="H1595" s="256"/>
      <c r="I1595" s="200"/>
      <c r="J1595" s="307"/>
      <c r="K1595" s="200"/>
      <c r="L1595" s="200"/>
      <c r="M1595" s="308"/>
      <c r="N1595" s="308"/>
      <c r="O1595" s="309"/>
      <c r="P1595" s="310"/>
      <c r="Q1595" s="260"/>
      <c r="R1595" s="261"/>
      <c r="S1595" s="261"/>
      <c r="T1595" s="311"/>
      <c r="U1595" s="261"/>
      <c r="V1595" s="256"/>
      <c r="W1595" s="256"/>
      <c r="X1595" s="256"/>
      <c r="Y1595" s="256"/>
      <c r="Z1595" s="310"/>
      <c r="AA1595" s="200"/>
      <c r="AB1595" s="312"/>
      <c r="AC1595" s="313"/>
      <c r="AD1595" s="51"/>
      <c r="AE1595" s="314"/>
      <c r="AF1595" s="315"/>
      <c r="AG1595" s="309"/>
      <c r="AH1595" s="28"/>
      <c r="AI1595" s="28"/>
      <c r="AJ1595" s="28"/>
      <c r="AK1595" s="28"/>
      <c r="AL1595" s="12"/>
      <c r="AM1595" s="12"/>
      <c r="AN1595" s="12"/>
      <c r="AO1595" s="12"/>
      <c r="AP1595" s="12"/>
      <c r="AQ1595" s="13"/>
      <c r="AR1595" s="14"/>
    </row>
    <row r="1596" spans="1:44" s="16" customFormat="1" ht="30.95" customHeight="1" x14ac:dyDescent="0.2">
      <c r="A1596" s="303"/>
      <c r="B1596" s="304"/>
      <c r="C1596" s="305"/>
      <c r="D1596" s="306"/>
      <c r="E1596" s="306"/>
      <c r="F1596" s="255"/>
      <c r="G1596" s="256"/>
      <c r="H1596" s="256"/>
      <c r="I1596" s="200"/>
      <c r="J1596" s="307"/>
      <c r="K1596" s="200"/>
      <c r="L1596" s="200"/>
      <c r="M1596" s="308"/>
      <c r="N1596" s="308"/>
      <c r="O1596" s="309"/>
      <c r="P1596" s="310"/>
      <c r="Q1596" s="260"/>
      <c r="R1596" s="261"/>
      <c r="S1596" s="261"/>
      <c r="T1596" s="311"/>
      <c r="U1596" s="261"/>
      <c r="V1596" s="256"/>
      <c r="W1596" s="256"/>
      <c r="X1596" s="256"/>
      <c r="Y1596" s="256"/>
      <c r="Z1596" s="310"/>
      <c r="AA1596" s="200"/>
      <c r="AB1596" s="312"/>
      <c r="AC1596" s="313"/>
      <c r="AD1596" s="51"/>
      <c r="AE1596" s="314"/>
      <c r="AF1596" s="315"/>
      <c r="AG1596" s="309"/>
      <c r="AH1596" s="28"/>
      <c r="AI1596" s="28"/>
      <c r="AJ1596" s="28"/>
      <c r="AK1596" s="28"/>
      <c r="AL1596" s="12"/>
      <c r="AM1596" s="12"/>
      <c r="AN1596" s="12"/>
      <c r="AO1596" s="12"/>
      <c r="AP1596" s="12"/>
      <c r="AQ1596" s="13"/>
      <c r="AR1596" s="14"/>
    </row>
    <row r="1597" spans="1:44" s="16" customFormat="1" ht="30.95" customHeight="1" x14ac:dyDescent="0.2">
      <c r="A1597" s="303"/>
      <c r="B1597" s="304"/>
      <c r="C1597" s="305"/>
      <c r="D1597" s="306"/>
      <c r="E1597" s="306"/>
      <c r="F1597" s="255"/>
      <c r="G1597" s="256"/>
      <c r="H1597" s="256"/>
      <c r="I1597" s="200"/>
      <c r="J1597" s="307"/>
      <c r="K1597" s="200"/>
      <c r="L1597" s="200"/>
      <c r="M1597" s="308"/>
      <c r="N1597" s="308"/>
      <c r="O1597" s="309"/>
      <c r="P1597" s="310"/>
      <c r="Q1597" s="260"/>
      <c r="R1597" s="261"/>
      <c r="S1597" s="261"/>
      <c r="T1597" s="311"/>
      <c r="U1597" s="261"/>
      <c r="V1597" s="256"/>
      <c r="W1597" s="256"/>
      <c r="X1597" s="256"/>
      <c r="Y1597" s="256"/>
      <c r="Z1597" s="310"/>
      <c r="AA1597" s="200"/>
      <c r="AB1597" s="312"/>
      <c r="AC1597" s="313"/>
      <c r="AD1597" s="51"/>
      <c r="AE1597" s="314"/>
      <c r="AF1597" s="315"/>
      <c r="AG1597" s="309"/>
      <c r="AH1597" s="28"/>
      <c r="AI1597" s="28"/>
      <c r="AJ1597" s="28"/>
      <c r="AK1597" s="28"/>
      <c r="AL1597" s="12"/>
      <c r="AM1597" s="12"/>
      <c r="AN1597" s="12"/>
      <c r="AO1597" s="12"/>
      <c r="AP1597" s="12"/>
      <c r="AQ1597" s="13"/>
      <c r="AR1597" s="14"/>
    </row>
    <row r="1598" spans="1:44" s="16" customFormat="1" ht="30.95" customHeight="1" x14ac:dyDescent="0.2">
      <c r="A1598" s="303"/>
      <c r="B1598" s="304"/>
      <c r="C1598" s="305"/>
      <c r="D1598" s="306"/>
      <c r="E1598" s="306"/>
      <c r="F1598" s="255"/>
      <c r="G1598" s="256"/>
      <c r="H1598" s="256"/>
      <c r="I1598" s="200"/>
      <c r="J1598" s="307"/>
      <c r="K1598" s="200"/>
      <c r="L1598" s="200"/>
      <c r="M1598" s="308"/>
      <c r="N1598" s="308"/>
      <c r="O1598" s="309"/>
      <c r="P1598" s="310"/>
      <c r="Q1598" s="260"/>
      <c r="R1598" s="261"/>
      <c r="S1598" s="261"/>
      <c r="T1598" s="311"/>
      <c r="U1598" s="261"/>
      <c r="V1598" s="256"/>
      <c r="W1598" s="256"/>
      <c r="X1598" s="256"/>
      <c r="Y1598" s="256"/>
      <c r="Z1598" s="310"/>
      <c r="AA1598" s="200"/>
      <c r="AB1598" s="312"/>
      <c r="AC1598" s="313"/>
      <c r="AD1598" s="51"/>
      <c r="AE1598" s="314"/>
      <c r="AF1598" s="315"/>
      <c r="AG1598" s="309"/>
      <c r="AH1598" s="28"/>
      <c r="AI1598" s="28"/>
      <c r="AJ1598" s="28"/>
      <c r="AK1598" s="28"/>
      <c r="AL1598" s="12"/>
      <c r="AM1598" s="12"/>
      <c r="AN1598" s="12"/>
      <c r="AO1598" s="12"/>
      <c r="AP1598" s="12"/>
      <c r="AQ1598" s="13"/>
      <c r="AR1598" s="14"/>
    </row>
    <row r="1599" spans="1:44" s="16" customFormat="1" ht="30.95" customHeight="1" x14ac:dyDescent="0.2">
      <c r="A1599" s="303"/>
      <c r="B1599" s="304"/>
      <c r="C1599" s="305"/>
      <c r="D1599" s="306"/>
      <c r="E1599" s="306"/>
      <c r="F1599" s="255"/>
      <c r="G1599" s="256"/>
      <c r="H1599" s="256"/>
      <c r="I1599" s="200"/>
      <c r="J1599" s="307"/>
      <c r="K1599" s="200"/>
      <c r="L1599" s="200"/>
      <c r="M1599" s="308"/>
      <c r="N1599" s="308"/>
      <c r="O1599" s="309"/>
      <c r="P1599" s="310"/>
      <c r="Q1599" s="260"/>
      <c r="R1599" s="261"/>
      <c r="S1599" s="261"/>
      <c r="T1599" s="311"/>
      <c r="U1599" s="261"/>
      <c r="V1599" s="256"/>
      <c r="W1599" s="256"/>
      <c r="X1599" s="256"/>
      <c r="Y1599" s="256"/>
      <c r="Z1599" s="310"/>
      <c r="AA1599" s="200"/>
      <c r="AB1599" s="312"/>
      <c r="AC1599" s="313"/>
      <c r="AD1599" s="51"/>
      <c r="AE1599" s="314"/>
      <c r="AF1599" s="315"/>
      <c r="AG1599" s="309"/>
      <c r="AH1599" s="28"/>
      <c r="AI1599" s="28"/>
      <c r="AJ1599" s="28"/>
      <c r="AK1599" s="28"/>
      <c r="AL1599" s="12"/>
      <c r="AM1599" s="12"/>
      <c r="AN1599" s="12"/>
      <c r="AO1599" s="12"/>
      <c r="AP1599" s="12"/>
      <c r="AQ1599" s="13"/>
      <c r="AR1599" s="14"/>
    </row>
    <row r="1600" spans="1:44" s="16" customFormat="1" ht="30.95" customHeight="1" x14ac:dyDescent="0.2">
      <c r="A1600" s="303"/>
      <c r="B1600" s="304"/>
      <c r="C1600" s="305"/>
      <c r="D1600" s="306"/>
      <c r="E1600" s="306"/>
      <c r="F1600" s="255"/>
      <c r="G1600" s="256"/>
      <c r="H1600" s="256"/>
      <c r="I1600" s="200"/>
      <c r="J1600" s="307"/>
      <c r="K1600" s="200"/>
      <c r="L1600" s="200"/>
      <c r="M1600" s="308"/>
      <c r="N1600" s="308"/>
      <c r="O1600" s="309"/>
      <c r="P1600" s="310"/>
      <c r="Q1600" s="260"/>
      <c r="R1600" s="261"/>
      <c r="S1600" s="261"/>
      <c r="T1600" s="311"/>
      <c r="U1600" s="261"/>
      <c r="V1600" s="256"/>
      <c r="W1600" s="256"/>
      <c r="X1600" s="256"/>
      <c r="Y1600" s="256"/>
      <c r="Z1600" s="310"/>
      <c r="AA1600" s="200"/>
      <c r="AB1600" s="312"/>
      <c r="AC1600" s="313"/>
      <c r="AD1600" s="51"/>
      <c r="AE1600" s="314"/>
      <c r="AF1600" s="315"/>
      <c r="AG1600" s="309"/>
      <c r="AH1600" s="28"/>
      <c r="AI1600" s="28"/>
      <c r="AJ1600" s="28"/>
      <c r="AK1600" s="28"/>
      <c r="AL1600" s="12"/>
      <c r="AM1600" s="12"/>
      <c r="AN1600" s="12"/>
      <c r="AO1600" s="12"/>
      <c r="AP1600" s="12"/>
      <c r="AQ1600" s="13"/>
      <c r="AR1600" s="14"/>
    </row>
    <row r="1601" spans="1:44" s="16" customFormat="1" ht="30.95" customHeight="1" x14ac:dyDescent="0.2">
      <c r="A1601" s="303"/>
      <c r="B1601" s="304"/>
      <c r="C1601" s="305"/>
      <c r="D1601" s="306"/>
      <c r="E1601" s="306"/>
      <c r="F1601" s="255"/>
      <c r="G1601" s="256"/>
      <c r="H1601" s="256"/>
      <c r="I1601" s="200"/>
      <c r="J1601" s="307"/>
      <c r="K1601" s="200"/>
      <c r="L1601" s="200"/>
      <c r="M1601" s="308"/>
      <c r="N1601" s="308"/>
      <c r="O1601" s="309"/>
      <c r="P1601" s="310"/>
      <c r="Q1601" s="260"/>
      <c r="R1601" s="261"/>
      <c r="S1601" s="261"/>
      <c r="T1601" s="311"/>
      <c r="U1601" s="261"/>
      <c r="V1601" s="256"/>
      <c r="W1601" s="256"/>
      <c r="X1601" s="256"/>
      <c r="Y1601" s="256"/>
      <c r="Z1601" s="310"/>
      <c r="AA1601" s="200"/>
      <c r="AB1601" s="312"/>
      <c r="AC1601" s="313"/>
      <c r="AD1601" s="51"/>
      <c r="AE1601" s="314"/>
      <c r="AF1601" s="315"/>
      <c r="AG1601" s="309"/>
      <c r="AH1601" s="28"/>
      <c r="AI1601" s="28"/>
      <c r="AJ1601" s="28"/>
      <c r="AK1601" s="28"/>
      <c r="AL1601" s="12"/>
      <c r="AM1601" s="12"/>
      <c r="AN1601" s="12"/>
      <c r="AO1601" s="12"/>
      <c r="AP1601" s="12"/>
      <c r="AQ1601" s="13"/>
      <c r="AR1601" s="14"/>
    </row>
    <row r="1602" spans="1:44" s="16" customFormat="1" ht="30.95" customHeight="1" x14ac:dyDescent="0.2">
      <c r="A1602" s="303"/>
      <c r="B1602" s="304"/>
      <c r="C1602" s="305"/>
      <c r="D1602" s="306"/>
      <c r="E1602" s="306"/>
      <c r="F1602" s="255"/>
      <c r="G1602" s="256"/>
      <c r="H1602" s="256"/>
      <c r="I1602" s="200"/>
      <c r="J1602" s="307"/>
      <c r="K1602" s="200"/>
      <c r="L1602" s="200"/>
      <c r="M1602" s="308"/>
      <c r="N1602" s="308"/>
      <c r="O1602" s="309"/>
      <c r="P1602" s="310"/>
      <c r="Q1602" s="260"/>
      <c r="R1602" s="261"/>
      <c r="S1602" s="261"/>
      <c r="T1602" s="311"/>
      <c r="U1602" s="261"/>
      <c r="V1602" s="256"/>
      <c r="W1602" s="256"/>
      <c r="X1602" s="256"/>
      <c r="Y1602" s="256"/>
      <c r="Z1602" s="310"/>
      <c r="AA1602" s="200"/>
      <c r="AB1602" s="312"/>
      <c r="AC1602" s="313"/>
      <c r="AD1602" s="51"/>
      <c r="AE1602" s="314"/>
      <c r="AF1602" s="315"/>
      <c r="AG1602" s="309"/>
      <c r="AH1602" s="28"/>
      <c r="AI1602" s="28"/>
      <c r="AJ1602" s="28"/>
      <c r="AK1602" s="28"/>
      <c r="AL1602" s="12"/>
      <c r="AM1602" s="12"/>
      <c r="AN1602" s="12"/>
      <c r="AO1602" s="12"/>
      <c r="AP1602" s="12"/>
      <c r="AQ1602" s="13"/>
      <c r="AR1602" s="14"/>
    </row>
    <row r="1603" spans="1:44" s="16" customFormat="1" ht="30.95" customHeight="1" x14ac:dyDescent="0.2">
      <c r="A1603" s="303"/>
      <c r="B1603" s="304"/>
      <c r="C1603" s="305"/>
      <c r="D1603" s="306"/>
      <c r="E1603" s="306"/>
      <c r="F1603" s="255"/>
      <c r="G1603" s="256"/>
      <c r="H1603" s="256"/>
      <c r="I1603" s="200"/>
      <c r="J1603" s="307"/>
      <c r="K1603" s="200"/>
      <c r="L1603" s="200"/>
      <c r="M1603" s="308"/>
      <c r="N1603" s="308"/>
      <c r="O1603" s="309"/>
      <c r="P1603" s="310"/>
      <c r="Q1603" s="260"/>
      <c r="R1603" s="261"/>
      <c r="S1603" s="261"/>
      <c r="T1603" s="311"/>
      <c r="U1603" s="261"/>
      <c r="V1603" s="256"/>
      <c r="W1603" s="256"/>
      <c r="X1603" s="256"/>
      <c r="Y1603" s="256"/>
      <c r="Z1603" s="310"/>
      <c r="AA1603" s="200"/>
      <c r="AB1603" s="312"/>
      <c r="AC1603" s="313"/>
      <c r="AD1603" s="51"/>
      <c r="AE1603" s="314"/>
      <c r="AF1603" s="315"/>
      <c r="AG1603" s="309"/>
      <c r="AH1603" s="28"/>
      <c r="AI1603" s="28"/>
      <c r="AJ1603" s="28"/>
      <c r="AK1603" s="28"/>
      <c r="AL1603" s="12"/>
      <c r="AM1603" s="12"/>
      <c r="AN1603" s="12"/>
      <c r="AO1603" s="12"/>
      <c r="AP1603" s="12"/>
      <c r="AQ1603" s="13"/>
      <c r="AR1603" s="14"/>
    </row>
    <row r="1604" spans="1:44" s="16" customFormat="1" ht="30.95" customHeight="1" x14ac:dyDescent="0.2">
      <c r="A1604" s="303"/>
      <c r="B1604" s="304"/>
      <c r="C1604" s="305"/>
      <c r="D1604" s="306"/>
      <c r="E1604" s="306"/>
      <c r="F1604" s="255"/>
      <c r="G1604" s="256"/>
      <c r="H1604" s="256"/>
      <c r="I1604" s="200"/>
      <c r="J1604" s="307"/>
      <c r="K1604" s="200"/>
      <c r="L1604" s="200"/>
      <c r="M1604" s="308"/>
      <c r="N1604" s="308"/>
      <c r="O1604" s="309"/>
      <c r="P1604" s="310"/>
      <c r="Q1604" s="260"/>
      <c r="R1604" s="261"/>
      <c r="S1604" s="261"/>
      <c r="T1604" s="311"/>
      <c r="U1604" s="261"/>
      <c r="V1604" s="256"/>
      <c r="W1604" s="256"/>
      <c r="X1604" s="256"/>
      <c r="Y1604" s="256"/>
      <c r="Z1604" s="310"/>
      <c r="AA1604" s="200"/>
      <c r="AB1604" s="312"/>
      <c r="AC1604" s="313"/>
      <c r="AD1604" s="51"/>
      <c r="AE1604" s="314"/>
      <c r="AF1604" s="315"/>
      <c r="AG1604" s="309"/>
      <c r="AH1604" s="28"/>
      <c r="AI1604" s="28"/>
      <c r="AJ1604" s="28"/>
      <c r="AK1604" s="28"/>
      <c r="AL1604" s="12"/>
      <c r="AM1604" s="12"/>
      <c r="AN1604" s="12"/>
      <c r="AO1604" s="12"/>
      <c r="AP1604" s="12"/>
      <c r="AQ1604" s="13"/>
      <c r="AR1604" s="14"/>
    </row>
    <row r="1605" spans="1:44" s="16" customFormat="1" ht="30.95" customHeight="1" x14ac:dyDescent="0.2">
      <c r="A1605" s="303"/>
      <c r="B1605" s="304"/>
      <c r="C1605" s="305"/>
      <c r="D1605" s="306"/>
      <c r="E1605" s="306"/>
      <c r="F1605" s="255"/>
      <c r="G1605" s="256"/>
      <c r="H1605" s="256"/>
      <c r="I1605" s="200"/>
      <c r="J1605" s="307"/>
      <c r="K1605" s="200"/>
      <c r="L1605" s="200"/>
      <c r="M1605" s="308"/>
      <c r="N1605" s="308"/>
      <c r="O1605" s="309"/>
      <c r="P1605" s="310"/>
      <c r="Q1605" s="260"/>
      <c r="R1605" s="261"/>
      <c r="S1605" s="261"/>
      <c r="T1605" s="311"/>
      <c r="U1605" s="261"/>
      <c r="V1605" s="256"/>
      <c r="W1605" s="256"/>
      <c r="X1605" s="256"/>
      <c r="Y1605" s="256"/>
      <c r="Z1605" s="310"/>
      <c r="AA1605" s="200"/>
      <c r="AB1605" s="312"/>
      <c r="AC1605" s="313"/>
      <c r="AD1605" s="51"/>
      <c r="AE1605" s="314"/>
      <c r="AF1605" s="315"/>
      <c r="AG1605" s="309"/>
      <c r="AH1605" s="28"/>
      <c r="AI1605" s="28"/>
      <c r="AJ1605" s="28"/>
      <c r="AK1605" s="28"/>
      <c r="AL1605" s="12"/>
      <c r="AM1605" s="12"/>
      <c r="AN1605" s="12"/>
      <c r="AO1605" s="12"/>
      <c r="AP1605" s="12"/>
      <c r="AQ1605" s="13"/>
      <c r="AR1605" s="14"/>
    </row>
    <row r="1606" spans="1:44" s="16" customFormat="1" ht="30.95" customHeight="1" x14ac:dyDescent="0.2">
      <c r="A1606" s="303"/>
      <c r="B1606" s="304"/>
      <c r="C1606" s="305"/>
      <c r="D1606" s="306"/>
      <c r="E1606" s="306"/>
      <c r="F1606" s="255"/>
      <c r="G1606" s="256"/>
      <c r="H1606" s="256"/>
      <c r="I1606" s="200"/>
      <c r="J1606" s="307"/>
      <c r="K1606" s="200"/>
      <c r="L1606" s="200"/>
      <c r="M1606" s="308"/>
      <c r="N1606" s="308"/>
      <c r="O1606" s="309"/>
      <c r="P1606" s="310"/>
      <c r="Q1606" s="260"/>
      <c r="R1606" s="261"/>
      <c r="S1606" s="261"/>
      <c r="T1606" s="311"/>
      <c r="U1606" s="261"/>
      <c r="V1606" s="256"/>
      <c r="W1606" s="256"/>
      <c r="X1606" s="256"/>
      <c r="Y1606" s="256"/>
      <c r="Z1606" s="310"/>
      <c r="AA1606" s="200"/>
      <c r="AB1606" s="312"/>
      <c r="AC1606" s="313"/>
      <c r="AD1606" s="51"/>
      <c r="AE1606" s="314"/>
      <c r="AF1606" s="315"/>
      <c r="AG1606" s="309"/>
      <c r="AH1606" s="28"/>
      <c r="AI1606" s="28"/>
      <c r="AJ1606" s="28"/>
      <c r="AK1606" s="28"/>
      <c r="AL1606" s="12"/>
      <c r="AM1606" s="12"/>
      <c r="AN1606" s="12"/>
      <c r="AO1606" s="12"/>
      <c r="AP1606" s="12"/>
      <c r="AQ1606" s="13"/>
      <c r="AR1606" s="14"/>
    </row>
    <row r="1607" spans="1:44" s="16" customFormat="1" ht="30.95" customHeight="1" x14ac:dyDescent="0.2">
      <c r="A1607" s="303"/>
      <c r="B1607" s="304"/>
      <c r="C1607" s="305"/>
      <c r="D1607" s="306"/>
      <c r="E1607" s="306"/>
      <c r="F1607" s="255"/>
      <c r="G1607" s="256"/>
      <c r="H1607" s="256"/>
      <c r="I1607" s="200"/>
      <c r="J1607" s="307"/>
      <c r="K1607" s="200"/>
      <c r="L1607" s="200"/>
      <c r="M1607" s="308"/>
      <c r="N1607" s="308"/>
      <c r="O1607" s="309"/>
      <c r="P1607" s="310"/>
      <c r="Q1607" s="260"/>
      <c r="R1607" s="261"/>
      <c r="S1607" s="261"/>
      <c r="T1607" s="311"/>
      <c r="U1607" s="261"/>
      <c r="V1607" s="256"/>
      <c r="W1607" s="256"/>
      <c r="X1607" s="256"/>
      <c r="Y1607" s="256"/>
      <c r="Z1607" s="310"/>
      <c r="AA1607" s="200"/>
      <c r="AB1607" s="312"/>
      <c r="AC1607" s="313"/>
      <c r="AD1607" s="51"/>
      <c r="AE1607" s="314"/>
      <c r="AF1607" s="315"/>
      <c r="AG1607" s="309"/>
      <c r="AH1607" s="28"/>
      <c r="AI1607" s="28"/>
      <c r="AJ1607" s="28"/>
      <c r="AK1607" s="28"/>
      <c r="AL1607" s="12"/>
      <c r="AM1607" s="12"/>
      <c r="AN1607" s="12"/>
      <c r="AO1607" s="12"/>
      <c r="AP1607" s="12"/>
      <c r="AQ1607" s="13"/>
      <c r="AR1607" s="14"/>
    </row>
    <row r="1608" spans="1:44" s="16" customFormat="1" ht="30.95" customHeight="1" x14ac:dyDescent="0.2">
      <c r="A1608" s="303"/>
      <c r="B1608" s="304"/>
      <c r="C1608" s="305"/>
      <c r="D1608" s="306"/>
      <c r="E1608" s="306"/>
      <c r="F1608" s="255"/>
      <c r="G1608" s="256"/>
      <c r="H1608" s="256"/>
      <c r="I1608" s="200"/>
      <c r="J1608" s="307"/>
      <c r="K1608" s="200"/>
      <c r="L1608" s="200"/>
      <c r="M1608" s="308"/>
      <c r="N1608" s="308"/>
      <c r="O1608" s="309"/>
      <c r="P1608" s="310"/>
      <c r="Q1608" s="260"/>
      <c r="R1608" s="261"/>
      <c r="S1608" s="261"/>
      <c r="T1608" s="311"/>
      <c r="U1608" s="261"/>
      <c r="V1608" s="256"/>
      <c r="W1608" s="256"/>
      <c r="X1608" s="256"/>
      <c r="Y1608" s="256"/>
      <c r="Z1608" s="310"/>
      <c r="AA1608" s="200"/>
      <c r="AB1608" s="312"/>
      <c r="AC1608" s="313"/>
      <c r="AD1608" s="51"/>
      <c r="AE1608" s="314"/>
      <c r="AF1608" s="315"/>
      <c r="AG1608" s="309"/>
      <c r="AH1608" s="28"/>
      <c r="AI1608" s="28"/>
      <c r="AJ1608" s="28"/>
      <c r="AK1608" s="28"/>
      <c r="AL1608" s="12"/>
      <c r="AM1608" s="12"/>
      <c r="AN1608" s="12"/>
      <c r="AO1608" s="12"/>
      <c r="AP1608" s="12"/>
      <c r="AQ1608" s="13"/>
      <c r="AR1608" s="14"/>
    </row>
    <row r="1609" spans="1:44" s="16" customFormat="1" ht="30.95" customHeight="1" thickBot="1" x14ac:dyDescent="0.25">
      <c r="A1609" s="39"/>
      <c r="B1609" s="40"/>
      <c r="C1609" s="44"/>
      <c r="D1609" s="32"/>
      <c r="E1609" s="32"/>
      <c r="F1609" s="255" t="str">
        <f>IF(D1609="","",VLOOKUP(D1609,契約台帳!$A$3:$K$4986,6,FALSE)&amp;VLOOKUP(D1609,契約台帳!$A$3:$K$4986,7,FALSE)&amp;VLOOKUP(D1609,契約台帳!$A$3:$K$4986,8,FALSE)&amp;VLOOKUP(D1609,契約台帳!$A$3:$K$4986,9,FALSE)&amp;VLOOKUP(D1609,契約台帳!$A$3:$K$4986,11,FALSE))</f>
        <v/>
      </c>
      <c r="G1609" s="256" t="str">
        <f>IF(D1609="","",VLOOKUP(F1609,製品マスタ!$G$5:$H$4999,2,FALSE))</f>
        <v/>
      </c>
      <c r="H1609" s="256" t="str">
        <f>IF(D1609="","",VLOOKUP(F1609,製品マスタ!$G$5:$K$4999,5,FALSE))</f>
        <v/>
      </c>
      <c r="I1609" s="200" t="str">
        <f>IF(D1609="","",VLOOKUP(F1609,製品マスタ!$G$5:$L$4999,6,FALSE))</f>
        <v/>
      </c>
      <c r="J1609" s="33"/>
      <c r="K1609" s="200" t="str">
        <f>IF(D1609="","",VLOOKUP(D1609,契約台帳!$A$3:$L$4986,12,FALSE))</f>
        <v/>
      </c>
      <c r="L1609" s="200" t="str">
        <f>IF(D1609="","",INDEX(製品マスタ!$Q$5:$Q$4999,MATCH(F1609&amp;K1609,製品マスタ!$AO$5:$AO$4999,0)))</f>
        <v/>
      </c>
      <c r="M1609" s="46"/>
      <c r="N1609" s="46"/>
      <c r="O1609" s="47"/>
      <c r="P1609" s="55"/>
      <c r="Q1609" s="260" t="str">
        <f>IF(D1609="","",IF(J1609="リード付け",M1609,VLOOKUP(D1609,契約台帳!$A$3:$N$4986,14,FALSE)))</f>
        <v/>
      </c>
      <c r="R1609" s="261" t="str">
        <f>IF(D1609="","",IF(J1609="リード付け",M1609,VLOOKUP(D1609,契約台帳!$A$3:$O$4986,15,FALSE)))</f>
        <v/>
      </c>
      <c r="S1609" s="261" t="str">
        <f>IF(D1609="","",IF(J1609="リード付け",N1609,VLOOKUP(D1609,契約台帳!$A$3:$P$4986,16,FALSE)))</f>
        <v/>
      </c>
      <c r="T1609" s="48"/>
      <c r="U1609" s="261" t="str">
        <f ca="1">IF(D1609="","",IF(OFFSET(D1609,-2,0)=D1609,"",VLOOKUP(D1609,契約台帳!$A$3:$R$4986,18,FALSE)))</f>
        <v/>
      </c>
      <c r="V1609" s="256" t="str">
        <f>IF(J1609="巻返し",VLOOKUP(F1609&amp;K1609&amp;M1609,製品マスタ!$M$5:$AD$4999,18,FALSE),IF(J1609="リード付け","原反コア",IF(J1609="スリット",VLOOKUP(F1609&amp;K1609&amp;Q1609,製品マスタ!$N$5:$AD$4999,17,FALSE),"")))</f>
        <v/>
      </c>
      <c r="W1609" s="256" t="str">
        <f>IF(J1609="巻返し",VLOOKUP(F1609&amp;K1609&amp;M1609,製品マスタ!$M$5:$AE$4999,19,FALSE),IF(J1609="リード付け","-",IF(J1609="スリット",VLOOKUP(F1609&amp;K1609&amp;Q1609,製品マスタ!$N$5:$AE$4999,18,FALSE),"")))</f>
        <v/>
      </c>
      <c r="X1609" s="256" t="str">
        <f>IF(D1609="","",VLOOKUP(D1609,契約台帳!$A$3:$Q$4986,17,FALSE))</f>
        <v/>
      </c>
      <c r="Y1609" s="256" t="str">
        <f>IF(D1609="","",VLOOKUP(D1609,契約台帳!$A$3:$E$4986,5,FALSE))</f>
        <v/>
      </c>
      <c r="Z1609" s="55"/>
      <c r="AA1609" s="200" t="str">
        <f>IFERROR(VLOOKUP(F1609&amp;K1609&amp;M1609,製品マスタ!$M$5:$AM$4999,27,FALSE),"")</f>
        <v/>
      </c>
      <c r="AB1609" s="34"/>
      <c r="AC1609" s="185"/>
      <c r="AD1609" s="51"/>
      <c r="AE1609" s="53"/>
      <c r="AF1609" s="205"/>
      <c r="AG1609" s="47"/>
      <c r="AH1609" s="28"/>
      <c r="AI1609" s="28"/>
      <c r="AJ1609" s="28"/>
      <c r="AK1609" s="28"/>
      <c r="AL1609" s="12"/>
      <c r="AM1609" s="12"/>
      <c r="AN1609" s="12"/>
      <c r="AO1609" s="12"/>
      <c r="AP1609" s="12"/>
      <c r="AQ1609" s="13"/>
      <c r="AR1609" s="14"/>
    </row>
    <row r="1610" spans="1:44" x14ac:dyDescent="0.2">
      <c r="A1610" s="186"/>
      <c r="B1610" s="186"/>
      <c r="C1610" s="187"/>
      <c r="D1610" s="186"/>
      <c r="E1610" s="186"/>
      <c r="F1610" s="188"/>
      <c r="G1610" s="189"/>
      <c r="H1610" s="189"/>
      <c r="I1610" s="186"/>
      <c r="J1610" s="186"/>
      <c r="K1610" s="186"/>
      <c r="L1610" s="186"/>
      <c r="M1610" s="190"/>
      <c r="N1610" s="190"/>
      <c r="O1610" s="186"/>
      <c r="P1610" s="186"/>
      <c r="Q1610" s="191"/>
      <c r="R1610" s="192"/>
      <c r="S1610" s="192"/>
      <c r="T1610" s="193"/>
      <c r="U1610" s="193"/>
      <c r="V1610" s="189"/>
      <c r="W1610" s="189"/>
      <c r="X1610" s="193"/>
      <c r="Y1610" s="189"/>
      <c r="Z1610" s="186"/>
      <c r="AA1610" s="186"/>
      <c r="AB1610" s="186"/>
      <c r="AC1610" s="186"/>
    </row>
  </sheetData>
  <mergeCells count="1">
    <mergeCell ref="J2:Y2"/>
  </mergeCells>
  <phoneticPr fontId="17"/>
  <printOptions horizontalCentered="1"/>
  <pageMargins left="0" right="0" top="0.27559055118110237" bottom="0" header="0" footer="0"/>
  <pageSetup paperSize="8" scale="37" orientation="portrait" r:id="rId1"/>
  <headerFooter alignWithMargins="0">
    <oddHeader>&amp;L品質記録-PM-10-03-(PM)&amp;R&amp;D  &amp;T</oddHeader>
    <oddFooter>&amp;C&amp;P/&amp;N</oddFooter>
  </headerFooter>
  <rowBreaks count="7" manualBreakCount="7">
    <brk id="191" max="28" man="1"/>
    <brk id="345" max="28" man="1"/>
    <brk id="440" max="28" man="1"/>
    <brk id="537" max="28" man="1"/>
    <brk id="629" max="28" man="1"/>
    <brk id="727" max="28" man="1"/>
    <brk id="745" max="2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J2380"/>
  <sheetViews>
    <sheetView topLeftCell="A837" workbookViewId="0">
      <selection activeCell="G1012" sqref="G1012"/>
    </sheetView>
  </sheetViews>
  <sheetFormatPr defaultColWidth="9" defaultRowHeight="13.5" x14ac:dyDescent="0.15"/>
  <cols>
    <col min="1" max="1" width="19.75" style="239" bestFit="1" customWidth="1"/>
    <col min="2" max="2" width="5.375" style="239" customWidth="1"/>
    <col min="3" max="3" width="4.75" style="239" customWidth="1"/>
    <col min="4" max="6" width="9" style="239"/>
    <col min="7" max="8" width="6" style="239" customWidth="1"/>
    <col min="9" max="9" width="5.875" style="239" customWidth="1"/>
    <col min="10" max="10" width="9" style="239"/>
    <col min="11" max="11" width="10.5" style="239" bestFit="1" customWidth="1"/>
    <col min="12" max="16384" width="9" style="239"/>
  </cols>
  <sheetData>
    <row r="1" spans="1:36" x14ac:dyDescent="0.15">
      <c r="A1" s="239">
        <v>1</v>
      </c>
      <c r="B1" s="239">
        <v>2</v>
      </c>
      <c r="C1" s="239">
        <v>3</v>
      </c>
      <c r="D1" s="239">
        <v>4</v>
      </c>
      <c r="E1" s="239">
        <v>5</v>
      </c>
      <c r="F1" s="239">
        <v>6</v>
      </c>
      <c r="G1" s="239">
        <v>7</v>
      </c>
      <c r="H1" s="239">
        <v>8</v>
      </c>
      <c r="I1" s="239">
        <v>9</v>
      </c>
      <c r="J1" s="239">
        <v>10</v>
      </c>
      <c r="K1" s="239">
        <v>11</v>
      </c>
      <c r="L1" s="239">
        <v>12</v>
      </c>
      <c r="M1" s="239">
        <v>13</v>
      </c>
      <c r="N1" s="239">
        <v>14</v>
      </c>
      <c r="O1" s="239">
        <v>15</v>
      </c>
      <c r="P1" s="239">
        <v>16</v>
      </c>
      <c r="Q1" s="239">
        <v>17</v>
      </c>
      <c r="R1" s="239">
        <v>18</v>
      </c>
      <c r="S1" s="239">
        <v>19</v>
      </c>
      <c r="T1" s="239">
        <v>20</v>
      </c>
      <c r="U1" s="239">
        <v>21</v>
      </c>
      <c r="V1" s="239">
        <v>22</v>
      </c>
      <c r="W1" s="239">
        <v>23</v>
      </c>
      <c r="X1" s="239">
        <v>24</v>
      </c>
      <c r="Y1" s="239">
        <v>25</v>
      </c>
      <c r="Z1" s="239">
        <v>26</v>
      </c>
      <c r="AA1" s="239">
        <v>27</v>
      </c>
      <c r="AB1" s="239">
        <v>28</v>
      </c>
      <c r="AC1" s="239">
        <v>29</v>
      </c>
      <c r="AD1" s="239">
        <v>30</v>
      </c>
      <c r="AE1" s="239">
        <v>31</v>
      </c>
      <c r="AF1" s="239">
        <v>32</v>
      </c>
      <c r="AG1" s="239">
        <v>33</v>
      </c>
      <c r="AH1" s="239">
        <v>34</v>
      </c>
      <c r="AI1" s="239">
        <v>35</v>
      </c>
    </row>
    <row r="2" spans="1:36" x14ac:dyDescent="0.2">
      <c r="A2" s="240" t="s">
        <v>689</v>
      </c>
      <c r="B2" s="239" t="s">
        <v>334</v>
      </c>
      <c r="C2" s="239" t="s">
        <v>335</v>
      </c>
      <c r="D2" s="239" t="s">
        <v>336</v>
      </c>
      <c r="E2" s="239" t="s">
        <v>690</v>
      </c>
      <c r="F2" s="239" t="s">
        <v>338</v>
      </c>
      <c r="G2" s="239" t="s">
        <v>7</v>
      </c>
      <c r="H2" s="239" t="s">
        <v>691</v>
      </c>
      <c r="I2" s="239" t="s">
        <v>333</v>
      </c>
      <c r="J2" s="239" t="s">
        <v>337</v>
      </c>
      <c r="K2" s="239" t="s">
        <v>692</v>
      </c>
      <c r="L2" s="239" t="s">
        <v>693</v>
      </c>
      <c r="M2" s="239" t="s">
        <v>694</v>
      </c>
      <c r="N2" s="239" t="s">
        <v>695</v>
      </c>
      <c r="O2" s="239" t="s">
        <v>696</v>
      </c>
      <c r="P2" s="239" t="s">
        <v>697</v>
      </c>
      <c r="Q2" s="239" t="s">
        <v>698</v>
      </c>
      <c r="R2" s="239" t="s">
        <v>699</v>
      </c>
      <c r="S2" s="239" t="s">
        <v>700</v>
      </c>
      <c r="T2" s="239" t="s">
        <v>701</v>
      </c>
      <c r="U2" s="239" t="s">
        <v>702</v>
      </c>
      <c r="V2" s="239" t="s">
        <v>703</v>
      </c>
      <c r="W2" s="239" t="s">
        <v>704</v>
      </c>
      <c r="X2" s="239" t="s">
        <v>705</v>
      </c>
      <c r="Y2" s="239" t="s">
        <v>706</v>
      </c>
      <c r="Z2" s="239" t="s">
        <v>707</v>
      </c>
      <c r="AA2" s="239" t="s">
        <v>708</v>
      </c>
      <c r="AB2" s="239" t="s">
        <v>709</v>
      </c>
      <c r="AC2" s="239" t="s">
        <v>710</v>
      </c>
      <c r="AD2" s="239" t="s">
        <v>711</v>
      </c>
      <c r="AE2" s="241" t="s">
        <v>712</v>
      </c>
      <c r="AF2" s="241" t="s">
        <v>713</v>
      </c>
      <c r="AG2" s="242" t="s">
        <v>714</v>
      </c>
      <c r="AH2" s="242" t="s">
        <v>715</v>
      </c>
      <c r="AI2" s="243" t="s">
        <v>716</v>
      </c>
      <c r="AJ2" s="244" t="s">
        <v>717</v>
      </c>
    </row>
    <row r="3" spans="1:36" x14ac:dyDescent="0.2">
      <c r="A3" s="240" t="str">
        <f>TRIM(I3&amp;B3&amp;C3&amp;D3&amp;F3&amp;G3)</f>
        <v>3CSNA131HG12</v>
      </c>
      <c r="B3" s="239" t="s">
        <v>19</v>
      </c>
      <c r="C3" s="239" t="s">
        <v>20</v>
      </c>
      <c r="D3" s="239" t="s">
        <v>2394</v>
      </c>
      <c r="E3" s="239" t="s">
        <v>2395</v>
      </c>
      <c r="F3" s="239" t="s">
        <v>2396</v>
      </c>
      <c r="G3" s="239">
        <v>12</v>
      </c>
      <c r="H3" s="239" t="s">
        <v>928</v>
      </c>
      <c r="I3" s="239" t="s">
        <v>2397</v>
      </c>
      <c r="J3" s="239" t="s">
        <v>928</v>
      </c>
      <c r="K3" s="239" t="s">
        <v>2398</v>
      </c>
      <c r="L3" s="239">
        <v>4654.4283299999997</v>
      </c>
      <c r="M3" s="239">
        <v>91.7</v>
      </c>
      <c r="N3" s="239">
        <v>0</v>
      </c>
      <c r="O3" s="239">
        <v>3244.2748099999999</v>
      </c>
      <c r="P3" s="239">
        <v>0</v>
      </c>
      <c r="Q3" s="239">
        <v>0</v>
      </c>
      <c r="R3" s="239">
        <v>0</v>
      </c>
      <c r="S3" s="239">
        <v>0</v>
      </c>
      <c r="T3" s="239">
        <v>18.000530000000001</v>
      </c>
      <c r="U3" s="239">
        <v>240.45437999999999</v>
      </c>
      <c r="V3" s="239">
        <v>89.005719999999997</v>
      </c>
      <c r="W3" s="239">
        <v>138.25355999999999</v>
      </c>
      <c r="X3" s="239">
        <v>0</v>
      </c>
      <c r="Y3" s="239">
        <v>0</v>
      </c>
      <c r="Z3" s="239">
        <v>660.74123999999995</v>
      </c>
      <c r="AA3" s="239">
        <v>263.69808999999998</v>
      </c>
      <c r="AB3" s="239">
        <v>0</v>
      </c>
      <c r="AC3" s="239">
        <v>0</v>
      </c>
      <c r="AD3" s="239">
        <v>1</v>
      </c>
      <c r="AE3" s="239" t="s">
        <v>19</v>
      </c>
      <c r="AF3" s="239" t="s">
        <v>718</v>
      </c>
      <c r="AG3" s="239">
        <f>+O3*M3/100</f>
        <v>2975.00000077</v>
      </c>
      <c r="AH3" s="239">
        <f>+P3*M3/100</f>
        <v>0</v>
      </c>
      <c r="AI3" s="239">
        <f>+AB3*M3/100</f>
        <v>0</v>
      </c>
      <c r="AJ3" s="239">
        <f>+AG3+AH3+AI3</f>
        <v>2975.00000077</v>
      </c>
    </row>
    <row r="4" spans="1:36" x14ac:dyDescent="0.2">
      <c r="A4" s="240" t="str">
        <f t="shared" ref="A4:A67" si="0">TRIM(I4&amp;B4&amp;C4&amp;D4&amp;F4&amp;G4)</f>
        <v>SNA131HG12</v>
      </c>
      <c r="B4" s="239" t="s">
        <v>19</v>
      </c>
      <c r="C4" s="239" t="s">
        <v>20</v>
      </c>
      <c r="D4" s="239" t="s">
        <v>2394</v>
      </c>
      <c r="E4" s="239" t="s">
        <v>2395</v>
      </c>
      <c r="F4" s="239" t="s">
        <v>2396</v>
      </c>
      <c r="G4" s="239">
        <v>12</v>
      </c>
      <c r="H4" s="239" t="s">
        <v>928</v>
      </c>
      <c r="I4" s="239" t="s">
        <v>928</v>
      </c>
      <c r="J4" s="239" t="s">
        <v>928</v>
      </c>
      <c r="K4" s="239" t="s">
        <v>2398</v>
      </c>
      <c r="L4" s="239">
        <v>4654.4285900000004</v>
      </c>
      <c r="M4" s="239">
        <v>91.7</v>
      </c>
      <c r="N4" s="239">
        <v>0</v>
      </c>
      <c r="O4" s="239">
        <v>3244.2752700000001</v>
      </c>
      <c r="P4" s="239">
        <v>0</v>
      </c>
      <c r="Q4" s="239">
        <v>0</v>
      </c>
      <c r="R4" s="239">
        <v>0</v>
      </c>
      <c r="S4" s="239">
        <v>0</v>
      </c>
      <c r="T4" s="239">
        <v>18.000389999999999</v>
      </c>
      <c r="U4" s="239">
        <v>240.45400000000001</v>
      </c>
      <c r="V4" s="239">
        <v>89.006100000000004</v>
      </c>
      <c r="W4" s="239">
        <v>138.25353999999999</v>
      </c>
      <c r="X4" s="239">
        <v>0</v>
      </c>
      <c r="Y4" s="239">
        <v>0</v>
      </c>
      <c r="Z4" s="239">
        <v>660.74130000000002</v>
      </c>
      <c r="AA4" s="239">
        <v>263.69799</v>
      </c>
      <c r="AB4" s="239">
        <v>0</v>
      </c>
      <c r="AC4" s="239">
        <v>0</v>
      </c>
      <c r="AD4" s="239">
        <v>1</v>
      </c>
      <c r="AE4" s="239" t="s">
        <v>19</v>
      </c>
      <c r="AF4" s="239" t="s">
        <v>718</v>
      </c>
      <c r="AG4" s="239">
        <f t="shared" ref="AG4:AG67" si="1">+O4*M4/100</f>
        <v>2975.0004225900002</v>
      </c>
      <c r="AH4" s="239">
        <f t="shared" ref="AH4:AH67" si="2">+P4*M4/100</f>
        <v>0</v>
      </c>
      <c r="AI4" s="239">
        <f t="shared" ref="AI4:AI67" si="3">+AB4*M4/100</f>
        <v>0</v>
      </c>
      <c r="AJ4" s="239">
        <f t="shared" ref="AJ4:AJ67" si="4">+AG4+AH4+AI4</f>
        <v>2975.0004225900002</v>
      </c>
    </row>
    <row r="5" spans="1:36" x14ac:dyDescent="0.2">
      <c r="A5" s="240" t="str">
        <f t="shared" si="0"/>
        <v>3CSNA131HGM12</v>
      </c>
      <c r="B5" s="239" t="s">
        <v>19</v>
      </c>
      <c r="C5" s="239" t="s">
        <v>20</v>
      </c>
      <c r="D5" s="239" t="s">
        <v>2394</v>
      </c>
      <c r="E5" s="239" t="s">
        <v>2395</v>
      </c>
      <c r="F5" s="239" t="s">
        <v>2399</v>
      </c>
      <c r="G5" s="239">
        <v>12</v>
      </c>
      <c r="H5" s="239" t="s">
        <v>928</v>
      </c>
      <c r="I5" s="239" t="s">
        <v>2397</v>
      </c>
      <c r="J5" s="239" t="s">
        <v>928</v>
      </c>
      <c r="K5" s="239" t="s">
        <v>2398</v>
      </c>
      <c r="L5" s="239">
        <v>4654.4283299999997</v>
      </c>
      <c r="M5" s="239">
        <v>91.7</v>
      </c>
      <c r="N5" s="239">
        <v>0</v>
      </c>
      <c r="O5" s="239">
        <v>3244.2748099999999</v>
      </c>
      <c r="P5" s="239">
        <v>0</v>
      </c>
      <c r="Q5" s="239">
        <v>0</v>
      </c>
      <c r="R5" s="239">
        <v>0</v>
      </c>
      <c r="S5" s="239">
        <v>0</v>
      </c>
      <c r="T5" s="239">
        <v>18.000530000000001</v>
      </c>
      <c r="U5" s="239">
        <v>240.45437999999999</v>
      </c>
      <c r="V5" s="239">
        <v>89.005719999999997</v>
      </c>
      <c r="W5" s="239">
        <v>138.25355999999999</v>
      </c>
      <c r="X5" s="239">
        <v>0</v>
      </c>
      <c r="Y5" s="239">
        <v>0</v>
      </c>
      <c r="Z5" s="239">
        <v>660.74123999999995</v>
      </c>
      <c r="AA5" s="239">
        <v>263.69808999999998</v>
      </c>
      <c r="AB5" s="239">
        <v>0</v>
      </c>
      <c r="AC5" s="239">
        <v>0</v>
      </c>
      <c r="AD5" s="239">
        <v>1</v>
      </c>
      <c r="AE5" s="239" t="s">
        <v>19</v>
      </c>
      <c r="AF5" s="239" t="s">
        <v>718</v>
      </c>
      <c r="AG5" s="239">
        <f t="shared" si="1"/>
        <v>2975.00000077</v>
      </c>
      <c r="AH5" s="239">
        <f t="shared" si="2"/>
        <v>0</v>
      </c>
      <c r="AI5" s="239">
        <f t="shared" si="3"/>
        <v>0</v>
      </c>
      <c r="AJ5" s="239">
        <f t="shared" si="4"/>
        <v>2975.00000077</v>
      </c>
    </row>
    <row r="6" spans="1:36" x14ac:dyDescent="0.2">
      <c r="A6" s="240" t="str">
        <f t="shared" si="0"/>
        <v>SNA131HGM12</v>
      </c>
      <c r="B6" s="239" t="s">
        <v>19</v>
      </c>
      <c r="C6" s="239" t="s">
        <v>20</v>
      </c>
      <c r="D6" s="239" t="s">
        <v>2394</v>
      </c>
      <c r="E6" s="239" t="s">
        <v>2395</v>
      </c>
      <c r="F6" s="239" t="s">
        <v>2399</v>
      </c>
      <c r="G6" s="239">
        <v>12</v>
      </c>
      <c r="H6" s="239" t="s">
        <v>928</v>
      </c>
      <c r="I6" s="239" t="s">
        <v>928</v>
      </c>
      <c r="J6" s="239" t="s">
        <v>928</v>
      </c>
      <c r="K6" s="239" t="s">
        <v>2398</v>
      </c>
      <c r="L6" s="239">
        <v>4654.4249499999996</v>
      </c>
      <c r="M6" s="239">
        <v>91.7</v>
      </c>
      <c r="N6" s="239">
        <v>0</v>
      </c>
      <c r="O6" s="239">
        <v>3244.2755000000002</v>
      </c>
      <c r="P6" s="239">
        <v>0</v>
      </c>
      <c r="Q6" s="239">
        <v>0</v>
      </c>
      <c r="R6" s="239">
        <v>0</v>
      </c>
      <c r="S6" s="239">
        <v>0</v>
      </c>
      <c r="T6" s="239">
        <v>18.00075</v>
      </c>
      <c r="U6" s="239">
        <v>240.45416</v>
      </c>
      <c r="V6" s="239">
        <v>89.004480000000001</v>
      </c>
      <c r="W6" s="239">
        <v>138.25381999999999</v>
      </c>
      <c r="X6" s="239">
        <v>0</v>
      </c>
      <c r="Y6" s="239">
        <v>0</v>
      </c>
      <c r="Z6" s="239">
        <v>660.74073999999996</v>
      </c>
      <c r="AA6" s="239">
        <v>263.69549999999998</v>
      </c>
      <c r="AB6" s="239">
        <v>0</v>
      </c>
      <c r="AC6" s="239">
        <v>0</v>
      </c>
      <c r="AD6" s="239">
        <v>1</v>
      </c>
      <c r="AE6" s="239" t="s">
        <v>19</v>
      </c>
      <c r="AF6" s="239" t="s">
        <v>718</v>
      </c>
      <c r="AG6" s="239">
        <f t="shared" si="1"/>
        <v>2975.0006335000003</v>
      </c>
      <c r="AH6" s="239">
        <f t="shared" si="2"/>
        <v>0</v>
      </c>
      <c r="AI6" s="239">
        <f t="shared" si="3"/>
        <v>0</v>
      </c>
      <c r="AJ6" s="239">
        <f t="shared" si="4"/>
        <v>2975.0006335000003</v>
      </c>
    </row>
    <row r="7" spans="1:36" x14ac:dyDescent="0.2">
      <c r="A7" s="240" t="str">
        <f t="shared" si="0"/>
        <v>3ASNA1HG12</v>
      </c>
      <c r="B7" s="239" t="s">
        <v>19</v>
      </c>
      <c r="C7" s="239" t="s">
        <v>20</v>
      </c>
      <c r="D7" s="239" t="s">
        <v>2394</v>
      </c>
      <c r="E7" s="239" t="s">
        <v>2395</v>
      </c>
      <c r="F7" s="239" t="s">
        <v>2400</v>
      </c>
      <c r="G7" s="239">
        <v>12</v>
      </c>
      <c r="H7" s="239" t="s">
        <v>928</v>
      </c>
      <c r="I7" s="239" t="s">
        <v>2401</v>
      </c>
      <c r="J7" s="239" t="s">
        <v>928</v>
      </c>
      <c r="K7" s="239" t="s">
        <v>2398</v>
      </c>
      <c r="L7" s="239">
        <v>4658.4777800000002</v>
      </c>
      <c r="M7" s="239">
        <v>91.7</v>
      </c>
      <c r="N7" s="239">
        <v>0</v>
      </c>
      <c r="O7" s="239">
        <v>3244.2748099999999</v>
      </c>
      <c r="P7" s="239">
        <v>0</v>
      </c>
      <c r="Q7" s="239">
        <v>0</v>
      </c>
      <c r="R7" s="239">
        <v>0</v>
      </c>
      <c r="S7" s="239">
        <v>0</v>
      </c>
      <c r="T7" s="239">
        <v>18.000530000000001</v>
      </c>
      <c r="U7" s="239">
        <v>240.45437999999999</v>
      </c>
      <c r="V7" s="239">
        <v>91.005849999999995</v>
      </c>
      <c r="W7" s="239">
        <v>137.40332000000001</v>
      </c>
      <c r="X7" s="239">
        <v>0</v>
      </c>
      <c r="Y7" s="239">
        <v>0</v>
      </c>
      <c r="Z7" s="239">
        <v>661.69469000000004</v>
      </c>
      <c r="AA7" s="239">
        <v>265.64420000000001</v>
      </c>
      <c r="AB7" s="239">
        <v>0</v>
      </c>
      <c r="AC7" s="239">
        <v>0</v>
      </c>
      <c r="AD7" s="239">
        <v>1</v>
      </c>
      <c r="AE7" s="239" t="s">
        <v>19</v>
      </c>
      <c r="AF7" s="239" t="s">
        <v>718</v>
      </c>
      <c r="AG7" s="239">
        <f t="shared" si="1"/>
        <v>2975.00000077</v>
      </c>
      <c r="AH7" s="239">
        <f t="shared" si="2"/>
        <v>0</v>
      </c>
      <c r="AI7" s="239">
        <f t="shared" si="3"/>
        <v>0</v>
      </c>
      <c r="AJ7" s="239">
        <f t="shared" si="4"/>
        <v>2975.00000077</v>
      </c>
    </row>
    <row r="8" spans="1:36" x14ac:dyDescent="0.2">
      <c r="A8" s="240" t="str">
        <f t="shared" si="0"/>
        <v>3GSNA1HG12</v>
      </c>
      <c r="B8" s="239" t="s">
        <v>19</v>
      </c>
      <c r="C8" s="239" t="s">
        <v>20</v>
      </c>
      <c r="D8" s="239" t="s">
        <v>2394</v>
      </c>
      <c r="E8" s="239" t="s">
        <v>2395</v>
      </c>
      <c r="F8" s="239" t="s">
        <v>2400</v>
      </c>
      <c r="G8" s="239">
        <v>12</v>
      </c>
      <c r="H8" s="239" t="s">
        <v>928</v>
      </c>
      <c r="I8" s="239" t="s">
        <v>2402</v>
      </c>
      <c r="J8" s="239" t="s">
        <v>928</v>
      </c>
      <c r="K8" s="239" t="s">
        <v>2398</v>
      </c>
      <c r="L8" s="239">
        <v>5494.3718399999998</v>
      </c>
      <c r="M8" s="239">
        <v>91.7</v>
      </c>
      <c r="N8" s="239">
        <v>0</v>
      </c>
      <c r="O8" s="239">
        <v>4147.4154900000003</v>
      </c>
      <c r="P8" s="239">
        <v>0</v>
      </c>
      <c r="Q8" s="239">
        <v>0</v>
      </c>
      <c r="R8" s="239">
        <v>0</v>
      </c>
      <c r="S8" s="239">
        <v>0</v>
      </c>
      <c r="T8" s="239">
        <v>17.000499999999999</v>
      </c>
      <c r="U8" s="239">
        <v>236.32641000000001</v>
      </c>
      <c r="V8" s="239">
        <v>86.005529999999993</v>
      </c>
      <c r="W8" s="239">
        <v>134.94538</v>
      </c>
      <c r="X8" s="239">
        <v>0</v>
      </c>
      <c r="Y8" s="239">
        <v>0</v>
      </c>
      <c r="Z8" s="239">
        <v>622.60321999999996</v>
      </c>
      <c r="AA8" s="239">
        <v>250.07531</v>
      </c>
      <c r="AB8" s="239">
        <v>0</v>
      </c>
      <c r="AC8" s="239">
        <v>0</v>
      </c>
      <c r="AD8" s="239">
        <v>1</v>
      </c>
      <c r="AE8" s="239" t="s">
        <v>19</v>
      </c>
      <c r="AF8" s="239" t="s">
        <v>718</v>
      </c>
      <c r="AG8" s="239">
        <f t="shared" si="1"/>
        <v>3803.1800043300004</v>
      </c>
      <c r="AH8" s="239">
        <f t="shared" si="2"/>
        <v>0</v>
      </c>
      <c r="AI8" s="239">
        <f t="shared" si="3"/>
        <v>0</v>
      </c>
      <c r="AJ8" s="239">
        <f t="shared" si="4"/>
        <v>3803.1800043300004</v>
      </c>
    </row>
    <row r="9" spans="1:36" x14ac:dyDescent="0.2">
      <c r="A9" s="240" t="str">
        <f t="shared" si="0"/>
        <v>SNA1HG12</v>
      </c>
      <c r="B9" s="239" t="s">
        <v>19</v>
      </c>
      <c r="C9" s="239" t="s">
        <v>20</v>
      </c>
      <c r="D9" s="239" t="s">
        <v>2394</v>
      </c>
      <c r="E9" s="239" t="s">
        <v>2395</v>
      </c>
      <c r="F9" s="239" t="s">
        <v>2400</v>
      </c>
      <c r="G9" s="239">
        <v>12</v>
      </c>
      <c r="H9" s="239" t="s">
        <v>928</v>
      </c>
      <c r="I9" s="239" t="s">
        <v>928</v>
      </c>
      <c r="J9" s="239" t="s">
        <v>928</v>
      </c>
      <c r="K9" s="239" t="s">
        <v>2398</v>
      </c>
      <c r="L9" s="239">
        <v>5052.9232700000002</v>
      </c>
      <c r="M9" s="239">
        <v>91.7</v>
      </c>
      <c r="N9" s="239">
        <v>0</v>
      </c>
      <c r="O9" s="239">
        <v>3670.4528500000001</v>
      </c>
      <c r="P9" s="239">
        <v>0</v>
      </c>
      <c r="Q9" s="239">
        <v>0</v>
      </c>
      <c r="R9" s="239">
        <v>0</v>
      </c>
      <c r="S9" s="239">
        <v>0</v>
      </c>
      <c r="T9" s="239">
        <v>17.528659999999999</v>
      </c>
      <c r="U9" s="239">
        <v>238.50656000000001</v>
      </c>
      <c r="V9" s="239">
        <v>88.646199999999993</v>
      </c>
      <c r="W9" s="239">
        <v>136.24341999999999</v>
      </c>
      <c r="X9" s="239">
        <v>0</v>
      </c>
      <c r="Y9" s="239">
        <v>0</v>
      </c>
      <c r="Z9" s="239">
        <v>643.24815000000001</v>
      </c>
      <c r="AA9" s="239">
        <v>258.29743000000002</v>
      </c>
      <c r="AB9" s="239">
        <v>0</v>
      </c>
      <c r="AC9" s="239">
        <v>0</v>
      </c>
      <c r="AD9" s="239">
        <v>1</v>
      </c>
      <c r="AE9" s="239" t="s">
        <v>19</v>
      </c>
      <c r="AF9" s="239" t="s">
        <v>718</v>
      </c>
      <c r="AG9" s="239">
        <f t="shared" si="1"/>
        <v>3365.80526345</v>
      </c>
      <c r="AH9" s="239">
        <f t="shared" si="2"/>
        <v>0</v>
      </c>
      <c r="AI9" s="239">
        <f t="shared" si="3"/>
        <v>0</v>
      </c>
      <c r="AJ9" s="239">
        <f t="shared" si="4"/>
        <v>3365.80526345</v>
      </c>
    </row>
    <row r="10" spans="1:36" x14ac:dyDescent="0.2">
      <c r="A10" s="240" t="str">
        <f t="shared" si="0"/>
        <v>3ASNA1HGM12</v>
      </c>
      <c r="B10" s="239" t="s">
        <v>19</v>
      </c>
      <c r="C10" s="239" t="s">
        <v>20</v>
      </c>
      <c r="D10" s="239" t="s">
        <v>2394</v>
      </c>
      <c r="E10" s="239" t="s">
        <v>2395</v>
      </c>
      <c r="F10" s="239" t="s">
        <v>2403</v>
      </c>
      <c r="G10" s="239">
        <v>12</v>
      </c>
      <c r="H10" s="239" t="s">
        <v>928</v>
      </c>
      <c r="I10" s="239" t="s">
        <v>2401</v>
      </c>
      <c r="J10" s="239" t="s">
        <v>928</v>
      </c>
      <c r="K10" s="239" t="s">
        <v>2398</v>
      </c>
      <c r="L10" s="239">
        <v>4658.4777800000002</v>
      </c>
      <c r="M10" s="239">
        <v>91.7</v>
      </c>
      <c r="N10" s="239">
        <v>0</v>
      </c>
      <c r="O10" s="239">
        <v>3244.2748099999999</v>
      </c>
      <c r="P10" s="239">
        <v>0</v>
      </c>
      <c r="Q10" s="239">
        <v>0</v>
      </c>
      <c r="R10" s="239">
        <v>0</v>
      </c>
      <c r="S10" s="239">
        <v>0</v>
      </c>
      <c r="T10" s="239">
        <v>18.000530000000001</v>
      </c>
      <c r="U10" s="239">
        <v>240.45437999999999</v>
      </c>
      <c r="V10" s="239">
        <v>91.005849999999995</v>
      </c>
      <c r="W10" s="239">
        <v>137.40332000000001</v>
      </c>
      <c r="X10" s="239">
        <v>0</v>
      </c>
      <c r="Y10" s="239">
        <v>0</v>
      </c>
      <c r="Z10" s="239">
        <v>661.69469000000004</v>
      </c>
      <c r="AA10" s="239">
        <v>265.64420000000001</v>
      </c>
      <c r="AB10" s="239">
        <v>0</v>
      </c>
      <c r="AC10" s="239">
        <v>0</v>
      </c>
      <c r="AD10" s="239">
        <v>1</v>
      </c>
      <c r="AE10" s="239" t="s">
        <v>19</v>
      </c>
      <c r="AF10" s="239" t="s">
        <v>718</v>
      </c>
      <c r="AG10" s="239">
        <f t="shared" si="1"/>
        <v>2975.00000077</v>
      </c>
      <c r="AH10" s="239">
        <f t="shared" si="2"/>
        <v>0</v>
      </c>
      <c r="AI10" s="239">
        <f t="shared" si="3"/>
        <v>0</v>
      </c>
      <c r="AJ10" s="239">
        <f t="shared" si="4"/>
        <v>2975.00000077</v>
      </c>
    </row>
    <row r="11" spans="1:36" x14ac:dyDescent="0.2">
      <c r="A11" s="240" t="str">
        <f t="shared" si="0"/>
        <v>3GSNA1HGM12</v>
      </c>
      <c r="B11" s="239" t="s">
        <v>19</v>
      </c>
      <c r="C11" s="239" t="s">
        <v>20</v>
      </c>
      <c r="D11" s="239" t="s">
        <v>2394</v>
      </c>
      <c r="E11" s="239" t="s">
        <v>2395</v>
      </c>
      <c r="F11" s="239" t="s">
        <v>2403</v>
      </c>
      <c r="G11" s="239">
        <v>12</v>
      </c>
      <c r="H11" s="239" t="s">
        <v>928</v>
      </c>
      <c r="I11" s="239" t="s">
        <v>2402</v>
      </c>
      <c r="J11" s="239" t="s">
        <v>928</v>
      </c>
      <c r="K11" s="239" t="s">
        <v>2398</v>
      </c>
      <c r="L11" s="239">
        <v>5494.3718399999998</v>
      </c>
      <c r="M11" s="239">
        <v>91.7</v>
      </c>
      <c r="N11" s="239">
        <v>0</v>
      </c>
      <c r="O11" s="239">
        <v>4147.4154900000003</v>
      </c>
      <c r="P11" s="239">
        <v>0</v>
      </c>
      <c r="Q11" s="239">
        <v>0</v>
      </c>
      <c r="R11" s="239">
        <v>0</v>
      </c>
      <c r="S11" s="239">
        <v>0</v>
      </c>
      <c r="T11" s="239">
        <v>17.000499999999999</v>
      </c>
      <c r="U11" s="239">
        <v>236.32641000000001</v>
      </c>
      <c r="V11" s="239">
        <v>86.005529999999993</v>
      </c>
      <c r="W11" s="239">
        <v>134.94538</v>
      </c>
      <c r="X11" s="239">
        <v>0</v>
      </c>
      <c r="Y11" s="239">
        <v>0</v>
      </c>
      <c r="Z11" s="239">
        <v>622.60321999999996</v>
      </c>
      <c r="AA11" s="239">
        <v>250.07531</v>
      </c>
      <c r="AB11" s="239">
        <v>0</v>
      </c>
      <c r="AC11" s="239">
        <v>0</v>
      </c>
      <c r="AD11" s="239">
        <v>1</v>
      </c>
      <c r="AE11" s="239" t="s">
        <v>19</v>
      </c>
      <c r="AF11" s="239" t="s">
        <v>718</v>
      </c>
      <c r="AG11" s="239">
        <f t="shared" si="1"/>
        <v>3803.1800043300004</v>
      </c>
      <c r="AH11" s="239">
        <f t="shared" si="2"/>
        <v>0</v>
      </c>
      <c r="AI11" s="239">
        <f t="shared" si="3"/>
        <v>0</v>
      </c>
      <c r="AJ11" s="239">
        <f t="shared" si="4"/>
        <v>3803.1800043300004</v>
      </c>
    </row>
    <row r="12" spans="1:36" x14ac:dyDescent="0.2">
      <c r="A12" s="240" t="str">
        <f t="shared" si="0"/>
        <v>SNA1HGM12</v>
      </c>
      <c r="B12" s="239" t="s">
        <v>19</v>
      </c>
      <c r="C12" s="239" t="s">
        <v>20</v>
      </c>
      <c r="D12" s="239" t="s">
        <v>2394</v>
      </c>
      <c r="E12" s="239" t="s">
        <v>2395</v>
      </c>
      <c r="F12" s="239" t="s">
        <v>2403</v>
      </c>
      <c r="G12" s="239">
        <v>12</v>
      </c>
      <c r="H12" s="239" t="s">
        <v>928</v>
      </c>
      <c r="I12" s="239" t="s">
        <v>928</v>
      </c>
      <c r="J12" s="239" t="s">
        <v>928</v>
      </c>
      <c r="K12" s="239" t="s">
        <v>2398</v>
      </c>
      <c r="L12" s="239">
        <v>4814.3687</v>
      </c>
      <c r="M12" s="239">
        <v>91.7</v>
      </c>
      <c r="N12" s="239">
        <v>0</v>
      </c>
      <c r="O12" s="239">
        <v>3412.70534</v>
      </c>
      <c r="P12" s="239">
        <v>0</v>
      </c>
      <c r="Q12" s="239">
        <v>0</v>
      </c>
      <c r="R12" s="239">
        <v>0</v>
      </c>
      <c r="S12" s="239">
        <v>0</v>
      </c>
      <c r="T12" s="239">
        <v>17.814209999999999</v>
      </c>
      <c r="U12" s="239">
        <v>239.68615</v>
      </c>
      <c r="V12" s="239">
        <v>90.073400000000007</v>
      </c>
      <c r="W12" s="239">
        <v>136.94611</v>
      </c>
      <c r="X12" s="239">
        <v>0</v>
      </c>
      <c r="Y12" s="239">
        <v>0</v>
      </c>
      <c r="Z12" s="239">
        <v>654.40363000000002</v>
      </c>
      <c r="AA12" s="239">
        <v>262.73986000000002</v>
      </c>
      <c r="AB12" s="239">
        <v>0</v>
      </c>
      <c r="AC12" s="239">
        <v>0</v>
      </c>
      <c r="AD12" s="239">
        <v>1</v>
      </c>
      <c r="AE12" s="239" t="s">
        <v>19</v>
      </c>
      <c r="AF12" s="239" t="s">
        <v>718</v>
      </c>
      <c r="AG12" s="239">
        <f t="shared" si="1"/>
        <v>3129.45079678</v>
      </c>
      <c r="AH12" s="239">
        <f t="shared" si="2"/>
        <v>0</v>
      </c>
      <c r="AI12" s="239">
        <f t="shared" si="3"/>
        <v>0</v>
      </c>
      <c r="AJ12" s="239">
        <f t="shared" si="4"/>
        <v>3129.45079678</v>
      </c>
    </row>
    <row r="13" spans="1:36" x14ac:dyDescent="0.2">
      <c r="A13" s="240" t="str">
        <f t="shared" si="0"/>
        <v>3M5SNA1SBJ212</v>
      </c>
      <c r="B13" s="239" t="s">
        <v>19</v>
      </c>
      <c r="C13" s="239" t="s">
        <v>20</v>
      </c>
      <c r="D13" s="239" t="s">
        <v>2394</v>
      </c>
      <c r="E13" s="239" t="s">
        <v>2395</v>
      </c>
      <c r="F13" s="239" t="s">
        <v>2404</v>
      </c>
      <c r="G13" s="239">
        <v>12</v>
      </c>
      <c r="H13" s="239" t="s">
        <v>928</v>
      </c>
      <c r="I13" s="239" t="s">
        <v>2405</v>
      </c>
      <c r="J13" s="239" t="s">
        <v>928</v>
      </c>
      <c r="K13" s="239" t="s">
        <v>2398</v>
      </c>
      <c r="L13" s="239">
        <v>3804.4897099999998</v>
      </c>
      <c r="M13" s="239">
        <v>94</v>
      </c>
      <c r="N13" s="239">
        <v>0</v>
      </c>
      <c r="O13" s="239">
        <v>2714.8936199999998</v>
      </c>
      <c r="P13" s="239">
        <v>0</v>
      </c>
      <c r="Q13" s="239">
        <v>0</v>
      </c>
      <c r="R13" s="239">
        <v>0</v>
      </c>
      <c r="S13" s="239">
        <v>0</v>
      </c>
      <c r="T13" s="239">
        <v>28.000830000000001</v>
      </c>
      <c r="U13" s="239">
        <v>0</v>
      </c>
      <c r="V13" s="239">
        <v>196.01259999999999</v>
      </c>
      <c r="W13" s="239">
        <v>133.89198999999999</v>
      </c>
      <c r="X13" s="239">
        <v>0</v>
      </c>
      <c r="Y13" s="239">
        <v>0</v>
      </c>
      <c r="Z13" s="239">
        <v>570.16342999999995</v>
      </c>
      <c r="AA13" s="239">
        <v>161.52724000000001</v>
      </c>
      <c r="AB13" s="239">
        <v>0</v>
      </c>
      <c r="AC13" s="239">
        <v>0</v>
      </c>
      <c r="AD13" s="239">
        <v>1</v>
      </c>
      <c r="AE13" s="239" t="s">
        <v>19</v>
      </c>
      <c r="AF13" s="239" t="s">
        <v>718</v>
      </c>
      <c r="AG13" s="239">
        <f t="shared" si="1"/>
        <v>2552.0000027999999</v>
      </c>
      <c r="AH13" s="239">
        <f t="shared" si="2"/>
        <v>0</v>
      </c>
      <c r="AI13" s="239">
        <f t="shared" si="3"/>
        <v>0</v>
      </c>
      <c r="AJ13" s="239">
        <f t="shared" si="4"/>
        <v>2552.0000027999999</v>
      </c>
    </row>
    <row r="14" spans="1:36" x14ac:dyDescent="0.2">
      <c r="A14" s="240" t="str">
        <f t="shared" si="0"/>
        <v>SNA1SBJ212</v>
      </c>
      <c r="B14" s="239" t="s">
        <v>19</v>
      </c>
      <c r="C14" s="239" t="s">
        <v>20</v>
      </c>
      <c r="D14" s="239" t="s">
        <v>2394</v>
      </c>
      <c r="E14" s="239" t="s">
        <v>2395</v>
      </c>
      <c r="F14" s="239" t="s">
        <v>2404</v>
      </c>
      <c r="G14" s="239">
        <v>12</v>
      </c>
      <c r="H14" s="239" t="s">
        <v>928</v>
      </c>
      <c r="I14" s="239" t="s">
        <v>928</v>
      </c>
      <c r="J14" s="239" t="s">
        <v>928</v>
      </c>
      <c r="K14" s="239" t="s">
        <v>2398</v>
      </c>
      <c r="L14" s="239">
        <v>3804.48972</v>
      </c>
      <c r="M14" s="239">
        <v>94</v>
      </c>
      <c r="N14" s="239">
        <v>0</v>
      </c>
      <c r="O14" s="239">
        <v>2714.8936100000001</v>
      </c>
      <c r="P14" s="239">
        <v>0</v>
      </c>
      <c r="Q14" s="239">
        <v>0</v>
      </c>
      <c r="R14" s="239">
        <v>0</v>
      </c>
      <c r="S14" s="239">
        <v>0</v>
      </c>
      <c r="T14" s="239">
        <v>28.000830000000001</v>
      </c>
      <c r="U14" s="239">
        <v>0</v>
      </c>
      <c r="V14" s="239">
        <v>196.01261</v>
      </c>
      <c r="W14" s="239">
        <v>133.892</v>
      </c>
      <c r="X14" s="239">
        <v>0</v>
      </c>
      <c r="Y14" s="239">
        <v>0</v>
      </c>
      <c r="Z14" s="239">
        <v>570.16344000000004</v>
      </c>
      <c r="AA14" s="239">
        <v>161.52723</v>
      </c>
      <c r="AB14" s="239">
        <v>0</v>
      </c>
      <c r="AC14" s="239">
        <v>0</v>
      </c>
      <c r="AD14" s="239">
        <v>1</v>
      </c>
      <c r="AE14" s="239" t="s">
        <v>19</v>
      </c>
      <c r="AF14" s="239" t="s">
        <v>718</v>
      </c>
      <c r="AG14" s="239">
        <f t="shared" si="1"/>
        <v>2551.9999934000002</v>
      </c>
      <c r="AH14" s="239">
        <f t="shared" si="2"/>
        <v>0</v>
      </c>
      <c r="AI14" s="239">
        <f t="shared" si="3"/>
        <v>0</v>
      </c>
      <c r="AJ14" s="239">
        <f t="shared" si="4"/>
        <v>2551.9999934000002</v>
      </c>
    </row>
    <row r="15" spans="1:36" x14ac:dyDescent="0.2">
      <c r="A15" s="240" t="str">
        <f t="shared" si="0"/>
        <v>3ASNA1C14HGCW12</v>
      </c>
      <c r="B15" s="239" t="s">
        <v>19</v>
      </c>
      <c r="C15" s="239" t="s">
        <v>20</v>
      </c>
      <c r="D15" s="239" t="s">
        <v>2406</v>
      </c>
      <c r="E15" s="239" t="s">
        <v>2407</v>
      </c>
      <c r="F15" s="239" t="s">
        <v>2408</v>
      </c>
      <c r="G15" s="239">
        <v>12</v>
      </c>
      <c r="H15" s="239" t="s">
        <v>928</v>
      </c>
      <c r="I15" s="239" t="s">
        <v>2401</v>
      </c>
      <c r="J15" s="239" t="s">
        <v>928</v>
      </c>
      <c r="K15" s="239" t="s">
        <v>2398</v>
      </c>
      <c r="L15" s="239">
        <v>11703.241249999999</v>
      </c>
      <c r="M15" s="239">
        <v>83</v>
      </c>
      <c r="N15" s="239">
        <v>0</v>
      </c>
      <c r="O15" s="239">
        <v>8132.5301200000004</v>
      </c>
      <c r="P15" s="239">
        <v>0</v>
      </c>
      <c r="Q15" s="239">
        <v>0</v>
      </c>
      <c r="R15" s="239">
        <v>0</v>
      </c>
      <c r="S15" s="239">
        <v>0</v>
      </c>
      <c r="T15" s="239">
        <v>895.41601000000003</v>
      </c>
      <c r="U15" s="239">
        <v>237.37162000000001</v>
      </c>
      <c r="V15" s="239">
        <v>109.65791</v>
      </c>
      <c r="W15" s="239">
        <v>481.83127999999999</v>
      </c>
      <c r="X15" s="239">
        <v>0</v>
      </c>
      <c r="Y15" s="239">
        <v>0</v>
      </c>
      <c r="Z15" s="239">
        <v>1298.1448399999999</v>
      </c>
      <c r="AA15" s="239">
        <v>548.28947000000005</v>
      </c>
      <c r="AB15" s="239">
        <v>0</v>
      </c>
      <c r="AC15" s="239">
        <v>0</v>
      </c>
      <c r="AD15" s="239">
        <v>1</v>
      </c>
      <c r="AE15" s="239" t="s">
        <v>19</v>
      </c>
      <c r="AF15" s="239" t="s">
        <v>718</v>
      </c>
      <c r="AG15" s="239">
        <f t="shared" si="1"/>
        <v>6749.9999996000006</v>
      </c>
      <c r="AH15" s="239">
        <f t="shared" si="2"/>
        <v>0</v>
      </c>
      <c r="AI15" s="239">
        <f t="shared" si="3"/>
        <v>0</v>
      </c>
      <c r="AJ15" s="239">
        <f t="shared" si="4"/>
        <v>6749.9999996000006</v>
      </c>
    </row>
    <row r="16" spans="1:36" x14ac:dyDescent="0.2">
      <c r="A16" s="240" t="str">
        <f t="shared" si="0"/>
        <v>SNA1C14HGCW12</v>
      </c>
      <c r="B16" s="239" t="s">
        <v>19</v>
      </c>
      <c r="C16" s="239" t="s">
        <v>20</v>
      </c>
      <c r="D16" s="239" t="s">
        <v>2406</v>
      </c>
      <c r="E16" s="239" t="s">
        <v>2407</v>
      </c>
      <c r="F16" s="239" t="s">
        <v>2408</v>
      </c>
      <c r="G16" s="239">
        <v>12</v>
      </c>
      <c r="H16" s="239" t="s">
        <v>928</v>
      </c>
      <c r="I16" s="239" t="s">
        <v>928</v>
      </c>
      <c r="J16" s="239" t="s">
        <v>928</v>
      </c>
      <c r="K16" s="239" t="s">
        <v>2398</v>
      </c>
      <c r="L16" s="239">
        <v>11703.241249999999</v>
      </c>
      <c r="M16" s="239">
        <v>83</v>
      </c>
      <c r="N16" s="239">
        <v>0</v>
      </c>
      <c r="O16" s="239">
        <v>8132.5275199999996</v>
      </c>
      <c r="P16" s="239">
        <v>0</v>
      </c>
      <c r="Q16" s="239">
        <v>0</v>
      </c>
      <c r="R16" s="239">
        <v>0</v>
      </c>
      <c r="S16" s="239">
        <v>0</v>
      </c>
      <c r="T16" s="239">
        <v>895.41693999999995</v>
      </c>
      <c r="U16" s="239">
        <v>237.37318999999999</v>
      </c>
      <c r="V16" s="239">
        <v>109.65897</v>
      </c>
      <c r="W16" s="239">
        <v>481.82963000000001</v>
      </c>
      <c r="X16" s="239">
        <v>0</v>
      </c>
      <c r="Y16" s="239">
        <v>0</v>
      </c>
      <c r="Z16" s="239">
        <v>1298.14735</v>
      </c>
      <c r="AA16" s="239">
        <v>548.28764999999999</v>
      </c>
      <c r="AB16" s="239">
        <v>0</v>
      </c>
      <c r="AC16" s="239">
        <v>0</v>
      </c>
      <c r="AD16" s="239">
        <v>1</v>
      </c>
      <c r="AE16" s="239" t="s">
        <v>19</v>
      </c>
      <c r="AF16" s="239" t="s">
        <v>718</v>
      </c>
      <c r="AG16" s="239">
        <f t="shared" si="1"/>
        <v>6749.9978415999994</v>
      </c>
      <c r="AH16" s="239">
        <f t="shared" si="2"/>
        <v>0</v>
      </c>
      <c r="AI16" s="239">
        <f t="shared" si="3"/>
        <v>0</v>
      </c>
      <c r="AJ16" s="239">
        <f t="shared" si="4"/>
        <v>6749.9978415999994</v>
      </c>
    </row>
    <row r="17" spans="1:36" x14ac:dyDescent="0.2">
      <c r="A17" s="240" t="str">
        <f t="shared" si="0"/>
        <v>3ASNA1C31HGCR12</v>
      </c>
      <c r="B17" s="239" t="s">
        <v>19</v>
      </c>
      <c r="C17" s="239" t="s">
        <v>20</v>
      </c>
      <c r="D17" s="239" t="s">
        <v>2406</v>
      </c>
      <c r="E17" s="239" t="s">
        <v>2407</v>
      </c>
      <c r="F17" s="239" t="s">
        <v>2409</v>
      </c>
      <c r="G17" s="239">
        <v>12</v>
      </c>
      <c r="H17" s="239" t="s">
        <v>928</v>
      </c>
      <c r="I17" s="239" t="s">
        <v>2401</v>
      </c>
      <c r="J17" s="239" t="s">
        <v>928</v>
      </c>
      <c r="K17" s="239" t="s">
        <v>2398</v>
      </c>
      <c r="L17" s="239">
        <v>6050.8174099999997</v>
      </c>
      <c r="M17" s="239">
        <v>90.5</v>
      </c>
      <c r="N17" s="239">
        <v>0</v>
      </c>
      <c r="O17" s="239">
        <v>3287.2928200000001</v>
      </c>
      <c r="P17" s="239">
        <v>0</v>
      </c>
      <c r="Q17" s="239">
        <v>0</v>
      </c>
      <c r="R17" s="239">
        <v>0</v>
      </c>
      <c r="S17" s="239">
        <v>0</v>
      </c>
      <c r="T17" s="239">
        <v>755.76441999999997</v>
      </c>
      <c r="U17" s="239">
        <v>236.33957000000001</v>
      </c>
      <c r="V17" s="239">
        <v>102.65757000000001</v>
      </c>
      <c r="W17" s="239">
        <v>314.44135</v>
      </c>
      <c r="X17" s="239">
        <v>0</v>
      </c>
      <c r="Y17" s="239">
        <v>0</v>
      </c>
      <c r="Z17" s="239">
        <v>960.83160999999996</v>
      </c>
      <c r="AA17" s="239">
        <v>393.49007</v>
      </c>
      <c r="AB17" s="239">
        <v>0</v>
      </c>
      <c r="AC17" s="239">
        <v>0</v>
      </c>
      <c r="AD17" s="239">
        <v>1</v>
      </c>
      <c r="AE17" s="239" t="s">
        <v>19</v>
      </c>
      <c r="AF17" s="239" t="s">
        <v>718</v>
      </c>
      <c r="AG17" s="239">
        <f t="shared" si="1"/>
        <v>2975.0000021000001</v>
      </c>
      <c r="AH17" s="239">
        <f t="shared" si="2"/>
        <v>0</v>
      </c>
      <c r="AI17" s="239">
        <f t="shared" si="3"/>
        <v>0</v>
      </c>
      <c r="AJ17" s="239">
        <f t="shared" si="4"/>
        <v>2975.0000021000001</v>
      </c>
    </row>
    <row r="18" spans="1:36" x14ac:dyDescent="0.2">
      <c r="A18" s="240" t="str">
        <f t="shared" si="0"/>
        <v>SNA1C31HGCR12</v>
      </c>
      <c r="B18" s="239" t="s">
        <v>19</v>
      </c>
      <c r="C18" s="239" t="s">
        <v>20</v>
      </c>
      <c r="D18" s="239" t="s">
        <v>2406</v>
      </c>
      <c r="E18" s="239" t="s">
        <v>2407</v>
      </c>
      <c r="F18" s="239" t="s">
        <v>2409</v>
      </c>
      <c r="G18" s="239">
        <v>12</v>
      </c>
      <c r="H18" s="239" t="s">
        <v>928</v>
      </c>
      <c r="I18" s="239" t="s">
        <v>928</v>
      </c>
      <c r="J18" s="239" t="s">
        <v>928</v>
      </c>
      <c r="K18" s="239" t="s">
        <v>2398</v>
      </c>
      <c r="L18" s="239">
        <v>6050.8127100000002</v>
      </c>
      <c r="M18" s="239">
        <v>90.5</v>
      </c>
      <c r="N18" s="239">
        <v>0</v>
      </c>
      <c r="O18" s="239">
        <v>3287.2919299999999</v>
      </c>
      <c r="P18" s="239">
        <v>0</v>
      </c>
      <c r="Q18" s="239">
        <v>0</v>
      </c>
      <c r="R18" s="239">
        <v>0</v>
      </c>
      <c r="S18" s="239">
        <v>0</v>
      </c>
      <c r="T18" s="239">
        <v>755.76322000000005</v>
      </c>
      <c r="U18" s="239">
        <v>236.33770999999999</v>
      </c>
      <c r="V18" s="239">
        <v>102.65738</v>
      </c>
      <c r="W18" s="239">
        <v>314.44098000000002</v>
      </c>
      <c r="X18" s="239">
        <v>0</v>
      </c>
      <c r="Y18" s="239">
        <v>0</v>
      </c>
      <c r="Z18" s="239">
        <v>960.83145000000002</v>
      </c>
      <c r="AA18" s="239">
        <v>393.49004000000002</v>
      </c>
      <c r="AB18" s="239">
        <v>0</v>
      </c>
      <c r="AC18" s="239">
        <v>0</v>
      </c>
      <c r="AD18" s="239">
        <v>1</v>
      </c>
      <c r="AE18" s="239" t="s">
        <v>19</v>
      </c>
      <c r="AF18" s="239" t="s">
        <v>718</v>
      </c>
      <c r="AG18" s="239">
        <f t="shared" si="1"/>
        <v>2974.9991966500002</v>
      </c>
      <c r="AH18" s="239">
        <f t="shared" si="2"/>
        <v>0</v>
      </c>
      <c r="AI18" s="239">
        <f t="shared" si="3"/>
        <v>0</v>
      </c>
      <c r="AJ18" s="239">
        <f t="shared" si="4"/>
        <v>2974.9991966500002</v>
      </c>
    </row>
    <row r="19" spans="1:36" x14ac:dyDescent="0.2">
      <c r="A19" s="240" t="str">
        <f t="shared" si="0"/>
        <v>3ASNA1C31HGMCR12</v>
      </c>
      <c r="B19" s="239" t="s">
        <v>19</v>
      </c>
      <c r="C19" s="239" t="s">
        <v>20</v>
      </c>
      <c r="D19" s="239" t="s">
        <v>2406</v>
      </c>
      <c r="E19" s="239" t="s">
        <v>2407</v>
      </c>
      <c r="F19" s="239" t="s">
        <v>2410</v>
      </c>
      <c r="G19" s="239">
        <v>12</v>
      </c>
      <c r="H19" s="239" t="s">
        <v>928</v>
      </c>
      <c r="I19" s="239" t="s">
        <v>2401</v>
      </c>
      <c r="J19" s="239" t="s">
        <v>928</v>
      </c>
      <c r="K19" s="239" t="s">
        <v>2398</v>
      </c>
      <c r="L19" s="239">
        <v>6050.8174099999997</v>
      </c>
      <c r="M19" s="239">
        <v>90.5</v>
      </c>
      <c r="N19" s="239">
        <v>0</v>
      </c>
      <c r="O19" s="239">
        <v>3287.2928200000001</v>
      </c>
      <c r="P19" s="239">
        <v>0</v>
      </c>
      <c r="Q19" s="239">
        <v>0</v>
      </c>
      <c r="R19" s="239">
        <v>0</v>
      </c>
      <c r="S19" s="239">
        <v>0</v>
      </c>
      <c r="T19" s="239">
        <v>755.76441999999997</v>
      </c>
      <c r="U19" s="239">
        <v>236.33957000000001</v>
      </c>
      <c r="V19" s="239">
        <v>102.65757000000001</v>
      </c>
      <c r="W19" s="239">
        <v>314.44135</v>
      </c>
      <c r="X19" s="239">
        <v>0</v>
      </c>
      <c r="Y19" s="239">
        <v>0</v>
      </c>
      <c r="Z19" s="239">
        <v>960.83160999999996</v>
      </c>
      <c r="AA19" s="239">
        <v>393.49007</v>
      </c>
      <c r="AB19" s="239">
        <v>0</v>
      </c>
      <c r="AC19" s="239">
        <v>0</v>
      </c>
      <c r="AD19" s="239">
        <v>1</v>
      </c>
      <c r="AE19" s="239" t="s">
        <v>19</v>
      </c>
      <c r="AF19" s="239" t="s">
        <v>718</v>
      </c>
      <c r="AG19" s="239">
        <f t="shared" si="1"/>
        <v>2975.0000021000001</v>
      </c>
      <c r="AH19" s="239">
        <f t="shared" si="2"/>
        <v>0</v>
      </c>
      <c r="AI19" s="239">
        <f t="shared" si="3"/>
        <v>0</v>
      </c>
      <c r="AJ19" s="239">
        <f t="shared" si="4"/>
        <v>2975.0000021000001</v>
      </c>
    </row>
    <row r="20" spans="1:36" x14ac:dyDescent="0.2">
      <c r="A20" s="240" t="str">
        <f t="shared" si="0"/>
        <v>SNA1C31HGMCR12</v>
      </c>
      <c r="B20" s="239" t="s">
        <v>19</v>
      </c>
      <c r="C20" s="239" t="s">
        <v>20</v>
      </c>
      <c r="D20" s="239" t="s">
        <v>2406</v>
      </c>
      <c r="E20" s="239" t="s">
        <v>2407</v>
      </c>
      <c r="F20" s="239" t="s">
        <v>2410</v>
      </c>
      <c r="G20" s="239">
        <v>12</v>
      </c>
      <c r="H20" s="239" t="s">
        <v>928</v>
      </c>
      <c r="I20" s="239" t="s">
        <v>928</v>
      </c>
      <c r="J20" s="239" t="s">
        <v>928</v>
      </c>
      <c r="K20" s="239" t="s">
        <v>2398</v>
      </c>
      <c r="L20" s="239">
        <v>6050.8333300000004</v>
      </c>
      <c r="M20" s="239">
        <v>90.5</v>
      </c>
      <c r="N20" s="239">
        <v>0</v>
      </c>
      <c r="O20" s="239">
        <v>3287.2916700000001</v>
      </c>
      <c r="P20" s="239">
        <v>0</v>
      </c>
      <c r="Q20" s="239">
        <v>0</v>
      </c>
      <c r="R20" s="239">
        <v>0</v>
      </c>
      <c r="S20" s="239">
        <v>0</v>
      </c>
      <c r="T20" s="239">
        <v>755.78125</v>
      </c>
      <c r="U20" s="239">
        <v>236.35417000000001</v>
      </c>
      <c r="V20" s="239">
        <v>102.65625</v>
      </c>
      <c r="W20" s="239">
        <v>314.42707999999999</v>
      </c>
      <c r="X20" s="239">
        <v>0</v>
      </c>
      <c r="Y20" s="239">
        <v>0</v>
      </c>
      <c r="Z20" s="239">
        <v>960.83333000000005</v>
      </c>
      <c r="AA20" s="239">
        <v>393.48957999999999</v>
      </c>
      <c r="AB20" s="239">
        <v>0</v>
      </c>
      <c r="AC20" s="239">
        <v>0</v>
      </c>
      <c r="AD20" s="239">
        <v>1</v>
      </c>
      <c r="AE20" s="239" t="s">
        <v>19</v>
      </c>
      <c r="AF20" s="239" t="s">
        <v>718</v>
      </c>
      <c r="AG20" s="239">
        <f t="shared" si="1"/>
        <v>2974.9989613499997</v>
      </c>
      <c r="AH20" s="239">
        <f t="shared" si="2"/>
        <v>0</v>
      </c>
      <c r="AI20" s="239">
        <f t="shared" si="3"/>
        <v>0</v>
      </c>
      <c r="AJ20" s="239">
        <f t="shared" si="4"/>
        <v>2974.9989613499997</v>
      </c>
    </row>
    <row r="21" spans="1:36" x14ac:dyDescent="0.2">
      <c r="A21" s="240" t="str">
        <f t="shared" si="0"/>
        <v>33SNA1CCXR12</v>
      </c>
      <c r="B21" s="239" t="s">
        <v>19</v>
      </c>
      <c r="C21" s="239" t="s">
        <v>20</v>
      </c>
      <c r="D21" s="239" t="s">
        <v>2406</v>
      </c>
      <c r="E21" s="239" t="s">
        <v>2407</v>
      </c>
      <c r="F21" s="239" t="s">
        <v>2411</v>
      </c>
      <c r="G21" s="239">
        <v>12</v>
      </c>
      <c r="H21" s="239" t="s">
        <v>928</v>
      </c>
      <c r="I21" s="239" t="s">
        <v>2412</v>
      </c>
      <c r="J21" s="239" t="s">
        <v>928</v>
      </c>
      <c r="K21" s="239" t="s">
        <v>2398</v>
      </c>
      <c r="L21" s="239">
        <v>2888.6428299999998</v>
      </c>
      <c r="M21" s="239">
        <v>100</v>
      </c>
      <c r="N21" s="239">
        <v>0</v>
      </c>
      <c r="O21" s="239">
        <v>0</v>
      </c>
      <c r="P21" s="239">
        <v>0</v>
      </c>
      <c r="Q21" s="239">
        <v>0</v>
      </c>
      <c r="R21" s="239">
        <v>0</v>
      </c>
      <c r="S21" s="239">
        <v>0</v>
      </c>
      <c r="T21" s="239">
        <v>1190.00503</v>
      </c>
      <c r="U21" s="239">
        <v>0</v>
      </c>
      <c r="V21" s="239">
        <v>17.50057</v>
      </c>
      <c r="W21" s="239">
        <v>414.99567999999999</v>
      </c>
      <c r="X21" s="239">
        <v>0</v>
      </c>
      <c r="Y21" s="239">
        <v>0</v>
      </c>
      <c r="Z21" s="239">
        <v>895.62738999999999</v>
      </c>
      <c r="AA21" s="239">
        <v>370.51416</v>
      </c>
      <c r="AB21" s="239">
        <v>0</v>
      </c>
      <c r="AC21" s="239">
        <v>0</v>
      </c>
      <c r="AD21" s="239">
        <v>1</v>
      </c>
      <c r="AE21" s="239" t="s">
        <v>19</v>
      </c>
      <c r="AF21" s="239" t="s">
        <v>718</v>
      </c>
      <c r="AG21" s="239">
        <f t="shared" si="1"/>
        <v>0</v>
      </c>
      <c r="AH21" s="239">
        <f t="shared" si="2"/>
        <v>0</v>
      </c>
      <c r="AI21" s="239">
        <f t="shared" si="3"/>
        <v>0</v>
      </c>
      <c r="AJ21" s="239">
        <f t="shared" si="4"/>
        <v>0</v>
      </c>
    </row>
    <row r="22" spans="1:36" x14ac:dyDescent="0.2">
      <c r="A22" s="240" t="str">
        <f t="shared" si="0"/>
        <v>3M35SNA1CCXR12</v>
      </c>
      <c r="B22" s="239" t="s">
        <v>19</v>
      </c>
      <c r="C22" s="239" t="s">
        <v>20</v>
      </c>
      <c r="D22" s="239" t="s">
        <v>2406</v>
      </c>
      <c r="E22" s="239" t="s">
        <v>2407</v>
      </c>
      <c r="F22" s="239" t="s">
        <v>2411</v>
      </c>
      <c r="G22" s="239">
        <v>12</v>
      </c>
      <c r="H22" s="239" t="s">
        <v>928</v>
      </c>
      <c r="I22" s="239" t="s">
        <v>2413</v>
      </c>
      <c r="J22" s="239" t="s">
        <v>928</v>
      </c>
      <c r="K22" s="239" t="s">
        <v>2398</v>
      </c>
      <c r="L22" s="239">
        <v>7529.2762300000004</v>
      </c>
      <c r="M22" s="239">
        <v>88</v>
      </c>
      <c r="N22" s="239">
        <v>0</v>
      </c>
      <c r="O22" s="239">
        <v>2900</v>
      </c>
      <c r="P22" s="239">
        <v>1843.75145</v>
      </c>
      <c r="Q22" s="239">
        <v>0</v>
      </c>
      <c r="R22" s="239">
        <v>0</v>
      </c>
      <c r="S22" s="239">
        <v>0</v>
      </c>
      <c r="T22" s="239">
        <v>18.000170000000001</v>
      </c>
      <c r="U22" s="239">
        <v>229.11520999999999</v>
      </c>
      <c r="V22" s="239">
        <v>89.004279999999994</v>
      </c>
      <c r="W22" s="239">
        <v>134.55769000000001</v>
      </c>
      <c r="X22" s="239">
        <v>0</v>
      </c>
      <c r="Y22" s="239">
        <v>0</v>
      </c>
      <c r="Z22" s="239">
        <v>617.38541999999995</v>
      </c>
      <c r="AA22" s="239">
        <v>258.66478999999998</v>
      </c>
      <c r="AB22" s="239">
        <v>1438.7972199999999</v>
      </c>
      <c r="AC22" s="239">
        <v>0</v>
      </c>
      <c r="AD22" s="239">
        <v>1</v>
      </c>
      <c r="AE22" s="239" t="s">
        <v>19</v>
      </c>
      <c r="AF22" s="239" t="s">
        <v>718</v>
      </c>
      <c r="AG22" s="239">
        <f t="shared" si="1"/>
        <v>2552</v>
      </c>
      <c r="AH22" s="239">
        <f t="shared" si="2"/>
        <v>1622.501276</v>
      </c>
      <c r="AI22" s="239">
        <f t="shared" si="3"/>
        <v>1266.1415536</v>
      </c>
      <c r="AJ22" s="239">
        <f t="shared" si="4"/>
        <v>5440.6428295999995</v>
      </c>
    </row>
    <row r="23" spans="1:36" x14ac:dyDescent="0.2">
      <c r="A23" s="240" t="str">
        <f t="shared" si="0"/>
        <v>3M55SNA1CCXR12</v>
      </c>
      <c r="B23" s="239" t="s">
        <v>19</v>
      </c>
      <c r="C23" s="239" t="s">
        <v>20</v>
      </c>
      <c r="D23" s="239" t="s">
        <v>2406</v>
      </c>
      <c r="E23" s="239" t="s">
        <v>2407</v>
      </c>
      <c r="F23" s="239" t="s">
        <v>2411</v>
      </c>
      <c r="G23" s="239">
        <v>12</v>
      </c>
      <c r="H23" s="239" t="s">
        <v>928</v>
      </c>
      <c r="I23" s="239" t="s">
        <v>2414</v>
      </c>
      <c r="J23" s="239" t="s">
        <v>928</v>
      </c>
      <c r="K23" s="239" t="s">
        <v>2398</v>
      </c>
      <c r="L23" s="239">
        <v>8047.4929000000002</v>
      </c>
      <c r="M23" s="239">
        <v>88</v>
      </c>
      <c r="N23" s="239">
        <v>0</v>
      </c>
      <c r="O23" s="239">
        <v>2900</v>
      </c>
      <c r="P23" s="239">
        <v>1843.75145</v>
      </c>
      <c r="Q23" s="239">
        <v>0</v>
      </c>
      <c r="R23" s="239">
        <v>0</v>
      </c>
      <c r="S23" s="239">
        <v>0</v>
      </c>
      <c r="T23" s="239">
        <v>30.00028</v>
      </c>
      <c r="U23" s="239">
        <v>231.17930999999999</v>
      </c>
      <c r="V23" s="239">
        <v>210.01008999999999</v>
      </c>
      <c r="W23" s="239">
        <v>173.12859</v>
      </c>
      <c r="X23" s="239">
        <v>0</v>
      </c>
      <c r="Y23" s="239">
        <v>0</v>
      </c>
      <c r="Z23" s="239">
        <v>923.01164000000006</v>
      </c>
      <c r="AA23" s="239">
        <v>297.61432000000002</v>
      </c>
      <c r="AB23" s="239">
        <v>1438.7972199999999</v>
      </c>
      <c r="AC23" s="239">
        <v>0</v>
      </c>
      <c r="AD23" s="239">
        <v>1</v>
      </c>
      <c r="AE23" s="239" t="s">
        <v>19</v>
      </c>
      <c r="AF23" s="239" t="s">
        <v>718</v>
      </c>
      <c r="AG23" s="239">
        <f t="shared" si="1"/>
        <v>2552</v>
      </c>
      <c r="AH23" s="239">
        <f t="shared" si="2"/>
        <v>1622.501276</v>
      </c>
      <c r="AI23" s="239">
        <f t="shared" si="3"/>
        <v>1266.1415536</v>
      </c>
      <c r="AJ23" s="239">
        <f t="shared" si="4"/>
        <v>5440.6428295999995</v>
      </c>
    </row>
    <row r="24" spans="1:36" x14ac:dyDescent="0.2">
      <c r="A24" s="240" t="str">
        <f t="shared" si="0"/>
        <v>SNA1CCXR12</v>
      </c>
      <c r="B24" s="239" t="s">
        <v>19</v>
      </c>
      <c r="C24" s="239" t="s">
        <v>20</v>
      </c>
      <c r="D24" s="239" t="s">
        <v>2406</v>
      </c>
      <c r="E24" s="239" t="s">
        <v>2407</v>
      </c>
      <c r="F24" s="239" t="s">
        <v>2411</v>
      </c>
      <c r="G24" s="239">
        <v>12</v>
      </c>
      <c r="H24" s="239" t="s">
        <v>928</v>
      </c>
      <c r="I24" s="239" t="s">
        <v>928</v>
      </c>
      <c r="J24" s="239" t="s">
        <v>928</v>
      </c>
      <c r="K24" s="239" t="s">
        <v>2398</v>
      </c>
      <c r="L24" s="239">
        <v>7687.19146</v>
      </c>
      <c r="M24" s="239">
        <v>88</v>
      </c>
      <c r="N24" s="239">
        <v>0</v>
      </c>
      <c r="O24" s="239">
        <v>2900</v>
      </c>
      <c r="P24" s="239">
        <v>1843.75152</v>
      </c>
      <c r="Q24" s="239">
        <v>0</v>
      </c>
      <c r="R24" s="239">
        <v>0</v>
      </c>
      <c r="S24" s="239">
        <v>0</v>
      </c>
      <c r="T24" s="239">
        <v>21.65692</v>
      </c>
      <c r="U24" s="239">
        <v>229.74418</v>
      </c>
      <c r="V24" s="239">
        <v>125.87824999999999</v>
      </c>
      <c r="W24" s="239">
        <v>146.31130999999999</v>
      </c>
      <c r="X24" s="239">
        <v>0</v>
      </c>
      <c r="Y24" s="239">
        <v>0</v>
      </c>
      <c r="Z24" s="239">
        <v>710.51805999999999</v>
      </c>
      <c r="AA24" s="239">
        <v>270.53393</v>
      </c>
      <c r="AB24" s="239">
        <v>1438.79729</v>
      </c>
      <c r="AC24" s="239">
        <v>0</v>
      </c>
      <c r="AD24" s="239">
        <v>1</v>
      </c>
      <c r="AE24" s="239" t="s">
        <v>19</v>
      </c>
      <c r="AF24" s="239" t="s">
        <v>718</v>
      </c>
      <c r="AG24" s="239">
        <f t="shared" si="1"/>
        <v>2552</v>
      </c>
      <c r="AH24" s="239">
        <f t="shared" si="2"/>
        <v>1622.5013375999999</v>
      </c>
      <c r="AI24" s="239">
        <f t="shared" si="3"/>
        <v>1266.1416151999999</v>
      </c>
      <c r="AJ24" s="239">
        <f t="shared" si="4"/>
        <v>5440.6429527999999</v>
      </c>
    </row>
    <row r="25" spans="1:36" x14ac:dyDescent="0.2">
      <c r="A25" s="240" t="str">
        <f t="shared" si="0"/>
        <v>3FSNA1CEGC112</v>
      </c>
      <c r="B25" s="239" t="s">
        <v>19</v>
      </c>
      <c r="C25" s="239" t="s">
        <v>20</v>
      </c>
      <c r="D25" s="239" t="s">
        <v>2406</v>
      </c>
      <c r="E25" s="239" t="s">
        <v>2407</v>
      </c>
      <c r="F25" s="239" t="s">
        <v>2415</v>
      </c>
      <c r="G25" s="239">
        <v>12</v>
      </c>
      <c r="H25" s="239" t="s">
        <v>928</v>
      </c>
      <c r="I25" s="239" t="s">
        <v>2416</v>
      </c>
      <c r="J25" s="239" t="s">
        <v>928</v>
      </c>
      <c r="K25" s="239" t="s">
        <v>2398</v>
      </c>
      <c r="L25" s="239">
        <v>8111.1368899999998</v>
      </c>
      <c r="M25" s="239">
        <v>88</v>
      </c>
      <c r="N25" s="239">
        <v>0</v>
      </c>
      <c r="O25" s="239">
        <v>4318.1818199999998</v>
      </c>
      <c r="P25" s="239">
        <v>0</v>
      </c>
      <c r="Q25" s="239">
        <v>0</v>
      </c>
      <c r="R25" s="239">
        <v>0</v>
      </c>
      <c r="S25" s="239">
        <v>0</v>
      </c>
      <c r="T25" s="239">
        <v>1577.40777</v>
      </c>
      <c r="U25" s="239">
        <v>236.33957000000001</v>
      </c>
      <c r="V25" s="239">
        <v>101.65752000000001</v>
      </c>
      <c r="W25" s="239">
        <v>322.31828000000002</v>
      </c>
      <c r="X25" s="239">
        <v>0</v>
      </c>
      <c r="Y25" s="239">
        <v>0</v>
      </c>
      <c r="Z25" s="239">
        <v>1098.82339</v>
      </c>
      <c r="AA25" s="239">
        <v>456.40854000000002</v>
      </c>
      <c r="AB25" s="239">
        <v>0</v>
      </c>
      <c r="AC25" s="239">
        <v>0</v>
      </c>
      <c r="AD25" s="239">
        <v>1</v>
      </c>
      <c r="AE25" s="239" t="s">
        <v>19</v>
      </c>
      <c r="AF25" s="239" t="s">
        <v>718</v>
      </c>
      <c r="AG25" s="239">
        <f t="shared" si="1"/>
        <v>3800.0000015999999</v>
      </c>
      <c r="AH25" s="239">
        <f t="shared" si="2"/>
        <v>0</v>
      </c>
      <c r="AI25" s="239">
        <f t="shared" si="3"/>
        <v>0</v>
      </c>
      <c r="AJ25" s="239">
        <f t="shared" si="4"/>
        <v>3800.0000015999999</v>
      </c>
    </row>
    <row r="26" spans="1:36" x14ac:dyDescent="0.2">
      <c r="A26" s="240" t="str">
        <f t="shared" si="0"/>
        <v>3MSNA1CEGC112</v>
      </c>
      <c r="B26" s="239" t="s">
        <v>19</v>
      </c>
      <c r="C26" s="239" t="s">
        <v>20</v>
      </c>
      <c r="D26" s="239" t="s">
        <v>2406</v>
      </c>
      <c r="E26" s="239" t="s">
        <v>2407</v>
      </c>
      <c r="F26" s="239" t="s">
        <v>2415</v>
      </c>
      <c r="G26" s="239">
        <v>12</v>
      </c>
      <c r="H26" s="239" t="s">
        <v>928</v>
      </c>
      <c r="I26" s="239" t="s">
        <v>2417</v>
      </c>
      <c r="J26" s="239" t="s">
        <v>928</v>
      </c>
      <c r="K26" s="239" t="s">
        <v>2398</v>
      </c>
      <c r="L26" s="239">
        <v>6519.1452499999996</v>
      </c>
      <c r="M26" s="239">
        <v>88</v>
      </c>
      <c r="N26" s="239">
        <v>0</v>
      </c>
      <c r="O26" s="239">
        <v>2900</v>
      </c>
      <c r="P26" s="239">
        <v>0</v>
      </c>
      <c r="Q26" s="239">
        <v>0</v>
      </c>
      <c r="R26" s="239">
        <v>0</v>
      </c>
      <c r="S26" s="239">
        <v>0</v>
      </c>
      <c r="T26" s="239">
        <v>1567.76819</v>
      </c>
      <c r="U26" s="239">
        <v>235.30752000000001</v>
      </c>
      <c r="V26" s="239">
        <v>102.65757000000001</v>
      </c>
      <c r="W26" s="239">
        <v>302.24799999999999</v>
      </c>
      <c r="X26" s="239">
        <v>0</v>
      </c>
      <c r="Y26" s="239">
        <v>0</v>
      </c>
      <c r="Z26" s="239">
        <v>1000.6959000000001</v>
      </c>
      <c r="AA26" s="239">
        <v>410.46807000000001</v>
      </c>
      <c r="AB26" s="239">
        <v>0</v>
      </c>
      <c r="AC26" s="239">
        <v>0</v>
      </c>
      <c r="AD26" s="239">
        <v>1</v>
      </c>
      <c r="AE26" s="239" t="s">
        <v>19</v>
      </c>
      <c r="AF26" s="239" t="s">
        <v>718</v>
      </c>
      <c r="AG26" s="239">
        <f t="shared" si="1"/>
        <v>2552</v>
      </c>
      <c r="AH26" s="239">
        <f t="shared" si="2"/>
        <v>0</v>
      </c>
      <c r="AI26" s="239">
        <f t="shared" si="3"/>
        <v>0</v>
      </c>
      <c r="AJ26" s="239">
        <f t="shared" si="4"/>
        <v>2552</v>
      </c>
    </row>
    <row r="27" spans="1:36" x14ac:dyDescent="0.2">
      <c r="A27" s="240" t="str">
        <f t="shared" si="0"/>
        <v>SNA1CEGC112</v>
      </c>
      <c r="B27" s="239" t="s">
        <v>19</v>
      </c>
      <c r="C27" s="239" t="s">
        <v>20</v>
      </c>
      <c r="D27" s="239" t="s">
        <v>2406</v>
      </c>
      <c r="E27" s="239" t="s">
        <v>2407</v>
      </c>
      <c r="F27" s="239" t="s">
        <v>2415</v>
      </c>
      <c r="G27" s="239">
        <v>12</v>
      </c>
      <c r="H27" s="239" t="s">
        <v>928</v>
      </c>
      <c r="I27" s="239" t="s">
        <v>928</v>
      </c>
      <c r="J27" s="239" t="s">
        <v>928</v>
      </c>
      <c r="K27" s="239" t="s">
        <v>2398</v>
      </c>
      <c r="L27" s="239">
        <v>7874.5158099999999</v>
      </c>
      <c r="M27" s="239">
        <v>88</v>
      </c>
      <c r="N27" s="239">
        <v>0</v>
      </c>
      <c r="O27" s="239">
        <v>4107.3944000000001</v>
      </c>
      <c r="P27" s="239">
        <v>0</v>
      </c>
      <c r="Q27" s="239">
        <v>0</v>
      </c>
      <c r="R27" s="239">
        <v>0</v>
      </c>
      <c r="S27" s="239">
        <v>0</v>
      </c>
      <c r="T27" s="239">
        <v>1575.9753499999999</v>
      </c>
      <c r="U27" s="239">
        <v>236.1858</v>
      </c>
      <c r="V27" s="239">
        <v>101.80615</v>
      </c>
      <c r="W27" s="239">
        <v>319.33562999999998</v>
      </c>
      <c r="X27" s="239">
        <v>0</v>
      </c>
      <c r="Y27" s="239">
        <v>0</v>
      </c>
      <c r="Z27" s="239">
        <v>1084.2384300000001</v>
      </c>
      <c r="AA27" s="239">
        <v>449.58005000000003</v>
      </c>
      <c r="AB27" s="239">
        <v>0</v>
      </c>
      <c r="AC27" s="239">
        <v>0</v>
      </c>
      <c r="AD27" s="239">
        <v>1</v>
      </c>
      <c r="AE27" s="239" t="s">
        <v>19</v>
      </c>
      <c r="AF27" s="239" t="s">
        <v>718</v>
      </c>
      <c r="AG27" s="239">
        <f t="shared" si="1"/>
        <v>3614.5070719999999</v>
      </c>
      <c r="AH27" s="239">
        <f t="shared" si="2"/>
        <v>0</v>
      </c>
      <c r="AI27" s="239">
        <f t="shared" si="3"/>
        <v>0</v>
      </c>
      <c r="AJ27" s="239">
        <f t="shared" si="4"/>
        <v>3614.5070719999999</v>
      </c>
    </row>
    <row r="28" spans="1:36" x14ac:dyDescent="0.2">
      <c r="A28" s="240" t="str">
        <f t="shared" si="0"/>
        <v>3ASNA1CHGAS12</v>
      </c>
      <c r="B28" s="239" t="s">
        <v>19</v>
      </c>
      <c r="C28" s="239" t="s">
        <v>20</v>
      </c>
      <c r="D28" s="239" t="s">
        <v>2406</v>
      </c>
      <c r="E28" s="239" t="s">
        <v>2407</v>
      </c>
      <c r="F28" s="239" t="s">
        <v>2418</v>
      </c>
      <c r="G28" s="239">
        <v>12</v>
      </c>
      <c r="H28" s="239" t="s">
        <v>928</v>
      </c>
      <c r="I28" s="239" t="s">
        <v>2401</v>
      </c>
      <c r="J28" s="239" t="s">
        <v>928</v>
      </c>
      <c r="K28" s="239" t="s">
        <v>2398</v>
      </c>
      <c r="L28" s="239">
        <v>8815.2815599999994</v>
      </c>
      <c r="M28" s="239">
        <v>87.5</v>
      </c>
      <c r="N28" s="239">
        <v>0</v>
      </c>
      <c r="O28" s="239">
        <v>3400</v>
      </c>
      <c r="P28" s="239">
        <v>0</v>
      </c>
      <c r="Q28" s="239">
        <v>0</v>
      </c>
      <c r="R28" s="239">
        <v>0</v>
      </c>
      <c r="S28" s="239">
        <v>0</v>
      </c>
      <c r="T28" s="239">
        <v>2100.20921</v>
      </c>
      <c r="U28" s="239">
        <v>237.37162000000001</v>
      </c>
      <c r="V28" s="239">
        <v>122.31116</v>
      </c>
      <c r="W28" s="239">
        <v>647.03836999999999</v>
      </c>
      <c r="X28" s="239">
        <v>0</v>
      </c>
      <c r="Y28" s="239">
        <v>0</v>
      </c>
      <c r="Z28" s="239">
        <v>1625.2364500000001</v>
      </c>
      <c r="AA28" s="239">
        <v>683.11474999999996</v>
      </c>
      <c r="AB28" s="239">
        <v>0</v>
      </c>
      <c r="AC28" s="239">
        <v>0</v>
      </c>
      <c r="AD28" s="239">
        <v>1</v>
      </c>
      <c r="AE28" s="239" t="s">
        <v>19</v>
      </c>
      <c r="AF28" s="239" t="s">
        <v>718</v>
      </c>
      <c r="AG28" s="239">
        <f t="shared" si="1"/>
        <v>2975</v>
      </c>
      <c r="AH28" s="239">
        <f t="shared" si="2"/>
        <v>0</v>
      </c>
      <c r="AI28" s="239">
        <f t="shared" si="3"/>
        <v>0</v>
      </c>
      <c r="AJ28" s="239">
        <f t="shared" si="4"/>
        <v>2975</v>
      </c>
    </row>
    <row r="29" spans="1:36" x14ac:dyDescent="0.2">
      <c r="A29" s="240" t="str">
        <f t="shared" si="0"/>
        <v>SNA1CHGAS12</v>
      </c>
      <c r="B29" s="239" t="s">
        <v>19</v>
      </c>
      <c r="C29" s="239" t="s">
        <v>20</v>
      </c>
      <c r="D29" s="239" t="s">
        <v>2406</v>
      </c>
      <c r="E29" s="239" t="s">
        <v>2407</v>
      </c>
      <c r="F29" s="239" t="s">
        <v>2418</v>
      </c>
      <c r="G29" s="239">
        <v>12</v>
      </c>
      <c r="H29" s="239" t="s">
        <v>928</v>
      </c>
      <c r="I29" s="239" t="s">
        <v>928</v>
      </c>
      <c r="J29" s="239" t="s">
        <v>928</v>
      </c>
      <c r="K29" s="239" t="s">
        <v>2398</v>
      </c>
      <c r="L29" s="239">
        <v>8815.2821600000007</v>
      </c>
      <c r="M29" s="239">
        <v>87.5</v>
      </c>
      <c r="N29" s="239">
        <v>0</v>
      </c>
      <c r="O29" s="239">
        <v>3400</v>
      </c>
      <c r="P29" s="239">
        <v>0</v>
      </c>
      <c r="Q29" s="239">
        <v>0</v>
      </c>
      <c r="R29" s="239">
        <v>0</v>
      </c>
      <c r="S29" s="239">
        <v>0</v>
      </c>
      <c r="T29" s="239">
        <v>2100.2074200000002</v>
      </c>
      <c r="U29" s="239">
        <v>237.37163000000001</v>
      </c>
      <c r="V29" s="239">
        <v>122.3091</v>
      </c>
      <c r="W29" s="239">
        <v>647.04219999999998</v>
      </c>
      <c r="X29" s="239">
        <v>0</v>
      </c>
      <c r="Y29" s="239">
        <v>0</v>
      </c>
      <c r="Z29" s="239">
        <v>1625.2374199999999</v>
      </c>
      <c r="AA29" s="239">
        <v>683.11438999999996</v>
      </c>
      <c r="AB29" s="239">
        <v>0</v>
      </c>
      <c r="AC29" s="239">
        <v>0</v>
      </c>
      <c r="AD29" s="239">
        <v>1</v>
      </c>
      <c r="AE29" s="239" t="s">
        <v>19</v>
      </c>
      <c r="AF29" s="239" t="s">
        <v>718</v>
      </c>
      <c r="AG29" s="239">
        <f t="shared" si="1"/>
        <v>2975</v>
      </c>
      <c r="AH29" s="239">
        <f t="shared" si="2"/>
        <v>0</v>
      </c>
      <c r="AI29" s="239">
        <f t="shared" si="3"/>
        <v>0</v>
      </c>
      <c r="AJ29" s="239">
        <f t="shared" si="4"/>
        <v>2975</v>
      </c>
    </row>
    <row r="30" spans="1:36" x14ac:dyDescent="0.2">
      <c r="A30" s="240" t="str">
        <f t="shared" si="0"/>
        <v>3ASNA1CHGCA12</v>
      </c>
      <c r="B30" s="239" t="s">
        <v>19</v>
      </c>
      <c r="C30" s="239" t="s">
        <v>20</v>
      </c>
      <c r="D30" s="239" t="s">
        <v>2406</v>
      </c>
      <c r="E30" s="239" t="s">
        <v>2407</v>
      </c>
      <c r="F30" s="239" t="s">
        <v>2419</v>
      </c>
      <c r="G30" s="239">
        <v>12</v>
      </c>
      <c r="H30" s="239" t="s">
        <v>928</v>
      </c>
      <c r="I30" s="239" t="s">
        <v>2401</v>
      </c>
      <c r="J30" s="239" t="s">
        <v>928</v>
      </c>
      <c r="K30" s="239" t="s">
        <v>2398</v>
      </c>
      <c r="L30" s="239">
        <v>6430.5033599999997</v>
      </c>
      <c r="M30" s="239">
        <v>86</v>
      </c>
      <c r="N30" s="239">
        <v>0</v>
      </c>
      <c r="O30" s="239">
        <v>3459.30233</v>
      </c>
      <c r="P30" s="239">
        <v>0</v>
      </c>
      <c r="Q30" s="239">
        <v>0</v>
      </c>
      <c r="R30" s="239">
        <v>0</v>
      </c>
      <c r="S30" s="239">
        <v>0</v>
      </c>
      <c r="T30" s="239">
        <v>758.21798000000001</v>
      </c>
      <c r="U30" s="239">
        <v>233.24341999999999</v>
      </c>
      <c r="V30" s="239">
        <v>103.65761999999999</v>
      </c>
      <c r="W30" s="239">
        <v>363.47593999999998</v>
      </c>
      <c r="X30" s="239">
        <v>0</v>
      </c>
      <c r="Y30" s="239">
        <v>0</v>
      </c>
      <c r="Z30" s="239">
        <v>1069.1807100000001</v>
      </c>
      <c r="AA30" s="239">
        <v>443.42536000000001</v>
      </c>
      <c r="AB30" s="239">
        <v>0</v>
      </c>
      <c r="AC30" s="239">
        <v>0</v>
      </c>
      <c r="AD30" s="239">
        <v>1</v>
      </c>
      <c r="AE30" s="239" t="s">
        <v>19</v>
      </c>
      <c r="AF30" s="239" t="s">
        <v>718</v>
      </c>
      <c r="AG30" s="239">
        <f t="shared" si="1"/>
        <v>2975.0000037999998</v>
      </c>
      <c r="AH30" s="239">
        <f t="shared" si="2"/>
        <v>0</v>
      </c>
      <c r="AI30" s="239">
        <f t="shared" si="3"/>
        <v>0</v>
      </c>
      <c r="AJ30" s="239">
        <f t="shared" si="4"/>
        <v>2975.0000037999998</v>
      </c>
    </row>
    <row r="31" spans="1:36" x14ac:dyDescent="0.2">
      <c r="A31" s="240" t="str">
        <f t="shared" si="0"/>
        <v>SNA1CHGCA12</v>
      </c>
      <c r="B31" s="239" t="s">
        <v>19</v>
      </c>
      <c r="C31" s="239" t="s">
        <v>20</v>
      </c>
      <c r="D31" s="239" t="s">
        <v>2406</v>
      </c>
      <c r="E31" s="239" t="s">
        <v>2407</v>
      </c>
      <c r="F31" s="239" t="s">
        <v>2419</v>
      </c>
      <c r="G31" s="239">
        <v>12</v>
      </c>
      <c r="H31" s="239" t="s">
        <v>928</v>
      </c>
      <c r="I31" s="239" t="s">
        <v>928</v>
      </c>
      <c r="J31" s="239" t="s">
        <v>928</v>
      </c>
      <c r="K31" s="239" t="s">
        <v>2398</v>
      </c>
      <c r="L31" s="239">
        <v>6430.50522</v>
      </c>
      <c r="M31" s="239">
        <v>86</v>
      </c>
      <c r="N31" s="239">
        <v>0</v>
      </c>
      <c r="O31" s="239">
        <v>3459.30258</v>
      </c>
      <c r="P31" s="239">
        <v>0</v>
      </c>
      <c r="Q31" s="239">
        <v>0</v>
      </c>
      <c r="R31" s="239">
        <v>0</v>
      </c>
      <c r="S31" s="239">
        <v>0</v>
      </c>
      <c r="T31" s="239">
        <v>758.21843999999999</v>
      </c>
      <c r="U31" s="239">
        <v>233.24363</v>
      </c>
      <c r="V31" s="239">
        <v>103.65801999999999</v>
      </c>
      <c r="W31" s="239">
        <v>363.47588999999999</v>
      </c>
      <c r="X31" s="239">
        <v>0</v>
      </c>
      <c r="Y31" s="239">
        <v>0</v>
      </c>
      <c r="Z31" s="239">
        <v>1069.18103</v>
      </c>
      <c r="AA31" s="239">
        <v>443.42563000000001</v>
      </c>
      <c r="AB31" s="239">
        <v>0</v>
      </c>
      <c r="AC31" s="239">
        <v>0</v>
      </c>
      <c r="AD31" s="239">
        <v>1</v>
      </c>
      <c r="AE31" s="239" t="s">
        <v>19</v>
      </c>
      <c r="AF31" s="239" t="s">
        <v>718</v>
      </c>
      <c r="AG31" s="239">
        <f t="shared" si="1"/>
        <v>2975.0002188000003</v>
      </c>
      <c r="AH31" s="239">
        <f t="shared" si="2"/>
        <v>0</v>
      </c>
      <c r="AI31" s="239">
        <f t="shared" si="3"/>
        <v>0</v>
      </c>
      <c r="AJ31" s="239">
        <f t="shared" si="4"/>
        <v>2975.0002188000003</v>
      </c>
    </row>
    <row r="32" spans="1:36" x14ac:dyDescent="0.2">
      <c r="A32" s="240" t="str">
        <f t="shared" si="0"/>
        <v>3ASNA1CHGCH9</v>
      </c>
      <c r="B32" s="239" t="s">
        <v>19</v>
      </c>
      <c r="C32" s="239" t="s">
        <v>20</v>
      </c>
      <c r="D32" s="239" t="s">
        <v>2406</v>
      </c>
      <c r="E32" s="239" t="s">
        <v>2407</v>
      </c>
      <c r="F32" s="239" t="s">
        <v>2420</v>
      </c>
      <c r="G32" s="239">
        <v>9</v>
      </c>
      <c r="H32" s="239" t="s">
        <v>928</v>
      </c>
      <c r="I32" s="239" t="s">
        <v>2401</v>
      </c>
      <c r="J32" s="239" t="s">
        <v>928</v>
      </c>
      <c r="K32" s="239" t="s">
        <v>2398</v>
      </c>
      <c r="L32" s="239">
        <v>7328.3193600000004</v>
      </c>
      <c r="M32" s="239">
        <v>87.6</v>
      </c>
      <c r="N32" s="239">
        <v>0</v>
      </c>
      <c r="O32" s="239">
        <v>3418.9497700000002</v>
      </c>
      <c r="P32" s="239">
        <v>0</v>
      </c>
      <c r="Q32" s="239">
        <v>0</v>
      </c>
      <c r="R32" s="239">
        <v>0</v>
      </c>
      <c r="S32" s="239">
        <v>0</v>
      </c>
      <c r="T32" s="239">
        <v>1089.6691699999999</v>
      </c>
      <c r="U32" s="239">
        <v>127.97426</v>
      </c>
      <c r="V32" s="239">
        <v>107.65781</v>
      </c>
      <c r="W32" s="239">
        <v>463.37632000000002</v>
      </c>
      <c r="X32" s="239">
        <v>0</v>
      </c>
      <c r="Y32" s="239">
        <v>0</v>
      </c>
      <c r="Z32" s="239">
        <v>1542.44139</v>
      </c>
      <c r="AA32" s="239">
        <v>578.25063999999998</v>
      </c>
      <c r="AB32" s="239">
        <v>0</v>
      </c>
      <c r="AC32" s="239">
        <v>0</v>
      </c>
      <c r="AD32" s="239">
        <v>1</v>
      </c>
      <c r="AE32" s="239" t="s">
        <v>19</v>
      </c>
      <c r="AF32" s="239" t="s">
        <v>718</v>
      </c>
      <c r="AG32" s="239">
        <f t="shared" si="1"/>
        <v>2994.9999985199997</v>
      </c>
      <c r="AH32" s="239">
        <f t="shared" si="2"/>
        <v>0</v>
      </c>
      <c r="AI32" s="239">
        <f t="shared" si="3"/>
        <v>0</v>
      </c>
      <c r="AJ32" s="239">
        <f t="shared" si="4"/>
        <v>2994.9999985199997</v>
      </c>
    </row>
    <row r="33" spans="1:36" x14ac:dyDescent="0.2">
      <c r="A33" s="240" t="str">
        <f t="shared" si="0"/>
        <v>SNA1CHGCH9</v>
      </c>
      <c r="B33" s="239" t="s">
        <v>19</v>
      </c>
      <c r="C33" s="239" t="s">
        <v>20</v>
      </c>
      <c r="D33" s="239" t="s">
        <v>2406</v>
      </c>
      <c r="E33" s="239" t="s">
        <v>2407</v>
      </c>
      <c r="F33" s="239" t="s">
        <v>2420</v>
      </c>
      <c r="G33" s="239">
        <v>9</v>
      </c>
      <c r="H33" s="239" t="s">
        <v>928</v>
      </c>
      <c r="I33" s="239" t="s">
        <v>928</v>
      </c>
      <c r="J33" s="239" t="s">
        <v>928</v>
      </c>
      <c r="K33" s="239" t="s">
        <v>2398</v>
      </c>
      <c r="L33" s="239">
        <v>7328.3193099999999</v>
      </c>
      <c r="M33" s="239">
        <v>87.6</v>
      </c>
      <c r="N33" s="239">
        <v>0</v>
      </c>
      <c r="O33" s="239">
        <v>3418.9498400000002</v>
      </c>
      <c r="P33" s="239">
        <v>0</v>
      </c>
      <c r="Q33" s="239">
        <v>0</v>
      </c>
      <c r="R33" s="239">
        <v>0</v>
      </c>
      <c r="S33" s="239">
        <v>0</v>
      </c>
      <c r="T33" s="239">
        <v>1089.6690699999999</v>
      </c>
      <c r="U33" s="239">
        <v>127.97414999999999</v>
      </c>
      <c r="V33" s="239">
        <v>107.65792</v>
      </c>
      <c r="W33" s="239">
        <v>463.37643000000003</v>
      </c>
      <c r="X33" s="239">
        <v>0</v>
      </c>
      <c r="Y33" s="239">
        <v>0</v>
      </c>
      <c r="Z33" s="239">
        <v>1542.4412600000001</v>
      </c>
      <c r="AA33" s="239">
        <v>578.25063999999998</v>
      </c>
      <c r="AB33" s="239">
        <v>0</v>
      </c>
      <c r="AC33" s="239">
        <v>0</v>
      </c>
      <c r="AD33" s="239">
        <v>1</v>
      </c>
      <c r="AE33" s="239" t="s">
        <v>19</v>
      </c>
      <c r="AF33" s="239" t="s">
        <v>718</v>
      </c>
      <c r="AG33" s="239">
        <f t="shared" si="1"/>
        <v>2995.0000598399997</v>
      </c>
      <c r="AH33" s="239">
        <f t="shared" si="2"/>
        <v>0</v>
      </c>
      <c r="AI33" s="239">
        <f t="shared" si="3"/>
        <v>0</v>
      </c>
      <c r="AJ33" s="239">
        <f t="shared" si="4"/>
        <v>2995.0000598399997</v>
      </c>
    </row>
    <row r="34" spans="1:36" x14ac:dyDescent="0.2">
      <c r="A34" s="240" t="str">
        <f t="shared" si="0"/>
        <v>3ASNA1CHGCR12</v>
      </c>
      <c r="B34" s="239" t="s">
        <v>19</v>
      </c>
      <c r="C34" s="239" t="s">
        <v>20</v>
      </c>
      <c r="D34" s="239" t="s">
        <v>2406</v>
      </c>
      <c r="E34" s="239" t="s">
        <v>2407</v>
      </c>
      <c r="F34" s="239" t="s">
        <v>2421</v>
      </c>
      <c r="G34" s="239">
        <v>12</v>
      </c>
      <c r="H34" s="239" t="s">
        <v>928</v>
      </c>
      <c r="I34" s="239" t="s">
        <v>2401</v>
      </c>
      <c r="J34" s="239" t="s">
        <v>928</v>
      </c>
      <c r="K34" s="239" t="s">
        <v>2398</v>
      </c>
      <c r="L34" s="239">
        <v>6035.3200699999998</v>
      </c>
      <c r="M34" s="239">
        <v>90.5</v>
      </c>
      <c r="N34" s="239">
        <v>0</v>
      </c>
      <c r="O34" s="239">
        <v>3287.2928200000001</v>
      </c>
      <c r="P34" s="239">
        <v>0</v>
      </c>
      <c r="Q34" s="239">
        <v>0</v>
      </c>
      <c r="R34" s="239">
        <v>0</v>
      </c>
      <c r="S34" s="239">
        <v>0</v>
      </c>
      <c r="T34" s="239">
        <v>755.71960000000001</v>
      </c>
      <c r="U34" s="239">
        <v>236.33957000000001</v>
      </c>
      <c r="V34" s="239">
        <v>100.65748000000001</v>
      </c>
      <c r="W34" s="239">
        <v>312.13887</v>
      </c>
      <c r="X34" s="239">
        <v>0</v>
      </c>
      <c r="Y34" s="239">
        <v>0</v>
      </c>
      <c r="Z34" s="239">
        <v>953.67647999999997</v>
      </c>
      <c r="AA34" s="239">
        <v>389.49525</v>
      </c>
      <c r="AB34" s="239">
        <v>0</v>
      </c>
      <c r="AC34" s="239">
        <v>0</v>
      </c>
      <c r="AD34" s="239">
        <v>1</v>
      </c>
      <c r="AE34" s="239" t="s">
        <v>19</v>
      </c>
      <c r="AF34" s="239" t="s">
        <v>718</v>
      </c>
      <c r="AG34" s="239">
        <f t="shared" si="1"/>
        <v>2975.0000021000001</v>
      </c>
      <c r="AH34" s="239">
        <f t="shared" si="2"/>
        <v>0</v>
      </c>
      <c r="AI34" s="239">
        <f t="shared" si="3"/>
        <v>0</v>
      </c>
      <c r="AJ34" s="239">
        <f t="shared" si="4"/>
        <v>2975.0000021000001</v>
      </c>
    </row>
    <row r="35" spans="1:36" x14ac:dyDescent="0.2">
      <c r="A35" s="240" t="str">
        <f t="shared" si="0"/>
        <v>3BSNA1CHGCR12</v>
      </c>
      <c r="B35" s="239" t="s">
        <v>19</v>
      </c>
      <c r="C35" s="239" t="s">
        <v>20</v>
      </c>
      <c r="D35" s="239" t="s">
        <v>2406</v>
      </c>
      <c r="E35" s="239" t="s">
        <v>2407</v>
      </c>
      <c r="F35" s="239" t="s">
        <v>2421</v>
      </c>
      <c r="G35" s="239">
        <v>12</v>
      </c>
      <c r="H35" s="239" t="s">
        <v>928</v>
      </c>
      <c r="I35" s="239" t="s">
        <v>2422</v>
      </c>
      <c r="J35" s="239" t="s">
        <v>928</v>
      </c>
      <c r="K35" s="239" t="s">
        <v>2398</v>
      </c>
      <c r="L35" s="239">
        <v>5512.5875500000002</v>
      </c>
      <c r="M35" s="239">
        <v>90.5</v>
      </c>
      <c r="N35" s="239">
        <v>0</v>
      </c>
      <c r="O35" s="239">
        <v>2784.5303899999999</v>
      </c>
      <c r="P35" s="239">
        <v>0</v>
      </c>
      <c r="Q35" s="239">
        <v>0</v>
      </c>
      <c r="R35" s="239">
        <v>0</v>
      </c>
      <c r="S35" s="239">
        <v>0</v>
      </c>
      <c r="T35" s="239">
        <v>755.72396000000003</v>
      </c>
      <c r="U35" s="239">
        <v>234.27547000000001</v>
      </c>
      <c r="V35" s="239">
        <v>100.65748000000001</v>
      </c>
      <c r="W35" s="239">
        <v>309.44366000000002</v>
      </c>
      <c r="X35" s="239">
        <v>0</v>
      </c>
      <c r="Y35" s="239">
        <v>0</v>
      </c>
      <c r="Z35" s="239">
        <v>943.45487000000003</v>
      </c>
      <c r="AA35" s="239">
        <v>384.50171999999998</v>
      </c>
      <c r="AB35" s="239">
        <v>0</v>
      </c>
      <c r="AC35" s="239">
        <v>0</v>
      </c>
      <c r="AD35" s="239">
        <v>1</v>
      </c>
      <c r="AE35" s="239" t="s">
        <v>19</v>
      </c>
      <c r="AF35" s="239" t="s">
        <v>718</v>
      </c>
      <c r="AG35" s="239">
        <f t="shared" si="1"/>
        <v>2520.0000029499997</v>
      </c>
      <c r="AH35" s="239">
        <f t="shared" si="2"/>
        <v>0</v>
      </c>
      <c r="AI35" s="239">
        <f t="shared" si="3"/>
        <v>0</v>
      </c>
      <c r="AJ35" s="239">
        <f t="shared" si="4"/>
        <v>2520.0000029499997</v>
      </c>
    </row>
    <row r="36" spans="1:36" x14ac:dyDescent="0.2">
      <c r="A36" s="240" t="str">
        <f t="shared" si="0"/>
        <v>3GSNA1CHGCR12</v>
      </c>
      <c r="B36" s="239" t="s">
        <v>19</v>
      </c>
      <c r="C36" s="239" t="s">
        <v>20</v>
      </c>
      <c r="D36" s="239" t="s">
        <v>2406</v>
      </c>
      <c r="E36" s="239" t="s">
        <v>2407</v>
      </c>
      <c r="F36" s="239" t="s">
        <v>2421</v>
      </c>
      <c r="G36" s="239">
        <v>12</v>
      </c>
      <c r="H36" s="239" t="s">
        <v>928</v>
      </c>
      <c r="I36" s="239" t="s">
        <v>2402</v>
      </c>
      <c r="J36" s="239" t="s">
        <v>928</v>
      </c>
      <c r="K36" s="239" t="s">
        <v>2398</v>
      </c>
      <c r="L36" s="239">
        <v>6922.0495899999996</v>
      </c>
      <c r="M36" s="239">
        <v>90.5</v>
      </c>
      <c r="N36" s="239">
        <v>0</v>
      </c>
      <c r="O36" s="239">
        <v>4202.4088400000001</v>
      </c>
      <c r="P36" s="239">
        <v>0</v>
      </c>
      <c r="Q36" s="239">
        <v>0</v>
      </c>
      <c r="R36" s="239">
        <v>0</v>
      </c>
      <c r="S36" s="239">
        <v>0</v>
      </c>
      <c r="T36" s="239">
        <v>755.68888000000004</v>
      </c>
      <c r="U36" s="239">
        <v>234.27547000000001</v>
      </c>
      <c r="V36" s="239">
        <v>100.65748000000001</v>
      </c>
      <c r="W36" s="239">
        <v>307.17183999999997</v>
      </c>
      <c r="X36" s="239">
        <v>0</v>
      </c>
      <c r="Y36" s="239">
        <v>0</v>
      </c>
      <c r="Z36" s="239">
        <v>938.34406000000001</v>
      </c>
      <c r="AA36" s="239">
        <v>383.50301999999999</v>
      </c>
      <c r="AB36" s="239">
        <v>0</v>
      </c>
      <c r="AC36" s="239">
        <v>0</v>
      </c>
      <c r="AD36" s="239">
        <v>1</v>
      </c>
      <c r="AE36" s="239" t="s">
        <v>19</v>
      </c>
      <c r="AF36" s="239" t="s">
        <v>718</v>
      </c>
      <c r="AG36" s="239">
        <f t="shared" si="1"/>
        <v>3803.1800002</v>
      </c>
      <c r="AH36" s="239">
        <f t="shared" si="2"/>
        <v>0</v>
      </c>
      <c r="AI36" s="239">
        <f t="shared" si="3"/>
        <v>0</v>
      </c>
      <c r="AJ36" s="239">
        <f t="shared" si="4"/>
        <v>3803.1800002</v>
      </c>
    </row>
    <row r="37" spans="1:36" x14ac:dyDescent="0.2">
      <c r="A37" s="240" t="str">
        <f t="shared" si="0"/>
        <v>SNA1CHGCR12</v>
      </c>
      <c r="B37" s="239" t="s">
        <v>19</v>
      </c>
      <c r="C37" s="239" t="s">
        <v>20</v>
      </c>
      <c r="D37" s="239" t="s">
        <v>2406</v>
      </c>
      <c r="E37" s="239" t="s">
        <v>2407</v>
      </c>
      <c r="F37" s="239" t="s">
        <v>2421</v>
      </c>
      <c r="G37" s="239">
        <v>12</v>
      </c>
      <c r="H37" s="239" t="s">
        <v>928</v>
      </c>
      <c r="I37" s="239" t="s">
        <v>928</v>
      </c>
      <c r="J37" s="239" t="s">
        <v>928</v>
      </c>
      <c r="K37" s="239" t="s">
        <v>2398</v>
      </c>
      <c r="L37" s="239">
        <v>5824.8364000000001</v>
      </c>
      <c r="M37" s="239">
        <v>90.5</v>
      </c>
      <c r="N37" s="239">
        <v>0</v>
      </c>
      <c r="O37" s="239">
        <v>3094.2109399999999</v>
      </c>
      <c r="P37" s="239">
        <v>0</v>
      </c>
      <c r="Q37" s="239">
        <v>0</v>
      </c>
      <c r="R37" s="239">
        <v>0</v>
      </c>
      <c r="S37" s="239">
        <v>0</v>
      </c>
      <c r="T37" s="239">
        <v>755.71722</v>
      </c>
      <c r="U37" s="239">
        <v>234.67173</v>
      </c>
      <c r="V37" s="239">
        <v>100.6575</v>
      </c>
      <c r="W37" s="239">
        <v>309.62049999999999</v>
      </c>
      <c r="X37" s="239">
        <v>0</v>
      </c>
      <c r="Y37" s="239">
        <v>0</v>
      </c>
      <c r="Z37" s="239">
        <v>944.64863000000003</v>
      </c>
      <c r="AA37" s="239">
        <v>385.30988000000002</v>
      </c>
      <c r="AB37" s="239">
        <v>0</v>
      </c>
      <c r="AC37" s="239">
        <v>0</v>
      </c>
      <c r="AD37" s="239">
        <v>1</v>
      </c>
      <c r="AE37" s="239" t="s">
        <v>19</v>
      </c>
      <c r="AF37" s="239" t="s">
        <v>718</v>
      </c>
      <c r="AG37" s="239">
        <f t="shared" si="1"/>
        <v>2800.2609006999996</v>
      </c>
      <c r="AH37" s="239">
        <f t="shared" si="2"/>
        <v>0</v>
      </c>
      <c r="AI37" s="239">
        <f t="shared" si="3"/>
        <v>0</v>
      </c>
      <c r="AJ37" s="239">
        <f t="shared" si="4"/>
        <v>2800.2609006999996</v>
      </c>
    </row>
    <row r="38" spans="1:36" x14ac:dyDescent="0.2">
      <c r="A38" s="240" t="str">
        <f t="shared" si="0"/>
        <v>3ASNA1CHGCW12</v>
      </c>
      <c r="B38" s="239" t="s">
        <v>19</v>
      </c>
      <c r="C38" s="239" t="s">
        <v>20</v>
      </c>
      <c r="D38" s="239" t="s">
        <v>2406</v>
      </c>
      <c r="E38" s="239" t="s">
        <v>2407</v>
      </c>
      <c r="F38" s="239" t="s">
        <v>2423</v>
      </c>
      <c r="G38" s="239">
        <v>12</v>
      </c>
      <c r="H38" s="239" t="s">
        <v>928</v>
      </c>
      <c r="I38" s="239" t="s">
        <v>2401</v>
      </c>
      <c r="J38" s="239" t="s">
        <v>928</v>
      </c>
      <c r="K38" s="239" t="s">
        <v>2398</v>
      </c>
      <c r="L38" s="239">
        <v>6186.9558900000002</v>
      </c>
      <c r="M38" s="239">
        <v>90.5</v>
      </c>
      <c r="N38" s="239">
        <v>0</v>
      </c>
      <c r="O38" s="239">
        <v>3287.2928200000001</v>
      </c>
      <c r="P38" s="239">
        <v>0</v>
      </c>
      <c r="Q38" s="239">
        <v>0</v>
      </c>
      <c r="R38" s="239">
        <v>0</v>
      </c>
      <c r="S38" s="239">
        <v>0</v>
      </c>
      <c r="T38" s="239">
        <v>748.81492000000003</v>
      </c>
      <c r="U38" s="239">
        <v>237.37162000000001</v>
      </c>
      <c r="V38" s="239">
        <v>104.65767</v>
      </c>
      <c r="W38" s="239">
        <v>402.71877999999998</v>
      </c>
      <c r="X38" s="239">
        <v>0</v>
      </c>
      <c r="Y38" s="239">
        <v>0</v>
      </c>
      <c r="Z38" s="239">
        <v>997.62941999999998</v>
      </c>
      <c r="AA38" s="239">
        <v>408.47066000000001</v>
      </c>
      <c r="AB38" s="239">
        <v>0</v>
      </c>
      <c r="AC38" s="239">
        <v>0</v>
      </c>
      <c r="AD38" s="239">
        <v>1</v>
      </c>
      <c r="AE38" s="239" t="s">
        <v>19</v>
      </c>
      <c r="AF38" s="239" t="s">
        <v>718</v>
      </c>
      <c r="AG38" s="239">
        <f t="shared" si="1"/>
        <v>2975.0000021000001</v>
      </c>
      <c r="AH38" s="239">
        <f t="shared" si="2"/>
        <v>0</v>
      </c>
      <c r="AI38" s="239">
        <f t="shared" si="3"/>
        <v>0</v>
      </c>
      <c r="AJ38" s="239">
        <f t="shared" si="4"/>
        <v>2975.0000021000001</v>
      </c>
    </row>
    <row r="39" spans="1:36" x14ac:dyDescent="0.2">
      <c r="A39" s="240" t="str">
        <f t="shared" si="0"/>
        <v>3GSNA1CHGCW12</v>
      </c>
      <c r="B39" s="239" t="s">
        <v>19</v>
      </c>
      <c r="C39" s="239" t="s">
        <v>20</v>
      </c>
      <c r="D39" s="239" t="s">
        <v>2406</v>
      </c>
      <c r="E39" s="239" t="s">
        <v>2407</v>
      </c>
      <c r="F39" s="239" t="s">
        <v>2423</v>
      </c>
      <c r="G39" s="239">
        <v>12</v>
      </c>
      <c r="H39" s="239" t="s">
        <v>928</v>
      </c>
      <c r="I39" s="239" t="s">
        <v>2402</v>
      </c>
      <c r="J39" s="239" t="s">
        <v>928</v>
      </c>
      <c r="K39" s="239" t="s">
        <v>2398</v>
      </c>
      <c r="L39" s="239">
        <v>7044.54702</v>
      </c>
      <c r="M39" s="239">
        <v>90.5</v>
      </c>
      <c r="N39" s="239">
        <v>0</v>
      </c>
      <c r="O39" s="239">
        <v>4202.4088400000001</v>
      </c>
      <c r="P39" s="239">
        <v>0</v>
      </c>
      <c r="Q39" s="239">
        <v>0</v>
      </c>
      <c r="R39" s="239">
        <v>0</v>
      </c>
      <c r="S39" s="239">
        <v>0</v>
      </c>
      <c r="T39" s="239">
        <v>747.58578</v>
      </c>
      <c r="U39" s="239">
        <v>235.30752000000001</v>
      </c>
      <c r="V39" s="239">
        <v>101.65752000000001</v>
      </c>
      <c r="W39" s="239">
        <v>394.13659000000001</v>
      </c>
      <c r="X39" s="239">
        <v>0</v>
      </c>
      <c r="Y39" s="239">
        <v>0</v>
      </c>
      <c r="Z39" s="239">
        <v>966.96457999999996</v>
      </c>
      <c r="AA39" s="239">
        <v>396.48619000000002</v>
      </c>
      <c r="AB39" s="239">
        <v>0</v>
      </c>
      <c r="AC39" s="239">
        <v>0</v>
      </c>
      <c r="AD39" s="239">
        <v>1</v>
      </c>
      <c r="AE39" s="239" t="s">
        <v>19</v>
      </c>
      <c r="AF39" s="239" t="s">
        <v>718</v>
      </c>
      <c r="AG39" s="239">
        <f t="shared" si="1"/>
        <v>3803.1800002</v>
      </c>
      <c r="AH39" s="239">
        <f t="shared" si="2"/>
        <v>0</v>
      </c>
      <c r="AI39" s="239">
        <f t="shared" si="3"/>
        <v>0</v>
      </c>
      <c r="AJ39" s="239">
        <f t="shared" si="4"/>
        <v>3803.1800002</v>
      </c>
    </row>
    <row r="40" spans="1:36" x14ac:dyDescent="0.2">
      <c r="A40" s="240" t="str">
        <f t="shared" si="0"/>
        <v>3MSNA1CHGCW12</v>
      </c>
      <c r="B40" s="239" t="s">
        <v>19</v>
      </c>
      <c r="C40" s="239" t="s">
        <v>20</v>
      </c>
      <c r="D40" s="239" t="s">
        <v>2406</v>
      </c>
      <c r="E40" s="239" t="s">
        <v>2407</v>
      </c>
      <c r="F40" s="239" t="s">
        <v>2423</v>
      </c>
      <c r="G40" s="239">
        <v>12</v>
      </c>
      <c r="H40" s="239" t="s">
        <v>928</v>
      </c>
      <c r="I40" s="239" t="s">
        <v>2417</v>
      </c>
      <c r="J40" s="239" t="s">
        <v>928</v>
      </c>
      <c r="K40" s="239" t="s">
        <v>2398</v>
      </c>
      <c r="L40" s="239">
        <v>5886.1067300000004</v>
      </c>
      <c r="M40" s="239">
        <v>88</v>
      </c>
      <c r="N40" s="239">
        <v>0</v>
      </c>
      <c r="O40" s="239">
        <v>2900</v>
      </c>
      <c r="P40" s="239">
        <v>0</v>
      </c>
      <c r="Q40" s="239">
        <v>0</v>
      </c>
      <c r="R40" s="239">
        <v>0</v>
      </c>
      <c r="S40" s="239">
        <v>0</v>
      </c>
      <c r="T40" s="239">
        <v>826.62712999999997</v>
      </c>
      <c r="U40" s="239">
        <v>235.30752000000001</v>
      </c>
      <c r="V40" s="239">
        <v>102.65757000000001</v>
      </c>
      <c r="W40" s="239">
        <v>408.32967000000002</v>
      </c>
      <c r="X40" s="239">
        <v>0</v>
      </c>
      <c r="Y40" s="239">
        <v>0</v>
      </c>
      <c r="Z40" s="239">
        <v>1001.71806</v>
      </c>
      <c r="AA40" s="239">
        <v>411.46678000000003</v>
      </c>
      <c r="AB40" s="239">
        <v>0</v>
      </c>
      <c r="AC40" s="239">
        <v>0</v>
      </c>
      <c r="AD40" s="239">
        <v>1</v>
      </c>
      <c r="AE40" s="239" t="s">
        <v>19</v>
      </c>
      <c r="AF40" s="239" t="s">
        <v>718</v>
      </c>
      <c r="AG40" s="239">
        <f t="shared" si="1"/>
        <v>2552</v>
      </c>
      <c r="AH40" s="239">
        <f t="shared" si="2"/>
        <v>0</v>
      </c>
      <c r="AI40" s="239">
        <f t="shared" si="3"/>
        <v>0</v>
      </c>
      <c r="AJ40" s="239">
        <f t="shared" si="4"/>
        <v>2552</v>
      </c>
    </row>
    <row r="41" spans="1:36" x14ac:dyDescent="0.2">
      <c r="A41" s="240" t="str">
        <f t="shared" si="0"/>
        <v>SNA1CHGCW12</v>
      </c>
      <c r="B41" s="239" t="s">
        <v>19</v>
      </c>
      <c r="C41" s="239" t="s">
        <v>20</v>
      </c>
      <c r="D41" s="239" t="s">
        <v>2406</v>
      </c>
      <c r="E41" s="239" t="s">
        <v>2407</v>
      </c>
      <c r="F41" s="239" t="s">
        <v>2423</v>
      </c>
      <c r="G41" s="239">
        <v>12</v>
      </c>
      <c r="H41" s="239" t="s">
        <v>928</v>
      </c>
      <c r="I41" s="239" t="s">
        <v>928</v>
      </c>
      <c r="J41" s="239" t="s">
        <v>928</v>
      </c>
      <c r="K41" s="239" t="s">
        <v>2398</v>
      </c>
      <c r="L41" s="239">
        <v>6368.6781099999998</v>
      </c>
      <c r="M41" s="239">
        <v>89.230999999999995</v>
      </c>
      <c r="N41" s="239">
        <v>0</v>
      </c>
      <c r="O41" s="239">
        <v>3476.3466699999999</v>
      </c>
      <c r="P41" s="239">
        <v>0</v>
      </c>
      <c r="Q41" s="239">
        <v>0</v>
      </c>
      <c r="R41" s="239">
        <v>0</v>
      </c>
      <c r="S41" s="239">
        <v>0</v>
      </c>
      <c r="T41" s="239">
        <v>754.22630000000004</v>
      </c>
      <c r="U41" s="239">
        <v>236.73029</v>
      </c>
      <c r="V41" s="239">
        <v>103.79844</v>
      </c>
      <c r="W41" s="239">
        <v>401.09107999999998</v>
      </c>
      <c r="X41" s="239">
        <v>0</v>
      </c>
      <c r="Y41" s="239">
        <v>0</v>
      </c>
      <c r="Z41" s="239">
        <v>990.64263000000005</v>
      </c>
      <c r="AA41" s="239">
        <v>405.84269999999998</v>
      </c>
      <c r="AB41" s="239">
        <v>0</v>
      </c>
      <c r="AC41" s="239">
        <v>0</v>
      </c>
      <c r="AD41" s="239">
        <v>1</v>
      </c>
      <c r="AE41" s="239" t="s">
        <v>19</v>
      </c>
      <c r="AF41" s="239" t="s">
        <v>718</v>
      </c>
      <c r="AG41" s="239">
        <f t="shared" si="1"/>
        <v>3101.9788971077</v>
      </c>
      <c r="AH41" s="239">
        <f t="shared" si="2"/>
        <v>0</v>
      </c>
      <c r="AI41" s="239">
        <f t="shared" si="3"/>
        <v>0</v>
      </c>
      <c r="AJ41" s="239">
        <f t="shared" si="4"/>
        <v>3101.9788971077</v>
      </c>
    </row>
    <row r="42" spans="1:36" x14ac:dyDescent="0.2">
      <c r="A42" s="240" t="str">
        <f t="shared" si="0"/>
        <v>3MSNA1CHGCX12</v>
      </c>
      <c r="B42" s="239" t="s">
        <v>19</v>
      </c>
      <c r="C42" s="239" t="s">
        <v>20</v>
      </c>
      <c r="D42" s="239" t="s">
        <v>2406</v>
      </c>
      <c r="E42" s="239" t="s">
        <v>2407</v>
      </c>
      <c r="F42" s="239" t="s">
        <v>2424</v>
      </c>
      <c r="G42" s="239">
        <v>12</v>
      </c>
      <c r="H42" s="239" t="s">
        <v>928</v>
      </c>
      <c r="I42" s="239" t="s">
        <v>2417</v>
      </c>
      <c r="J42" s="239" t="s">
        <v>928</v>
      </c>
      <c r="K42" s="239" t="s">
        <v>2398</v>
      </c>
      <c r="L42" s="239">
        <v>5747.6044400000001</v>
      </c>
      <c r="M42" s="239">
        <v>89.5</v>
      </c>
      <c r="N42" s="239">
        <v>0</v>
      </c>
      <c r="O42" s="239">
        <v>2851.3966500000001</v>
      </c>
      <c r="P42" s="239">
        <v>0</v>
      </c>
      <c r="Q42" s="239">
        <v>0</v>
      </c>
      <c r="R42" s="239">
        <v>0</v>
      </c>
      <c r="S42" s="239">
        <v>0</v>
      </c>
      <c r="T42" s="239">
        <v>821.08279000000005</v>
      </c>
      <c r="U42" s="239">
        <v>237.37162000000001</v>
      </c>
      <c r="V42" s="239">
        <v>105.65772</v>
      </c>
      <c r="W42" s="239">
        <v>305.69308999999998</v>
      </c>
      <c r="X42" s="239">
        <v>0</v>
      </c>
      <c r="Y42" s="239">
        <v>0</v>
      </c>
      <c r="Z42" s="239">
        <v>1011.93968</v>
      </c>
      <c r="AA42" s="239">
        <v>414.46289000000002</v>
      </c>
      <c r="AB42" s="239">
        <v>0</v>
      </c>
      <c r="AC42" s="239">
        <v>0</v>
      </c>
      <c r="AD42" s="239">
        <v>1</v>
      </c>
      <c r="AE42" s="239" t="s">
        <v>19</v>
      </c>
      <c r="AF42" s="239" t="s">
        <v>718</v>
      </c>
      <c r="AG42" s="239">
        <f t="shared" si="1"/>
        <v>2552.0000017500001</v>
      </c>
      <c r="AH42" s="239">
        <f t="shared" si="2"/>
        <v>0</v>
      </c>
      <c r="AI42" s="239">
        <f t="shared" si="3"/>
        <v>0</v>
      </c>
      <c r="AJ42" s="239">
        <f t="shared" si="4"/>
        <v>2552.0000017500001</v>
      </c>
    </row>
    <row r="43" spans="1:36" x14ac:dyDescent="0.2">
      <c r="A43" s="240" t="str">
        <f t="shared" si="0"/>
        <v>SNA1CHGCX12</v>
      </c>
      <c r="B43" s="239" t="s">
        <v>19</v>
      </c>
      <c r="C43" s="239" t="s">
        <v>20</v>
      </c>
      <c r="D43" s="239" t="s">
        <v>2406</v>
      </c>
      <c r="E43" s="239" t="s">
        <v>2407</v>
      </c>
      <c r="F43" s="239" t="s">
        <v>2424</v>
      </c>
      <c r="G43" s="239">
        <v>12</v>
      </c>
      <c r="H43" s="239" t="s">
        <v>928</v>
      </c>
      <c r="I43" s="239" t="s">
        <v>928</v>
      </c>
      <c r="J43" s="239" t="s">
        <v>928</v>
      </c>
      <c r="K43" s="239" t="s">
        <v>2398</v>
      </c>
      <c r="L43" s="239">
        <v>5747.61906</v>
      </c>
      <c r="M43" s="239">
        <v>89.5</v>
      </c>
      <c r="N43" s="239">
        <v>0</v>
      </c>
      <c r="O43" s="239">
        <v>2851.3928599999999</v>
      </c>
      <c r="P43" s="239">
        <v>0</v>
      </c>
      <c r="Q43" s="239">
        <v>0</v>
      </c>
      <c r="R43" s="239">
        <v>0</v>
      </c>
      <c r="S43" s="239">
        <v>0</v>
      </c>
      <c r="T43" s="239">
        <v>821.09523999999999</v>
      </c>
      <c r="U43" s="239">
        <v>237.38095000000001</v>
      </c>
      <c r="V43" s="239">
        <v>105.65476</v>
      </c>
      <c r="W43" s="239">
        <v>305.69047999999998</v>
      </c>
      <c r="X43" s="239">
        <v>0</v>
      </c>
      <c r="Y43" s="239">
        <v>0</v>
      </c>
      <c r="Z43" s="239">
        <v>1011.94048</v>
      </c>
      <c r="AA43" s="239">
        <v>414.46429000000001</v>
      </c>
      <c r="AB43" s="239">
        <v>0</v>
      </c>
      <c r="AC43" s="239">
        <v>0</v>
      </c>
      <c r="AD43" s="239">
        <v>1</v>
      </c>
      <c r="AE43" s="239" t="s">
        <v>19</v>
      </c>
      <c r="AF43" s="239" t="s">
        <v>718</v>
      </c>
      <c r="AG43" s="239">
        <f t="shared" si="1"/>
        <v>2551.9966097000001</v>
      </c>
      <c r="AH43" s="239">
        <f t="shared" si="2"/>
        <v>0</v>
      </c>
      <c r="AI43" s="239">
        <f t="shared" si="3"/>
        <v>0</v>
      </c>
      <c r="AJ43" s="239">
        <f t="shared" si="4"/>
        <v>2551.9966097000001</v>
      </c>
    </row>
    <row r="44" spans="1:36" x14ac:dyDescent="0.2">
      <c r="A44" s="240" t="str">
        <f t="shared" si="0"/>
        <v>3ASNA1CHGMAS12</v>
      </c>
      <c r="B44" s="239" t="s">
        <v>19</v>
      </c>
      <c r="C44" s="239" t="s">
        <v>20</v>
      </c>
      <c r="D44" s="239" t="s">
        <v>2406</v>
      </c>
      <c r="E44" s="239" t="s">
        <v>2407</v>
      </c>
      <c r="F44" s="239" t="s">
        <v>2425</v>
      </c>
      <c r="G44" s="239">
        <v>12</v>
      </c>
      <c r="H44" s="239" t="s">
        <v>928</v>
      </c>
      <c r="I44" s="239" t="s">
        <v>2401</v>
      </c>
      <c r="J44" s="239" t="s">
        <v>928</v>
      </c>
      <c r="K44" s="239" t="s">
        <v>2398</v>
      </c>
      <c r="L44" s="239">
        <v>8815.2815599999994</v>
      </c>
      <c r="M44" s="239">
        <v>87.5</v>
      </c>
      <c r="N44" s="239">
        <v>0</v>
      </c>
      <c r="O44" s="239">
        <v>3400</v>
      </c>
      <c r="P44" s="239">
        <v>0</v>
      </c>
      <c r="Q44" s="239">
        <v>0</v>
      </c>
      <c r="R44" s="239">
        <v>0</v>
      </c>
      <c r="S44" s="239">
        <v>0</v>
      </c>
      <c r="T44" s="239">
        <v>2100.20921</v>
      </c>
      <c r="U44" s="239">
        <v>237.37162000000001</v>
      </c>
      <c r="V44" s="239">
        <v>122.31116</v>
      </c>
      <c r="W44" s="239">
        <v>647.03836999999999</v>
      </c>
      <c r="X44" s="239">
        <v>0</v>
      </c>
      <c r="Y44" s="239">
        <v>0</v>
      </c>
      <c r="Z44" s="239">
        <v>1625.2364500000001</v>
      </c>
      <c r="AA44" s="239">
        <v>683.11474999999996</v>
      </c>
      <c r="AB44" s="239">
        <v>0</v>
      </c>
      <c r="AC44" s="239">
        <v>0</v>
      </c>
      <c r="AD44" s="239">
        <v>1</v>
      </c>
      <c r="AE44" s="239" t="s">
        <v>19</v>
      </c>
      <c r="AF44" s="239" t="s">
        <v>718</v>
      </c>
      <c r="AG44" s="239">
        <f t="shared" si="1"/>
        <v>2975</v>
      </c>
      <c r="AH44" s="239">
        <f t="shared" si="2"/>
        <v>0</v>
      </c>
      <c r="AI44" s="239">
        <f t="shared" si="3"/>
        <v>0</v>
      </c>
      <c r="AJ44" s="239">
        <f t="shared" si="4"/>
        <v>2975</v>
      </c>
    </row>
    <row r="45" spans="1:36" x14ac:dyDescent="0.2">
      <c r="A45" s="240" t="str">
        <f t="shared" si="0"/>
        <v>SNA1CHGMAS12</v>
      </c>
      <c r="B45" s="239" t="s">
        <v>19</v>
      </c>
      <c r="C45" s="239" t="s">
        <v>20</v>
      </c>
      <c r="D45" s="239" t="s">
        <v>2406</v>
      </c>
      <c r="E45" s="239" t="s">
        <v>2407</v>
      </c>
      <c r="F45" s="239" t="s">
        <v>2425</v>
      </c>
      <c r="G45" s="239">
        <v>12</v>
      </c>
      <c r="H45" s="239" t="s">
        <v>928</v>
      </c>
      <c r="I45" s="239" t="s">
        <v>928</v>
      </c>
      <c r="J45" s="239" t="s">
        <v>928</v>
      </c>
      <c r="K45" s="239" t="s">
        <v>2398</v>
      </c>
      <c r="L45" s="239">
        <v>8815.2857299999996</v>
      </c>
      <c r="M45" s="239">
        <v>87.5</v>
      </c>
      <c r="N45" s="239">
        <v>0</v>
      </c>
      <c r="O45" s="239">
        <v>3400</v>
      </c>
      <c r="P45" s="239">
        <v>0</v>
      </c>
      <c r="Q45" s="239">
        <v>0</v>
      </c>
      <c r="R45" s="239">
        <v>0</v>
      </c>
      <c r="S45" s="239">
        <v>0</v>
      </c>
      <c r="T45" s="239">
        <v>2100.2091999999998</v>
      </c>
      <c r="U45" s="239">
        <v>237.37401</v>
      </c>
      <c r="V45" s="239">
        <v>122.31198000000001</v>
      </c>
      <c r="W45" s="239">
        <v>647.03826000000004</v>
      </c>
      <c r="X45" s="239">
        <v>0</v>
      </c>
      <c r="Y45" s="239">
        <v>0</v>
      </c>
      <c r="Z45" s="239">
        <v>1625.23747</v>
      </c>
      <c r="AA45" s="239">
        <v>683.11481000000003</v>
      </c>
      <c r="AB45" s="239">
        <v>0</v>
      </c>
      <c r="AC45" s="239">
        <v>0</v>
      </c>
      <c r="AD45" s="239">
        <v>1</v>
      </c>
      <c r="AE45" s="239" t="s">
        <v>19</v>
      </c>
      <c r="AF45" s="239" t="s">
        <v>718</v>
      </c>
      <c r="AG45" s="239">
        <f t="shared" si="1"/>
        <v>2975</v>
      </c>
      <c r="AH45" s="239">
        <f t="shared" si="2"/>
        <v>0</v>
      </c>
      <c r="AI45" s="239">
        <f t="shared" si="3"/>
        <v>0</v>
      </c>
      <c r="AJ45" s="239">
        <f t="shared" si="4"/>
        <v>2975</v>
      </c>
    </row>
    <row r="46" spans="1:36" x14ac:dyDescent="0.2">
      <c r="A46" s="240" t="str">
        <f t="shared" si="0"/>
        <v>3ASNA1CHGMCR12</v>
      </c>
      <c r="B46" s="239" t="s">
        <v>19</v>
      </c>
      <c r="C46" s="239" t="s">
        <v>20</v>
      </c>
      <c r="D46" s="239" t="s">
        <v>2406</v>
      </c>
      <c r="E46" s="239" t="s">
        <v>2407</v>
      </c>
      <c r="F46" s="239" t="s">
        <v>2426</v>
      </c>
      <c r="G46" s="239">
        <v>12</v>
      </c>
      <c r="H46" s="239" t="s">
        <v>928</v>
      </c>
      <c r="I46" s="239" t="s">
        <v>2401</v>
      </c>
      <c r="J46" s="239" t="s">
        <v>928</v>
      </c>
      <c r="K46" s="239" t="s">
        <v>2398</v>
      </c>
      <c r="L46" s="239">
        <v>6035.3200699999998</v>
      </c>
      <c r="M46" s="239">
        <v>90.5</v>
      </c>
      <c r="N46" s="239">
        <v>0</v>
      </c>
      <c r="O46" s="239">
        <v>3287.2928200000001</v>
      </c>
      <c r="P46" s="239">
        <v>0</v>
      </c>
      <c r="Q46" s="239">
        <v>0</v>
      </c>
      <c r="R46" s="239">
        <v>0</v>
      </c>
      <c r="S46" s="239">
        <v>0</v>
      </c>
      <c r="T46" s="239">
        <v>755.71960000000001</v>
      </c>
      <c r="U46" s="239">
        <v>236.33957000000001</v>
      </c>
      <c r="V46" s="239">
        <v>100.65748000000001</v>
      </c>
      <c r="W46" s="239">
        <v>312.13887</v>
      </c>
      <c r="X46" s="239">
        <v>0</v>
      </c>
      <c r="Y46" s="239">
        <v>0</v>
      </c>
      <c r="Z46" s="239">
        <v>953.67647999999997</v>
      </c>
      <c r="AA46" s="239">
        <v>389.49525</v>
      </c>
      <c r="AB46" s="239">
        <v>0</v>
      </c>
      <c r="AC46" s="239">
        <v>0</v>
      </c>
      <c r="AD46" s="239">
        <v>1</v>
      </c>
      <c r="AE46" s="239" t="s">
        <v>19</v>
      </c>
      <c r="AF46" s="239" t="s">
        <v>718</v>
      </c>
      <c r="AG46" s="239">
        <f t="shared" si="1"/>
        <v>2975.0000021000001</v>
      </c>
      <c r="AH46" s="239">
        <f t="shared" si="2"/>
        <v>0</v>
      </c>
      <c r="AI46" s="239">
        <f t="shared" si="3"/>
        <v>0</v>
      </c>
      <c r="AJ46" s="239">
        <f t="shared" si="4"/>
        <v>2975.0000021000001</v>
      </c>
    </row>
    <row r="47" spans="1:36" x14ac:dyDescent="0.2">
      <c r="A47" s="240" t="str">
        <f t="shared" si="0"/>
        <v>3GSNA1CHGMCR12</v>
      </c>
      <c r="B47" s="239" t="s">
        <v>19</v>
      </c>
      <c r="C47" s="239" t="s">
        <v>20</v>
      </c>
      <c r="D47" s="239" t="s">
        <v>2406</v>
      </c>
      <c r="E47" s="239" t="s">
        <v>2407</v>
      </c>
      <c r="F47" s="239" t="s">
        <v>2426</v>
      </c>
      <c r="G47" s="239">
        <v>12</v>
      </c>
      <c r="H47" s="239" t="s">
        <v>928</v>
      </c>
      <c r="I47" s="239" t="s">
        <v>2402</v>
      </c>
      <c r="J47" s="239" t="s">
        <v>928</v>
      </c>
      <c r="K47" s="239" t="s">
        <v>2398</v>
      </c>
      <c r="L47" s="239">
        <v>6922.0495899999996</v>
      </c>
      <c r="M47" s="239">
        <v>90.5</v>
      </c>
      <c r="N47" s="239">
        <v>0</v>
      </c>
      <c r="O47" s="239">
        <v>4202.4088400000001</v>
      </c>
      <c r="P47" s="239">
        <v>0</v>
      </c>
      <c r="Q47" s="239">
        <v>0</v>
      </c>
      <c r="R47" s="239">
        <v>0</v>
      </c>
      <c r="S47" s="239">
        <v>0</v>
      </c>
      <c r="T47" s="239">
        <v>755.68888000000004</v>
      </c>
      <c r="U47" s="239">
        <v>234.27547000000001</v>
      </c>
      <c r="V47" s="239">
        <v>100.65748000000001</v>
      </c>
      <c r="W47" s="239">
        <v>307.17183999999997</v>
      </c>
      <c r="X47" s="239">
        <v>0</v>
      </c>
      <c r="Y47" s="239">
        <v>0</v>
      </c>
      <c r="Z47" s="239">
        <v>938.34406000000001</v>
      </c>
      <c r="AA47" s="239">
        <v>383.50301999999999</v>
      </c>
      <c r="AB47" s="239">
        <v>0</v>
      </c>
      <c r="AC47" s="239">
        <v>0</v>
      </c>
      <c r="AD47" s="239">
        <v>1</v>
      </c>
      <c r="AE47" s="239" t="s">
        <v>19</v>
      </c>
      <c r="AF47" s="239" t="s">
        <v>718</v>
      </c>
      <c r="AG47" s="239">
        <f t="shared" si="1"/>
        <v>3803.1800002</v>
      </c>
      <c r="AH47" s="239">
        <f t="shared" si="2"/>
        <v>0</v>
      </c>
      <c r="AI47" s="239">
        <f t="shared" si="3"/>
        <v>0</v>
      </c>
      <c r="AJ47" s="239">
        <f t="shared" si="4"/>
        <v>3803.1800002</v>
      </c>
    </row>
    <row r="48" spans="1:36" x14ac:dyDescent="0.2">
      <c r="A48" s="240" t="str">
        <f t="shared" si="0"/>
        <v>3MSNA1CHGMCR12</v>
      </c>
      <c r="B48" s="239" t="s">
        <v>19</v>
      </c>
      <c r="C48" s="239" t="s">
        <v>20</v>
      </c>
      <c r="D48" s="239" t="s">
        <v>2406</v>
      </c>
      <c r="E48" s="239" t="s">
        <v>2407</v>
      </c>
      <c r="F48" s="239" t="s">
        <v>2426</v>
      </c>
      <c r="G48" s="239">
        <v>12</v>
      </c>
      <c r="H48" s="239" t="s">
        <v>928</v>
      </c>
      <c r="I48" s="239" t="s">
        <v>2417</v>
      </c>
      <c r="J48" s="239" t="s">
        <v>928</v>
      </c>
      <c r="K48" s="239" t="s">
        <v>2398</v>
      </c>
      <c r="L48" s="239">
        <v>5539.5302499999998</v>
      </c>
      <c r="M48" s="239">
        <v>90.5</v>
      </c>
      <c r="N48" s="239">
        <v>0</v>
      </c>
      <c r="O48" s="239">
        <v>2819.8895000000002</v>
      </c>
      <c r="P48" s="239">
        <v>0</v>
      </c>
      <c r="Q48" s="239">
        <v>0</v>
      </c>
      <c r="R48" s="239">
        <v>0</v>
      </c>
      <c r="S48" s="239">
        <v>0</v>
      </c>
      <c r="T48" s="239">
        <v>755.68888000000004</v>
      </c>
      <c r="U48" s="239">
        <v>234.27547000000001</v>
      </c>
      <c r="V48" s="239">
        <v>100.65748000000001</v>
      </c>
      <c r="W48" s="239">
        <v>307.17183999999997</v>
      </c>
      <c r="X48" s="239">
        <v>0</v>
      </c>
      <c r="Y48" s="239">
        <v>0</v>
      </c>
      <c r="Z48" s="239">
        <v>938.34406000000001</v>
      </c>
      <c r="AA48" s="239">
        <v>383.50301999999999</v>
      </c>
      <c r="AB48" s="239">
        <v>0</v>
      </c>
      <c r="AC48" s="239">
        <v>0</v>
      </c>
      <c r="AD48" s="239">
        <v>1</v>
      </c>
      <c r="AE48" s="239" t="s">
        <v>19</v>
      </c>
      <c r="AF48" s="239" t="s">
        <v>718</v>
      </c>
      <c r="AG48" s="239">
        <f t="shared" si="1"/>
        <v>2551.9999975000001</v>
      </c>
      <c r="AH48" s="239">
        <f t="shared" si="2"/>
        <v>0</v>
      </c>
      <c r="AI48" s="239">
        <f t="shared" si="3"/>
        <v>0</v>
      </c>
      <c r="AJ48" s="239">
        <f t="shared" si="4"/>
        <v>2551.9999975000001</v>
      </c>
    </row>
    <row r="49" spans="1:36" x14ac:dyDescent="0.2">
      <c r="A49" s="240" t="str">
        <f t="shared" si="0"/>
        <v>SNA1CHGMCR12</v>
      </c>
      <c r="B49" s="239" t="s">
        <v>19</v>
      </c>
      <c r="C49" s="239" t="s">
        <v>20</v>
      </c>
      <c r="D49" s="239" t="s">
        <v>2406</v>
      </c>
      <c r="E49" s="239" t="s">
        <v>2407</v>
      </c>
      <c r="F49" s="239" t="s">
        <v>2426</v>
      </c>
      <c r="G49" s="239">
        <v>12</v>
      </c>
      <c r="H49" s="239" t="s">
        <v>928</v>
      </c>
      <c r="I49" s="239" t="s">
        <v>928</v>
      </c>
      <c r="J49" s="239" t="s">
        <v>928</v>
      </c>
      <c r="K49" s="239" t="s">
        <v>2398</v>
      </c>
      <c r="L49" s="239">
        <v>5862.9679999999998</v>
      </c>
      <c r="M49" s="239">
        <v>90.5</v>
      </c>
      <c r="N49" s="239">
        <v>0</v>
      </c>
      <c r="O49" s="239">
        <v>3138.0400399999999</v>
      </c>
      <c r="P49" s="239">
        <v>0</v>
      </c>
      <c r="Q49" s="239">
        <v>0</v>
      </c>
      <c r="R49" s="239">
        <v>0</v>
      </c>
      <c r="S49" s="239">
        <v>0</v>
      </c>
      <c r="T49" s="239">
        <v>755.69416000000001</v>
      </c>
      <c r="U49" s="239">
        <v>234.65969999999999</v>
      </c>
      <c r="V49" s="239">
        <v>100.65764</v>
      </c>
      <c r="W49" s="239">
        <v>308.09705000000002</v>
      </c>
      <c r="X49" s="239">
        <v>0</v>
      </c>
      <c r="Y49" s="239">
        <v>0</v>
      </c>
      <c r="Z49" s="239">
        <v>941.20009000000005</v>
      </c>
      <c r="AA49" s="239">
        <v>384.61932000000002</v>
      </c>
      <c r="AB49" s="239">
        <v>0</v>
      </c>
      <c r="AC49" s="239">
        <v>0</v>
      </c>
      <c r="AD49" s="239">
        <v>1</v>
      </c>
      <c r="AE49" s="239" t="s">
        <v>19</v>
      </c>
      <c r="AF49" s="239" t="s">
        <v>718</v>
      </c>
      <c r="AG49" s="239">
        <f t="shared" si="1"/>
        <v>2839.9262361999995</v>
      </c>
      <c r="AH49" s="239">
        <f t="shared" si="2"/>
        <v>0</v>
      </c>
      <c r="AI49" s="239">
        <f t="shared" si="3"/>
        <v>0</v>
      </c>
      <c r="AJ49" s="239">
        <f t="shared" si="4"/>
        <v>2839.9262361999995</v>
      </c>
    </row>
    <row r="50" spans="1:36" x14ac:dyDescent="0.2">
      <c r="A50" s="240" t="str">
        <f t="shared" si="0"/>
        <v>3MSNA1CHGMCW12</v>
      </c>
      <c r="B50" s="239" t="s">
        <v>19</v>
      </c>
      <c r="C50" s="239" t="s">
        <v>20</v>
      </c>
      <c r="D50" s="239" t="s">
        <v>2406</v>
      </c>
      <c r="E50" s="239" t="s">
        <v>2407</v>
      </c>
      <c r="F50" s="239" t="s">
        <v>2427</v>
      </c>
      <c r="G50" s="239">
        <v>12</v>
      </c>
      <c r="H50" s="239" t="s">
        <v>928</v>
      </c>
      <c r="I50" s="239" t="s">
        <v>2417</v>
      </c>
      <c r="J50" s="239" t="s">
        <v>928</v>
      </c>
      <c r="K50" s="239" t="s">
        <v>2398</v>
      </c>
      <c r="L50" s="239">
        <v>5886.1067300000004</v>
      </c>
      <c r="M50" s="239">
        <v>88</v>
      </c>
      <c r="N50" s="239">
        <v>0</v>
      </c>
      <c r="O50" s="239">
        <v>2900</v>
      </c>
      <c r="P50" s="239">
        <v>0</v>
      </c>
      <c r="Q50" s="239">
        <v>0</v>
      </c>
      <c r="R50" s="239">
        <v>0</v>
      </c>
      <c r="S50" s="239">
        <v>0</v>
      </c>
      <c r="T50" s="239">
        <v>826.62712999999997</v>
      </c>
      <c r="U50" s="239">
        <v>235.30752000000001</v>
      </c>
      <c r="V50" s="239">
        <v>102.65757000000001</v>
      </c>
      <c r="W50" s="239">
        <v>408.32967000000002</v>
      </c>
      <c r="X50" s="239">
        <v>0</v>
      </c>
      <c r="Y50" s="239">
        <v>0</v>
      </c>
      <c r="Z50" s="239">
        <v>1001.71806</v>
      </c>
      <c r="AA50" s="239">
        <v>411.46678000000003</v>
      </c>
      <c r="AB50" s="239">
        <v>0</v>
      </c>
      <c r="AC50" s="239">
        <v>0</v>
      </c>
      <c r="AD50" s="239">
        <v>1</v>
      </c>
      <c r="AE50" s="239" t="s">
        <v>19</v>
      </c>
      <c r="AF50" s="239" t="s">
        <v>718</v>
      </c>
      <c r="AG50" s="239">
        <f t="shared" si="1"/>
        <v>2552</v>
      </c>
      <c r="AH50" s="239">
        <f t="shared" si="2"/>
        <v>0</v>
      </c>
      <c r="AI50" s="239">
        <f t="shared" si="3"/>
        <v>0</v>
      </c>
      <c r="AJ50" s="239">
        <f t="shared" si="4"/>
        <v>2552</v>
      </c>
    </row>
    <row r="51" spans="1:36" x14ac:dyDescent="0.2">
      <c r="A51" s="240" t="str">
        <f t="shared" si="0"/>
        <v>SNA1CHGMCW12</v>
      </c>
      <c r="B51" s="239" t="s">
        <v>19</v>
      </c>
      <c r="C51" s="239" t="s">
        <v>20</v>
      </c>
      <c r="D51" s="239" t="s">
        <v>2406</v>
      </c>
      <c r="E51" s="239" t="s">
        <v>2407</v>
      </c>
      <c r="F51" s="239" t="s">
        <v>2427</v>
      </c>
      <c r="G51" s="239">
        <v>12</v>
      </c>
      <c r="H51" s="239" t="s">
        <v>928</v>
      </c>
      <c r="I51" s="239" t="s">
        <v>928</v>
      </c>
      <c r="J51" s="239" t="s">
        <v>928</v>
      </c>
      <c r="K51" s="239" t="s">
        <v>2398</v>
      </c>
      <c r="L51" s="239">
        <v>5886.1055200000001</v>
      </c>
      <c r="M51" s="239">
        <v>88</v>
      </c>
      <c r="N51" s="239">
        <v>0</v>
      </c>
      <c r="O51" s="239">
        <v>2900</v>
      </c>
      <c r="P51" s="239">
        <v>0</v>
      </c>
      <c r="Q51" s="239">
        <v>0</v>
      </c>
      <c r="R51" s="239">
        <v>0</v>
      </c>
      <c r="S51" s="239">
        <v>0</v>
      </c>
      <c r="T51" s="239">
        <v>826.62472000000002</v>
      </c>
      <c r="U51" s="239">
        <v>235.31189000000001</v>
      </c>
      <c r="V51" s="239">
        <v>102.65723</v>
      </c>
      <c r="W51" s="239">
        <v>408.32943999999998</v>
      </c>
      <c r="X51" s="239">
        <v>0</v>
      </c>
      <c r="Y51" s="239">
        <v>0</v>
      </c>
      <c r="Z51" s="239">
        <v>1001.71536</v>
      </c>
      <c r="AA51" s="239">
        <v>411.46688</v>
      </c>
      <c r="AB51" s="239">
        <v>0</v>
      </c>
      <c r="AC51" s="239">
        <v>0</v>
      </c>
      <c r="AD51" s="239">
        <v>1</v>
      </c>
      <c r="AE51" s="239" t="s">
        <v>19</v>
      </c>
      <c r="AF51" s="239" t="s">
        <v>718</v>
      </c>
      <c r="AG51" s="239">
        <f t="shared" si="1"/>
        <v>2552</v>
      </c>
      <c r="AH51" s="239">
        <f t="shared" si="2"/>
        <v>0</v>
      </c>
      <c r="AI51" s="239">
        <f t="shared" si="3"/>
        <v>0</v>
      </c>
      <c r="AJ51" s="239">
        <f t="shared" si="4"/>
        <v>2552</v>
      </c>
    </row>
    <row r="52" spans="1:36" x14ac:dyDescent="0.2">
      <c r="A52" s="240" t="str">
        <f t="shared" si="0"/>
        <v>3BSNA1CRGCR12</v>
      </c>
      <c r="B52" s="239" t="s">
        <v>19</v>
      </c>
      <c r="C52" s="239" t="s">
        <v>20</v>
      </c>
      <c r="D52" s="239" t="s">
        <v>2406</v>
      </c>
      <c r="E52" s="239" t="s">
        <v>2407</v>
      </c>
      <c r="F52" s="239" t="s">
        <v>2428</v>
      </c>
      <c r="G52" s="239">
        <v>12</v>
      </c>
      <c r="H52" s="239" t="s">
        <v>928</v>
      </c>
      <c r="I52" s="239" t="s">
        <v>2422</v>
      </c>
      <c r="J52" s="239" t="s">
        <v>928</v>
      </c>
      <c r="K52" s="239" t="s">
        <v>2398</v>
      </c>
      <c r="L52" s="239">
        <v>5512.5875500000002</v>
      </c>
      <c r="M52" s="239">
        <v>90.5</v>
      </c>
      <c r="N52" s="239">
        <v>0</v>
      </c>
      <c r="O52" s="239">
        <v>2784.5303899999999</v>
      </c>
      <c r="P52" s="239">
        <v>0</v>
      </c>
      <c r="Q52" s="239">
        <v>0</v>
      </c>
      <c r="R52" s="239">
        <v>0</v>
      </c>
      <c r="S52" s="239">
        <v>0</v>
      </c>
      <c r="T52" s="239">
        <v>755.72396000000003</v>
      </c>
      <c r="U52" s="239">
        <v>234.27547000000001</v>
      </c>
      <c r="V52" s="239">
        <v>100.65748000000001</v>
      </c>
      <c r="W52" s="239">
        <v>309.44366000000002</v>
      </c>
      <c r="X52" s="239">
        <v>0</v>
      </c>
      <c r="Y52" s="239">
        <v>0</v>
      </c>
      <c r="Z52" s="239">
        <v>943.45487000000003</v>
      </c>
      <c r="AA52" s="239">
        <v>384.50171999999998</v>
      </c>
      <c r="AB52" s="239">
        <v>0</v>
      </c>
      <c r="AC52" s="239">
        <v>0</v>
      </c>
      <c r="AD52" s="239">
        <v>1</v>
      </c>
      <c r="AE52" s="239" t="s">
        <v>19</v>
      </c>
      <c r="AF52" s="239" t="s">
        <v>718</v>
      </c>
      <c r="AG52" s="239">
        <f t="shared" si="1"/>
        <v>2520.0000029499997</v>
      </c>
      <c r="AH52" s="239">
        <f t="shared" si="2"/>
        <v>0</v>
      </c>
      <c r="AI52" s="239">
        <f t="shared" si="3"/>
        <v>0</v>
      </c>
      <c r="AJ52" s="239">
        <f t="shared" si="4"/>
        <v>2520.0000029499997</v>
      </c>
    </row>
    <row r="53" spans="1:36" x14ac:dyDescent="0.2">
      <c r="A53" s="240" t="str">
        <f t="shared" si="0"/>
        <v>SNA1CRGCR12</v>
      </c>
      <c r="B53" s="239" t="s">
        <v>19</v>
      </c>
      <c r="C53" s="239" t="s">
        <v>20</v>
      </c>
      <c r="D53" s="239" t="s">
        <v>2406</v>
      </c>
      <c r="E53" s="239" t="s">
        <v>2407</v>
      </c>
      <c r="F53" s="239" t="s">
        <v>2428</v>
      </c>
      <c r="G53" s="239">
        <v>12</v>
      </c>
      <c r="H53" s="239" t="s">
        <v>928</v>
      </c>
      <c r="I53" s="239" t="s">
        <v>928</v>
      </c>
      <c r="J53" s="239" t="s">
        <v>928</v>
      </c>
      <c r="K53" s="239" t="s">
        <v>2398</v>
      </c>
      <c r="L53" s="239">
        <v>5512.5873300000003</v>
      </c>
      <c r="M53" s="239">
        <v>90.5</v>
      </c>
      <c r="N53" s="239">
        <v>0</v>
      </c>
      <c r="O53" s="239">
        <v>2784.5304799999999</v>
      </c>
      <c r="P53" s="239">
        <v>0</v>
      </c>
      <c r="Q53" s="239">
        <v>0</v>
      </c>
      <c r="R53" s="239">
        <v>0</v>
      </c>
      <c r="S53" s="239">
        <v>0</v>
      </c>
      <c r="T53" s="239">
        <v>755.72385999999995</v>
      </c>
      <c r="U53" s="239">
        <v>234.27556000000001</v>
      </c>
      <c r="V53" s="239">
        <v>100.65732</v>
      </c>
      <c r="W53" s="239">
        <v>309.44353000000001</v>
      </c>
      <c r="X53" s="239">
        <v>0</v>
      </c>
      <c r="Y53" s="239">
        <v>0</v>
      </c>
      <c r="Z53" s="239">
        <v>943.45491000000004</v>
      </c>
      <c r="AA53" s="239">
        <v>384.50166999999999</v>
      </c>
      <c r="AB53" s="239">
        <v>0</v>
      </c>
      <c r="AC53" s="239">
        <v>0</v>
      </c>
      <c r="AD53" s="239">
        <v>1</v>
      </c>
      <c r="AE53" s="239" t="s">
        <v>19</v>
      </c>
      <c r="AF53" s="239" t="s">
        <v>718</v>
      </c>
      <c r="AG53" s="239">
        <f t="shared" si="1"/>
        <v>2520.0000844000001</v>
      </c>
      <c r="AH53" s="239">
        <f t="shared" si="2"/>
        <v>0</v>
      </c>
      <c r="AI53" s="239">
        <f t="shared" si="3"/>
        <v>0</v>
      </c>
      <c r="AJ53" s="239">
        <f t="shared" si="4"/>
        <v>2520.0000844000001</v>
      </c>
    </row>
    <row r="54" spans="1:36" x14ac:dyDescent="0.2">
      <c r="A54" s="240" t="str">
        <f t="shared" si="0"/>
        <v>3BSNA1CRGCW12</v>
      </c>
      <c r="B54" s="239" t="s">
        <v>19</v>
      </c>
      <c r="C54" s="239" t="s">
        <v>20</v>
      </c>
      <c r="D54" s="239" t="s">
        <v>2406</v>
      </c>
      <c r="E54" s="239" t="s">
        <v>2407</v>
      </c>
      <c r="F54" s="239" t="s">
        <v>2429</v>
      </c>
      <c r="G54" s="239">
        <v>12</v>
      </c>
      <c r="H54" s="239" t="s">
        <v>928</v>
      </c>
      <c r="I54" s="239" t="s">
        <v>2422</v>
      </c>
      <c r="J54" s="239" t="s">
        <v>928</v>
      </c>
      <c r="K54" s="239" t="s">
        <v>2398</v>
      </c>
      <c r="L54" s="239">
        <v>5530.9475400000001</v>
      </c>
      <c r="M54" s="239">
        <v>90</v>
      </c>
      <c r="N54" s="239">
        <v>0</v>
      </c>
      <c r="O54" s="239">
        <v>2800</v>
      </c>
      <c r="P54" s="239">
        <v>0</v>
      </c>
      <c r="Q54" s="239">
        <v>0</v>
      </c>
      <c r="R54" s="239">
        <v>0</v>
      </c>
      <c r="S54" s="239">
        <v>0</v>
      </c>
      <c r="T54" s="239">
        <v>528.84907999999996</v>
      </c>
      <c r="U54" s="239">
        <v>238.40367000000001</v>
      </c>
      <c r="V54" s="239">
        <v>104.65767</v>
      </c>
      <c r="W54" s="239">
        <v>414.37637999999998</v>
      </c>
      <c r="X54" s="239">
        <v>0</v>
      </c>
      <c r="Y54" s="239">
        <v>0</v>
      </c>
      <c r="Z54" s="239">
        <v>1024.20561</v>
      </c>
      <c r="AA54" s="239">
        <v>420.45513</v>
      </c>
      <c r="AB54" s="239">
        <v>0</v>
      </c>
      <c r="AC54" s="239">
        <v>0</v>
      </c>
      <c r="AD54" s="239">
        <v>1</v>
      </c>
      <c r="AE54" s="239" t="s">
        <v>19</v>
      </c>
      <c r="AF54" s="239" t="s">
        <v>718</v>
      </c>
      <c r="AG54" s="239">
        <f t="shared" si="1"/>
        <v>2520</v>
      </c>
      <c r="AH54" s="239">
        <f t="shared" si="2"/>
        <v>0</v>
      </c>
      <c r="AI54" s="239">
        <f t="shared" si="3"/>
        <v>0</v>
      </c>
      <c r="AJ54" s="239">
        <f t="shared" si="4"/>
        <v>2520</v>
      </c>
    </row>
    <row r="55" spans="1:36" x14ac:dyDescent="0.2">
      <c r="A55" s="240" t="str">
        <f t="shared" si="0"/>
        <v>SNA1CRGCW12</v>
      </c>
      <c r="B55" s="239" t="s">
        <v>19</v>
      </c>
      <c r="C55" s="239" t="s">
        <v>20</v>
      </c>
      <c r="D55" s="239" t="s">
        <v>2406</v>
      </c>
      <c r="E55" s="239" t="s">
        <v>2407</v>
      </c>
      <c r="F55" s="239" t="s">
        <v>2429</v>
      </c>
      <c r="G55" s="239">
        <v>12</v>
      </c>
      <c r="H55" s="239" t="s">
        <v>928</v>
      </c>
      <c r="I55" s="239" t="s">
        <v>928</v>
      </c>
      <c r="J55" s="239" t="s">
        <v>928</v>
      </c>
      <c r="K55" s="239" t="s">
        <v>2398</v>
      </c>
      <c r="L55" s="239">
        <v>5530.94776</v>
      </c>
      <c r="M55" s="239">
        <v>90</v>
      </c>
      <c r="N55" s="239">
        <v>0</v>
      </c>
      <c r="O55" s="239">
        <v>2800</v>
      </c>
      <c r="P55" s="239">
        <v>0</v>
      </c>
      <c r="Q55" s="239">
        <v>0</v>
      </c>
      <c r="R55" s="239">
        <v>0</v>
      </c>
      <c r="S55" s="239">
        <v>0</v>
      </c>
      <c r="T55" s="239">
        <v>528.84893999999997</v>
      </c>
      <c r="U55" s="239">
        <v>238.40333000000001</v>
      </c>
      <c r="V55" s="239">
        <v>104.65797000000001</v>
      </c>
      <c r="W55" s="239">
        <v>414.37607000000003</v>
      </c>
      <c r="X55" s="239">
        <v>0</v>
      </c>
      <c r="Y55" s="239">
        <v>0</v>
      </c>
      <c r="Z55" s="239">
        <v>1024.20632</v>
      </c>
      <c r="AA55" s="239">
        <v>420.45513</v>
      </c>
      <c r="AB55" s="239">
        <v>0</v>
      </c>
      <c r="AC55" s="239">
        <v>0</v>
      </c>
      <c r="AD55" s="239">
        <v>1</v>
      </c>
      <c r="AE55" s="239" t="s">
        <v>19</v>
      </c>
      <c r="AF55" s="239" t="s">
        <v>718</v>
      </c>
      <c r="AG55" s="239">
        <f t="shared" si="1"/>
        <v>2520</v>
      </c>
      <c r="AH55" s="239">
        <f t="shared" si="2"/>
        <v>0</v>
      </c>
      <c r="AI55" s="239">
        <f t="shared" si="3"/>
        <v>0</v>
      </c>
      <c r="AJ55" s="239">
        <f t="shared" si="4"/>
        <v>2520</v>
      </c>
    </row>
    <row r="56" spans="1:36" x14ac:dyDescent="0.2">
      <c r="A56" s="240" t="str">
        <f t="shared" si="0"/>
        <v>3IFSNA1CSBMR212</v>
      </c>
      <c r="B56" s="239" t="s">
        <v>19</v>
      </c>
      <c r="C56" s="239" t="s">
        <v>20</v>
      </c>
      <c r="D56" s="239" t="s">
        <v>2406</v>
      </c>
      <c r="E56" s="239" t="s">
        <v>2407</v>
      </c>
      <c r="F56" s="239" t="s">
        <v>2430</v>
      </c>
      <c r="G56" s="239">
        <v>12</v>
      </c>
      <c r="H56" s="239" t="s">
        <v>928</v>
      </c>
      <c r="I56" s="239" t="s">
        <v>2431</v>
      </c>
      <c r="J56" s="239" t="s">
        <v>928</v>
      </c>
      <c r="K56" s="239" t="s">
        <v>2398</v>
      </c>
      <c r="L56" s="239">
        <v>8818.6234000000004</v>
      </c>
      <c r="M56" s="239">
        <v>88</v>
      </c>
      <c r="N56" s="239">
        <v>0</v>
      </c>
      <c r="O56" s="239">
        <v>0</v>
      </c>
      <c r="P56" s="239">
        <v>3491.81709</v>
      </c>
      <c r="Q56" s="239">
        <v>3863.63636</v>
      </c>
      <c r="R56" s="239">
        <v>0</v>
      </c>
      <c r="S56" s="239">
        <v>0</v>
      </c>
      <c r="T56" s="239">
        <v>0</v>
      </c>
      <c r="U56" s="239">
        <v>233.24341999999999</v>
      </c>
      <c r="V56" s="239">
        <v>0</v>
      </c>
      <c r="W56" s="239">
        <v>27.093119999999999</v>
      </c>
      <c r="X56" s="239">
        <v>0</v>
      </c>
      <c r="Y56" s="239">
        <v>0</v>
      </c>
      <c r="Z56" s="239">
        <v>254.51815999999999</v>
      </c>
      <c r="AA56" s="239">
        <v>116.84858</v>
      </c>
      <c r="AB56" s="239">
        <v>831.46667000000002</v>
      </c>
      <c r="AC56" s="239">
        <v>0</v>
      </c>
      <c r="AD56" s="239">
        <v>1</v>
      </c>
      <c r="AE56" s="239" t="s">
        <v>19</v>
      </c>
      <c r="AF56" s="239" t="s">
        <v>718</v>
      </c>
      <c r="AG56" s="239">
        <f t="shared" si="1"/>
        <v>0</v>
      </c>
      <c r="AH56" s="239">
        <f t="shared" si="2"/>
        <v>3072.7990392000002</v>
      </c>
      <c r="AI56" s="239">
        <f t="shared" si="3"/>
        <v>731.69066959999998</v>
      </c>
      <c r="AJ56" s="239">
        <f t="shared" si="4"/>
        <v>3804.4897088000002</v>
      </c>
    </row>
    <row r="57" spans="1:36" x14ac:dyDescent="0.2">
      <c r="A57" s="240" t="str">
        <f t="shared" si="0"/>
        <v>SNA1CSBMR212</v>
      </c>
      <c r="B57" s="239" t="s">
        <v>19</v>
      </c>
      <c r="C57" s="239" t="s">
        <v>20</v>
      </c>
      <c r="D57" s="239" t="s">
        <v>2406</v>
      </c>
      <c r="E57" s="239" t="s">
        <v>2407</v>
      </c>
      <c r="F57" s="239" t="s">
        <v>2430</v>
      </c>
      <c r="G57" s="239">
        <v>12</v>
      </c>
      <c r="H57" s="239" t="s">
        <v>928</v>
      </c>
      <c r="I57" s="239" t="s">
        <v>928</v>
      </c>
      <c r="J57" s="239" t="s">
        <v>928</v>
      </c>
      <c r="K57" s="239" t="s">
        <v>2398</v>
      </c>
      <c r="L57" s="239">
        <v>8818.6227899999994</v>
      </c>
      <c r="M57" s="239">
        <v>88</v>
      </c>
      <c r="N57" s="239">
        <v>0</v>
      </c>
      <c r="O57" s="239">
        <v>0</v>
      </c>
      <c r="P57" s="239">
        <v>3491.81691</v>
      </c>
      <c r="Q57" s="239">
        <v>3863.63636</v>
      </c>
      <c r="R57" s="239">
        <v>0</v>
      </c>
      <c r="S57" s="239">
        <v>0</v>
      </c>
      <c r="T57" s="239">
        <v>0</v>
      </c>
      <c r="U57" s="239">
        <v>233.24355</v>
      </c>
      <c r="V57" s="239">
        <v>0</v>
      </c>
      <c r="W57" s="239">
        <v>27.093299999999999</v>
      </c>
      <c r="X57" s="239">
        <v>0</v>
      </c>
      <c r="Y57" s="239">
        <v>0</v>
      </c>
      <c r="Z57" s="239">
        <v>254.51794000000001</v>
      </c>
      <c r="AA57" s="239">
        <v>116.84822</v>
      </c>
      <c r="AB57" s="239">
        <v>831.46650999999997</v>
      </c>
      <c r="AC57" s="239">
        <v>0</v>
      </c>
      <c r="AD57" s="239">
        <v>1</v>
      </c>
      <c r="AE57" s="239" t="s">
        <v>19</v>
      </c>
      <c r="AF57" s="239" t="s">
        <v>718</v>
      </c>
      <c r="AG57" s="239">
        <f t="shared" si="1"/>
        <v>0</v>
      </c>
      <c r="AH57" s="239">
        <f t="shared" si="2"/>
        <v>3072.7988808</v>
      </c>
      <c r="AI57" s="239">
        <f t="shared" si="3"/>
        <v>731.69052880000004</v>
      </c>
      <c r="AJ57" s="239">
        <f t="shared" si="4"/>
        <v>3804.4894095999998</v>
      </c>
    </row>
    <row r="58" spans="1:36" x14ac:dyDescent="0.2">
      <c r="A58" s="240" t="str">
        <f t="shared" si="0"/>
        <v>33SNA1CSBR212</v>
      </c>
      <c r="B58" s="239" t="s">
        <v>19</v>
      </c>
      <c r="C58" s="239" t="s">
        <v>20</v>
      </c>
      <c r="D58" s="239" t="s">
        <v>2406</v>
      </c>
      <c r="E58" s="239" t="s">
        <v>2407</v>
      </c>
      <c r="F58" s="239" t="s">
        <v>2432</v>
      </c>
      <c r="G58" s="239">
        <v>12</v>
      </c>
      <c r="H58" s="239" t="s">
        <v>928</v>
      </c>
      <c r="I58" s="239" t="s">
        <v>2412</v>
      </c>
      <c r="J58" s="239" t="s">
        <v>928</v>
      </c>
      <c r="K58" s="239" t="s">
        <v>2398</v>
      </c>
      <c r="L58" s="239">
        <v>3222.7494000000002</v>
      </c>
      <c r="M58" s="239">
        <v>100</v>
      </c>
      <c r="N58" s="239">
        <v>0</v>
      </c>
      <c r="O58" s="239">
        <v>0</v>
      </c>
      <c r="P58" s="239">
        <v>0</v>
      </c>
      <c r="Q58" s="239">
        <v>0</v>
      </c>
      <c r="R58" s="239">
        <v>0</v>
      </c>
      <c r="S58" s="239">
        <v>0</v>
      </c>
      <c r="T58" s="239">
        <v>1460.0061800000001</v>
      </c>
      <c r="U58" s="239">
        <v>0</v>
      </c>
      <c r="V58" s="239">
        <v>18.500610000000002</v>
      </c>
      <c r="W58" s="239">
        <v>430.49552</v>
      </c>
      <c r="X58" s="239">
        <v>0</v>
      </c>
      <c r="Y58" s="239">
        <v>0</v>
      </c>
      <c r="Z58" s="239">
        <v>929.53554999999994</v>
      </c>
      <c r="AA58" s="239">
        <v>384.21154000000001</v>
      </c>
      <c r="AB58" s="239">
        <v>0</v>
      </c>
      <c r="AC58" s="239">
        <v>0</v>
      </c>
      <c r="AD58" s="239">
        <v>1</v>
      </c>
      <c r="AE58" s="239" t="s">
        <v>19</v>
      </c>
      <c r="AF58" s="239" t="s">
        <v>718</v>
      </c>
      <c r="AG58" s="239">
        <f t="shared" si="1"/>
        <v>0</v>
      </c>
      <c r="AH58" s="239">
        <f t="shared" si="2"/>
        <v>0</v>
      </c>
      <c r="AI58" s="239">
        <f t="shared" si="3"/>
        <v>0</v>
      </c>
      <c r="AJ58" s="239">
        <f t="shared" si="4"/>
        <v>0</v>
      </c>
    </row>
    <row r="59" spans="1:36" x14ac:dyDescent="0.2">
      <c r="A59" s="240" t="str">
        <f t="shared" si="0"/>
        <v>3ISNA1CSBR212</v>
      </c>
      <c r="B59" s="239" t="s">
        <v>19</v>
      </c>
      <c r="C59" s="239" t="s">
        <v>20</v>
      </c>
      <c r="D59" s="239" t="s">
        <v>2406</v>
      </c>
      <c r="E59" s="239" t="s">
        <v>2407</v>
      </c>
      <c r="F59" s="239" t="s">
        <v>2432</v>
      </c>
      <c r="G59" s="239">
        <v>12</v>
      </c>
      <c r="H59" s="239" t="s">
        <v>928</v>
      </c>
      <c r="I59" s="239" t="s">
        <v>2433</v>
      </c>
      <c r="J59" s="239" t="s">
        <v>928</v>
      </c>
      <c r="K59" s="239" t="s">
        <v>2398</v>
      </c>
      <c r="L59" s="239">
        <v>8818.6234000000004</v>
      </c>
      <c r="M59" s="239">
        <v>88</v>
      </c>
      <c r="N59" s="239">
        <v>0</v>
      </c>
      <c r="O59" s="239">
        <v>0</v>
      </c>
      <c r="P59" s="239">
        <v>3491.81709</v>
      </c>
      <c r="Q59" s="239">
        <v>3863.63636</v>
      </c>
      <c r="R59" s="239">
        <v>0</v>
      </c>
      <c r="S59" s="239">
        <v>0</v>
      </c>
      <c r="T59" s="239">
        <v>0</v>
      </c>
      <c r="U59" s="239">
        <v>233.24341999999999</v>
      </c>
      <c r="V59" s="239">
        <v>0</v>
      </c>
      <c r="W59" s="239">
        <v>27.093119999999999</v>
      </c>
      <c r="X59" s="239">
        <v>0</v>
      </c>
      <c r="Y59" s="239">
        <v>0</v>
      </c>
      <c r="Z59" s="239">
        <v>254.51815999999999</v>
      </c>
      <c r="AA59" s="239">
        <v>116.84858</v>
      </c>
      <c r="AB59" s="239">
        <v>831.46667000000002</v>
      </c>
      <c r="AC59" s="239">
        <v>0</v>
      </c>
      <c r="AD59" s="239">
        <v>1</v>
      </c>
      <c r="AE59" s="239" t="s">
        <v>19</v>
      </c>
      <c r="AF59" s="239" t="s">
        <v>718</v>
      </c>
      <c r="AG59" s="239">
        <f t="shared" si="1"/>
        <v>0</v>
      </c>
      <c r="AH59" s="239">
        <f t="shared" si="2"/>
        <v>3072.7990392000002</v>
      </c>
      <c r="AI59" s="239">
        <f t="shared" si="3"/>
        <v>731.69066959999998</v>
      </c>
      <c r="AJ59" s="239">
        <f t="shared" si="4"/>
        <v>3804.4897088000002</v>
      </c>
    </row>
    <row r="60" spans="1:36" x14ac:dyDescent="0.2">
      <c r="A60" s="240" t="str">
        <f t="shared" si="0"/>
        <v>3IFSNA1CSBR212</v>
      </c>
      <c r="B60" s="239" t="s">
        <v>19</v>
      </c>
      <c r="C60" s="239" t="s">
        <v>20</v>
      </c>
      <c r="D60" s="239" t="s">
        <v>2406</v>
      </c>
      <c r="E60" s="239" t="s">
        <v>2407</v>
      </c>
      <c r="F60" s="239" t="s">
        <v>2432</v>
      </c>
      <c r="G60" s="239">
        <v>12</v>
      </c>
      <c r="H60" s="239" t="s">
        <v>928</v>
      </c>
      <c r="I60" s="239" t="s">
        <v>2431</v>
      </c>
      <c r="J60" s="239" t="s">
        <v>928</v>
      </c>
      <c r="K60" s="239" t="s">
        <v>2398</v>
      </c>
      <c r="L60" s="239">
        <v>8818.6234000000004</v>
      </c>
      <c r="M60" s="239">
        <v>88</v>
      </c>
      <c r="N60" s="239">
        <v>0</v>
      </c>
      <c r="O60" s="239">
        <v>0</v>
      </c>
      <c r="P60" s="239">
        <v>3491.81709</v>
      </c>
      <c r="Q60" s="239">
        <v>3863.63636</v>
      </c>
      <c r="R60" s="239">
        <v>0</v>
      </c>
      <c r="S60" s="239">
        <v>0</v>
      </c>
      <c r="T60" s="239">
        <v>0</v>
      </c>
      <c r="U60" s="239">
        <v>233.24341999999999</v>
      </c>
      <c r="V60" s="239">
        <v>0</v>
      </c>
      <c r="W60" s="239">
        <v>27.093119999999999</v>
      </c>
      <c r="X60" s="239">
        <v>0</v>
      </c>
      <c r="Y60" s="239">
        <v>0</v>
      </c>
      <c r="Z60" s="239">
        <v>254.51815999999999</v>
      </c>
      <c r="AA60" s="239">
        <v>116.84858</v>
      </c>
      <c r="AB60" s="239">
        <v>831.46667000000002</v>
      </c>
      <c r="AC60" s="239">
        <v>0</v>
      </c>
      <c r="AD60" s="239">
        <v>1</v>
      </c>
      <c r="AE60" s="239" t="s">
        <v>19</v>
      </c>
      <c r="AF60" s="239" t="s">
        <v>718</v>
      </c>
      <c r="AG60" s="239">
        <f t="shared" si="1"/>
        <v>0</v>
      </c>
      <c r="AH60" s="239">
        <f t="shared" si="2"/>
        <v>3072.7990392000002</v>
      </c>
      <c r="AI60" s="239">
        <f t="shared" si="3"/>
        <v>731.69066959999998</v>
      </c>
      <c r="AJ60" s="239">
        <f t="shared" si="4"/>
        <v>3804.4897088000002</v>
      </c>
    </row>
    <row r="61" spans="1:36" x14ac:dyDescent="0.2">
      <c r="A61" s="240" t="str">
        <f t="shared" si="0"/>
        <v>3M55SNA1CSBR212</v>
      </c>
      <c r="B61" s="239" t="s">
        <v>19</v>
      </c>
      <c r="C61" s="239" t="s">
        <v>20</v>
      </c>
      <c r="D61" s="239" t="s">
        <v>2406</v>
      </c>
      <c r="E61" s="239" t="s">
        <v>2407</v>
      </c>
      <c r="F61" s="239" t="s">
        <v>2432</v>
      </c>
      <c r="G61" s="239">
        <v>12</v>
      </c>
      <c r="H61" s="239" t="s">
        <v>928</v>
      </c>
      <c r="I61" s="239" t="s">
        <v>2414</v>
      </c>
      <c r="J61" s="239" t="s">
        <v>928</v>
      </c>
      <c r="K61" s="239" t="s">
        <v>2398</v>
      </c>
      <c r="L61" s="239">
        <v>8398.2314100000003</v>
      </c>
      <c r="M61" s="239">
        <v>88</v>
      </c>
      <c r="N61" s="239">
        <v>0</v>
      </c>
      <c r="O61" s="239">
        <v>2900</v>
      </c>
      <c r="P61" s="239">
        <v>2169.3208100000002</v>
      </c>
      <c r="Q61" s="239">
        <v>0</v>
      </c>
      <c r="R61" s="239">
        <v>0</v>
      </c>
      <c r="S61" s="239">
        <v>0</v>
      </c>
      <c r="T61" s="239">
        <v>30.00028</v>
      </c>
      <c r="U61" s="239">
        <v>231.17930999999999</v>
      </c>
      <c r="V61" s="239">
        <v>210.01008999999999</v>
      </c>
      <c r="W61" s="239">
        <v>169.61384000000001</v>
      </c>
      <c r="X61" s="239">
        <v>0</v>
      </c>
      <c r="Y61" s="239">
        <v>0</v>
      </c>
      <c r="Z61" s="239">
        <v>903.59058000000005</v>
      </c>
      <c r="AA61" s="239">
        <v>291.62207999999998</v>
      </c>
      <c r="AB61" s="239">
        <v>1492.8944200000001</v>
      </c>
      <c r="AC61" s="239">
        <v>0</v>
      </c>
      <c r="AD61" s="239">
        <v>1</v>
      </c>
      <c r="AE61" s="239" t="s">
        <v>19</v>
      </c>
      <c r="AF61" s="239" t="s">
        <v>718</v>
      </c>
      <c r="AG61" s="239">
        <f t="shared" si="1"/>
        <v>2552</v>
      </c>
      <c r="AH61" s="239">
        <f t="shared" si="2"/>
        <v>1909.0023128</v>
      </c>
      <c r="AI61" s="239">
        <f t="shared" si="3"/>
        <v>1313.7470896000002</v>
      </c>
      <c r="AJ61" s="239">
        <f t="shared" si="4"/>
        <v>5774.7494024000007</v>
      </c>
    </row>
    <row r="62" spans="1:36" x14ac:dyDescent="0.2">
      <c r="A62" s="240" t="str">
        <f t="shared" si="0"/>
        <v>SNA1CSBR212</v>
      </c>
      <c r="B62" s="239" t="s">
        <v>19</v>
      </c>
      <c r="C62" s="239" t="s">
        <v>20</v>
      </c>
      <c r="D62" s="239" t="s">
        <v>2406</v>
      </c>
      <c r="E62" s="239" t="s">
        <v>2407</v>
      </c>
      <c r="F62" s="239" t="s">
        <v>2432</v>
      </c>
      <c r="G62" s="239">
        <v>12</v>
      </c>
      <c r="H62" s="239" t="s">
        <v>928</v>
      </c>
      <c r="I62" s="239" t="s">
        <v>928</v>
      </c>
      <c r="J62" s="239" t="s">
        <v>928</v>
      </c>
      <c r="K62" s="239" t="s">
        <v>2398</v>
      </c>
      <c r="L62" s="239">
        <v>8560.5521599999993</v>
      </c>
      <c r="M62" s="239">
        <v>88</v>
      </c>
      <c r="N62" s="239">
        <v>0</v>
      </c>
      <c r="O62" s="239">
        <v>1780.2604100000001</v>
      </c>
      <c r="P62" s="239">
        <v>2679.9591</v>
      </c>
      <c r="Q62" s="239">
        <v>1491.81603</v>
      </c>
      <c r="R62" s="239">
        <v>0</v>
      </c>
      <c r="S62" s="239">
        <v>0</v>
      </c>
      <c r="T62" s="239">
        <v>18.416799999999999</v>
      </c>
      <c r="U62" s="239">
        <v>231.97636</v>
      </c>
      <c r="V62" s="239">
        <v>128.92169000000001</v>
      </c>
      <c r="W62" s="239">
        <v>114.584</v>
      </c>
      <c r="X62" s="239">
        <v>0</v>
      </c>
      <c r="Y62" s="239">
        <v>0</v>
      </c>
      <c r="Z62" s="239">
        <v>652.97261000000003</v>
      </c>
      <c r="AA62" s="239">
        <v>224.13914</v>
      </c>
      <c r="AB62" s="239">
        <v>1237.50602</v>
      </c>
      <c r="AC62" s="239">
        <v>0</v>
      </c>
      <c r="AD62" s="239">
        <v>1</v>
      </c>
      <c r="AE62" s="239" t="s">
        <v>19</v>
      </c>
      <c r="AF62" s="239" t="s">
        <v>718</v>
      </c>
      <c r="AG62" s="239">
        <f t="shared" si="1"/>
        <v>1566.6291607999999</v>
      </c>
      <c r="AH62" s="239">
        <f t="shared" si="2"/>
        <v>2358.364008</v>
      </c>
      <c r="AI62" s="239">
        <f t="shared" si="3"/>
        <v>1089.0052975999999</v>
      </c>
      <c r="AJ62" s="239">
        <f t="shared" si="4"/>
        <v>5013.9984663999994</v>
      </c>
    </row>
    <row r="63" spans="1:36" x14ac:dyDescent="0.2">
      <c r="A63" s="240" t="str">
        <f t="shared" si="0"/>
        <v>33SNA1CSBR2A12</v>
      </c>
      <c r="B63" s="239" t="s">
        <v>19</v>
      </c>
      <c r="C63" s="239" t="s">
        <v>20</v>
      </c>
      <c r="D63" s="239" t="s">
        <v>2406</v>
      </c>
      <c r="E63" s="239" t="s">
        <v>2407</v>
      </c>
      <c r="F63" s="239" t="s">
        <v>2434</v>
      </c>
      <c r="G63" s="239">
        <v>12</v>
      </c>
      <c r="H63" s="239" t="s">
        <v>928</v>
      </c>
      <c r="I63" s="239" t="s">
        <v>2412</v>
      </c>
      <c r="J63" s="239" t="s">
        <v>928</v>
      </c>
      <c r="K63" s="239" t="s">
        <v>2398</v>
      </c>
      <c r="L63" s="239">
        <v>3222.7494000000002</v>
      </c>
      <c r="M63" s="239">
        <v>100</v>
      </c>
      <c r="N63" s="239">
        <v>0</v>
      </c>
      <c r="O63" s="239">
        <v>0</v>
      </c>
      <c r="P63" s="239">
        <v>0</v>
      </c>
      <c r="Q63" s="239">
        <v>0</v>
      </c>
      <c r="R63" s="239">
        <v>0</v>
      </c>
      <c r="S63" s="239">
        <v>0</v>
      </c>
      <c r="T63" s="239">
        <v>1460.0061800000001</v>
      </c>
      <c r="U63" s="239">
        <v>0</v>
      </c>
      <c r="V63" s="239">
        <v>18.500610000000002</v>
      </c>
      <c r="W63" s="239">
        <v>430.49552</v>
      </c>
      <c r="X63" s="239">
        <v>0</v>
      </c>
      <c r="Y63" s="239">
        <v>0</v>
      </c>
      <c r="Z63" s="239">
        <v>929.53554999999994</v>
      </c>
      <c r="AA63" s="239">
        <v>384.21154000000001</v>
      </c>
      <c r="AB63" s="239">
        <v>0</v>
      </c>
      <c r="AC63" s="239">
        <v>0</v>
      </c>
      <c r="AD63" s="239">
        <v>1</v>
      </c>
      <c r="AE63" s="239" t="s">
        <v>19</v>
      </c>
      <c r="AF63" s="239" t="s">
        <v>718</v>
      </c>
      <c r="AG63" s="239">
        <f t="shared" si="1"/>
        <v>0</v>
      </c>
      <c r="AH63" s="239">
        <f t="shared" si="2"/>
        <v>0</v>
      </c>
      <c r="AI63" s="239">
        <f t="shared" si="3"/>
        <v>0</v>
      </c>
      <c r="AJ63" s="239">
        <f t="shared" si="4"/>
        <v>0</v>
      </c>
    </row>
    <row r="64" spans="1:36" x14ac:dyDescent="0.2">
      <c r="A64" s="240" t="str">
        <f t="shared" si="0"/>
        <v>3M55SNA1CSBR2A12</v>
      </c>
      <c r="B64" s="239" t="s">
        <v>19</v>
      </c>
      <c r="C64" s="239" t="s">
        <v>20</v>
      </c>
      <c r="D64" s="239" t="s">
        <v>2406</v>
      </c>
      <c r="E64" s="239" t="s">
        <v>2407</v>
      </c>
      <c r="F64" s="239" t="s">
        <v>2434</v>
      </c>
      <c r="G64" s="239">
        <v>12</v>
      </c>
      <c r="H64" s="239" t="s">
        <v>928</v>
      </c>
      <c r="I64" s="239" t="s">
        <v>2414</v>
      </c>
      <c r="J64" s="239" t="s">
        <v>928</v>
      </c>
      <c r="K64" s="239" t="s">
        <v>2398</v>
      </c>
      <c r="L64" s="239">
        <v>8398.2314100000003</v>
      </c>
      <c r="M64" s="239">
        <v>88</v>
      </c>
      <c r="N64" s="239">
        <v>0</v>
      </c>
      <c r="O64" s="239">
        <v>2900</v>
      </c>
      <c r="P64" s="239">
        <v>2169.3208100000002</v>
      </c>
      <c r="Q64" s="239">
        <v>0</v>
      </c>
      <c r="R64" s="239">
        <v>0</v>
      </c>
      <c r="S64" s="239">
        <v>0</v>
      </c>
      <c r="T64" s="239">
        <v>30.00028</v>
      </c>
      <c r="U64" s="239">
        <v>231.17930999999999</v>
      </c>
      <c r="V64" s="239">
        <v>210.01008999999999</v>
      </c>
      <c r="W64" s="239">
        <v>169.61384000000001</v>
      </c>
      <c r="X64" s="239">
        <v>0</v>
      </c>
      <c r="Y64" s="239">
        <v>0</v>
      </c>
      <c r="Z64" s="239">
        <v>903.59058000000005</v>
      </c>
      <c r="AA64" s="239">
        <v>291.62207999999998</v>
      </c>
      <c r="AB64" s="239">
        <v>1492.8944200000001</v>
      </c>
      <c r="AC64" s="239">
        <v>0</v>
      </c>
      <c r="AD64" s="239">
        <v>1</v>
      </c>
      <c r="AE64" s="239" t="s">
        <v>19</v>
      </c>
      <c r="AF64" s="239" t="s">
        <v>718</v>
      </c>
      <c r="AG64" s="239">
        <f t="shared" si="1"/>
        <v>2552</v>
      </c>
      <c r="AH64" s="239">
        <f t="shared" si="2"/>
        <v>1909.0023128</v>
      </c>
      <c r="AI64" s="239">
        <f t="shared" si="3"/>
        <v>1313.7470896000002</v>
      </c>
      <c r="AJ64" s="239">
        <f t="shared" si="4"/>
        <v>5774.7494024000007</v>
      </c>
    </row>
    <row r="65" spans="1:36" x14ac:dyDescent="0.2">
      <c r="A65" s="240" t="str">
        <f t="shared" si="0"/>
        <v>SNA1CSBR2A12</v>
      </c>
      <c r="B65" s="239" t="s">
        <v>19</v>
      </c>
      <c r="C65" s="239" t="s">
        <v>20</v>
      </c>
      <c r="D65" s="239" t="s">
        <v>2406</v>
      </c>
      <c r="E65" s="239" t="s">
        <v>2407</v>
      </c>
      <c r="F65" s="239" t="s">
        <v>2434</v>
      </c>
      <c r="G65" s="239">
        <v>12</v>
      </c>
      <c r="H65" s="239" t="s">
        <v>928</v>
      </c>
      <c r="I65" s="239" t="s">
        <v>928</v>
      </c>
      <c r="J65" s="239" t="s">
        <v>928</v>
      </c>
      <c r="K65" s="239" t="s">
        <v>2398</v>
      </c>
      <c r="L65" s="239">
        <v>8398.2314800000004</v>
      </c>
      <c r="M65" s="239">
        <v>88</v>
      </c>
      <c r="N65" s="239">
        <v>0</v>
      </c>
      <c r="O65" s="239">
        <v>2900</v>
      </c>
      <c r="P65" s="239">
        <v>2169.32015</v>
      </c>
      <c r="Q65" s="239">
        <v>0</v>
      </c>
      <c r="R65" s="239">
        <v>0</v>
      </c>
      <c r="S65" s="239">
        <v>0</v>
      </c>
      <c r="T65" s="239">
        <v>30.00102</v>
      </c>
      <c r="U65" s="239">
        <v>231.17934</v>
      </c>
      <c r="V65" s="239">
        <v>210.00978000000001</v>
      </c>
      <c r="W65" s="239">
        <v>169.61433</v>
      </c>
      <c r="X65" s="239">
        <v>0</v>
      </c>
      <c r="Y65" s="239">
        <v>0</v>
      </c>
      <c r="Z65" s="239">
        <v>903.59118999999998</v>
      </c>
      <c r="AA65" s="239">
        <v>291.62173999999999</v>
      </c>
      <c r="AB65" s="239">
        <v>1492.89393</v>
      </c>
      <c r="AC65" s="239">
        <v>0</v>
      </c>
      <c r="AD65" s="239">
        <v>1</v>
      </c>
      <c r="AE65" s="239" t="s">
        <v>19</v>
      </c>
      <c r="AF65" s="239" t="s">
        <v>718</v>
      </c>
      <c r="AG65" s="239">
        <f t="shared" si="1"/>
        <v>2552</v>
      </c>
      <c r="AH65" s="239">
        <f t="shared" si="2"/>
        <v>1909.0017319999999</v>
      </c>
      <c r="AI65" s="239">
        <f t="shared" si="3"/>
        <v>1313.7466584000001</v>
      </c>
      <c r="AJ65" s="239">
        <f t="shared" si="4"/>
        <v>5774.7483904000001</v>
      </c>
    </row>
    <row r="66" spans="1:36" x14ac:dyDescent="0.2">
      <c r="A66" s="240" t="str">
        <f t="shared" si="0"/>
        <v>33SNA1CSBR2AK12</v>
      </c>
      <c r="B66" s="239" t="s">
        <v>19</v>
      </c>
      <c r="C66" s="239" t="s">
        <v>20</v>
      </c>
      <c r="D66" s="239" t="s">
        <v>2406</v>
      </c>
      <c r="E66" s="239" t="s">
        <v>2407</v>
      </c>
      <c r="F66" s="239" t="s">
        <v>2435</v>
      </c>
      <c r="G66" s="239">
        <v>12</v>
      </c>
      <c r="H66" s="239" t="s">
        <v>928</v>
      </c>
      <c r="I66" s="239" t="s">
        <v>2412</v>
      </c>
      <c r="J66" s="239" t="s">
        <v>928</v>
      </c>
      <c r="K66" s="239" t="s">
        <v>2398</v>
      </c>
      <c r="L66" s="239">
        <v>3222.7494000000002</v>
      </c>
      <c r="M66" s="239">
        <v>100</v>
      </c>
      <c r="N66" s="239">
        <v>0</v>
      </c>
      <c r="O66" s="239">
        <v>0</v>
      </c>
      <c r="P66" s="239">
        <v>0</v>
      </c>
      <c r="Q66" s="239">
        <v>0</v>
      </c>
      <c r="R66" s="239">
        <v>0</v>
      </c>
      <c r="S66" s="239">
        <v>0</v>
      </c>
      <c r="T66" s="239">
        <v>1460.0061800000001</v>
      </c>
      <c r="U66" s="239">
        <v>0</v>
      </c>
      <c r="V66" s="239">
        <v>18.500610000000002</v>
      </c>
      <c r="W66" s="239">
        <v>430.49552</v>
      </c>
      <c r="X66" s="239">
        <v>0</v>
      </c>
      <c r="Y66" s="239">
        <v>0</v>
      </c>
      <c r="Z66" s="239">
        <v>929.53554999999994</v>
      </c>
      <c r="AA66" s="239">
        <v>384.21154000000001</v>
      </c>
      <c r="AB66" s="239">
        <v>0</v>
      </c>
      <c r="AC66" s="239">
        <v>0</v>
      </c>
      <c r="AD66" s="239">
        <v>1</v>
      </c>
      <c r="AE66" s="239" t="s">
        <v>19</v>
      </c>
      <c r="AF66" s="239" t="s">
        <v>718</v>
      </c>
      <c r="AG66" s="239">
        <f t="shared" si="1"/>
        <v>0</v>
      </c>
      <c r="AH66" s="239">
        <f t="shared" si="2"/>
        <v>0</v>
      </c>
      <c r="AI66" s="239">
        <f t="shared" si="3"/>
        <v>0</v>
      </c>
      <c r="AJ66" s="239">
        <f t="shared" si="4"/>
        <v>0</v>
      </c>
    </row>
    <row r="67" spans="1:36" x14ac:dyDescent="0.2">
      <c r="A67" s="240" t="str">
        <f t="shared" si="0"/>
        <v>3M55SNA1CSBR2AK12</v>
      </c>
      <c r="B67" s="239" t="s">
        <v>19</v>
      </c>
      <c r="C67" s="239" t="s">
        <v>20</v>
      </c>
      <c r="D67" s="239" t="s">
        <v>2406</v>
      </c>
      <c r="E67" s="239" t="s">
        <v>2407</v>
      </c>
      <c r="F67" s="239" t="s">
        <v>2435</v>
      </c>
      <c r="G67" s="239">
        <v>12</v>
      </c>
      <c r="H67" s="239" t="s">
        <v>928</v>
      </c>
      <c r="I67" s="239" t="s">
        <v>2414</v>
      </c>
      <c r="J67" s="239" t="s">
        <v>928</v>
      </c>
      <c r="K67" s="239" t="s">
        <v>2398</v>
      </c>
      <c r="L67" s="239">
        <v>8398.2314100000003</v>
      </c>
      <c r="M67" s="239">
        <v>88</v>
      </c>
      <c r="N67" s="239">
        <v>0</v>
      </c>
      <c r="O67" s="239">
        <v>2900</v>
      </c>
      <c r="P67" s="239">
        <v>2169.3208100000002</v>
      </c>
      <c r="Q67" s="239">
        <v>0</v>
      </c>
      <c r="R67" s="239">
        <v>0</v>
      </c>
      <c r="S67" s="239">
        <v>0</v>
      </c>
      <c r="T67" s="239">
        <v>30.00028</v>
      </c>
      <c r="U67" s="239">
        <v>231.17930999999999</v>
      </c>
      <c r="V67" s="239">
        <v>210.01008999999999</v>
      </c>
      <c r="W67" s="239">
        <v>169.61384000000001</v>
      </c>
      <c r="X67" s="239">
        <v>0</v>
      </c>
      <c r="Y67" s="239">
        <v>0</v>
      </c>
      <c r="Z67" s="239">
        <v>903.59058000000005</v>
      </c>
      <c r="AA67" s="239">
        <v>291.62207999999998</v>
      </c>
      <c r="AB67" s="239">
        <v>1492.8944200000001</v>
      </c>
      <c r="AC67" s="239">
        <v>0</v>
      </c>
      <c r="AD67" s="239">
        <v>1</v>
      </c>
      <c r="AE67" s="239" t="s">
        <v>19</v>
      </c>
      <c r="AF67" s="239" t="s">
        <v>718</v>
      </c>
      <c r="AG67" s="239">
        <f t="shared" si="1"/>
        <v>2552</v>
      </c>
      <c r="AH67" s="239">
        <f t="shared" si="2"/>
        <v>1909.0023128</v>
      </c>
      <c r="AI67" s="239">
        <f t="shared" si="3"/>
        <v>1313.7470896000002</v>
      </c>
      <c r="AJ67" s="239">
        <f t="shared" si="4"/>
        <v>5774.7494024000007</v>
      </c>
    </row>
    <row r="68" spans="1:36" x14ac:dyDescent="0.2">
      <c r="A68" s="240" t="str">
        <f t="shared" ref="A68:A131" si="5">TRIM(I68&amp;B68&amp;C68&amp;D68&amp;F68&amp;G68)</f>
        <v>SNA1CSBR2AK12</v>
      </c>
      <c r="B68" s="239" t="s">
        <v>19</v>
      </c>
      <c r="C68" s="239" t="s">
        <v>20</v>
      </c>
      <c r="D68" s="239" t="s">
        <v>2406</v>
      </c>
      <c r="E68" s="239" t="s">
        <v>2407</v>
      </c>
      <c r="F68" s="239" t="s">
        <v>2435</v>
      </c>
      <c r="G68" s="239">
        <v>12</v>
      </c>
      <c r="H68" s="239" t="s">
        <v>928</v>
      </c>
      <c r="I68" s="239" t="s">
        <v>928</v>
      </c>
      <c r="J68" s="239" t="s">
        <v>928</v>
      </c>
      <c r="K68" s="239" t="s">
        <v>2398</v>
      </c>
      <c r="L68" s="239">
        <v>8398.2317500000008</v>
      </c>
      <c r="M68" s="239">
        <v>88</v>
      </c>
      <c r="N68" s="239">
        <v>0</v>
      </c>
      <c r="O68" s="239">
        <v>2900</v>
      </c>
      <c r="P68" s="239">
        <v>2169.3204999999998</v>
      </c>
      <c r="Q68" s="239">
        <v>0</v>
      </c>
      <c r="R68" s="239">
        <v>0</v>
      </c>
      <c r="S68" s="239">
        <v>0</v>
      </c>
      <c r="T68" s="239">
        <v>30</v>
      </c>
      <c r="U68" s="239">
        <v>231.18012999999999</v>
      </c>
      <c r="V68" s="239">
        <v>210.01069000000001</v>
      </c>
      <c r="W68" s="239">
        <v>169.61408</v>
      </c>
      <c r="X68" s="239">
        <v>0</v>
      </c>
      <c r="Y68" s="239">
        <v>0</v>
      </c>
      <c r="Z68" s="239">
        <v>903.58996999999999</v>
      </c>
      <c r="AA68" s="239">
        <v>291.62146000000001</v>
      </c>
      <c r="AB68" s="239">
        <v>1492.89492</v>
      </c>
      <c r="AC68" s="239">
        <v>0</v>
      </c>
      <c r="AD68" s="239">
        <v>1</v>
      </c>
      <c r="AE68" s="239" t="s">
        <v>19</v>
      </c>
      <c r="AF68" s="239" t="s">
        <v>718</v>
      </c>
      <c r="AG68" s="239">
        <f t="shared" ref="AG68:AG132" si="6">+O68*M68/100</f>
        <v>2552</v>
      </c>
      <c r="AH68" s="239">
        <f t="shared" ref="AH68:AH132" si="7">+P68*M68/100</f>
        <v>1909.0020399999996</v>
      </c>
      <c r="AI68" s="239">
        <f t="shared" ref="AI68:AI132" si="8">+AB68*M68/100</f>
        <v>1313.7475295999998</v>
      </c>
      <c r="AJ68" s="239">
        <f t="shared" ref="AJ68:AJ132" si="9">+AG68+AH68+AI68</f>
        <v>5774.7495695999987</v>
      </c>
    </row>
    <row r="69" spans="1:36" x14ac:dyDescent="0.2">
      <c r="A69" s="240" t="str">
        <f t="shared" si="5"/>
        <v>33SNA1CSBR2E12</v>
      </c>
      <c r="B69" s="239" t="s">
        <v>19</v>
      </c>
      <c r="C69" s="239" t="s">
        <v>20</v>
      </c>
      <c r="D69" s="239" t="s">
        <v>2406</v>
      </c>
      <c r="E69" s="239" t="s">
        <v>2407</v>
      </c>
      <c r="F69" s="239" t="s">
        <v>2436</v>
      </c>
      <c r="G69" s="239">
        <v>12</v>
      </c>
      <c r="H69" s="239" t="s">
        <v>928</v>
      </c>
      <c r="I69" s="239" t="s">
        <v>2412</v>
      </c>
      <c r="J69" s="239" t="s">
        <v>928</v>
      </c>
      <c r="K69" s="239" t="s">
        <v>2398</v>
      </c>
      <c r="L69" s="239">
        <v>3222.7494000000002</v>
      </c>
      <c r="M69" s="239">
        <v>100</v>
      </c>
      <c r="N69" s="239">
        <v>0</v>
      </c>
      <c r="O69" s="239">
        <v>0</v>
      </c>
      <c r="P69" s="239">
        <v>0</v>
      </c>
      <c r="Q69" s="239">
        <v>0</v>
      </c>
      <c r="R69" s="239">
        <v>0</v>
      </c>
      <c r="S69" s="239">
        <v>0</v>
      </c>
      <c r="T69" s="239">
        <v>1460.0061800000001</v>
      </c>
      <c r="U69" s="239">
        <v>0</v>
      </c>
      <c r="V69" s="239">
        <v>18.500610000000002</v>
      </c>
      <c r="W69" s="239">
        <v>430.49552</v>
      </c>
      <c r="X69" s="239">
        <v>0</v>
      </c>
      <c r="Y69" s="239">
        <v>0</v>
      </c>
      <c r="Z69" s="239">
        <v>929.53554999999994</v>
      </c>
      <c r="AA69" s="239">
        <v>384.21154000000001</v>
      </c>
      <c r="AB69" s="239">
        <v>0</v>
      </c>
      <c r="AC69" s="239">
        <v>0</v>
      </c>
      <c r="AD69" s="239">
        <v>1</v>
      </c>
      <c r="AE69" s="239" t="s">
        <v>19</v>
      </c>
      <c r="AF69" s="239" t="s">
        <v>718</v>
      </c>
      <c r="AG69" s="239">
        <f t="shared" si="6"/>
        <v>0</v>
      </c>
      <c r="AH69" s="239">
        <f t="shared" si="7"/>
        <v>0</v>
      </c>
      <c r="AI69" s="239">
        <f t="shared" si="8"/>
        <v>0</v>
      </c>
      <c r="AJ69" s="239">
        <f t="shared" si="9"/>
        <v>0</v>
      </c>
    </row>
    <row r="70" spans="1:36" x14ac:dyDescent="0.2">
      <c r="A70" s="240" t="str">
        <f t="shared" si="5"/>
        <v>3M55SNA1CSBR2E12</v>
      </c>
      <c r="B70" s="239" t="s">
        <v>19</v>
      </c>
      <c r="C70" s="239" t="s">
        <v>20</v>
      </c>
      <c r="D70" s="239" t="s">
        <v>2406</v>
      </c>
      <c r="E70" s="239" t="s">
        <v>2407</v>
      </c>
      <c r="F70" s="239" t="s">
        <v>2436</v>
      </c>
      <c r="G70" s="239">
        <v>12</v>
      </c>
      <c r="H70" s="239" t="s">
        <v>928</v>
      </c>
      <c r="I70" s="239" t="s">
        <v>2414</v>
      </c>
      <c r="J70" s="239" t="s">
        <v>928</v>
      </c>
      <c r="K70" s="239" t="s">
        <v>2398</v>
      </c>
      <c r="L70" s="239">
        <v>8398.2314100000003</v>
      </c>
      <c r="M70" s="239">
        <v>88</v>
      </c>
      <c r="N70" s="239">
        <v>0</v>
      </c>
      <c r="O70" s="239">
        <v>2900</v>
      </c>
      <c r="P70" s="239">
        <v>2169.3208100000002</v>
      </c>
      <c r="Q70" s="239">
        <v>0</v>
      </c>
      <c r="R70" s="239">
        <v>0</v>
      </c>
      <c r="S70" s="239">
        <v>0</v>
      </c>
      <c r="T70" s="239">
        <v>30.00028</v>
      </c>
      <c r="U70" s="239">
        <v>231.17930999999999</v>
      </c>
      <c r="V70" s="239">
        <v>210.01008999999999</v>
      </c>
      <c r="W70" s="239">
        <v>169.61384000000001</v>
      </c>
      <c r="X70" s="239">
        <v>0</v>
      </c>
      <c r="Y70" s="239">
        <v>0</v>
      </c>
      <c r="Z70" s="239">
        <v>903.59058000000005</v>
      </c>
      <c r="AA70" s="239">
        <v>291.62207999999998</v>
      </c>
      <c r="AB70" s="239">
        <v>1492.8944200000001</v>
      </c>
      <c r="AC70" s="239">
        <v>0</v>
      </c>
      <c r="AD70" s="239">
        <v>1</v>
      </c>
      <c r="AE70" s="239" t="s">
        <v>19</v>
      </c>
      <c r="AF70" s="239" t="s">
        <v>718</v>
      </c>
      <c r="AG70" s="239">
        <f t="shared" si="6"/>
        <v>2552</v>
      </c>
      <c r="AH70" s="239">
        <f t="shared" si="7"/>
        <v>1909.0023128</v>
      </c>
      <c r="AI70" s="239">
        <f t="shared" si="8"/>
        <v>1313.7470896000002</v>
      </c>
      <c r="AJ70" s="239">
        <f t="shared" si="9"/>
        <v>5774.7494024000007</v>
      </c>
    </row>
    <row r="71" spans="1:36" x14ac:dyDescent="0.2">
      <c r="A71" s="240" t="str">
        <f t="shared" si="5"/>
        <v>SNA1CSBR2E12</v>
      </c>
      <c r="B71" s="239" t="s">
        <v>19</v>
      </c>
      <c r="C71" s="239" t="s">
        <v>20</v>
      </c>
      <c r="D71" s="239" t="s">
        <v>2406</v>
      </c>
      <c r="E71" s="239" t="s">
        <v>2407</v>
      </c>
      <c r="F71" s="239" t="s">
        <v>2436</v>
      </c>
      <c r="G71" s="239">
        <v>12</v>
      </c>
      <c r="H71" s="239" t="s">
        <v>928</v>
      </c>
      <c r="I71" s="239" t="s">
        <v>928</v>
      </c>
      <c r="J71" s="239" t="s">
        <v>928</v>
      </c>
      <c r="K71" s="239" t="s">
        <v>2398</v>
      </c>
      <c r="L71" s="239">
        <v>8398.2312600000005</v>
      </c>
      <c r="M71" s="239">
        <v>88</v>
      </c>
      <c r="N71" s="239">
        <v>0</v>
      </c>
      <c r="O71" s="239">
        <v>2900</v>
      </c>
      <c r="P71" s="239">
        <v>2169.3202999999999</v>
      </c>
      <c r="Q71" s="239">
        <v>0</v>
      </c>
      <c r="R71" s="239">
        <v>0</v>
      </c>
      <c r="S71" s="239">
        <v>0</v>
      </c>
      <c r="T71" s="239">
        <v>30.000640000000001</v>
      </c>
      <c r="U71" s="239">
        <v>231.17944</v>
      </c>
      <c r="V71" s="239">
        <v>210.00976</v>
      </c>
      <c r="W71" s="239">
        <v>169.61421000000001</v>
      </c>
      <c r="X71" s="239">
        <v>0</v>
      </c>
      <c r="Y71" s="239">
        <v>0</v>
      </c>
      <c r="Z71" s="239">
        <v>903.59052999999994</v>
      </c>
      <c r="AA71" s="239">
        <v>291.62209999999999</v>
      </c>
      <c r="AB71" s="239">
        <v>1492.89428</v>
      </c>
      <c r="AC71" s="239">
        <v>0</v>
      </c>
      <c r="AD71" s="239">
        <v>1</v>
      </c>
      <c r="AE71" s="239" t="s">
        <v>19</v>
      </c>
      <c r="AF71" s="239" t="s">
        <v>718</v>
      </c>
      <c r="AG71" s="239">
        <f t="shared" si="6"/>
        <v>2552</v>
      </c>
      <c r="AH71" s="239">
        <f t="shared" si="7"/>
        <v>1909.0018639999998</v>
      </c>
      <c r="AI71" s="239">
        <f t="shared" si="8"/>
        <v>1313.7469664</v>
      </c>
      <c r="AJ71" s="239">
        <f t="shared" si="9"/>
        <v>5774.7488303999999</v>
      </c>
    </row>
    <row r="72" spans="1:36" x14ac:dyDescent="0.2">
      <c r="A72" s="240" t="str">
        <f t="shared" si="5"/>
        <v>3ISNA1CSBR2I12</v>
      </c>
      <c r="B72" s="239" t="s">
        <v>19</v>
      </c>
      <c r="C72" s="239" t="s">
        <v>20</v>
      </c>
      <c r="D72" s="239" t="s">
        <v>2406</v>
      </c>
      <c r="E72" s="239" t="s">
        <v>2407</v>
      </c>
      <c r="F72" s="239" t="s">
        <v>2437</v>
      </c>
      <c r="G72" s="239">
        <v>12</v>
      </c>
      <c r="H72" s="239" t="s">
        <v>928</v>
      </c>
      <c r="I72" s="239" t="s">
        <v>2433</v>
      </c>
      <c r="J72" s="239" t="s">
        <v>928</v>
      </c>
      <c r="K72" s="239" t="s">
        <v>2398</v>
      </c>
      <c r="L72" s="239">
        <v>8818.6234000000004</v>
      </c>
      <c r="M72" s="239">
        <v>88</v>
      </c>
      <c r="N72" s="239">
        <v>0</v>
      </c>
      <c r="O72" s="239">
        <v>0</v>
      </c>
      <c r="P72" s="239">
        <v>3491.81709</v>
      </c>
      <c r="Q72" s="239">
        <v>3863.63636</v>
      </c>
      <c r="R72" s="239">
        <v>0</v>
      </c>
      <c r="S72" s="239">
        <v>0</v>
      </c>
      <c r="T72" s="239">
        <v>0</v>
      </c>
      <c r="U72" s="239">
        <v>233.24341999999999</v>
      </c>
      <c r="V72" s="239">
        <v>0</v>
      </c>
      <c r="W72" s="239">
        <v>27.093119999999999</v>
      </c>
      <c r="X72" s="239">
        <v>0</v>
      </c>
      <c r="Y72" s="239">
        <v>0</v>
      </c>
      <c r="Z72" s="239">
        <v>254.51815999999999</v>
      </c>
      <c r="AA72" s="239">
        <v>116.84858</v>
      </c>
      <c r="AB72" s="239">
        <v>831.46667000000002</v>
      </c>
      <c r="AC72" s="239">
        <v>0</v>
      </c>
      <c r="AD72" s="239">
        <v>1</v>
      </c>
      <c r="AE72" s="239" t="s">
        <v>19</v>
      </c>
      <c r="AF72" s="239" t="s">
        <v>718</v>
      </c>
      <c r="AG72" s="239">
        <f t="shared" si="6"/>
        <v>0</v>
      </c>
      <c r="AH72" s="239">
        <f t="shared" si="7"/>
        <v>3072.7990392000002</v>
      </c>
      <c r="AI72" s="239">
        <f t="shared" si="8"/>
        <v>731.69066959999998</v>
      </c>
      <c r="AJ72" s="239">
        <f t="shared" si="9"/>
        <v>3804.4897088000002</v>
      </c>
    </row>
    <row r="73" spans="1:36" x14ac:dyDescent="0.2">
      <c r="A73" s="240" t="str">
        <f t="shared" si="5"/>
        <v>SNA1CSBR2I12</v>
      </c>
      <c r="B73" s="239" t="s">
        <v>19</v>
      </c>
      <c r="C73" s="239" t="s">
        <v>20</v>
      </c>
      <c r="D73" s="239" t="s">
        <v>2406</v>
      </c>
      <c r="E73" s="239" t="s">
        <v>2407</v>
      </c>
      <c r="F73" s="239" t="s">
        <v>2437</v>
      </c>
      <c r="G73" s="239">
        <v>12</v>
      </c>
      <c r="H73" s="239" t="s">
        <v>928</v>
      </c>
      <c r="I73" s="239" t="s">
        <v>928</v>
      </c>
      <c r="J73" s="239" t="s">
        <v>928</v>
      </c>
      <c r="K73" s="239" t="s">
        <v>2398</v>
      </c>
      <c r="L73" s="239">
        <v>8818.6228800000008</v>
      </c>
      <c r="M73" s="239">
        <v>88</v>
      </c>
      <c r="N73" s="239">
        <v>0</v>
      </c>
      <c r="O73" s="239">
        <v>0</v>
      </c>
      <c r="P73" s="239">
        <v>3491.8169899999998</v>
      </c>
      <c r="Q73" s="239">
        <v>3863.636</v>
      </c>
      <c r="R73" s="239">
        <v>0</v>
      </c>
      <c r="S73" s="239">
        <v>0</v>
      </c>
      <c r="T73" s="239">
        <v>0</v>
      </c>
      <c r="U73" s="239">
        <v>233.24354</v>
      </c>
      <c r="V73" s="239">
        <v>0</v>
      </c>
      <c r="W73" s="239">
        <v>27.093419999999998</v>
      </c>
      <c r="X73" s="239">
        <v>0</v>
      </c>
      <c r="Y73" s="239">
        <v>0</v>
      </c>
      <c r="Z73" s="239">
        <v>254.51776000000001</v>
      </c>
      <c r="AA73" s="239">
        <v>116.84826</v>
      </c>
      <c r="AB73" s="239">
        <v>831.46690999999998</v>
      </c>
      <c r="AC73" s="239">
        <v>0</v>
      </c>
      <c r="AD73" s="239">
        <v>1</v>
      </c>
      <c r="AE73" s="239" t="s">
        <v>19</v>
      </c>
      <c r="AF73" s="239" t="s">
        <v>718</v>
      </c>
      <c r="AG73" s="239">
        <f t="shared" si="6"/>
        <v>0</v>
      </c>
      <c r="AH73" s="239">
        <f t="shared" si="7"/>
        <v>3072.7989511999999</v>
      </c>
      <c r="AI73" s="239">
        <f t="shared" si="8"/>
        <v>731.69088080000006</v>
      </c>
      <c r="AJ73" s="239">
        <f t="shared" si="9"/>
        <v>3804.4898320000002</v>
      </c>
    </row>
    <row r="74" spans="1:36" x14ac:dyDescent="0.2">
      <c r="A74" s="240" t="str">
        <f t="shared" si="5"/>
        <v>3BSNA1CSBR2K12</v>
      </c>
      <c r="B74" s="239" t="s">
        <v>19</v>
      </c>
      <c r="C74" s="239" t="s">
        <v>20</v>
      </c>
      <c r="D74" s="239" t="s">
        <v>2406</v>
      </c>
      <c r="E74" s="239" t="s">
        <v>2407</v>
      </c>
      <c r="F74" s="239" t="s">
        <v>2438</v>
      </c>
      <c r="G74" s="239">
        <v>12</v>
      </c>
      <c r="H74" s="239" t="s">
        <v>928</v>
      </c>
      <c r="I74" s="239" t="s">
        <v>2422</v>
      </c>
      <c r="J74" s="239" t="s">
        <v>928</v>
      </c>
      <c r="K74" s="239" t="s">
        <v>2398</v>
      </c>
      <c r="L74" s="239">
        <v>4140</v>
      </c>
      <c r="M74" s="239">
        <v>100</v>
      </c>
      <c r="N74" s="239">
        <v>0</v>
      </c>
      <c r="O74" s="239">
        <v>4140</v>
      </c>
      <c r="P74" s="239">
        <v>0</v>
      </c>
      <c r="Q74" s="239">
        <v>0</v>
      </c>
      <c r="R74" s="239">
        <v>0</v>
      </c>
      <c r="S74" s="239">
        <v>0</v>
      </c>
      <c r="T74" s="239">
        <v>0</v>
      </c>
      <c r="U74" s="239">
        <v>0</v>
      </c>
      <c r="V74" s="239">
        <v>0</v>
      </c>
      <c r="W74" s="239">
        <v>0</v>
      </c>
      <c r="X74" s="239">
        <v>0</v>
      </c>
      <c r="Y74" s="239">
        <v>0</v>
      </c>
      <c r="Z74" s="239">
        <v>0</v>
      </c>
      <c r="AA74" s="239">
        <v>0</v>
      </c>
      <c r="AB74" s="239">
        <v>0</v>
      </c>
      <c r="AC74" s="239">
        <v>0</v>
      </c>
      <c r="AD74" s="239">
        <v>1</v>
      </c>
      <c r="AE74" s="239" t="s">
        <v>19</v>
      </c>
      <c r="AF74" s="239" t="s">
        <v>718</v>
      </c>
      <c r="AG74" s="239">
        <f t="shared" si="6"/>
        <v>4140</v>
      </c>
      <c r="AH74" s="239">
        <f t="shared" si="7"/>
        <v>0</v>
      </c>
      <c r="AI74" s="239">
        <f t="shared" si="8"/>
        <v>0</v>
      </c>
      <c r="AJ74" s="239">
        <f t="shared" si="9"/>
        <v>4140</v>
      </c>
    </row>
    <row r="75" spans="1:36" x14ac:dyDescent="0.2">
      <c r="A75" s="240" t="str">
        <f t="shared" si="5"/>
        <v>SNA1CSBR2K12</v>
      </c>
      <c r="B75" s="239" t="s">
        <v>19</v>
      </c>
      <c r="C75" s="239" t="s">
        <v>20</v>
      </c>
      <c r="D75" s="239" t="s">
        <v>2406</v>
      </c>
      <c r="E75" s="239" t="s">
        <v>2407</v>
      </c>
      <c r="F75" s="239" t="s">
        <v>2438</v>
      </c>
      <c r="G75" s="239">
        <v>12</v>
      </c>
      <c r="H75" s="239" t="s">
        <v>928</v>
      </c>
      <c r="I75" s="239" t="s">
        <v>928</v>
      </c>
      <c r="J75" s="239" t="s">
        <v>928</v>
      </c>
      <c r="K75" s="239" t="s">
        <v>2398</v>
      </c>
      <c r="L75" s="239">
        <v>4139.9997700000004</v>
      </c>
      <c r="M75" s="239">
        <v>100</v>
      </c>
      <c r="N75" s="239">
        <v>0</v>
      </c>
      <c r="O75" s="239">
        <v>4139.9997700000004</v>
      </c>
      <c r="P75" s="239">
        <v>0</v>
      </c>
      <c r="Q75" s="239">
        <v>0</v>
      </c>
      <c r="R75" s="239">
        <v>0</v>
      </c>
      <c r="S75" s="239">
        <v>0</v>
      </c>
      <c r="T75" s="239">
        <v>0</v>
      </c>
      <c r="U75" s="239">
        <v>0</v>
      </c>
      <c r="V75" s="239">
        <v>0</v>
      </c>
      <c r="W75" s="239">
        <v>0</v>
      </c>
      <c r="X75" s="239">
        <v>0</v>
      </c>
      <c r="Y75" s="239">
        <v>0</v>
      </c>
      <c r="Z75" s="239">
        <v>0</v>
      </c>
      <c r="AA75" s="239">
        <v>0</v>
      </c>
      <c r="AB75" s="239">
        <v>0</v>
      </c>
      <c r="AC75" s="239">
        <v>0</v>
      </c>
      <c r="AD75" s="239">
        <v>1</v>
      </c>
      <c r="AE75" s="239" t="s">
        <v>19</v>
      </c>
      <c r="AF75" s="239" t="s">
        <v>718</v>
      </c>
      <c r="AG75" s="239">
        <f t="shared" si="6"/>
        <v>4139.9997700000004</v>
      </c>
      <c r="AH75" s="239">
        <f t="shared" si="7"/>
        <v>0</v>
      </c>
      <c r="AI75" s="239">
        <f t="shared" si="8"/>
        <v>0</v>
      </c>
      <c r="AJ75" s="239">
        <f t="shared" si="9"/>
        <v>4139.9997700000004</v>
      </c>
    </row>
    <row r="76" spans="1:36" x14ac:dyDescent="0.2">
      <c r="A76" s="240" t="str">
        <f t="shared" si="5"/>
        <v>3ASNBR100512</v>
      </c>
      <c r="B76" s="239" t="s">
        <v>19</v>
      </c>
      <c r="C76" s="239" t="s">
        <v>20</v>
      </c>
      <c r="D76" s="239" t="s">
        <v>2439</v>
      </c>
      <c r="E76" s="239" t="s">
        <v>2440</v>
      </c>
      <c r="F76" s="239" t="s">
        <v>2441</v>
      </c>
      <c r="G76" s="239">
        <v>12</v>
      </c>
      <c r="H76" s="239" t="s">
        <v>928</v>
      </c>
      <c r="I76" s="239" t="s">
        <v>2401</v>
      </c>
      <c r="J76" s="239" t="s">
        <v>928</v>
      </c>
      <c r="K76" s="239" t="s">
        <v>2398</v>
      </c>
      <c r="L76" s="239">
        <v>6865.1329299999998</v>
      </c>
      <c r="M76" s="239">
        <v>87</v>
      </c>
      <c r="N76" s="239">
        <v>0</v>
      </c>
      <c r="O76" s="239">
        <v>4712.6436800000001</v>
      </c>
      <c r="P76" s="239">
        <v>0</v>
      </c>
      <c r="Q76" s="239">
        <v>0</v>
      </c>
      <c r="R76" s="239">
        <v>0</v>
      </c>
      <c r="S76" s="239">
        <v>0</v>
      </c>
      <c r="T76" s="239">
        <v>160.00362999999999</v>
      </c>
      <c r="U76" s="239">
        <v>232.20859999999999</v>
      </c>
      <c r="V76" s="239">
        <v>208.00359</v>
      </c>
      <c r="W76" s="239">
        <v>290.36086</v>
      </c>
      <c r="X76" s="239">
        <v>0</v>
      </c>
      <c r="Y76" s="239">
        <v>0</v>
      </c>
      <c r="Z76" s="239">
        <v>895.51549</v>
      </c>
      <c r="AA76" s="239">
        <v>366.39708000000002</v>
      </c>
      <c r="AB76" s="239">
        <v>0</v>
      </c>
      <c r="AC76" s="239">
        <v>0</v>
      </c>
      <c r="AD76" s="239">
        <v>1</v>
      </c>
      <c r="AE76" s="239" t="s">
        <v>19</v>
      </c>
      <c r="AF76" s="239" t="s">
        <v>718</v>
      </c>
      <c r="AG76" s="239">
        <f t="shared" si="6"/>
        <v>4100.0000016000004</v>
      </c>
      <c r="AH76" s="239">
        <f t="shared" si="7"/>
        <v>0</v>
      </c>
      <c r="AI76" s="239">
        <f t="shared" si="8"/>
        <v>0</v>
      </c>
      <c r="AJ76" s="239">
        <f t="shared" si="9"/>
        <v>4100.0000016000004</v>
      </c>
    </row>
    <row r="77" spans="1:36" x14ac:dyDescent="0.2">
      <c r="A77" s="240" t="str">
        <f t="shared" si="5"/>
        <v>SNBR100512</v>
      </c>
      <c r="B77" s="239" t="s">
        <v>19</v>
      </c>
      <c r="C77" s="239" t="s">
        <v>20</v>
      </c>
      <c r="D77" s="239" t="s">
        <v>2439</v>
      </c>
      <c r="E77" s="239" t="s">
        <v>2440</v>
      </c>
      <c r="F77" s="239" t="s">
        <v>2441</v>
      </c>
      <c r="G77" s="239">
        <v>12</v>
      </c>
      <c r="H77" s="239" t="s">
        <v>928</v>
      </c>
      <c r="I77" s="239" t="s">
        <v>928</v>
      </c>
      <c r="J77" s="239" t="s">
        <v>928</v>
      </c>
      <c r="K77" s="239" t="s">
        <v>2398</v>
      </c>
      <c r="L77" s="239">
        <v>6865.1369100000002</v>
      </c>
      <c r="M77" s="239">
        <v>87</v>
      </c>
      <c r="N77" s="239">
        <v>0</v>
      </c>
      <c r="O77" s="239">
        <v>4712.6445299999996</v>
      </c>
      <c r="P77" s="239">
        <v>0</v>
      </c>
      <c r="Q77" s="239">
        <v>0</v>
      </c>
      <c r="R77" s="239">
        <v>0</v>
      </c>
      <c r="S77" s="239">
        <v>0</v>
      </c>
      <c r="T77" s="239">
        <v>160.00344999999999</v>
      </c>
      <c r="U77" s="239">
        <v>232.20963</v>
      </c>
      <c r="V77" s="239">
        <v>208.00567000000001</v>
      </c>
      <c r="W77" s="239">
        <v>290.36130000000003</v>
      </c>
      <c r="X77" s="239">
        <v>0</v>
      </c>
      <c r="Y77" s="239">
        <v>0</v>
      </c>
      <c r="Z77" s="239">
        <v>895.51522999999997</v>
      </c>
      <c r="AA77" s="239">
        <v>366.39710000000002</v>
      </c>
      <c r="AB77" s="239">
        <v>0</v>
      </c>
      <c r="AC77" s="239">
        <v>0</v>
      </c>
      <c r="AD77" s="239">
        <v>1</v>
      </c>
      <c r="AE77" s="239" t="s">
        <v>19</v>
      </c>
      <c r="AF77" s="239" t="s">
        <v>718</v>
      </c>
      <c r="AG77" s="239">
        <f t="shared" si="6"/>
        <v>4100.0007410999997</v>
      </c>
      <c r="AH77" s="239">
        <f t="shared" si="7"/>
        <v>0</v>
      </c>
      <c r="AI77" s="239">
        <f t="shared" si="8"/>
        <v>0</v>
      </c>
      <c r="AJ77" s="239">
        <f t="shared" si="9"/>
        <v>4100.0007410999997</v>
      </c>
    </row>
    <row r="78" spans="1:36" x14ac:dyDescent="0.2">
      <c r="A78" s="240" t="str">
        <f t="shared" si="5"/>
        <v>3CSNBR1005CR12</v>
      </c>
      <c r="B78" s="239" t="s">
        <v>19</v>
      </c>
      <c r="C78" s="239" t="s">
        <v>20</v>
      </c>
      <c r="D78" s="239" t="s">
        <v>2439</v>
      </c>
      <c r="E78" s="239" t="s">
        <v>2440</v>
      </c>
      <c r="F78" s="239" t="s">
        <v>2442</v>
      </c>
      <c r="G78" s="239">
        <v>12</v>
      </c>
      <c r="H78" s="239" t="s">
        <v>928</v>
      </c>
      <c r="I78" s="239" t="s">
        <v>2397</v>
      </c>
      <c r="J78" s="239" t="s">
        <v>928</v>
      </c>
      <c r="K78" s="239" t="s">
        <v>2398</v>
      </c>
      <c r="L78" s="239">
        <v>8365.3041200000007</v>
      </c>
      <c r="M78" s="239">
        <v>87</v>
      </c>
      <c r="N78" s="239">
        <v>0</v>
      </c>
      <c r="O78" s="239">
        <v>4712.6436800000001</v>
      </c>
      <c r="P78" s="239">
        <v>0</v>
      </c>
      <c r="Q78" s="239">
        <v>0</v>
      </c>
      <c r="R78" s="239">
        <v>0</v>
      </c>
      <c r="S78" s="239">
        <v>0</v>
      </c>
      <c r="T78" s="239">
        <v>1031.3615400000001</v>
      </c>
      <c r="U78" s="239">
        <v>232.20859999999999</v>
      </c>
      <c r="V78" s="239">
        <v>224.65652</v>
      </c>
      <c r="W78" s="239">
        <v>478.27309000000002</v>
      </c>
      <c r="X78" s="239">
        <v>0</v>
      </c>
      <c r="Y78" s="239">
        <v>0</v>
      </c>
      <c r="Z78" s="239">
        <v>1184.97504</v>
      </c>
      <c r="AA78" s="239">
        <v>501.18565000000001</v>
      </c>
      <c r="AB78" s="239">
        <v>0</v>
      </c>
      <c r="AC78" s="239">
        <v>0</v>
      </c>
      <c r="AD78" s="239">
        <v>1</v>
      </c>
      <c r="AE78" s="239" t="s">
        <v>19</v>
      </c>
      <c r="AF78" s="239" t="s">
        <v>718</v>
      </c>
      <c r="AG78" s="239">
        <f t="shared" si="6"/>
        <v>4100.0000016000004</v>
      </c>
      <c r="AH78" s="239">
        <f t="shared" si="7"/>
        <v>0</v>
      </c>
      <c r="AI78" s="239">
        <f t="shared" si="8"/>
        <v>0</v>
      </c>
      <c r="AJ78" s="239">
        <f t="shared" si="9"/>
        <v>4100.0000016000004</v>
      </c>
    </row>
    <row r="79" spans="1:36" x14ac:dyDescent="0.2">
      <c r="A79" s="240" t="str">
        <f t="shared" si="5"/>
        <v>SNBR1005CR12</v>
      </c>
      <c r="B79" s="239" t="s">
        <v>19</v>
      </c>
      <c r="C79" s="239" t="s">
        <v>20</v>
      </c>
      <c r="D79" s="239" t="s">
        <v>2439</v>
      </c>
      <c r="E79" s="239" t="s">
        <v>2440</v>
      </c>
      <c r="F79" s="239" t="s">
        <v>2442</v>
      </c>
      <c r="G79" s="239">
        <v>12</v>
      </c>
      <c r="H79" s="239" t="s">
        <v>928</v>
      </c>
      <c r="I79" s="239" t="s">
        <v>928</v>
      </c>
      <c r="J79" s="239" t="s">
        <v>928</v>
      </c>
      <c r="K79" s="239" t="s">
        <v>2398</v>
      </c>
      <c r="L79" s="239">
        <v>8365.3034700000007</v>
      </c>
      <c r="M79" s="239">
        <v>87</v>
      </c>
      <c r="N79" s="239">
        <v>0</v>
      </c>
      <c r="O79" s="239">
        <v>4712.6439499999997</v>
      </c>
      <c r="P79" s="239">
        <v>0</v>
      </c>
      <c r="Q79" s="239">
        <v>0</v>
      </c>
      <c r="R79" s="239">
        <v>0</v>
      </c>
      <c r="S79" s="239">
        <v>0</v>
      </c>
      <c r="T79" s="239">
        <v>1031.36087</v>
      </c>
      <c r="U79" s="239">
        <v>232.20764</v>
      </c>
      <c r="V79" s="239">
        <v>224.65690000000001</v>
      </c>
      <c r="W79" s="239">
        <v>478.27357999999998</v>
      </c>
      <c r="X79" s="239">
        <v>0</v>
      </c>
      <c r="Y79" s="239">
        <v>0</v>
      </c>
      <c r="Z79" s="239">
        <v>1184.97504</v>
      </c>
      <c r="AA79" s="239">
        <v>501.18549000000002</v>
      </c>
      <c r="AB79" s="239">
        <v>0</v>
      </c>
      <c r="AC79" s="239">
        <v>0</v>
      </c>
      <c r="AD79" s="239">
        <v>1</v>
      </c>
      <c r="AE79" s="239" t="s">
        <v>19</v>
      </c>
      <c r="AF79" s="239" t="s">
        <v>718</v>
      </c>
      <c r="AG79" s="239">
        <f t="shared" si="6"/>
        <v>4100.0002365</v>
      </c>
      <c r="AH79" s="239">
        <f t="shared" si="7"/>
        <v>0</v>
      </c>
      <c r="AI79" s="239">
        <f t="shared" si="8"/>
        <v>0</v>
      </c>
      <c r="AJ79" s="239">
        <f t="shared" si="9"/>
        <v>4100.0002365</v>
      </c>
    </row>
    <row r="80" spans="1:36" x14ac:dyDescent="0.2">
      <c r="A80" s="240" t="str">
        <f t="shared" si="5"/>
        <v>3B7SNBR101212</v>
      </c>
      <c r="B80" s="239" t="s">
        <v>19</v>
      </c>
      <c r="C80" s="239" t="s">
        <v>20</v>
      </c>
      <c r="D80" s="239" t="s">
        <v>2439</v>
      </c>
      <c r="E80" s="239" t="s">
        <v>2440</v>
      </c>
      <c r="F80" s="239" t="s">
        <v>2443</v>
      </c>
      <c r="G80" s="239">
        <v>12</v>
      </c>
      <c r="H80" s="239" t="s">
        <v>928</v>
      </c>
      <c r="I80" s="239" t="s">
        <v>2444</v>
      </c>
      <c r="J80" s="239" t="s">
        <v>928</v>
      </c>
      <c r="K80" s="239" t="s">
        <v>2398</v>
      </c>
      <c r="L80" s="239">
        <v>4399.86474</v>
      </c>
      <c r="M80" s="239">
        <v>92.5</v>
      </c>
      <c r="N80" s="239">
        <v>0</v>
      </c>
      <c r="O80" s="239">
        <v>2724.3243200000002</v>
      </c>
      <c r="P80" s="239">
        <v>0</v>
      </c>
      <c r="Q80" s="239">
        <v>0</v>
      </c>
      <c r="R80" s="239">
        <v>0</v>
      </c>
      <c r="S80" s="239">
        <v>0</v>
      </c>
      <c r="T80" s="239">
        <v>91.00206</v>
      </c>
      <c r="U80" s="239">
        <v>238.40083000000001</v>
      </c>
      <c r="V80" s="239">
        <v>166.00287</v>
      </c>
      <c r="W80" s="239">
        <v>222.02988999999999</v>
      </c>
      <c r="X80" s="239">
        <v>0</v>
      </c>
      <c r="Y80" s="239">
        <v>0</v>
      </c>
      <c r="Z80" s="239">
        <v>706.56272999999999</v>
      </c>
      <c r="AA80" s="239">
        <v>251.54203999999999</v>
      </c>
      <c r="AB80" s="239">
        <v>0</v>
      </c>
      <c r="AC80" s="239">
        <v>0</v>
      </c>
      <c r="AD80" s="239">
        <v>1</v>
      </c>
      <c r="AE80" s="239" t="s">
        <v>19</v>
      </c>
      <c r="AF80" s="239" t="s">
        <v>718</v>
      </c>
      <c r="AG80" s="239">
        <f t="shared" si="6"/>
        <v>2519.999996</v>
      </c>
      <c r="AH80" s="239">
        <f t="shared" si="7"/>
        <v>0</v>
      </c>
      <c r="AI80" s="239">
        <f t="shared" si="8"/>
        <v>0</v>
      </c>
      <c r="AJ80" s="239">
        <f t="shared" si="9"/>
        <v>2519.999996</v>
      </c>
    </row>
    <row r="81" spans="1:36" x14ac:dyDescent="0.2">
      <c r="A81" s="240" t="str">
        <f t="shared" si="5"/>
        <v>3CSNBR101212</v>
      </c>
      <c r="B81" s="239" t="s">
        <v>19</v>
      </c>
      <c r="C81" s="239" t="s">
        <v>20</v>
      </c>
      <c r="D81" s="239" t="s">
        <v>2439</v>
      </c>
      <c r="E81" s="239" t="s">
        <v>2440</v>
      </c>
      <c r="F81" s="239" t="s">
        <v>2443</v>
      </c>
      <c r="G81" s="239">
        <v>12</v>
      </c>
      <c r="H81" s="239" t="s">
        <v>928</v>
      </c>
      <c r="I81" s="239" t="s">
        <v>2397</v>
      </c>
      <c r="J81" s="239" t="s">
        <v>928</v>
      </c>
      <c r="K81" s="239" t="s">
        <v>2398</v>
      </c>
      <c r="L81" s="239">
        <v>4579.1567400000004</v>
      </c>
      <c r="M81" s="239">
        <v>92.5</v>
      </c>
      <c r="N81" s="239">
        <v>0</v>
      </c>
      <c r="O81" s="239">
        <v>2724.3243200000002</v>
      </c>
      <c r="P81" s="239">
        <v>0</v>
      </c>
      <c r="Q81" s="239">
        <v>0</v>
      </c>
      <c r="R81" s="239">
        <v>0</v>
      </c>
      <c r="S81" s="239">
        <v>0</v>
      </c>
      <c r="T81" s="239">
        <v>144.00326000000001</v>
      </c>
      <c r="U81" s="239">
        <v>233.24064000000001</v>
      </c>
      <c r="V81" s="239">
        <v>245.00423000000001</v>
      </c>
      <c r="W81" s="239">
        <v>245.16583</v>
      </c>
      <c r="X81" s="239">
        <v>0</v>
      </c>
      <c r="Y81" s="239">
        <v>0</v>
      </c>
      <c r="Z81" s="239">
        <v>687.46644000000003</v>
      </c>
      <c r="AA81" s="239">
        <v>299.95202</v>
      </c>
      <c r="AB81" s="239">
        <v>0</v>
      </c>
      <c r="AC81" s="239">
        <v>0</v>
      </c>
      <c r="AD81" s="239">
        <v>1</v>
      </c>
      <c r="AE81" s="239" t="s">
        <v>19</v>
      </c>
      <c r="AF81" s="239" t="s">
        <v>718</v>
      </c>
      <c r="AG81" s="239">
        <f t="shared" si="6"/>
        <v>2519.999996</v>
      </c>
      <c r="AH81" s="239">
        <f t="shared" si="7"/>
        <v>0</v>
      </c>
      <c r="AI81" s="239">
        <f t="shared" si="8"/>
        <v>0</v>
      </c>
      <c r="AJ81" s="239">
        <f t="shared" si="9"/>
        <v>2519.999996</v>
      </c>
    </row>
    <row r="82" spans="1:36" x14ac:dyDescent="0.2">
      <c r="A82" s="240" t="str">
        <f t="shared" si="5"/>
        <v>3C7SNBR101212</v>
      </c>
      <c r="B82" s="239" t="s">
        <v>19</v>
      </c>
      <c r="C82" s="239" t="s">
        <v>20</v>
      </c>
      <c r="D82" s="239" t="s">
        <v>2439</v>
      </c>
      <c r="E82" s="239" t="s">
        <v>2440</v>
      </c>
      <c r="F82" s="239" t="s">
        <v>2443</v>
      </c>
      <c r="G82" s="239">
        <v>12</v>
      </c>
      <c r="H82" s="239" t="s">
        <v>928</v>
      </c>
      <c r="I82" s="239" t="s">
        <v>2445</v>
      </c>
      <c r="J82" s="239" t="s">
        <v>928</v>
      </c>
      <c r="K82" s="239" t="s">
        <v>2398</v>
      </c>
      <c r="L82" s="239">
        <v>4282.7322100000001</v>
      </c>
      <c r="M82" s="239">
        <v>92.5</v>
      </c>
      <c r="N82" s="239">
        <v>0</v>
      </c>
      <c r="O82" s="239">
        <v>2724.3243200000002</v>
      </c>
      <c r="P82" s="239">
        <v>0</v>
      </c>
      <c r="Q82" s="239">
        <v>0</v>
      </c>
      <c r="R82" s="239">
        <v>0</v>
      </c>
      <c r="S82" s="239">
        <v>0</v>
      </c>
      <c r="T82" s="239">
        <v>91.00206</v>
      </c>
      <c r="U82" s="239">
        <v>229.11248000000001</v>
      </c>
      <c r="V82" s="239">
        <v>166.00287</v>
      </c>
      <c r="W82" s="239">
        <v>218.9359</v>
      </c>
      <c r="X82" s="239">
        <v>0</v>
      </c>
      <c r="Y82" s="239">
        <v>0</v>
      </c>
      <c r="Z82" s="239">
        <v>615.10154999999997</v>
      </c>
      <c r="AA82" s="239">
        <v>238.25303</v>
      </c>
      <c r="AB82" s="239">
        <v>0</v>
      </c>
      <c r="AC82" s="239">
        <v>0</v>
      </c>
      <c r="AD82" s="239">
        <v>1</v>
      </c>
      <c r="AE82" s="239" t="s">
        <v>19</v>
      </c>
      <c r="AF82" s="239" t="s">
        <v>718</v>
      </c>
      <c r="AG82" s="239">
        <f t="shared" si="6"/>
        <v>2519.999996</v>
      </c>
      <c r="AH82" s="239">
        <f t="shared" si="7"/>
        <v>0</v>
      </c>
      <c r="AI82" s="239">
        <f t="shared" si="8"/>
        <v>0</v>
      </c>
      <c r="AJ82" s="239">
        <f t="shared" si="9"/>
        <v>2519.999996</v>
      </c>
    </row>
    <row r="83" spans="1:36" x14ac:dyDescent="0.2">
      <c r="A83" s="240" t="str">
        <f t="shared" si="5"/>
        <v>3L5SNBR101212</v>
      </c>
      <c r="B83" s="239" t="s">
        <v>19</v>
      </c>
      <c r="C83" s="239" t="s">
        <v>20</v>
      </c>
      <c r="D83" s="239" t="s">
        <v>2439</v>
      </c>
      <c r="E83" s="239" t="s">
        <v>2440</v>
      </c>
      <c r="F83" s="239" t="s">
        <v>2443</v>
      </c>
      <c r="G83" s="239">
        <v>12</v>
      </c>
      <c r="H83" s="239" t="s">
        <v>928</v>
      </c>
      <c r="I83" s="239" t="s">
        <v>2446</v>
      </c>
      <c r="J83" s="239" t="s">
        <v>928</v>
      </c>
      <c r="K83" s="239" t="s">
        <v>2398</v>
      </c>
      <c r="L83" s="239">
        <v>4503.7931799999997</v>
      </c>
      <c r="M83" s="239">
        <v>93</v>
      </c>
      <c r="N83" s="239">
        <v>0</v>
      </c>
      <c r="O83" s="239">
        <v>2744.0860200000002</v>
      </c>
      <c r="P83" s="239">
        <v>0</v>
      </c>
      <c r="Q83" s="239">
        <v>0</v>
      </c>
      <c r="R83" s="239">
        <v>0</v>
      </c>
      <c r="S83" s="239">
        <v>0</v>
      </c>
      <c r="T83" s="239">
        <v>93.002110000000002</v>
      </c>
      <c r="U83" s="239">
        <v>233.24064000000001</v>
      </c>
      <c r="V83" s="239">
        <v>191.0033</v>
      </c>
      <c r="W83" s="239">
        <v>157.71779000000001</v>
      </c>
      <c r="X83" s="239">
        <v>0</v>
      </c>
      <c r="Y83" s="239">
        <v>0</v>
      </c>
      <c r="Z83" s="239">
        <v>833.20128</v>
      </c>
      <c r="AA83" s="239">
        <v>251.54203999999999</v>
      </c>
      <c r="AB83" s="239">
        <v>0</v>
      </c>
      <c r="AC83" s="239">
        <v>0</v>
      </c>
      <c r="AD83" s="239">
        <v>1</v>
      </c>
      <c r="AE83" s="239" t="s">
        <v>19</v>
      </c>
      <c r="AF83" s="239" t="s">
        <v>718</v>
      </c>
      <c r="AG83" s="239">
        <f t="shared" si="6"/>
        <v>2551.9999986000003</v>
      </c>
      <c r="AH83" s="239">
        <f t="shared" si="7"/>
        <v>0</v>
      </c>
      <c r="AI83" s="239">
        <f t="shared" si="8"/>
        <v>0</v>
      </c>
      <c r="AJ83" s="239">
        <f t="shared" si="9"/>
        <v>2551.9999986000003</v>
      </c>
    </row>
    <row r="84" spans="1:36" x14ac:dyDescent="0.2">
      <c r="A84" s="240" t="str">
        <f t="shared" si="5"/>
        <v>3M5SNBR101212</v>
      </c>
      <c r="B84" s="239" t="s">
        <v>19</v>
      </c>
      <c r="C84" s="239" t="s">
        <v>20</v>
      </c>
      <c r="D84" s="239" t="s">
        <v>2439</v>
      </c>
      <c r="E84" s="239" t="s">
        <v>2440</v>
      </c>
      <c r="F84" s="239" t="s">
        <v>2443</v>
      </c>
      <c r="G84" s="239">
        <v>12</v>
      </c>
      <c r="H84" s="239" t="s">
        <v>928</v>
      </c>
      <c r="I84" s="239" t="s">
        <v>2405</v>
      </c>
      <c r="J84" s="239" t="s">
        <v>928</v>
      </c>
      <c r="K84" s="239" t="s">
        <v>2398</v>
      </c>
      <c r="L84" s="239">
        <v>4619.79979</v>
      </c>
      <c r="M84" s="239">
        <v>93</v>
      </c>
      <c r="N84" s="239">
        <v>0</v>
      </c>
      <c r="O84" s="239">
        <v>2744.0860200000002</v>
      </c>
      <c r="P84" s="239">
        <v>0</v>
      </c>
      <c r="Q84" s="239">
        <v>0</v>
      </c>
      <c r="R84" s="239">
        <v>0</v>
      </c>
      <c r="S84" s="239">
        <v>0</v>
      </c>
      <c r="T84" s="239">
        <v>93.002110000000002</v>
      </c>
      <c r="U84" s="239">
        <v>239.43286000000001</v>
      </c>
      <c r="V84" s="239">
        <v>191.0033</v>
      </c>
      <c r="W84" s="239">
        <v>160.82769999999999</v>
      </c>
      <c r="X84" s="239">
        <v>0</v>
      </c>
      <c r="Y84" s="239">
        <v>0</v>
      </c>
      <c r="Z84" s="239">
        <v>925.66753000000006</v>
      </c>
      <c r="AA84" s="239">
        <v>265.78026999999997</v>
      </c>
      <c r="AB84" s="239">
        <v>0</v>
      </c>
      <c r="AC84" s="239">
        <v>0</v>
      </c>
      <c r="AD84" s="239">
        <v>1</v>
      </c>
      <c r="AE84" s="239" t="s">
        <v>19</v>
      </c>
      <c r="AF84" s="239" t="s">
        <v>718</v>
      </c>
      <c r="AG84" s="239">
        <f t="shared" si="6"/>
        <v>2551.9999986000003</v>
      </c>
      <c r="AH84" s="239">
        <f t="shared" si="7"/>
        <v>0</v>
      </c>
      <c r="AI84" s="239">
        <f t="shared" si="8"/>
        <v>0</v>
      </c>
      <c r="AJ84" s="239">
        <f t="shared" si="9"/>
        <v>2551.9999986000003</v>
      </c>
    </row>
    <row r="85" spans="1:36" x14ac:dyDescent="0.2">
      <c r="A85" s="240" t="str">
        <f t="shared" si="5"/>
        <v>SNBR101212</v>
      </c>
      <c r="B85" s="239" t="s">
        <v>19</v>
      </c>
      <c r="C85" s="239" t="s">
        <v>20</v>
      </c>
      <c r="D85" s="239" t="s">
        <v>2439</v>
      </c>
      <c r="E85" s="239" t="s">
        <v>2440</v>
      </c>
      <c r="F85" s="239" t="s">
        <v>2443</v>
      </c>
      <c r="G85" s="239">
        <v>12</v>
      </c>
      <c r="H85" s="239" t="s">
        <v>928</v>
      </c>
      <c r="I85" s="239" t="s">
        <v>928</v>
      </c>
      <c r="J85" s="239" t="s">
        <v>928</v>
      </c>
      <c r="K85" s="239" t="s">
        <v>2398</v>
      </c>
      <c r="L85" s="239">
        <v>4465.9011399999999</v>
      </c>
      <c r="M85" s="239">
        <v>92.882760000000005</v>
      </c>
      <c r="N85" s="239">
        <v>0</v>
      </c>
      <c r="O85" s="239">
        <v>2729.5780599999998</v>
      </c>
      <c r="P85" s="239">
        <v>0</v>
      </c>
      <c r="Q85" s="239">
        <v>0</v>
      </c>
      <c r="R85" s="239">
        <v>0</v>
      </c>
      <c r="S85" s="239">
        <v>0</v>
      </c>
      <c r="T85" s="239">
        <v>100.41383</v>
      </c>
      <c r="U85" s="239">
        <v>236.20768000000001</v>
      </c>
      <c r="V85" s="239">
        <v>185.88525999999999</v>
      </c>
      <c r="W85" s="239">
        <v>209.03915000000001</v>
      </c>
      <c r="X85" s="239">
        <v>0</v>
      </c>
      <c r="Y85" s="239">
        <v>0</v>
      </c>
      <c r="Z85" s="239">
        <v>743.95284000000004</v>
      </c>
      <c r="AA85" s="239">
        <v>260.82432</v>
      </c>
      <c r="AB85" s="239">
        <v>0</v>
      </c>
      <c r="AC85" s="239">
        <v>0</v>
      </c>
      <c r="AD85" s="239">
        <v>1</v>
      </c>
      <c r="AE85" s="239" t="s">
        <v>19</v>
      </c>
      <c r="AF85" s="239" t="s">
        <v>718</v>
      </c>
      <c r="AG85" s="239">
        <f t="shared" si="6"/>
        <v>2535.3074384824558</v>
      </c>
      <c r="AH85" s="239">
        <f t="shared" si="7"/>
        <v>0</v>
      </c>
      <c r="AI85" s="239">
        <f t="shared" si="8"/>
        <v>0</v>
      </c>
      <c r="AJ85" s="239">
        <f t="shared" si="9"/>
        <v>2535.3074384824558</v>
      </c>
    </row>
    <row r="86" spans="1:36" x14ac:dyDescent="0.2">
      <c r="A86" s="240" t="str">
        <f t="shared" si="5"/>
        <v>7FSNBR1012A12</v>
      </c>
      <c r="B86" s="239" t="s">
        <v>19</v>
      </c>
      <c r="C86" s="239" t="s">
        <v>20</v>
      </c>
      <c r="D86" s="239" t="s">
        <v>2439</v>
      </c>
      <c r="E86" s="239" t="s">
        <v>2440</v>
      </c>
      <c r="F86" s="239" t="s">
        <v>2447</v>
      </c>
      <c r="G86" s="239">
        <v>12</v>
      </c>
      <c r="H86" s="239" t="s">
        <v>928</v>
      </c>
      <c r="I86" s="239" t="s">
        <v>2448</v>
      </c>
      <c r="J86" s="239" t="s">
        <v>928</v>
      </c>
      <c r="K86" s="239" t="s">
        <v>2398</v>
      </c>
      <c r="L86" s="239">
        <v>4588.2</v>
      </c>
      <c r="M86" s="239">
        <v>100</v>
      </c>
      <c r="N86" s="239">
        <v>0</v>
      </c>
      <c r="O86" s="239">
        <v>4588.2</v>
      </c>
      <c r="P86" s="239">
        <v>0</v>
      </c>
      <c r="Q86" s="239">
        <v>0</v>
      </c>
      <c r="R86" s="239">
        <v>0</v>
      </c>
      <c r="S86" s="239">
        <v>0</v>
      </c>
      <c r="T86" s="239">
        <v>0</v>
      </c>
      <c r="U86" s="239">
        <v>0</v>
      </c>
      <c r="V86" s="239">
        <v>0</v>
      </c>
      <c r="W86" s="239">
        <v>0</v>
      </c>
      <c r="X86" s="239">
        <v>0</v>
      </c>
      <c r="Y86" s="239">
        <v>0</v>
      </c>
      <c r="Z86" s="239">
        <v>0</v>
      </c>
      <c r="AA86" s="239">
        <v>0</v>
      </c>
      <c r="AB86" s="239">
        <v>0</v>
      </c>
      <c r="AC86" s="239">
        <v>0</v>
      </c>
      <c r="AD86" s="239">
        <v>1</v>
      </c>
      <c r="AE86" s="239" t="s">
        <v>19</v>
      </c>
      <c r="AF86" s="239" t="s">
        <v>718</v>
      </c>
      <c r="AG86" s="239">
        <f t="shared" si="6"/>
        <v>4588.2</v>
      </c>
      <c r="AH86" s="239">
        <f t="shared" si="7"/>
        <v>0</v>
      </c>
      <c r="AI86" s="239">
        <f t="shared" si="8"/>
        <v>0</v>
      </c>
      <c r="AJ86" s="239">
        <f t="shared" si="9"/>
        <v>4588.2</v>
      </c>
    </row>
    <row r="87" spans="1:36" x14ac:dyDescent="0.2">
      <c r="A87" s="240" t="str">
        <f t="shared" si="5"/>
        <v>SNBR1012A12</v>
      </c>
      <c r="B87" s="239" t="s">
        <v>19</v>
      </c>
      <c r="C87" s="239" t="s">
        <v>20</v>
      </c>
      <c r="D87" s="239" t="s">
        <v>2439</v>
      </c>
      <c r="E87" s="239" t="s">
        <v>2440</v>
      </c>
      <c r="F87" s="239" t="s">
        <v>2447</v>
      </c>
      <c r="G87" s="239">
        <v>12</v>
      </c>
      <c r="H87" s="239" t="s">
        <v>928</v>
      </c>
      <c r="I87" s="239" t="s">
        <v>928</v>
      </c>
      <c r="J87" s="239" t="s">
        <v>928</v>
      </c>
      <c r="K87" s="239" t="s">
        <v>2398</v>
      </c>
      <c r="L87" s="239">
        <v>4588.2000399999997</v>
      </c>
      <c r="M87" s="239">
        <v>100</v>
      </c>
      <c r="N87" s="239">
        <v>0</v>
      </c>
      <c r="O87" s="239">
        <v>4588.2000399999997</v>
      </c>
      <c r="P87" s="239">
        <v>0</v>
      </c>
      <c r="Q87" s="239">
        <v>0</v>
      </c>
      <c r="R87" s="239">
        <v>0</v>
      </c>
      <c r="S87" s="239">
        <v>0</v>
      </c>
      <c r="T87" s="239">
        <v>0</v>
      </c>
      <c r="U87" s="239">
        <v>0</v>
      </c>
      <c r="V87" s="239">
        <v>0</v>
      </c>
      <c r="W87" s="239">
        <v>0</v>
      </c>
      <c r="X87" s="239">
        <v>0</v>
      </c>
      <c r="Y87" s="239">
        <v>0</v>
      </c>
      <c r="Z87" s="239">
        <v>0</v>
      </c>
      <c r="AA87" s="239">
        <v>0</v>
      </c>
      <c r="AB87" s="239">
        <v>0</v>
      </c>
      <c r="AC87" s="239">
        <v>0</v>
      </c>
      <c r="AD87" s="239">
        <v>1</v>
      </c>
      <c r="AE87" s="239" t="s">
        <v>19</v>
      </c>
      <c r="AF87" s="239" t="s">
        <v>718</v>
      </c>
      <c r="AG87" s="239">
        <f t="shared" si="6"/>
        <v>4588.2000399999997</v>
      </c>
      <c r="AH87" s="239">
        <f t="shared" si="7"/>
        <v>0</v>
      </c>
      <c r="AI87" s="239">
        <f t="shared" si="8"/>
        <v>0</v>
      </c>
      <c r="AJ87" s="239">
        <f t="shared" si="9"/>
        <v>4588.2000399999997</v>
      </c>
    </row>
    <row r="88" spans="1:36" x14ac:dyDescent="0.2">
      <c r="A88" s="240" t="str">
        <f t="shared" si="5"/>
        <v>7FTSNBR1012ED12</v>
      </c>
      <c r="B88" s="239" t="s">
        <v>19</v>
      </c>
      <c r="C88" s="239" t="s">
        <v>20</v>
      </c>
      <c r="D88" s="239" t="s">
        <v>2439</v>
      </c>
      <c r="E88" s="239" t="s">
        <v>2440</v>
      </c>
      <c r="F88" s="239" t="s">
        <v>2449</v>
      </c>
      <c r="G88" s="239">
        <v>12</v>
      </c>
      <c r="H88" s="239" t="s">
        <v>928</v>
      </c>
      <c r="I88" s="239" t="s">
        <v>2450</v>
      </c>
      <c r="J88" s="239" t="s">
        <v>928</v>
      </c>
      <c r="K88" s="239" t="s">
        <v>2398</v>
      </c>
      <c r="L88" s="239">
        <v>3605.4</v>
      </c>
      <c r="M88" s="239">
        <v>100</v>
      </c>
      <c r="N88" s="239">
        <v>0</v>
      </c>
      <c r="O88" s="239">
        <v>3605.4</v>
      </c>
      <c r="P88" s="239">
        <v>0</v>
      </c>
      <c r="Q88" s="239">
        <v>0</v>
      </c>
      <c r="R88" s="239">
        <v>0</v>
      </c>
      <c r="S88" s="239">
        <v>0</v>
      </c>
      <c r="T88" s="239">
        <v>0</v>
      </c>
      <c r="U88" s="239">
        <v>0</v>
      </c>
      <c r="V88" s="239">
        <v>0</v>
      </c>
      <c r="W88" s="239">
        <v>0</v>
      </c>
      <c r="X88" s="239">
        <v>0</v>
      </c>
      <c r="Y88" s="239">
        <v>0</v>
      </c>
      <c r="Z88" s="239">
        <v>0</v>
      </c>
      <c r="AA88" s="239">
        <v>0</v>
      </c>
      <c r="AB88" s="239">
        <v>0</v>
      </c>
      <c r="AC88" s="239">
        <v>0</v>
      </c>
      <c r="AD88" s="239">
        <v>1</v>
      </c>
      <c r="AE88" s="239" t="s">
        <v>19</v>
      </c>
      <c r="AF88" s="239" t="s">
        <v>718</v>
      </c>
      <c r="AG88" s="239">
        <f t="shared" si="6"/>
        <v>3605.4</v>
      </c>
      <c r="AH88" s="239">
        <f t="shared" si="7"/>
        <v>0</v>
      </c>
      <c r="AI88" s="239">
        <f t="shared" si="8"/>
        <v>0</v>
      </c>
      <c r="AJ88" s="239">
        <f t="shared" si="9"/>
        <v>3605.4</v>
      </c>
    </row>
    <row r="89" spans="1:36" x14ac:dyDescent="0.2">
      <c r="A89" s="240" t="str">
        <f t="shared" si="5"/>
        <v>SNBR1012ED12</v>
      </c>
      <c r="B89" s="239" t="s">
        <v>19</v>
      </c>
      <c r="C89" s="239" t="s">
        <v>20</v>
      </c>
      <c r="D89" s="239" t="s">
        <v>2439</v>
      </c>
      <c r="E89" s="239" t="s">
        <v>2440</v>
      </c>
      <c r="F89" s="239" t="s">
        <v>2449</v>
      </c>
      <c r="G89" s="239">
        <v>12</v>
      </c>
      <c r="H89" s="239" t="s">
        <v>928</v>
      </c>
      <c r="I89" s="239" t="s">
        <v>928</v>
      </c>
      <c r="J89" s="239" t="s">
        <v>928</v>
      </c>
      <c r="K89" s="239" t="s">
        <v>2398</v>
      </c>
      <c r="L89" s="239">
        <v>3605.3998900000001</v>
      </c>
      <c r="M89" s="239">
        <v>100</v>
      </c>
      <c r="N89" s="239">
        <v>0</v>
      </c>
      <c r="O89" s="239">
        <v>3605.3998900000001</v>
      </c>
      <c r="P89" s="239">
        <v>0</v>
      </c>
      <c r="Q89" s="239">
        <v>0</v>
      </c>
      <c r="R89" s="239">
        <v>0</v>
      </c>
      <c r="S89" s="239">
        <v>0</v>
      </c>
      <c r="T89" s="239">
        <v>0</v>
      </c>
      <c r="U89" s="239">
        <v>0</v>
      </c>
      <c r="V89" s="239">
        <v>0</v>
      </c>
      <c r="W89" s="239">
        <v>0</v>
      </c>
      <c r="X89" s="239">
        <v>0</v>
      </c>
      <c r="Y89" s="239">
        <v>0</v>
      </c>
      <c r="Z89" s="239">
        <v>0</v>
      </c>
      <c r="AA89" s="239">
        <v>0</v>
      </c>
      <c r="AB89" s="239">
        <v>0</v>
      </c>
      <c r="AC89" s="239">
        <v>0</v>
      </c>
      <c r="AD89" s="239">
        <v>1</v>
      </c>
      <c r="AE89" s="239" t="s">
        <v>19</v>
      </c>
      <c r="AF89" s="239" t="s">
        <v>718</v>
      </c>
      <c r="AG89" s="239">
        <f t="shared" si="6"/>
        <v>3605.3998900000001</v>
      </c>
      <c r="AH89" s="239">
        <f t="shared" si="7"/>
        <v>0</v>
      </c>
      <c r="AI89" s="239">
        <f t="shared" si="8"/>
        <v>0</v>
      </c>
      <c r="AJ89" s="239">
        <f t="shared" si="9"/>
        <v>3605.3998900000001</v>
      </c>
    </row>
    <row r="90" spans="1:36" x14ac:dyDescent="0.2">
      <c r="A90" s="240" t="str">
        <f t="shared" si="5"/>
        <v>7FSNBR1012J12</v>
      </c>
      <c r="B90" s="239" t="s">
        <v>19</v>
      </c>
      <c r="C90" s="239" t="s">
        <v>20</v>
      </c>
      <c r="D90" s="239" t="s">
        <v>2439</v>
      </c>
      <c r="E90" s="239" t="s">
        <v>2440</v>
      </c>
      <c r="F90" s="239" t="s">
        <v>2451</v>
      </c>
      <c r="G90" s="239">
        <v>12</v>
      </c>
      <c r="H90" s="239" t="s">
        <v>928</v>
      </c>
      <c r="I90" s="239" t="s">
        <v>2448</v>
      </c>
      <c r="J90" s="239" t="s">
        <v>928</v>
      </c>
      <c r="K90" s="239" t="s">
        <v>2398</v>
      </c>
      <c r="L90" s="239">
        <v>4259.2700000000004</v>
      </c>
      <c r="M90" s="239">
        <v>100</v>
      </c>
      <c r="N90" s="239">
        <v>0</v>
      </c>
      <c r="O90" s="239">
        <v>4259.2700000000004</v>
      </c>
      <c r="P90" s="239">
        <v>0</v>
      </c>
      <c r="Q90" s="239">
        <v>0</v>
      </c>
      <c r="R90" s="239">
        <v>0</v>
      </c>
      <c r="S90" s="239">
        <v>0</v>
      </c>
      <c r="T90" s="239">
        <v>0</v>
      </c>
      <c r="U90" s="239">
        <v>0</v>
      </c>
      <c r="V90" s="239">
        <v>0</v>
      </c>
      <c r="W90" s="239">
        <v>0</v>
      </c>
      <c r="X90" s="239">
        <v>0</v>
      </c>
      <c r="Y90" s="239">
        <v>0</v>
      </c>
      <c r="Z90" s="239">
        <v>0</v>
      </c>
      <c r="AA90" s="239">
        <v>0</v>
      </c>
      <c r="AB90" s="239">
        <v>0</v>
      </c>
      <c r="AC90" s="239">
        <v>0</v>
      </c>
      <c r="AD90" s="239">
        <v>1</v>
      </c>
      <c r="AE90" s="239" t="s">
        <v>19</v>
      </c>
      <c r="AF90" s="239" t="s">
        <v>718</v>
      </c>
      <c r="AG90" s="239">
        <f t="shared" si="6"/>
        <v>4259.2700000000004</v>
      </c>
      <c r="AH90" s="239">
        <f t="shared" si="7"/>
        <v>0</v>
      </c>
      <c r="AI90" s="239">
        <f t="shared" si="8"/>
        <v>0</v>
      </c>
      <c r="AJ90" s="239">
        <f t="shared" si="9"/>
        <v>4259.2700000000004</v>
      </c>
    </row>
    <row r="91" spans="1:36" x14ac:dyDescent="0.2">
      <c r="A91" s="240" t="str">
        <f t="shared" si="5"/>
        <v>SNBR1012J12</v>
      </c>
      <c r="B91" s="239" t="s">
        <v>19</v>
      </c>
      <c r="C91" s="239" t="s">
        <v>20</v>
      </c>
      <c r="D91" s="239" t="s">
        <v>2439</v>
      </c>
      <c r="E91" s="239" t="s">
        <v>2440</v>
      </c>
      <c r="F91" s="239" t="s">
        <v>2451</v>
      </c>
      <c r="G91" s="239">
        <v>12</v>
      </c>
      <c r="H91" s="239" t="s">
        <v>928</v>
      </c>
      <c r="I91" s="239" t="s">
        <v>928</v>
      </c>
      <c r="J91" s="239" t="s">
        <v>928</v>
      </c>
      <c r="K91" s="239" t="s">
        <v>2398</v>
      </c>
      <c r="L91" s="239">
        <v>4259.27009</v>
      </c>
      <c r="M91" s="239">
        <v>100</v>
      </c>
      <c r="N91" s="239">
        <v>0</v>
      </c>
      <c r="O91" s="239">
        <v>4259.27009</v>
      </c>
      <c r="P91" s="239">
        <v>0</v>
      </c>
      <c r="Q91" s="239">
        <v>0</v>
      </c>
      <c r="R91" s="239">
        <v>0</v>
      </c>
      <c r="S91" s="239">
        <v>0</v>
      </c>
      <c r="T91" s="239">
        <v>0</v>
      </c>
      <c r="U91" s="239">
        <v>0</v>
      </c>
      <c r="V91" s="239">
        <v>0</v>
      </c>
      <c r="W91" s="239">
        <v>0</v>
      </c>
      <c r="X91" s="239">
        <v>0</v>
      </c>
      <c r="Y91" s="239">
        <v>0</v>
      </c>
      <c r="Z91" s="239">
        <v>0</v>
      </c>
      <c r="AA91" s="239">
        <v>0</v>
      </c>
      <c r="AB91" s="239">
        <v>0</v>
      </c>
      <c r="AC91" s="239">
        <v>0</v>
      </c>
      <c r="AD91" s="239">
        <v>1</v>
      </c>
      <c r="AE91" s="239" t="s">
        <v>19</v>
      </c>
      <c r="AF91" s="239" t="s">
        <v>718</v>
      </c>
      <c r="AG91" s="239">
        <f t="shared" si="6"/>
        <v>4259.27009</v>
      </c>
      <c r="AH91" s="239">
        <f t="shared" si="7"/>
        <v>0</v>
      </c>
      <c r="AI91" s="239">
        <f t="shared" si="8"/>
        <v>0</v>
      </c>
      <c r="AJ91" s="239">
        <f t="shared" si="9"/>
        <v>4259.27009</v>
      </c>
    </row>
    <row r="92" spans="1:36" x14ac:dyDescent="0.2">
      <c r="A92" s="240" t="str">
        <f t="shared" si="5"/>
        <v>7FSNBR1012JD12</v>
      </c>
      <c r="B92" s="239" t="s">
        <v>19</v>
      </c>
      <c r="C92" s="239" t="s">
        <v>20</v>
      </c>
      <c r="D92" s="239" t="s">
        <v>2439</v>
      </c>
      <c r="E92" s="239" t="s">
        <v>2440</v>
      </c>
      <c r="F92" s="239" t="s">
        <v>2452</v>
      </c>
      <c r="G92" s="239">
        <v>12</v>
      </c>
      <c r="H92" s="239" t="s">
        <v>928</v>
      </c>
      <c r="I92" s="239" t="s">
        <v>2448</v>
      </c>
      <c r="J92" s="239" t="s">
        <v>928</v>
      </c>
      <c r="K92" s="239" t="s">
        <v>2398</v>
      </c>
      <c r="L92" s="239">
        <v>3906.96</v>
      </c>
      <c r="M92" s="239">
        <v>100</v>
      </c>
      <c r="N92" s="239">
        <v>0</v>
      </c>
      <c r="O92" s="239">
        <v>3906.96</v>
      </c>
      <c r="P92" s="239">
        <v>0</v>
      </c>
      <c r="Q92" s="239">
        <v>0</v>
      </c>
      <c r="R92" s="239">
        <v>0</v>
      </c>
      <c r="S92" s="239">
        <v>0</v>
      </c>
      <c r="T92" s="239">
        <v>0</v>
      </c>
      <c r="U92" s="239">
        <v>0</v>
      </c>
      <c r="V92" s="239">
        <v>0</v>
      </c>
      <c r="W92" s="239">
        <v>0</v>
      </c>
      <c r="X92" s="239">
        <v>0</v>
      </c>
      <c r="Y92" s="239">
        <v>0</v>
      </c>
      <c r="Z92" s="239">
        <v>0</v>
      </c>
      <c r="AA92" s="239">
        <v>0</v>
      </c>
      <c r="AB92" s="239">
        <v>0</v>
      </c>
      <c r="AC92" s="239">
        <v>0</v>
      </c>
      <c r="AD92" s="239">
        <v>1</v>
      </c>
      <c r="AE92" s="239" t="s">
        <v>19</v>
      </c>
      <c r="AF92" s="239" t="s">
        <v>718</v>
      </c>
      <c r="AG92" s="239">
        <f t="shared" si="6"/>
        <v>3906.96</v>
      </c>
      <c r="AH92" s="239">
        <f t="shared" si="7"/>
        <v>0</v>
      </c>
      <c r="AI92" s="239">
        <f t="shared" si="8"/>
        <v>0</v>
      </c>
      <c r="AJ92" s="239">
        <f t="shared" si="9"/>
        <v>3906.96</v>
      </c>
    </row>
    <row r="93" spans="1:36" x14ac:dyDescent="0.2">
      <c r="A93" s="240" t="str">
        <f t="shared" si="5"/>
        <v>SNBR1012JD12</v>
      </c>
      <c r="B93" s="239" t="s">
        <v>19</v>
      </c>
      <c r="C93" s="239" t="s">
        <v>20</v>
      </c>
      <c r="D93" s="239" t="s">
        <v>2439</v>
      </c>
      <c r="E93" s="239" t="s">
        <v>2440</v>
      </c>
      <c r="F93" s="239" t="s">
        <v>2452</v>
      </c>
      <c r="G93" s="239">
        <v>12</v>
      </c>
      <c r="H93" s="239" t="s">
        <v>928</v>
      </c>
      <c r="I93" s="239" t="s">
        <v>928</v>
      </c>
      <c r="J93" s="239" t="s">
        <v>928</v>
      </c>
      <c r="K93" s="239" t="s">
        <v>2398</v>
      </c>
      <c r="L93" s="239">
        <v>3906.9598799999999</v>
      </c>
      <c r="M93" s="239">
        <v>100</v>
      </c>
      <c r="N93" s="239">
        <v>0</v>
      </c>
      <c r="O93" s="239">
        <v>3906.9598799999999</v>
      </c>
      <c r="P93" s="239">
        <v>0</v>
      </c>
      <c r="Q93" s="239">
        <v>0</v>
      </c>
      <c r="R93" s="239">
        <v>0</v>
      </c>
      <c r="S93" s="239">
        <v>0</v>
      </c>
      <c r="T93" s="239">
        <v>0</v>
      </c>
      <c r="U93" s="239">
        <v>0</v>
      </c>
      <c r="V93" s="239">
        <v>0</v>
      </c>
      <c r="W93" s="239">
        <v>0</v>
      </c>
      <c r="X93" s="239">
        <v>0</v>
      </c>
      <c r="Y93" s="239">
        <v>0</v>
      </c>
      <c r="Z93" s="239">
        <v>0</v>
      </c>
      <c r="AA93" s="239">
        <v>0</v>
      </c>
      <c r="AB93" s="239">
        <v>0</v>
      </c>
      <c r="AC93" s="239">
        <v>0</v>
      </c>
      <c r="AD93" s="239">
        <v>1</v>
      </c>
      <c r="AE93" s="239" t="s">
        <v>19</v>
      </c>
      <c r="AF93" s="239" t="s">
        <v>718</v>
      </c>
      <c r="AG93" s="239">
        <f t="shared" si="6"/>
        <v>3906.9598800000003</v>
      </c>
      <c r="AH93" s="239">
        <f t="shared" si="7"/>
        <v>0</v>
      </c>
      <c r="AI93" s="239">
        <f t="shared" si="8"/>
        <v>0</v>
      </c>
      <c r="AJ93" s="239">
        <f t="shared" si="9"/>
        <v>3906.9598800000003</v>
      </c>
    </row>
    <row r="94" spans="1:36" x14ac:dyDescent="0.2">
      <c r="A94" s="240" t="str">
        <f t="shared" si="5"/>
        <v>3M5SNBR1012M12</v>
      </c>
      <c r="B94" s="239" t="s">
        <v>19</v>
      </c>
      <c r="C94" s="239" t="s">
        <v>20</v>
      </c>
      <c r="D94" s="239" t="s">
        <v>2439</v>
      </c>
      <c r="E94" s="239" t="s">
        <v>2440</v>
      </c>
      <c r="F94" s="239" t="s">
        <v>2453</v>
      </c>
      <c r="G94" s="239">
        <v>12</v>
      </c>
      <c r="H94" s="239" t="s">
        <v>928</v>
      </c>
      <c r="I94" s="239" t="s">
        <v>2405</v>
      </c>
      <c r="J94" s="239" t="s">
        <v>928</v>
      </c>
      <c r="K94" s="239" t="s">
        <v>2398</v>
      </c>
      <c r="L94" s="239">
        <v>4619.79979</v>
      </c>
      <c r="M94" s="239">
        <v>93</v>
      </c>
      <c r="N94" s="239">
        <v>0</v>
      </c>
      <c r="O94" s="239">
        <v>2744.0860200000002</v>
      </c>
      <c r="P94" s="239">
        <v>0</v>
      </c>
      <c r="Q94" s="239">
        <v>0</v>
      </c>
      <c r="R94" s="239">
        <v>0</v>
      </c>
      <c r="S94" s="239">
        <v>0</v>
      </c>
      <c r="T94" s="239">
        <v>93.002110000000002</v>
      </c>
      <c r="U94" s="239">
        <v>239.43286000000001</v>
      </c>
      <c r="V94" s="239">
        <v>191.0033</v>
      </c>
      <c r="W94" s="239">
        <v>160.82769999999999</v>
      </c>
      <c r="X94" s="239">
        <v>0</v>
      </c>
      <c r="Y94" s="239">
        <v>0</v>
      </c>
      <c r="Z94" s="239">
        <v>925.66753000000006</v>
      </c>
      <c r="AA94" s="239">
        <v>265.78026999999997</v>
      </c>
      <c r="AB94" s="239">
        <v>0</v>
      </c>
      <c r="AC94" s="239">
        <v>0</v>
      </c>
      <c r="AD94" s="239">
        <v>1</v>
      </c>
      <c r="AE94" s="239" t="s">
        <v>19</v>
      </c>
      <c r="AF94" s="239" t="s">
        <v>718</v>
      </c>
      <c r="AG94" s="239">
        <f t="shared" si="6"/>
        <v>2551.9999986000003</v>
      </c>
      <c r="AH94" s="239">
        <f t="shared" si="7"/>
        <v>0</v>
      </c>
      <c r="AI94" s="239">
        <f t="shared" si="8"/>
        <v>0</v>
      </c>
      <c r="AJ94" s="239">
        <f t="shared" si="9"/>
        <v>2551.9999986000003</v>
      </c>
    </row>
    <row r="95" spans="1:36" x14ac:dyDescent="0.2">
      <c r="A95" s="240" t="str">
        <f t="shared" si="5"/>
        <v>SNBR1012M12</v>
      </c>
      <c r="B95" s="239" t="s">
        <v>19</v>
      </c>
      <c r="C95" s="239" t="s">
        <v>20</v>
      </c>
      <c r="D95" s="239" t="s">
        <v>2439</v>
      </c>
      <c r="E95" s="239" t="s">
        <v>2440</v>
      </c>
      <c r="F95" s="239" t="s">
        <v>2453</v>
      </c>
      <c r="G95" s="239">
        <v>12</v>
      </c>
      <c r="H95" s="239" t="s">
        <v>928</v>
      </c>
      <c r="I95" s="239" t="s">
        <v>928</v>
      </c>
      <c r="J95" s="239" t="s">
        <v>928</v>
      </c>
      <c r="K95" s="239" t="s">
        <v>2398</v>
      </c>
      <c r="L95" s="239">
        <v>4619.7993800000004</v>
      </c>
      <c r="M95" s="239">
        <v>93</v>
      </c>
      <c r="N95" s="239">
        <v>0</v>
      </c>
      <c r="O95" s="239">
        <v>2744.0855299999998</v>
      </c>
      <c r="P95" s="239">
        <v>0</v>
      </c>
      <c r="Q95" s="239">
        <v>0</v>
      </c>
      <c r="R95" s="239">
        <v>0</v>
      </c>
      <c r="S95" s="239">
        <v>0</v>
      </c>
      <c r="T95" s="239">
        <v>93.002449999999996</v>
      </c>
      <c r="U95" s="239">
        <v>239.43295000000001</v>
      </c>
      <c r="V95" s="239">
        <v>191.00287</v>
      </c>
      <c r="W95" s="239">
        <v>160.82705000000001</v>
      </c>
      <c r="X95" s="239">
        <v>0</v>
      </c>
      <c r="Y95" s="239">
        <v>0</v>
      </c>
      <c r="Z95" s="239">
        <v>925.66810999999996</v>
      </c>
      <c r="AA95" s="239">
        <v>265.78041999999999</v>
      </c>
      <c r="AB95" s="239">
        <v>0</v>
      </c>
      <c r="AC95" s="239">
        <v>0</v>
      </c>
      <c r="AD95" s="239">
        <v>1</v>
      </c>
      <c r="AE95" s="239" t="s">
        <v>19</v>
      </c>
      <c r="AF95" s="239" t="s">
        <v>718</v>
      </c>
      <c r="AG95" s="239">
        <f t="shared" si="6"/>
        <v>2551.9995429000001</v>
      </c>
      <c r="AH95" s="239">
        <f t="shared" si="7"/>
        <v>0</v>
      </c>
      <c r="AI95" s="239">
        <f t="shared" si="8"/>
        <v>0</v>
      </c>
      <c r="AJ95" s="239">
        <f t="shared" si="9"/>
        <v>2551.9995429000001</v>
      </c>
    </row>
    <row r="96" spans="1:36" x14ac:dyDescent="0.2">
      <c r="A96" s="240" t="str">
        <f t="shared" si="5"/>
        <v>7FTSNBR1012TJ12</v>
      </c>
      <c r="B96" s="239" t="s">
        <v>19</v>
      </c>
      <c r="C96" s="239" t="s">
        <v>20</v>
      </c>
      <c r="D96" s="239" t="s">
        <v>2439</v>
      </c>
      <c r="E96" s="239" t="s">
        <v>2440</v>
      </c>
      <c r="F96" s="239" t="s">
        <v>2454</v>
      </c>
      <c r="G96" s="239">
        <v>12</v>
      </c>
      <c r="H96" s="239" t="s">
        <v>928</v>
      </c>
      <c r="I96" s="239" t="s">
        <v>2450</v>
      </c>
      <c r="J96" s="239" t="s">
        <v>928</v>
      </c>
      <c r="K96" s="239" t="s">
        <v>2398</v>
      </c>
      <c r="L96" s="239">
        <v>3965.76</v>
      </c>
      <c r="M96" s="239">
        <v>100</v>
      </c>
      <c r="N96" s="239">
        <v>0</v>
      </c>
      <c r="O96" s="239">
        <v>3965.76</v>
      </c>
      <c r="P96" s="239">
        <v>0</v>
      </c>
      <c r="Q96" s="239">
        <v>0</v>
      </c>
      <c r="R96" s="239">
        <v>0</v>
      </c>
      <c r="S96" s="239">
        <v>0</v>
      </c>
      <c r="T96" s="239">
        <v>0</v>
      </c>
      <c r="U96" s="239">
        <v>0</v>
      </c>
      <c r="V96" s="239">
        <v>0</v>
      </c>
      <c r="W96" s="239">
        <v>0</v>
      </c>
      <c r="X96" s="239">
        <v>0</v>
      </c>
      <c r="Y96" s="239">
        <v>0</v>
      </c>
      <c r="Z96" s="239">
        <v>0</v>
      </c>
      <c r="AA96" s="239">
        <v>0</v>
      </c>
      <c r="AB96" s="239">
        <v>0</v>
      </c>
      <c r="AC96" s="239">
        <v>0</v>
      </c>
      <c r="AD96" s="239">
        <v>1</v>
      </c>
      <c r="AE96" s="239" t="s">
        <v>19</v>
      </c>
      <c r="AF96" s="239" t="s">
        <v>718</v>
      </c>
      <c r="AG96" s="239">
        <f t="shared" si="6"/>
        <v>3965.76</v>
      </c>
      <c r="AH96" s="239">
        <f t="shared" si="7"/>
        <v>0</v>
      </c>
      <c r="AI96" s="239">
        <f t="shared" si="8"/>
        <v>0</v>
      </c>
      <c r="AJ96" s="239">
        <f t="shared" si="9"/>
        <v>3965.76</v>
      </c>
    </row>
    <row r="97" spans="1:36" x14ac:dyDescent="0.2">
      <c r="A97" s="240" t="str">
        <f t="shared" si="5"/>
        <v>SNBR1012TJ12</v>
      </c>
      <c r="B97" s="239" t="s">
        <v>19</v>
      </c>
      <c r="C97" s="239" t="s">
        <v>20</v>
      </c>
      <c r="D97" s="239" t="s">
        <v>2439</v>
      </c>
      <c r="E97" s="239" t="s">
        <v>2440</v>
      </c>
      <c r="F97" s="239" t="s">
        <v>2454</v>
      </c>
      <c r="G97" s="239">
        <v>12</v>
      </c>
      <c r="H97" s="239" t="s">
        <v>928</v>
      </c>
      <c r="I97" s="239" t="s">
        <v>928</v>
      </c>
      <c r="J97" s="239" t="s">
        <v>928</v>
      </c>
      <c r="K97" s="239" t="s">
        <v>2398</v>
      </c>
      <c r="L97" s="239">
        <v>3965.7599300000002</v>
      </c>
      <c r="M97" s="239">
        <v>100</v>
      </c>
      <c r="N97" s="239">
        <v>0</v>
      </c>
      <c r="O97" s="239">
        <v>3965.7599300000002</v>
      </c>
      <c r="P97" s="239">
        <v>0</v>
      </c>
      <c r="Q97" s="239">
        <v>0</v>
      </c>
      <c r="R97" s="239">
        <v>0</v>
      </c>
      <c r="S97" s="239">
        <v>0</v>
      </c>
      <c r="T97" s="239">
        <v>0</v>
      </c>
      <c r="U97" s="239">
        <v>0</v>
      </c>
      <c r="V97" s="239">
        <v>0</v>
      </c>
      <c r="W97" s="239">
        <v>0</v>
      </c>
      <c r="X97" s="239">
        <v>0</v>
      </c>
      <c r="Y97" s="239">
        <v>0</v>
      </c>
      <c r="Z97" s="239">
        <v>0</v>
      </c>
      <c r="AA97" s="239">
        <v>0</v>
      </c>
      <c r="AB97" s="239">
        <v>0</v>
      </c>
      <c r="AC97" s="239">
        <v>0</v>
      </c>
      <c r="AD97" s="239">
        <v>1</v>
      </c>
      <c r="AE97" s="239" t="s">
        <v>19</v>
      </c>
      <c r="AF97" s="239" t="s">
        <v>718</v>
      </c>
      <c r="AG97" s="239">
        <f t="shared" si="6"/>
        <v>3965.7599300000002</v>
      </c>
      <c r="AH97" s="239">
        <f t="shared" si="7"/>
        <v>0</v>
      </c>
      <c r="AI97" s="239">
        <f t="shared" si="8"/>
        <v>0</v>
      </c>
      <c r="AJ97" s="239">
        <f t="shared" si="9"/>
        <v>3965.7599300000002</v>
      </c>
    </row>
    <row r="98" spans="1:36" x14ac:dyDescent="0.2">
      <c r="A98" s="240" t="str">
        <f t="shared" si="5"/>
        <v>3A5SNBR101912</v>
      </c>
      <c r="B98" s="239" t="s">
        <v>19</v>
      </c>
      <c r="C98" s="239" t="s">
        <v>20</v>
      </c>
      <c r="D98" s="239" t="s">
        <v>2439</v>
      </c>
      <c r="E98" s="239" t="s">
        <v>2440</v>
      </c>
      <c r="F98" s="239" t="s">
        <v>2455</v>
      </c>
      <c r="G98" s="239">
        <v>12</v>
      </c>
      <c r="H98" s="239" t="s">
        <v>928</v>
      </c>
      <c r="I98" s="239" t="s">
        <v>2456</v>
      </c>
      <c r="J98" s="239" t="s">
        <v>928</v>
      </c>
      <c r="K98" s="239" t="s">
        <v>2398</v>
      </c>
      <c r="L98" s="239">
        <v>5928.30854</v>
      </c>
      <c r="M98" s="239">
        <v>90</v>
      </c>
      <c r="N98" s="239">
        <v>0</v>
      </c>
      <c r="O98" s="239">
        <v>2835.5555599999998</v>
      </c>
      <c r="P98" s="239">
        <v>0</v>
      </c>
      <c r="Q98" s="239">
        <v>0</v>
      </c>
      <c r="R98" s="239">
        <v>0</v>
      </c>
      <c r="S98" s="239">
        <v>0</v>
      </c>
      <c r="T98" s="239">
        <v>93.002110000000002</v>
      </c>
      <c r="U98" s="239">
        <v>682.17726000000005</v>
      </c>
      <c r="V98" s="239">
        <v>197.0034</v>
      </c>
      <c r="W98" s="239">
        <v>272.92759000000001</v>
      </c>
      <c r="X98" s="239">
        <v>0</v>
      </c>
      <c r="Y98" s="239">
        <v>0</v>
      </c>
      <c r="Z98" s="239">
        <v>1409.10518</v>
      </c>
      <c r="AA98" s="239">
        <v>438.53744</v>
      </c>
      <c r="AB98" s="239">
        <v>0</v>
      </c>
      <c r="AC98" s="239">
        <v>0</v>
      </c>
      <c r="AD98" s="239">
        <v>1</v>
      </c>
      <c r="AE98" s="239" t="s">
        <v>19</v>
      </c>
      <c r="AF98" s="239" t="s">
        <v>718</v>
      </c>
      <c r="AG98" s="239">
        <f t="shared" si="6"/>
        <v>2552.000004</v>
      </c>
      <c r="AH98" s="239">
        <f t="shared" si="7"/>
        <v>0</v>
      </c>
      <c r="AI98" s="239">
        <f t="shared" si="8"/>
        <v>0</v>
      </c>
      <c r="AJ98" s="239">
        <f t="shared" si="9"/>
        <v>2552.000004</v>
      </c>
    </row>
    <row r="99" spans="1:36" x14ac:dyDescent="0.2">
      <c r="A99" s="240" t="str">
        <f t="shared" si="5"/>
        <v>SNBR101912</v>
      </c>
      <c r="B99" s="239" t="s">
        <v>19</v>
      </c>
      <c r="C99" s="239" t="s">
        <v>20</v>
      </c>
      <c r="D99" s="239" t="s">
        <v>2439</v>
      </c>
      <c r="E99" s="239" t="s">
        <v>2440</v>
      </c>
      <c r="F99" s="239" t="s">
        <v>2455</v>
      </c>
      <c r="G99" s="239">
        <v>12</v>
      </c>
      <c r="H99" s="239" t="s">
        <v>928</v>
      </c>
      <c r="I99" s="239" t="s">
        <v>928</v>
      </c>
      <c r="J99" s="239" t="s">
        <v>928</v>
      </c>
      <c r="K99" s="239" t="s">
        <v>2398</v>
      </c>
      <c r="L99" s="239">
        <v>5928.3050700000003</v>
      </c>
      <c r="M99" s="239">
        <v>90</v>
      </c>
      <c r="N99" s="239">
        <v>0</v>
      </c>
      <c r="O99" s="239">
        <v>2835.5593199999998</v>
      </c>
      <c r="P99" s="239">
        <v>0</v>
      </c>
      <c r="Q99" s="239">
        <v>0</v>
      </c>
      <c r="R99" s="239">
        <v>0</v>
      </c>
      <c r="S99" s="239">
        <v>0</v>
      </c>
      <c r="T99" s="239">
        <v>93</v>
      </c>
      <c r="U99" s="239">
        <v>682.16949</v>
      </c>
      <c r="V99" s="239">
        <v>197</v>
      </c>
      <c r="W99" s="239">
        <v>272.93220000000002</v>
      </c>
      <c r="X99" s="239">
        <v>0</v>
      </c>
      <c r="Y99" s="239">
        <v>0</v>
      </c>
      <c r="Z99" s="239">
        <v>1409.10169</v>
      </c>
      <c r="AA99" s="239">
        <v>438.54237000000001</v>
      </c>
      <c r="AB99" s="239">
        <v>0</v>
      </c>
      <c r="AC99" s="239">
        <v>0</v>
      </c>
      <c r="AD99" s="239">
        <v>1</v>
      </c>
      <c r="AE99" s="239" t="s">
        <v>19</v>
      </c>
      <c r="AF99" s="239" t="s">
        <v>718</v>
      </c>
      <c r="AG99" s="239">
        <f t="shared" si="6"/>
        <v>2552.0033880000001</v>
      </c>
      <c r="AH99" s="239">
        <f t="shared" si="7"/>
        <v>0</v>
      </c>
      <c r="AI99" s="239">
        <f t="shared" si="8"/>
        <v>0</v>
      </c>
      <c r="AJ99" s="239">
        <f t="shared" si="9"/>
        <v>2552.0033880000001</v>
      </c>
    </row>
    <row r="100" spans="1:36" x14ac:dyDescent="0.2">
      <c r="A100" s="240" t="str">
        <f t="shared" si="5"/>
        <v>3B7SNBR106212</v>
      </c>
      <c r="B100" s="239" t="s">
        <v>19</v>
      </c>
      <c r="C100" s="239" t="s">
        <v>20</v>
      </c>
      <c r="D100" s="239" t="s">
        <v>2439</v>
      </c>
      <c r="E100" s="239" t="s">
        <v>2440</v>
      </c>
      <c r="F100" s="239" t="s">
        <v>2457</v>
      </c>
      <c r="G100" s="239">
        <v>12</v>
      </c>
      <c r="H100" s="239" t="s">
        <v>928</v>
      </c>
      <c r="I100" s="239" t="s">
        <v>2444</v>
      </c>
      <c r="J100" s="239" t="s">
        <v>928</v>
      </c>
      <c r="K100" s="239" t="s">
        <v>2398</v>
      </c>
      <c r="L100" s="239">
        <v>4399.86474</v>
      </c>
      <c r="M100" s="239">
        <v>92.5</v>
      </c>
      <c r="N100" s="239">
        <v>0</v>
      </c>
      <c r="O100" s="239">
        <v>2724.3243200000002</v>
      </c>
      <c r="P100" s="239">
        <v>0</v>
      </c>
      <c r="Q100" s="239">
        <v>0</v>
      </c>
      <c r="R100" s="239">
        <v>0</v>
      </c>
      <c r="S100" s="239">
        <v>0</v>
      </c>
      <c r="T100" s="239">
        <v>91.00206</v>
      </c>
      <c r="U100" s="239">
        <v>238.40083000000001</v>
      </c>
      <c r="V100" s="239">
        <v>166.00287</v>
      </c>
      <c r="W100" s="239">
        <v>222.02988999999999</v>
      </c>
      <c r="X100" s="239">
        <v>0</v>
      </c>
      <c r="Y100" s="239">
        <v>0</v>
      </c>
      <c r="Z100" s="239">
        <v>706.56272999999999</v>
      </c>
      <c r="AA100" s="239">
        <v>251.54203999999999</v>
      </c>
      <c r="AB100" s="239">
        <v>0</v>
      </c>
      <c r="AC100" s="239">
        <v>0</v>
      </c>
      <c r="AD100" s="239">
        <v>1</v>
      </c>
      <c r="AE100" s="239" t="s">
        <v>19</v>
      </c>
      <c r="AF100" s="239" t="s">
        <v>718</v>
      </c>
      <c r="AG100" s="239">
        <f t="shared" si="6"/>
        <v>2519.999996</v>
      </c>
      <c r="AH100" s="239">
        <f t="shared" si="7"/>
        <v>0</v>
      </c>
      <c r="AI100" s="239">
        <f t="shared" si="8"/>
        <v>0</v>
      </c>
      <c r="AJ100" s="239">
        <f t="shared" si="9"/>
        <v>2519.999996</v>
      </c>
    </row>
    <row r="101" spans="1:36" x14ac:dyDescent="0.2">
      <c r="A101" s="240" t="str">
        <f t="shared" si="5"/>
        <v>SNBR106212</v>
      </c>
      <c r="B101" s="239" t="s">
        <v>19</v>
      </c>
      <c r="C101" s="239" t="s">
        <v>20</v>
      </c>
      <c r="D101" s="239" t="s">
        <v>2439</v>
      </c>
      <c r="E101" s="239" t="s">
        <v>2440</v>
      </c>
      <c r="F101" s="239" t="s">
        <v>2457</v>
      </c>
      <c r="G101" s="239">
        <v>12</v>
      </c>
      <c r="H101" s="239" t="s">
        <v>928</v>
      </c>
      <c r="I101" s="239" t="s">
        <v>928</v>
      </c>
      <c r="J101" s="239" t="s">
        <v>928</v>
      </c>
      <c r="K101" s="239" t="s">
        <v>2398</v>
      </c>
      <c r="L101" s="239">
        <v>4399.87158</v>
      </c>
      <c r="M101" s="239">
        <v>92.5</v>
      </c>
      <c r="N101" s="239">
        <v>0</v>
      </c>
      <c r="O101" s="239">
        <v>2724.3215500000001</v>
      </c>
      <c r="P101" s="239">
        <v>0</v>
      </c>
      <c r="Q101" s="239">
        <v>0</v>
      </c>
      <c r="R101" s="239">
        <v>0</v>
      </c>
      <c r="S101" s="239">
        <v>0</v>
      </c>
      <c r="T101" s="239">
        <v>91.002480000000006</v>
      </c>
      <c r="U101" s="239">
        <v>238.40424999999999</v>
      </c>
      <c r="V101" s="239">
        <v>166.00461999999999</v>
      </c>
      <c r="W101" s="239">
        <v>222.02722</v>
      </c>
      <c r="X101" s="239">
        <v>0</v>
      </c>
      <c r="Y101" s="239">
        <v>0</v>
      </c>
      <c r="Z101" s="239">
        <v>706.56622000000004</v>
      </c>
      <c r="AA101" s="239">
        <v>251.54524000000001</v>
      </c>
      <c r="AB101" s="239">
        <v>0</v>
      </c>
      <c r="AC101" s="239">
        <v>0</v>
      </c>
      <c r="AD101" s="239">
        <v>1</v>
      </c>
      <c r="AE101" s="239" t="s">
        <v>19</v>
      </c>
      <c r="AF101" s="239" t="s">
        <v>718</v>
      </c>
      <c r="AG101" s="239">
        <f t="shared" si="6"/>
        <v>2519.9974337500003</v>
      </c>
      <c r="AH101" s="239">
        <f t="shared" si="7"/>
        <v>0</v>
      </c>
      <c r="AI101" s="239">
        <f t="shared" si="8"/>
        <v>0</v>
      </c>
      <c r="AJ101" s="239">
        <f t="shared" si="9"/>
        <v>2519.9974337500003</v>
      </c>
    </row>
    <row r="102" spans="1:36" x14ac:dyDescent="0.2">
      <c r="A102" s="240" t="str">
        <f t="shared" si="5"/>
        <v>3ASNBR107525</v>
      </c>
      <c r="B102" s="239" t="s">
        <v>19</v>
      </c>
      <c r="C102" s="239" t="s">
        <v>20</v>
      </c>
      <c r="D102" s="239" t="s">
        <v>2439</v>
      </c>
      <c r="E102" s="239" t="s">
        <v>2440</v>
      </c>
      <c r="F102" s="239" t="s">
        <v>2458</v>
      </c>
      <c r="G102" s="239">
        <v>25</v>
      </c>
      <c r="H102" s="239" t="s">
        <v>928</v>
      </c>
      <c r="I102" s="239" t="s">
        <v>2401</v>
      </c>
      <c r="J102" s="239" t="s">
        <v>928</v>
      </c>
      <c r="K102" s="239" t="s">
        <v>2398</v>
      </c>
      <c r="L102" s="239">
        <v>13997.53897</v>
      </c>
      <c r="M102" s="239">
        <v>91.5</v>
      </c>
      <c r="N102" s="239">
        <v>0</v>
      </c>
      <c r="O102" s="239">
        <v>8472.6776000000009</v>
      </c>
      <c r="P102" s="239">
        <v>0</v>
      </c>
      <c r="Q102" s="239">
        <v>0</v>
      </c>
      <c r="R102" s="239">
        <v>0</v>
      </c>
      <c r="S102" s="239">
        <v>0</v>
      </c>
      <c r="T102" s="239">
        <v>259.00587000000002</v>
      </c>
      <c r="U102" s="239">
        <v>647.08795999999995</v>
      </c>
      <c r="V102" s="239">
        <v>548.00945999999999</v>
      </c>
      <c r="W102" s="239">
        <v>780.57272999999998</v>
      </c>
      <c r="X102" s="239">
        <v>0</v>
      </c>
      <c r="Y102" s="239">
        <v>0</v>
      </c>
      <c r="Z102" s="239">
        <v>2309.6460099999999</v>
      </c>
      <c r="AA102" s="239">
        <v>980.53934000000004</v>
      </c>
      <c r="AB102" s="239">
        <v>0</v>
      </c>
      <c r="AC102" s="239">
        <v>0</v>
      </c>
      <c r="AD102" s="239">
        <v>1</v>
      </c>
      <c r="AE102" s="239" t="s">
        <v>19</v>
      </c>
      <c r="AF102" s="239" t="s">
        <v>718</v>
      </c>
      <c r="AG102" s="239">
        <f t="shared" si="6"/>
        <v>7752.5000040000014</v>
      </c>
      <c r="AH102" s="239">
        <f t="shared" si="7"/>
        <v>0</v>
      </c>
      <c r="AI102" s="239">
        <f t="shared" si="8"/>
        <v>0</v>
      </c>
      <c r="AJ102" s="239">
        <f t="shared" si="9"/>
        <v>7752.5000040000014</v>
      </c>
    </row>
    <row r="103" spans="1:36" x14ac:dyDescent="0.2">
      <c r="A103" s="240" t="str">
        <f t="shared" si="5"/>
        <v>SNBR107525</v>
      </c>
      <c r="B103" s="239" t="s">
        <v>19</v>
      </c>
      <c r="C103" s="239" t="s">
        <v>20</v>
      </c>
      <c r="D103" s="239" t="s">
        <v>2439</v>
      </c>
      <c r="E103" s="239" t="s">
        <v>2440</v>
      </c>
      <c r="F103" s="239" t="s">
        <v>2458</v>
      </c>
      <c r="G103" s="239">
        <v>25</v>
      </c>
      <c r="H103" s="239" t="s">
        <v>928</v>
      </c>
      <c r="I103" s="239" t="s">
        <v>928</v>
      </c>
      <c r="J103" s="239" t="s">
        <v>928</v>
      </c>
      <c r="K103" s="239" t="s">
        <v>2398</v>
      </c>
      <c r="L103" s="239">
        <v>13997.539000000001</v>
      </c>
      <c r="M103" s="239">
        <v>91.5</v>
      </c>
      <c r="N103" s="239">
        <v>0</v>
      </c>
      <c r="O103" s="239">
        <v>8472.6766800000005</v>
      </c>
      <c r="P103" s="239">
        <v>0</v>
      </c>
      <c r="Q103" s="239">
        <v>0</v>
      </c>
      <c r="R103" s="239">
        <v>0</v>
      </c>
      <c r="S103" s="239">
        <v>0</v>
      </c>
      <c r="T103" s="239">
        <v>259.00554</v>
      </c>
      <c r="U103" s="239">
        <v>647.08786999999995</v>
      </c>
      <c r="V103" s="239">
        <v>548.00982999999997</v>
      </c>
      <c r="W103" s="239">
        <v>780.57316000000003</v>
      </c>
      <c r="X103" s="239">
        <v>0</v>
      </c>
      <c r="Y103" s="239">
        <v>0</v>
      </c>
      <c r="Z103" s="239">
        <v>2309.6463100000001</v>
      </c>
      <c r="AA103" s="239">
        <v>980.53961000000004</v>
      </c>
      <c r="AB103" s="239">
        <v>0</v>
      </c>
      <c r="AC103" s="239">
        <v>0</v>
      </c>
      <c r="AD103" s="239">
        <v>1</v>
      </c>
      <c r="AE103" s="239" t="s">
        <v>19</v>
      </c>
      <c r="AF103" s="239" t="s">
        <v>718</v>
      </c>
      <c r="AG103" s="239">
        <f t="shared" si="6"/>
        <v>7752.4991621999998</v>
      </c>
      <c r="AH103" s="239">
        <f t="shared" si="7"/>
        <v>0</v>
      </c>
      <c r="AI103" s="239">
        <f t="shared" si="8"/>
        <v>0</v>
      </c>
      <c r="AJ103" s="239">
        <f t="shared" si="9"/>
        <v>7752.4991621999998</v>
      </c>
    </row>
    <row r="104" spans="1:36" x14ac:dyDescent="0.2">
      <c r="A104" s="240" t="str">
        <f t="shared" si="5"/>
        <v>3ASNBR1075N25</v>
      </c>
      <c r="B104" s="239" t="s">
        <v>19</v>
      </c>
      <c r="C104" s="239" t="s">
        <v>20</v>
      </c>
      <c r="D104" s="239" t="s">
        <v>2439</v>
      </c>
      <c r="E104" s="239" t="s">
        <v>2440</v>
      </c>
      <c r="F104" s="239" t="s">
        <v>2459</v>
      </c>
      <c r="G104" s="239">
        <v>25</v>
      </c>
      <c r="H104" s="239" t="s">
        <v>928</v>
      </c>
      <c r="I104" s="239" t="s">
        <v>2401</v>
      </c>
      <c r="J104" s="239" t="s">
        <v>928</v>
      </c>
      <c r="K104" s="239" t="s">
        <v>2398</v>
      </c>
      <c r="L104" s="239">
        <v>13997.53897</v>
      </c>
      <c r="M104" s="239">
        <v>91.5</v>
      </c>
      <c r="N104" s="239">
        <v>0</v>
      </c>
      <c r="O104" s="239">
        <v>8472.6776000000009</v>
      </c>
      <c r="P104" s="239">
        <v>0</v>
      </c>
      <c r="Q104" s="239">
        <v>0</v>
      </c>
      <c r="R104" s="239">
        <v>0</v>
      </c>
      <c r="S104" s="239">
        <v>0</v>
      </c>
      <c r="T104" s="239">
        <v>259.00587000000002</v>
      </c>
      <c r="U104" s="239">
        <v>647.08795999999995</v>
      </c>
      <c r="V104" s="239">
        <v>548.00945999999999</v>
      </c>
      <c r="W104" s="239">
        <v>780.57272999999998</v>
      </c>
      <c r="X104" s="239">
        <v>0</v>
      </c>
      <c r="Y104" s="239">
        <v>0</v>
      </c>
      <c r="Z104" s="239">
        <v>2309.6460099999999</v>
      </c>
      <c r="AA104" s="239">
        <v>980.53934000000004</v>
      </c>
      <c r="AB104" s="239">
        <v>0</v>
      </c>
      <c r="AC104" s="239">
        <v>0</v>
      </c>
      <c r="AD104" s="239">
        <v>1</v>
      </c>
      <c r="AE104" s="239" t="s">
        <v>19</v>
      </c>
      <c r="AF104" s="239" t="s">
        <v>718</v>
      </c>
      <c r="AG104" s="239">
        <f t="shared" si="6"/>
        <v>7752.5000040000014</v>
      </c>
      <c r="AH104" s="239">
        <f t="shared" si="7"/>
        <v>0</v>
      </c>
      <c r="AI104" s="239">
        <f t="shared" si="8"/>
        <v>0</v>
      </c>
      <c r="AJ104" s="239">
        <f t="shared" si="9"/>
        <v>7752.5000040000014</v>
      </c>
    </row>
    <row r="105" spans="1:36" x14ac:dyDescent="0.2">
      <c r="A105" s="240" t="str">
        <f t="shared" si="5"/>
        <v>SNBR1075N25</v>
      </c>
      <c r="B105" s="239" t="s">
        <v>19</v>
      </c>
      <c r="C105" s="239" t="s">
        <v>20</v>
      </c>
      <c r="D105" s="239" t="s">
        <v>2439</v>
      </c>
      <c r="E105" s="239" t="s">
        <v>2440</v>
      </c>
      <c r="F105" s="239" t="s">
        <v>2459</v>
      </c>
      <c r="G105" s="239">
        <v>25</v>
      </c>
      <c r="H105" s="239" t="s">
        <v>928</v>
      </c>
      <c r="I105" s="239" t="s">
        <v>928</v>
      </c>
      <c r="J105" s="239" t="s">
        <v>928</v>
      </c>
      <c r="K105" s="239" t="s">
        <v>2398</v>
      </c>
      <c r="L105" s="239">
        <v>13997.551009999999</v>
      </c>
      <c r="M105" s="239">
        <v>91.5</v>
      </c>
      <c r="N105" s="239">
        <v>0</v>
      </c>
      <c r="O105" s="239">
        <v>8472.6822599999996</v>
      </c>
      <c r="P105" s="239">
        <v>0</v>
      </c>
      <c r="Q105" s="239">
        <v>0</v>
      </c>
      <c r="R105" s="239">
        <v>0</v>
      </c>
      <c r="S105" s="239">
        <v>0</v>
      </c>
      <c r="T105" s="239">
        <v>259.01145000000002</v>
      </c>
      <c r="U105" s="239">
        <v>647.08567000000005</v>
      </c>
      <c r="V105" s="239">
        <v>548.01038000000005</v>
      </c>
      <c r="W105" s="239">
        <v>780.57808999999997</v>
      </c>
      <c r="X105" s="239">
        <v>0</v>
      </c>
      <c r="Y105" s="239">
        <v>0</v>
      </c>
      <c r="Z105" s="239">
        <v>2309.6438400000002</v>
      </c>
      <c r="AA105" s="239">
        <v>980.53931999999998</v>
      </c>
      <c r="AB105" s="239">
        <v>0</v>
      </c>
      <c r="AC105" s="239">
        <v>0</v>
      </c>
      <c r="AD105" s="239">
        <v>1</v>
      </c>
      <c r="AE105" s="239" t="s">
        <v>19</v>
      </c>
      <c r="AF105" s="239" t="s">
        <v>718</v>
      </c>
      <c r="AG105" s="239">
        <f t="shared" si="6"/>
        <v>7752.5042678999998</v>
      </c>
      <c r="AH105" s="239">
        <f t="shared" si="7"/>
        <v>0</v>
      </c>
      <c r="AI105" s="239">
        <f t="shared" si="8"/>
        <v>0</v>
      </c>
      <c r="AJ105" s="239">
        <f t="shared" si="9"/>
        <v>7752.5042678999998</v>
      </c>
    </row>
    <row r="106" spans="1:36" x14ac:dyDescent="0.2">
      <c r="A106" s="240" t="str">
        <f t="shared" si="5"/>
        <v>3A5SNBR131212</v>
      </c>
      <c r="B106" s="239" t="s">
        <v>19</v>
      </c>
      <c r="C106" s="239" t="s">
        <v>20</v>
      </c>
      <c r="D106" s="239" t="s">
        <v>2439</v>
      </c>
      <c r="E106" s="239" t="s">
        <v>2440</v>
      </c>
      <c r="F106" s="239" t="s">
        <v>2460</v>
      </c>
      <c r="G106" s="239">
        <v>12</v>
      </c>
      <c r="H106" s="239" t="s">
        <v>928</v>
      </c>
      <c r="I106" s="239" t="s">
        <v>2456</v>
      </c>
      <c r="J106" s="239" t="s">
        <v>928</v>
      </c>
      <c r="K106" s="239" t="s">
        <v>2398</v>
      </c>
      <c r="L106" s="239">
        <v>6197.2458399999996</v>
      </c>
      <c r="M106" s="239">
        <v>93</v>
      </c>
      <c r="N106" s="239">
        <v>0</v>
      </c>
      <c r="O106" s="239">
        <v>4059.13978</v>
      </c>
      <c r="P106" s="239">
        <v>0</v>
      </c>
      <c r="Q106" s="239">
        <v>0</v>
      </c>
      <c r="R106" s="239">
        <v>0</v>
      </c>
      <c r="S106" s="239">
        <v>0</v>
      </c>
      <c r="T106" s="239">
        <v>88.001990000000006</v>
      </c>
      <c r="U106" s="239">
        <v>236.33674999999999</v>
      </c>
      <c r="V106" s="239">
        <v>280.00483000000003</v>
      </c>
      <c r="W106" s="239">
        <v>189.82419999999999</v>
      </c>
      <c r="X106" s="239">
        <v>0</v>
      </c>
      <c r="Y106" s="239">
        <v>0</v>
      </c>
      <c r="Z106" s="239">
        <v>1039.2402</v>
      </c>
      <c r="AA106" s="239">
        <v>304.69808999999998</v>
      </c>
      <c r="AB106" s="239">
        <v>0</v>
      </c>
      <c r="AC106" s="239">
        <v>0</v>
      </c>
      <c r="AD106" s="239">
        <v>1</v>
      </c>
      <c r="AE106" s="239" t="s">
        <v>19</v>
      </c>
      <c r="AF106" s="239" t="s">
        <v>718</v>
      </c>
      <c r="AG106" s="239">
        <f t="shared" si="6"/>
        <v>3774.9999954</v>
      </c>
      <c r="AH106" s="239">
        <f t="shared" si="7"/>
        <v>0</v>
      </c>
      <c r="AI106" s="239">
        <f t="shared" si="8"/>
        <v>0</v>
      </c>
      <c r="AJ106" s="239">
        <f t="shared" si="9"/>
        <v>3774.9999954</v>
      </c>
    </row>
    <row r="107" spans="1:36" x14ac:dyDescent="0.2">
      <c r="A107" s="240" t="str">
        <f t="shared" si="5"/>
        <v>3C5SNBR131212</v>
      </c>
      <c r="B107" s="239" t="s">
        <v>19</v>
      </c>
      <c r="C107" s="239" t="s">
        <v>20</v>
      </c>
      <c r="D107" s="239" t="s">
        <v>2439</v>
      </c>
      <c r="E107" s="239" t="s">
        <v>2440</v>
      </c>
      <c r="F107" s="239" t="s">
        <v>2460</v>
      </c>
      <c r="G107" s="239">
        <v>12</v>
      </c>
      <c r="H107" s="239" t="s">
        <v>928</v>
      </c>
      <c r="I107" s="239" t="s">
        <v>2461</v>
      </c>
      <c r="J107" s="239" t="s">
        <v>928</v>
      </c>
      <c r="K107" s="239" t="s">
        <v>2398</v>
      </c>
      <c r="L107" s="239">
        <v>6081.0393800000002</v>
      </c>
      <c r="M107" s="239">
        <v>93</v>
      </c>
      <c r="N107" s="239">
        <v>0</v>
      </c>
      <c r="O107" s="239">
        <v>4059.13978</v>
      </c>
      <c r="P107" s="239">
        <v>0</v>
      </c>
      <c r="Q107" s="239">
        <v>0</v>
      </c>
      <c r="R107" s="239">
        <v>0</v>
      </c>
      <c r="S107" s="239">
        <v>0</v>
      </c>
      <c r="T107" s="239">
        <v>88.001990000000006</v>
      </c>
      <c r="U107" s="239">
        <v>223.95229</v>
      </c>
      <c r="V107" s="239">
        <v>280.00483000000003</v>
      </c>
      <c r="W107" s="239">
        <v>185.78290999999999</v>
      </c>
      <c r="X107" s="239">
        <v>0</v>
      </c>
      <c r="Y107" s="239">
        <v>0</v>
      </c>
      <c r="Z107" s="239">
        <v>951.79929000000004</v>
      </c>
      <c r="AA107" s="239">
        <v>292.35829000000001</v>
      </c>
      <c r="AB107" s="239">
        <v>0</v>
      </c>
      <c r="AC107" s="239">
        <v>0</v>
      </c>
      <c r="AD107" s="239">
        <v>1</v>
      </c>
      <c r="AE107" s="239" t="s">
        <v>19</v>
      </c>
      <c r="AF107" s="239" t="s">
        <v>718</v>
      </c>
      <c r="AG107" s="239">
        <f t="shared" si="6"/>
        <v>3774.9999954</v>
      </c>
      <c r="AH107" s="239">
        <f t="shared" si="7"/>
        <v>0</v>
      </c>
      <c r="AI107" s="239">
        <f t="shared" si="8"/>
        <v>0</v>
      </c>
      <c r="AJ107" s="239">
        <f t="shared" si="9"/>
        <v>3774.9999954</v>
      </c>
    </row>
    <row r="108" spans="1:36" x14ac:dyDescent="0.2">
      <c r="A108" s="240" t="str">
        <f t="shared" si="5"/>
        <v>SNBR131212</v>
      </c>
      <c r="B108" s="239" t="s">
        <v>19</v>
      </c>
      <c r="C108" s="239" t="s">
        <v>20</v>
      </c>
      <c r="D108" s="239" t="s">
        <v>2439</v>
      </c>
      <c r="E108" s="239" t="s">
        <v>2440</v>
      </c>
      <c r="F108" s="239" t="s">
        <v>2460</v>
      </c>
      <c r="G108" s="239">
        <v>12</v>
      </c>
      <c r="H108" s="239" t="s">
        <v>928</v>
      </c>
      <c r="I108" s="239" t="s">
        <v>928</v>
      </c>
      <c r="J108" s="239" t="s">
        <v>928</v>
      </c>
      <c r="K108" s="239" t="s">
        <v>2398</v>
      </c>
      <c r="L108" s="239">
        <v>6091.19668</v>
      </c>
      <c r="M108" s="239">
        <v>93</v>
      </c>
      <c r="N108" s="239">
        <v>0</v>
      </c>
      <c r="O108" s="239">
        <v>4059.1395000000002</v>
      </c>
      <c r="P108" s="239">
        <v>0</v>
      </c>
      <c r="Q108" s="239">
        <v>0</v>
      </c>
      <c r="R108" s="239">
        <v>0</v>
      </c>
      <c r="S108" s="239">
        <v>0</v>
      </c>
      <c r="T108" s="239">
        <v>88.001819999999995</v>
      </c>
      <c r="U108" s="239">
        <v>225.03485000000001</v>
      </c>
      <c r="V108" s="239">
        <v>280.00466</v>
      </c>
      <c r="W108" s="239">
        <v>186.13578000000001</v>
      </c>
      <c r="X108" s="239">
        <v>0</v>
      </c>
      <c r="Y108" s="239">
        <v>0</v>
      </c>
      <c r="Z108" s="239">
        <v>959.44300999999996</v>
      </c>
      <c r="AA108" s="239">
        <v>293.43705999999997</v>
      </c>
      <c r="AB108" s="239">
        <v>0</v>
      </c>
      <c r="AC108" s="239">
        <v>0</v>
      </c>
      <c r="AD108" s="239">
        <v>1</v>
      </c>
      <c r="AE108" s="239" t="s">
        <v>19</v>
      </c>
      <c r="AF108" s="239" t="s">
        <v>718</v>
      </c>
      <c r="AG108" s="239">
        <f t="shared" si="6"/>
        <v>3774.9997350000003</v>
      </c>
      <c r="AH108" s="239">
        <f t="shared" si="7"/>
        <v>0</v>
      </c>
      <c r="AI108" s="239">
        <f t="shared" si="8"/>
        <v>0</v>
      </c>
      <c r="AJ108" s="239">
        <f t="shared" si="9"/>
        <v>3774.9997350000003</v>
      </c>
    </row>
    <row r="109" spans="1:36" x14ac:dyDescent="0.2">
      <c r="A109" s="240" t="str">
        <f t="shared" si="5"/>
        <v>3A5SNBR131216</v>
      </c>
      <c r="B109" s="239" t="s">
        <v>19</v>
      </c>
      <c r="C109" s="239" t="s">
        <v>20</v>
      </c>
      <c r="D109" s="239" t="s">
        <v>2439</v>
      </c>
      <c r="E109" s="239" t="s">
        <v>2440</v>
      </c>
      <c r="F109" s="239" t="s">
        <v>2460</v>
      </c>
      <c r="G109" s="239">
        <v>16</v>
      </c>
      <c r="H109" s="239" t="s">
        <v>928</v>
      </c>
      <c r="I109" s="239" t="s">
        <v>2456</v>
      </c>
      <c r="J109" s="239" t="s">
        <v>928</v>
      </c>
      <c r="K109" s="239" t="s">
        <v>2398</v>
      </c>
      <c r="L109" s="239">
        <v>10890.01864</v>
      </c>
      <c r="M109" s="239">
        <v>93</v>
      </c>
      <c r="N109" s="239">
        <v>0</v>
      </c>
      <c r="O109" s="239">
        <v>8344.0860200000006</v>
      </c>
      <c r="P109" s="239">
        <v>0</v>
      </c>
      <c r="Q109" s="239">
        <v>0</v>
      </c>
      <c r="R109" s="239">
        <v>0</v>
      </c>
      <c r="S109" s="239">
        <v>0</v>
      </c>
      <c r="T109" s="239">
        <v>99.00224</v>
      </c>
      <c r="U109" s="239">
        <v>245.62509</v>
      </c>
      <c r="V109" s="239">
        <v>313.00540000000001</v>
      </c>
      <c r="W109" s="239">
        <v>248.70547999999999</v>
      </c>
      <c r="X109" s="239">
        <v>0</v>
      </c>
      <c r="Y109" s="239">
        <v>0</v>
      </c>
      <c r="Z109" s="239">
        <v>1252.31459</v>
      </c>
      <c r="AA109" s="239">
        <v>387.27981999999997</v>
      </c>
      <c r="AB109" s="239">
        <v>0</v>
      </c>
      <c r="AC109" s="239">
        <v>0</v>
      </c>
      <c r="AD109" s="239">
        <v>1</v>
      </c>
      <c r="AE109" s="239" t="s">
        <v>20</v>
      </c>
      <c r="AF109" s="239" t="s">
        <v>718</v>
      </c>
      <c r="AG109" s="239">
        <f t="shared" si="6"/>
        <v>7759.9999986000012</v>
      </c>
      <c r="AH109" s="239">
        <f t="shared" si="7"/>
        <v>0</v>
      </c>
      <c r="AI109" s="239">
        <f t="shared" si="8"/>
        <v>0</v>
      </c>
      <c r="AJ109" s="239">
        <f t="shared" si="9"/>
        <v>7759.9999986000012</v>
      </c>
    </row>
    <row r="110" spans="1:36" x14ac:dyDescent="0.2">
      <c r="A110" s="240" t="str">
        <f t="shared" si="5"/>
        <v>SNBR131216</v>
      </c>
      <c r="B110" s="239" t="s">
        <v>19</v>
      </c>
      <c r="C110" s="239" t="s">
        <v>20</v>
      </c>
      <c r="D110" s="239" t="s">
        <v>2439</v>
      </c>
      <c r="E110" s="239" t="s">
        <v>2440</v>
      </c>
      <c r="F110" s="239" t="s">
        <v>2460</v>
      </c>
      <c r="G110" s="239">
        <v>16</v>
      </c>
      <c r="H110" s="239" t="s">
        <v>928</v>
      </c>
      <c r="I110" s="239" t="s">
        <v>928</v>
      </c>
      <c r="J110" s="239" t="s">
        <v>928</v>
      </c>
      <c r="K110" s="239" t="s">
        <v>2398</v>
      </c>
      <c r="L110" s="239">
        <v>10890.018470000001</v>
      </c>
      <c r="M110" s="239">
        <v>93</v>
      </c>
      <c r="N110" s="239">
        <v>0</v>
      </c>
      <c r="O110" s="239">
        <v>8344.0861700000005</v>
      </c>
      <c r="P110" s="239">
        <v>0</v>
      </c>
      <c r="Q110" s="239">
        <v>0</v>
      </c>
      <c r="R110" s="239">
        <v>0</v>
      </c>
      <c r="S110" s="239">
        <v>0</v>
      </c>
      <c r="T110" s="239">
        <v>99.002250000000004</v>
      </c>
      <c r="U110" s="239">
        <v>245.62505999999999</v>
      </c>
      <c r="V110" s="239">
        <v>313.00564000000003</v>
      </c>
      <c r="W110" s="239">
        <v>248.70507000000001</v>
      </c>
      <c r="X110" s="239">
        <v>0</v>
      </c>
      <c r="Y110" s="239">
        <v>0</v>
      </c>
      <c r="Z110" s="239">
        <v>1252.31459</v>
      </c>
      <c r="AA110" s="239">
        <v>387.27969000000002</v>
      </c>
      <c r="AB110" s="239">
        <v>0</v>
      </c>
      <c r="AC110" s="239">
        <v>0</v>
      </c>
      <c r="AD110" s="239">
        <v>1</v>
      </c>
      <c r="AE110" s="239" t="s">
        <v>20</v>
      </c>
      <c r="AF110" s="239" t="s">
        <v>718</v>
      </c>
      <c r="AG110" s="239">
        <f t="shared" si="6"/>
        <v>7760.0001381000002</v>
      </c>
      <c r="AH110" s="239">
        <f t="shared" si="7"/>
        <v>0</v>
      </c>
      <c r="AI110" s="239">
        <f t="shared" si="8"/>
        <v>0</v>
      </c>
      <c r="AJ110" s="239">
        <f t="shared" si="9"/>
        <v>7760.0001381000002</v>
      </c>
    </row>
    <row r="111" spans="1:36" x14ac:dyDescent="0.2">
      <c r="A111" s="240" t="str">
        <f t="shared" si="5"/>
        <v>3C5SNBR1312M12</v>
      </c>
      <c r="B111" s="239" t="s">
        <v>19</v>
      </c>
      <c r="C111" s="239" t="s">
        <v>20</v>
      </c>
      <c r="D111" s="239" t="s">
        <v>2439</v>
      </c>
      <c r="E111" s="239" t="s">
        <v>2440</v>
      </c>
      <c r="F111" s="239" t="s">
        <v>2462</v>
      </c>
      <c r="G111" s="239">
        <v>12</v>
      </c>
      <c r="H111" s="239" t="s">
        <v>928</v>
      </c>
      <c r="I111" s="239" t="s">
        <v>2461</v>
      </c>
      <c r="J111" s="239" t="s">
        <v>928</v>
      </c>
      <c r="K111" s="239" t="s">
        <v>2398</v>
      </c>
      <c r="L111" s="239">
        <v>6081.0393800000002</v>
      </c>
      <c r="M111" s="239">
        <v>93</v>
      </c>
      <c r="N111" s="239">
        <v>0</v>
      </c>
      <c r="O111" s="239">
        <v>4059.13978</v>
      </c>
      <c r="P111" s="239">
        <v>0</v>
      </c>
      <c r="Q111" s="239">
        <v>0</v>
      </c>
      <c r="R111" s="239">
        <v>0</v>
      </c>
      <c r="S111" s="239">
        <v>0</v>
      </c>
      <c r="T111" s="239">
        <v>88.001990000000006</v>
      </c>
      <c r="U111" s="239">
        <v>223.95229</v>
      </c>
      <c r="V111" s="239">
        <v>280.00483000000003</v>
      </c>
      <c r="W111" s="239">
        <v>185.78290999999999</v>
      </c>
      <c r="X111" s="239">
        <v>0</v>
      </c>
      <c r="Y111" s="239">
        <v>0</v>
      </c>
      <c r="Z111" s="239">
        <v>951.79929000000004</v>
      </c>
      <c r="AA111" s="239">
        <v>292.35829000000001</v>
      </c>
      <c r="AB111" s="239">
        <v>0</v>
      </c>
      <c r="AC111" s="239">
        <v>0</v>
      </c>
      <c r="AD111" s="239">
        <v>1</v>
      </c>
      <c r="AE111" s="239" t="s">
        <v>20</v>
      </c>
      <c r="AF111" s="239" t="s">
        <v>718</v>
      </c>
      <c r="AG111" s="239">
        <f t="shared" si="6"/>
        <v>3774.9999954</v>
      </c>
      <c r="AH111" s="239">
        <f t="shared" si="7"/>
        <v>0</v>
      </c>
      <c r="AI111" s="239">
        <f t="shared" si="8"/>
        <v>0</v>
      </c>
      <c r="AJ111" s="239">
        <f t="shared" si="9"/>
        <v>3774.9999954</v>
      </c>
    </row>
    <row r="112" spans="1:36" x14ac:dyDescent="0.2">
      <c r="A112" s="240" t="str">
        <f t="shared" si="5"/>
        <v>SNBR1312M12</v>
      </c>
      <c r="B112" s="239" t="s">
        <v>19</v>
      </c>
      <c r="C112" s="239" t="s">
        <v>20</v>
      </c>
      <c r="D112" s="239" t="s">
        <v>2439</v>
      </c>
      <c r="E112" s="239" t="s">
        <v>2440</v>
      </c>
      <c r="F112" s="239" t="s">
        <v>2462</v>
      </c>
      <c r="G112" s="239">
        <v>12</v>
      </c>
      <c r="H112" s="239" t="s">
        <v>928</v>
      </c>
      <c r="I112" s="239" t="s">
        <v>928</v>
      </c>
      <c r="J112" s="239" t="s">
        <v>928</v>
      </c>
      <c r="K112" s="239" t="s">
        <v>2398</v>
      </c>
      <c r="L112" s="239">
        <v>6081.0392700000002</v>
      </c>
      <c r="M112" s="239">
        <v>93</v>
      </c>
      <c r="N112" s="239">
        <v>0</v>
      </c>
      <c r="O112" s="239">
        <v>4059.1397099999999</v>
      </c>
      <c r="P112" s="239">
        <v>0</v>
      </c>
      <c r="Q112" s="239">
        <v>0</v>
      </c>
      <c r="R112" s="239">
        <v>0</v>
      </c>
      <c r="S112" s="239">
        <v>0</v>
      </c>
      <c r="T112" s="239">
        <v>88.002009999999999</v>
      </c>
      <c r="U112" s="239">
        <v>223.95222999999999</v>
      </c>
      <c r="V112" s="239">
        <v>280.00477999999998</v>
      </c>
      <c r="W112" s="239">
        <v>185.78291999999999</v>
      </c>
      <c r="X112" s="239">
        <v>0</v>
      </c>
      <c r="Y112" s="239">
        <v>0</v>
      </c>
      <c r="Z112" s="239">
        <v>951.79938000000004</v>
      </c>
      <c r="AA112" s="239">
        <v>292.35824000000002</v>
      </c>
      <c r="AB112" s="239">
        <v>0</v>
      </c>
      <c r="AC112" s="239">
        <v>0</v>
      </c>
      <c r="AD112" s="239">
        <v>1</v>
      </c>
      <c r="AE112" s="239" t="s">
        <v>20</v>
      </c>
      <c r="AF112" s="239" t="s">
        <v>718</v>
      </c>
      <c r="AG112" s="239">
        <f t="shared" si="6"/>
        <v>3774.9999303</v>
      </c>
      <c r="AH112" s="239">
        <f t="shared" si="7"/>
        <v>0</v>
      </c>
      <c r="AI112" s="239">
        <f t="shared" si="8"/>
        <v>0</v>
      </c>
      <c r="AJ112" s="239">
        <f t="shared" si="9"/>
        <v>3774.9999303</v>
      </c>
    </row>
    <row r="113" spans="1:36" x14ac:dyDescent="0.2">
      <c r="A113" s="240" t="str">
        <f t="shared" si="5"/>
        <v>3A5SNBR141212</v>
      </c>
      <c r="B113" s="239" t="s">
        <v>19</v>
      </c>
      <c r="C113" s="239" t="s">
        <v>20</v>
      </c>
      <c r="D113" s="239" t="s">
        <v>2439</v>
      </c>
      <c r="E113" s="239" t="s">
        <v>2440</v>
      </c>
      <c r="F113" s="239" t="s">
        <v>2463</v>
      </c>
      <c r="G113" s="239">
        <v>12</v>
      </c>
      <c r="H113" s="239" t="s">
        <v>928</v>
      </c>
      <c r="I113" s="239" t="s">
        <v>2456</v>
      </c>
      <c r="J113" s="239" t="s">
        <v>928</v>
      </c>
      <c r="K113" s="239" t="s">
        <v>2398</v>
      </c>
      <c r="L113" s="239">
        <v>9525.6868699999995</v>
      </c>
      <c r="M113" s="239">
        <v>92</v>
      </c>
      <c r="N113" s="239">
        <v>0</v>
      </c>
      <c r="O113" s="239">
        <v>7336.9565199999997</v>
      </c>
      <c r="P113" s="239">
        <v>0</v>
      </c>
      <c r="Q113" s="239">
        <v>0</v>
      </c>
      <c r="R113" s="239">
        <v>0</v>
      </c>
      <c r="S113" s="239">
        <v>0</v>
      </c>
      <c r="T113" s="239">
        <v>90.002039999999994</v>
      </c>
      <c r="U113" s="239">
        <v>236.33674999999999</v>
      </c>
      <c r="V113" s="239">
        <v>287.00495000000001</v>
      </c>
      <c r="W113" s="239">
        <v>194.70762999999999</v>
      </c>
      <c r="X113" s="239">
        <v>0</v>
      </c>
      <c r="Y113" s="239">
        <v>0</v>
      </c>
      <c r="Z113" s="239">
        <v>1068.38717</v>
      </c>
      <c r="AA113" s="239">
        <v>312.29181</v>
      </c>
      <c r="AB113" s="239">
        <v>0</v>
      </c>
      <c r="AC113" s="239">
        <v>0</v>
      </c>
      <c r="AD113" s="239">
        <v>1</v>
      </c>
      <c r="AE113" s="239" t="s">
        <v>20</v>
      </c>
      <c r="AF113" s="239" t="s">
        <v>718</v>
      </c>
      <c r="AG113" s="239">
        <f t="shared" si="6"/>
        <v>6749.9999983999996</v>
      </c>
      <c r="AH113" s="239">
        <f t="shared" si="7"/>
        <v>0</v>
      </c>
      <c r="AI113" s="239">
        <f t="shared" si="8"/>
        <v>0</v>
      </c>
      <c r="AJ113" s="239">
        <f t="shared" si="9"/>
        <v>6749.9999983999996</v>
      </c>
    </row>
    <row r="114" spans="1:36" x14ac:dyDescent="0.2">
      <c r="A114" s="240" t="str">
        <f t="shared" si="5"/>
        <v>SNBR141212</v>
      </c>
      <c r="B114" s="239" t="s">
        <v>19</v>
      </c>
      <c r="C114" s="239" t="s">
        <v>20</v>
      </c>
      <c r="D114" s="239" t="s">
        <v>2439</v>
      </c>
      <c r="E114" s="239" t="s">
        <v>2440</v>
      </c>
      <c r="F114" s="239" t="s">
        <v>2463</v>
      </c>
      <c r="G114" s="239">
        <v>12</v>
      </c>
      <c r="H114" s="239" t="s">
        <v>928</v>
      </c>
      <c r="I114" s="239" t="s">
        <v>928</v>
      </c>
      <c r="J114" s="239" t="s">
        <v>928</v>
      </c>
      <c r="K114" s="239" t="s">
        <v>2398</v>
      </c>
      <c r="L114" s="239">
        <v>9525.6796099999992</v>
      </c>
      <c r="M114" s="239">
        <v>92</v>
      </c>
      <c r="N114" s="239">
        <v>0</v>
      </c>
      <c r="O114" s="239">
        <v>7336.9540100000004</v>
      </c>
      <c r="P114" s="239">
        <v>0</v>
      </c>
      <c r="Q114" s="239">
        <v>0</v>
      </c>
      <c r="R114" s="239">
        <v>0</v>
      </c>
      <c r="S114" s="239">
        <v>0</v>
      </c>
      <c r="T114" s="239">
        <v>90.003389999999996</v>
      </c>
      <c r="U114" s="239">
        <v>236.33463</v>
      </c>
      <c r="V114" s="239">
        <v>287.00492000000003</v>
      </c>
      <c r="W114" s="239">
        <v>194.70558</v>
      </c>
      <c r="X114" s="239">
        <v>0</v>
      </c>
      <c r="Y114" s="239">
        <v>0</v>
      </c>
      <c r="Z114" s="239">
        <v>1068.3879199999999</v>
      </c>
      <c r="AA114" s="239">
        <v>312.28915999999998</v>
      </c>
      <c r="AB114" s="239">
        <v>0</v>
      </c>
      <c r="AC114" s="239">
        <v>0</v>
      </c>
      <c r="AD114" s="239">
        <v>1</v>
      </c>
      <c r="AE114" s="239" t="s">
        <v>20</v>
      </c>
      <c r="AF114" s="239" t="s">
        <v>718</v>
      </c>
      <c r="AG114" s="239">
        <f t="shared" si="6"/>
        <v>6749.9976892000004</v>
      </c>
      <c r="AH114" s="239">
        <f t="shared" si="7"/>
        <v>0</v>
      </c>
      <c r="AI114" s="239">
        <f t="shared" si="8"/>
        <v>0</v>
      </c>
      <c r="AJ114" s="239">
        <f t="shared" si="9"/>
        <v>6749.9976892000004</v>
      </c>
    </row>
    <row r="115" spans="1:36" x14ac:dyDescent="0.2">
      <c r="A115" s="240" t="str">
        <f t="shared" si="5"/>
        <v>3A5SNBR151212</v>
      </c>
      <c r="B115" s="239" t="s">
        <v>19</v>
      </c>
      <c r="C115" s="239" t="s">
        <v>20</v>
      </c>
      <c r="D115" s="239" t="s">
        <v>2439</v>
      </c>
      <c r="E115" s="239" t="s">
        <v>2440</v>
      </c>
      <c r="F115" s="239" t="s">
        <v>2464</v>
      </c>
      <c r="G115" s="239">
        <v>12</v>
      </c>
      <c r="H115" s="239" t="s">
        <v>928</v>
      </c>
      <c r="I115" s="239" t="s">
        <v>2456</v>
      </c>
      <c r="J115" s="239" t="s">
        <v>928</v>
      </c>
      <c r="K115" s="239" t="s">
        <v>2398</v>
      </c>
      <c r="L115" s="239">
        <v>5586.5450199999996</v>
      </c>
      <c r="M115" s="239">
        <v>93</v>
      </c>
      <c r="N115" s="239">
        <v>0</v>
      </c>
      <c r="O115" s="239">
        <v>3600.2580600000001</v>
      </c>
      <c r="P115" s="239">
        <v>0</v>
      </c>
      <c r="Q115" s="239">
        <v>0</v>
      </c>
      <c r="R115" s="239">
        <v>0</v>
      </c>
      <c r="S115" s="239">
        <v>0</v>
      </c>
      <c r="T115" s="239">
        <v>84.001900000000006</v>
      </c>
      <c r="U115" s="239">
        <v>232.20859999999999</v>
      </c>
      <c r="V115" s="239">
        <v>265.00457</v>
      </c>
      <c r="W115" s="239">
        <v>172.19318000000001</v>
      </c>
      <c r="X115" s="239">
        <v>0</v>
      </c>
      <c r="Y115" s="239">
        <v>0</v>
      </c>
      <c r="Z115" s="239">
        <v>953.80943000000002</v>
      </c>
      <c r="AA115" s="239">
        <v>279.06927999999999</v>
      </c>
      <c r="AB115" s="239">
        <v>0</v>
      </c>
      <c r="AC115" s="239">
        <v>0</v>
      </c>
      <c r="AD115" s="239">
        <v>1</v>
      </c>
      <c r="AE115" s="239" t="s">
        <v>20</v>
      </c>
      <c r="AF115" s="239" t="s">
        <v>718</v>
      </c>
      <c r="AG115" s="239">
        <f t="shared" si="6"/>
        <v>3348.2399958000001</v>
      </c>
      <c r="AH115" s="239">
        <f t="shared" si="7"/>
        <v>0</v>
      </c>
      <c r="AI115" s="239">
        <f t="shared" si="8"/>
        <v>0</v>
      </c>
      <c r="AJ115" s="239">
        <f t="shared" si="9"/>
        <v>3348.2399958000001</v>
      </c>
    </row>
    <row r="116" spans="1:36" x14ac:dyDescent="0.2">
      <c r="A116" s="240" t="str">
        <f t="shared" si="5"/>
        <v>SNBR151212</v>
      </c>
      <c r="B116" s="239" t="s">
        <v>19</v>
      </c>
      <c r="C116" s="239" t="s">
        <v>20</v>
      </c>
      <c r="D116" s="239" t="s">
        <v>2439</v>
      </c>
      <c r="E116" s="239" t="s">
        <v>2440</v>
      </c>
      <c r="F116" s="239" t="s">
        <v>2464</v>
      </c>
      <c r="G116" s="239">
        <v>12</v>
      </c>
      <c r="H116" s="239" t="s">
        <v>928</v>
      </c>
      <c r="I116" s="239" t="s">
        <v>928</v>
      </c>
      <c r="J116" s="239" t="s">
        <v>928</v>
      </c>
      <c r="K116" s="239" t="s">
        <v>2398</v>
      </c>
      <c r="L116" s="239">
        <v>5586.54637</v>
      </c>
      <c r="M116" s="239">
        <v>93</v>
      </c>
      <c r="N116" s="239">
        <v>0</v>
      </c>
      <c r="O116" s="239">
        <v>3600.2607400000002</v>
      </c>
      <c r="P116" s="239">
        <v>0</v>
      </c>
      <c r="Q116" s="239">
        <v>0</v>
      </c>
      <c r="R116" s="239">
        <v>0</v>
      </c>
      <c r="S116" s="239">
        <v>0</v>
      </c>
      <c r="T116" s="239">
        <v>84.000829999999993</v>
      </c>
      <c r="U116" s="239">
        <v>232.20845</v>
      </c>
      <c r="V116" s="239">
        <v>265.00403</v>
      </c>
      <c r="W116" s="239">
        <v>172.19418999999999</v>
      </c>
      <c r="X116" s="239">
        <v>0</v>
      </c>
      <c r="Y116" s="239">
        <v>0</v>
      </c>
      <c r="Z116" s="239">
        <v>953.80893000000003</v>
      </c>
      <c r="AA116" s="239">
        <v>279.06920000000002</v>
      </c>
      <c r="AB116" s="239">
        <v>0</v>
      </c>
      <c r="AC116" s="239">
        <v>0</v>
      </c>
      <c r="AD116" s="239">
        <v>1</v>
      </c>
      <c r="AE116" s="239" t="s">
        <v>20</v>
      </c>
      <c r="AF116" s="239" t="s">
        <v>718</v>
      </c>
      <c r="AG116" s="239">
        <f t="shared" si="6"/>
        <v>3348.2424882000005</v>
      </c>
      <c r="AH116" s="239">
        <f t="shared" si="7"/>
        <v>0</v>
      </c>
      <c r="AI116" s="239">
        <f t="shared" si="8"/>
        <v>0</v>
      </c>
      <c r="AJ116" s="239">
        <f t="shared" si="9"/>
        <v>3348.2424882000005</v>
      </c>
    </row>
    <row r="117" spans="1:36" x14ac:dyDescent="0.2">
      <c r="A117" s="240" t="str">
        <f t="shared" si="5"/>
        <v>3A5SNBR151712</v>
      </c>
      <c r="B117" s="239" t="s">
        <v>19</v>
      </c>
      <c r="C117" s="239" t="s">
        <v>20</v>
      </c>
      <c r="D117" s="239" t="s">
        <v>2439</v>
      </c>
      <c r="E117" s="239" t="s">
        <v>2440</v>
      </c>
      <c r="F117" s="239" t="s">
        <v>2465</v>
      </c>
      <c r="G117" s="239">
        <v>12</v>
      </c>
      <c r="H117" s="239" t="s">
        <v>928</v>
      </c>
      <c r="I117" s="239" t="s">
        <v>2456</v>
      </c>
      <c r="J117" s="239" t="s">
        <v>928</v>
      </c>
      <c r="K117" s="239" t="s">
        <v>2398</v>
      </c>
      <c r="L117" s="239">
        <v>5586.5450199999996</v>
      </c>
      <c r="M117" s="239">
        <v>93</v>
      </c>
      <c r="N117" s="239">
        <v>0</v>
      </c>
      <c r="O117" s="239">
        <v>3600.2580600000001</v>
      </c>
      <c r="P117" s="239">
        <v>0</v>
      </c>
      <c r="Q117" s="239">
        <v>0</v>
      </c>
      <c r="R117" s="239">
        <v>0</v>
      </c>
      <c r="S117" s="239">
        <v>0</v>
      </c>
      <c r="T117" s="239">
        <v>84.001900000000006</v>
      </c>
      <c r="U117" s="239">
        <v>232.20859999999999</v>
      </c>
      <c r="V117" s="239">
        <v>265.00457</v>
      </c>
      <c r="W117" s="239">
        <v>172.19318000000001</v>
      </c>
      <c r="X117" s="239">
        <v>0</v>
      </c>
      <c r="Y117" s="239">
        <v>0</v>
      </c>
      <c r="Z117" s="239">
        <v>953.80943000000002</v>
      </c>
      <c r="AA117" s="239">
        <v>279.06927999999999</v>
      </c>
      <c r="AB117" s="239">
        <v>0</v>
      </c>
      <c r="AC117" s="239">
        <v>0</v>
      </c>
      <c r="AD117" s="239">
        <v>1</v>
      </c>
      <c r="AE117" s="239" t="s">
        <v>20</v>
      </c>
      <c r="AF117" s="239" t="s">
        <v>718</v>
      </c>
      <c r="AG117" s="239">
        <f t="shared" si="6"/>
        <v>3348.2399958000001</v>
      </c>
      <c r="AH117" s="239">
        <f t="shared" si="7"/>
        <v>0</v>
      </c>
      <c r="AI117" s="239">
        <f t="shared" si="8"/>
        <v>0</v>
      </c>
      <c r="AJ117" s="239">
        <f t="shared" si="9"/>
        <v>3348.2399958000001</v>
      </c>
    </row>
    <row r="118" spans="1:36" x14ac:dyDescent="0.2">
      <c r="A118" s="240" t="str">
        <f t="shared" si="5"/>
        <v>SNBR151712</v>
      </c>
      <c r="B118" s="239" t="s">
        <v>19</v>
      </c>
      <c r="C118" s="239" t="s">
        <v>20</v>
      </c>
      <c r="D118" s="239" t="s">
        <v>2439</v>
      </c>
      <c r="E118" s="239" t="s">
        <v>2440</v>
      </c>
      <c r="F118" s="239" t="s">
        <v>2465</v>
      </c>
      <c r="G118" s="239">
        <v>12</v>
      </c>
      <c r="H118" s="239" t="s">
        <v>928</v>
      </c>
      <c r="I118" s="239" t="s">
        <v>928</v>
      </c>
      <c r="J118" s="239" t="s">
        <v>928</v>
      </c>
      <c r="K118" s="239" t="s">
        <v>2398</v>
      </c>
      <c r="L118" s="239">
        <v>5586.5432899999996</v>
      </c>
      <c r="M118" s="239">
        <v>93</v>
      </c>
      <c r="N118" s="239">
        <v>0</v>
      </c>
      <c r="O118" s="239">
        <v>3600.2580600000001</v>
      </c>
      <c r="P118" s="239">
        <v>0</v>
      </c>
      <c r="Q118" s="239">
        <v>0</v>
      </c>
      <c r="R118" s="239">
        <v>0</v>
      </c>
      <c r="S118" s="239">
        <v>0</v>
      </c>
      <c r="T118" s="239">
        <v>84.002359999999996</v>
      </c>
      <c r="U118" s="239">
        <v>232.20883000000001</v>
      </c>
      <c r="V118" s="239">
        <v>265.00349999999997</v>
      </c>
      <c r="W118" s="239">
        <v>172.19302999999999</v>
      </c>
      <c r="X118" s="239">
        <v>0</v>
      </c>
      <c r="Y118" s="239">
        <v>0</v>
      </c>
      <c r="Z118" s="239">
        <v>953.80934000000002</v>
      </c>
      <c r="AA118" s="239">
        <v>279.06817000000001</v>
      </c>
      <c r="AB118" s="239">
        <v>0</v>
      </c>
      <c r="AC118" s="239">
        <v>0</v>
      </c>
      <c r="AD118" s="239">
        <v>1</v>
      </c>
      <c r="AE118" s="239" t="s">
        <v>20</v>
      </c>
      <c r="AF118" s="239" t="s">
        <v>718</v>
      </c>
      <c r="AG118" s="239">
        <f t="shared" si="6"/>
        <v>3348.2399958000001</v>
      </c>
      <c r="AH118" s="239">
        <f t="shared" si="7"/>
        <v>0</v>
      </c>
      <c r="AI118" s="239">
        <f t="shared" si="8"/>
        <v>0</v>
      </c>
      <c r="AJ118" s="239">
        <f t="shared" si="9"/>
        <v>3348.2399958000001</v>
      </c>
    </row>
    <row r="119" spans="1:36" x14ac:dyDescent="0.2">
      <c r="A119" s="240" t="str">
        <f t="shared" si="5"/>
        <v>33SNBR1712TTB12</v>
      </c>
      <c r="B119" s="239" t="s">
        <v>19</v>
      </c>
      <c r="C119" s="239" t="s">
        <v>20</v>
      </c>
      <c r="D119" s="239" t="s">
        <v>2439</v>
      </c>
      <c r="E119" s="239" t="s">
        <v>2440</v>
      </c>
      <c r="F119" s="239" t="s">
        <v>2466</v>
      </c>
      <c r="G119" s="239">
        <v>12</v>
      </c>
      <c r="H119" s="239" t="s">
        <v>928</v>
      </c>
      <c r="I119" s="239" t="s">
        <v>2412</v>
      </c>
      <c r="J119" s="239" t="s">
        <v>928</v>
      </c>
      <c r="K119" s="239" t="s">
        <v>2398</v>
      </c>
      <c r="L119" s="239">
        <v>3095.4929099999999</v>
      </c>
      <c r="M119" s="239">
        <v>100</v>
      </c>
      <c r="N119" s="239">
        <v>0</v>
      </c>
      <c r="O119" s="239">
        <v>0</v>
      </c>
      <c r="P119" s="239">
        <v>0</v>
      </c>
      <c r="Q119" s="239">
        <v>0</v>
      </c>
      <c r="R119" s="239">
        <v>0</v>
      </c>
      <c r="S119" s="239">
        <v>0</v>
      </c>
      <c r="T119" s="239">
        <v>1190.20299</v>
      </c>
      <c r="U119" s="239">
        <v>0</v>
      </c>
      <c r="V119" s="239">
        <v>17.379270000000002</v>
      </c>
      <c r="W119" s="239">
        <v>406.34848</v>
      </c>
      <c r="X119" s="239">
        <v>0</v>
      </c>
      <c r="Y119" s="239">
        <v>0</v>
      </c>
      <c r="Z119" s="239">
        <v>1048.22171</v>
      </c>
      <c r="AA119" s="239">
        <v>433.34046000000001</v>
      </c>
      <c r="AB119" s="239">
        <v>0</v>
      </c>
      <c r="AC119" s="239">
        <v>0</v>
      </c>
      <c r="AD119" s="239">
        <v>1</v>
      </c>
      <c r="AE119" s="239" t="s">
        <v>20</v>
      </c>
      <c r="AF119" s="239" t="s">
        <v>718</v>
      </c>
      <c r="AG119" s="239">
        <f t="shared" si="6"/>
        <v>0</v>
      </c>
      <c r="AH119" s="239">
        <f t="shared" si="7"/>
        <v>0</v>
      </c>
      <c r="AI119" s="239">
        <f t="shared" si="8"/>
        <v>0</v>
      </c>
      <c r="AJ119" s="239">
        <f t="shared" si="9"/>
        <v>0</v>
      </c>
    </row>
    <row r="120" spans="1:36" x14ac:dyDescent="0.2">
      <c r="A120" s="240" t="str">
        <f t="shared" si="5"/>
        <v>3A5SNBR1712TTB12</v>
      </c>
      <c r="B120" s="239" t="s">
        <v>19</v>
      </c>
      <c r="C120" s="239" t="s">
        <v>20</v>
      </c>
      <c r="D120" s="239" t="s">
        <v>2439</v>
      </c>
      <c r="E120" s="239" t="s">
        <v>2440</v>
      </c>
      <c r="F120" s="239" t="s">
        <v>2466</v>
      </c>
      <c r="G120" s="239">
        <v>12</v>
      </c>
      <c r="H120" s="239" t="s">
        <v>928</v>
      </c>
      <c r="I120" s="239" t="s">
        <v>2456</v>
      </c>
      <c r="J120" s="239" t="s">
        <v>928</v>
      </c>
      <c r="K120" s="239" t="s">
        <v>2398</v>
      </c>
      <c r="L120" s="239">
        <v>8158.6731799999998</v>
      </c>
      <c r="M120" s="239">
        <v>90</v>
      </c>
      <c r="N120" s="239">
        <v>0</v>
      </c>
      <c r="O120" s="239">
        <v>2835.5555599999998</v>
      </c>
      <c r="P120" s="239">
        <v>1793.25638</v>
      </c>
      <c r="Q120" s="239">
        <v>0</v>
      </c>
      <c r="R120" s="239">
        <v>0</v>
      </c>
      <c r="S120" s="239">
        <v>0</v>
      </c>
      <c r="T120" s="239">
        <v>93.002110000000002</v>
      </c>
      <c r="U120" s="239">
        <v>237.36878999999999</v>
      </c>
      <c r="V120" s="239">
        <v>199.00343000000001</v>
      </c>
      <c r="W120" s="239">
        <v>160.84879000000001</v>
      </c>
      <c r="X120" s="239">
        <v>0</v>
      </c>
      <c r="Y120" s="239">
        <v>0</v>
      </c>
      <c r="Z120" s="239">
        <v>927.67765999999995</v>
      </c>
      <c r="AA120" s="239">
        <v>265.78026999999997</v>
      </c>
      <c r="AB120" s="239">
        <v>1646.18019</v>
      </c>
      <c r="AC120" s="239">
        <v>0</v>
      </c>
      <c r="AD120" s="239">
        <v>1</v>
      </c>
      <c r="AE120" s="239" t="s">
        <v>20</v>
      </c>
      <c r="AF120" s="239" t="s">
        <v>718</v>
      </c>
      <c r="AG120" s="239">
        <f t="shared" si="6"/>
        <v>2552.000004</v>
      </c>
      <c r="AH120" s="239">
        <f t="shared" si="7"/>
        <v>1613.930742</v>
      </c>
      <c r="AI120" s="239">
        <f t="shared" si="8"/>
        <v>1481.562171</v>
      </c>
      <c r="AJ120" s="239">
        <f t="shared" si="9"/>
        <v>5647.4929169999996</v>
      </c>
    </row>
    <row r="121" spans="1:36" x14ac:dyDescent="0.2">
      <c r="A121" s="240" t="str">
        <f t="shared" si="5"/>
        <v>SNBR1712TTB12</v>
      </c>
      <c r="B121" s="239" t="s">
        <v>19</v>
      </c>
      <c r="C121" s="239" t="s">
        <v>20</v>
      </c>
      <c r="D121" s="239" t="s">
        <v>2439</v>
      </c>
      <c r="E121" s="239" t="s">
        <v>2440</v>
      </c>
      <c r="F121" s="239" t="s">
        <v>2466</v>
      </c>
      <c r="G121" s="239">
        <v>12</v>
      </c>
      <c r="H121" s="239" t="s">
        <v>928</v>
      </c>
      <c r="I121" s="239" t="s">
        <v>928</v>
      </c>
      <c r="J121" s="239" t="s">
        <v>928</v>
      </c>
      <c r="K121" s="239" t="s">
        <v>2398</v>
      </c>
      <c r="L121" s="239">
        <v>8158.6722099999997</v>
      </c>
      <c r="M121" s="239">
        <v>90</v>
      </c>
      <c r="N121" s="239">
        <v>0</v>
      </c>
      <c r="O121" s="239">
        <v>2835.5556900000001</v>
      </c>
      <c r="P121" s="239">
        <v>1793.2561000000001</v>
      </c>
      <c r="Q121" s="239">
        <v>0</v>
      </c>
      <c r="R121" s="239">
        <v>0</v>
      </c>
      <c r="S121" s="239">
        <v>0</v>
      </c>
      <c r="T121" s="239">
        <v>93.001999999999995</v>
      </c>
      <c r="U121" s="239">
        <v>237.36846</v>
      </c>
      <c r="V121" s="239">
        <v>199.00334000000001</v>
      </c>
      <c r="W121" s="239">
        <v>160.84876</v>
      </c>
      <c r="X121" s="239">
        <v>0</v>
      </c>
      <c r="Y121" s="239">
        <v>0</v>
      </c>
      <c r="Z121" s="239">
        <v>927.67750000000001</v>
      </c>
      <c r="AA121" s="239">
        <v>265.78010999999998</v>
      </c>
      <c r="AB121" s="239">
        <v>1646.1802499999999</v>
      </c>
      <c r="AC121" s="239">
        <v>0</v>
      </c>
      <c r="AD121" s="239">
        <v>1</v>
      </c>
      <c r="AE121" s="239" t="s">
        <v>20</v>
      </c>
      <c r="AF121" s="239" t="s">
        <v>718</v>
      </c>
      <c r="AG121" s="239">
        <f t="shared" si="6"/>
        <v>2552.000121</v>
      </c>
      <c r="AH121" s="239">
        <f t="shared" si="7"/>
        <v>1613.93049</v>
      </c>
      <c r="AI121" s="239">
        <f t="shared" si="8"/>
        <v>1481.5622250000001</v>
      </c>
      <c r="AJ121" s="239">
        <f t="shared" si="9"/>
        <v>5647.4928359999994</v>
      </c>
    </row>
    <row r="122" spans="1:36" x14ac:dyDescent="0.2">
      <c r="A122" s="240" t="str">
        <f t="shared" si="5"/>
        <v>3C5SNBR18129</v>
      </c>
      <c r="B122" s="239" t="s">
        <v>19</v>
      </c>
      <c r="C122" s="239" t="s">
        <v>20</v>
      </c>
      <c r="D122" s="239" t="s">
        <v>2439</v>
      </c>
      <c r="E122" s="239" t="s">
        <v>2440</v>
      </c>
      <c r="F122" s="239" t="s">
        <v>2467</v>
      </c>
      <c r="G122" s="239">
        <v>9</v>
      </c>
      <c r="H122" s="239" t="s">
        <v>928</v>
      </c>
      <c r="I122" s="239" t="s">
        <v>2461</v>
      </c>
      <c r="J122" s="239" t="s">
        <v>928</v>
      </c>
      <c r="K122" s="239" t="s">
        <v>2398</v>
      </c>
      <c r="L122" s="239">
        <v>5008.8750300000002</v>
      </c>
      <c r="M122" s="239">
        <v>93</v>
      </c>
      <c r="N122" s="239">
        <v>0</v>
      </c>
      <c r="O122" s="239">
        <v>3209.6129000000001</v>
      </c>
      <c r="P122" s="239">
        <v>0</v>
      </c>
      <c r="Q122" s="239">
        <v>0</v>
      </c>
      <c r="R122" s="239">
        <v>0</v>
      </c>
      <c r="S122" s="239">
        <v>0</v>
      </c>
      <c r="T122" s="239">
        <v>84.001900000000006</v>
      </c>
      <c r="U122" s="239">
        <v>120.74847</v>
      </c>
      <c r="V122" s="239">
        <v>265.00457</v>
      </c>
      <c r="W122" s="239">
        <v>169.43991</v>
      </c>
      <c r="X122" s="239">
        <v>0</v>
      </c>
      <c r="Y122" s="239">
        <v>0</v>
      </c>
      <c r="Z122" s="239">
        <v>890.49014999999997</v>
      </c>
      <c r="AA122" s="239">
        <v>269.57713000000001</v>
      </c>
      <c r="AB122" s="239">
        <v>0</v>
      </c>
      <c r="AC122" s="239">
        <v>0</v>
      </c>
      <c r="AD122" s="239">
        <v>1</v>
      </c>
      <c r="AE122" s="239" t="s">
        <v>20</v>
      </c>
      <c r="AF122" s="239" t="s">
        <v>718</v>
      </c>
      <c r="AG122" s="239">
        <f t="shared" si="6"/>
        <v>2984.9399969999999</v>
      </c>
      <c r="AH122" s="239">
        <f t="shared" si="7"/>
        <v>0</v>
      </c>
      <c r="AI122" s="239">
        <f t="shared" si="8"/>
        <v>0</v>
      </c>
      <c r="AJ122" s="239">
        <f t="shared" si="9"/>
        <v>2984.9399969999999</v>
      </c>
    </row>
    <row r="123" spans="1:36" x14ac:dyDescent="0.2">
      <c r="A123" s="240" t="str">
        <f t="shared" si="5"/>
        <v>SNBR18129</v>
      </c>
      <c r="B123" s="239" t="s">
        <v>19</v>
      </c>
      <c r="C123" s="239" t="s">
        <v>20</v>
      </c>
      <c r="D123" s="239" t="s">
        <v>2439</v>
      </c>
      <c r="E123" s="239" t="s">
        <v>2440</v>
      </c>
      <c r="F123" s="239" t="s">
        <v>2467</v>
      </c>
      <c r="G123" s="239">
        <v>9</v>
      </c>
      <c r="H123" s="239" t="s">
        <v>928</v>
      </c>
      <c r="I123" s="239" t="s">
        <v>928</v>
      </c>
      <c r="J123" s="239" t="s">
        <v>928</v>
      </c>
      <c r="K123" s="239" t="s">
        <v>2398</v>
      </c>
      <c r="L123" s="239">
        <v>5008.8720400000002</v>
      </c>
      <c r="M123" s="239">
        <v>93</v>
      </c>
      <c r="N123" s="239">
        <v>0</v>
      </c>
      <c r="O123" s="239">
        <v>3209.6118799999999</v>
      </c>
      <c r="P123" s="239">
        <v>0</v>
      </c>
      <c r="Q123" s="239">
        <v>0</v>
      </c>
      <c r="R123" s="239">
        <v>0</v>
      </c>
      <c r="S123" s="239">
        <v>0</v>
      </c>
      <c r="T123" s="239">
        <v>84.000630000000001</v>
      </c>
      <c r="U123" s="239">
        <v>120.74695</v>
      </c>
      <c r="V123" s="239">
        <v>265.00632999999999</v>
      </c>
      <c r="W123" s="239">
        <v>169.43939</v>
      </c>
      <c r="X123" s="239">
        <v>0</v>
      </c>
      <c r="Y123" s="239">
        <v>0</v>
      </c>
      <c r="Z123" s="239">
        <v>890.48900000000003</v>
      </c>
      <c r="AA123" s="239">
        <v>269.57785999999999</v>
      </c>
      <c r="AB123" s="239">
        <v>0</v>
      </c>
      <c r="AC123" s="239">
        <v>0</v>
      </c>
      <c r="AD123" s="239">
        <v>1</v>
      </c>
      <c r="AE123" s="239" t="s">
        <v>20</v>
      </c>
      <c r="AF123" s="239" t="s">
        <v>718</v>
      </c>
      <c r="AG123" s="239">
        <f t="shared" si="6"/>
        <v>2984.9390483999996</v>
      </c>
      <c r="AH123" s="239">
        <f t="shared" si="7"/>
        <v>0</v>
      </c>
      <c r="AI123" s="239">
        <f t="shared" si="8"/>
        <v>0</v>
      </c>
      <c r="AJ123" s="239">
        <f t="shared" si="9"/>
        <v>2984.9390483999996</v>
      </c>
    </row>
    <row r="124" spans="1:36" x14ac:dyDescent="0.2">
      <c r="A124" s="240" t="str">
        <f t="shared" si="5"/>
        <v>3ASNBRON701215</v>
      </c>
      <c r="B124" s="239" t="s">
        <v>19</v>
      </c>
      <c r="C124" s="239" t="s">
        <v>20</v>
      </c>
      <c r="D124" s="239" t="s">
        <v>2468</v>
      </c>
      <c r="E124" s="239" t="s">
        <v>2469</v>
      </c>
      <c r="F124" s="239" t="s">
        <v>2470</v>
      </c>
      <c r="G124" s="239">
        <v>15</v>
      </c>
      <c r="H124" s="239" t="s">
        <v>928</v>
      </c>
      <c r="I124" s="239" t="s">
        <v>2401</v>
      </c>
      <c r="J124" s="239" t="s">
        <v>928</v>
      </c>
      <c r="K124" s="239" t="s">
        <v>2398</v>
      </c>
      <c r="L124" s="239">
        <v>12647.9288</v>
      </c>
      <c r="M124" s="239">
        <v>90</v>
      </c>
      <c r="N124" s="239">
        <v>0</v>
      </c>
      <c r="O124" s="239">
        <v>9333.3333299999995</v>
      </c>
      <c r="P124" s="239">
        <v>0</v>
      </c>
      <c r="Q124" s="239">
        <v>0</v>
      </c>
      <c r="R124" s="239">
        <v>0</v>
      </c>
      <c r="S124" s="239">
        <v>0</v>
      </c>
      <c r="T124" s="239">
        <v>176.00398999999999</v>
      </c>
      <c r="U124" s="239">
        <v>285.87457999999998</v>
      </c>
      <c r="V124" s="239">
        <v>233.00402</v>
      </c>
      <c r="W124" s="239">
        <v>542.52745000000004</v>
      </c>
      <c r="X124" s="239">
        <v>0</v>
      </c>
      <c r="Y124" s="239">
        <v>0</v>
      </c>
      <c r="Z124" s="239">
        <v>1423.1761300000001</v>
      </c>
      <c r="AA124" s="239">
        <v>654.00930000000005</v>
      </c>
      <c r="AB124" s="239">
        <v>0</v>
      </c>
      <c r="AC124" s="239">
        <v>0</v>
      </c>
      <c r="AD124" s="239">
        <v>1</v>
      </c>
      <c r="AE124" s="239" t="s">
        <v>20</v>
      </c>
      <c r="AF124" s="239" t="s">
        <v>718</v>
      </c>
      <c r="AG124" s="239">
        <f t="shared" si="6"/>
        <v>8399.999996999999</v>
      </c>
      <c r="AH124" s="239">
        <f t="shared" si="7"/>
        <v>0</v>
      </c>
      <c r="AI124" s="239">
        <f t="shared" si="8"/>
        <v>0</v>
      </c>
      <c r="AJ124" s="239">
        <f t="shared" si="9"/>
        <v>8399.999996999999</v>
      </c>
    </row>
    <row r="125" spans="1:36" x14ac:dyDescent="0.2">
      <c r="A125" s="240" t="str">
        <f t="shared" si="5"/>
        <v>SNBRON701215</v>
      </c>
      <c r="B125" s="239" t="s">
        <v>19</v>
      </c>
      <c r="C125" s="239" t="s">
        <v>20</v>
      </c>
      <c r="D125" s="239" t="s">
        <v>2468</v>
      </c>
      <c r="E125" s="239" t="s">
        <v>2469</v>
      </c>
      <c r="F125" s="239" t="s">
        <v>2470</v>
      </c>
      <c r="G125" s="239">
        <v>15</v>
      </c>
      <c r="H125" s="239" t="s">
        <v>928</v>
      </c>
      <c r="I125" s="239" t="s">
        <v>928</v>
      </c>
      <c r="J125" s="239" t="s">
        <v>928</v>
      </c>
      <c r="K125" s="239" t="s">
        <v>2398</v>
      </c>
      <c r="L125" s="239">
        <v>12647.92756</v>
      </c>
      <c r="M125" s="239">
        <v>90</v>
      </c>
      <c r="N125" s="239">
        <v>0</v>
      </c>
      <c r="O125" s="239">
        <v>9333.3338399999993</v>
      </c>
      <c r="P125" s="239">
        <v>0</v>
      </c>
      <c r="Q125" s="239">
        <v>0</v>
      </c>
      <c r="R125" s="239">
        <v>0</v>
      </c>
      <c r="S125" s="239">
        <v>0</v>
      </c>
      <c r="T125" s="239">
        <v>176.00505000000001</v>
      </c>
      <c r="U125" s="239">
        <v>285.87306999999998</v>
      </c>
      <c r="V125" s="239">
        <v>233.00389000000001</v>
      </c>
      <c r="W125" s="239">
        <v>542.52524000000005</v>
      </c>
      <c r="X125" s="239">
        <v>0</v>
      </c>
      <c r="Y125" s="239">
        <v>0</v>
      </c>
      <c r="Z125" s="239">
        <v>1423.1769200000001</v>
      </c>
      <c r="AA125" s="239">
        <v>654.00954999999999</v>
      </c>
      <c r="AB125" s="239">
        <v>0</v>
      </c>
      <c r="AC125" s="239">
        <v>0</v>
      </c>
      <c r="AD125" s="239">
        <v>1</v>
      </c>
      <c r="AE125" s="239" t="s">
        <v>20</v>
      </c>
      <c r="AF125" s="239" t="s">
        <v>718</v>
      </c>
      <c r="AG125" s="239">
        <f t="shared" si="6"/>
        <v>8400.0004559999998</v>
      </c>
      <c r="AH125" s="239">
        <f t="shared" si="7"/>
        <v>0</v>
      </c>
      <c r="AI125" s="239">
        <f t="shared" si="8"/>
        <v>0</v>
      </c>
      <c r="AJ125" s="239">
        <f t="shared" si="9"/>
        <v>8400.0004559999998</v>
      </c>
    </row>
    <row r="126" spans="1:36" x14ac:dyDescent="0.2">
      <c r="A126" s="240" t="str">
        <f t="shared" si="5"/>
        <v>3SNCERABKE0938</v>
      </c>
      <c r="B126" s="239" t="s">
        <v>19</v>
      </c>
      <c r="C126" s="239" t="s">
        <v>20</v>
      </c>
      <c r="D126" s="239" t="s">
        <v>21</v>
      </c>
      <c r="E126" s="239" t="s">
        <v>719</v>
      </c>
      <c r="F126" s="239" t="s">
        <v>22</v>
      </c>
      <c r="G126" s="239">
        <v>38</v>
      </c>
      <c r="H126" s="239" t="s">
        <v>928</v>
      </c>
      <c r="I126" s="239" t="s">
        <v>2471</v>
      </c>
      <c r="J126" s="239" t="s">
        <v>928</v>
      </c>
      <c r="K126" s="239" t="s">
        <v>2398</v>
      </c>
      <c r="L126" s="239">
        <v>12.838340000000001</v>
      </c>
      <c r="M126" s="239">
        <v>98.2</v>
      </c>
      <c r="N126" s="239">
        <v>0</v>
      </c>
      <c r="O126" s="239">
        <v>0</v>
      </c>
      <c r="P126" s="239">
        <v>0</v>
      </c>
      <c r="Q126" s="239">
        <v>0</v>
      </c>
      <c r="R126" s="239">
        <v>0</v>
      </c>
      <c r="S126" s="239">
        <v>0</v>
      </c>
      <c r="T126" s="239">
        <v>3.7100499999999998</v>
      </c>
      <c r="U126" s="239">
        <v>0.84792999999999996</v>
      </c>
      <c r="V126" s="239">
        <v>0.36806</v>
      </c>
      <c r="W126" s="239">
        <v>1.39794</v>
      </c>
      <c r="X126" s="239">
        <v>0</v>
      </c>
      <c r="Y126" s="239">
        <v>0</v>
      </c>
      <c r="Z126" s="239">
        <v>4.5371499999999996</v>
      </c>
      <c r="AA126" s="239">
        <v>1.9772099999999999</v>
      </c>
      <c r="AB126" s="239">
        <v>0</v>
      </c>
      <c r="AC126" s="239">
        <v>0</v>
      </c>
      <c r="AD126" s="239">
        <v>1</v>
      </c>
      <c r="AE126" s="239" t="s">
        <v>20</v>
      </c>
      <c r="AF126" s="239" t="s">
        <v>718</v>
      </c>
      <c r="AG126" s="239">
        <f t="shared" si="6"/>
        <v>0</v>
      </c>
      <c r="AH126" s="239">
        <f t="shared" si="7"/>
        <v>0</v>
      </c>
      <c r="AI126" s="239">
        <f t="shared" si="8"/>
        <v>0</v>
      </c>
      <c r="AJ126" s="239">
        <f t="shared" si="9"/>
        <v>0</v>
      </c>
    </row>
    <row r="127" spans="1:36" x14ac:dyDescent="0.2">
      <c r="A127" s="240" t="str">
        <f t="shared" si="5"/>
        <v>331SNCERABKE0938</v>
      </c>
      <c r="B127" s="239" t="s">
        <v>19</v>
      </c>
      <c r="C127" s="239" t="s">
        <v>20</v>
      </c>
      <c r="D127" s="239" t="s">
        <v>21</v>
      </c>
      <c r="E127" s="239" t="s">
        <v>719</v>
      </c>
      <c r="F127" s="239" t="s">
        <v>22</v>
      </c>
      <c r="G127" s="239">
        <v>38</v>
      </c>
      <c r="H127" s="239" t="s">
        <v>928</v>
      </c>
      <c r="I127" s="239" t="s">
        <v>2472</v>
      </c>
      <c r="J127" s="239" t="s">
        <v>928</v>
      </c>
      <c r="K127" s="239" t="s">
        <v>2398</v>
      </c>
      <c r="L127" s="239">
        <v>10.70514</v>
      </c>
      <c r="M127" s="239">
        <v>96.8</v>
      </c>
      <c r="N127" s="239">
        <v>0</v>
      </c>
      <c r="O127" s="239">
        <v>0</v>
      </c>
      <c r="P127" s="239">
        <v>0</v>
      </c>
      <c r="Q127" s="239">
        <v>0</v>
      </c>
      <c r="R127" s="239">
        <v>0</v>
      </c>
      <c r="S127" s="239">
        <v>0</v>
      </c>
      <c r="T127" s="239">
        <v>3.7100499999999998</v>
      </c>
      <c r="U127" s="239">
        <v>0.73594000000000004</v>
      </c>
      <c r="V127" s="239">
        <v>0.27604000000000001</v>
      </c>
      <c r="W127" s="239">
        <v>1.0509599999999999</v>
      </c>
      <c r="X127" s="239">
        <v>0</v>
      </c>
      <c r="Y127" s="239">
        <v>0</v>
      </c>
      <c r="Z127" s="239">
        <v>3.4427099999999999</v>
      </c>
      <c r="AA127" s="239">
        <v>1.4894400000000001</v>
      </c>
      <c r="AB127" s="239">
        <v>0</v>
      </c>
      <c r="AC127" s="239">
        <v>0</v>
      </c>
      <c r="AD127" s="239">
        <v>1</v>
      </c>
      <c r="AE127" s="239" t="s">
        <v>20</v>
      </c>
      <c r="AF127" s="239" t="s">
        <v>718</v>
      </c>
      <c r="AG127" s="239">
        <f t="shared" si="6"/>
        <v>0</v>
      </c>
      <c r="AH127" s="239">
        <f t="shared" si="7"/>
        <v>0</v>
      </c>
      <c r="AI127" s="239">
        <f t="shared" si="8"/>
        <v>0</v>
      </c>
      <c r="AJ127" s="239">
        <f t="shared" si="9"/>
        <v>0</v>
      </c>
    </row>
    <row r="128" spans="1:36" x14ac:dyDescent="0.2">
      <c r="A128" s="240" t="str">
        <f t="shared" si="5"/>
        <v>331SNCERABKERXT25</v>
      </c>
      <c r="B128" s="239" t="s">
        <v>19</v>
      </c>
      <c r="C128" s="239" t="s">
        <v>20</v>
      </c>
      <c r="D128" s="239" t="s">
        <v>21</v>
      </c>
      <c r="E128" s="239" t="s">
        <v>719</v>
      </c>
      <c r="F128" s="239" t="s">
        <v>33</v>
      </c>
      <c r="G128" s="239">
        <v>25</v>
      </c>
      <c r="H128" s="239" t="s">
        <v>928</v>
      </c>
      <c r="I128" s="239" t="s">
        <v>2472</v>
      </c>
      <c r="J128" s="239" t="s">
        <v>928</v>
      </c>
      <c r="K128" s="239" t="s">
        <v>2398</v>
      </c>
      <c r="L128" s="239">
        <v>12.3813</v>
      </c>
      <c r="M128" s="239">
        <v>97</v>
      </c>
      <c r="N128" s="239">
        <v>0</v>
      </c>
      <c r="O128" s="239">
        <v>0</v>
      </c>
      <c r="P128" s="239">
        <v>0</v>
      </c>
      <c r="Q128" s="239">
        <v>0</v>
      </c>
      <c r="R128" s="239">
        <v>0</v>
      </c>
      <c r="S128" s="239">
        <v>0</v>
      </c>
      <c r="T128" s="239">
        <v>3.7100499999999998</v>
      </c>
      <c r="U128" s="239">
        <v>0.59594999999999998</v>
      </c>
      <c r="V128" s="239">
        <v>0.30204999999999999</v>
      </c>
      <c r="W128" s="239">
        <v>1.20695</v>
      </c>
      <c r="X128" s="239">
        <v>0</v>
      </c>
      <c r="Y128" s="239">
        <v>0</v>
      </c>
      <c r="Z128" s="239">
        <v>4.8122800000000003</v>
      </c>
      <c r="AA128" s="239">
        <v>1.7540199999999999</v>
      </c>
      <c r="AB128" s="239">
        <v>0</v>
      </c>
      <c r="AC128" s="239">
        <v>0</v>
      </c>
      <c r="AD128" s="239">
        <v>1</v>
      </c>
      <c r="AE128" s="239" t="s">
        <v>20</v>
      </c>
      <c r="AF128" s="239" t="s">
        <v>718</v>
      </c>
      <c r="AG128" s="239">
        <f t="shared" si="6"/>
        <v>0</v>
      </c>
      <c r="AH128" s="239">
        <f t="shared" si="7"/>
        <v>0</v>
      </c>
      <c r="AI128" s="239">
        <f t="shared" si="8"/>
        <v>0</v>
      </c>
      <c r="AJ128" s="239">
        <f t="shared" si="9"/>
        <v>0</v>
      </c>
    </row>
    <row r="129" spans="1:36" x14ac:dyDescent="0.2">
      <c r="A129" s="240" t="str">
        <f t="shared" si="5"/>
        <v>330SNCERABKERXT38</v>
      </c>
      <c r="B129" s="239" t="s">
        <v>19</v>
      </c>
      <c r="C129" s="239" t="s">
        <v>20</v>
      </c>
      <c r="D129" s="239" t="s">
        <v>21</v>
      </c>
      <c r="E129" s="239" t="s">
        <v>719</v>
      </c>
      <c r="F129" s="239" t="s">
        <v>33</v>
      </c>
      <c r="G129" s="239">
        <v>38</v>
      </c>
      <c r="H129" s="239" t="s">
        <v>928</v>
      </c>
      <c r="I129" s="239" t="s">
        <v>2473</v>
      </c>
      <c r="J129" s="239" t="s">
        <v>928</v>
      </c>
      <c r="K129" s="239" t="s">
        <v>2398</v>
      </c>
      <c r="L129" s="239">
        <v>13.031750000000001</v>
      </c>
      <c r="M129" s="239">
        <v>94.5</v>
      </c>
      <c r="N129" s="239">
        <v>0</v>
      </c>
      <c r="O129" s="239">
        <v>0</v>
      </c>
      <c r="P129" s="239">
        <v>0</v>
      </c>
      <c r="Q129" s="239">
        <v>0</v>
      </c>
      <c r="R129" s="239">
        <v>0</v>
      </c>
      <c r="S129" s="239">
        <v>0</v>
      </c>
      <c r="T129" s="239">
        <v>3.7100499999999998</v>
      </c>
      <c r="U129" s="239">
        <v>0.91791999999999996</v>
      </c>
      <c r="V129" s="239">
        <v>0.31104999999999999</v>
      </c>
      <c r="W129" s="239">
        <v>1.2459499999999999</v>
      </c>
      <c r="X129" s="239">
        <v>0</v>
      </c>
      <c r="Y129" s="239">
        <v>0</v>
      </c>
      <c r="Z129" s="239">
        <v>5.0285299999999999</v>
      </c>
      <c r="AA129" s="239">
        <v>1.8182499999999999</v>
      </c>
      <c r="AB129" s="239">
        <v>0</v>
      </c>
      <c r="AC129" s="239">
        <v>0</v>
      </c>
      <c r="AD129" s="239">
        <v>1</v>
      </c>
      <c r="AE129" s="239" t="s">
        <v>20</v>
      </c>
      <c r="AF129" s="239" t="s">
        <v>718</v>
      </c>
      <c r="AG129" s="239">
        <f t="shared" si="6"/>
        <v>0</v>
      </c>
      <c r="AH129" s="239">
        <f t="shared" si="7"/>
        <v>0</v>
      </c>
      <c r="AI129" s="239">
        <f t="shared" si="8"/>
        <v>0</v>
      </c>
      <c r="AJ129" s="239">
        <f t="shared" si="9"/>
        <v>0</v>
      </c>
    </row>
    <row r="130" spans="1:36" x14ac:dyDescent="0.2">
      <c r="A130" s="240" t="str">
        <f t="shared" si="5"/>
        <v>331SNCERABKERXT38</v>
      </c>
      <c r="B130" s="239" t="s">
        <v>19</v>
      </c>
      <c r="C130" s="239" t="s">
        <v>20</v>
      </c>
      <c r="D130" s="239" t="s">
        <v>21</v>
      </c>
      <c r="E130" s="239" t="s">
        <v>719</v>
      </c>
      <c r="F130" s="239" t="s">
        <v>33</v>
      </c>
      <c r="G130" s="239">
        <v>38</v>
      </c>
      <c r="H130" s="239" t="s">
        <v>928</v>
      </c>
      <c r="I130" s="239" t="s">
        <v>2472</v>
      </c>
      <c r="J130" s="239" t="s">
        <v>928</v>
      </c>
      <c r="K130" s="239" t="s">
        <v>2398</v>
      </c>
      <c r="L130" s="239">
        <v>12.393599999999999</v>
      </c>
      <c r="M130" s="239">
        <v>97.1</v>
      </c>
      <c r="N130" s="239">
        <v>0</v>
      </c>
      <c r="O130" s="239">
        <v>0</v>
      </c>
      <c r="P130" s="239">
        <v>0</v>
      </c>
      <c r="Q130" s="239">
        <v>0</v>
      </c>
      <c r="R130" s="239">
        <v>0</v>
      </c>
      <c r="S130" s="239">
        <v>0</v>
      </c>
      <c r="T130" s="239">
        <v>3.7100499999999998</v>
      </c>
      <c r="U130" s="239">
        <v>0.59594999999999998</v>
      </c>
      <c r="V130" s="239">
        <v>0.30304999999999999</v>
      </c>
      <c r="W130" s="239">
        <v>1.2079500000000001</v>
      </c>
      <c r="X130" s="239">
        <v>0</v>
      </c>
      <c r="Y130" s="239">
        <v>0</v>
      </c>
      <c r="Z130" s="239">
        <v>4.8204099999999999</v>
      </c>
      <c r="AA130" s="239">
        <v>1.7561899999999999</v>
      </c>
      <c r="AB130" s="239">
        <v>0</v>
      </c>
      <c r="AC130" s="239">
        <v>0</v>
      </c>
      <c r="AD130" s="239">
        <v>1</v>
      </c>
      <c r="AE130" s="239" t="s">
        <v>20</v>
      </c>
      <c r="AF130" s="239" t="s">
        <v>718</v>
      </c>
      <c r="AG130" s="239">
        <f t="shared" si="6"/>
        <v>0</v>
      </c>
      <c r="AH130" s="239">
        <f t="shared" si="7"/>
        <v>0</v>
      </c>
      <c r="AI130" s="239">
        <f t="shared" si="8"/>
        <v>0</v>
      </c>
      <c r="AJ130" s="239">
        <f t="shared" si="9"/>
        <v>0</v>
      </c>
    </row>
    <row r="131" spans="1:36" x14ac:dyDescent="0.2">
      <c r="A131" s="240" t="str">
        <f t="shared" si="5"/>
        <v>3SNCERABKU25</v>
      </c>
      <c r="B131" s="239" t="s">
        <v>19</v>
      </c>
      <c r="C131" s="239" t="s">
        <v>20</v>
      </c>
      <c r="D131" s="239" t="s">
        <v>21</v>
      </c>
      <c r="E131" s="239" t="s">
        <v>719</v>
      </c>
      <c r="F131" s="239" t="s">
        <v>36</v>
      </c>
      <c r="G131" s="239">
        <v>25</v>
      </c>
      <c r="H131" s="239" t="s">
        <v>928</v>
      </c>
      <c r="I131" s="239" t="s">
        <v>2471</v>
      </c>
      <c r="J131" s="239" t="s">
        <v>928</v>
      </c>
      <c r="K131" s="239" t="s">
        <v>2398</v>
      </c>
      <c r="L131" s="239">
        <v>36.513280000000002</v>
      </c>
      <c r="M131" s="239">
        <v>90</v>
      </c>
      <c r="N131" s="239">
        <v>0</v>
      </c>
      <c r="O131" s="239">
        <v>17.88889</v>
      </c>
      <c r="P131" s="239">
        <v>0</v>
      </c>
      <c r="Q131" s="239">
        <v>0</v>
      </c>
      <c r="R131" s="239">
        <v>0</v>
      </c>
      <c r="S131" s="239">
        <v>0</v>
      </c>
      <c r="T131" s="239">
        <v>2.2000299999999999</v>
      </c>
      <c r="U131" s="239">
        <v>1.6628499999999999</v>
      </c>
      <c r="V131" s="239">
        <v>0.50607999999999997</v>
      </c>
      <c r="W131" s="239">
        <v>2.0769099999999998</v>
      </c>
      <c r="X131" s="239">
        <v>0</v>
      </c>
      <c r="Y131" s="239">
        <v>0</v>
      </c>
      <c r="Z131" s="239">
        <v>9.1027299999999993</v>
      </c>
      <c r="AA131" s="239">
        <v>3.07579</v>
      </c>
      <c r="AB131" s="239">
        <v>0</v>
      </c>
      <c r="AC131" s="239">
        <v>0</v>
      </c>
      <c r="AD131" s="239">
        <v>1</v>
      </c>
      <c r="AE131" s="239" t="s">
        <v>20</v>
      </c>
      <c r="AF131" s="239" t="s">
        <v>718</v>
      </c>
      <c r="AG131" s="239">
        <f t="shared" si="6"/>
        <v>16.100000999999999</v>
      </c>
      <c r="AH131" s="239">
        <f t="shared" si="7"/>
        <v>0</v>
      </c>
      <c r="AI131" s="239">
        <f t="shared" si="8"/>
        <v>0</v>
      </c>
      <c r="AJ131" s="239">
        <f t="shared" si="9"/>
        <v>16.100000999999999</v>
      </c>
    </row>
    <row r="132" spans="1:36" x14ac:dyDescent="0.2">
      <c r="A132" s="240" t="str">
        <f t="shared" ref="A132:A195" si="10">TRIM(I132&amp;B132&amp;C132&amp;D132&amp;F132&amp;G132)</f>
        <v>3SNCERABKUK25</v>
      </c>
      <c r="B132" s="239" t="s">
        <v>19</v>
      </c>
      <c r="C132" s="239" t="s">
        <v>20</v>
      </c>
      <c r="D132" s="239" t="s">
        <v>21</v>
      </c>
      <c r="E132" s="239" t="s">
        <v>719</v>
      </c>
      <c r="F132" s="239" t="s">
        <v>42</v>
      </c>
      <c r="G132" s="239">
        <v>25</v>
      </c>
      <c r="H132" s="239" t="s">
        <v>928</v>
      </c>
      <c r="I132" s="239" t="s">
        <v>2471</v>
      </c>
      <c r="J132" s="239" t="s">
        <v>928</v>
      </c>
      <c r="K132" s="239" t="s">
        <v>2398</v>
      </c>
      <c r="L132" s="239">
        <v>29.072340000000001</v>
      </c>
      <c r="M132" s="239">
        <v>95</v>
      </c>
      <c r="N132" s="239">
        <v>0</v>
      </c>
      <c r="O132" s="239">
        <v>16.44211</v>
      </c>
      <c r="P132" s="239">
        <v>0</v>
      </c>
      <c r="Q132" s="239">
        <v>0</v>
      </c>
      <c r="R132" s="239">
        <v>0</v>
      </c>
      <c r="S132" s="239">
        <v>0</v>
      </c>
      <c r="T132" s="239">
        <v>2.2000299999999999</v>
      </c>
      <c r="U132" s="239">
        <v>1.37188</v>
      </c>
      <c r="V132" s="239">
        <v>0.39506000000000002</v>
      </c>
      <c r="W132" s="239">
        <v>1.5109399999999999</v>
      </c>
      <c r="X132" s="239">
        <v>0</v>
      </c>
      <c r="Y132" s="239">
        <v>0</v>
      </c>
      <c r="Z132" s="239">
        <v>5.0041700000000002</v>
      </c>
      <c r="AA132" s="239">
        <v>2.1481499999999998</v>
      </c>
      <c r="AB132" s="239">
        <v>0</v>
      </c>
      <c r="AC132" s="239">
        <v>0</v>
      </c>
      <c r="AD132" s="239">
        <v>1</v>
      </c>
      <c r="AE132" s="239" t="s">
        <v>20</v>
      </c>
      <c r="AF132" s="239" t="s">
        <v>718</v>
      </c>
      <c r="AG132" s="239">
        <f t="shared" si="6"/>
        <v>15.6200045</v>
      </c>
      <c r="AH132" s="239">
        <f t="shared" si="7"/>
        <v>0</v>
      </c>
      <c r="AI132" s="239">
        <f t="shared" si="8"/>
        <v>0</v>
      </c>
      <c r="AJ132" s="239">
        <f t="shared" si="9"/>
        <v>15.6200045</v>
      </c>
    </row>
    <row r="133" spans="1:36" x14ac:dyDescent="0.2">
      <c r="A133" s="240" t="str">
        <f t="shared" si="10"/>
        <v>9SNCERABKUN25</v>
      </c>
      <c r="B133" s="239" t="s">
        <v>19</v>
      </c>
      <c r="C133" s="239" t="s">
        <v>20</v>
      </c>
      <c r="D133" s="239" t="s">
        <v>21</v>
      </c>
      <c r="E133" s="239" t="s">
        <v>719</v>
      </c>
      <c r="F133" s="239" t="s">
        <v>2474</v>
      </c>
      <c r="G133" s="239">
        <v>25</v>
      </c>
      <c r="H133" s="239" t="s">
        <v>928</v>
      </c>
      <c r="I133" s="239" t="s">
        <v>2475</v>
      </c>
      <c r="J133" s="239" t="s">
        <v>928</v>
      </c>
      <c r="K133" s="239" t="s">
        <v>2398</v>
      </c>
      <c r="L133" s="239">
        <v>40.947369999999999</v>
      </c>
      <c r="M133" s="239">
        <v>95</v>
      </c>
      <c r="N133" s="239">
        <v>0</v>
      </c>
      <c r="O133" s="239">
        <v>16.947369999999999</v>
      </c>
      <c r="P133" s="239">
        <v>0</v>
      </c>
      <c r="Q133" s="239">
        <v>24</v>
      </c>
      <c r="R133" s="239">
        <v>0</v>
      </c>
      <c r="S133" s="239">
        <v>0</v>
      </c>
      <c r="T133" s="239">
        <v>0</v>
      </c>
      <c r="U133" s="239">
        <v>0</v>
      </c>
      <c r="V133" s="239">
        <v>0</v>
      </c>
      <c r="W133" s="239">
        <v>0</v>
      </c>
      <c r="X133" s="239">
        <v>0</v>
      </c>
      <c r="Y133" s="239">
        <v>0</v>
      </c>
      <c r="Z133" s="239">
        <v>0</v>
      </c>
      <c r="AA133" s="239">
        <v>0</v>
      </c>
      <c r="AB133" s="239">
        <v>0</v>
      </c>
      <c r="AC133" s="239">
        <v>0</v>
      </c>
      <c r="AD133" s="239">
        <v>1</v>
      </c>
      <c r="AE133" s="239" t="s">
        <v>20</v>
      </c>
      <c r="AF133" s="239" t="s">
        <v>718</v>
      </c>
      <c r="AG133" s="239">
        <f t="shared" ref="AG133:AG197" si="11">+O133*M133/100</f>
        <v>16.100001499999998</v>
      </c>
      <c r="AH133" s="239">
        <f t="shared" ref="AH133:AH197" si="12">+P133*M133/100</f>
        <v>0</v>
      </c>
      <c r="AI133" s="239">
        <f t="shared" ref="AI133:AI197" si="13">+AB133*M133/100</f>
        <v>0</v>
      </c>
      <c r="AJ133" s="239">
        <f t="shared" ref="AJ133:AJ197" si="14">+AG133+AH133+AI133</f>
        <v>16.100001499999998</v>
      </c>
    </row>
    <row r="134" spans="1:36" x14ac:dyDescent="0.2">
      <c r="A134" s="240" t="str">
        <f t="shared" si="10"/>
        <v>3SNCERABX8ARX25</v>
      </c>
      <c r="B134" s="239" t="s">
        <v>19</v>
      </c>
      <c r="C134" s="239" t="s">
        <v>20</v>
      </c>
      <c r="D134" s="239" t="s">
        <v>21</v>
      </c>
      <c r="E134" s="239" t="s">
        <v>719</v>
      </c>
      <c r="F134" s="239" t="s">
        <v>47</v>
      </c>
      <c r="G134" s="239">
        <v>25</v>
      </c>
      <c r="H134" s="239" t="s">
        <v>928</v>
      </c>
      <c r="I134" s="239" t="s">
        <v>2471</v>
      </c>
      <c r="J134" s="239" t="s">
        <v>928</v>
      </c>
      <c r="K134" s="239" t="s">
        <v>2398</v>
      </c>
      <c r="L134" s="239">
        <v>18.830970000000001</v>
      </c>
      <c r="M134" s="239">
        <v>92.8</v>
      </c>
      <c r="N134" s="239">
        <v>0</v>
      </c>
      <c r="O134" s="239">
        <v>0</v>
      </c>
      <c r="P134" s="239">
        <v>0</v>
      </c>
      <c r="Q134" s="239">
        <v>0</v>
      </c>
      <c r="R134" s="239">
        <v>0</v>
      </c>
      <c r="S134" s="239">
        <v>0</v>
      </c>
      <c r="T134" s="239">
        <v>5.3000699999999998</v>
      </c>
      <c r="U134" s="239">
        <v>2.0788199999999999</v>
      </c>
      <c r="V134" s="239">
        <v>0.37206</v>
      </c>
      <c r="W134" s="239">
        <v>1.5589299999999999</v>
      </c>
      <c r="X134" s="239">
        <v>0</v>
      </c>
      <c r="Y134" s="239">
        <v>0</v>
      </c>
      <c r="Z134" s="239">
        <v>7.1595399999999998</v>
      </c>
      <c r="AA134" s="239">
        <v>2.3615499999999998</v>
      </c>
      <c r="AB134" s="239">
        <v>0</v>
      </c>
      <c r="AC134" s="239">
        <v>0</v>
      </c>
      <c r="AD134" s="239">
        <v>1</v>
      </c>
      <c r="AE134" s="239" t="s">
        <v>20</v>
      </c>
      <c r="AF134" s="239" t="s">
        <v>718</v>
      </c>
      <c r="AG134" s="239">
        <f t="shared" si="11"/>
        <v>0</v>
      </c>
      <c r="AH134" s="239">
        <f t="shared" si="12"/>
        <v>0</v>
      </c>
      <c r="AI134" s="239">
        <f t="shared" si="13"/>
        <v>0</v>
      </c>
      <c r="AJ134" s="239">
        <f t="shared" si="14"/>
        <v>0</v>
      </c>
    </row>
    <row r="135" spans="1:36" x14ac:dyDescent="0.2">
      <c r="A135" s="240" t="str">
        <f t="shared" si="10"/>
        <v>3SNCERABX8ARX38</v>
      </c>
      <c r="B135" s="239" t="s">
        <v>19</v>
      </c>
      <c r="C135" s="239" t="s">
        <v>20</v>
      </c>
      <c r="D135" s="239" t="s">
        <v>21</v>
      </c>
      <c r="E135" s="239" t="s">
        <v>719</v>
      </c>
      <c r="F135" s="239" t="s">
        <v>47</v>
      </c>
      <c r="G135" s="239">
        <v>38</v>
      </c>
      <c r="H135" s="239" t="s">
        <v>928</v>
      </c>
      <c r="I135" s="239" t="s">
        <v>2471</v>
      </c>
      <c r="J135" s="239" t="s">
        <v>928</v>
      </c>
      <c r="K135" s="239" t="s">
        <v>2398</v>
      </c>
      <c r="L135" s="239">
        <v>20.771979999999999</v>
      </c>
      <c r="M135" s="239">
        <v>91</v>
      </c>
      <c r="N135" s="239">
        <v>0</v>
      </c>
      <c r="O135" s="239">
        <v>0</v>
      </c>
      <c r="P135" s="239">
        <v>0</v>
      </c>
      <c r="Q135" s="239">
        <v>0</v>
      </c>
      <c r="R135" s="239">
        <v>0</v>
      </c>
      <c r="S135" s="239">
        <v>0</v>
      </c>
      <c r="T135" s="239">
        <v>5.3000699999999998</v>
      </c>
      <c r="U135" s="239">
        <v>1.9358299999999999</v>
      </c>
      <c r="V135" s="239">
        <v>0.45506999999999997</v>
      </c>
      <c r="W135" s="239">
        <v>1.8789199999999999</v>
      </c>
      <c r="X135" s="239">
        <v>0</v>
      </c>
      <c r="Y135" s="239">
        <v>0</v>
      </c>
      <c r="Z135" s="239">
        <v>8.4083000000000006</v>
      </c>
      <c r="AA135" s="239">
        <v>2.79379</v>
      </c>
      <c r="AB135" s="239">
        <v>0</v>
      </c>
      <c r="AC135" s="239">
        <v>0</v>
      </c>
      <c r="AD135" s="239">
        <v>1</v>
      </c>
      <c r="AE135" s="239" t="s">
        <v>20</v>
      </c>
      <c r="AF135" s="239" t="s">
        <v>718</v>
      </c>
      <c r="AG135" s="239">
        <f t="shared" si="11"/>
        <v>0</v>
      </c>
      <c r="AH135" s="239">
        <f t="shared" si="12"/>
        <v>0</v>
      </c>
      <c r="AI135" s="239">
        <f t="shared" si="13"/>
        <v>0</v>
      </c>
      <c r="AJ135" s="239">
        <f t="shared" si="14"/>
        <v>0</v>
      </c>
    </row>
    <row r="136" spans="1:36" x14ac:dyDescent="0.2">
      <c r="A136" s="240" t="str">
        <f t="shared" si="10"/>
        <v>331SNCERABX8ARXA38</v>
      </c>
      <c r="B136" s="239" t="s">
        <v>19</v>
      </c>
      <c r="C136" s="239" t="s">
        <v>20</v>
      </c>
      <c r="D136" s="239" t="s">
        <v>21</v>
      </c>
      <c r="E136" s="239" t="s">
        <v>719</v>
      </c>
      <c r="F136" s="239" t="s">
        <v>52</v>
      </c>
      <c r="G136" s="239">
        <v>38</v>
      </c>
      <c r="H136" s="239" t="s">
        <v>928</v>
      </c>
      <c r="I136" s="239" t="s">
        <v>2472</v>
      </c>
      <c r="J136" s="239" t="s">
        <v>928</v>
      </c>
      <c r="K136" s="239" t="s">
        <v>2398</v>
      </c>
      <c r="L136" s="239">
        <v>15.0321</v>
      </c>
      <c r="M136" s="239">
        <v>97.2</v>
      </c>
      <c r="N136" s="239">
        <v>0</v>
      </c>
      <c r="O136" s="239">
        <v>0</v>
      </c>
      <c r="P136" s="239">
        <v>0</v>
      </c>
      <c r="Q136" s="239">
        <v>0</v>
      </c>
      <c r="R136" s="239">
        <v>0</v>
      </c>
      <c r="S136" s="239">
        <v>0</v>
      </c>
      <c r="T136" s="239">
        <v>5.3000699999999998</v>
      </c>
      <c r="U136" s="239">
        <v>0.59594999999999998</v>
      </c>
      <c r="V136" s="239">
        <v>0.40605999999999998</v>
      </c>
      <c r="W136" s="239">
        <v>1.54294</v>
      </c>
      <c r="X136" s="239">
        <v>0</v>
      </c>
      <c r="Y136" s="239">
        <v>0</v>
      </c>
      <c r="Z136" s="239">
        <v>5.0051800000000002</v>
      </c>
      <c r="AA136" s="239">
        <v>2.1819000000000002</v>
      </c>
      <c r="AB136" s="239">
        <v>0</v>
      </c>
      <c r="AC136" s="239">
        <v>0</v>
      </c>
      <c r="AD136" s="239">
        <v>1</v>
      </c>
      <c r="AE136" s="239" t="s">
        <v>20</v>
      </c>
      <c r="AF136" s="239" t="s">
        <v>718</v>
      </c>
      <c r="AG136" s="239">
        <f t="shared" si="11"/>
        <v>0</v>
      </c>
      <c r="AH136" s="239">
        <f t="shared" si="12"/>
        <v>0</v>
      </c>
      <c r="AI136" s="239">
        <f t="shared" si="13"/>
        <v>0</v>
      </c>
      <c r="AJ136" s="239">
        <f t="shared" si="14"/>
        <v>0</v>
      </c>
    </row>
    <row r="137" spans="1:36" x14ac:dyDescent="0.2">
      <c r="A137" s="240" t="str">
        <f t="shared" si="10"/>
        <v>331SNCERABX8ARXT38</v>
      </c>
      <c r="B137" s="239" t="s">
        <v>19</v>
      </c>
      <c r="C137" s="239" t="s">
        <v>20</v>
      </c>
      <c r="D137" s="239" t="s">
        <v>21</v>
      </c>
      <c r="E137" s="239" t="s">
        <v>719</v>
      </c>
      <c r="F137" s="239" t="s">
        <v>54</v>
      </c>
      <c r="G137" s="239">
        <v>38</v>
      </c>
      <c r="H137" s="239" t="s">
        <v>928</v>
      </c>
      <c r="I137" s="239" t="s">
        <v>2472</v>
      </c>
      <c r="J137" s="239" t="s">
        <v>928</v>
      </c>
      <c r="K137" s="239" t="s">
        <v>2398</v>
      </c>
      <c r="L137" s="239">
        <v>16.358969999999999</v>
      </c>
      <c r="M137" s="239">
        <v>97.2</v>
      </c>
      <c r="N137" s="239">
        <v>0</v>
      </c>
      <c r="O137" s="239">
        <v>0</v>
      </c>
      <c r="P137" s="239">
        <v>0</v>
      </c>
      <c r="Q137" s="239">
        <v>0</v>
      </c>
      <c r="R137" s="239">
        <v>0</v>
      </c>
      <c r="S137" s="239">
        <v>0</v>
      </c>
      <c r="T137" s="239">
        <v>5.3000699999999998</v>
      </c>
      <c r="U137" s="239">
        <v>0.59594999999999998</v>
      </c>
      <c r="V137" s="239">
        <v>0.40605999999999998</v>
      </c>
      <c r="W137" s="239">
        <v>1.6019300000000001</v>
      </c>
      <c r="X137" s="239">
        <v>0</v>
      </c>
      <c r="Y137" s="239">
        <v>0</v>
      </c>
      <c r="Z137" s="239">
        <v>6.1402299999999999</v>
      </c>
      <c r="AA137" s="239">
        <v>2.31473</v>
      </c>
      <c r="AB137" s="239">
        <v>0</v>
      </c>
      <c r="AC137" s="239">
        <v>0</v>
      </c>
      <c r="AD137" s="239">
        <v>1</v>
      </c>
      <c r="AE137" s="239" t="s">
        <v>20</v>
      </c>
      <c r="AF137" s="239" t="s">
        <v>718</v>
      </c>
      <c r="AG137" s="239">
        <f t="shared" si="11"/>
        <v>0</v>
      </c>
      <c r="AH137" s="239">
        <f t="shared" si="12"/>
        <v>0</v>
      </c>
      <c r="AI137" s="239">
        <f t="shared" si="13"/>
        <v>0</v>
      </c>
      <c r="AJ137" s="239">
        <f t="shared" si="14"/>
        <v>0</v>
      </c>
    </row>
    <row r="138" spans="1:36" x14ac:dyDescent="0.2">
      <c r="A138" s="240" t="str">
        <f t="shared" si="10"/>
        <v>3SYCERABX8AS75</v>
      </c>
      <c r="B138" s="239" t="s">
        <v>19</v>
      </c>
      <c r="C138" s="239" t="s">
        <v>2476</v>
      </c>
      <c r="D138" s="239" t="s">
        <v>21</v>
      </c>
      <c r="E138" s="239" t="s">
        <v>719</v>
      </c>
      <c r="F138" s="239" t="s">
        <v>465</v>
      </c>
      <c r="G138" s="239">
        <v>75</v>
      </c>
      <c r="H138" s="239" t="s">
        <v>928</v>
      </c>
      <c r="I138" s="239" t="s">
        <v>2471</v>
      </c>
      <c r="J138" s="239" t="s">
        <v>928</v>
      </c>
      <c r="K138" s="239" t="s">
        <v>2398</v>
      </c>
      <c r="L138" s="239">
        <v>27.012219999999999</v>
      </c>
      <c r="M138" s="239">
        <v>96</v>
      </c>
      <c r="N138" s="239">
        <v>0</v>
      </c>
      <c r="O138" s="239">
        <v>0</v>
      </c>
      <c r="P138" s="239">
        <v>0</v>
      </c>
      <c r="Q138" s="239">
        <v>0</v>
      </c>
      <c r="R138" s="239">
        <v>0</v>
      </c>
      <c r="S138" s="239">
        <v>0</v>
      </c>
      <c r="T138" s="239">
        <v>5.3000699999999998</v>
      </c>
      <c r="U138" s="239">
        <v>5.6315099999999996</v>
      </c>
      <c r="V138" s="239">
        <v>0.70511000000000001</v>
      </c>
      <c r="W138" s="239">
        <v>2.6918899999999999</v>
      </c>
      <c r="X138" s="239">
        <v>0</v>
      </c>
      <c r="Y138" s="239">
        <v>0</v>
      </c>
      <c r="Z138" s="239">
        <v>8.86313</v>
      </c>
      <c r="AA138" s="239">
        <v>3.8205100000000001</v>
      </c>
      <c r="AB138" s="239">
        <v>0</v>
      </c>
      <c r="AC138" s="239">
        <v>0</v>
      </c>
      <c r="AD138" s="239">
        <v>1</v>
      </c>
      <c r="AE138" s="239" t="s">
        <v>20</v>
      </c>
      <c r="AF138" s="239" t="s">
        <v>718</v>
      </c>
      <c r="AG138" s="239">
        <f t="shared" si="11"/>
        <v>0</v>
      </c>
      <c r="AH138" s="239">
        <f t="shared" si="12"/>
        <v>0</v>
      </c>
      <c r="AI138" s="239">
        <f t="shared" si="13"/>
        <v>0</v>
      </c>
      <c r="AJ138" s="239">
        <f t="shared" si="14"/>
        <v>0</v>
      </c>
    </row>
    <row r="139" spans="1:36" x14ac:dyDescent="0.2">
      <c r="A139" s="240" t="str">
        <f t="shared" si="10"/>
        <v>3SNCERABX8AX75</v>
      </c>
      <c r="B139" s="239" t="s">
        <v>19</v>
      </c>
      <c r="C139" s="239" t="s">
        <v>20</v>
      </c>
      <c r="D139" s="239" t="s">
        <v>21</v>
      </c>
      <c r="E139" s="239" t="s">
        <v>719</v>
      </c>
      <c r="F139" s="239" t="s">
        <v>56</v>
      </c>
      <c r="G139" s="239">
        <v>75</v>
      </c>
      <c r="H139" s="239" t="s">
        <v>928</v>
      </c>
      <c r="I139" s="239" t="s">
        <v>2471</v>
      </c>
      <c r="J139" s="239" t="s">
        <v>928</v>
      </c>
      <c r="K139" s="239" t="s">
        <v>2398</v>
      </c>
      <c r="L139" s="239">
        <v>19.247309999999999</v>
      </c>
      <c r="M139" s="239">
        <v>91.5</v>
      </c>
      <c r="N139" s="239">
        <v>0</v>
      </c>
      <c r="O139" s="239">
        <v>0</v>
      </c>
      <c r="P139" s="239">
        <v>0</v>
      </c>
      <c r="Q139" s="239">
        <v>0</v>
      </c>
      <c r="R139" s="239">
        <v>0</v>
      </c>
      <c r="S139" s="239">
        <v>0</v>
      </c>
      <c r="T139" s="239">
        <v>5.3000699999999998</v>
      </c>
      <c r="U139" s="239">
        <v>0.89992000000000005</v>
      </c>
      <c r="V139" s="239">
        <v>0.57808999999999999</v>
      </c>
      <c r="W139" s="239">
        <v>2.1989100000000001</v>
      </c>
      <c r="X139" s="239">
        <v>0</v>
      </c>
      <c r="Y139" s="239">
        <v>0</v>
      </c>
      <c r="Z139" s="239">
        <v>7.1575100000000003</v>
      </c>
      <c r="AA139" s="239">
        <v>3.1128100000000001</v>
      </c>
      <c r="AB139" s="239">
        <v>0</v>
      </c>
      <c r="AC139" s="239">
        <v>0</v>
      </c>
      <c r="AD139" s="239">
        <v>1</v>
      </c>
      <c r="AE139" s="239" t="s">
        <v>20</v>
      </c>
      <c r="AF139" s="239" t="s">
        <v>718</v>
      </c>
      <c r="AG139" s="239">
        <f t="shared" si="11"/>
        <v>0</v>
      </c>
      <c r="AH139" s="239">
        <f t="shared" si="12"/>
        <v>0</v>
      </c>
      <c r="AI139" s="239">
        <f t="shared" si="13"/>
        <v>0</v>
      </c>
      <c r="AJ139" s="239">
        <f t="shared" si="14"/>
        <v>0</v>
      </c>
    </row>
    <row r="140" spans="1:36" x14ac:dyDescent="0.2">
      <c r="A140" s="240" t="str">
        <f t="shared" si="10"/>
        <v>330SNCERABX8AX75</v>
      </c>
      <c r="B140" s="239" t="s">
        <v>19</v>
      </c>
      <c r="C140" s="239" t="s">
        <v>20</v>
      </c>
      <c r="D140" s="239" t="s">
        <v>21</v>
      </c>
      <c r="E140" s="239" t="s">
        <v>719</v>
      </c>
      <c r="F140" s="239" t="s">
        <v>56</v>
      </c>
      <c r="G140" s="239">
        <v>75</v>
      </c>
      <c r="H140" s="239" t="s">
        <v>928</v>
      </c>
      <c r="I140" s="239" t="s">
        <v>2473</v>
      </c>
      <c r="J140" s="239" t="s">
        <v>928</v>
      </c>
      <c r="K140" s="239" t="s">
        <v>2398</v>
      </c>
      <c r="L140" s="239">
        <v>22.958189999999998</v>
      </c>
      <c r="M140" s="239">
        <v>93.4</v>
      </c>
      <c r="N140" s="239">
        <v>0</v>
      </c>
      <c r="O140" s="239">
        <v>0</v>
      </c>
      <c r="P140" s="239">
        <v>0</v>
      </c>
      <c r="Q140" s="239">
        <v>0</v>
      </c>
      <c r="R140" s="239">
        <v>0</v>
      </c>
      <c r="S140" s="239">
        <v>0</v>
      </c>
      <c r="T140" s="239">
        <v>5.3000699999999998</v>
      </c>
      <c r="U140" s="239">
        <v>2.1308099999999999</v>
      </c>
      <c r="V140" s="239">
        <v>0.68110999999999999</v>
      </c>
      <c r="W140" s="239">
        <v>2.5998899999999998</v>
      </c>
      <c r="X140" s="239">
        <v>0</v>
      </c>
      <c r="Y140" s="239">
        <v>0</v>
      </c>
      <c r="Z140" s="239">
        <v>8.5575399999999995</v>
      </c>
      <c r="AA140" s="239">
        <v>3.6887699999999999</v>
      </c>
      <c r="AB140" s="239">
        <v>0</v>
      </c>
      <c r="AC140" s="239">
        <v>0</v>
      </c>
      <c r="AD140" s="239">
        <v>1</v>
      </c>
      <c r="AE140" s="239" t="s">
        <v>20</v>
      </c>
      <c r="AF140" s="239" t="s">
        <v>718</v>
      </c>
      <c r="AG140" s="239">
        <f t="shared" si="11"/>
        <v>0</v>
      </c>
      <c r="AH140" s="239">
        <f t="shared" si="12"/>
        <v>0</v>
      </c>
      <c r="AI140" s="239">
        <f t="shared" si="13"/>
        <v>0</v>
      </c>
      <c r="AJ140" s="239">
        <f t="shared" si="14"/>
        <v>0</v>
      </c>
    </row>
    <row r="141" spans="1:36" x14ac:dyDescent="0.2">
      <c r="A141" s="240" t="str">
        <f t="shared" si="10"/>
        <v>3SYCERABX9AS75</v>
      </c>
      <c r="B141" s="239" t="s">
        <v>19</v>
      </c>
      <c r="C141" s="239" t="s">
        <v>2476</v>
      </c>
      <c r="D141" s="239" t="s">
        <v>21</v>
      </c>
      <c r="E141" s="239" t="s">
        <v>719</v>
      </c>
      <c r="F141" s="239" t="s">
        <v>60</v>
      </c>
      <c r="G141" s="239">
        <v>75</v>
      </c>
      <c r="H141" s="239" t="s">
        <v>928</v>
      </c>
      <c r="I141" s="239" t="s">
        <v>2471</v>
      </c>
      <c r="J141" s="239" t="s">
        <v>928</v>
      </c>
      <c r="K141" s="239" t="s">
        <v>2398</v>
      </c>
      <c r="L141" s="239">
        <v>39.202379999999998</v>
      </c>
      <c r="M141" s="239">
        <v>96</v>
      </c>
      <c r="N141" s="239">
        <v>0</v>
      </c>
      <c r="O141" s="239">
        <v>0</v>
      </c>
      <c r="P141" s="239">
        <v>0</v>
      </c>
      <c r="Q141" s="239">
        <v>0</v>
      </c>
      <c r="R141" s="239">
        <v>0</v>
      </c>
      <c r="S141" s="239">
        <v>0</v>
      </c>
      <c r="T141" s="239">
        <v>17.49023</v>
      </c>
      <c r="U141" s="239">
        <v>5.6315099999999996</v>
      </c>
      <c r="V141" s="239">
        <v>0.70511000000000001</v>
      </c>
      <c r="W141" s="239">
        <v>2.6918899999999999</v>
      </c>
      <c r="X141" s="239">
        <v>0</v>
      </c>
      <c r="Y141" s="239">
        <v>0</v>
      </c>
      <c r="Z141" s="239">
        <v>8.86313</v>
      </c>
      <c r="AA141" s="239">
        <v>3.8205100000000001</v>
      </c>
      <c r="AB141" s="239">
        <v>0</v>
      </c>
      <c r="AC141" s="239">
        <v>0</v>
      </c>
      <c r="AD141" s="239">
        <v>1</v>
      </c>
      <c r="AE141" s="239" t="s">
        <v>20</v>
      </c>
      <c r="AF141" s="239" t="s">
        <v>718</v>
      </c>
      <c r="AG141" s="239">
        <f t="shared" si="11"/>
        <v>0</v>
      </c>
      <c r="AH141" s="239">
        <f t="shared" si="12"/>
        <v>0</v>
      </c>
      <c r="AI141" s="239">
        <f t="shared" si="13"/>
        <v>0</v>
      </c>
      <c r="AJ141" s="239">
        <f t="shared" si="14"/>
        <v>0</v>
      </c>
    </row>
    <row r="142" spans="1:36" x14ac:dyDescent="0.2">
      <c r="A142" s="240" t="str">
        <f t="shared" si="10"/>
        <v>3SNCERAJWZB38</v>
      </c>
      <c r="B142" s="239" t="s">
        <v>19</v>
      </c>
      <c r="C142" s="239" t="s">
        <v>20</v>
      </c>
      <c r="D142" s="239" t="s">
        <v>21</v>
      </c>
      <c r="E142" s="239" t="s">
        <v>719</v>
      </c>
      <c r="F142" s="239" t="s">
        <v>296</v>
      </c>
      <c r="G142" s="239">
        <v>38</v>
      </c>
      <c r="H142" s="239" t="s">
        <v>928</v>
      </c>
      <c r="I142" s="239" t="s">
        <v>2471</v>
      </c>
      <c r="J142" s="239" t="s">
        <v>928</v>
      </c>
      <c r="K142" s="239" t="s">
        <v>2398</v>
      </c>
      <c r="L142" s="239">
        <v>9.5849399999999996</v>
      </c>
      <c r="M142" s="239">
        <v>95.5</v>
      </c>
      <c r="N142" s="239">
        <v>0</v>
      </c>
      <c r="O142" s="239">
        <v>0</v>
      </c>
      <c r="P142" s="239">
        <v>0</v>
      </c>
      <c r="Q142" s="239">
        <v>0</v>
      </c>
      <c r="R142" s="239">
        <v>0</v>
      </c>
      <c r="S142" s="239">
        <v>0</v>
      </c>
      <c r="T142" s="239">
        <v>2.4500299999999999</v>
      </c>
      <c r="U142" s="239">
        <v>0.98190999999999995</v>
      </c>
      <c r="V142" s="239">
        <v>0.26904</v>
      </c>
      <c r="W142" s="239">
        <v>1.0269600000000001</v>
      </c>
      <c r="X142" s="239">
        <v>0</v>
      </c>
      <c r="Y142" s="239">
        <v>0</v>
      </c>
      <c r="Z142" s="239">
        <v>3.3980399999999999</v>
      </c>
      <c r="AA142" s="239">
        <v>1.45896</v>
      </c>
      <c r="AB142" s="239">
        <v>0</v>
      </c>
      <c r="AC142" s="239">
        <v>0</v>
      </c>
      <c r="AD142" s="239">
        <v>1</v>
      </c>
      <c r="AE142" s="239" t="s">
        <v>20</v>
      </c>
      <c r="AF142" s="239" t="s">
        <v>718</v>
      </c>
      <c r="AG142" s="239">
        <f t="shared" si="11"/>
        <v>0</v>
      </c>
      <c r="AH142" s="239">
        <f t="shared" si="12"/>
        <v>0</v>
      </c>
      <c r="AI142" s="239">
        <f t="shared" si="13"/>
        <v>0</v>
      </c>
      <c r="AJ142" s="239">
        <f t="shared" si="14"/>
        <v>0</v>
      </c>
    </row>
    <row r="143" spans="1:36" x14ac:dyDescent="0.2">
      <c r="A143" s="240" t="str">
        <f t="shared" si="10"/>
        <v>331SNCERAMD(A)R38</v>
      </c>
      <c r="B143" s="239" t="s">
        <v>19</v>
      </c>
      <c r="C143" s="239" t="s">
        <v>20</v>
      </c>
      <c r="D143" s="239" t="s">
        <v>21</v>
      </c>
      <c r="E143" s="239" t="s">
        <v>719</v>
      </c>
      <c r="F143" s="239" t="s">
        <v>62</v>
      </c>
      <c r="G143" s="239">
        <v>38</v>
      </c>
      <c r="H143" s="239" t="s">
        <v>928</v>
      </c>
      <c r="I143" s="239" t="s">
        <v>2472</v>
      </c>
      <c r="J143" s="239" t="s">
        <v>928</v>
      </c>
      <c r="K143" s="239" t="s">
        <v>2398</v>
      </c>
      <c r="L143" s="239">
        <v>17.530169999999998</v>
      </c>
      <c r="M143" s="239">
        <v>97.7</v>
      </c>
      <c r="N143" s="239">
        <v>0</v>
      </c>
      <c r="O143" s="239">
        <v>0</v>
      </c>
      <c r="P143" s="239">
        <v>0</v>
      </c>
      <c r="Q143" s="239">
        <v>0</v>
      </c>
      <c r="R143" s="239">
        <v>0</v>
      </c>
      <c r="S143" s="239">
        <v>0</v>
      </c>
      <c r="T143" s="239">
        <v>4.4000599999999999</v>
      </c>
      <c r="U143" s="239">
        <v>1.1969000000000001</v>
      </c>
      <c r="V143" s="239">
        <v>0.44607000000000002</v>
      </c>
      <c r="W143" s="239">
        <v>1.78193</v>
      </c>
      <c r="X143" s="239">
        <v>0</v>
      </c>
      <c r="Y143" s="239">
        <v>0</v>
      </c>
      <c r="Z143" s="239">
        <v>7.1128400000000003</v>
      </c>
      <c r="AA143" s="239">
        <v>2.5923699999999998</v>
      </c>
      <c r="AB143" s="239">
        <v>0</v>
      </c>
      <c r="AC143" s="239">
        <v>0</v>
      </c>
      <c r="AD143" s="239">
        <v>1</v>
      </c>
      <c r="AE143" s="239" t="s">
        <v>20</v>
      </c>
      <c r="AF143" s="239" t="s">
        <v>718</v>
      </c>
      <c r="AG143" s="239">
        <f t="shared" si="11"/>
        <v>0</v>
      </c>
      <c r="AH143" s="239">
        <f t="shared" si="12"/>
        <v>0</v>
      </c>
      <c r="AI143" s="239">
        <f t="shared" si="13"/>
        <v>0</v>
      </c>
      <c r="AJ143" s="239">
        <f t="shared" si="14"/>
        <v>0</v>
      </c>
    </row>
    <row r="144" spans="1:36" x14ac:dyDescent="0.2">
      <c r="A144" s="240" t="str">
        <f t="shared" si="10"/>
        <v>3313SNCERAMD(A)R38</v>
      </c>
      <c r="B144" s="239" t="s">
        <v>19</v>
      </c>
      <c r="C144" s="239" t="s">
        <v>20</v>
      </c>
      <c r="D144" s="239" t="s">
        <v>21</v>
      </c>
      <c r="E144" s="239" t="s">
        <v>719</v>
      </c>
      <c r="F144" s="239" t="s">
        <v>62</v>
      </c>
      <c r="G144" s="239">
        <v>38</v>
      </c>
      <c r="H144" s="239" t="s">
        <v>928</v>
      </c>
      <c r="I144" s="239" t="s">
        <v>2477</v>
      </c>
      <c r="J144" s="239" t="s">
        <v>928</v>
      </c>
      <c r="K144" s="239" t="s">
        <v>2398</v>
      </c>
      <c r="L144" s="239">
        <v>16.956959999999999</v>
      </c>
      <c r="M144" s="239">
        <v>94.8</v>
      </c>
      <c r="N144" s="239">
        <v>0</v>
      </c>
      <c r="O144" s="239">
        <v>0</v>
      </c>
      <c r="P144" s="239">
        <v>0</v>
      </c>
      <c r="Q144" s="239">
        <v>0</v>
      </c>
      <c r="R144" s="239">
        <v>0</v>
      </c>
      <c r="S144" s="239">
        <v>0</v>
      </c>
      <c r="T144" s="239">
        <v>4.4000599999999999</v>
      </c>
      <c r="U144" s="239">
        <v>2.3607900000000002</v>
      </c>
      <c r="V144" s="239">
        <v>0.37306</v>
      </c>
      <c r="W144" s="239">
        <v>1.4989399999999999</v>
      </c>
      <c r="X144" s="239">
        <v>0</v>
      </c>
      <c r="Y144" s="239">
        <v>0</v>
      </c>
      <c r="Z144" s="239">
        <v>6.12805</v>
      </c>
      <c r="AA144" s="239">
        <v>2.1960600000000001</v>
      </c>
      <c r="AB144" s="239">
        <v>0</v>
      </c>
      <c r="AC144" s="239">
        <v>0</v>
      </c>
      <c r="AD144" s="239">
        <v>1</v>
      </c>
      <c r="AE144" s="239" t="s">
        <v>20</v>
      </c>
      <c r="AF144" s="239" t="s">
        <v>718</v>
      </c>
      <c r="AG144" s="239">
        <f t="shared" si="11"/>
        <v>0</v>
      </c>
      <c r="AH144" s="239">
        <f t="shared" si="12"/>
        <v>0</v>
      </c>
      <c r="AI144" s="239">
        <f t="shared" si="13"/>
        <v>0</v>
      </c>
      <c r="AJ144" s="239">
        <f t="shared" si="14"/>
        <v>0</v>
      </c>
    </row>
    <row r="145" spans="1:36" x14ac:dyDescent="0.2">
      <c r="A145" s="240" t="str">
        <f t="shared" si="10"/>
        <v>3SNCERAMDACPFL38</v>
      </c>
      <c r="B145" s="239" t="s">
        <v>19</v>
      </c>
      <c r="C145" s="239" t="s">
        <v>20</v>
      </c>
      <c r="D145" s="239" t="s">
        <v>21</v>
      </c>
      <c r="E145" s="239" t="s">
        <v>719</v>
      </c>
      <c r="F145" s="239" t="s">
        <v>67</v>
      </c>
      <c r="G145" s="239">
        <v>38</v>
      </c>
      <c r="H145" s="239" t="s">
        <v>928</v>
      </c>
      <c r="I145" s="239" t="s">
        <v>2471</v>
      </c>
      <c r="J145" s="239" t="s">
        <v>928</v>
      </c>
      <c r="K145" s="239" t="s">
        <v>2398</v>
      </c>
      <c r="L145" s="239">
        <v>10.37157</v>
      </c>
      <c r="M145" s="239">
        <v>98.5</v>
      </c>
      <c r="N145" s="239">
        <v>0</v>
      </c>
      <c r="O145" s="239">
        <v>0</v>
      </c>
      <c r="P145" s="239">
        <v>0</v>
      </c>
      <c r="Q145" s="239">
        <v>0</v>
      </c>
      <c r="R145" s="239">
        <v>0</v>
      </c>
      <c r="S145" s="239">
        <v>0</v>
      </c>
      <c r="T145" s="239">
        <v>3.39005</v>
      </c>
      <c r="U145" s="239">
        <v>0.53895000000000004</v>
      </c>
      <c r="V145" s="239">
        <v>0.28804999999999997</v>
      </c>
      <c r="W145" s="239">
        <v>1.0929500000000001</v>
      </c>
      <c r="X145" s="239">
        <v>0</v>
      </c>
      <c r="Y145" s="239">
        <v>0</v>
      </c>
      <c r="Z145" s="239">
        <v>3.5198700000000001</v>
      </c>
      <c r="AA145" s="239">
        <v>1.5417000000000001</v>
      </c>
      <c r="AB145" s="239">
        <v>0</v>
      </c>
      <c r="AC145" s="239">
        <v>0</v>
      </c>
      <c r="AD145" s="239">
        <v>1</v>
      </c>
      <c r="AE145" s="239" t="s">
        <v>20</v>
      </c>
      <c r="AF145" s="239" t="s">
        <v>718</v>
      </c>
      <c r="AG145" s="239">
        <f t="shared" si="11"/>
        <v>0</v>
      </c>
      <c r="AH145" s="239">
        <f t="shared" si="12"/>
        <v>0</v>
      </c>
      <c r="AI145" s="239">
        <f t="shared" si="13"/>
        <v>0</v>
      </c>
      <c r="AJ145" s="239">
        <f t="shared" si="14"/>
        <v>0</v>
      </c>
    </row>
    <row r="146" spans="1:36" x14ac:dyDescent="0.2">
      <c r="A146" s="240" t="str">
        <f t="shared" si="10"/>
        <v>3321SNCERAMDACPFL38</v>
      </c>
      <c r="B146" s="239" t="s">
        <v>19</v>
      </c>
      <c r="C146" s="239" t="s">
        <v>20</v>
      </c>
      <c r="D146" s="239" t="s">
        <v>21</v>
      </c>
      <c r="E146" s="239" t="s">
        <v>719</v>
      </c>
      <c r="F146" s="239" t="s">
        <v>67</v>
      </c>
      <c r="G146" s="239">
        <v>38</v>
      </c>
      <c r="H146" s="239" t="s">
        <v>928</v>
      </c>
      <c r="I146" s="239" t="s">
        <v>2478</v>
      </c>
      <c r="J146" s="239" t="s">
        <v>928</v>
      </c>
      <c r="K146" s="239" t="s">
        <v>2398</v>
      </c>
      <c r="L146" s="239">
        <v>10.37557</v>
      </c>
      <c r="M146" s="239">
        <v>98.5</v>
      </c>
      <c r="N146" s="239">
        <v>0</v>
      </c>
      <c r="O146" s="239">
        <v>0</v>
      </c>
      <c r="P146" s="239">
        <v>0</v>
      </c>
      <c r="Q146" s="239">
        <v>0</v>
      </c>
      <c r="R146" s="239">
        <v>0</v>
      </c>
      <c r="S146" s="239">
        <v>0</v>
      </c>
      <c r="T146" s="239">
        <v>3.39005</v>
      </c>
      <c r="U146" s="239">
        <v>0.54295000000000004</v>
      </c>
      <c r="V146" s="239">
        <v>0.28804999999999997</v>
      </c>
      <c r="W146" s="239">
        <v>1.0929500000000001</v>
      </c>
      <c r="X146" s="239">
        <v>0</v>
      </c>
      <c r="Y146" s="239">
        <v>0</v>
      </c>
      <c r="Z146" s="239">
        <v>3.5198700000000001</v>
      </c>
      <c r="AA146" s="239">
        <v>1.5417000000000001</v>
      </c>
      <c r="AB146" s="239">
        <v>0</v>
      </c>
      <c r="AC146" s="239">
        <v>0</v>
      </c>
      <c r="AD146" s="239">
        <v>1</v>
      </c>
      <c r="AE146" s="239" t="s">
        <v>20</v>
      </c>
      <c r="AF146" s="239" t="s">
        <v>718</v>
      </c>
      <c r="AG146" s="239">
        <f t="shared" si="11"/>
        <v>0</v>
      </c>
      <c r="AH146" s="239">
        <f t="shared" si="12"/>
        <v>0</v>
      </c>
      <c r="AI146" s="239">
        <f t="shared" si="13"/>
        <v>0</v>
      </c>
      <c r="AJ146" s="239">
        <f t="shared" si="14"/>
        <v>0</v>
      </c>
    </row>
    <row r="147" spans="1:36" x14ac:dyDescent="0.2">
      <c r="A147" s="240" t="str">
        <f t="shared" si="10"/>
        <v>3SNCERAMDAPFL38</v>
      </c>
      <c r="B147" s="239" t="s">
        <v>19</v>
      </c>
      <c r="C147" s="239" t="s">
        <v>20</v>
      </c>
      <c r="D147" s="239" t="s">
        <v>21</v>
      </c>
      <c r="E147" s="239" t="s">
        <v>719</v>
      </c>
      <c r="F147" s="239" t="s">
        <v>70</v>
      </c>
      <c r="G147" s="239">
        <v>38</v>
      </c>
      <c r="H147" s="239" t="s">
        <v>928</v>
      </c>
      <c r="I147" s="239" t="s">
        <v>2471</v>
      </c>
      <c r="J147" s="239" t="s">
        <v>928</v>
      </c>
      <c r="K147" s="239" t="s">
        <v>2398</v>
      </c>
      <c r="L147" s="239">
        <v>10.37157</v>
      </c>
      <c r="M147" s="239">
        <v>98.5</v>
      </c>
      <c r="N147" s="239">
        <v>0</v>
      </c>
      <c r="O147" s="239">
        <v>0</v>
      </c>
      <c r="P147" s="239">
        <v>0</v>
      </c>
      <c r="Q147" s="239">
        <v>0</v>
      </c>
      <c r="R147" s="239">
        <v>0</v>
      </c>
      <c r="S147" s="239">
        <v>0</v>
      </c>
      <c r="T147" s="239">
        <v>3.39005</v>
      </c>
      <c r="U147" s="239">
        <v>0.53895000000000004</v>
      </c>
      <c r="V147" s="239">
        <v>0.28804999999999997</v>
      </c>
      <c r="W147" s="239">
        <v>1.0929500000000001</v>
      </c>
      <c r="X147" s="239">
        <v>0</v>
      </c>
      <c r="Y147" s="239">
        <v>0</v>
      </c>
      <c r="Z147" s="239">
        <v>3.5198700000000001</v>
      </c>
      <c r="AA147" s="239">
        <v>1.5417000000000001</v>
      </c>
      <c r="AB147" s="239">
        <v>0</v>
      </c>
      <c r="AC147" s="239">
        <v>0</v>
      </c>
      <c r="AD147" s="239">
        <v>1</v>
      </c>
      <c r="AE147" s="239" t="s">
        <v>20</v>
      </c>
      <c r="AF147" s="239" t="s">
        <v>718</v>
      </c>
      <c r="AG147" s="239">
        <f t="shared" si="11"/>
        <v>0</v>
      </c>
      <c r="AH147" s="239">
        <f t="shared" si="12"/>
        <v>0</v>
      </c>
      <c r="AI147" s="239">
        <f t="shared" si="13"/>
        <v>0</v>
      </c>
      <c r="AJ147" s="239">
        <f t="shared" si="14"/>
        <v>0</v>
      </c>
    </row>
    <row r="148" spans="1:36" x14ac:dyDescent="0.2">
      <c r="A148" s="240" t="str">
        <f t="shared" si="10"/>
        <v>3321SNCERAMDAPFL38</v>
      </c>
      <c r="B148" s="239" t="s">
        <v>19</v>
      </c>
      <c r="C148" s="239" t="s">
        <v>20</v>
      </c>
      <c r="D148" s="239" t="s">
        <v>21</v>
      </c>
      <c r="E148" s="239" t="s">
        <v>719</v>
      </c>
      <c r="F148" s="239" t="s">
        <v>70</v>
      </c>
      <c r="G148" s="239">
        <v>38</v>
      </c>
      <c r="H148" s="239" t="s">
        <v>928</v>
      </c>
      <c r="I148" s="239" t="s">
        <v>2478</v>
      </c>
      <c r="J148" s="239" t="s">
        <v>928</v>
      </c>
      <c r="K148" s="239" t="s">
        <v>2398</v>
      </c>
      <c r="L148" s="239">
        <v>10.37557</v>
      </c>
      <c r="M148" s="239">
        <v>98.5</v>
      </c>
      <c r="N148" s="239">
        <v>0</v>
      </c>
      <c r="O148" s="239">
        <v>0</v>
      </c>
      <c r="P148" s="239">
        <v>0</v>
      </c>
      <c r="Q148" s="239">
        <v>0</v>
      </c>
      <c r="R148" s="239">
        <v>0</v>
      </c>
      <c r="S148" s="239">
        <v>0</v>
      </c>
      <c r="T148" s="239">
        <v>3.39005</v>
      </c>
      <c r="U148" s="239">
        <v>0.54295000000000004</v>
      </c>
      <c r="V148" s="239">
        <v>0.28804999999999997</v>
      </c>
      <c r="W148" s="239">
        <v>1.0929500000000001</v>
      </c>
      <c r="X148" s="239">
        <v>0</v>
      </c>
      <c r="Y148" s="239">
        <v>0</v>
      </c>
      <c r="Z148" s="239">
        <v>3.5198700000000001</v>
      </c>
      <c r="AA148" s="239">
        <v>1.5417000000000001</v>
      </c>
      <c r="AB148" s="239">
        <v>0</v>
      </c>
      <c r="AC148" s="239">
        <v>0</v>
      </c>
      <c r="AD148" s="239">
        <v>1</v>
      </c>
      <c r="AE148" s="239" t="s">
        <v>20</v>
      </c>
      <c r="AF148" s="239" t="s">
        <v>718</v>
      </c>
      <c r="AG148" s="239">
        <f t="shared" si="11"/>
        <v>0</v>
      </c>
      <c r="AH148" s="239">
        <f t="shared" si="12"/>
        <v>0</v>
      </c>
      <c r="AI148" s="239">
        <f t="shared" si="13"/>
        <v>0</v>
      </c>
      <c r="AJ148" s="239">
        <f t="shared" si="14"/>
        <v>0</v>
      </c>
    </row>
    <row r="149" spans="1:36" x14ac:dyDescent="0.2">
      <c r="A149" s="240" t="str">
        <f t="shared" si="10"/>
        <v>331SNCERAMDARX38</v>
      </c>
      <c r="B149" s="239" t="s">
        <v>19</v>
      </c>
      <c r="C149" s="239" t="s">
        <v>20</v>
      </c>
      <c r="D149" s="239" t="s">
        <v>21</v>
      </c>
      <c r="E149" s="239" t="s">
        <v>719</v>
      </c>
      <c r="F149" s="239" t="s">
        <v>74</v>
      </c>
      <c r="G149" s="239">
        <v>38</v>
      </c>
      <c r="H149" s="239" t="s">
        <v>928</v>
      </c>
      <c r="I149" s="239" t="s">
        <v>2472</v>
      </c>
      <c r="J149" s="239" t="s">
        <v>928</v>
      </c>
      <c r="K149" s="239" t="s">
        <v>2398</v>
      </c>
      <c r="L149" s="239">
        <v>23.498629999999999</v>
      </c>
      <c r="M149" s="239">
        <v>91</v>
      </c>
      <c r="N149" s="239">
        <v>0</v>
      </c>
      <c r="O149" s="239">
        <v>0</v>
      </c>
      <c r="P149" s="239">
        <v>0</v>
      </c>
      <c r="Q149" s="239">
        <v>0</v>
      </c>
      <c r="R149" s="239">
        <v>0</v>
      </c>
      <c r="S149" s="239">
        <v>0</v>
      </c>
      <c r="T149" s="239">
        <v>4.4000599999999999</v>
      </c>
      <c r="U149" s="239">
        <v>4.7885799999999996</v>
      </c>
      <c r="V149" s="239">
        <v>0.51107999999999998</v>
      </c>
      <c r="W149" s="239">
        <v>2.0719099999999999</v>
      </c>
      <c r="X149" s="239">
        <v>0</v>
      </c>
      <c r="Y149" s="239">
        <v>0</v>
      </c>
      <c r="Z149" s="239">
        <v>8.6773399999999992</v>
      </c>
      <c r="AA149" s="239">
        <v>3.0496599999999998</v>
      </c>
      <c r="AB149" s="239">
        <v>0</v>
      </c>
      <c r="AC149" s="239">
        <v>0</v>
      </c>
      <c r="AD149" s="239">
        <v>1</v>
      </c>
      <c r="AE149" s="239" t="s">
        <v>20</v>
      </c>
      <c r="AF149" s="239" t="s">
        <v>718</v>
      </c>
      <c r="AG149" s="239">
        <f t="shared" si="11"/>
        <v>0</v>
      </c>
      <c r="AH149" s="239">
        <f t="shared" si="12"/>
        <v>0</v>
      </c>
      <c r="AI149" s="239">
        <f t="shared" si="13"/>
        <v>0</v>
      </c>
      <c r="AJ149" s="239">
        <f t="shared" si="14"/>
        <v>0</v>
      </c>
    </row>
    <row r="150" spans="1:36" x14ac:dyDescent="0.2">
      <c r="A150" s="240" t="str">
        <f t="shared" si="10"/>
        <v>3SNCERAMFACR31</v>
      </c>
      <c r="B150" s="239" t="s">
        <v>19</v>
      </c>
      <c r="C150" s="239" t="s">
        <v>20</v>
      </c>
      <c r="D150" s="239" t="s">
        <v>21</v>
      </c>
      <c r="E150" s="239" t="s">
        <v>719</v>
      </c>
      <c r="F150" s="239" t="s">
        <v>80</v>
      </c>
      <c r="G150" s="239">
        <v>31</v>
      </c>
      <c r="H150" s="239" t="s">
        <v>928</v>
      </c>
      <c r="I150" s="239" t="s">
        <v>2471</v>
      </c>
      <c r="J150" s="239" t="s">
        <v>928</v>
      </c>
      <c r="K150" s="239" t="s">
        <v>2398</v>
      </c>
      <c r="L150" s="239">
        <v>20.771280000000001</v>
      </c>
      <c r="M150" s="239">
        <v>92.9</v>
      </c>
      <c r="N150" s="239">
        <v>0</v>
      </c>
      <c r="O150" s="239">
        <v>0</v>
      </c>
      <c r="P150" s="239">
        <v>0</v>
      </c>
      <c r="Q150" s="239">
        <v>0</v>
      </c>
      <c r="R150" s="239">
        <v>0</v>
      </c>
      <c r="S150" s="239">
        <v>0</v>
      </c>
      <c r="T150" s="239">
        <v>4.77006</v>
      </c>
      <c r="U150" s="239">
        <v>2.8967499999999999</v>
      </c>
      <c r="V150" s="239">
        <v>0.47006999999999999</v>
      </c>
      <c r="W150" s="239">
        <v>1.9019200000000001</v>
      </c>
      <c r="X150" s="239">
        <v>0</v>
      </c>
      <c r="Y150" s="239">
        <v>0</v>
      </c>
      <c r="Z150" s="239">
        <v>7.93215</v>
      </c>
      <c r="AA150" s="239">
        <v>2.8003300000000002</v>
      </c>
      <c r="AB150" s="239">
        <v>0</v>
      </c>
      <c r="AC150" s="239">
        <v>0</v>
      </c>
      <c r="AD150" s="239">
        <v>1</v>
      </c>
      <c r="AE150" s="239" t="s">
        <v>20</v>
      </c>
      <c r="AF150" s="239" t="s">
        <v>718</v>
      </c>
      <c r="AG150" s="239">
        <f t="shared" si="11"/>
        <v>0</v>
      </c>
      <c r="AH150" s="239">
        <f t="shared" si="12"/>
        <v>0</v>
      </c>
      <c r="AI150" s="239">
        <f t="shared" si="13"/>
        <v>0</v>
      </c>
      <c r="AJ150" s="239">
        <f t="shared" si="14"/>
        <v>0</v>
      </c>
    </row>
    <row r="151" spans="1:36" x14ac:dyDescent="0.2">
      <c r="A151" s="240" t="str">
        <f t="shared" si="10"/>
        <v>3RSNCERAMFARX38</v>
      </c>
      <c r="B151" s="239" t="s">
        <v>19</v>
      </c>
      <c r="C151" s="239" t="s">
        <v>20</v>
      </c>
      <c r="D151" s="239" t="s">
        <v>21</v>
      </c>
      <c r="E151" s="239" t="s">
        <v>719</v>
      </c>
      <c r="F151" s="239" t="s">
        <v>84</v>
      </c>
      <c r="G151" s="239">
        <v>38</v>
      </c>
      <c r="H151" s="239" t="s">
        <v>928</v>
      </c>
      <c r="I151" s="239" t="s">
        <v>86</v>
      </c>
      <c r="J151" s="239" t="s">
        <v>928</v>
      </c>
      <c r="K151" s="239" t="s">
        <v>2398</v>
      </c>
      <c r="L151" s="239">
        <v>20.917770000000001</v>
      </c>
      <c r="M151" s="239">
        <v>96.5</v>
      </c>
      <c r="N151" s="239">
        <v>0</v>
      </c>
      <c r="O151" s="239">
        <v>0</v>
      </c>
      <c r="P151" s="239">
        <v>0</v>
      </c>
      <c r="Q151" s="239">
        <v>0</v>
      </c>
      <c r="R151" s="239">
        <v>0</v>
      </c>
      <c r="S151" s="239">
        <v>0</v>
      </c>
      <c r="T151" s="239">
        <v>4.77006</v>
      </c>
      <c r="U151" s="239">
        <v>3.1177299999999999</v>
      </c>
      <c r="V151" s="239">
        <v>0.49008000000000002</v>
      </c>
      <c r="W151" s="239">
        <v>1.9519200000000001</v>
      </c>
      <c r="X151" s="239">
        <v>0</v>
      </c>
      <c r="Y151" s="239">
        <v>0</v>
      </c>
      <c r="Z151" s="239">
        <v>7.7473700000000001</v>
      </c>
      <c r="AA151" s="239">
        <v>2.8406099999999999</v>
      </c>
      <c r="AB151" s="239">
        <v>0</v>
      </c>
      <c r="AC151" s="239">
        <v>0</v>
      </c>
      <c r="AD151" s="239">
        <v>1</v>
      </c>
      <c r="AE151" s="239" t="s">
        <v>20</v>
      </c>
      <c r="AF151" s="239" t="s">
        <v>718</v>
      </c>
      <c r="AG151" s="239">
        <f t="shared" si="11"/>
        <v>0</v>
      </c>
      <c r="AH151" s="239">
        <f t="shared" si="12"/>
        <v>0</v>
      </c>
      <c r="AI151" s="239">
        <f t="shared" si="13"/>
        <v>0</v>
      </c>
      <c r="AJ151" s="239">
        <f t="shared" si="14"/>
        <v>0</v>
      </c>
    </row>
    <row r="152" spans="1:36" x14ac:dyDescent="0.2">
      <c r="A152" s="240" t="str">
        <f t="shared" si="10"/>
        <v>3SNCERAMFAS75</v>
      </c>
      <c r="B152" s="239" t="s">
        <v>19</v>
      </c>
      <c r="C152" s="239" t="s">
        <v>20</v>
      </c>
      <c r="D152" s="239" t="s">
        <v>21</v>
      </c>
      <c r="E152" s="239" t="s">
        <v>719</v>
      </c>
      <c r="F152" s="239" t="s">
        <v>88</v>
      </c>
      <c r="G152" s="239">
        <v>75</v>
      </c>
      <c r="H152" s="239" t="s">
        <v>928</v>
      </c>
      <c r="I152" s="239" t="s">
        <v>2471</v>
      </c>
      <c r="J152" s="239" t="s">
        <v>928</v>
      </c>
      <c r="K152" s="239" t="s">
        <v>2398</v>
      </c>
      <c r="L152" s="239">
        <v>44.089680000000001</v>
      </c>
      <c r="M152" s="239">
        <v>75.5</v>
      </c>
      <c r="N152" s="239">
        <v>0</v>
      </c>
      <c r="O152" s="239">
        <v>0</v>
      </c>
      <c r="P152" s="239">
        <v>0</v>
      </c>
      <c r="Q152" s="239">
        <v>0</v>
      </c>
      <c r="R152" s="239">
        <v>0</v>
      </c>
      <c r="S152" s="239">
        <v>0</v>
      </c>
      <c r="T152" s="239">
        <v>5.2200699999999998</v>
      </c>
      <c r="U152" s="239">
        <v>8.9052199999999999</v>
      </c>
      <c r="V152" s="239">
        <v>0.74712000000000001</v>
      </c>
      <c r="W152" s="239">
        <v>3.4768500000000002</v>
      </c>
      <c r="X152" s="239">
        <v>0</v>
      </c>
      <c r="Y152" s="239">
        <v>0</v>
      </c>
      <c r="Z152" s="239">
        <v>20.015650000000001</v>
      </c>
      <c r="AA152" s="239">
        <v>5.7247700000000004</v>
      </c>
      <c r="AB152" s="239">
        <v>0</v>
      </c>
      <c r="AC152" s="239">
        <v>0</v>
      </c>
      <c r="AD152" s="239">
        <v>1</v>
      </c>
      <c r="AE152" s="239" t="s">
        <v>20</v>
      </c>
      <c r="AF152" s="239" t="s">
        <v>718</v>
      </c>
      <c r="AG152" s="239">
        <f t="shared" si="11"/>
        <v>0</v>
      </c>
      <c r="AH152" s="239">
        <f t="shared" si="12"/>
        <v>0</v>
      </c>
      <c r="AI152" s="239">
        <f t="shared" si="13"/>
        <v>0</v>
      </c>
      <c r="AJ152" s="239">
        <f t="shared" si="14"/>
        <v>0</v>
      </c>
    </row>
    <row r="153" spans="1:36" x14ac:dyDescent="0.2">
      <c r="A153" s="240" t="str">
        <f t="shared" si="10"/>
        <v>3SNCERAMFAS100</v>
      </c>
      <c r="B153" s="239" t="s">
        <v>19</v>
      </c>
      <c r="C153" s="239" t="s">
        <v>20</v>
      </c>
      <c r="D153" s="239" t="s">
        <v>21</v>
      </c>
      <c r="E153" s="239" t="s">
        <v>719</v>
      </c>
      <c r="F153" s="239" t="s">
        <v>88</v>
      </c>
      <c r="G153" s="239">
        <v>100</v>
      </c>
      <c r="H153" s="239" t="s">
        <v>928</v>
      </c>
      <c r="I153" s="239" t="s">
        <v>2471</v>
      </c>
      <c r="J153" s="239" t="s">
        <v>928</v>
      </c>
      <c r="K153" s="239" t="s">
        <v>2398</v>
      </c>
      <c r="L153" s="239">
        <v>61.94576</v>
      </c>
      <c r="M153" s="239">
        <v>88.7</v>
      </c>
      <c r="N153" s="239">
        <v>0</v>
      </c>
      <c r="O153" s="239">
        <v>0</v>
      </c>
      <c r="P153" s="239">
        <v>0</v>
      </c>
      <c r="Q153" s="239">
        <v>0</v>
      </c>
      <c r="R153" s="239">
        <v>0</v>
      </c>
      <c r="S153" s="239">
        <v>0</v>
      </c>
      <c r="T153" s="239">
        <v>5.2200699999999998</v>
      </c>
      <c r="U153" s="239">
        <v>14.20176</v>
      </c>
      <c r="V153" s="239">
        <v>1.16418</v>
      </c>
      <c r="W153" s="239">
        <v>5.2157799999999996</v>
      </c>
      <c r="X153" s="239">
        <v>0</v>
      </c>
      <c r="Y153" s="239">
        <v>0</v>
      </c>
      <c r="Z153" s="239">
        <v>27.769120000000001</v>
      </c>
      <c r="AA153" s="239">
        <v>8.3748500000000003</v>
      </c>
      <c r="AB153" s="239">
        <v>0</v>
      </c>
      <c r="AC153" s="239">
        <v>0</v>
      </c>
      <c r="AD153" s="239">
        <v>1</v>
      </c>
      <c r="AE153" s="239" t="s">
        <v>20</v>
      </c>
      <c r="AF153" s="239" t="s">
        <v>718</v>
      </c>
      <c r="AG153" s="239">
        <f t="shared" si="11"/>
        <v>0</v>
      </c>
      <c r="AH153" s="239">
        <f t="shared" si="12"/>
        <v>0</v>
      </c>
      <c r="AI153" s="239">
        <f t="shared" si="13"/>
        <v>0</v>
      </c>
      <c r="AJ153" s="239">
        <f t="shared" si="14"/>
        <v>0</v>
      </c>
    </row>
    <row r="154" spans="1:36" x14ac:dyDescent="0.2">
      <c r="A154" s="240" t="str">
        <f t="shared" si="10"/>
        <v>331SNCERAMFAS100</v>
      </c>
      <c r="B154" s="239" t="s">
        <v>19</v>
      </c>
      <c r="C154" s="239" t="s">
        <v>20</v>
      </c>
      <c r="D154" s="239" t="s">
        <v>21</v>
      </c>
      <c r="E154" s="239" t="s">
        <v>719</v>
      </c>
      <c r="F154" s="239" t="s">
        <v>88</v>
      </c>
      <c r="G154" s="239">
        <v>100</v>
      </c>
      <c r="H154" s="239" t="s">
        <v>928</v>
      </c>
      <c r="I154" s="239" t="s">
        <v>2472</v>
      </c>
      <c r="J154" s="239" t="s">
        <v>928</v>
      </c>
      <c r="K154" s="239" t="s">
        <v>2398</v>
      </c>
      <c r="L154" s="239">
        <v>62.45881</v>
      </c>
      <c r="M154" s="239">
        <v>80.8</v>
      </c>
      <c r="N154" s="239">
        <v>0</v>
      </c>
      <c r="O154" s="239">
        <v>0</v>
      </c>
      <c r="P154" s="239">
        <v>0</v>
      </c>
      <c r="Q154" s="239">
        <v>0</v>
      </c>
      <c r="R154" s="239">
        <v>0</v>
      </c>
      <c r="S154" s="239">
        <v>0</v>
      </c>
      <c r="T154" s="239">
        <v>5.2200699999999998</v>
      </c>
      <c r="U154" s="239">
        <v>17.24849</v>
      </c>
      <c r="V154" s="239">
        <v>1.2782</v>
      </c>
      <c r="W154" s="239">
        <v>5.3927699999999996</v>
      </c>
      <c r="X154" s="239">
        <v>0</v>
      </c>
      <c r="Y154" s="239">
        <v>0</v>
      </c>
      <c r="Z154" s="239">
        <v>25.068549999999998</v>
      </c>
      <c r="AA154" s="239">
        <v>8.2507300000000008</v>
      </c>
      <c r="AB154" s="239">
        <v>0</v>
      </c>
      <c r="AC154" s="239">
        <v>0</v>
      </c>
      <c r="AD154" s="239">
        <v>1</v>
      </c>
      <c r="AE154" s="239" t="s">
        <v>20</v>
      </c>
      <c r="AF154" s="239" t="s">
        <v>718</v>
      </c>
      <c r="AG154" s="239">
        <f t="shared" si="11"/>
        <v>0</v>
      </c>
      <c r="AH154" s="239">
        <f t="shared" si="12"/>
        <v>0</v>
      </c>
      <c r="AI154" s="239">
        <f t="shared" si="13"/>
        <v>0</v>
      </c>
      <c r="AJ154" s="239">
        <f t="shared" si="14"/>
        <v>0</v>
      </c>
    </row>
    <row r="155" spans="1:36" x14ac:dyDescent="0.2">
      <c r="A155" s="240" t="str">
        <f t="shared" si="10"/>
        <v>3SNCERAMFAS125</v>
      </c>
      <c r="B155" s="239" t="s">
        <v>19</v>
      </c>
      <c r="C155" s="239" t="s">
        <v>20</v>
      </c>
      <c r="D155" s="239" t="s">
        <v>21</v>
      </c>
      <c r="E155" s="239" t="s">
        <v>719</v>
      </c>
      <c r="F155" s="239" t="s">
        <v>88</v>
      </c>
      <c r="G155" s="239">
        <v>125</v>
      </c>
      <c r="H155" s="239" t="s">
        <v>928</v>
      </c>
      <c r="I155" s="239" t="s">
        <v>2471</v>
      </c>
      <c r="J155" s="239" t="s">
        <v>928</v>
      </c>
      <c r="K155" s="239" t="s">
        <v>2398</v>
      </c>
      <c r="L155" s="239">
        <v>179.46132</v>
      </c>
      <c r="M155" s="239">
        <v>76</v>
      </c>
      <c r="N155" s="239">
        <v>0</v>
      </c>
      <c r="O155" s="239">
        <v>0</v>
      </c>
      <c r="P155" s="239">
        <v>0</v>
      </c>
      <c r="Q155" s="239">
        <v>0</v>
      </c>
      <c r="R155" s="239">
        <v>0</v>
      </c>
      <c r="S155" s="239">
        <v>0</v>
      </c>
      <c r="T155" s="239">
        <v>5.2200699999999998</v>
      </c>
      <c r="U155" s="239">
        <v>57.741950000000003</v>
      </c>
      <c r="V155" s="239">
        <v>1.1351800000000001</v>
      </c>
      <c r="W155" s="239">
        <v>8.81663</v>
      </c>
      <c r="X155" s="239">
        <v>0</v>
      </c>
      <c r="Y155" s="239">
        <v>0</v>
      </c>
      <c r="Z155" s="239">
        <v>87.814040000000006</v>
      </c>
      <c r="AA155" s="239">
        <v>18.733450000000001</v>
      </c>
      <c r="AB155" s="239">
        <v>0</v>
      </c>
      <c r="AC155" s="239">
        <v>0</v>
      </c>
      <c r="AD155" s="239">
        <v>1</v>
      </c>
      <c r="AE155" s="239" t="s">
        <v>20</v>
      </c>
      <c r="AF155" s="239" t="s">
        <v>718</v>
      </c>
      <c r="AG155" s="239">
        <f t="shared" si="11"/>
        <v>0</v>
      </c>
      <c r="AH155" s="239">
        <f t="shared" si="12"/>
        <v>0</v>
      </c>
      <c r="AI155" s="239">
        <f t="shared" si="13"/>
        <v>0</v>
      </c>
      <c r="AJ155" s="239">
        <f t="shared" si="14"/>
        <v>0</v>
      </c>
    </row>
    <row r="156" spans="1:36" x14ac:dyDescent="0.2">
      <c r="A156" s="240" t="str">
        <f t="shared" si="10"/>
        <v>3SNCERAMFAS188</v>
      </c>
      <c r="B156" s="239" t="s">
        <v>19</v>
      </c>
      <c r="C156" s="239" t="s">
        <v>20</v>
      </c>
      <c r="D156" s="239" t="s">
        <v>21</v>
      </c>
      <c r="E156" s="239" t="s">
        <v>719</v>
      </c>
      <c r="F156" s="239" t="s">
        <v>88</v>
      </c>
      <c r="G156" s="239">
        <v>188</v>
      </c>
      <c r="H156" s="239" t="s">
        <v>928</v>
      </c>
      <c r="I156" s="239" t="s">
        <v>2471</v>
      </c>
      <c r="J156" s="239" t="s">
        <v>928</v>
      </c>
      <c r="K156" s="239" t="s">
        <v>2398</v>
      </c>
      <c r="L156" s="239">
        <v>39.562130000000003</v>
      </c>
      <c r="M156" s="239">
        <v>89</v>
      </c>
      <c r="N156" s="239">
        <v>0</v>
      </c>
      <c r="O156" s="239">
        <v>0</v>
      </c>
      <c r="P156" s="239">
        <v>0</v>
      </c>
      <c r="Q156" s="239">
        <v>0</v>
      </c>
      <c r="R156" s="239">
        <v>0</v>
      </c>
      <c r="S156" s="239">
        <v>0</v>
      </c>
      <c r="T156" s="239">
        <v>5.2200699999999998</v>
      </c>
      <c r="U156" s="239">
        <v>4.8035800000000002</v>
      </c>
      <c r="V156" s="239">
        <v>1.2822</v>
      </c>
      <c r="W156" s="239">
        <v>4.9087899999999998</v>
      </c>
      <c r="X156" s="239">
        <v>0</v>
      </c>
      <c r="Y156" s="239">
        <v>0</v>
      </c>
      <c r="Z156" s="239">
        <v>16.359739999999999</v>
      </c>
      <c r="AA156" s="239">
        <v>6.9877500000000001</v>
      </c>
      <c r="AB156" s="239">
        <v>0</v>
      </c>
      <c r="AC156" s="239">
        <v>0</v>
      </c>
      <c r="AD156" s="239">
        <v>1</v>
      </c>
      <c r="AE156" s="239" t="s">
        <v>20</v>
      </c>
      <c r="AF156" s="239" t="s">
        <v>718</v>
      </c>
      <c r="AG156" s="239">
        <f t="shared" si="11"/>
        <v>0</v>
      </c>
      <c r="AH156" s="239">
        <f t="shared" si="12"/>
        <v>0</v>
      </c>
      <c r="AI156" s="239">
        <f t="shared" si="13"/>
        <v>0</v>
      </c>
      <c r="AJ156" s="239">
        <f t="shared" si="14"/>
        <v>0</v>
      </c>
    </row>
    <row r="157" spans="1:36" x14ac:dyDescent="0.2">
      <c r="A157" s="240" t="str">
        <f t="shared" si="10"/>
        <v>3HSNCERAMFAS188</v>
      </c>
      <c r="B157" s="239" t="s">
        <v>19</v>
      </c>
      <c r="C157" s="239" t="s">
        <v>20</v>
      </c>
      <c r="D157" s="239" t="s">
        <v>21</v>
      </c>
      <c r="E157" s="239" t="s">
        <v>719</v>
      </c>
      <c r="F157" s="239" t="s">
        <v>88</v>
      </c>
      <c r="G157" s="239">
        <v>188</v>
      </c>
      <c r="H157" s="239" t="s">
        <v>928</v>
      </c>
      <c r="I157" s="239" t="s">
        <v>96</v>
      </c>
      <c r="J157" s="239" t="s">
        <v>928</v>
      </c>
      <c r="K157" s="239" t="s">
        <v>2398</v>
      </c>
      <c r="L157" s="239">
        <v>99.812399999999997</v>
      </c>
      <c r="M157" s="239">
        <v>75</v>
      </c>
      <c r="N157" s="239">
        <v>0</v>
      </c>
      <c r="O157" s="239">
        <v>0</v>
      </c>
      <c r="P157" s="239">
        <v>0</v>
      </c>
      <c r="Q157" s="239">
        <v>0</v>
      </c>
      <c r="R157" s="239">
        <v>0</v>
      </c>
      <c r="S157" s="239">
        <v>0</v>
      </c>
      <c r="T157" s="239">
        <v>5.2200699999999998</v>
      </c>
      <c r="U157" s="239">
        <v>29.340430000000001</v>
      </c>
      <c r="V157" s="239">
        <v>1.40222</v>
      </c>
      <c r="W157" s="239">
        <v>6.98271</v>
      </c>
      <c r="X157" s="239">
        <v>0</v>
      </c>
      <c r="Y157" s="239">
        <v>0</v>
      </c>
      <c r="Z157" s="239">
        <v>44.782670000000003</v>
      </c>
      <c r="AA157" s="239">
        <v>12.084300000000001</v>
      </c>
      <c r="AB157" s="239">
        <v>0</v>
      </c>
      <c r="AC157" s="239">
        <v>0</v>
      </c>
      <c r="AD157" s="239">
        <v>1</v>
      </c>
      <c r="AE157" s="239" t="s">
        <v>20</v>
      </c>
      <c r="AF157" s="239" t="s">
        <v>718</v>
      </c>
      <c r="AG157" s="239">
        <f t="shared" si="11"/>
        <v>0</v>
      </c>
      <c r="AH157" s="239">
        <f t="shared" si="12"/>
        <v>0</v>
      </c>
      <c r="AI157" s="239">
        <f t="shared" si="13"/>
        <v>0</v>
      </c>
      <c r="AJ157" s="239">
        <f t="shared" si="14"/>
        <v>0</v>
      </c>
    </row>
    <row r="158" spans="1:36" x14ac:dyDescent="0.2">
      <c r="A158" s="240" t="str">
        <f t="shared" si="10"/>
        <v>9SNCERAMFSBS188</v>
      </c>
      <c r="B158" s="239" t="s">
        <v>19</v>
      </c>
      <c r="C158" s="239" t="s">
        <v>20</v>
      </c>
      <c r="D158" s="239" t="s">
        <v>21</v>
      </c>
      <c r="E158" s="239" t="s">
        <v>719</v>
      </c>
      <c r="F158" s="239" t="s">
        <v>2479</v>
      </c>
      <c r="G158" s="239">
        <v>188</v>
      </c>
      <c r="H158" s="239" t="s">
        <v>928</v>
      </c>
      <c r="I158" s="239" t="s">
        <v>2475</v>
      </c>
      <c r="J158" s="239" t="s">
        <v>928</v>
      </c>
      <c r="K158" s="239" t="s">
        <v>2398</v>
      </c>
      <c r="L158" s="239">
        <v>384.54</v>
      </c>
      <c r="M158" s="239">
        <v>70</v>
      </c>
      <c r="N158" s="239">
        <v>0</v>
      </c>
      <c r="O158" s="239">
        <v>0</v>
      </c>
      <c r="P158" s="239">
        <v>0</v>
      </c>
      <c r="Q158" s="239">
        <v>384.54</v>
      </c>
      <c r="R158" s="239">
        <v>0</v>
      </c>
      <c r="S158" s="239">
        <v>0</v>
      </c>
      <c r="T158" s="239">
        <v>0</v>
      </c>
      <c r="U158" s="239">
        <v>0</v>
      </c>
      <c r="V158" s="239">
        <v>0</v>
      </c>
      <c r="W158" s="239">
        <v>0</v>
      </c>
      <c r="X158" s="239">
        <v>0</v>
      </c>
      <c r="Y158" s="239">
        <v>0</v>
      </c>
      <c r="Z158" s="239">
        <v>0</v>
      </c>
      <c r="AA158" s="239">
        <v>0</v>
      </c>
      <c r="AB158" s="239">
        <v>0</v>
      </c>
      <c r="AC158" s="239">
        <v>0</v>
      </c>
      <c r="AD158" s="239">
        <v>1</v>
      </c>
      <c r="AE158" s="239" t="s">
        <v>20</v>
      </c>
      <c r="AF158" s="239" t="s">
        <v>718</v>
      </c>
      <c r="AG158" s="239">
        <f t="shared" si="11"/>
        <v>0</v>
      </c>
      <c r="AH158" s="239">
        <f t="shared" si="12"/>
        <v>0</v>
      </c>
      <c r="AI158" s="239">
        <f t="shared" si="13"/>
        <v>0</v>
      </c>
      <c r="AJ158" s="239">
        <f t="shared" si="14"/>
        <v>0</v>
      </c>
    </row>
    <row r="159" spans="1:36" x14ac:dyDescent="0.2">
      <c r="A159" s="240" t="str">
        <f t="shared" si="10"/>
        <v>3SNCERASY0825</v>
      </c>
      <c r="B159" s="239" t="s">
        <v>19</v>
      </c>
      <c r="C159" s="239" t="s">
        <v>20</v>
      </c>
      <c r="D159" s="239" t="s">
        <v>21</v>
      </c>
      <c r="E159" s="239" t="s">
        <v>719</v>
      </c>
      <c r="F159" s="239" t="s">
        <v>99</v>
      </c>
      <c r="G159" s="239">
        <v>25</v>
      </c>
      <c r="H159" s="239" t="s">
        <v>928</v>
      </c>
      <c r="I159" s="239" t="s">
        <v>2471</v>
      </c>
      <c r="J159" s="239" t="s">
        <v>928</v>
      </c>
      <c r="K159" s="239" t="s">
        <v>2398</v>
      </c>
      <c r="L159" s="239">
        <v>63.416550000000001</v>
      </c>
      <c r="M159" s="239">
        <v>91.6</v>
      </c>
      <c r="N159" s="239">
        <v>0</v>
      </c>
      <c r="O159" s="239">
        <v>17.576419999999999</v>
      </c>
      <c r="P159" s="239">
        <v>0</v>
      </c>
      <c r="Q159" s="239">
        <v>0</v>
      </c>
      <c r="R159" s="239">
        <v>0</v>
      </c>
      <c r="S159" s="239">
        <v>0</v>
      </c>
      <c r="T159" s="239">
        <v>22.00029</v>
      </c>
      <c r="U159" s="239">
        <v>2.7847599999999999</v>
      </c>
      <c r="V159" s="239">
        <v>0.78812000000000004</v>
      </c>
      <c r="W159" s="239">
        <v>3.1498699999999999</v>
      </c>
      <c r="X159" s="239">
        <v>0</v>
      </c>
      <c r="Y159" s="239">
        <v>0</v>
      </c>
      <c r="Z159" s="239">
        <v>12.51702</v>
      </c>
      <c r="AA159" s="239">
        <v>4.6000699999999997</v>
      </c>
      <c r="AB159" s="239">
        <v>0</v>
      </c>
      <c r="AC159" s="239">
        <v>0</v>
      </c>
      <c r="AD159" s="239">
        <v>1</v>
      </c>
      <c r="AE159" s="239" t="s">
        <v>720</v>
      </c>
      <c r="AF159" s="239" t="s">
        <v>721</v>
      </c>
      <c r="AG159" s="239">
        <f t="shared" si="11"/>
        <v>16.100000719999997</v>
      </c>
      <c r="AH159" s="239">
        <f t="shared" si="12"/>
        <v>0</v>
      </c>
      <c r="AI159" s="239">
        <f t="shared" si="13"/>
        <v>0</v>
      </c>
      <c r="AJ159" s="239">
        <f t="shared" si="14"/>
        <v>16.100000719999997</v>
      </c>
    </row>
    <row r="160" spans="1:36" x14ac:dyDescent="0.2">
      <c r="A160" s="240" t="str">
        <f t="shared" si="10"/>
        <v>9SNCERAWDS50</v>
      </c>
      <c r="B160" s="239" t="s">
        <v>19</v>
      </c>
      <c r="C160" s="239" t="s">
        <v>20</v>
      </c>
      <c r="D160" s="239" t="s">
        <v>21</v>
      </c>
      <c r="E160" s="239" t="s">
        <v>719</v>
      </c>
      <c r="F160" s="239" t="s">
        <v>2480</v>
      </c>
      <c r="G160" s="239">
        <v>50</v>
      </c>
      <c r="H160" s="239" t="s">
        <v>928</v>
      </c>
      <c r="I160" s="239" t="s">
        <v>2475</v>
      </c>
      <c r="J160" s="239" t="s">
        <v>928</v>
      </c>
      <c r="K160" s="239" t="s">
        <v>2398</v>
      </c>
      <c r="L160" s="239">
        <v>34</v>
      </c>
      <c r="M160" s="239">
        <v>95</v>
      </c>
      <c r="N160" s="239">
        <v>0</v>
      </c>
      <c r="O160" s="239">
        <v>0</v>
      </c>
      <c r="P160" s="239">
        <v>0</v>
      </c>
      <c r="Q160" s="239">
        <v>34</v>
      </c>
      <c r="R160" s="239">
        <v>0</v>
      </c>
      <c r="S160" s="239">
        <v>0</v>
      </c>
      <c r="T160" s="239">
        <v>0</v>
      </c>
      <c r="U160" s="239">
        <v>0</v>
      </c>
      <c r="V160" s="239">
        <v>0</v>
      </c>
      <c r="W160" s="239">
        <v>0</v>
      </c>
      <c r="X160" s="239">
        <v>0</v>
      </c>
      <c r="Y160" s="239">
        <v>0</v>
      </c>
      <c r="Z160" s="239">
        <v>0</v>
      </c>
      <c r="AA160" s="239">
        <v>0</v>
      </c>
      <c r="AB160" s="239">
        <v>0</v>
      </c>
      <c r="AC160" s="239">
        <v>0</v>
      </c>
      <c r="AD160" s="239">
        <v>1</v>
      </c>
      <c r="AE160" s="239" t="s">
        <v>720</v>
      </c>
      <c r="AF160" s="239" t="s">
        <v>721</v>
      </c>
      <c r="AG160" s="239">
        <f t="shared" si="11"/>
        <v>0</v>
      </c>
      <c r="AH160" s="239">
        <f t="shared" si="12"/>
        <v>0</v>
      </c>
      <c r="AI160" s="239">
        <f t="shared" si="13"/>
        <v>0</v>
      </c>
      <c r="AJ160" s="239">
        <f t="shared" si="14"/>
        <v>0</v>
      </c>
    </row>
    <row r="161" spans="1:36" x14ac:dyDescent="0.2">
      <c r="A161" s="240" t="str">
        <f t="shared" si="10"/>
        <v>9SNCERAWDS75</v>
      </c>
      <c r="B161" s="239" t="s">
        <v>19</v>
      </c>
      <c r="C161" s="239" t="s">
        <v>20</v>
      </c>
      <c r="D161" s="239" t="s">
        <v>21</v>
      </c>
      <c r="E161" s="239" t="s">
        <v>719</v>
      </c>
      <c r="F161" s="239" t="s">
        <v>2480</v>
      </c>
      <c r="G161" s="239">
        <v>75</v>
      </c>
      <c r="H161" s="239" t="s">
        <v>928</v>
      </c>
      <c r="I161" s="239" t="s">
        <v>2475</v>
      </c>
      <c r="J161" s="239" t="s">
        <v>928</v>
      </c>
      <c r="K161" s="239" t="s">
        <v>2398</v>
      </c>
      <c r="L161" s="239">
        <v>36.450000000000003</v>
      </c>
      <c r="M161" s="239">
        <v>95</v>
      </c>
      <c r="N161" s="239">
        <v>0</v>
      </c>
      <c r="O161" s="239">
        <v>0</v>
      </c>
      <c r="P161" s="239">
        <v>0</v>
      </c>
      <c r="Q161" s="239">
        <v>36.450000000000003</v>
      </c>
      <c r="R161" s="239">
        <v>0</v>
      </c>
      <c r="S161" s="239">
        <v>0</v>
      </c>
      <c r="T161" s="239">
        <v>0</v>
      </c>
      <c r="U161" s="239">
        <v>0</v>
      </c>
      <c r="V161" s="239">
        <v>0</v>
      </c>
      <c r="W161" s="239">
        <v>0</v>
      </c>
      <c r="X161" s="239">
        <v>0</v>
      </c>
      <c r="Y161" s="239">
        <v>0</v>
      </c>
      <c r="Z161" s="239">
        <v>0</v>
      </c>
      <c r="AA161" s="239">
        <v>0</v>
      </c>
      <c r="AB161" s="239">
        <v>0</v>
      </c>
      <c r="AC161" s="239">
        <v>0</v>
      </c>
      <c r="AD161" s="239">
        <v>1</v>
      </c>
      <c r="AE161" s="239" t="s">
        <v>720</v>
      </c>
      <c r="AF161" s="239" t="s">
        <v>721</v>
      </c>
      <c r="AG161" s="239">
        <f t="shared" si="11"/>
        <v>0</v>
      </c>
      <c r="AH161" s="239">
        <f t="shared" si="12"/>
        <v>0</v>
      </c>
      <c r="AI161" s="239">
        <f t="shared" si="13"/>
        <v>0</v>
      </c>
      <c r="AJ161" s="239">
        <f t="shared" si="14"/>
        <v>0</v>
      </c>
    </row>
    <row r="162" spans="1:36" x14ac:dyDescent="0.2">
      <c r="A162" s="240" t="str">
        <f t="shared" si="10"/>
        <v>9SNCERAWDS125</v>
      </c>
      <c r="B162" s="239" t="s">
        <v>19</v>
      </c>
      <c r="C162" s="239" t="s">
        <v>20</v>
      </c>
      <c r="D162" s="239" t="s">
        <v>21</v>
      </c>
      <c r="E162" s="239" t="s">
        <v>719</v>
      </c>
      <c r="F162" s="239" t="s">
        <v>2480</v>
      </c>
      <c r="G162" s="239">
        <v>125</v>
      </c>
      <c r="H162" s="239" t="s">
        <v>928</v>
      </c>
      <c r="I162" s="239" t="s">
        <v>2475</v>
      </c>
      <c r="J162" s="239" t="s">
        <v>928</v>
      </c>
      <c r="K162" s="239" t="s">
        <v>2398</v>
      </c>
      <c r="L162" s="239">
        <v>43.06</v>
      </c>
      <c r="M162" s="239">
        <v>95</v>
      </c>
      <c r="N162" s="239">
        <v>0</v>
      </c>
      <c r="O162" s="239">
        <v>0</v>
      </c>
      <c r="P162" s="239">
        <v>0</v>
      </c>
      <c r="Q162" s="239">
        <v>43.06</v>
      </c>
      <c r="R162" s="239">
        <v>0</v>
      </c>
      <c r="S162" s="239">
        <v>0</v>
      </c>
      <c r="T162" s="239">
        <v>0</v>
      </c>
      <c r="U162" s="239">
        <v>0</v>
      </c>
      <c r="V162" s="239">
        <v>0</v>
      </c>
      <c r="W162" s="239">
        <v>0</v>
      </c>
      <c r="X162" s="239">
        <v>0</v>
      </c>
      <c r="Y162" s="239">
        <v>0</v>
      </c>
      <c r="Z162" s="239">
        <v>0</v>
      </c>
      <c r="AA162" s="239">
        <v>0</v>
      </c>
      <c r="AB162" s="239">
        <v>0</v>
      </c>
      <c r="AC162" s="239">
        <v>0</v>
      </c>
      <c r="AD162" s="239">
        <v>1</v>
      </c>
      <c r="AE162" s="239" t="s">
        <v>720</v>
      </c>
      <c r="AF162" s="239" t="s">
        <v>721</v>
      </c>
      <c r="AG162" s="239">
        <f t="shared" si="11"/>
        <v>0</v>
      </c>
      <c r="AH162" s="239">
        <f t="shared" si="12"/>
        <v>0</v>
      </c>
      <c r="AI162" s="239">
        <f t="shared" si="13"/>
        <v>0</v>
      </c>
      <c r="AJ162" s="239">
        <f t="shared" si="14"/>
        <v>0</v>
      </c>
    </row>
    <row r="163" spans="1:36" x14ac:dyDescent="0.2">
      <c r="A163" s="240" t="str">
        <f t="shared" si="10"/>
        <v>9SNCERAWDS188</v>
      </c>
      <c r="B163" s="239" t="s">
        <v>19</v>
      </c>
      <c r="C163" s="239" t="s">
        <v>20</v>
      </c>
      <c r="D163" s="239" t="s">
        <v>21</v>
      </c>
      <c r="E163" s="239" t="s">
        <v>719</v>
      </c>
      <c r="F163" s="239" t="s">
        <v>2480</v>
      </c>
      <c r="G163" s="239">
        <v>188</v>
      </c>
      <c r="H163" s="239" t="s">
        <v>928</v>
      </c>
      <c r="I163" s="239" t="s">
        <v>2475</v>
      </c>
      <c r="J163" s="239" t="s">
        <v>928</v>
      </c>
      <c r="K163" s="239" t="s">
        <v>2398</v>
      </c>
      <c r="L163" s="239">
        <v>53.6</v>
      </c>
      <c r="M163" s="239">
        <v>92</v>
      </c>
      <c r="N163" s="239">
        <v>0</v>
      </c>
      <c r="O163" s="239">
        <v>0</v>
      </c>
      <c r="P163" s="239">
        <v>0</v>
      </c>
      <c r="Q163" s="239">
        <v>53.6</v>
      </c>
      <c r="R163" s="239">
        <v>0</v>
      </c>
      <c r="S163" s="239">
        <v>0</v>
      </c>
      <c r="T163" s="239">
        <v>0</v>
      </c>
      <c r="U163" s="239">
        <v>0</v>
      </c>
      <c r="V163" s="239">
        <v>0</v>
      </c>
      <c r="W163" s="239">
        <v>0</v>
      </c>
      <c r="X163" s="239">
        <v>0</v>
      </c>
      <c r="Y163" s="239">
        <v>0</v>
      </c>
      <c r="Z163" s="239">
        <v>0</v>
      </c>
      <c r="AA163" s="239">
        <v>0</v>
      </c>
      <c r="AB163" s="239">
        <v>0</v>
      </c>
      <c r="AC163" s="239">
        <v>0</v>
      </c>
      <c r="AD163" s="239">
        <v>1</v>
      </c>
      <c r="AE163" s="239" t="s">
        <v>720</v>
      </c>
      <c r="AF163" s="239" t="s">
        <v>721</v>
      </c>
      <c r="AG163" s="239">
        <f t="shared" si="11"/>
        <v>0</v>
      </c>
      <c r="AH163" s="239">
        <f t="shared" si="12"/>
        <v>0</v>
      </c>
      <c r="AI163" s="239">
        <f t="shared" si="13"/>
        <v>0</v>
      </c>
      <c r="AJ163" s="239">
        <f t="shared" si="14"/>
        <v>0</v>
      </c>
    </row>
    <row r="164" spans="1:36" x14ac:dyDescent="0.2">
      <c r="A164" s="240" t="str">
        <f t="shared" si="10"/>
        <v>9SNCERAWDS350</v>
      </c>
      <c r="B164" s="239" t="s">
        <v>19</v>
      </c>
      <c r="C164" s="239" t="s">
        <v>20</v>
      </c>
      <c r="D164" s="239" t="s">
        <v>21</v>
      </c>
      <c r="E164" s="239" t="s">
        <v>719</v>
      </c>
      <c r="F164" s="239" t="s">
        <v>2480</v>
      </c>
      <c r="G164" s="239">
        <v>350</v>
      </c>
      <c r="H164" s="239" t="s">
        <v>928</v>
      </c>
      <c r="I164" s="239" t="s">
        <v>2475</v>
      </c>
      <c r="J164" s="239" t="s">
        <v>928</v>
      </c>
      <c r="K164" s="239" t="s">
        <v>2398</v>
      </c>
      <c r="L164" s="239">
        <v>115</v>
      </c>
      <c r="M164" s="239">
        <v>90</v>
      </c>
      <c r="N164" s="239">
        <v>0</v>
      </c>
      <c r="O164" s="239">
        <v>0</v>
      </c>
      <c r="P164" s="239">
        <v>0</v>
      </c>
      <c r="Q164" s="239">
        <v>115</v>
      </c>
      <c r="R164" s="239">
        <v>0</v>
      </c>
      <c r="S164" s="239">
        <v>0</v>
      </c>
      <c r="T164" s="239">
        <v>0</v>
      </c>
      <c r="U164" s="239">
        <v>0</v>
      </c>
      <c r="V164" s="239">
        <v>0</v>
      </c>
      <c r="W164" s="239">
        <v>0</v>
      </c>
      <c r="X164" s="239">
        <v>0</v>
      </c>
      <c r="Y164" s="239">
        <v>0</v>
      </c>
      <c r="Z164" s="239">
        <v>0</v>
      </c>
      <c r="AA164" s="239">
        <v>0</v>
      </c>
      <c r="AB164" s="239">
        <v>0</v>
      </c>
      <c r="AC164" s="239">
        <v>0</v>
      </c>
      <c r="AD164" s="239">
        <v>1</v>
      </c>
      <c r="AE164" s="239" t="s">
        <v>720</v>
      </c>
      <c r="AF164" s="239" t="s">
        <v>721</v>
      </c>
      <c r="AG164" s="239">
        <f t="shared" si="11"/>
        <v>0</v>
      </c>
      <c r="AH164" s="239">
        <f t="shared" si="12"/>
        <v>0</v>
      </c>
      <c r="AI164" s="239">
        <f t="shared" si="13"/>
        <v>0</v>
      </c>
      <c r="AJ164" s="239">
        <f t="shared" si="14"/>
        <v>0</v>
      </c>
    </row>
    <row r="165" spans="1:36" x14ac:dyDescent="0.2">
      <c r="A165" s="240" t="str">
        <f t="shared" si="10"/>
        <v>3SNCERAWZ25</v>
      </c>
      <c r="B165" s="239" t="s">
        <v>19</v>
      </c>
      <c r="C165" s="239" t="s">
        <v>20</v>
      </c>
      <c r="D165" s="239" t="s">
        <v>21</v>
      </c>
      <c r="E165" s="239" t="s">
        <v>719</v>
      </c>
      <c r="F165" s="239" t="s">
        <v>104</v>
      </c>
      <c r="G165" s="239">
        <v>25</v>
      </c>
      <c r="H165" s="239" t="s">
        <v>928</v>
      </c>
      <c r="I165" s="239" t="s">
        <v>2471</v>
      </c>
      <c r="J165" s="239" t="s">
        <v>928</v>
      </c>
      <c r="K165" s="239" t="s">
        <v>2398</v>
      </c>
      <c r="L165" s="239">
        <v>10.933920000000001</v>
      </c>
      <c r="M165" s="239">
        <v>96.6</v>
      </c>
      <c r="N165" s="239">
        <v>0</v>
      </c>
      <c r="O165" s="239">
        <v>0</v>
      </c>
      <c r="P165" s="239">
        <v>0</v>
      </c>
      <c r="Q165" s="239">
        <v>0</v>
      </c>
      <c r="R165" s="239">
        <v>0</v>
      </c>
      <c r="S165" s="239">
        <v>0</v>
      </c>
      <c r="T165" s="239">
        <v>2.4500299999999999</v>
      </c>
      <c r="U165" s="239">
        <v>0.62095</v>
      </c>
      <c r="V165" s="239">
        <v>0.35104999999999997</v>
      </c>
      <c r="W165" s="239">
        <v>1.33294</v>
      </c>
      <c r="X165" s="239">
        <v>0</v>
      </c>
      <c r="Y165" s="239">
        <v>0</v>
      </c>
      <c r="Z165" s="239">
        <v>4.2975500000000002</v>
      </c>
      <c r="AA165" s="239">
        <v>1.8814</v>
      </c>
      <c r="AB165" s="239">
        <v>0</v>
      </c>
      <c r="AC165" s="239">
        <v>0</v>
      </c>
      <c r="AD165" s="239">
        <v>1</v>
      </c>
      <c r="AE165" s="239" t="s">
        <v>720</v>
      </c>
      <c r="AF165" s="239" t="s">
        <v>721</v>
      </c>
      <c r="AG165" s="239">
        <f t="shared" si="11"/>
        <v>0</v>
      </c>
      <c r="AH165" s="239">
        <f t="shared" si="12"/>
        <v>0</v>
      </c>
      <c r="AI165" s="239">
        <f t="shared" si="13"/>
        <v>0</v>
      </c>
      <c r="AJ165" s="239">
        <f t="shared" si="14"/>
        <v>0</v>
      </c>
    </row>
    <row r="166" spans="1:36" x14ac:dyDescent="0.2">
      <c r="A166" s="240" t="str">
        <f t="shared" si="10"/>
        <v>3SNCERAWZ2638</v>
      </c>
      <c r="B166" s="239" t="s">
        <v>19</v>
      </c>
      <c r="C166" s="239" t="s">
        <v>20</v>
      </c>
      <c r="D166" s="239" t="s">
        <v>21</v>
      </c>
      <c r="E166" s="239" t="s">
        <v>719</v>
      </c>
      <c r="F166" s="239" t="s">
        <v>429</v>
      </c>
      <c r="G166" s="239">
        <v>38</v>
      </c>
      <c r="H166" s="239" t="s">
        <v>928</v>
      </c>
      <c r="I166" s="239" t="s">
        <v>2471</v>
      </c>
      <c r="J166" s="239" t="s">
        <v>928</v>
      </c>
      <c r="K166" s="239" t="s">
        <v>2398</v>
      </c>
      <c r="L166" s="239">
        <v>11.675459999999999</v>
      </c>
      <c r="M166" s="239">
        <v>96.9</v>
      </c>
      <c r="N166" s="239">
        <v>0</v>
      </c>
      <c r="O166" s="239">
        <v>0</v>
      </c>
      <c r="P166" s="239">
        <v>0</v>
      </c>
      <c r="Q166" s="239">
        <v>0</v>
      </c>
      <c r="R166" s="239">
        <v>0</v>
      </c>
      <c r="S166" s="239">
        <v>0</v>
      </c>
      <c r="T166" s="239">
        <v>2.4500299999999999</v>
      </c>
      <c r="U166" s="239">
        <v>1.95183</v>
      </c>
      <c r="V166" s="239">
        <v>0.31405</v>
      </c>
      <c r="W166" s="239">
        <v>1.20295</v>
      </c>
      <c r="X166" s="239">
        <v>0</v>
      </c>
      <c r="Y166" s="239">
        <v>0</v>
      </c>
      <c r="Z166" s="239">
        <v>4.0406899999999997</v>
      </c>
      <c r="AA166" s="239">
        <v>1.71591</v>
      </c>
      <c r="AB166" s="239">
        <v>0</v>
      </c>
      <c r="AC166" s="239">
        <v>0</v>
      </c>
      <c r="AD166" s="239">
        <v>1</v>
      </c>
      <c r="AE166" s="239" t="s">
        <v>720</v>
      </c>
      <c r="AF166" s="239" t="s">
        <v>721</v>
      </c>
      <c r="AG166" s="239">
        <f t="shared" si="11"/>
        <v>0</v>
      </c>
      <c r="AH166" s="239">
        <f t="shared" si="12"/>
        <v>0</v>
      </c>
      <c r="AI166" s="239">
        <f t="shared" si="13"/>
        <v>0</v>
      </c>
      <c r="AJ166" s="239">
        <f t="shared" si="14"/>
        <v>0</v>
      </c>
    </row>
    <row r="167" spans="1:36" x14ac:dyDescent="0.2">
      <c r="A167" s="240" t="str">
        <f t="shared" si="10"/>
        <v>3SNCERAWZE25</v>
      </c>
      <c r="B167" s="239" t="s">
        <v>19</v>
      </c>
      <c r="C167" s="239" t="s">
        <v>20</v>
      </c>
      <c r="D167" s="239" t="s">
        <v>21</v>
      </c>
      <c r="E167" s="239" t="s">
        <v>719</v>
      </c>
      <c r="F167" s="239" t="s">
        <v>107</v>
      </c>
      <c r="G167" s="239">
        <v>25</v>
      </c>
      <c r="H167" s="239" t="s">
        <v>928</v>
      </c>
      <c r="I167" s="239" t="s">
        <v>2471</v>
      </c>
      <c r="J167" s="239" t="s">
        <v>928</v>
      </c>
      <c r="K167" s="239" t="s">
        <v>2398</v>
      </c>
      <c r="L167" s="239">
        <v>27.578489999999999</v>
      </c>
      <c r="M167" s="239">
        <v>96.7</v>
      </c>
      <c r="N167" s="239">
        <v>0</v>
      </c>
      <c r="O167" s="239">
        <v>16.47363</v>
      </c>
      <c r="P167" s="239">
        <v>0</v>
      </c>
      <c r="Q167" s="239">
        <v>0</v>
      </c>
      <c r="R167" s="239">
        <v>0</v>
      </c>
      <c r="S167" s="239">
        <v>0</v>
      </c>
      <c r="T167" s="239">
        <v>2.4500299999999999</v>
      </c>
      <c r="U167" s="239">
        <v>1.41588</v>
      </c>
      <c r="V167" s="239">
        <v>0.31505</v>
      </c>
      <c r="W167" s="239">
        <v>1.2059500000000001</v>
      </c>
      <c r="X167" s="239">
        <v>0</v>
      </c>
      <c r="Y167" s="239">
        <v>0</v>
      </c>
      <c r="Z167" s="239">
        <v>4.0031299999999996</v>
      </c>
      <c r="AA167" s="239">
        <v>1.71482</v>
      </c>
      <c r="AB167" s="239">
        <v>0</v>
      </c>
      <c r="AC167" s="239">
        <v>0</v>
      </c>
      <c r="AD167" s="239">
        <v>1</v>
      </c>
      <c r="AE167" s="239" t="s">
        <v>720</v>
      </c>
      <c r="AF167" s="239" t="s">
        <v>721</v>
      </c>
      <c r="AG167" s="239">
        <f t="shared" si="11"/>
        <v>15.930000210000001</v>
      </c>
      <c r="AH167" s="239">
        <f t="shared" si="12"/>
        <v>0</v>
      </c>
      <c r="AI167" s="239">
        <f t="shared" si="13"/>
        <v>0</v>
      </c>
      <c r="AJ167" s="239">
        <f t="shared" si="14"/>
        <v>15.930000210000001</v>
      </c>
    </row>
    <row r="168" spans="1:36" x14ac:dyDescent="0.2">
      <c r="A168" s="240" t="str">
        <f t="shared" si="10"/>
        <v>3SNCERAWZE38</v>
      </c>
      <c r="B168" s="239" t="s">
        <v>19</v>
      </c>
      <c r="C168" s="239" t="s">
        <v>20</v>
      </c>
      <c r="D168" s="239" t="s">
        <v>21</v>
      </c>
      <c r="E168" s="239" t="s">
        <v>719</v>
      </c>
      <c r="F168" s="239" t="s">
        <v>107</v>
      </c>
      <c r="G168" s="239">
        <v>38</v>
      </c>
      <c r="H168" s="239" t="s">
        <v>928</v>
      </c>
      <c r="I168" s="239" t="s">
        <v>2471</v>
      </c>
      <c r="J168" s="239" t="s">
        <v>928</v>
      </c>
      <c r="K168" s="239" t="s">
        <v>2398</v>
      </c>
      <c r="L168" s="239">
        <v>36.789560000000002</v>
      </c>
      <c r="M168" s="239">
        <v>96</v>
      </c>
      <c r="N168" s="239">
        <v>0</v>
      </c>
      <c r="O168" s="239">
        <v>25.21875</v>
      </c>
      <c r="P168" s="239">
        <v>0</v>
      </c>
      <c r="Q168" s="239">
        <v>0</v>
      </c>
      <c r="R168" s="239">
        <v>0</v>
      </c>
      <c r="S168" s="239">
        <v>0</v>
      </c>
      <c r="T168" s="239">
        <v>2.4500299999999999</v>
      </c>
      <c r="U168" s="239">
        <v>1.41588</v>
      </c>
      <c r="V168" s="239">
        <v>0.33605000000000002</v>
      </c>
      <c r="W168" s="239">
        <v>1.28495</v>
      </c>
      <c r="X168" s="239">
        <v>0</v>
      </c>
      <c r="Y168" s="239">
        <v>0</v>
      </c>
      <c r="Z168" s="239">
        <v>4.2569400000000002</v>
      </c>
      <c r="AA168" s="239">
        <v>1.8269599999999999</v>
      </c>
      <c r="AB168" s="239">
        <v>0</v>
      </c>
      <c r="AC168" s="239">
        <v>0</v>
      </c>
      <c r="AD168" s="239">
        <v>1</v>
      </c>
      <c r="AE168" s="239" t="s">
        <v>720</v>
      </c>
      <c r="AF168" s="239" t="s">
        <v>721</v>
      </c>
      <c r="AG168" s="239">
        <f t="shared" si="11"/>
        <v>24.21</v>
      </c>
      <c r="AH168" s="239">
        <f t="shared" si="12"/>
        <v>0</v>
      </c>
      <c r="AI168" s="239">
        <f t="shared" si="13"/>
        <v>0</v>
      </c>
      <c r="AJ168" s="239">
        <f t="shared" si="14"/>
        <v>24.21</v>
      </c>
    </row>
    <row r="169" spans="1:36" x14ac:dyDescent="0.2">
      <c r="A169" s="240" t="str">
        <f t="shared" si="10"/>
        <v>3SNCERAWZRX38</v>
      </c>
      <c r="B169" s="239" t="s">
        <v>19</v>
      </c>
      <c r="C169" s="239" t="s">
        <v>20</v>
      </c>
      <c r="D169" s="239" t="s">
        <v>21</v>
      </c>
      <c r="E169" s="239" t="s">
        <v>719</v>
      </c>
      <c r="F169" s="239" t="s">
        <v>112</v>
      </c>
      <c r="G169" s="239">
        <v>38</v>
      </c>
      <c r="H169" s="239" t="s">
        <v>928</v>
      </c>
      <c r="I169" s="239" t="s">
        <v>2471</v>
      </c>
      <c r="J169" s="239" t="s">
        <v>928</v>
      </c>
      <c r="K169" s="239" t="s">
        <v>2398</v>
      </c>
      <c r="L169" s="239">
        <v>12.014810000000001</v>
      </c>
      <c r="M169" s="239">
        <v>97</v>
      </c>
      <c r="N169" s="239">
        <v>0</v>
      </c>
      <c r="O169" s="239">
        <v>0</v>
      </c>
      <c r="P169" s="239">
        <v>0</v>
      </c>
      <c r="Q169" s="239">
        <v>0</v>
      </c>
      <c r="R169" s="239">
        <v>0</v>
      </c>
      <c r="S169" s="239">
        <v>0</v>
      </c>
      <c r="T169" s="239">
        <v>2.4500299999999999</v>
      </c>
      <c r="U169" s="239">
        <v>1.4948699999999999</v>
      </c>
      <c r="V169" s="239">
        <v>0.35205999999999998</v>
      </c>
      <c r="W169" s="239">
        <v>1.3439399999999999</v>
      </c>
      <c r="X169" s="239">
        <v>0</v>
      </c>
      <c r="Y169" s="239">
        <v>0</v>
      </c>
      <c r="Z169" s="239">
        <v>4.4620199999999999</v>
      </c>
      <c r="AA169" s="239">
        <v>1.9118900000000001</v>
      </c>
      <c r="AB169" s="239">
        <v>0</v>
      </c>
      <c r="AC169" s="239">
        <v>0</v>
      </c>
      <c r="AD169" s="239">
        <v>1</v>
      </c>
      <c r="AE169" s="239" t="s">
        <v>720</v>
      </c>
      <c r="AF169" s="239" t="s">
        <v>721</v>
      </c>
      <c r="AG169" s="239">
        <f t="shared" si="11"/>
        <v>0</v>
      </c>
      <c r="AH169" s="239">
        <f t="shared" si="12"/>
        <v>0</v>
      </c>
      <c r="AI169" s="239">
        <f t="shared" si="13"/>
        <v>0</v>
      </c>
      <c r="AJ169" s="239">
        <f t="shared" si="14"/>
        <v>0</v>
      </c>
    </row>
    <row r="170" spans="1:36" x14ac:dyDescent="0.2">
      <c r="A170" s="240" t="str">
        <f t="shared" si="10"/>
        <v>3SNCERAWZS25</v>
      </c>
      <c r="B170" s="239" t="s">
        <v>19</v>
      </c>
      <c r="C170" s="239" t="s">
        <v>20</v>
      </c>
      <c r="D170" s="239" t="s">
        <v>21</v>
      </c>
      <c r="E170" s="239" t="s">
        <v>719</v>
      </c>
      <c r="F170" s="239" t="s">
        <v>118</v>
      </c>
      <c r="G170" s="239">
        <v>25</v>
      </c>
      <c r="H170" s="239" t="s">
        <v>928</v>
      </c>
      <c r="I170" s="239" t="s">
        <v>2471</v>
      </c>
      <c r="J170" s="239" t="s">
        <v>928</v>
      </c>
      <c r="K170" s="239" t="s">
        <v>2398</v>
      </c>
      <c r="L170" s="239">
        <v>10.72181</v>
      </c>
      <c r="M170" s="239">
        <v>97.3</v>
      </c>
      <c r="N170" s="239">
        <v>0</v>
      </c>
      <c r="O170" s="239">
        <v>0</v>
      </c>
      <c r="P170" s="239">
        <v>0</v>
      </c>
      <c r="Q170" s="239">
        <v>0</v>
      </c>
      <c r="R170" s="239">
        <v>0</v>
      </c>
      <c r="S170" s="239">
        <v>0</v>
      </c>
      <c r="T170" s="239">
        <v>2.4500299999999999</v>
      </c>
      <c r="U170" s="239">
        <v>0.80993000000000004</v>
      </c>
      <c r="V170" s="239">
        <v>0.33305000000000001</v>
      </c>
      <c r="W170" s="239">
        <v>1.26495</v>
      </c>
      <c r="X170" s="239">
        <v>0</v>
      </c>
      <c r="Y170" s="239">
        <v>0</v>
      </c>
      <c r="Z170" s="239">
        <v>4.0782600000000002</v>
      </c>
      <c r="AA170" s="239">
        <v>1.78559</v>
      </c>
      <c r="AB170" s="239">
        <v>0</v>
      </c>
      <c r="AC170" s="239">
        <v>0</v>
      </c>
      <c r="AD170" s="239">
        <v>1</v>
      </c>
      <c r="AE170" s="239" t="s">
        <v>720</v>
      </c>
      <c r="AF170" s="239" t="s">
        <v>721</v>
      </c>
      <c r="AG170" s="239">
        <f t="shared" si="11"/>
        <v>0</v>
      </c>
      <c r="AH170" s="239">
        <f t="shared" si="12"/>
        <v>0</v>
      </c>
      <c r="AI170" s="239">
        <f t="shared" si="13"/>
        <v>0</v>
      </c>
      <c r="AJ170" s="239">
        <f t="shared" si="14"/>
        <v>0</v>
      </c>
    </row>
    <row r="171" spans="1:36" x14ac:dyDescent="0.2">
      <c r="A171" s="240" t="str">
        <f t="shared" si="10"/>
        <v>331SNCERAWZS25</v>
      </c>
      <c r="B171" s="239" t="s">
        <v>19</v>
      </c>
      <c r="C171" s="239" t="s">
        <v>20</v>
      </c>
      <c r="D171" s="239" t="s">
        <v>21</v>
      </c>
      <c r="E171" s="239" t="s">
        <v>719</v>
      </c>
      <c r="F171" s="239" t="s">
        <v>118</v>
      </c>
      <c r="G171" s="239">
        <v>25</v>
      </c>
      <c r="H171" s="239" t="s">
        <v>928</v>
      </c>
      <c r="I171" s="239" t="s">
        <v>2472</v>
      </c>
      <c r="J171" s="239" t="s">
        <v>928</v>
      </c>
      <c r="K171" s="239" t="s">
        <v>2398</v>
      </c>
      <c r="L171" s="239">
        <v>10.700900000000001</v>
      </c>
      <c r="M171" s="239">
        <v>97.6</v>
      </c>
      <c r="N171" s="239">
        <v>0</v>
      </c>
      <c r="O171" s="239">
        <v>0</v>
      </c>
      <c r="P171" s="239">
        <v>0</v>
      </c>
      <c r="Q171" s="239">
        <v>0</v>
      </c>
      <c r="R171" s="239">
        <v>0</v>
      </c>
      <c r="S171" s="239">
        <v>0</v>
      </c>
      <c r="T171" s="239">
        <v>2.4500299999999999</v>
      </c>
      <c r="U171" s="239">
        <v>0.53295000000000003</v>
      </c>
      <c r="V171" s="239">
        <v>0.25803999999999999</v>
      </c>
      <c r="W171" s="239">
        <v>1.0649599999999999</v>
      </c>
      <c r="X171" s="239">
        <v>0</v>
      </c>
      <c r="Y171" s="239">
        <v>0</v>
      </c>
      <c r="Z171" s="239">
        <v>4.8183800000000003</v>
      </c>
      <c r="AA171" s="239">
        <v>1.5765400000000001</v>
      </c>
      <c r="AB171" s="239">
        <v>0</v>
      </c>
      <c r="AC171" s="239">
        <v>0</v>
      </c>
      <c r="AD171" s="239">
        <v>1</v>
      </c>
      <c r="AE171" s="239" t="s">
        <v>720</v>
      </c>
      <c r="AF171" s="239" t="s">
        <v>721</v>
      </c>
      <c r="AG171" s="239">
        <f t="shared" si="11"/>
        <v>0</v>
      </c>
      <c r="AH171" s="239">
        <f t="shared" si="12"/>
        <v>0</v>
      </c>
      <c r="AI171" s="239">
        <f t="shared" si="13"/>
        <v>0</v>
      </c>
      <c r="AJ171" s="239">
        <f t="shared" si="14"/>
        <v>0</v>
      </c>
    </row>
    <row r="172" spans="1:36" x14ac:dyDescent="0.2">
      <c r="A172" s="240" t="str">
        <f t="shared" si="10"/>
        <v>3313SNCERAWZS25</v>
      </c>
      <c r="B172" s="239" t="s">
        <v>19</v>
      </c>
      <c r="C172" s="239" t="s">
        <v>20</v>
      </c>
      <c r="D172" s="239" t="s">
        <v>21</v>
      </c>
      <c r="E172" s="239" t="s">
        <v>719</v>
      </c>
      <c r="F172" s="239" t="s">
        <v>118</v>
      </c>
      <c r="G172" s="239">
        <v>25</v>
      </c>
      <c r="H172" s="239" t="s">
        <v>928</v>
      </c>
      <c r="I172" s="239" t="s">
        <v>2477</v>
      </c>
      <c r="J172" s="239" t="s">
        <v>928</v>
      </c>
      <c r="K172" s="239" t="s">
        <v>2398</v>
      </c>
      <c r="L172" s="239">
        <v>9.2350999999999992</v>
      </c>
      <c r="M172" s="239">
        <v>91.8</v>
      </c>
      <c r="N172" s="239">
        <v>0</v>
      </c>
      <c r="O172" s="239">
        <v>0</v>
      </c>
      <c r="P172" s="239">
        <v>0</v>
      </c>
      <c r="Q172" s="239">
        <v>0</v>
      </c>
      <c r="R172" s="239">
        <v>0</v>
      </c>
      <c r="S172" s="239">
        <v>0</v>
      </c>
      <c r="T172" s="239">
        <v>2.4500299999999999</v>
      </c>
      <c r="U172" s="239">
        <v>0.56994999999999996</v>
      </c>
      <c r="V172" s="239">
        <v>0.27504000000000001</v>
      </c>
      <c r="W172" s="239">
        <v>1.04796</v>
      </c>
      <c r="X172" s="239">
        <v>0</v>
      </c>
      <c r="Y172" s="239">
        <v>0</v>
      </c>
      <c r="Z172" s="239">
        <v>3.4092099999999999</v>
      </c>
      <c r="AA172" s="239">
        <v>1.48291</v>
      </c>
      <c r="AB172" s="239">
        <v>0</v>
      </c>
      <c r="AC172" s="239">
        <v>0</v>
      </c>
      <c r="AD172" s="239">
        <v>1</v>
      </c>
      <c r="AE172" s="239" t="s">
        <v>720</v>
      </c>
      <c r="AF172" s="239" t="s">
        <v>721</v>
      </c>
      <c r="AG172" s="239">
        <f t="shared" si="11"/>
        <v>0</v>
      </c>
      <c r="AH172" s="239">
        <f t="shared" si="12"/>
        <v>0</v>
      </c>
      <c r="AI172" s="239">
        <f t="shared" si="13"/>
        <v>0</v>
      </c>
      <c r="AJ172" s="239">
        <f t="shared" si="14"/>
        <v>0</v>
      </c>
    </row>
    <row r="173" spans="1:36" x14ac:dyDescent="0.2">
      <c r="A173" s="240" t="str">
        <f t="shared" si="10"/>
        <v>3SNCERAWZS38</v>
      </c>
      <c r="B173" s="239" t="s">
        <v>19</v>
      </c>
      <c r="C173" s="239" t="s">
        <v>20</v>
      </c>
      <c r="D173" s="239" t="s">
        <v>21</v>
      </c>
      <c r="E173" s="239" t="s">
        <v>719</v>
      </c>
      <c r="F173" s="239" t="s">
        <v>118</v>
      </c>
      <c r="G173" s="239">
        <v>38</v>
      </c>
      <c r="H173" s="239" t="s">
        <v>928</v>
      </c>
      <c r="I173" s="239" t="s">
        <v>2471</v>
      </c>
      <c r="J173" s="239" t="s">
        <v>928</v>
      </c>
      <c r="K173" s="239" t="s">
        <v>2398</v>
      </c>
      <c r="L173" s="239">
        <v>9.2608899999999998</v>
      </c>
      <c r="M173" s="239">
        <v>99</v>
      </c>
      <c r="N173" s="239">
        <v>0</v>
      </c>
      <c r="O173" s="239">
        <v>0</v>
      </c>
      <c r="P173" s="239">
        <v>0</v>
      </c>
      <c r="Q173" s="239">
        <v>0</v>
      </c>
      <c r="R173" s="239">
        <v>0</v>
      </c>
      <c r="S173" s="239">
        <v>0</v>
      </c>
      <c r="T173" s="239">
        <v>2.4500299999999999</v>
      </c>
      <c r="U173" s="239">
        <v>0.77493000000000001</v>
      </c>
      <c r="V173" s="239">
        <v>0.26504</v>
      </c>
      <c r="W173" s="239">
        <v>1.01196</v>
      </c>
      <c r="X173" s="239">
        <v>0</v>
      </c>
      <c r="Y173" s="239">
        <v>0</v>
      </c>
      <c r="Z173" s="239">
        <v>3.3239299999999998</v>
      </c>
      <c r="AA173" s="239">
        <v>1.4350000000000001</v>
      </c>
      <c r="AB173" s="239">
        <v>0</v>
      </c>
      <c r="AC173" s="239">
        <v>0</v>
      </c>
      <c r="AD173" s="239">
        <v>1</v>
      </c>
      <c r="AE173" s="239" t="s">
        <v>720</v>
      </c>
      <c r="AF173" s="239" t="s">
        <v>721</v>
      </c>
      <c r="AG173" s="239">
        <f t="shared" si="11"/>
        <v>0</v>
      </c>
      <c r="AH173" s="239">
        <f t="shared" si="12"/>
        <v>0</v>
      </c>
      <c r="AI173" s="239">
        <f t="shared" si="13"/>
        <v>0</v>
      </c>
      <c r="AJ173" s="239">
        <f t="shared" si="14"/>
        <v>0</v>
      </c>
    </row>
    <row r="174" spans="1:36" x14ac:dyDescent="0.2">
      <c r="A174" s="240" t="str">
        <f t="shared" si="10"/>
        <v>3SNCERAWZS125</v>
      </c>
      <c r="B174" s="239" t="s">
        <v>19</v>
      </c>
      <c r="C174" s="239" t="s">
        <v>20</v>
      </c>
      <c r="D174" s="239" t="s">
        <v>21</v>
      </c>
      <c r="E174" s="239" t="s">
        <v>719</v>
      </c>
      <c r="F174" s="239" t="s">
        <v>118</v>
      </c>
      <c r="G174" s="239">
        <v>125</v>
      </c>
      <c r="H174" s="239" t="s">
        <v>928</v>
      </c>
      <c r="I174" s="239" t="s">
        <v>2471</v>
      </c>
      <c r="J174" s="239" t="s">
        <v>928</v>
      </c>
      <c r="K174" s="239" t="s">
        <v>2398</v>
      </c>
      <c r="L174" s="239">
        <v>38.038730000000001</v>
      </c>
      <c r="M174" s="239">
        <v>89.2</v>
      </c>
      <c r="N174" s="239">
        <v>0</v>
      </c>
      <c r="O174" s="239">
        <v>0</v>
      </c>
      <c r="P174" s="239">
        <v>0</v>
      </c>
      <c r="Q174" s="239">
        <v>0</v>
      </c>
      <c r="R174" s="239">
        <v>0</v>
      </c>
      <c r="S174" s="239">
        <v>0</v>
      </c>
      <c r="T174" s="239">
        <v>2.4500299999999999</v>
      </c>
      <c r="U174" s="239">
        <v>4.8485800000000001</v>
      </c>
      <c r="V174" s="239">
        <v>2.7004199999999998</v>
      </c>
      <c r="W174" s="239">
        <v>5.7307600000000001</v>
      </c>
      <c r="X174" s="239">
        <v>0</v>
      </c>
      <c r="Y174" s="239">
        <v>0</v>
      </c>
      <c r="Z174" s="239">
        <v>16.37294</v>
      </c>
      <c r="AA174" s="239">
        <v>5.9359999999999999</v>
      </c>
      <c r="AB174" s="239">
        <v>0</v>
      </c>
      <c r="AC174" s="239">
        <v>0</v>
      </c>
      <c r="AD174" s="239">
        <v>1</v>
      </c>
      <c r="AE174" s="239" t="s">
        <v>720</v>
      </c>
      <c r="AF174" s="239" t="s">
        <v>721</v>
      </c>
      <c r="AG174" s="239">
        <f t="shared" si="11"/>
        <v>0</v>
      </c>
      <c r="AH174" s="239">
        <f t="shared" si="12"/>
        <v>0</v>
      </c>
      <c r="AI174" s="239">
        <f t="shared" si="13"/>
        <v>0</v>
      </c>
      <c r="AJ174" s="239">
        <f t="shared" si="14"/>
        <v>0</v>
      </c>
    </row>
    <row r="175" spans="1:36" x14ac:dyDescent="0.2">
      <c r="A175" s="240" t="str">
        <f t="shared" si="10"/>
        <v>3SNCERAWZU25</v>
      </c>
      <c r="B175" s="239" t="s">
        <v>19</v>
      </c>
      <c r="C175" s="239" t="s">
        <v>20</v>
      </c>
      <c r="D175" s="239" t="s">
        <v>21</v>
      </c>
      <c r="E175" s="239" t="s">
        <v>719</v>
      </c>
      <c r="F175" s="239" t="s">
        <v>128</v>
      </c>
      <c r="G175" s="239">
        <v>25</v>
      </c>
      <c r="H175" s="239" t="s">
        <v>928</v>
      </c>
      <c r="I175" s="239" t="s">
        <v>2471</v>
      </c>
      <c r="J175" s="239" t="s">
        <v>928</v>
      </c>
      <c r="K175" s="239" t="s">
        <v>2398</v>
      </c>
      <c r="L175" s="239">
        <v>31.774830000000001</v>
      </c>
      <c r="M175" s="239">
        <v>96.9</v>
      </c>
      <c r="N175" s="239">
        <v>0</v>
      </c>
      <c r="O175" s="239">
        <v>19.752320000000001</v>
      </c>
      <c r="P175" s="239">
        <v>0</v>
      </c>
      <c r="Q175" s="239">
        <v>0</v>
      </c>
      <c r="R175" s="239">
        <v>0</v>
      </c>
      <c r="S175" s="239">
        <v>0</v>
      </c>
      <c r="T175" s="239">
        <v>2.4500299999999999</v>
      </c>
      <c r="U175" s="239">
        <v>0.66093999999999997</v>
      </c>
      <c r="V175" s="239">
        <v>0.32105</v>
      </c>
      <c r="W175" s="239">
        <v>1.2939499999999999</v>
      </c>
      <c r="X175" s="239">
        <v>0</v>
      </c>
      <c r="Y175" s="239">
        <v>0</v>
      </c>
      <c r="Z175" s="239">
        <v>5.4031599999999997</v>
      </c>
      <c r="AA175" s="239">
        <v>1.8933800000000001</v>
      </c>
      <c r="AB175" s="239">
        <v>0</v>
      </c>
      <c r="AC175" s="239">
        <v>0</v>
      </c>
      <c r="AD175" s="239">
        <v>1</v>
      </c>
      <c r="AE175" s="239" t="s">
        <v>720</v>
      </c>
      <c r="AF175" s="239" t="s">
        <v>721</v>
      </c>
      <c r="AG175" s="239">
        <f t="shared" si="11"/>
        <v>19.139998080000002</v>
      </c>
      <c r="AH175" s="239">
        <f t="shared" si="12"/>
        <v>0</v>
      </c>
      <c r="AI175" s="239">
        <f t="shared" si="13"/>
        <v>0</v>
      </c>
      <c r="AJ175" s="239">
        <f t="shared" si="14"/>
        <v>19.139998080000002</v>
      </c>
    </row>
    <row r="176" spans="1:36" x14ac:dyDescent="0.2">
      <c r="A176" s="240" t="str">
        <f t="shared" si="10"/>
        <v>3SNCERANSPJ2710325</v>
      </c>
      <c r="B176" s="239" t="s">
        <v>19</v>
      </c>
      <c r="C176" s="239" t="s">
        <v>20</v>
      </c>
      <c r="D176" s="239" t="s">
        <v>132</v>
      </c>
      <c r="E176" s="239" t="s">
        <v>719</v>
      </c>
      <c r="F176" s="239" t="s">
        <v>139</v>
      </c>
      <c r="G176" s="239">
        <v>25</v>
      </c>
      <c r="H176" s="239" t="s">
        <v>928</v>
      </c>
      <c r="I176" s="239" t="s">
        <v>2471</v>
      </c>
      <c r="J176" s="239" t="s">
        <v>928</v>
      </c>
      <c r="K176" s="239" t="s">
        <v>2398</v>
      </c>
      <c r="L176" s="239">
        <v>88.638890000000004</v>
      </c>
      <c r="M176" s="239">
        <v>96</v>
      </c>
      <c r="N176" s="239">
        <v>0</v>
      </c>
      <c r="O176" s="239">
        <v>0</v>
      </c>
      <c r="P176" s="239">
        <v>0</v>
      </c>
      <c r="Q176" s="239">
        <v>0</v>
      </c>
      <c r="R176" s="239">
        <v>0</v>
      </c>
      <c r="S176" s="239">
        <v>0</v>
      </c>
      <c r="T176" s="239">
        <v>15.66667</v>
      </c>
      <c r="U176" s="239">
        <v>0.94443999999999995</v>
      </c>
      <c r="V176" s="239">
        <v>5.2777799999999999</v>
      </c>
      <c r="W176" s="239">
        <v>11.16667</v>
      </c>
      <c r="X176" s="239">
        <v>0</v>
      </c>
      <c r="Y176" s="239">
        <v>0</v>
      </c>
      <c r="Z176" s="239">
        <v>39.333329999999997</v>
      </c>
      <c r="AA176" s="239">
        <v>16.25</v>
      </c>
      <c r="AB176" s="239">
        <v>0</v>
      </c>
      <c r="AC176" s="239">
        <v>0</v>
      </c>
      <c r="AD176" s="239">
        <v>1</v>
      </c>
      <c r="AE176" s="239" t="s">
        <v>720</v>
      </c>
      <c r="AF176" s="239" t="s">
        <v>721</v>
      </c>
      <c r="AG176" s="239">
        <f t="shared" si="11"/>
        <v>0</v>
      </c>
      <c r="AH176" s="239">
        <f t="shared" si="12"/>
        <v>0</v>
      </c>
      <c r="AI176" s="239">
        <f t="shared" si="13"/>
        <v>0</v>
      </c>
      <c r="AJ176" s="239">
        <f t="shared" si="14"/>
        <v>0</v>
      </c>
    </row>
    <row r="177" spans="1:36" x14ac:dyDescent="0.2">
      <c r="A177" s="240" t="str">
        <f t="shared" si="10"/>
        <v>2SNCF10711150</v>
      </c>
      <c r="B177" s="239" t="s">
        <v>19</v>
      </c>
      <c r="C177" s="239" t="s">
        <v>20</v>
      </c>
      <c r="D177" s="239" t="s">
        <v>2481</v>
      </c>
      <c r="E177" s="239" t="s">
        <v>2482</v>
      </c>
      <c r="F177" s="239" t="s">
        <v>2483</v>
      </c>
      <c r="G177" s="239">
        <v>50</v>
      </c>
      <c r="H177" s="239" t="s">
        <v>928</v>
      </c>
      <c r="I177" s="239" t="s">
        <v>2484</v>
      </c>
      <c r="J177" s="239" t="s">
        <v>928</v>
      </c>
      <c r="K177" s="239" t="s">
        <v>2398</v>
      </c>
      <c r="L177" s="239">
        <v>389.54</v>
      </c>
      <c r="M177" s="239">
        <v>0</v>
      </c>
      <c r="N177" s="239">
        <v>0</v>
      </c>
      <c r="O177" s="239">
        <v>0</v>
      </c>
      <c r="P177" s="239">
        <v>0</v>
      </c>
      <c r="Q177" s="239">
        <v>0</v>
      </c>
      <c r="R177" s="239">
        <v>0</v>
      </c>
      <c r="S177" s="239">
        <v>0</v>
      </c>
      <c r="T177" s="239">
        <v>0</v>
      </c>
      <c r="U177" s="239">
        <v>0</v>
      </c>
      <c r="V177" s="239">
        <v>0</v>
      </c>
      <c r="W177" s="239">
        <v>0</v>
      </c>
      <c r="X177" s="239">
        <v>0</v>
      </c>
      <c r="Y177" s="239">
        <v>327.43</v>
      </c>
      <c r="Z177" s="239">
        <v>0</v>
      </c>
      <c r="AA177" s="239">
        <v>0</v>
      </c>
      <c r="AB177" s="239">
        <v>62.11</v>
      </c>
      <c r="AC177" s="239">
        <v>0</v>
      </c>
      <c r="AD177" s="239">
        <v>0</v>
      </c>
      <c r="AE177" s="239" t="s">
        <v>720</v>
      </c>
      <c r="AF177" s="239" t="s">
        <v>721</v>
      </c>
      <c r="AG177" s="239">
        <f t="shared" si="11"/>
        <v>0</v>
      </c>
      <c r="AH177" s="239">
        <f t="shared" si="12"/>
        <v>0</v>
      </c>
      <c r="AI177" s="239">
        <f t="shared" si="13"/>
        <v>0</v>
      </c>
      <c r="AJ177" s="239">
        <f t="shared" si="14"/>
        <v>0</v>
      </c>
    </row>
    <row r="178" spans="1:36" x14ac:dyDescent="0.2">
      <c r="A178" s="240" t="str">
        <f t="shared" si="10"/>
        <v>SNCF10711150</v>
      </c>
      <c r="B178" s="239" t="s">
        <v>19</v>
      </c>
      <c r="C178" s="239" t="s">
        <v>20</v>
      </c>
      <c r="D178" s="239" t="s">
        <v>2481</v>
      </c>
      <c r="E178" s="239" t="s">
        <v>2482</v>
      </c>
      <c r="F178" s="239" t="s">
        <v>2483</v>
      </c>
      <c r="G178" s="239">
        <v>50</v>
      </c>
      <c r="H178" s="239" t="s">
        <v>928</v>
      </c>
      <c r="I178" s="239" t="s">
        <v>928</v>
      </c>
      <c r="J178" s="239" t="s">
        <v>928</v>
      </c>
      <c r="K178" s="239" t="s">
        <v>2398</v>
      </c>
      <c r="L178" s="239">
        <v>389.54</v>
      </c>
      <c r="M178" s="239">
        <v>0</v>
      </c>
      <c r="N178" s="239">
        <v>0</v>
      </c>
      <c r="O178" s="239">
        <v>0</v>
      </c>
      <c r="P178" s="239">
        <v>0</v>
      </c>
      <c r="Q178" s="239">
        <v>0</v>
      </c>
      <c r="R178" s="239">
        <v>0</v>
      </c>
      <c r="S178" s="239">
        <v>0</v>
      </c>
      <c r="T178" s="239">
        <v>0</v>
      </c>
      <c r="U178" s="239">
        <v>0</v>
      </c>
      <c r="V178" s="239">
        <v>0</v>
      </c>
      <c r="W178" s="239">
        <v>0</v>
      </c>
      <c r="X178" s="239">
        <v>0</v>
      </c>
      <c r="Y178" s="239">
        <v>327.43</v>
      </c>
      <c r="Z178" s="239">
        <v>0</v>
      </c>
      <c r="AA178" s="239">
        <v>0</v>
      </c>
      <c r="AB178" s="239">
        <v>62.11</v>
      </c>
      <c r="AC178" s="239">
        <v>0</v>
      </c>
      <c r="AD178" s="239">
        <v>0</v>
      </c>
      <c r="AE178" s="239" t="s">
        <v>720</v>
      </c>
      <c r="AF178" s="239" t="s">
        <v>721</v>
      </c>
      <c r="AG178" s="239">
        <f t="shared" si="11"/>
        <v>0</v>
      </c>
      <c r="AH178" s="239">
        <f t="shared" si="12"/>
        <v>0</v>
      </c>
      <c r="AI178" s="239">
        <f t="shared" si="13"/>
        <v>0</v>
      </c>
      <c r="AJ178" s="239">
        <f t="shared" si="14"/>
        <v>0</v>
      </c>
    </row>
    <row r="179" spans="1:36" x14ac:dyDescent="0.2">
      <c r="A179" s="240" t="str">
        <f t="shared" si="10"/>
        <v>2SNCF107111D50</v>
      </c>
      <c r="B179" s="239" t="s">
        <v>19</v>
      </c>
      <c r="C179" s="239" t="s">
        <v>20</v>
      </c>
      <c r="D179" s="239" t="s">
        <v>2481</v>
      </c>
      <c r="E179" s="239" t="s">
        <v>2482</v>
      </c>
      <c r="F179" s="239" t="s">
        <v>2485</v>
      </c>
      <c r="G179" s="239">
        <v>50</v>
      </c>
      <c r="H179" s="239" t="s">
        <v>928</v>
      </c>
      <c r="I179" s="239" t="s">
        <v>2484</v>
      </c>
      <c r="J179" s="239" t="s">
        <v>928</v>
      </c>
      <c r="K179" s="239" t="s">
        <v>2398</v>
      </c>
      <c r="L179" s="239">
        <v>413.35</v>
      </c>
      <c r="M179" s="239">
        <v>0</v>
      </c>
      <c r="N179" s="239">
        <v>0</v>
      </c>
      <c r="O179" s="239">
        <v>0</v>
      </c>
      <c r="P179" s="239">
        <v>0</v>
      </c>
      <c r="Q179" s="239">
        <v>0</v>
      </c>
      <c r="R179" s="239">
        <v>0</v>
      </c>
      <c r="S179" s="239">
        <v>0</v>
      </c>
      <c r="T179" s="239">
        <v>0</v>
      </c>
      <c r="U179" s="239">
        <v>0</v>
      </c>
      <c r="V179" s="239">
        <v>0</v>
      </c>
      <c r="W179" s="239">
        <v>0</v>
      </c>
      <c r="X179" s="239">
        <v>0</v>
      </c>
      <c r="Y179" s="239">
        <v>334.79</v>
      </c>
      <c r="Z179" s="239">
        <v>0</v>
      </c>
      <c r="AA179" s="239">
        <v>0</v>
      </c>
      <c r="AB179" s="239">
        <v>78.56</v>
      </c>
      <c r="AC179" s="239">
        <v>0</v>
      </c>
      <c r="AD179" s="239">
        <v>0</v>
      </c>
      <c r="AE179" s="239" t="s">
        <v>720</v>
      </c>
      <c r="AF179" s="239" t="s">
        <v>721</v>
      </c>
      <c r="AG179" s="239">
        <f t="shared" si="11"/>
        <v>0</v>
      </c>
      <c r="AH179" s="239">
        <f t="shared" si="12"/>
        <v>0</v>
      </c>
      <c r="AI179" s="239">
        <f t="shared" si="13"/>
        <v>0</v>
      </c>
      <c r="AJ179" s="239">
        <f t="shared" si="14"/>
        <v>0</v>
      </c>
    </row>
    <row r="180" spans="1:36" x14ac:dyDescent="0.2">
      <c r="A180" s="240" t="str">
        <f t="shared" si="10"/>
        <v>SNCF107111D50</v>
      </c>
      <c r="B180" s="239" t="s">
        <v>19</v>
      </c>
      <c r="C180" s="239" t="s">
        <v>20</v>
      </c>
      <c r="D180" s="239" t="s">
        <v>2481</v>
      </c>
      <c r="E180" s="239" t="s">
        <v>2482</v>
      </c>
      <c r="F180" s="239" t="s">
        <v>2485</v>
      </c>
      <c r="G180" s="239">
        <v>50</v>
      </c>
      <c r="H180" s="239" t="s">
        <v>928</v>
      </c>
      <c r="I180" s="239" t="s">
        <v>928</v>
      </c>
      <c r="J180" s="239" t="s">
        <v>928</v>
      </c>
      <c r="K180" s="239" t="s">
        <v>2398</v>
      </c>
      <c r="L180" s="239">
        <v>413.35</v>
      </c>
      <c r="M180" s="239">
        <v>0</v>
      </c>
      <c r="N180" s="239">
        <v>0</v>
      </c>
      <c r="O180" s="239">
        <v>0</v>
      </c>
      <c r="P180" s="239">
        <v>0</v>
      </c>
      <c r="Q180" s="239">
        <v>0</v>
      </c>
      <c r="R180" s="239">
        <v>0</v>
      </c>
      <c r="S180" s="239">
        <v>0</v>
      </c>
      <c r="T180" s="239">
        <v>0</v>
      </c>
      <c r="U180" s="239">
        <v>0</v>
      </c>
      <c r="V180" s="239">
        <v>0</v>
      </c>
      <c r="W180" s="239">
        <v>0</v>
      </c>
      <c r="X180" s="239">
        <v>0</v>
      </c>
      <c r="Y180" s="239">
        <v>334.79</v>
      </c>
      <c r="Z180" s="239">
        <v>0</v>
      </c>
      <c r="AA180" s="239">
        <v>0</v>
      </c>
      <c r="AB180" s="239">
        <v>78.56</v>
      </c>
      <c r="AC180" s="239">
        <v>0</v>
      </c>
      <c r="AD180" s="239">
        <v>0</v>
      </c>
      <c r="AE180" s="239" t="s">
        <v>720</v>
      </c>
      <c r="AF180" s="239" t="s">
        <v>721</v>
      </c>
      <c r="AG180" s="239">
        <f t="shared" si="11"/>
        <v>0</v>
      </c>
      <c r="AH180" s="239">
        <f t="shared" si="12"/>
        <v>0</v>
      </c>
      <c r="AI180" s="239">
        <f t="shared" si="13"/>
        <v>0</v>
      </c>
      <c r="AJ180" s="239">
        <f t="shared" si="14"/>
        <v>0</v>
      </c>
    </row>
    <row r="181" spans="1:36" x14ac:dyDescent="0.2">
      <c r="A181" s="240" t="str">
        <f t="shared" si="10"/>
        <v>2SNCF107116B50</v>
      </c>
      <c r="B181" s="239" t="s">
        <v>19</v>
      </c>
      <c r="C181" s="239" t="s">
        <v>20</v>
      </c>
      <c r="D181" s="239" t="s">
        <v>2481</v>
      </c>
      <c r="E181" s="239" t="s">
        <v>2482</v>
      </c>
      <c r="F181" s="239" t="s">
        <v>2486</v>
      </c>
      <c r="G181" s="239">
        <v>50</v>
      </c>
      <c r="H181" s="239" t="s">
        <v>928</v>
      </c>
      <c r="I181" s="239" t="s">
        <v>2484</v>
      </c>
      <c r="J181" s="239" t="s">
        <v>928</v>
      </c>
      <c r="K181" s="239" t="s">
        <v>2398</v>
      </c>
      <c r="L181" s="239">
        <v>473.86</v>
      </c>
      <c r="M181" s="239">
        <v>0</v>
      </c>
      <c r="N181" s="239">
        <v>0</v>
      </c>
      <c r="O181" s="239">
        <v>0</v>
      </c>
      <c r="P181" s="239">
        <v>0</v>
      </c>
      <c r="Q181" s="239">
        <v>0</v>
      </c>
      <c r="R181" s="239">
        <v>0</v>
      </c>
      <c r="S181" s="239">
        <v>0</v>
      </c>
      <c r="T181" s="239">
        <v>0</v>
      </c>
      <c r="U181" s="239">
        <v>0</v>
      </c>
      <c r="V181" s="239">
        <v>0</v>
      </c>
      <c r="W181" s="239">
        <v>0</v>
      </c>
      <c r="X181" s="239">
        <v>0</v>
      </c>
      <c r="Y181" s="239">
        <v>385.4</v>
      </c>
      <c r="Z181" s="239">
        <v>0</v>
      </c>
      <c r="AA181" s="239">
        <v>0</v>
      </c>
      <c r="AB181" s="239">
        <v>88.45</v>
      </c>
      <c r="AC181" s="239">
        <v>0</v>
      </c>
      <c r="AD181" s="239">
        <v>0</v>
      </c>
      <c r="AE181" s="239" t="s">
        <v>720</v>
      </c>
      <c r="AF181" s="239" t="s">
        <v>721</v>
      </c>
      <c r="AG181" s="239">
        <f t="shared" si="11"/>
        <v>0</v>
      </c>
      <c r="AH181" s="239">
        <f t="shared" si="12"/>
        <v>0</v>
      </c>
      <c r="AI181" s="239">
        <f t="shared" si="13"/>
        <v>0</v>
      </c>
      <c r="AJ181" s="239">
        <f t="shared" si="14"/>
        <v>0</v>
      </c>
    </row>
    <row r="182" spans="1:36" x14ac:dyDescent="0.2">
      <c r="A182" s="240" t="str">
        <f t="shared" si="10"/>
        <v>SNCF107116B50</v>
      </c>
      <c r="B182" s="239" t="s">
        <v>19</v>
      </c>
      <c r="C182" s="239" t="s">
        <v>20</v>
      </c>
      <c r="D182" s="239" t="s">
        <v>2481</v>
      </c>
      <c r="E182" s="239" t="s">
        <v>2482</v>
      </c>
      <c r="F182" s="239" t="s">
        <v>2486</v>
      </c>
      <c r="G182" s="239">
        <v>50</v>
      </c>
      <c r="H182" s="239" t="s">
        <v>928</v>
      </c>
      <c r="I182" s="239" t="s">
        <v>928</v>
      </c>
      <c r="J182" s="239" t="s">
        <v>928</v>
      </c>
      <c r="K182" s="239" t="s">
        <v>2398</v>
      </c>
      <c r="L182" s="239">
        <v>473.86</v>
      </c>
      <c r="M182" s="239">
        <v>0</v>
      </c>
      <c r="N182" s="239">
        <v>0</v>
      </c>
      <c r="O182" s="239">
        <v>0</v>
      </c>
      <c r="P182" s="239">
        <v>0</v>
      </c>
      <c r="Q182" s="239">
        <v>0</v>
      </c>
      <c r="R182" s="239">
        <v>0</v>
      </c>
      <c r="S182" s="239">
        <v>0</v>
      </c>
      <c r="T182" s="239">
        <v>0</v>
      </c>
      <c r="U182" s="239">
        <v>0</v>
      </c>
      <c r="V182" s="239">
        <v>0</v>
      </c>
      <c r="W182" s="239">
        <v>0</v>
      </c>
      <c r="X182" s="239">
        <v>0</v>
      </c>
      <c r="Y182" s="239">
        <v>385.4</v>
      </c>
      <c r="Z182" s="239">
        <v>0</v>
      </c>
      <c r="AA182" s="239">
        <v>0</v>
      </c>
      <c r="AB182" s="239">
        <v>88.45</v>
      </c>
      <c r="AC182" s="239">
        <v>0</v>
      </c>
      <c r="AD182" s="239">
        <v>0</v>
      </c>
      <c r="AE182" s="239" t="s">
        <v>720</v>
      </c>
      <c r="AF182" s="239" t="s">
        <v>721</v>
      </c>
      <c r="AG182" s="239">
        <f t="shared" si="11"/>
        <v>0</v>
      </c>
      <c r="AH182" s="239">
        <f t="shared" si="12"/>
        <v>0</v>
      </c>
      <c r="AI182" s="239">
        <f t="shared" si="13"/>
        <v>0</v>
      </c>
      <c r="AJ182" s="239">
        <f t="shared" si="14"/>
        <v>0</v>
      </c>
    </row>
    <row r="183" spans="1:36" x14ac:dyDescent="0.2">
      <c r="A183" s="240" t="str">
        <f t="shared" si="10"/>
        <v>2SNCF107116DB50</v>
      </c>
      <c r="B183" s="239" t="s">
        <v>19</v>
      </c>
      <c r="C183" s="239" t="s">
        <v>20</v>
      </c>
      <c r="D183" s="239" t="s">
        <v>2481</v>
      </c>
      <c r="E183" s="239" t="s">
        <v>2482</v>
      </c>
      <c r="F183" s="239" t="s">
        <v>2487</v>
      </c>
      <c r="G183" s="239">
        <v>50</v>
      </c>
      <c r="H183" s="239" t="s">
        <v>928</v>
      </c>
      <c r="I183" s="239" t="s">
        <v>2484</v>
      </c>
      <c r="J183" s="239" t="s">
        <v>928</v>
      </c>
      <c r="K183" s="239" t="s">
        <v>2398</v>
      </c>
      <c r="L183" s="239">
        <v>458.72</v>
      </c>
      <c r="M183" s="239">
        <v>0</v>
      </c>
      <c r="N183" s="239">
        <v>0</v>
      </c>
      <c r="O183" s="239">
        <v>0</v>
      </c>
      <c r="P183" s="239">
        <v>0</v>
      </c>
      <c r="Q183" s="239">
        <v>0</v>
      </c>
      <c r="R183" s="239">
        <v>0</v>
      </c>
      <c r="S183" s="239">
        <v>0</v>
      </c>
      <c r="T183" s="239">
        <v>0</v>
      </c>
      <c r="U183" s="239">
        <v>0</v>
      </c>
      <c r="V183" s="239">
        <v>0</v>
      </c>
      <c r="W183" s="239">
        <v>0</v>
      </c>
      <c r="X183" s="239">
        <v>0</v>
      </c>
      <c r="Y183" s="239">
        <v>389.2</v>
      </c>
      <c r="Z183" s="239">
        <v>0</v>
      </c>
      <c r="AA183" s="239">
        <v>0</v>
      </c>
      <c r="AB183" s="239">
        <v>69.52</v>
      </c>
      <c r="AC183" s="239">
        <v>0</v>
      </c>
      <c r="AD183" s="239">
        <v>0</v>
      </c>
      <c r="AE183" s="239" t="s">
        <v>720</v>
      </c>
      <c r="AF183" s="239" t="s">
        <v>721</v>
      </c>
      <c r="AG183" s="239">
        <f t="shared" si="11"/>
        <v>0</v>
      </c>
      <c r="AH183" s="239">
        <f t="shared" si="12"/>
        <v>0</v>
      </c>
      <c r="AI183" s="239">
        <f t="shared" si="13"/>
        <v>0</v>
      </c>
      <c r="AJ183" s="239">
        <f t="shared" si="14"/>
        <v>0</v>
      </c>
    </row>
    <row r="184" spans="1:36" x14ac:dyDescent="0.2">
      <c r="A184" s="240" t="str">
        <f t="shared" si="10"/>
        <v>SNCF107116DB50</v>
      </c>
      <c r="B184" s="239" t="s">
        <v>19</v>
      </c>
      <c r="C184" s="239" t="s">
        <v>20</v>
      </c>
      <c r="D184" s="239" t="s">
        <v>2481</v>
      </c>
      <c r="E184" s="239" t="s">
        <v>2482</v>
      </c>
      <c r="F184" s="239" t="s">
        <v>2487</v>
      </c>
      <c r="G184" s="239">
        <v>50</v>
      </c>
      <c r="H184" s="239" t="s">
        <v>928</v>
      </c>
      <c r="I184" s="239" t="s">
        <v>928</v>
      </c>
      <c r="J184" s="239" t="s">
        <v>928</v>
      </c>
      <c r="K184" s="239" t="s">
        <v>2398</v>
      </c>
      <c r="L184" s="239">
        <v>458.72</v>
      </c>
      <c r="M184" s="239">
        <v>0</v>
      </c>
      <c r="N184" s="239">
        <v>0</v>
      </c>
      <c r="O184" s="239">
        <v>0</v>
      </c>
      <c r="P184" s="239">
        <v>0</v>
      </c>
      <c r="Q184" s="239">
        <v>0</v>
      </c>
      <c r="R184" s="239">
        <v>0</v>
      </c>
      <c r="S184" s="239">
        <v>0</v>
      </c>
      <c r="T184" s="239">
        <v>0</v>
      </c>
      <c r="U184" s="239">
        <v>0</v>
      </c>
      <c r="V184" s="239">
        <v>0</v>
      </c>
      <c r="W184" s="239">
        <v>0</v>
      </c>
      <c r="X184" s="239">
        <v>0</v>
      </c>
      <c r="Y184" s="239">
        <v>389.2</v>
      </c>
      <c r="Z184" s="239">
        <v>0</v>
      </c>
      <c r="AA184" s="239">
        <v>0</v>
      </c>
      <c r="AB184" s="239">
        <v>69.52</v>
      </c>
      <c r="AC184" s="239">
        <v>0</v>
      </c>
      <c r="AD184" s="239">
        <v>0</v>
      </c>
      <c r="AE184" s="239" t="s">
        <v>720</v>
      </c>
      <c r="AF184" s="239" t="s">
        <v>721</v>
      </c>
      <c r="AG184" s="239">
        <f t="shared" si="11"/>
        <v>0</v>
      </c>
      <c r="AH184" s="239">
        <f t="shared" si="12"/>
        <v>0</v>
      </c>
      <c r="AI184" s="239">
        <f t="shared" si="13"/>
        <v>0</v>
      </c>
      <c r="AJ184" s="239">
        <f t="shared" si="14"/>
        <v>0</v>
      </c>
    </row>
    <row r="185" spans="1:36" x14ac:dyDescent="0.2">
      <c r="A185" s="240" t="str">
        <f t="shared" si="10"/>
        <v>2SNCF10712150</v>
      </c>
      <c r="B185" s="239" t="s">
        <v>19</v>
      </c>
      <c r="C185" s="239" t="s">
        <v>20</v>
      </c>
      <c r="D185" s="239" t="s">
        <v>2481</v>
      </c>
      <c r="E185" s="239" t="s">
        <v>2482</v>
      </c>
      <c r="F185" s="239" t="s">
        <v>2488</v>
      </c>
      <c r="G185" s="239">
        <v>50</v>
      </c>
      <c r="H185" s="239" t="s">
        <v>928</v>
      </c>
      <c r="I185" s="239" t="s">
        <v>2484</v>
      </c>
      <c r="J185" s="239" t="s">
        <v>928</v>
      </c>
      <c r="K185" s="239" t="s">
        <v>2398</v>
      </c>
      <c r="L185" s="239">
        <v>438.09</v>
      </c>
      <c r="M185" s="239">
        <v>0</v>
      </c>
      <c r="N185" s="239">
        <v>0</v>
      </c>
      <c r="O185" s="239">
        <v>0</v>
      </c>
      <c r="P185" s="239">
        <v>0</v>
      </c>
      <c r="Q185" s="239">
        <v>0</v>
      </c>
      <c r="R185" s="239">
        <v>0</v>
      </c>
      <c r="S185" s="239">
        <v>0</v>
      </c>
      <c r="T185" s="239">
        <v>0</v>
      </c>
      <c r="U185" s="239">
        <v>0</v>
      </c>
      <c r="V185" s="239">
        <v>0</v>
      </c>
      <c r="W185" s="239">
        <v>0</v>
      </c>
      <c r="X185" s="239">
        <v>0</v>
      </c>
      <c r="Y185" s="239">
        <v>363.93</v>
      </c>
      <c r="Z185" s="239">
        <v>0</v>
      </c>
      <c r="AA185" s="239">
        <v>0</v>
      </c>
      <c r="AB185" s="239">
        <v>74.16</v>
      </c>
      <c r="AC185" s="239">
        <v>0</v>
      </c>
      <c r="AD185" s="239">
        <v>0</v>
      </c>
      <c r="AE185" s="239" t="s">
        <v>720</v>
      </c>
      <c r="AF185" s="239" t="s">
        <v>721</v>
      </c>
      <c r="AG185" s="239">
        <f t="shared" si="11"/>
        <v>0</v>
      </c>
      <c r="AH185" s="239">
        <f t="shared" si="12"/>
        <v>0</v>
      </c>
      <c r="AI185" s="239">
        <f t="shared" si="13"/>
        <v>0</v>
      </c>
      <c r="AJ185" s="239">
        <f t="shared" si="14"/>
        <v>0</v>
      </c>
    </row>
    <row r="186" spans="1:36" x14ac:dyDescent="0.2">
      <c r="A186" s="240" t="str">
        <f t="shared" si="10"/>
        <v>SNCF10712150</v>
      </c>
      <c r="B186" s="239" t="s">
        <v>19</v>
      </c>
      <c r="C186" s="239" t="s">
        <v>20</v>
      </c>
      <c r="D186" s="239" t="s">
        <v>2481</v>
      </c>
      <c r="E186" s="239" t="s">
        <v>2482</v>
      </c>
      <c r="F186" s="239" t="s">
        <v>2488</v>
      </c>
      <c r="G186" s="239">
        <v>50</v>
      </c>
      <c r="H186" s="239" t="s">
        <v>928</v>
      </c>
      <c r="I186" s="239" t="s">
        <v>928</v>
      </c>
      <c r="J186" s="239" t="s">
        <v>928</v>
      </c>
      <c r="K186" s="239" t="s">
        <v>2398</v>
      </c>
      <c r="L186" s="239">
        <v>438.09</v>
      </c>
      <c r="M186" s="239">
        <v>0</v>
      </c>
      <c r="N186" s="239">
        <v>0</v>
      </c>
      <c r="O186" s="239">
        <v>0</v>
      </c>
      <c r="P186" s="239">
        <v>0</v>
      </c>
      <c r="Q186" s="239">
        <v>0</v>
      </c>
      <c r="R186" s="239">
        <v>0</v>
      </c>
      <c r="S186" s="239">
        <v>0</v>
      </c>
      <c r="T186" s="239">
        <v>0</v>
      </c>
      <c r="U186" s="239">
        <v>0</v>
      </c>
      <c r="V186" s="239">
        <v>0</v>
      </c>
      <c r="W186" s="239">
        <v>0</v>
      </c>
      <c r="X186" s="239">
        <v>0</v>
      </c>
      <c r="Y186" s="239">
        <v>363.93</v>
      </c>
      <c r="Z186" s="239">
        <v>0</v>
      </c>
      <c r="AA186" s="239">
        <v>0</v>
      </c>
      <c r="AB186" s="239">
        <v>74.16</v>
      </c>
      <c r="AC186" s="239">
        <v>0</v>
      </c>
      <c r="AD186" s="239">
        <v>0</v>
      </c>
      <c r="AE186" s="239" t="s">
        <v>720</v>
      </c>
      <c r="AF186" s="239" t="s">
        <v>721</v>
      </c>
      <c r="AG186" s="239">
        <f t="shared" si="11"/>
        <v>0</v>
      </c>
      <c r="AH186" s="239">
        <f t="shared" si="12"/>
        <v>0</v>
      </c>
      <c r="AI186" s="239">
        <f t="shared" si="13"/>
        <v>0</v>
      </c>
      <c r="AJ186" s="239">
        <f t="shared" si="14"/>
        <v>0</v>
      </c>
    </row>
    <row r="187" spans="1:36" x14ac:dyDescent="0.2">
      <c r="A187" s="240" t="str">
        <f t="shared" si="10"/>
        <v>2SNCF107121D50</v>
      </c>
      <c r="B187" s="239" t="s">
        <v>19</v>
      </c>
      <c r="C187" s="239" t="s">
        <v>20</v>
      </c>
      <c r="D187" s="239" t="s">
        <v>2481</v>
      </c>
      <c r="E187" s="239" t="s">
        <v>2482</v>
      </c>
      <c r="F187" s="239" t="s">
        <v>2489</v>
      </c>
      <c r="G187" s="239">
        <v>50</v>
      </c>
      <c r="H187" s="239" t="s">
        <v>928</v>
      </c>
      <c r="I187" s="239" t="s">
        <v>2484</v>
      </c>
      <c r="J187" s="239" t="s">
        <v>928</v>
      </c>
      <c r="K187" s="239" t="s">
        <v>2398</v>
      </c>
      <c r="L187" s="239">
        <v>446.04</v>
      </c>
      <c r="M187" s="239">
        <v>0</v>
      </c>
      <c r="N187" s="239">
        <v>0</v>
      </c>
      <c r="O187" s="239">
        <v>0</v>
      </c>
      <c r="P187" s="239">
        <v>0</v>
      </c>
      <c r="Q187" s="239">
        <v>0</v>
      </c>
      <c r="R187" s="239">
        <v>0</v>
      </c>
      <c r="S187" s="239">
        <v>0</v>
      </c>
      <c r="T187" s="239">
        <v>0</v>
      </c>
      <c r="U187" s="239">
        <v>0</v>
      </c>
      <c r="V187" s="239">
        <v>0</v>
      </c>
      <c r="W187" s="239">
        <v>0</v>
      </c>
      <c r="X187" s="239">
        <v>0</v>
      </c>
      <c r="Y187" s="239">
        <v>362.88</v>
      </c>
      <c r="Z187" s="239">
        <v>0</v>
      </c>
      <c r="AA187" s="239">
        <v>0</v>
      </c>
      <c r="AB187" s="239">
        <v>83.15</v>
      </c>
      <c r="AC187" s="239">
        <v>0</v>
      </c>
      <c r="AD187" s="239">
        <v>0</v>
      </c>
      <c r="AE187" s="239" t="s">
        <v>720</v>
      </c>
      <c r="AF187" s="239" t="s">
        <v>721</v>
      </c>
      <c r="AG187" s="239">
        <f t="shared" si="11"/>
        <v>0</v>
      </c>
      <c r="AH187" s="239">
        <f t="shared" si="12"/>
        <v>0</v>
      </c>
      <c r="AI187" s="239">
        <f t="shared" si="13"/>
        <v>0</v>
      </c>
      <c r="AJ187" s="239">
        <f t="shared" si="14"/>
        <v>0</v>
      </c>
    </row>
    <row r="188" spans="1:36" x14ac:dyDescent="0.2">
      <c r="A188" s="240" t="str">
        <f t="shared" si="10"/>
        <v>SNCF107121D50</v>
      </c>
      <c r="B188" s="239" t="s">
        <v>19</v>
      </c>
      <c r="C188" s="239" t="s">
        <v>20</v>
      </c>
      <c r="D188" s="239" t="s">
        <v>2481</v>
      </c>
      <c r="E188" s="239" t="s">
        <v>2482</v>
      </c>
      <c r="F188" s="239" t="s">
        <v>2489</v>
      </c>
      <c r="G188" s="239">
        <v>50</v>
      </c>
      <c r="H188" s="239" t="s">
        <v>928</v>
      </c>
      <c r="I188" s="239" t="s">
        <v>928</v>
      </c>
      <c r="J188" s="239" t="s">
        <v>928</v>
      </c>
      <c r="K188" s="239" t="s">
        <v>2398</v>
      </c>
      <c r="L188" s="239">
        <v>446.04</v>
      </c>
      <c r="M188" s="239">
        <v>0</v>
      </c>
      <c r="N188" s="239">
        <v>0</v>
      </c>
      <c r="O188" s="239">
        <v>0</v>
      </c>
      <c r="P188" s="239">
        <v>0</v>
      </c>
      <c r="Q188" s="239">
        <v>0</v>
      </c>
      <c r="R188" s="239">
        <v>0</v>
      </c>
      <c r="S188" s="239">
        <v>0</v>
      </c>
      <c r="T188" s="239">
        <v>0</v>
      </c>
      <c r="U188" s="239">
        <v>0</v>
      </c>
      <c r="V188" s="239">
        <v>0</v>
      </c>
      <c r="W188" s="239">
        <v>0</v>
      </c>
      <c r="X188" s="239">
        <v>0</v>
      </c>
      <c r="Y188" s="239">
        <v>362.88</v>
      </c>
      <c r="Z188" s="239">
        <v>0</v>
      </c>
      <c r="AA188" s="239">
        <v>0</v>
      </c>
      <c r="AB188" s="239">
        <v>83.15</v>
      </c>
      <c r="AC188" s="239">
        <v>0</v>
      </c>
      <c r="AD188" s="239">
        <v>0</v>
      </c>
      <c r="AE188" s="239" t="s">
        <v>720</v>
      </c>
      <c r="AF188" s="239" t="s">
        <v>721</v>
      </c>
      <c r="AG188" s="239">
        <f t="shared" si="11"/>
        <v>0</v>
      </c>
      <c r="AH188" s="239">
        <f t="shared" si="12"/>
        <v>0</v>
      </c>
      <c r="AI188" s="239">
        <f t="shared" si="13"/>
        <v>0</v>
      </c>
      <c r="AJ188" s="239">
        <f t="shared" si="14"/>
        <v>0</v>
      </c>
    </row>
    <row r="189" spans="1:36" x14ac:dyDescent="0.2">
      <c r="A189" s="240" t="str">
        <f t="shared" si="10"/>
        <v>2SNCF107121D90</v>
      </c>
      <c r="B189" s="239" t="s">
        <v>19</v>
      </c>
      <c r="C189" s="239" t="s">
        <v>20</v>
      </c>
      <c r="D189" s="239" t="s">
        <v>2481</v>
      </c>
      <c r="E189" s="239" t="s">
        <v>2482</v>
      </c>
      <c r="F189" s="239" t="s">
        <v>2489</v>
      </c>
      <c r="G189" s="239">
        <v>90</v>
      </c>
      <c r="H189" s="239" t="s">
        <v>928</v>
      </c>
      <c r="I189" s="239" t="s">
        <v>2484</v>
      </c>
      <c r="J189" s="239" t="s">
        <v>928</v>
      </c>
      <c r="K189" s="239" t="s">
        <v>2398</v>
      </c>
      <c r="L189" s="239">
        <v>514.85</v>
      </c>
      <c r="M189" s="239">
        <v>0</v>
      </c>
      <c r="N189" s="239">
        <v>0</v>
      </c>
      <c r="O189" s="239">
        <v>0</v>
      </c>
      <c r="P189" s="239">
        <v>0</v>
      </c>
      <c r="Q189" s="239">
        <v>0</v>
      </c>
      <c r="R189" s="239">
        <v>0</v>
      </c>
      <c r="S189" s="239">
        <v>0</v>
      </c>
      <c r="T189" s="239">
        <v>0</v>
      </c>
      <c r="U189" s="239">
        <v>0</v>
      </c>
      <c r="V189" s="239">
        <v>0</v>
      </c>
      <c r="W189" s="239">
        <v>0</v>
      </c>
      <c r="X189" s="239">
        <v>0</v>
      </c>
      <c r="Y189" s="239">
        <v>411.72</v>
      </c>
      <c r="Z189" s="239">
        <v>0</v>
      </c>
      <c r="AA189" s="239">
        <v>0</v>
      </c>
      <c r="AB189" s="239">
        <v>103.13</v>
      </c>
      <c r="AC189" s="239">
        <v>0</v>
      </c>
      <c r="AD189" s="239">
        <v>0</v>
      </c>
      <c r="AE189" s="239" t="s">
        <v>720</v>
      </c>
      <c r="AF189" s="239" t="s">
        <v>721</v>
      </c>
      <c r="AG189" s="239">
        <f t="shared" si="11"/>
        <v>0</v>
      </c>
      <c r="AH189" s="239">
        <f t="shared" si="12"/>
        <v>0</v>
      </c>
      <c r="AI189" s="239">
        <f t="shared" si="13"/>
        <v>0</v>
      </c>
      <c r="AJ189" s="239">
        <f t="shared" si="14"/>
        <v>0</v>
      </c>
    </row>
    <row r="190" spans="1:36" x14ac:dyDescent="0.2">
      <c r="A190" s="240" t="str">
        <f t="shared" si="10"/>
        <v>SNCF107121D90</v>
      </c>
      <c r="B190" s="239" t="s">
        <v>19</v>
      </c>
      <c r="C190" s="239" t="s">
        <v>20</v>
      </c>
      <c r="D190" s="239" t="s">
        <v>2481</v>
      </c>
      <c r="E190" s="239" t="s">
        <v>2482</v>
      </c>
      <c r="F190" s="239" t="s">
        <v>2489</v>
      </c>
      <c r="G190" s="239">
        <v>90</v>
      </c>
      <c r="H190" s="239" t="s">
        <v>928</v>
      </c>
      <c r="I190" s="239" t="s">
        <v>928</v>
      </c>
      <c r="J190" s="239" t="s">
        <v>928</v>
      </c>
      <c r="K190" s="239" t="s">
        <v>2398</v>
      </c>
      <c r="L190" s="239">
        <v>514.85</v>
      </c>
      <c r="M190" s="239">
        <v>0</v>
      </c>
      <c r="N190" s="239">
        <v>0</v>
      </c>
      <c r="O190" s="239">
        <v>0</v>
      </c>
      <c r="P190" s="239">
        <v>0</v>
      </c>
      <c r="Q190" s="239">
        <v>0</v>
      </c>
      <c r="R190" s="239">
        <v>0</v>
      </c>
      <c r="S190" s="239">
        <v>0</v>
      </c>
      <c r="T190" s="239">
        <v>0</v>
      </c>
      <c r="U190" s="239">
        <v>0</v>
      </c>
      <c r="V190" s="239">
        <v>0</v>
      </c>
      <c r="W190" s="239">
        <v>0</v>
      </c>
      <c r="X190" s="239">
        <v>0</v>
      </c>
      <c r="Y190" s="239">
        <v>411.72</v>
      </c>
      <c r="Z190" s="239">
        <v>0</v>
      </c>
      <c r="AA190" s="239">
        <v>0</v>
      </c>
      <c r="AB190" s="239">
        <v>103.13</v>
      </c>
      <c r="AC190" s="239">
        <v>0</v>
      </c>
      <c r="AD190" s="239">
        <v>0</v>
      </c>
      <c r="AE190" s="239" t="s">
        <v>720</v>
      </c>
      <c r="AF190" s="239" t="s">
        <v>721</v>
      </c>
      <c r="AG190" s="239">
        <f t="shared" si="11"/>
        <v>0</v>
      </c>
      <c r="AH190" s="239">
        <f t="shared" si="12"/>
        <v>0</v>
      </c>
      <c r="AI190" s="239">
        <f t="shared" si="13"/>
        <v>0</v>
      </c>
      <c r="AJ190" s="239">
        <f t="shared" si="14"/>
        <v>0</v>
      </c>
    </row>
    <row r="191" spans="1:36" x14ac:dyDescent="0.2">
      <c r="A191" s="240" t="str">
        <f t="shared" si="10"/>
        <v>2SNCF10723280</v>
      </c>
      <c r="B191" s="239" t="s">
        <v>19</v>
      </c>
      <c r="C191" s="239" t="s">
        <v>20</v>
      </c>
      <c r="D191" s="239" t="s">
        <v>2481</v>
      </c>
      <c r="E191" s="239" t="s">
        <v>2482</v>
      </c>
      <c r="F191" s="239" t="s">
        <v>2490</v>
      </c>
      <c r="G191" s="239">
        <v>80</v>
      </c>
      <c r="H191" s="239" t="s">
        <v>928</v>
      </c>
      <c r="I191" s="239" t="s">
        <v>2484</v>
      </c>
      <c r="J191" s="239" t="s">
        <v>928</v>
      </c>
      <c r="K191" s="239" t="s">
        <v>2398</v>
      </c>
      <c r="L191" s="239">
        <v>499.54</v>
      </c>
      <c r="M191" s="239">
        <v>0</v>
      </c>
      <c r="N191" s="239">
        <v>0</v>
      </c>
      <c r="O191" s="239">
        <v>0</v>
      </c>
      <c r="P191" s="239">
        <v>0</v>
      </c>
      <c r="Q191" s="239">
        <v>0</v>
      </c>
      <c r="R191" s="239">
        <v>0</v>
      </c>
      <c r="S191" s="239">
        <v>0</v>
      </c>
      <c r="T191" s="239">
        <v>0</v>
      </c>
      <c r="U191" s="239">
        <v>0</v>
      </c>
      <c r="V191" s="239">
        <v>0</v>
      </c>
      <c r="W191" s="239">
        <v>0</v>
      </c>
      <c r="X191" s="239">
        <v>0</v>
      </c>
      <c r="Y191" s="239">
        <v>435.8</v>
      </c>
      <c r="Z191" s="239">
        <v>0</v>
      </c>
      <c r="AA191" s="239">
        <v>0</v>
      </c>
      <c r="AB191" s="239">
        <v>63.73</v>
      </c>
      <c r="AC191" s="239">
        <v>0</v>
      </c>
      <c r="AD191" s="239">
        <v>0</v>
      </c>
      <c r="AE191" s="239" t="s">
        <v>720</v>
      </c>
      <c r="AF191" s="239" t="s">
        <v>721</v>
      </c>
      <c r="AG191" s="239">
        <f t="shared" si="11"/>
        <v>0</v>
      </c>
      <c r="AH191" s="239">
        <f t="shared" si="12"/>
        <v>0</v>
      </c>
      <c r="AI191" s="239">
        <f t="shared" si="13"/>
        <v>0</v>
      </c>
      <c r="AJ191" s="239">
        <f t="shared" si="14"/>
        <v>0</v>
      </c>
    </row>
    <row r="192" spans="1:36" x14ac:dyDescent="0.2">
      <c r="A192" s="240" t="str">
        <f t="shared" si="10"/>
        <v>SNCF10723280</v>
      </c>
      <c r="B192" s="239" t="s">
        <v>19</v>
      </c>
      <c r="C192" s="239" t="s">
        <v>20</v>
      </c>
      <c r="D192" s="239" t="s">
        <v>2481</v>
      </c>
      <c r="E192" s="239" t="s">
        <v>2482</v>
      </c>
      <c r="F192" s="239" t="s">
        <v>2490</v>
      </c>
      <c r="G192" s="239">
        <v>80</v>
      </c>
      <c r="H192" s="239" t="s">
        <v>928</v>
      </c>
      <c r="I192" s="239" t="s">
        <v>928</v>
      </c>
      <c r="J192" s="239" t="s">
        <v>928</v>
      </c>
      <c r="K192" s="239" t="s">
        <v>2398</v>
      </c>
      <c r="L192" s="239">
        <v>499.54</v>
      </c>
      <c r="M192" s="239">
        <v>0</v>
      </c>
      <c r="N192" s="239">
        <v>0</v>
      </c>
      <c r="O192" s="239">
        <v>0</v>
      </c>
      <c r="P192" s="239">
        <v>0</v>
      </c>
      <c r="Q192" s="239">
        <v>0</v>
      </c>
      <c r="R192" s="239">
        <v>0</v>
      </c>
      <c r="S192" s="239">
        <v>0</v>
      </c>
      <c r="T192" s="239">
        <v>0</v>
      </c>
      <c r="U192" s="239">
        <v>0</v>
      </c>
      <c r="V192" s="239">
        <v>0</v>
      </c>
      <c r="W192" s="239">
        <v>0</v>
      </c>
      <c r="X192" s="239">
        <v>0</v>
      </c>
      <c r="Y192" s="239">
        <v>435.8</v>
      </c>
      <c r="Z192" s="239">
        <v>0</v>
      </c>
      <c r="AA192" s="239">
        <v>0</v>
      </c>
      <c r="AB192" s="239">
        <v>63.73</v>
      </c>
      <c r="AC192" s="239">
        <v>0</v>
      </c>
      <c r="AD192" s="239">
        <v>0</v>
      </c>
      <c r="AE192" s="239" t="s">
        <v>720</v>
      </c>
      <c r="AF192" s="239" t="s">
        <v>721</v>
      </c>
      <c r="AG192" s="239">
        <f t="shared" si="11"/>
        <v>0</v>
      </c>
      <c r="AH192" s="239">
        <f t="shared" si="12"/>
        <v>0</v>
      </c>
      <c r="AI192" s="239">
        <f t="shared" si="13"/>
        <v>0</v>
      </c>
      <c r="AJ192" s="239">
        <f t="shared" si="14"/>
        <v>0</v>
      </c>
    </row>
    <row r="193" spans="1:36" x14ac:dyDescent="0.2">
      <c r="A193" s="240" t="str">
        <f t="shared" si="10"/>
        <v>2SNCF107232D50</v>
      </c>
      <c r="B193" s="239" t="s">
        <v>19</v>
      </c>
      <c r="C193" s="239" t="s">
        <v>20</v>
      </c>
      <c r="D193" s="239" t="s">
        <v>2481</v>
      </c>
      <c r="E193" s="239" t="s">
        <v>2482</v>
      </c>
      <c r="F193" s="239" t="s">
        <v>2491</v>
      </c>
      <c r="G193" s="239">
        <v>50</v>
      </c>
      <c r="H193" s="239" t="s">
        <v>928</v>
      </c>
      <c r="I193" s="239" t="s">
        <v>2484</v>
      </c>
      <c r="J193" s="239" t="s">
        <v>928</v>
      </c>
      <c r="K193" s="239" t="s">
        <v>2398</v>
      </c>
      <c r="L193" s="239">
        <v>390.29</v>
      </c>
      <c r="M193" s="239">
        <v>0</v>
      </c>
      <c r="N193" s="239">
        <v>0</v>
      </c>
      <c r="O193" s="239">
        <v>0</v>
      </c>
      <c r="P193" s="239">
        <v>0</v>
      </c>
      <c r="Q193" s="239">
        <v>0</v>
      </c>
      <c r="R193" s="239">
        <v>0</v>
      </c>
      <c r="S193" s="239">
        <v>0</v>
      </c>
      <c r="T193" s="239">
        <v>0</v>
      </c>
      <c r="U193" s="239">
        <v>0</v>
      </c>
      <c r="V193" s="239">
        <v>0</v>
      </c>
      <c r="W193" s="239">
        <v>0</v>
      </c>
      <c r="X193" s="239">
        <v>0</v>
      </c>
      <c r="Y193" s="239">
        <v>327.72</v>
      </c>
      <c r="Z193" s="239">
        <v>0</v>
      </c>
      <c r="AA193" s="239">
        <v>0</v>
      </c>
      <c r="AB193" s="239">
        <v>62.57</v>
      </c>
      <c r="AC193" s="239">
        <v>0</v>
      </c>
      <c r="AD193" s="239">
        <v>0</v>
      </c>
      <c r="AE193" s="239" t="s">
        <v>720</v>
      </c>
      <c r="AF193" s="239" t="s">
        <v>721</v>
      </c>
      <c r="AG193" s="239">
        <f t="shared" si="11"/>
        <v>0</v>
      </c>
      <c r="AH193" s="239">
        <f t="shared" si="12"/>
        <v>0</v>
      </c>
      <c r="AI193" s="239">
        <f t="shared" si="13"/>
        <v>0</v>
      </c>
      <c r="AJ193" s="239">
        <f t="shared" si="14"/>
        <v>0</v>
      </c>
    </row>
    <row r="194" spans="1:36" x14ac:dyDescent="0.2">
      <c r="A194" s="240" t="str">
        <f t="shared" si="10"/>
        <v>SNCF107232D50</v>
      </c>
      <c r="B194" s="239" t="s">
        <v>19</v>
      </c>
      <c r="C194" s="239" t="s">
        <v>20</v>
      </c>
      <c r="D194" s="239" t="s">
        <v>2481</v>
      </c>
      <c r="E194" s="239" t="s">
        <v>2482</v>
      </c>
      <c r="F194" s="239" t="s">
        <v>2491</v>
      </c>
      <c r="G194" s="239">
        <v>50</v>
      </c>
      <c r="H194" s="239" t="s">
        <v>928</v>
      </c>
      <c r="I194" s="239" t="s">
        <v>928</v>
      </c>
      <c r="J194" s="239" t="s">
        <v>928</v>
      </c>
      <c r="K194" s="239" t="s">
        <v>2398</v>
      </c>
      <c r="L194" s="239">
        <v>390.29</v>
      </c>
      <c r="M194" s="239">
        <v>0</v>
      </c>
      <c r="N194" s="239">
        <v>0</v>
      </c>
      <c r="O194" s="239">
        <v>0</v>
      </c>
      <c r="P194" s="239">
        <v>0</v>
      </c>
      <c r="Q194" s="239">
        <v>0</v>
      </c>
      <c r="R194" s="239">
        <v>0</v>
      </c>
      <c r="S194" s="239">
        <v>0</v>
      </c>
      <c r="T194" s="239">
        <v>0</v>
      </c>
      <c r="U194" s="239">
        <v>0</v>
      </c>
      <c r="V194" s="239">
        <v>0</v>
      </c>
      <c r="W194" s="239">
        <v>0</v>
      </c>
      <c r="X194" s="239">
        <v>0</v>
      </c>
      <c r="Y194" s="239">
        <v>327.72</v>
      </c>
      <c r="Z194" s="239">
        <v>0</v>
      </c>
      <c r="AA194" s="239">
        <v>0</v>
      </c>
      <c r="AB194" s="239">
        <v>62.57</v>
      </c>
      <c r="AC194" s="239">
        <v>0</v>
      </c>
      <c r="AD194" s="239">
        <v>0</v>
      </c>
      <c r="AE194" s="239" t="s">
        <v>720</v>
      </c>
      <c r="AF194" s="239" t="s">
        <v>721</v>
      </c>
      <c r="AG194" s="239">
        <f t="shared" si="11"/>
        <v>0</v>
      </c>
      <c r="AH194" s="239">
        <f t="shared" si="12"/>
        <v>0</v>
      </c>
      <c r="AI194" s="239">
        <f t="shared" si="13"/>
        <v>0</v>
      </c>
      <c r="AJ194" s="239">
        <f t="shared" si="14"/>
        <v>0</v>
      </c>
    </row>
    <row r="195" spans="1:36" x14ac:dyDescent="0.2">
      <c r="A195" s="240" t="str">
        <f t="shared" si="10"/>
        <v>2SNCF107232D80</v>
      </c>
      <c r="B195" s="239" t="s">
        <v>19</v>
      </c>
      <c r="C195" s="239" t="s">
        <v>20</v>
      </c>
      <c r="D195" s="239" t="s">
        <v>2481</v>
      </c>
      <c r="E195" s="239" t="s">
        <v>2482</v>
      </c>
      <c r="F195" s="239" t="s">
        <v>2491</v>
      </c>
      <c r="G195" s="239">
        <v>80</v>
      </c>
      <c r="H195" s="239" t="s">
        <v>928</v>
      </c>
      <c r="I195" s="239" t="s">
        <v>2484</v>
      </c>
      <c r="J195" s="239" t="s">
        <v>928</v>
      </c>
      <c r="K195" s="239" t="s">
        <v>2398</v>
      </c>
      <c r="L195" s="239">
        <v>503.85</v>
      </c>
      <c r="M195" s="239">
        <v>0</v>
      </c>
      <c r="N195" s="239">
        <v>0</v>
      </c>
      <c r="O195" s="239">
        <v>0</v>
      </c>
      <c r="P195" s="239">
        <v>0</v>
      </c>
      <c r="Q195" s="239">
        <v>0</v>
      </c>
      <c r="R195" s="239">
        <v>0</v>
      </c>
      <c r="S195" s="239">
        <v>0</v>
      </c>
      <c r="T195" s="239">
        <v>0</v>
      </c>
      <c r="U195" s="239">
        <v>0</v>
      </c>
      <c r="V195" s="239">
        <v>0</v>
      </c>
      <c r="W195" s="239">
        <v>0</v>
      </c>
      <c r="X195" s="239">
        <v>0</v>
      </c>
      <c r="Y195" s="239">
        <v>431.34</v>
      </c>
      <c r="Z195" s="239">
        <v>0</v>
      </c>
      <c r="AA195" s="239">
        <v>0</v>
      </c>
      <c r="AB195" s="239">
        <v>72.5</v>
      </c>
      <c r="AC195" s="239">
        <v>0</v>
      </c>
      <c r="AD195" s="239">
        <v>0</v>
      </c>
      <c r="AE195" s="239" t="s">
        <v>720</v>
      </c>
      <c r="AF195" s="239" t="s">
        <v>721</v>
      </c>
      <c r="AG195" s="239">
        <f t="shared" si="11"/>
        <v>0</v>
      </c>
      <c r="AH195" s="239">
        <f t="shared" si="12"/>
        <v>0</v>
      </c>
      <c r="AI195" s="239">
        <f t="shared" si="13"/>
        <v>0</v>
      </c>
      <c r="AJ195" s="239">
        <f t="shared" si="14"/>
        <v>0</v>
      </c>
    </row>
    <row r="196" spans="1:36" x14ac:dyDescent="0.2">
      <c r="A196" s="240" t="str">
        <f t="shared" ref="A196:A259" si="15">TRIM(I196&amp;B196&amp;C196&amp;D196&amp;F196&amp;G196)</f>
        <v>SNCF107232D80</v>
      </c>
      <c r="B196" s="239" t="s">
        <v>19</v>
      </c>
      <c r="C196" s="239" t="s">
        <v>20</v>
      </c>
      <c r="D196" s="239" t="s">
        <v>2481</v>
      </c>
      <c r="E196" s="239" t="s">
        <v>2482</v>
      </c>
      <c r="F196" s="239" t="s">
        <v>2491</v>
      </c>
      <c r="G196" s="239">
        <v>80</v>
      </c>
      <c r="H196" s="239" t="s">
        <v>928</v>
      </c>
      <c r="I196" s="239" t="s">
        <v>928</v>
      </c>
      <c r="J196" s="239" t="s">
        <v>928</v>
      </c>
      <c r="K196" s="239" t="s">
        <v>2398</v>
      </c>
      <c r="L196" s="239">
        <v>503.85</v>
      </c>
      <c r="M196" s="239">
        <v>0</v>
      </c>
      <c r="N196" s="239">
        <v>0</v>
      </c>
      <c r="O196" s="239">
        <v>0</v>
      </c>
      <c r="P196" s="239">
        <v>0</v>
      </c>
      <c r="Q196" s="239">
        <v>0</v>
      </c>
      <c r="R196" s="239">
        <v>0</v>
      </c>
      <c r="S196" s="239">
        <v>0</v>
      </c>
      <c r="T196" s="239">
        <v>0</v>
      </c>
      <c r="U196" s="239">
        <v>0</v>
      </c>
      <c r="V196" s="239">
        <v>0</v>
      </c>
      <c r="W196" s="239">
        <v>0</v>
      </c>
      <c r="X196" s="239">
        <v>0</v>
      </c>
      <c r="Y196" s="239">
        <v>431.34</v>
      </c>
      <c r="Z196" s="239">
        <v>0</v>
      </c>
      <c r="AA196" s="239">
        <v>0</v>
      </c>
      <c r="AB196" s="239">
        <v>72.5</v>
      </c>
      <c r="AC196" s="239">
        <v>0</v>
      </c>
      <c r="AD196" s="239">
        <v>0</v>
      </c>
      <c r="AE196" s="239" t="s">
        <v>720</v>
      </c>
      <c r="AF196" s="239" t="s">
        <v>721</v>
      </c>
      <c r="AG196" s="239">
        <f t="shared" si="11"/>
        <v>0</v>
      </c>
      <c r="AH196" s="239">
        <f t="shared" si="12"/>
        <v>0</v>
      </c>
      <c r="AI196" s="239">
        <f t="shared" si="13"/>
        <v>0</v>
      </c>
      <c r="AJ196" s="239">
        <f t="shared" si="14"/>
        <v>0</v>
      </c>
    </row>
    <row r="197" spans="1:36" x14ac:dyDescent="0.2">
      <c r="A197" s="240" t="str">
        <f t="shared" si="15"/>
        <v>2SNCF107234D50</v>
      </c>
      <c r="B197" s="239" t="s">
        <v>19</v>
      </c>
      <c r="C197" s="239" t="s">
        <v>20</v>
      </c>
      <c r="D197" s="239" t="s">
        <v>2481</v>
      </c>
      <c r="E197" s="239" t="s">
        <v>2482</v>
      </c>
      <c r="F197" s="239" t="s">
        <v>2492</v>
      </c>
      <c r="G197" s="239">
        <v>50</v>
      </c>
      <c r="H197" s="239" t="s">
        <v>928</v>
      </c>
      <c r="I197" s="239" t="s">
        <v>2484</v>
      </c>
      <c r="J197" s="239" t="s">
        <v>928</v>
      </c>
      <c r="K197" s="239" t="s">
        <v>2398</v>
      </c>
      <c r="L197" s="239">
        <v>409.51</v>
      </c>
      <c r="M197" s="239">
        <v>0</v>
      </c>
      <c r="N197" s="239">
        <v>0</v>
      </c>
      <c r="O197" s="239">
        <v>0</v>
      </c>
      <c r="P197" s="239">
        <v>0</v>
      </c>
      <c r="Q197" s="239">
        <v>0</v>
      </c>
      <c r="R197" s="239">
        <v>0</v>
      </c>
      <c r="S197" s="239">
        <v>0</v>
      </c>
      <c r="T197" s="239">
        <v>0</v>
      </c>
      <c r="U197" s="239">
        <v>0</v>
      </c>
      <c r="V197" s="239">
        <v>0</v>
      </c>
      <c r="W197" s="239">
        <v>0</v>
      </c>
      <c r="X197" s="239">
        <v>0</v>
      </c>
      <c r="Y197" s="239">
        <v>343.17</v>
      </c>
      <c r="Z197" s="239">
        <v>0</v>
      </c>
      <c r="AA197" s="239">
        <v>0</v>
      </c>
      <c r="AB197" s="239">
        <v>66.34</v>
      </c>
      <c r="AC197" s="239">
        <v>0</v>
      </c>
      <c r="AD197" s="239">
        <v>0</v>
      </c>
      <c r="AE197" s="239" t="s">
        <v>720</v>
      </c>
      <c r="AF197" s="239" t="s">
        <v>721</v>
      </c>
      <c r="AG197" s="239">
        <f t="shared" si="11"/>
        <v>0</v>
      </c>
      <c r="AH197" s="239">
        <f t="shared" si="12"/>
        <v>0</v>
      </c>
      <c r="AI197" s="239">
        <f t="shared" si="13"/>
        <v>0</v>
      </c>
      <c r="AJ197" s="239">
        <f t="shared" si="14"/>
        <v>0</v>
      </c>
    </row>
    <row r="198" spans="1:36" x14ac:dyDescent="0.2">
      <c r="A198" s="240" t="str">
        <f t="shared" si="15"/>
        <v>SNCF107234D50</v>
      </c>
      <c r="B198" s="239" t="s">
        <v>19</v>
      </c>
      <c r="C198" s="239" t="s">
        <v>20</v>
      </c>
      <c r="D198" s="239" t="s">
        <v>2481</v>
      </c>
      <c r="E198" s="239" t="s">
        <v>2482</v>
      </c>
      <c r="F198" s="239" t="s">
        <v>2492</v>
      </c>
      <c r="G198" s="239">
        <v>50</v>
      </c>
      <c r="H198" s="239" t="s">
        <v>928</v>
      </c>
      <c r="I198" s="239" t="s">
        <v>928</v>
      </c>
      <c r="J198" s="239" t="s">
        <v>928</v>
      </c>
      <c r="K198" s="239" t="s">
        <v>2398</v>
      </c>
      <c r="L198" s="239">
        <v>409.51</v>
      </c>
      <c r="M198" s="239">
        <v>0</v>
      </c>
      <c r="N198" s="239">
        <v>0</v>
      </c>
      <c r="O198" s="239">
        <v>0</v>
      </c>
      <c r="P198" s="239">
        <v>0</v>
      </c>
      <c r="Q198" s="239">
        <v>0</v>
      </c>
      <c r="R198" s="239">
        <v>0</v>
      </c>
      <c r="S198" s="239">
        <v>0</v>
      </c>
      <c r="T198" s="239">
        <v>0</v>
      </c>
      <c r="U198" s="239">
        <v>0</v>
      </c>
      <c r="V198" s="239">
        <v>0</v>
      </c>
      <c r="W198" s="239">
        <v>0</v>
      </c>
      <c r="X198" s="239">
        <v>0</v>
      </c>
      <c r="Y198" s="239">
        <v>343.17</v>
      </c>
      <c r="Z198" s="239">
        <v>0</v>
      </c>
      <c r="AA198" s="239">
        <v>0</v>
      </c>
      <c r="AB198" s="239">
        <v>66.34</v>
      </c>
      <c r="AC198" s="239">
        <v>0</v>
      </c>
      <c r="AD198" s="239">
        <v>0</v>
      </c>
      <c r="AE198" s="239" t="s">
        <v>720</v>
      </c>
      <c r="AF198" s="239" t="s">
        <v>721</v>
      </c>
      <c r="AG198" s="239">
        <f t="shared" ref="AG198:AG261" si="16">+O198*M198/100</f>
        <v>0</v>
      </c>
      <c r="AH198" s="239">
        <f t="shared" ref="AH198:AH261" si="17">+P198*M198/100</f>
        <v>0</v>
      </c>
      <c r="AI198" s="239">
        <f t="shared" ref="AI198:AI261" si="18">+AB198*M198/100</f>
        <v>0</v>
      </c>
      <c r="AJ198" s="239">
        <f t="shared" ref="AJ198:AJ261" si="19">+AG198+AH198+AI198</f>
        <v>0</v>
      </c>
    </row>
    <row r="199" spans="1:36" x14ac:dyDescent="0.2">
      <c r="A199" s="240" t="str">
        <f t="shared" si="15"/>
        <v>2SNCF10733230</v>
      </c>
      <c r="B199" s="239" t="s">
        <v>19</v>
      </c>
      <c r="C199" s="239" t="s">
        <v>20</v>
      </c>
      <c r="D199" s="239" t="s">
        <v>2481</v>
      </c>
      <c r="E199" s="239" t="s">
        <v>2482</v>
      </c>
      <c r="F199" s="239" t="s">
        <v>2493</v>
      </c>
      <c r="G199" s="239">
        <v>30</v>
      </c>
      <c r="H199" s="239" t="s">
        <v>928</v>
      </c>
      <c r="I199" s="239" t="s">
        <v>2484</v>
      </c>
      <c r="J199" s="239" t="s">
        <v>928</v>
      </c>
      <c r="K199" s="239" t="s">
        <v>2398</v>
      </c>
      <c r="L199" s="239">
        <v>455.23</v>
      </c>
      <c r="M199" s="239">
        <v>0</v>
      </c>
      <c r="N199" s="239">
        <v>0</v>
      </c>
      <c r="O199" s="239">
        <v>0</v>
      </c>
      <c r="P199" s="239">
        <v>0</v>
      </c>
      <c r="Q199" s="239">
        <v>0</v>
      </c>
      <c r="R199" s="239">
        <v>0</v>
      </c>
      <c r="S199" s="239">
        <v>0</v>
      </c>
      <c r="T199" s="239">
        <v>0</v>
      </c>
      <c r="U199" s="239">
        <v>0</v>
      </c>
      <c r="V199" s="239">
        <v>0</v>
      </c>
      <c r="W199" s="239">
        <v>0</v>
      </c>
      <c r="X199" s="239">
        <v>0</v>
      </c>
      <c r="Y199" s="239">
        <v>364.61</v>
      </c>
      <c r="Z199" s="239">
        <v>0</v>
      </c>
      <c r="AA199" s="239">
        <v>0</v>
      </c>
      <c r="AB199" s="239">
        <v>90.62</v>
      </c>
      <c r="AC199" s="239">
        <v>0</v>
      </c>
      <c r="AD199" s="239">
        <v>0</v>
      </c>
      <c r="AE199" s="239" t="s">
        <v>720</v>
      </c>
      <c r="AF199" s="239" t="s">
        <v>721</v>
      </c>
      <c r="AG199" s="239">
        <f t="shared" si="16"/>
        <v>0</v>
      </c>
      <c r="AH199" s="239">
        <f t="shared" si="17"/>
        <v>0</v>
      </c>
      <c r="AI199" s="239">
        <f t="shared" si="18"/>
        <v>0</v>
      </c>
      <c r="AJ199" s="239">
        <f t="shared" si="19"/>
        <v>0</v>
      </c>
    </row>
    <row r="200" spans="1:36" x14ac:dyDescent="0.2">
      <c r="A200" s="240" t="str">
        <f t="shared" si="15"/>
        <v>8SNCF10733230</v>
      </c>
      <c r="B200" s="239" t="s">
        <v>19</v>
      </c>
      <c r="C200" s="239" t="s">
        <v>20</v>
      </c>
      <c r="D200" s="239" t="s">
        <v>2481</v>
      </c>
      <c r="E200" s="239" t="s">
        <v>2482</v>
      </c>
      <c r="F200" s="239" t="s">
        <v>2493</v>
      </c>
      <c r="G200" s="239">
        <v>30</v>
      </c>
      <c r="H200" s="239" t="s">
        <v>928</v>
      </c>
      <c r="I200" s="239" t="s">
        <v>2494</v>
      </c>
      <c r="J200" s="239" t="s">
        <v>928</v>
      </c>
      <c r="K200" s="239" t="s">
        <v>2398</v>
      </c>
      <c r="L200" s="239">
        <v>835.52</v>
      </c>
      <c r="M200" s="239">
        <v>0</v>
      </c>
      <c r="N200" s="239">
        <v>0</v>
      </c>
      <c r="O200" s="239">
        <v>0</v>
      </c>
      <c r="P200" s="239">
        <v>0</v>
      </c>
      <c r="Q200" s="239">
        <v>315.56</v>
      </c>
      <c r="R200" s="239">
        <v>0</v>
      </c>
      <c r="S200" s="239">
        <v>0</v>
      </c>
      <c r="T200" s="239">
        <v>0</v>
      </c>
      <c r="U200" s="239">
        <v>71.75</v>
      </c>
      <c r="V200" s="239">
        <v>0</v>
      </c>
      <c r="W200" s="239">
        <v>0</v>
      </c>
      <c r="X200" s="239">
        <v>0</v>
      </c>
      <c r="Y200" s="239">
        <v>357.6</v>
      </c>
      <c r="Z200" s="239">
        <v>0</v>
      </c>
      <c r="AA200" s="239">
        <v>0</v>
      </c>
      <c r="AB200" s="239">
        <v>90.61</v>
      </c>
      <c r="AC200" s="239">
        <v>0</v>
      </c>
      <c r="AD200" s="239">
        <v>0</v>
      </c>
      <c r="AE200" s="239" t="s">
        <v>720</v>
      </c>
      <c r="AF200" s="239" t="s">
        <v>721</v>
      </c>
      <c r="AG200" s="239">
        <f t="shared" si="16"/>
        <v>0</v>
      </c>
      <c r="AH200" s="239">
        <f t="shared" si="17"/>
        <v>0</v>
      </c>
      <c r="AI200" s="239">
        <f t="shared" si="18"/>
        <v>0</v>
      </c>
      <c r="AJ200" s="239">
        <f t="shared" si="19"/>
        <v>0</v>
      </c>
    </row>
    <row r="201" spans="1:36" x14ac:dyDescent="0.2">
      <c r="A201" s="240" t="str">
        <f t="shared" si="15"/>
        <v>SNCF10733230</v>
      </c>
      <c r="B201" s="239" t="s">
        <v>19</v>
      </c>
      <c r="C201" s="239" t="s">
        <v>20</v>
      </c>
      <c r="D201" s="239" t="s">
        <v>2481</v>
      </c>
      <c r="E201" s="239" t="s">
        <v>2482</v>
      </c>
      <c r="F201" s="239" t="s">
        <v>2493</v>
      </c>
      <c r="G201" s="239">
        <v>30</v>
      </c>
      <c r="H201" s="239" t="s">
        <v>928</v>
      </c>
      <c r="I201" s="239" t="s">
        <v>928</v>
      </c>
      <c r="J201" s="239" t="s">
        <v>928</v>
      </c>
      <c r="K201" s="239" t="s">
        <v>2398</v>
      </c>
      <c r="L201" s="239">
        <v>455.23</v>
      </c>
      <c r="M201" s="239">
        <v>0</v>
      </c>
      <c r="N201" s="239">
        <v>0</v>
      </c>
      <c r="O201" s="239">
        <v>0</v>
      </c>
      <c r="P201" s="239">
        <v>0</v>
      </c>
      <c r="Q201" s="239">
        <v>0</v>
      </c>
      <c r="R201" s="239">
        <v>0</v>
      </c>
      <c r="S201" s="239">
        <v>0</v>
      </c>
      <c r="T201" s="239">
        <v>0</v>
      </c>
      <c r="U201" s="239">
        <v>0</v>
      </c>
      <c r="V201" s="239">
        <v>0</v>
      </c>
      <c r="W201" s="239">
        <v>0</v>
      </c>
      <c r="X201" s="239">
        <v>0</v>
      </c>
      <c r="Y201" s="239">
        <v>364.61</v>
      </c>
      <c r="Z201" s="239">
        <v>0</v>
      </c>
      <c r="AA201" s="239">
        <v>0</v>
      </c>
      <c r="AB201" s="239">
        <v>90.62</v>
      </c>
      <c r="AC201" s="239">
        <v>0</v>
      </c>
      <c r="AD201" s="239">
        <v>0</v>
      </c>
      <c r="AE201" s="239" t="s">
        <v>720</v>
      </c>
      <c r="AF201" s="239" t="s">
        <v>721</v>
      </c>
      <c r="AG201" s="239">
        <f t="shared" si="16"/>
        <v>0</v>
      </c>
      <c r="AH201" s="239">
        <f t="shared" si="17"/>
        <v>0</v>
      </c>
      <c r="AI201" s="239">
        <f t="shared" si="18"/>
        <v>0</v>
      </c>
      <c r="AJ201" s="239">
        <f t="shared" si="19"/>
        <v>0</v>
      </c>
    </row>
    <row r="202" spans="1:36" x14ac:dyDescent="0.2">
      <c r="A202" s="240" t="str">
        <f t="shared" si="15"/>
        <v>2SNCF10733250</v>
      </c>
      <c r="B202" s="239" t="s">
        <v>19</v>
      </c>
      <c r="C202" s="239" t="s">
        <v>20</v>
      </c>
      <c r="D202" s="239" t="s">
        <v>2481</v>
      </c>
      <c r="E202" s="239" t="s">
        <v>2482</v>
      </c>
      <c r="F202" s="239" t="s">
        <v>2493</v>
      </c>
      <c r="G202" s="239">
        <v>50</v>
      </c>
      <c r="H202" s="239" t="s">
        <v>928</v>
      </c>
      <c r="I202" s="239" t="s">
        <v>2484</v>
      </c>
      <c r="J202" s="239" t="s">
        <v>928</v>
      </c>
      <c r="K202" s="239" t="s">
        <v>2398</v>
      </c>
      <c r="L202" s="239">
        <v>643.73</v>
      </c>
      <c r="M202" s="239">
        <v>0</v>
      </c>
      <c r="N202" s="239">
        <v>0</v>
      </c>
      <c r="O202" s="239">
        <v>0</v>
      </c>
      <c r="P202" s="239">
        <v>0</v>
      </c>
      <c r="Q202" s="239">
        <v>0</v>
      </c>
      <c r="R202" s="239">
        <v>0</v>
      </c>
      <c r="S202" s="239">
        <v>0</v>
      </c>
      <c r="T202" s="239">
        <v>0</v>
      </c>
      <c r="U202" s="239">
        <v>0</v>
      </c>
      <c r="V202" s="239">
        <v>0</v>
      </c>
      <c r="W202" s="239">
        <v>0</v>
      </c>
      <c r="X202" s="239">
        <v>0</v>
      </c>
      <c r="Y202" s="239">
        <v>490.64</v>
      </c>
      <c r="Z202" s="239">
        <v>0</v>
      </c>
      <c r="AA202" s="239">
        <v>0</v>
      </c>
      <c r="AB202" s="239">
        <v>153.09</v>
      </c>
      <c r="AC202" s="239">
        <v>0</v>
      </c>
      <c r="AD202" s="239">
        <v>0</v>
      </c>
      <c r="AE202" s="239" t="s">
        <v>720</v>
      </c>
      <c r="AF202" s="239" t="s">
        <v>721</v>
      </c>
      <c r="AG202" s="239">
        <f t="shared" si="16"/>
        <v>0</v>
      </c>
      <c r="AH202" s="239">
        <f t="shared" si="17"/>
        <v>0</v>
      </c>
      <c r="AI202" s="239">
        <f t="shared" si="18"/>
        <v>0</v>
      </c>
      <c r="AJ202" s="239">
        <f t="shared" si="19"/>
        <v>0</v>
      </c>
    </row>
    <row r="203" spans="1:36" x14ac:dyDescent="0.2">
      <c r="A203" s="240" t="str">
        <f t="shared" si="15"/>
        <v>SNCF10733250</v>
      </c>
      <c r="B203" s="239" t="s">
        <v>19</v>
      </c>
      <c r="C203" s="239" t="s">
        <v>20</v>
      </c>
      <c r="D203" s="239" t="s">
        <v>2481</v>
      </c>
      <c r="E203" s="239" t="s">
        <v>2482</v>
      </c>
      <c r="F203" s="239" t="s">
        <v>2493</v>
      </c>
      <c r="G203" s="239">
        <v>50</v>
      </c>
      <c r="H203" s="239" t="s">
        <v>928</v>
      </c>
      <c r="I203" s="239" t="s">
        <v>928</v>
      </c>
      <c r="J203" s="239" t="s">
        <v>928</v>
      </c>
      <c r="K203" s="239" t="s">
        <v>2398</v>
      </c>
      <c r="L203" s="239">
        <v>643.73</v>
      </c>
      <c r="M203" s="239">
        <v>0</v>
      </c>
      <c r="N203" s="239">
        <v>0</v>
      </c>
      <c r="O203" s="239">
        <v>0</v>
      </c>
      <c r="P203" s="239">
        <v>0</v>
      </c>
      <c r="Q203" s="239">
        <v>0</v>
      </c>
      <c r="R203" s="239">
        <v>0</v>
      </c>
      <c r="S203" s="239">
        <v>0</v>
      </c>
      <c r="T203" s="239">
        <v>0</v>
      </c>
      <c r="U203" s="239">
        <v>0</v>
      </c>
      <c r="V203" s="239">
        <v>0</v>
      </c>
      <c r="W203" s="239">
        <v>0</v>
      </c>
      <c r="X203" s="239">
        <v>0</v>
      </c>
      <c r="Y203" s="239">
        <v>490.64</v>
      </c>
      <c r="Z203" s="239">
        <v>0</v>
      </c>
      <c r="AA203" s="239">
        <v>0</v>
      </c>
      <c r="AB203" s="239">
        <v>153.09</v>
      </c>
      <c r="AC203" s="239">
        <v>0</v>
      </c>
      <c r="AD203" s="239">
        <v>0</v>
      </c>
      <c r="AE203" s="239" t="s">
        <v>720</v>
      </c>
      <c r="AF203" s="239" t="s">
        <v>721</v>
      </c>
      <c r="AG203" s="239">
        <f t="shared" si="16"/>
        <v>0</v>
      </c>
      <c r="AH203" s="239">
        <f t="shared" si="17"/>
        <v>0</v>
      </c>
      <c r="AI203" s="239">
        <f t="shared" si="18"/>
        <v>0</v>
      </c>
      <c r="AJ203" s="239">
        <f t="shared" si="19"/>
        <v>0</v>
      </c>
    </row>
    <row r="204" spans="1:36" x14ac:dyDescent="0.2">
      <c r="A204" s="240" t="str">
        <f t="shared" si="15"/>
        <v>2SNCF107332D30</v>
      </c>
      <c r="B204" s="239" t="s">
        <v>19</v>
      </c>
      <c r="C204" s="239" t="s">
        <v>20</v>
      </c>
      <c r="D204" s="239" t="s">
        <v>2481</v>
      </c>
      <c r="E204" s="239" t="s">
        <v>2482</v>
      </c>
      <c r="F204" s="239" t="s">
        <v>2495</v>
      </c>
      <c r="G204" s="239">
        <v>30</v>
      </c>
      <c r="H204" s="239" t="s">
        <v>928</v>
      </c>
      <c r="I204" s="239" t="s">
        <v>2484</v>
      </c>
      <c r="J204" s="239" t="s">
        <v>928</v>
      </c>
      <c r="K204" s="239" t="s">
        <v>2398</v>
      </c>
      <c r="L204" s="239">
        <v>441.68</v>
      </c>
      <c r="M204" s="239">
        <v>0</v>
      </c>
      <c r="N204" s="239">
        <v>0</v>
      </c>
      <c r="O204" s="239">
        <v>0</v>
      </c>
      <c r="P204" s="239">
        <v>0</v>
      </c>
      <c r="Q204" s="239">
        <v>0</v>
      </c>
      <c r="R204" s="239">
        <v>0</v>
      </c>
      <c r="S204" s="239">
        <v>0</v>
      </c>
      <c r="T204" s="239">
        <v>0</v>
      </c>
      <c r="U204" s="239">
        <v>0</v>
      </c>
      <c r="V204" s="239">
        <v>0</v>
      </c>
      <c r="W204" s="239">
        <v>0</v>
      </c>
      <c r="X204" s="239">
        <v>0</v>
      </c>
      <c r="Y204" s="239">
        <v>353.36</v>
      </c>
      <c r="Z204" s="239">
        <v>0</v>
      </c>
      <c r="AA204" s="239">
        <v>0</v>
      </c>
      <c r="AB204" s="239">
        <v>88.32</v>
      </c>
      <c r="AC204" s="239">
        <v>0</v>
      </c>
      <c r="AD204" s="239">
        <v>0</v>
      </c>
      <c r="AE204" s="239" t="s">
        <v>720</v>
      </c>
      <c r="AF204" s="239" t="s">
        <v>721</v>
      </c>
      <c r="AG204" s="239">
        <f t="shared" si="16"/>
        <v>0</v>
      </c>
      <c r="AH204" s="239">
        <f t="shared" si="17"/>
        <v>0</v>
      </c>
      <c r="AI204" s="239">
        <f t="shared" si="18"/>
        <v>0</v>
      </c>
      <c r="AJ204" s="239">
        <f t="shared" si="19"/>
        <v>0</v>
      </c>
    </row>
    <row r="205" spans="1:36" x14ac:dyDescent="0.2">
      <c r="A205" s="240" t="str">
        <f t="shared" si="15"/>
        <v>SNCF107332D30</v>
      </c>
      <c r="B205" s="239" t="s">
        <v>19</v>
      </c>
      <c r="C205" s="239" t="s">
        <v>20</v>
      </c>
      <c r="D205" s="239" t="s">
        <v>2481</v>
      </c>
      <c r="E205" s="239" t="s">
        <v>2482</v>
      </c>
      <c r="F205" s="239" t="s">
        <v>2495</v>
      </c>
      <c r="G205" s="239">
        <v>30</v>
      </c>
      <c r="H205" s="239" t="s">
        <v>928</v>
      </c>
      <c r="I205" s="239" t="s">
        <v>928</v>
      </c>
      <c r="J205" s="239" t="s">
        <v>928</v>
      </c>
      <c r="K205" s="239" t="s">
        <v>2398</v>
      </c>
      <c r="L205" s="239">
        <v>441.68</v>
      </c>
      <c r="M205" s="239">
        <v>0</v>
      </c>
      <c r="N205" s="239">
        <v>0</v>
      </c>
      <c r="O205" s="239">
        <v>0</v>
      </c>
      <c r="P205" s="239">
        <v>0</v>
      </c>
      <c r="Q205" s="239">
        <v>0</v>
      </c>
      <c r="R205" s="239">
        <v>0</v>
      </c>
      <c r="S205" s="239">
        <v>0</v>
      </c>
      <c r="T205" s="239">
        <v>0</v>
      </c>
      <c r="U205" s="239">
        <v>0</v>
      </c>
      <c r="V205" s="239">
        <v>0</v>
      </c>
      <c r="W205" s="239">
        <v>0</v>
      </c>
      <c r="X205" s="239">
        <v>0</v>
      </c>
      <c r="Y205" s="239">
        <v>353.36</v>
      </c>
      <c r="Z205" s="239">
        <v>0</v>
      </c>
      <c r="AA205" s="239">
        <v>0</v>
      </c>
      <c r="AB205" s="239">
        <v>88.32</v>
      </c>
      <c r="AC205" s="239">
        <v>0</v>
      </c>
      <c r="AD205" s="239">
        <v>0</v>
      </c>
      <c r="AE205" s="239" t="s">
        <v>720</v>
      </c>
      <c r="AF205" s="239" t="s">
        <v>721</v>
      </c>
      <c r="AG205" s="239">
        <f t="shared" si="16"/>
        <v>0</v>
      </c>
      <c r="AH205" s="239">
        <f t="shared" si="17"/>
        <v>0</v>
      </c>
      <c r="AI205" s="239">
        <f t="shared" si="18"/>
        <v>0</v>
      </c>
      <c r="AJ205" s="239">
        <f t="shared" si="19"/>
        <v>0</v>
      </c>
    </row>
    <row r="206" spans="1:36" x14ac:dyDescent="0.2">
      <c r="A206" s="240" t="str">
        <f t="shared" si="15"/>
        <v>2SNCF107332K30</v>
      </c>
      <c r="B206" s="239" t="s">
        <v>19</v>
      </c>
      <c r="C206" s="239" t="s">
        <v>20</v>
      </c>
      <c r="D206" s="239" t="s">
        <v>2481</v>
      </c>
      <c r="E206" s="239" t="s">
        <v>2482</v>
      </c>
      <c r="F206" s="239" t="s">
        <v>2496</v>
      </c>
      <c r="G206" s="239">
        <v>30</v>
      </c>
      <c r="H206" s="239" t="s">
        <v>928</v>
      </c>
      <c r="I206" s="239" t="s">
        <v>2484</v>
      </c>
      <c r="J206" s="239" t="s">
        <v>928</v>
      </c>
      <c r="K206" s="239" t="s">
        <v>2398</v>
      </c>
      <c r="L206" s="239">
        <v>641.94000000000005</v>
      </c>
      <c r="M206" s="239">
        <v>0</v>
      </c>
      <c r="N206" s="239">
        <v>0</v>
      </c>
      <c r="O206" s="239">
        <v>0</v>
      </c>
      <c r="P206" s="239">
        <v>0</v>
      </c>
      <c r="Q206" s="239">
        <v>0</v>
      </c>
      <c r="R206" s="239">
        <v>0</v>
      </c>
      <c r="S206" s="239">
        <v>0</v>
      </c>
      <c r="T206" s="239">
        <v>0</v>
      </c>
      <c r="U206" s="239">
        <v>0</v>
      </c>
      <c r="V206" s="239">
        <v>0</v>
      </c>
      <c r="W206" s="239">
        <v>0</v>
      </c>
      <c r="X206" s="239">
        <v>0</v>
      </c>
      <c r="Y206" s="239">
        <v>505.29</v>
      </c>
      <c r="Z206" s="239">
        <v>0</v>
      </c>
      <c r="AA206" s="239">
        <v>0</v>
      </c>
      <c r="AB206" s="239">
        <v>136.65</v>
      </c>
      <c r="AC206" s="239">
        <v>0</v>
      </c>
      <c r="AD206" s="239">
        <v>0</v>
      </c>
      <c r="AE206" s="239" t="s">
        <v>720</v>
      </c>
      <c r="AF206" s="239" t="s">
        <v>721</v>
      </c>
      <c r="AG206" s="239">
        <f t="shared" si="16"/>
        <v>0</v>
      </c>
      <c r="AH206" s="239">
        <f t="shared" si="17"/>
        <v>0</v>
      </c>
      <c r="AI206" s="239">
        <f t="shared" si="18"/>
        <v>0</v>
      </c>
      <c r="AJ206" s="239">
        <f t="shared" si="19"/>
        <v>0</v>
      </c>
    </row>
    <row r="207" spans="1:36" x14ac:dyDescent="0.2">
      <c r="A207" s="240" t="str">
        <f t="shared" si="15"/>
        <v>SNCF107332K30</v>
      </c>
      <c r="B207" s="239" t="s">
        <v>19</v>
      </c>
      <c r="C207" s="239" t="s">
        <v>20</v>
      </c>
      <c r="D207" s="239" t="s">
        <v>2481</v>
      </c>
      <c r="E207" s="239" t="s">
        <v>2482</v>
      </c>
      <c r="F207" s="239" t="s">
        <v>2496</v>
      </c>
      <c r="G207" s="239">
        <v>30</v>
      </c>
      <c r="H207" s="239" t="s">
        <v>928</v>
      </c>
      <c r="I207" s="239" t="s">
        <v>928</v>
      </c>
      <c r="J207" s="239" t="s">
        <v>928</v>
      </c>
      <c r="K207" s="239" t="s">
        <v>2398</v>
      </c>
      <c r="L207" s="239">
        <v>641.94000000000005</v>
      </c>
      <c r="M207" s="239">
        <v>0</v>
      </c>
      <c r="N207" s="239">
        <v>0</v>
      </c>
      <c r="O207" s="239">
        <v>0</v>
      </c>
      <c r="P207" s="239">
        <v>0</v>
      </c>
      <c r="Q207" s="239">
        <v>0</v>
      </c>
      <c r="R207" s="239">
        <v>0</v>
      </c>
      <c r="S207" s="239">
        <v>0</v>
      </c>
      <c r="T207" s="239">
        <v>0</v>
      </c>
      <c r="U207" s="239">
        <v>0</v>
      </c>
      <c r="V207" s="239">
        <v>0</v>
      </c>
      <c r="W207" s="239">
        <v>0</v>
      </c>
      <c r="X207" s="239">
        <v>0</v>
      </c>
      <c r="Y207" s="239">
        <v>505.29</v>
      </c>
      <c r="Z207" s="239">
        <v>0</v>
      </c>
      <c r="AA207" s="239">
        <v>0</v>
      </c>
      <c r="AB207" s="239">
        <v>136.65</v>
      </c>
      <c r="AC207" s="239">
        <v>0</v>
      </c>
      <c r="AD207" s="239">
        <v>0</v>
      </c>
      <c r="AE207" s="239" t="s">
        <v>720</v>
      </c>
      <c r="AF207" s="239" t="s">
        <v>721</v>
      </c>
      <c r="AG207" s="239">
        <f t="shared" si="16"/>
        <v>0</v>
      </c>
      <c r="AH207" s="239">
        <f t="shared" si="17"/>
        <v>0</v>
      </c>
      <c r="AI207" s="239">
        <f t="shared" si="18"/>
        <v>0</v>
      </c>
      <c r="AJ207" s="239">
        <f t="shared" si="19"/>
        <v>0</v>
      </c>
    </row>
    <row r="208" spans="1:36" x14ac:dyDescent="0.2">
      <c r="A208" s="240" t="str">
        <f t="shared" si="15"/>
        <v>2SNCF107332N30</v>
      </c>
      <c r="B208" s="239" t="s">
        <v>19</v>
      </c>
      <c r="C208" s="239" t="s">
        <v>20</v>
      </c>
      <c r="D208" s="239" t="s">
        <v>2481</v>
      </c>
      <c r="E208" s="239" t="s">
        <v>2482</v>
      </c>
      <c r="F208" s="239" t="s">
        <v>2497</v>
      </c>
      <c r="G208" s="239">
        <v>30</v>
      </c>
      <c r="H208" s="239" t="s">
        <v>928</v>
      </c>
      <c r="I208" s="239" t="s">
        <v>2484</v>
      </c>
      <c r="J208" s="239" t="s">
        <v>928</v>
      </c>
      <c r="K208" s="239" t="s">
        <v>2398</v>
      </c>
      <c r="L208" s="239">
        <v>553.99</v>
      </c>
      <c r="M208" s="239">
        <v>0</v>
      </c>
      <c r="N208" s="239">
        <v>0</v>
      </c>
      <c r="O208" s="239">
        <v>0</v>
      </c>
      <c r="P208" s="239">
        <v>0</v>
      </c>
      <c r="Q208" s="239">
        <v>0</v>
      </c>
      <c r="R208" s="239">
        <v>0</v>
      </c>
      <c r="S208" s="239">
        <v>0</v>
      </c>
      <c r="T208" s="239">
        <v>0</v>
      </c>
      <c r="U208" s="239">
        <v>0</v>
      </c>
      <c r="V208" s="239">
        <v>0</v>
      </c>
      <c r="W208" s="239">
        <v>0</v>
      </c>
      <c r="X208" s="239">
        <v>0</v>
      </c>
      <c r="Y208" s="239">
        <v>365.57</v>
      </c>
      <c r="Z208" s="239">
        <v>0</v>
      </c>
      <c r="AA208" s="239">
        <v>0</v>
      </c>
      <c r="AB208" s="239">
        <v>188.41</v>
      </c>
      <c r="AC208" s="239">
        <v>0</v>
      </c>
      <c r="AD208" s="239">
        <v>0</v>
      </c>
      <c r="AE208" s="239" t="s">
        <v>720</v>
      </c>
      <c r="AF208" s="239" t="s">
        <v>721</v>
      </c>
      <c r="AG208" s="239">
        <f t="shared" si="16"/>
        <v>0</v>
      </c>
      <c r="AH208" s="239">
        <f t="shared" si="17"/>
        <v>0</v>
      </c>
      <c r="AI208" s="239">
        <f t="shared" si="18"/>
        <v>0</v>
      </c>
      <c r="AJ208" s="239">
        <f t="shared" si="19"/>
        <v>0</v>
      </c>
    </row>
    <row r="209" spans="1:36" x14ac:dyDescent="0.2">
      <c r="A209" s="240" t="str">
        <f t="shared" si="15"/>
        <v>SNCF107332N30</v>
      </c>
      <c r="B209" s="239" t="s">
        <v>19</v>
      </c>
      <c r="C209" s="239" t="s">
        <v>20</v>
      </c>
      <c r="D209" s="239" t="s">
        <v>2481</v>
      </c>
      <c r="E209" s="239" t="s">
        <v>2482</v>
      </c>
      <c r="F209" s="239" t="s">
        <v>2497</v>
      </c>
      <c r="G209" s="239">
        <v>30</v>
      </c>
      <c r="H209" s="239" t="s">
        <v>928</v>
      </c>
      <c r="I209" s="239" t="s">
        <v>928</v>
      </c>
      <c r="J209" s="239" t="s">
        <v>928</v>
      </c>
      <c r="K209" s="239" t="s">
        <v>2398</v>
      </c>
      <c r="L209" s="239">
        <v>553.99</v>
      </c>
      <c r="M209" s="239">
        <v>0</v>
      </c>
      <c r="N209" s="239">
        <v>0</v>
      </c>
      <c r="O209" s="239">
        <v>0</v>
      </c>
      <c r="P209" s="239">
        <v>0</v>
      </c>
      <c r="Q209" s="239">
        <v>0</v>
      </c>
      <c r="R209" s="239">
        <v>0</v>
      </c>
      <c r="S209" s="239">
        <v>0</v>
      </c>
      <c r="T209" s="239">
        <v>0</v>
      </c>
      <c r="U209" s="239">
        <v>0</v>
      </c>
      <c r="V209" s="239">
        <v>0</v>
      </c>
      <c r="W209" s="239">
        <v>0</v>
      </c>
      <c r="X209" s="239">
        <v>0</v>
      </c>
      <c r="Y209" s="239">
        <v>365.57</v>
      </c>
      <c r="Z209" s="239">
        <v>0</v>
      </c>
      <c r="AA209" s="239">
        <v>0</v>
      </c>
      <c r="AB209" s="239">
        <v>188.41</v>
      </c>
      <c r="AC209" s="239">
        <v>0</v>
      </c>
      <c r="AD209" s="239">
        <v>0</v>
      </c>
      <c r="AE209" s="239" t="s">
        <v>720</v>
      </c>
      <c r="AF209" s="239" t="s">
        <v>721</v>
      </c>
      <c r="AG209" s="239">
        <f t="shared" si="16"/>
        <v>0</v>
      </c>
      <c r="AH209" s="239">
        <f t="shared" si="17"/>
        <v>0</v>
      </c>
      <c r="AI209" s="239">
        <f t="shared" si="18"/>
        <v>0</v>
      </c>
      <c r="AJ209" s="239">
        <f t="shared" si="19"/>
        <v>0</v>
      </c>
    </row>
    <row r="210" spans="1:36" x14ac:dyDescent="0.2">
      <c r="A210" s="240" t="str">
        <f t="shared" si="15"/>
        <v>2SNCF10746170</v>
      </c>
      <c r="B210" s="239" t="s">
        <v>19</v>
      </c>
      <c r="C210" s="239" t="s">
        <v>20</v>
      </c>
      <c r="D210" s="239" t="s">
        <v>2481</v>
      </c>
      <c r="E210" s="239" t="s">
        <v>2482</v>
      </c>
      <c r="F210" s="239" t="s">
        <v>2498</v>
      </c>
      <c r="G210" s="239">
        <v>70</v>
      </c>
      <c r="H210" s="239" t="s">
        <v>928</v>
      </c>
      <c r="I210" s="239" t="s">
        <v>2484</v>
      </c>
      <c r="J210" s="239" t="s">
        <v>928</v>
      </c>
      <c r="K210" s="239" t="s">
        <v>2398</v>
      </c>
      <c r="L210" s="239">
        <v>513.79999999999995</v>
      </c>
      <c r="M210" s="239">
        <v>0</v>
      </c>
      <c r="N210" s="239">
        <v>0</v>
      </c>
      <c r="O210" s="239">
        <v>0</v>
      </c>
      <c r="P210" s="239">
        <v>0</v>
      </c>
      <c r="Q210" s="239">
        <v>0</v>
      </c>
      <c r="R210" s="239">
        <v>0</v>
      </c>
      <c r="S210" s="239">
        <v>0</v>
      </c>
      <c r="T210" s="239">
        <v>0</v>
      </c>
      <c r="U210" s="239">
        <v>0</v>
      </c>
      <c r="V210" s="239">
        <v>0</v>
      </c>
      <c r="W210" s="239">
        <v>0</v>
      </c>
      <c r="X210" s="239">
        <v>0</v>
      </c>
      <c r="Y210" s="239">
        <v>409.05</v>
      </c>
      <c r="Z210" s="239">
        <v>0</v>
      </c>
      <c r="AA210" s="239">
        <v>0</v>
      </c>
      <c r="AB210" s="239">
        <v>104.75</v>
      </c>
      <c r="AC210" s="239">
        <v>0</v>
      </c>
      <c r="AD210" s="239">
        <v>0</v>
      </c>
      <c r="AE210" s="239" t="s">
        <v>720</v>
      </c>
      <c r="AF210" s="239" t="s">
        <v>721</v>
      </c>
      <c r="AG210" s="239">
        <f t="shared" si="16"/>
        <v>0</v>
      </c>
      <c r="AH210" s="239">
        <f t="shared" si="17"/>
        <v>0</v>
      </c>
      <c r="AI210" s="239">
        <f t="shared" si="18"/>
        <v>0</v>
      </c>
      <c r="AJ210" s="239">
        <f t="shared" si="19"/>
        <v>0</v>
      </c>
    </row>
    <row r="211" spans="1:36" x14ac:dyDescent="0.2">
      <c r="A211" s="240" t="str">
        <f t="shared" si="15"/>
        <v>SNCF10746170</v>
      </c>
      <c r="B211" s="239" t="s">
        <v>19</v>
      </c>
      <c r="C211" s="239" t="s">
        <v>20</v>
      </c>
      <c r="D211" s="239" t="s">
        <v>2481</v>
      </c>
      <c r="E211" s="239" t="s">
        <v>2482</v>
      </c>
      <c r="F211" s="239" t="s">
        <v>2498</v>
      </c>
      <c r="G211" s="239">
        <v>70</v>
      </c>
      <c r="H211" s="239" t="s">
        <v>928</v>
      </c>
      <c r="I211" s="239" t="s">
        <v>928</v>
      </c>
      <c r="J211" s="239" t="s">
        <v>928</v>
      </c>
      <c r="K211" s="239" t="s">
        <v>2398</v>
      </c>
      <c r="L211" s="239">
        <v>513.79999999999995</v>
      </c>
      <c r="M211" s="239">
        <v>0</v>
      </c>
      <c r="N211" s="239">
        <v>0</v>
      </c>
      <c r="O211" s="239">
        <v>0</v>
      </c>
      <c r="P211" s="239">
        <v>0</v>
      </c>
      <c r="Q211" s="239">
        <v>0</v>
      </c>
      <c r="R211" s="239">
        <v>0</v>
      </c>
      <c r="S211" s="239">
        <v>0</v>
      </c>
      <c r="T211" s="239">
        <v>0</v>
      </c>
      <c r="U211" s="239">
        <v>0</v>
      </c>
      <c r="V211" s="239">
        <v>0</v>
      </c>
      <c r="W211" s="239">
        <v>0</v>
      </c>
      <c r="X211" s="239">
        <v>0</v>
      </c>
      <c r="Y211" s="239">
        <v>409.05</v>
      </c>
      <c r="Z211" s="239">
        <v>0</v>
      </c>
      <c r="AA211" s="239">
        <v>0</v>
      </c>
      <c r="AB211" s="239">
        <v>104.75</v>
      </c>
      <c r="AC211" s="239">
        <v>0</v>
      </c>
      <c r="AD211" s="239">
        <v>0</v>
      </c>
      <c r="AE211" s="239" t="s">
        <v>720</v>
      </c>
      <c r="AF211" s="239" t="s">
        <v>721</v>
      </c>
      <c r="AG211" s="239">
        <f t="shared" si="16"/>
        <v>0</v>
      </c>
      <c r="AH211" s="239">
        <f t="shared" si="17"/>
        <v>0</v>
      </c>
      <c r="AI211" s="239">
        <f t="shared" si="18"/>
        <v>0</v>
      </c>
      <c r="AJ211" s="239">
        <f t="shared" si="19"/>
        <v>0</v>
      </c>
    </row>
    <row r="212" spans="1:36" x14ac:dyDescent="0.2">
      <c r="A212" s="240" t="str">
        <f t="shared" si="15"/>
        <v>2SNCF10753130</v>
      </c>
      <c r="B212" s="239" t="s">
        <v>19</v>
      </c>
      <c r="C212" s="239" t="s">
        <v>20</v>
      </c>
      <c r="D212" s="239" t="s">
        <v>2481</v>
      </c>
      <c r="E212" s="239" t="s">
        <v>2482</v>
      </c>
      <c r="F212" s="239" t="s">
        <v>2499</v>
      </c>
      <c r="G212" s="239">
        <v>30</v>
      </c>
      <c r="H212" s="239" t="s">
        <v>928</v>
      </c>
      <c r="I212" s="239" t="s">
        <v>2484</v>
      </c>
      <c r="J212" s="239" t="s">
        <v>928</v>
      </c>
      <c r="K212" s="239" t="s">
        <v>2398</v>
      </c>
      <c r="L212" s="239">
        <v>431.46</v>
      </c>
      <c r="M212" s="239">
        <v>0</v>
      </c>
      <c r="N212" s="239">
        <v>0</v>
      </c>
      <c r="O212" s="239">
        <v>0</v>
      </c>
      <c r="P212" s="239">
        <v>0</v>
      </c>
      <c r="Q212" s="239">
        <v>0</v>
      </c>
      <c r="R212" s="239">
        <v>0</v>
      </c>
      <c r="S212" s="239">
        <v>0</v>
      </c>
      <c r="T212" s="239">
        <v>0</v>
      </c>
      <c r="U212" s="239">
        <v>0</v>
      </c>
      <c r="V212" s="239">
        <v>0</v>
      </c>
      <c r="W212" s="239">
        <v>0</v>
      </c>
      <c r="X212" s="239">
        <v>0</v>
      </c>
      <c r="Y212" s="239">
        <v>340.5</v>
      </c>
      <c r="Z212" s="239">
        <v>0</v>
      </c>
      <c r="AA212" s="239">
        <v>0</v>
      </c>
      <c r="AB212" s="239">
        <v>90.96</v>
      </c>
      <c r="AC212" s="239">
        <v>0</v>
      </c>
      <c r="AD212" s="239">
        <v>0</v>
      </c>
      <c r="AE212" s="239" t="s">
        <v>720</v>
      </c>
      <c r="AF212" s="239" t="s">
        <v>721</v>
      </c>
      <c r="AG212" s="239">
        <f t="shared" si="16"/>
        <v>0</v>
      </c>
      <c r="AH212" s="239">
        <f t="shared" si="17"/>
        <v>0</v>
      </c>
      <c r="AI212" s="239">
        <f t="shared" si="18"/>
        <v>0</v>
      </c>
      <c r="AJ212" s="239">
        <f t="shared" si="19"/>
        <v>0</v>
      </c>
    </row>
    <row r="213" spans="1:36" x14ac:dyDescent="0.2">
      <c r="A213" s="240" t="str">
        <f t="shared" si="15"/>
        <v>SNCF10753130</v>
      </c>
      <c r="B213" s="239" t="s">
        <v>19</v>
      </c>
      <c r="C213" s="239" t="s">
        <v>20</v>
      </c>
      <c r="D213" s="239" t="s">
        <v>2481</v>
      </c>
      <c r="E213" s="239" t="s">
        <v>2482</v>
      </c>
      <c r="F213" s="239" t="s">
        <v>2499</v>
      </c>
      <c r="G213" s="239">
        <v>30</v>
      </c>
      <c r="H213" s="239" t="s">
        <v>928</v>
      </c>
      <c r="I213" s="239" t="s">
        <v>928</v>
      </c>
      <c r="J213" s="239" t="s">
        <v>928</v>
      </c>
      <c r="K213" s="239" t="s">
        <v>2398</v>
      </c>
      <c r="L213" s="239">
        <v>431.46</v>
      </c>
      <c r="M213" s="239">
        <v>0</v>
      </c>
      <c r="N213" s="239">
        <v>0</v>
      </c>
      <c r="O213" s="239">
        <v>0</v>
      </c>
      <c r="P213" s="239">
        <v>0</v>
      </c>
      <c r="Q213" s="239">
        <v>0</v>
      </c>
      <c r="R213" s="239">
        <v>0</v>
      </c>
      <c r="S213" s="239">
        <v>0</v>
      </c>
      <c r="T213" s="239">
        <v>0</v>
      </c>
      <c r="U213" s="239">
        <v>0</v>
      </c>
      <c r="V213" s="239">
        <v>0</v>
      </c>
      <c r="W213" s="239">
        <v>0</v>
      </c>
      <c r="X213" s="239">
        <v>0</v>
      </c>
      <c r="Y213" s="239">
        <v>340.5</v>
      </c>
      <c r="Z213" s="239">
        <v>0</v>
      </c>
      <c r="AA213" s="239">
        <v>0</v>
      </c>
      <c r="AB213" s="239">
        <v>90.96</v>
      </c>
      <c r="AC213" s="239">
        <v>0</v>
      </c>
      <c r="AD213" s="239">
        <v>0</v>
      </c>
      <c r="AE213" s="239" t="s">
        <v>720</v>
      </c>
      <c r="AF213" s="239" t="s">
        <v>721</v>
      </c>
      <c r="AG213" s="239">
        <f t="shared" si="16"/>
        <v>0</v>
      </c>
      <c r="AH213" s="239">
        <f t="shared" si="17"/>
        <v>0</v>
      </c>
      <c r="AI213" s="239">
        <f t="shared" si="18"/>
        <v>0</v>
      </c>
      <c r="AJ213" s="239">
        <f t="shared" si="19"/>
        <v>0</v>
      </c>
    </row>
    <row r="214" spans="1:36" x14ac:dyDescent="0.2">
      <c r="A214" s="240" t="str">
        <f t="shared" si="15"/>
        <v>2SNCF10753150</v>
      </c>
      <c r="B214" s="239" t="s">
        <v>19</v>
      </c>
      <c r="C214" s="239" t="s">
        <v>20</v>
      </c>
      <c r="D214" s="239" t="s">
        <v>2481</v>
      </c>
      <c r="E214" s="239" t="s">
        <v>2482</v>
      </c>
      <c r="F214" s="239" t="s">
        <v>2499</v>
      </c>
      <c r="G214" s="239">
        <v>50</v>
      </c>
      <c r="H214" s="239" t="s">
        <v>928</v>
      </c>
      <c r="I214" s="239" t="s">
        <v>2484</v>
      </c>
      <c r="J214" s="239" t="s">
        <v>928</v>
      </c>
      <c r="K214" s="239" t="s">
        <v>2398</v>
      </c>
      <c r="L214" s="239">
        <v>496.32</v>
      </c>
      <c r="M214" s="239">
        <v>0</v>
      </c>
      <c r="N214" s="239">
        <v>0</v>
      </c>
      <c r="O214" s="239">
        <v>0</v>
      </c>
      <c r="P214" s="239">
        <v>0</v>
      </c>
      <c r="Q214" s="239">
        <v>0</v>
      </c>
      <c r="R214" s="239">
        <v>0</v>
      </c>
      <c r="S214" s="239">
        <v>0</v>
      </c>
      <c r="T214" s="239">
        <v>0</v>
      </c>
      <c r="U214" s="239">
        <v>0</v>
      </c>
      <c r="V214" s="239">
        <v>0</v>
      </c>
      <c r="W214" s="239">
        <v>0</v>
      </c>
      <c r="X214" s="239">
        <v>0</v>
      </c>
      <c r="Y214" s="239">
        <v>397.83</v>
      </c>
      <c r="Z214" s="239">
        <v>0</v>
      </c>
      <c r="AA214" s="239">
        <v>0</v>
      </c>
      <c r="AB214" s="239">
        <v>98.49</v>
      </c>
      <c r="AC214" s="239">
        <v>0</v>
      </c>
      <c r="AD214" s="239">
        <v>0</v>
      </c>
      <c r="AE214" s="239" t="s">
        <v>720</v>
      </c>
      <c r="AF214" s="239" t="s">
        <v>721</v>
      </c>
      <c r="AG214" s="239">
        <f t="shared" si="16"/>
        <v>0</v>
      </c>
      <c r="AH214" s="239">
        <f t="shared" si="17"/>
        <v>0</v>
      </c>
      <c r="AI214" s="239">
        <f t="shared" si="18"/>
        <v>0</v>
      </c>
      <c r="AJ214" s="239">
        <f t="shared" si="19"/>
        <v>0</v>
      </c>
    </row>
    <row r="215" spans="1:36" x14ac:dyDescent="0.2">
      <c r="A215" s="240" t="str">
        <f t="shared" si="15"/>
        <v>SNCF10753150</v>
      </c>
      <c r="B215" s="239" t="s">
        <v>19</v>
      </c>
      <c r="C215" s="239" t="s">
        <v>20</v>
      </c>
      <c r="D215" s="239" t="s">
        <v>2481</v>
      </c>
      <c r="E215" s="239" t="s">
        <v>2482</v>
      </c>
      <c r="F215" s="239" t="s">
        <v>2499</v>
      </c>
      <c r="G215" s="239">
        <v>50</v>
      </c>
      <c r="H215" s="239" t="s">
        <v>928</v>
      </c>
      <c r="I215" s="239" t="s">
        <v>928</v>
      </c>
      <c r="J215" s="239" t="s">
        <v>928</v>
      </c>
      <c r="K215" s="239" t="s">
        <v>2398</v>
      </c>
      <c r="L215" s="239">
        <v>496.32</v>
      </c>
      <c r="M215" s="239">
        <v>0</v>
      </c>
      <c r="N215" s="239">
        <v>0</v>
      </c>
      <c r="O215" s="239">
        <v>0</v>
      </c>
      <c r="P215" s="239">
        <v>0</v>
      </c>
      <c r="Q215" s="239">
        <v>0</v>
      </c>
      <c r="R215" s="239">
        <v>0</v>
      </c>
      <c r="S215" s="239">
        <v>0</v>
      </c>
      <c r="T215" s="239">
        <v>0</v>
      </c>
      <c r="U215" s="239">
        <v>0</v>
      </c>
      <c r="V215" s="239">
        <v>0</v>
      </c>
      <c r="W215" s="239">
        <v>0</v>
      </c>
      <c r="X215" s="239">
        <v>0</v>
      </c>
      <c r="Y215" s="239">
        <v>397.83</v>
      </c>
      <c r="Z215" s="239">
        <v>0</v>
      </c>
      <c r="AA215" s="239">
        <v>0</v>
      </c>
      <c r="AB215" s="239">
        <v>98.49</v>
      </c>
      <c r="AC215" s="239">
        <v>0</v>
      </c>
      <c r="AD215" s="239">
        <v>0</v>
      </c>
      <c r="AE215" s="239" t="s">
        <v>720</v>
      </c>
      <c r="AF215" s="239" t="s">
        <v>721</v>
      </c>
      <c r="AG215" s="239">
        <f t="shared" si="16"/>
        <v>0</v>
      </c>
      <c r="AH215" s="239">
        <f t="shared" si="17"/>
        <v>0</v>
      </c>
      <c r="AI215" s="239">
        <f t="shared" si="18"/>
        <v>0</v>
      </c>
      <c r="AJ215" s="239">
        <f t="shared" si="19"/>
        <v>0</v>
      </c>
    </row>
    <row r="216" spans="1:36" x14ac:dyDescent="0.2">
      <c r="A216" s="240" t="str">
        <f t="shared" si="15"/>
        <v>2SNCF107531D30</v>
      </c>
      <c r="B216" s="239" t="s">
        <v>19</v>
      </c>
      <c r="C216" s="239" t="s">
        <v>20</v>
      </c>
      <c r="D216" s="239" t="s">
        <v>2481</v>
      </c>
      <c r="E216" s="239" t="s">
        <v>2482</v>
      </c>
      <c r="F216" s="239" t="s">
        <v>2500</v>
      </c>
      <c r="G216" s="239">
        <v>30</v>
      </c>
      <c r="H216" s="239" t="s">
        <v>928</v>
      </c>
      <c r="I216" s="239" t="s">
        <v>2484</v>
      </c>
      <c r="J216" s="239" t="s">
        <v>928</v>
      </c>
      <c r="K216" s="239" t="s">
        <v>2398</v>
      </c>
      <c r="L216" s="239">
        <v>431.87</v>
      </c>
      <c r="M216" s="239">
        <v>0</v>
      </c>
      <c r="N216" s="239">
        <v>0</v>
      </c>
      <c r="O216" s="239">
        <v>0</v>
      </c>
      <c r="P216" s="239">
        <v>0</v>
      </c>
      <c r="Q216" s="239">
        <v>0</v>
      </c>
      <c r="R216" s="239">
        <v>0</v>
      </c>
      <c r="S216" s="239">
        <v>0</v>
      </c>
      <c r="T216" s="239">
        <v>0</v>
      </c>
      <c r="U216" s="239">
        <v>0</v>
      </c>
      <c r="V216" s="239">
        <v>0</v>
      </c>
      <c r="W216" s="239">
        <v>0</v>
      </c>
      <c r="X216" s="239">
        <v>0</v>
      </c>
      <c r="Y216" s="239">
        <v>329.48</v>
      </c>
      <c r="Z216" s="239">
        <v>0</v>
      </c>
      <c r="AA216" s="239">
        <v>0</v>
      </c>
      <c r="AB216" s="239">
        <v>102.39</v>
      </c>
      <c r="AC216" s="239">
        <v>0</v>
      </c>
      <c r="AD216" s="239">
        <v>0</v>
      </c>
      <c r="AE216" s="239" t="s">
        <v>720</v>
      </c>
      <c r="AF216" s="239" t="s">
        <v>721</v>
      </c>
      <c r="AG216" s="239">
        <f t="shared" si="16"/>
        <v>0</v>
      </c>
      <c r="AH216" s="239">
        <f t="shared" si="17"/>
        <v>0</v>
      </c>
      <c r="AI216" s="239">
        <f t="shared" si="18"/>
        <v>0</v>
      </c>
      <c r="AJ216" s="239">
        <f t="shared" si="19"/>
        <v>0</v>
      </c>
    </row>
    <row r="217" spans="1:36" x14ac:dyDescent="0.2">
      <c r="A217" s="240" t="str">
        <f t="shared" si="15"/>
        <v>SNCF107531D30</v>
      </c>
      <c r="B217" s="239" t="s">
        <v>19</v>
      </c>
      <c r="C217" s="239" t="s">
        <v>20</v>
      </c>
      <c r="D217" s="239" t="s">
        <v>2481</v>
      </c>
      <c r="E217" s="239" t="s">
        <v>2482</v>
      </c>
      <c r="F217" s="239" t="s">
        <v>2500</v>
      </c>
      <c r="G217" s="239">
        <v>30</v>
      </c>
      <c r="H217" s="239" t="s">
        <v>928</v>
      </c>
      <c r="I217" s="239" t="s">
        <v>928</v>
      </c>
      <c r="J217" s="239" t="s">
        <v>928</v>
      </c>
      <c r="K217" s="239" t="s">
        <v>2398</v>
      </c>
      <c r="L217" s="239">
        <v>431.87</v>
      </c>
      <c r="M217" s="239">
        <v>0</v>
      </c>
      <c r="N217" s="239">
        <v>0</v>
      </c>
      <c r="O217" s="239">
        <v>0</v>
      </c>
      <c r="P217" s="239">
        <v>0</v>
      </c>
      <c r="Q217" s="239">
        <v>0</v>
      </c>
      <c r="R217" s="239">
        <v>0</v>
      </c>
      <c r="S217" s="239">
        <v>0</v>
      </c>
      <c r="T217" s="239">
        <v>0</v>
      </c>
      <c r="U217" s="239">
        <v>0</v>
      </c>
      <c r="V217" s="239">
        <v>0</v>
      </c>
      <c r="W217" s="239">
        <v>0</v>
      </c>
      <c r="X217" s="239">
        <v>0</v>
      </c>
      <c r="Y217" s="239">
        <v>329.48</v>
      </c>
      <c r="Z217" s="239">
        <v>0</v>
      </c>
      <c r="AA217" s="239">
        <v>0</v>
      </c>
      <c r="AB217" s="239">
        <v>102.39</v>
      </c>
      <c r="AC217" s="239">
        <v>0</v>
      </c>
      <c r="AD217" s="239">
        <v>0</v>
      </c>
      <c r="AE217" s="239" t="s">
        <v>720</v>
      </c>
      <c r="AF217" s="239" t="s">
        <v>721</v>
      </c>
      <c r="AG217" s="239">
        <f t="shared" si="16"/>
        <v>0</v>
      </c>
      <c r="AH217" s="239">
        <f t="shared" si="17"/>
        <v>0</v>
      </c>
      <c r="AI217" s="239">
        <f t="shared" si="18"/>
        <v>0</v>
      </c>
      <c r="AJ217" s="239">
        <f t="shared" si="19"/>
        <v>0</v>
      </c>
    </row>
    <row r="218" spans="1:36" x14ac:dyDescent="0.2">
      <c r="A218" s="240" t="str">
        <f t="shared" si="15"/>
        <v>2SNCF107531D40</v>
      </c>
      <c r="B218" s="239" t="s">
        <v>19</v>
      </c>
      <c r="C218" s="239" t="s">
        <v>20</v>
      </c>
      <c r="D218" s="239" t="s">
        <v>2481</v>
      </c>
      <c r="E218" s="239" t="s">
        <v>2482</v>
      </c>
      <c r="F218" s="239" t="s">
        <v>2500</v>
      </c>
      <c r="G218" s="239">
        <v>40</v>
      </c>
      <c r="H218" s="239" t="s">
        <v>928</v>
      </c>
      <c r="I218" s="239" t="s">
        <v>2484</v>
      </c>
      <c r="J218" s="239" t="s">
        <v>928</v>
      </c>
      <c r="K218" s="239" t="s">
        <v>2398</v>
      </c>
      <c r="L218" s="239">
        <v>397.71</v>
      </c>
      <c r="M218" s="239">
        <v>0</v>
      </c>
      <c r="N218" s="239">
        <v>0</v>
      </c>
      <c r="O218" s="239">
        <v>0</v>
      </c>
      <c r="P218" s="239">
        <v>0</v>
      </c>
      <c r="Q218" s="239">
        <v>0</v>
      </c>
      <c r="R218" s="239">
        <v>0</v>
      </c>
      <c r="S218" s="239">
        <v>0</v>
      </c>
      <c r="T218" s="239">
        <v>0</v>
      </c>
      <c r="U218" s="239">
        <v>0</v>
      </c>
      <c r="V218" s="239">
        <v>0</v>
      </c>
      <c r="W218" s="239">
        <v>0</v>
      </c>
      <c r="X218" s="239">
        <v>0</v>
      </c>
      <c r="Y218" s="239">
        <v>313.35000000000002</v>
      </c>
      <c r="Z218" s="239">
        <v>0</v>
      </c>
      <c r="AA218" s="239">
        <v>0</v>
      </c>
      <c r="AB218" s="239">
        <v>84.36</v>
      </c>
      <c r="AC218" s="239">
        <v>0</v>
      </c>
      <c r="AD218" s="239">
        <v>0</v>
      </c>
      <c r="AE218" s="239" t="s">
        <v>720</v>
      </c>
      <c r="AF218" s="239" t="s">
        <v>721</v>
      </c>
      <c r="AG218" s="239">
        <f t="shared" si="16"/>
        <v>0</v>
      </c>
      <c r="AH218" s="239">
        <f t="shared" si="17"/>
        <v>0</v>
      </c>
      <c r="AI218" s="239">
        <f t="shared" si="18"/>
        <v>0</v>
      </c>
      <c r="AJ218" s="239">
        <f t="shared" si="19"/>
        <v>0</v>
      </c>
    </row>
    <row r="219" spans="1:36" x14ac:dyDescent="0.2">
      <c r="A219" s="240" t="str">
        <f t="shared" si="15"/>
        <v>SNCF107531D40</v>
      </c>
      <c r="B219" s="239" t="s">
        <v>19</v>
      </c>
      <c r="C219" s="239" t="s">
        <v>20</v>
      </c>
      <c r="D219" s="239" t="s">
        <v>2481</v>
      </c>
      <c r="E219" s="239" t="s">
        <v>2482</v>
      </c>
      <c r="F219" s="239" t="s">
        <v>2500</v>
      </c>
      <c r="G219" s="239">
        <v>40</v>
      </c>
      <c r="H219" s="239" t="s">
        <v>928</v>
      </c>
      <c r="I219" s="239" t="s">
        <v>928</v>
      </c>
      <c r="J219" s="239" t="s">
        <v>928</v>
      </c>
      <c r="K219" s="239" t="s">
        <v>2398</v>
      </c>
      <c r="L219" s="239">
        <v>397.71</v>
      </c>
      <c r="M219" s="239">
        <v>0</v>
      </c>
      <c r="N219" s="239">
        <v>0</v>
      </c>
      <c r="O219" s="239">
        <v>0</v>
      </c>
      <c r="P219" s="239">
        <v>0</v>
      </c>
      <c r="Q219" s="239">
        <v>0</v>
      </c>
      <c r="R219" s="239">
        <v>0</v>
      </c>
      <c r="S219" s="239">
        <v>0</v>
      </c>
      <c r="T219" s="239">
        <v>0</v>
      </c>
      <c r="U219" s="239">
        <v>0</v>
      </c>
      <c r="V219" s="239">
        <v>0</v>
      </c>
      <c r="W219" s="239">
        <v>0</v>
      </c>
      <c r="X219" s="239">
        <v>0</v>
      </c>
      <c r="Y219" s="239">
        <v>313.35000000000002</v>
      </c>
      <c r="Z219" s="239">
        <v>0</v>
      </c>
      <c r="AA219" s="239">
        <v>0</v>
      </c>
      <c r="AB219" s="239">
        <v>84.36</v>
      </c>
      <c r="AC219" s="239">
        <v>0</v>
      </c>
      <c r="AD219" s="239">
        <v>0</v>
      </c>
      <c r="AE219" s="239" t="s">
        <v>720</v>
      </c>
      <c r="AF219" s="239" t="s">
        <v>721</v>
      </c>
      <c r="AG219" s="239">
        <f t="shared" si="16"/>
        <v>0</v>
      </c>
      <c r="AH219" s="239">
        <f t="shared" si="17"/>
        <v>0</v>
      </c>
      <c r="AI219" s="239">
        <f t="shared" si="18"/>
        <v>0</v>
      </c>
      <c r="AJ219" s="239">
        <f t="shared" si="19"/>
        <v>0</v>
      </c>
    </row>
    <row r="220" spans="1:36" x14ac:dyDescent="0.2">
      <c r="A220" s="240" t="str">
        <f t="shared" si="15"/>
        <v>2SNCF107536DG30</v>
      </c>
      <c r="B220" s="239" t="s">
        <v>19</v>
      </c>
      <c r="C220" s="239" t="s">
        <v>20</v>
      </c>
      <c r="D220" s="239" t="s">
        <v>2481</v>
      </c>
      <c r="E220" s="239" t="s">
        <v>2482</v>
      </c>
      <c r="F220" s="239" t="s">
        <v>2501</v>
      </c>
      <c r="G220" s="239">
        <v>30</v>
      </c>
      <c r="H220" s="239" t="s">
        <v>928</v>
      </c>
      <c r="I220" s="239" t="s">
        <v>2484</v>
      </c>
      <c r="J220" s="239" t="s">
        <v>928</v>
      </c>
      <c r="K220" s="239" t="s">
        <v>2398</v>
      </c>
      <c r="L220" s="239">
        <v>481.55</v>
      </c>
      <c r="M220" s="239">
        <v>0</v>
      </c>
      <c r="N220" s="239">
        <v>0</v>
      </c>
      <c r="O220" s="239">
        <v>0</v>
      </c>
      <c r="P220" s="239">
        <v>0</v>
      </c>
      <c r="Q220" s="239">
        <v>0</v>
      </c>
      <c r="R220" s="239">
        <v>0</v>
      </c>
      <c r="S220" s="239">
        <v>0</v>
      </c>
      <c r="T220" s="239">
        <v>0</v>
      </c>
      <c r="U220" s="239">
        <v>0</v>
      </c>
      <c r="V220" s="239">
        <v>0</v>
      </c>
      <c r="W220" s="239">
        <v>0</v>
      </c>
      <c r="X220" s="239">
        <v>0</v>
      </c>
      <c r="Y220" s="239">
        <v>367.61</v>
      </c>
      <c r="Z220" s="239">
        <v>0</v>
      </c>
      <c r="AA220" s="239">
        <v>0</v>
      </c>
      <c r="AB220" s="239">
        <v>113.94</v>
      </c>
      <c r="AC220" s="239">
        <v>0</v>
      </c>
      <c r="AD220" s="239">
        <v>0</v>
      </c>
      <c r="AE220" s="239" t="s">
        <v>720</v>
      </c>
      <c r="AF220" s="239" t="s">
        <v>721</v>
      </c>
      <c r="AG220" s="239">
        <f t="shared" si="16"/>
        <v>0</v>
      </c>
      <c r="AH220" s="239">
        <f t="shared" si="17"/>
        <v>0</v>
      </c>
      <c r="AI220" s="239">
        <f t="shared" si="18"/>
        <v>0</v>
      </c>
      <c r="AJ220" s="239">
        <f t="shared" si="19"/>
        <v>0</v>
      </c>
    </row>
    <row r="221" spans="1:36" x14ac:dyDescent="0.2">
      <c r="A221" s="240" t="str">
        <f t="shared" si="15"/>
        <v>SNCF107536DG30</v>
      </c>
      <c r="B221" s="239" t="s">
        <v>19</v>
      </c>
      <c r="C221" s="239" t="s">
        <v>20</v>
      </c>
      <c r="D221" s="239" t="s">
        <v>2481</v>
      </c>
      <c r="E221" s="239" t="s">
        <v>2482</v>
      </c>
      <c r="F221" s="239" t="s">
        <v>2501</v>
      </c>
      <c r="G221" s="239">
        <v>30</v>
      </c>
      <c r="H221" s="239" t="s">
        <v>928</v>
      </c>
      <c r="I221" s="239" t="s">
        <v>928</v>
      </c>
      <c r="J221" s="239" t="s">
        <v>928</v>
      </c>
      <c r="K221" s="239" t="s">
        <v>2398</v>
      </c>
      <c r="L221" s="239">
        <v>481.55</v>
      </c>
      <c r="M221" s="239">
        <v>0</v>
      </c>
      <c r="N221" s="239">
        <v>0</v>
      </c>
      <c r="O221" s="239">
        <v>0</v>
      </c>
      <c r="P221" s="239">
        <v>0</v>
      </c>
      <c r="Q221" s="239">
        <v>0</v>
      </c>
      <c r="R221" s="239">
        <v>0</v>
      </c>
      <c r="S221" s="239">
        <v>0</v>
      </c>
      <c r="T221" s="239">
        <v>0</v>
      </c>
      <c r="U221" s="239">
        <v>0</v>
      </c>
      <c r="V221" s="239">
        <v>0</v>
      </c>
      <c r="W221" s="239">
        <v>0</v>
      </c>
      <c r="X221" s="239">
        <v>0</v>
      </c>
      <c r="Y221" s="239">
        <v>367.61</v>
      </c>
      <c r="Z221" s="239">
        <v>0</v>
      </c>
      <c r="AA221" s="239">
        <v>0</v>
      </c>
      <c r="AB221" s="239">
        <v>113.94</v>
      </c>
      <c r="AC221" s="239">
        <v>0</v>
      </c>
      <c r="AD221" s="239">
        <v>0</v>
      </c>
      <c r="AE221" s="239" t="s">
        <v>720</v>
      </c>
      <c r="AF221" s="239" t="s">
        <v>721</v>
      </c>
      <c r="AG221" s="239">
        <f t="shared" si="16"/>
        <v>0</v>
      </c>
      <c r="AH221" s="239">
        <f t="shared" si="17"/>
        <v>0</v>
      </c>
      <c r="AI221" s="239">
        <f t="shared" si="18"/>
        <v>0</v>
      </c>
      <c r="AJ221" s="239">
        <f t="shared" si="19"/>
        <v>0</v>
      </c>
    </row>
    <row r="222" spans="1:36" x14ac:dyDescent="0.2">
      <c r="A222" s="240" t="str">
        <f t="shared" si="15"/>
        <v>2SNCF107536G30</v>
      </c>
      <c r="B222" s="239" t="s">
        <v>19</v>
      </c>
      <c r="C222" s="239" t="s">
        <v>20</v>
      </c>
      <c r="D222" s="239" t="s">
        <v>2481</v>
      </c>
      <c r="E222" s="239" t="s">
        <v>2482</v>
      </c>
      <c r="F222" s="239" t="s">
        <v>2502</v>
      </c>
      <c r="G222" s="239">
        <v>30</v>
      </c>
      <c r="H222" s="239" t="s">
        <v>928</v>
      </c>
      <c r="I222" s="239" t="s">
        <v>2484</v>
      </c>
      <c r="J222" s="239" t="s">
        <v>928</v>
      </c>
      <c r="K222" s="239" t="s">
        <v>2398</v>
      </c>
      <c r="L222" s="239">
        <v>471</v>
      </c>
      <c r="M222" s="239">
        <v>0</v>
      </c>
      <c r="N222" s="239">
        <v>0</v>
      </c>
      <c r="O222" s="239">
        <v>0</v>
      </c>
      <c r="P222" s="239">
        <v>0</v>
      </c>
      <c r="Q222" s="239">
        <v>0</v>
      </c>
      <c r="R222" s="239">
        <v>0</v>
      </c>
      <c r="S222" s="239">
        <v>0</v>
      </c>
      <c r="T222" s="239">
        <v>0</v>
      </c>
      <c r="U222" s="239">
        <v>0</v>
      </c>
      <c r="V222" s="239">
        <v>0</v>
      </c>
      <c r="W222" s="239">
        <v>0</v>
      </c>
      <c r="X222" s="239">
        <v>0</v>
      </c>
      <c r="Y222" s="239">
        <v>375.41</v>
      </c>
      <c r="Z222" s="239">
        <v>0</v>
      </c>
      <c r="AA222" s="239">
        <v>0</v>
      </c>
      <c r="AB222" s="239">
        <v>95.6</v>
      </c>
      <c r="AC222" s="239">
        <v>0</v>
      </c>
      <c r="AD222" s="239">
        <v>0</v>
      </c>
      <c r="AE222" s="239" t="s">
        <v>720</v>
      </c>
      <c r="AF222" s="239" t="s">
        <v>721</v>
      </c>
      <c r="AG222" s="239">
        <f t="shared" si="16"/>
        <v>0</v>
      </c>
      <c r="AH222" s="239">
        <f t="shared" si="17"/>
        <v>0</v>
      </c>
      <c r="AI222" s="239">
        <f t="shared" si="18"/>
        <v>0</v>
      </c>
      <c r="AJ222" s="239">
        <f t="shared" si="19"/>
        <v>0</v>
      </c>
    </row>
    <row r="223" spans="1:36" x14ac:dyDescent="0.2">
      <c r="A223" s="240" t="str">
        <f t="shared" si="15"/>
        <v>SNCF107536G30</v>
      </c>
      <c r="B223" s="239" t="s">
        <v>19</v>
      </c>
      <c r="C223" s="239" t="s">
        <v>20</v>
      </c>
      <c r="D223" s="239" t="s">
        <v>2481</v>
      </c>
      <c r="E223" s="239" t="s">
        <v>2482</v>
      </c>
      <c r="F223" s="239" t="s">
        <v>2502</v>
      </c>
      <c r="G223" s="239">
        <v>30</v>
      </c>
      <c r="H223" s="239" t="s">
        <v>928</v>
      </c>
      <c r="I223" s="239" t="s">
        <v>928</v>
      </c>
      <c r="J223" s="239" t="s">
        <v>928</v>
      </c>
      <c r="K223" s="239" t="s">
        <v>2398</v>
      </c>
      <c r="L223" s="239">
        <v>471</v>
      </c>
      <c r="M223" s="239">
        <v>0</v>
      </c>
      <c r="N223" s="239">
        <v>0</v>
      </c>
      <c r="O223" s="239">
        <v>0</v>
      </c>
      <c r="P223" s="239">
        <v>0</v>
      </c>
      <c r="Q223" s="239">
        <v>0</v>
      </c>
      <c r="R223" s="239">
        <v>0</v>
      </c>
      <c r="S223" s="239">
        <v>0</v>
      </c>
      <c r="T223" s="239">
        <v>0</v>
      </c>
      <c r="U223" s="239">
        <v>0</v>
      </c>
      <c r="V223" s="239">
        <v>0</v>
      </c>
      <c r="W223" s="239">
        <v>0</v>
      </c>
      <c r="X223" s="239">
        <v>0</v>
      </c>
      <c r="Y223" s="239">
        <v>375.41</v>
      </c>
      <c r="Z223" s="239">
        <v>0</v>
      </c>
      <c r="AA223" s="239">
        <v>0</v>
      </c>
      <c r="AB223" s="239">
        <v>95.6</v>
      </c>
      <c r="AC223" s="239">
        <v>0</v>
      </c>
      <c r="AD223" s="239">
        <v>0</v>
      </c>
      <c r="AE223" s="239" t="s">
        <v>720</v>
      </c>
      <c r="AF223" s="239" t="s">
        <v>721</v>
      </c>
      <c r="AG223" s="239">
        <f t="shared" si="16"/>
        <v>0</v>
      </c>
      <c r="AH223" s="239">
        <f t="shared" si="17"/>
        <v>0</v>
      </c>
      <c r="AI223" s="239">
        <f t="shared" si="18"/>
        <v>0</v>
      </c>
      <c r="AJ223" s="239">
        <f t="shared" si="19"/>
        <v>0</v>
      </c>
    </row>
    <row r="224" spans="1:36" x14ac:dyDescent="0.2">
      <c r="A224" s="240" t="str">
        <f t="shared" si="15"/>
        <v>2SNCF10757150</v>
      </c>
      <c r="B224" s="239" t="s">
        <v>19</v>
      </c>
      <c r="C224" s="239" t="s">
        <v>20</v>
      </c>
      <c r="D224" s="239" t="s">
        <v>2481</v>
      </c>
      <c r="E224" s="239" t="s">
        <v>2482</v>
      </c>
      <c r="F224" s="239" t="s">
        <v>2503</v>
      </c>
      <c r="G224" s="239">
        <v>50</v>
      </c>
      <c r="H224" s="239" t="s">
        <v>928</v>
      </c>
      <c r="I224" s="239" t="s">
        <v>2484</v>
      </c>
      <c r="J224" s="239" t="s">
        <v>928</v>
      </c>
      <c r="K224" s="239" t="s">
        <v>2398</v>
      </c>
      <c r="L224" s="239">
        <v>452.86</v>
      </c>
      <c r="M224" s="239">
        <v>0</v>
      </c>
      <c r="N224" s="239">
        <v>0</v>
      </c>
      <c r="O224" s="239">
        <v>0</v>
      </c>
      <c r="P224" s="239">
        <v>0</v>
      </c>
      <c r="Q224" s="239">
        <v>0</v>
      </c>
      <c r="R224" s="239">
        <v>0</v>
      </c>
      <c r="S224" s="239">
        <v>0</v>
      </c>
      <c r="T224" s="239">
        <v>0</v>
      </c>
      <c r="U224" s="239">
        <v>0</v>
      </c>
      <c r="V224" s="239">
        <v>0</v>
      </c>
      <c r="W224" s="239">
        <v>0</v>
      </c>
      <c r="X224" s="239">
        <v>0</v>
      </c>
      <c r="Y224" s="239">
        <v>351.31</v>
      </c>
      <c r="Z224" s="239">
        <v>0</v>
      </c>
      <c r="AA224" s="239">
        <v>0</v>
      </c>
      <c r="AB224" s="239">
        <v>101.55</v>
      </c>
      <c r="AC224" s="239">
        <v>0</v>
      </c>
      <c r="AD224" s="239">
        <v>0</v>
      </c>
      <c r="AE224" s="239" t="s">
        <v>720</v>
      </c>
      <c r="AF224" s="239" t="s">
        <v>721</v>
      </c>
      <c r="AG224" s="239">
        <f t="shared" si="16"/>
        <v>0</v>
      </c>
      <c r="AH224" s="239">
        <f t="shared" si="17"/>
        <v>0</v>
      </c>
      <c r="AI224" s="239">
        <f t="shared" si="18"/>
        <v>0</v>
      </c>
      <c r="AJ224" s="239">
        <f t="shared" si="19"/>
        <v>0</v>
      </c>
    </row>
    <row r="225" spans="1:36" x14ac:dyDescent="0.2">
      <c r="A225" s="240" t="str">
        <f t="shared" si="15"/>
        <v>SNCF10757150</v>
      </c>
      <c r="B225" s="239" t="s">
        <v>19</v>
      </c>
      <c r="C225" s="239" t="s">
        <v>20</v>
      </c>
      <c r="D225" s="239" t="s">
        <v>2481</v>
      </c>
      <c r="E225" s="239" t="s">
        <v>2482</v>
      </c>
      <c r="F225" s="239" t="s">
        <v>2503</v>
      </c>
      <c r="G225" s="239">
        <v>50</v>
      </c>
      <c r="H225" s="239" t="s">
        <v>928</v>
      </c>
      <c r="I225" s="239" t="s">
        <v>928</v>
      </c>
      <c r="J225" s="239" t="s">
        <v>928</v>
      </c>
      <c r="K225" s="239" t="s">
        <v>2398</v>
      </c>
      <c r="L225" s="239">
        <v>452.86</v>
      </c>
      <c r="M225" s="239">
        <v>0</v>
      </c>
      <c r="N225" s="239">
        <v>0</v>
      </c>
      <c r="O225" s="239">
        <v>0</v>
      </c>
      <c r="P225" s="239">
        <v>0</v>
      </c>
      <c r="Q225" s="239">
        <v>0</v>
      </c>
      <c r="R225" s="239">
        <v>0</v>
      </c>
      <c r="S225" s="239">
        <v>0</v>
      </c>
      <c r="T225" s="239">
        <v>0</v>
      </c>
      <c r="U225" s="239">
        <v>0</v>
      </c>
      <c r="V225" s="239">
        <v>0</v>
      </c>
      <c r="W225" s="239">
        <v>0</v>
      </c>
      <c r="X225" s="239">
        <v>0</v>
      </c>
      <c r="Y225" s="239">
        <v>351.31</v>
      </c>
      <c r="Z225" s="239">
        <v>0</v>
      </c>
      <c r="AA225" s="239">
        <v>0</v>
      </c>
      <c r="AB225" s="239">
        <v>101.55</v>
      </c>
      <c r="AC225" s="239">
        <v>0</v>
      </c>
      <c r="AD225" s="239">
        <v>0</v>
      </c>
      <c r="AE225" s="239" t="s">
        <v>720</v>
      </c>
      <c r="AF225" s="239" t="s">
        <v>721</v>
      </c>
      <c r="AG225" s="239">
        <f t="shared" si="16"/>
        <v>0</v>
      </c>
      <c r="AH225" s="239">
        <f t="shared" si="17"/>
        <v>0</v>
      </c>
      <c r="AI225" s="239">
        <f t="shared" si="18"/>
        <v>0</v>
      </c>
      <c r="AJ225" s="239">
        <f t="shared" si="19"/>
        <v>0</v>
      </c>
    </row>
    <row r="226" spans="1:36" x14ac:dyDescent="0.2">
      <c r="A226" s="240" t="str">
        <f t="shared" si="15"/>
        <v>2SNCF107571D50</v>
      </c>
      <c r="B226" s="239" t="s">
        <v>19</v>
      </c>
      <c r="C226" s="239" t="s">
        <v>20</v>
      </c>
      <c r="D226" s="239" t="s">
        <v>2481</v>
      </c>
      <c r="E226" s="239" t="s">
        <v>2482</v>
      </c>
      <c r="F226" s="239" t="s">
        <v>2504</v>
      </c>
      <c r="G226" s="239">
        <v>50</v>
      </c>
      <c r="H226" s="239" t="s">
        <v>928</v>
      </c>
      <c r="I226" s="239" t="s">
        <v>2484</v>
      </c>
      <c r="J226" s="239" t="s">
        <v>928</v>
      </c>
      <c r="K226" s="239" t="s">
        <v>2398</v>
      </c>
      <c r="L226" s="239">
        <v>438.97</v>
      </c>
      <c r="M226" s="239">
        <v>0</v>
      </c>
      <c r="N226" s="239">
        <v>0</v>
      </c>
      <c r="O226" s="239">
        <v>0</v>
      </c>
      <c r="P226" s="239">
        <v>0</v>
      </c>
      <c r="Q226" s="239">
        <v>0</v>
      </c>
      <c r="R226" s="239">
        <v>0</v>
      </c>
      <c r="S226" s="239">
        <v>0</v>
      </c>
      <c r="T226" s="239">
        <v>0</v>
      </c>
      <c r="U226" s="239">
        <v>0</v>
      </c>
      <c r="V226" s="239">
        <v>0</v>
      </c>
      <c r="W226" s="239">
        <v>0</v>
      </c>
      <c r="X226" s="239">
        <v>0</v>
      </c>
      <c r="Y226" s="239">
        <v>352.76</v>
      </c>
      <c r="Z226" s="239">
        <v>0</v>
      </c>
      <c r="AA226" s="239">
        <v>0</v>
      </c>
      <c r="AB226" s="239">
        <v>86.21</v>
      </c>
      <c r="AC226" s="239">
        <v>0</v>
      </c>
      <c r="AD226" s="239">
        <v>0</v>
      </c>
      <c r="AE226" s="239" t="s">
        <v>720</v>
      </c>
      <c r="AF226" s="239" t="s">
        <v>721</v>
      </c>
      <c r="AG226" s="239">
        <f t="shared" si="16"/>
        <v>0</v>
      </c>
      <c r="AH226" s="239">
        <f t="shared" si="17"/>
        <v>0</v>
      </c>
      <c r="AI226" s="239">
        <f t="shared" si="18"/>
        <v>0</v>
      </c>
      <c r="AJ226" s="239">
        <f t="shared" si="19"/>
        <v>0</v>
      </c>
    </row>
    <row r="227" spans="1:36" x14ac:dyDescent="0.2">
      <c r="A227" s="240" t="str">
        <f t="shared" si="15"/>
        <v>SNCF107571D50</v>
      </c>
      <c r="B227" s="239" t="s">
        <v>19</v>
      </c>
      <c r="C227" s="239" t="s">
        <v>20</v>
      </c>
      <c r="D227" s="239" t="s">
        <v>2481</v>
      </c>
      <c r="E227" s="239" t="s">
        <v>2482</v>
      </c>
      <c r="F227" s="239" t="s">
        <v>2504</v>
      </c>
      <c r="G227" s="239">
        <v>50</v>
      </c>
      <c r="H227" s="239" t="s">
        <v>928</v>
      </c>
      <c r="I227" s="239" t="s">
        <v>928</v>
      </c>
      <c r="J227" s="239" t="s">
        <v>928</v>
      </c>
      <c r="K227" s="239" t="s">
        <v>2398</v>
      </c>
      <c r="L227" s="239">
        <v>438.97</v>
      </c>
      <c r="M227" s="239">
        <v>0</v>
      </c>
      <c r="N227" s="239">
        <v>0</v>
      </c>
      <c r="O227" s="239">
        <v>0</v>
      </c>
      <c r="P227" s="239">
        <v>0</v>
      </c>
      <c r="Q227" s="239">
        <v>0</v>
      </c>
      <c r="R227" s="239">
        <v>0</v>
      </c>
      <c r="S227" s="239">
        <v>0</v>
      </c>
      <c r="T227" s="239">
        <v>0</v>
      </c>
      <c r="U227" s="239">
        <v>0</v>
      </c>
      <c r="V227" s="239">
        <v>0</v>
      </c>
      <c r="W227" s="239">
        <v>0</v>
      </c>
      <c r="X227" s="239">
        <v>0</v>
      </c>
      <c r="Y227" s="239">
        <v>352.76</v>
      </c>
      <c r="Z227" s="239">
        <v>0</v>
      </c>
      <c r="AA227" s="239">
        <v>0</v>
      </c>
      <c r="AB227" s="239">
        <v>86.21</v>
      </c>
      <c r="AC227" s="239">
        <v>0</v>
      </c>
      <c r="AD227" s="239">
        <v>0</v>
      </c>
      <c r="AE227" s="239" t="s">
        <v>720</v>
      </c>
      <c r="AF227" s="239" t="s">
        <v>721</v>
      </c>
      <c r="AG227" s="239">
        <f t="shared" si="16"/>
        <v>0</v>
      </c>
      <c r="AH227" s="239">
        <f t="shared" si="17"/>
        <v>0</v>
      </c>
      <c r="AI227" s="239">
        <f t="shared" si="18"/>
        <v>0</v>
      </c>
      <c r="AJ227" s="239">
        <f t="shared" si="19"/>
        <v>0</v>
      </c>
    </row>
    <row r="228" spans="1:36" x14ac:dyDescent="0.2">
      <c r="A228" s="240" t="str">
        <f t="shared" si="15"/>
        <v>2SNCF10772150</v>
      </c>
      <c r="B228" s="239" t="s">
        <v>19</v>
      </c>
      <c r="C228" s="239" t="s">
        <v>20</v>
      </c>
      <c r="D228" s="239" t="s">
        <v>2481</v>
      </c>
      <c r="E228" s="239" t="s">
        <v>2482</v>
      </c>
      <c r="F228" s="239" t="s">
        <v>2505</v>
      </c>
      <c r="G228" s="239">
        <v>50</v>
      </c>
      <c r="H228" s="239" t="s">
        <v>928</v>
      </c>
      <c r="I228" s="239" t="s">
        <v>2484</v>
      </c>
      <c r="J228" s="239" t="s">
        <v>928</v>
      </c>
      <c r="K228" s="239" t="s">
        <v>2398</v>
      </c>
      <c r="L228" s="239">
        <v>459.51</v>
      </c>
      <c r="M228" s="239">
        <v>0</v>
      </c>
      <c r="N228" s="239">
        <v>0</v>
      </c>
      <c r="O228" s="239">
        <v>0</v>
      </c>
      <c r="P228" s="239">
        <v>0</v>
      </c>
      <c r="Q228" s="239">
        <v>0</v>
      </c>
      <c r="R228" s="239">
        <v>0</v>
      </c>
      <c r="S228" s="239">
        <v>0</v>
      </c>
      <c r="T228" s="239">
        <v>0</v>
      </c>
      <c r="U228" s="239">
        <v>0</v>
      </c>
      <c r="V228" s="239">
        <v>0</v>
      </c>
      <c r="W228" s="239">
        <v>0</v>
      </c>
      <c r="X228" s="239">
        <v>0</v>
      </c>
      <c r="Y228" s="239">
        <v>368.82</v>
      </c>
      <c r="Z228" s="239">
        <v>0</v>
      </c>
      <c r="AA228" s="239">
        <v>0</v>
      </c>
      <c r="AB228" s="239">
        <v>90.68</v>
      </c>
      <c r="AC228" s="239">
        <v>0</v>
      </c>
      <c r="AD228" s="239">
        <v>0</v>
      </c>
      <c r="AE228" s="239" t="s">
        <v>720</v>
      </c>
      <c r="AF228" s="239" t="s">
        <v>721</v>
      </c>
      <c r="AG228" s="239">
        <f t="shared" si="16"/>
        <v>0</v>
      </c>
      <c r="AH228" s="239">
        <f t="shared" si="17"/>
        <v>0</v>
      </c>
      <c r="AI228" s="239">
        <f t="shared" si="18"/>
        <v>0</v>
      </c>
      <c r="AJ228" s="239">
        <f t="shared" si="19"/>
        <v>0</v>
      </c>
    </row>
    <row r="229" spans="1:36" x14ac:dyDescent="0.2">
      <c r="A229" s="240" t="str">
        <f t="shared" si="15"/>
        <v>SNCF10772150</v>
      </c>
      <c r="B229" s="239" t="s">
        <v>19</v>
      </c>
      <c r="C229" s="239" t="s">
        <v>20</v>
      </c>
      <c r="D229" s="239" t="s">
        <v>2481</v>
      </c>
      <c r="E229" s="239" t="s">
        <v>2482</v>
      </c>
      <c r="F229" s="239" t="s">
        <v>2505</v>
      </c>
      <c r="G229" s="239">
        <v>50</v>
      </c>
      <c r="H229" s="239" t="s">
        <v>928</v>
      </c>
      <c r="I229" s="239" t="s">
        <v>928</v>
      </c>
      <c r="J229" s="239" t="s">
        <v>928</v>
      </c>
      <c r="K229" s="239" t="s">
        <v>2398</v>
      </c>
      <c r="L229" s="239">
        <v>459.51</v>
      </c>
      <c r="M229" s="239">
        <v>0</v>
      </c>
      <c r="N229" s="239">
        <v>0</v>
      </c>
      <c r="O229" s="239">
        <v>0</v>
      </c>
      <c r="P229" s="239">
        <v>0</v>
      </c>
      <c r="Q229" s="239">
        <v>0</v>
      </c>
      <c r="R229" s="239">
        <v>0</v>
      </c>
      <c r="S229" s="239">
        <v>0</v>
      </c>
      <c r="T229" s="239">
        <v>0</v>
      </c>
      <c r="U229" s="239">
        <v>0</v>
      </c>
      <c r="V229" s="239">
        <v>0</v>
      </c>
      <c r="W229" s="239">
        <v>0</v>
      </c>
      <c r="X229" s="239">
        <v>0</v>
      </c>
      <c r="Y229" s="239">
        <v>368.82</v>
      </c>
      <c r="Z229" s="239">
        <v>0</v>
      </c>
      <c r="AA229" s="239">
        <v>0</v>
      </c>
      <c r="AB229" s="239">
        <v>90.68</v>
      </c>
      <c r="AC229" s="239">
        <v>0</v>
      </c>
      <c r="AD229" s="239">
        <v>0</v>
      </c>
      <c r="AE229" s="239" t="s">
        <v>720</v>
      </c>
      <c r="AF229" s="239" t="s">
        <v>721</v>
      </c>
      <c r="AG229" s="239">
        <f t="shared" si="16"/>
        <v>0</v>
      </c>
      <c r="AH229" s="239">
        <f t="shared" si="17"/>
        <v>0</v>
      </c>
      <c r="AI229" s="239">
        <f t="shared" si="18"/>
        <v>0</v>
      </c>
      <c r="AJ229" s="239">
        <f t="shared" si="19"/>
        <v>0</v>
      </c>
    </row>
    <row r="230" spans="1:36" x14ac:dyDescent="0.2">
      <c r="A230" s="240" t="str">
        <f t="shared" si="15"/>
        <v>2SNCF107721D50</v>
      </c>
      <c r="B230" s="239" t="s">
        <v>19</v>
      </c>
      <c r="C230" s="239" t="s">
        <v>20</v>
      </c>
      <c r="D230" s="239" t="s">
        <v>2481</v>
      </c>
      <c r="E230" s="239" t="s">
        <v>2482</v>
      </c>
      <c r="F230" s="239" t="s">
        <v>2506</v>
      </c>
      <c r="G230" s="239">
        <v>50</v>
      </c>
      <c r="H230" s="239" t="s">
        <v>928</v>
      </c>
      <c r="I230" s="239" t="s">
        <v>2484</v>
      </c>
      <c r="J230" s="239" t="s">
        <v>928</v>
      </c>
      <c r="K230" s="239" t="s">
        <v>2398</v>
      </c>
      <c r="L230" s="239">
        <v>422.2</v>
      </c>
      <c r="M230" s="239">
        <v>0</v>
      </c>
      <c r="N230" s="239">
        <v>0</v>
      </c>
      <c r="O230" s="239">
        <v>0</v>
      </c>
      <c r="P230" s="239">
        <v>0</v>
      </c>
      <c r="Q230" s="239">
        <v>0</v>
      </c>
      <c r="R230" s="239">
        <v>0</v>
      </c>
      <c r="S230" s="239">
        <v>0</v>
      </c>
      <c r="T230" s="239">
        <v>0</v>
      </c>
      <c r="U230" s="239">
        <v>0</v>
      </c>
      <c r="V230" s="239">
        <v>0</v>
      </c>
      <c r="W230" s="239">
        <v>0</v>
      </c>
      <c r="X230" s="239">
        <v>0</v>
      </c>
      <c r="Y230" s="239">
        <v>355.45</v>
      </c>
      <c r="Z230" s="239">
        <v>0</v>
      </c>
      <c r="AA230" s="239">
        <v>0</v>
      </c>
      <c r="AB230" s="239">
        <v>66.739999999999995</v>
      </c>
      <c r="AC230" s="239">
        <v>0</v>
      </c>
      <c r="AD230" s="239">
        <v>0</v>
      </c>
      <c r="AE230" s="239" t="s">
        <v>720</v>
      </c>
      <c r="AF230" s="239" t="s">
        <v>721</v>
      </c>
      <c r="AG230" s="239">
        <f t="shared" si="16"/>
        <v>0</v>
      </c>
      <c r="AH230" s="239">
        <f t="shared" si="17"/>
        <v>0</v>
      </c>
      <c r="AI230" s="239">
        <f t="shared" si="18"/>
        <v>0</v>
      </c>
      <c r="AJ230" s="239">
        <f t="shared" si="19"/>
        <v>0</v>
      </c>
    </row>
    <row r="231" spans="1:36" x14ac:dyDescent="0.2">
      <c r="A231" s="240" t="str">
        <f t="shared" si="15"/>
        <v>SNCF107721D50</v>
      </c>
      <c r="B231" s="239" t="s">
        <v>19</v>
      </c>
      <c r="C231" s="239" t="s">
        <v>20</v>
      </c>
      <c r="D231" s="239" t="s">
        <v>2481</v>
      </c>
      <c r="E231" s="239" t="s">
        <v>2482</v>
      </c>
      <c r="F231" s="239" t="s">
        <v>2506</v>
      </c>
      <c r="G231" s="239">
        <v>50</v>
      </c>
      <c r="H231" s="239" t="s">
        <v>928</v>
      </c>
      <c r="I231" s="239" t="s">
        <v>928</v>
      </c>
      <c r="J231" s="239" t="s">
        <v>928</v>
      </c>
      <c r="K231" s="239" t="s">
        <v>2398</v>
      </c>
      <c r="L231" s="239">
        <v>422.2</v>
      </c>
      <c r="M231" s="239">
        <v>0</v>
      </c>
      <c r="N231" s="239">
        <v>0</v>
      </c>
      <c r="O231" s="239">
        <v>0</v>
      </c>
      <c r="P231" s="239">
        <v>0</v>
      </c>
      <c r="Q231" s="239">
        <v>0</v>
      </c>
      <c r="R231" s="239">
        <v>0</v>
      </c>
      <c r="S231" s="239">
        <v>0</v>
      </c>
      <c r="T231" s="239">
        <v>0</v>
      </c>
      <c r="U231" s="239">
        <v>0</v>
      </c>
      <c r="V231" s="239">
        <v>0</v>
      </c>
      <c r="W231" s="239">
        <v>0</v>
      </c>
      <c r="X231" s="239">
        <v>0</v>
      </c>
      <c r="Y231" s="239">
        <v>355.45</v>
      </c>
      <c r="Z231" s="239">
        <v>0</v>
      </c>
      <c r="AA231" s="239">
        <v>0</v>
      </c>
      <c r="AB231" s="239">
        <v>66.739999999999995</v>
      </c>
      <c r="AC231" s="239">
        <v>0</v>
      </c>
      <c r="AD231" s="239">
        <v>0</v>
      </c>
      <c r="AE231" s="239" t="s">
        <v>720</v>
      </c>
      <c r="AF231" s="239" t="s">
        <v>721</v>
      </c>
      <c r="AG231" s="239">
        <f t="shared" si="16"/>
        <v>0</v>
      </c>
      <c r="AH231" s="239">
        <f t="shared" si="17"/>
        <v>0</v>
      </c>
      <c r="AI231" s="239">
        <f t="shared" si="18"/>
        <v>0</v>
      </c>
      <c r="AJ231" s="239">
        <f t="shared" si="19"/>
        <v>0</v>
      </c>
    </row>
    <row r="232" spans="1:36" x14ac:dyDescent="0.2">
      <c r="A232" s="240" t="str">
        <f t="shared" si="15"/>
        <v>2SNCF107726DP50</v>
      </c>
      <c r="B232" s="239" t="s">
        <v>19</v>
      </c>
      <c r="C232" s="239" t="s">
        <v>20</v>
      </c>
      <c r="D232" s="239" t="s">
        <v>2481</v>
      </c>
      <c r="E232" s="239" t="s">
        <v>2482</v>
      </c>
      <c r="F232" s="239" t="s">
        <v>2507</v>
      </c>
      <c r="G232" s="239">
        <v>50</v>
      </c>
      <c r="H232" s="239" t="s">
        <v>928</v>
      </c>
      <c r="I232" s="239" t="s">
        <v>2484</v>
      </c>
      <c r="J232" s="239" t="s">
        <v>928</v>
      </c>
      <c r="K232" s="239" t="s">
        <v>2398</v>
      </c>
      <c r="L232" s="239">
        <v>506.73</v>
      </c>
      <c r="M232" s="239">
        <v>0</v>
      </c>
      <c r="N232" s="239">
        <v>0</v>
      </c>
      <c r="O232" s="239">
        <v>0</v>
      </c>
      <c r="P232" s="239">
        <v>0</v>
      </c>
      <c r="Q232" s="239">
        <v>0</v>
      </c>
      <c r="R232" s="239">
        <v>0</v>
      </c>
      <c r="S232" s="239">
        <v>0</v>
      </c>
      <c r="T232" s="239">
        <v>0</v>
      </c>
      <c r="U232" s="239">
        <v>0</v>
      </c>
      <c r="V232" s="239">
        <v>0</v>
      </c>
      <c r="W232" s="239">
        <v>0</v>
      </c>
      <c r="X232" s="239">
        <v>0</v>
      </c>
      <c r="Y232" s="239">
        <v>425.62</v>
      </c>
      <c r="Z232" s="239">
        <v>0</v>
      </c>
      <c r="AA232" s="239">
        <v>0</v>
      </c>
      <c r="AB232" s="239">
        <v>81.11</v>
      </c>
      <c r="AC232" s="239">
        <v>0</v>
      </c>
      <c r="AD232" s="239">
        <v>0</v>
      </c>
      <c r="AE232" s="239" t="s">
        <v>720</v>
      </c>
      <c r="AF232" s="239" t="s">
        <v>721</v>
      </c>
      <c r="AG232" s="239">
        <f t="shared" si="16"/>
        <v>0</v>
      </c>
      <c r="AH232" s="239">
        <f t="shared" si="17"/>
        <v>0</v>
      </c>
      <c r="AI232" s="239">
        <f t="shared" si="18"/>
        <v>0</v>
      </c>
      <c r="AJ232" s="239">
        <f t="shared" si="19"/>
        <v>0</v>
      </c>
    </row>
    <row r="233" spans="1:36" x14ac:dyDescent="0.2">
      <c r="A233" s="240" t="str">
        <f t="shared" si="15"/>
        <v>SNCF107726DP50</v>
      </c>
      <c r="B233" s="239" t="s">
        <v>19</v>
      </c>
      <c r="C233" s="239" t="s">
        <v>20</v>
      </c>
      <c r="D233" s="239" t="s">
        <v>2481</v>
      </c>
      <c r="E233" s="239" t="s">
        <v>2482</v>
      </c>
      <c r="F233" s="239" t="s">
        <v>2507</v>
      </c>
      <c r="G233" s="239">
        <v>50</v>
      </c>
      <c r="H233" s="239" t="s">
        <v>928</v>
      </c>
      <c r="I233" s="239" t="s">
        <v>928</v>
      </c>
      <c r="J233" s="239" t="s">
        <v>928</v>
      </c>
      <c r="K233" s="239" t="s">
        <v>2398</v>
      </c>
      <c r="L233" s="239">
        <v>506.73</v>
      </c>
      <c r="M233" s="239">
        <v>0</v>
      </c>
      <c r="N233" s="239">
        <v>0</v>
      </c>
      <c r="O233" s="239">
        <v>0</v>
      </c>
      <c r="P233" s="239">
        <v>0</v>
      </c>
      <c r="Q233" s="239">
        <v>0</v>
      </c>
      <c r="R233" s="239">
        <v>0</v>
      </c>
      <c r="S233" s="239">
        <v>0</v>
      </c>
      <c r="T233" s="239">
        <v>0</v>
      </c>
      <c r="U233" s="239">
        <v>0</v>
      </c>
      <c r="V233" s="239">
        <v>0</v>
      </c>
      <c r="W233" s="239">
        <v>0</v>
      </c>
      <c r="X233" s="239">
        <v>0</v>
      </c>
      <c r="Y233" s="239">
        <v>425.62</v>
      </c>
      <c r="Z233" s="239">
        <v>0</v>
      </c>
      <c r="AA233" s="239">
        <v>0</v>
      </c>
      <c r="AB233" s="239">
        <v>81.11</v>
      </c>
      <c r="AC233" s="239">
        <v>0</v>
      </c>
      <c r="AD233" s="239">
        <v>0</v>
      </c>
      <c r="AE233" s="239" t="s">
        <v>720</v>
      </c>
      <c r="AF233" s="239" t="s">
        <v>721</v>
      </c>
      <c r="AG233" s="239">
        <f t="shared" si="16"/>
        <v>0</v>
      </c>
      <c r="AH233" s="239">
        <f t="shared" si="17"/>
        <v>0</v>
      </c>
      <c r="AI233" s="239">
        <f t="shared" si="18"/>
        <v>0</v>
      </c>
      <c r="AJ233" s="239">
        <f t="shared" si="19"/>
        <v>0</v>
      </c>
    </row>
    <row r="234" spans="1:36" x14ac:dyDescent="0.2">
      <c r="A234" s="240" t="str">
        <f t="shared" si="15"/>
        <v>2SNCF107726DY50</v>
      </c>
      <c r="B234" s="239" t="s">
        <v>19</v>
      </c>
      <c r="C234" s="239" t="s">
        <v>20</v>
      </c>
      <c r="D234" s="239" t="s">
        <v>2481</v>
      </c>
      <c r="E234" s="239" t="s">
        <v>2482</v>
      </c>
      <c r="F234" s="239" t="s">
        <v>2508</v>
      </c>
      <c r="G234" s="239">
        <v>50</v>
      </c>
      <c r="H234" s="239" t="s">
        <v>928</v>
      </c>
      <c r="I234" s="239" t="s">
        <v>2484</v>
      </c>
      <c r="J234" s="239" t="s">
        <v>928</v>
      </c>
      <c r="K234" s="239" t="s">
        <v>2398</v>
      </c>
      <c r="L234" s="239">
        <v>466.31</v>
      </c>
      <c r="M234" s="239">
        <v>0</v>
      </c>
      <c r="N234" s="239">
        <v>0</v>
      </c>
      <c r="O234" s="239">
        <v>0</v>
      </c>
      <c r="P234" s="239">
        <v>0</v>
      </c>
      <c r="Q234" s="239">
        <v>0</v>
      </c>
      <c r="R234" s="239">
        <v>0</v>
      </c>
      <c r="S234" s="239">
        <v>0</v>
      </c>
      <c r="T234" s="239">
        <v>0</v>
      </c>
      <c r="U234" s="239">
        <v>0</v>
      </c>
      <c r="V234" s="239">
        <v>0</v>
      </c>
      <c r="W234" s="239">
        <v>0</v>
      </c>
      <c r="X234" s="239">
        <v>0</v>
      </c>
      <c r="Y234" s="239">
        <v>387.05</v>
      </c>
      <c r="Z234" s="239">
        <v>0</v>
      </c>
      <c r="AA234" s="239">
        <v>0</v>
      </c>
      <c r="AB234" s="239">
        <v>79.260000000000005</v>
      </c>
      <c r="AC234" s="239">
        <v>0</v>
      </c>
      <c r="AD234" s="239">
        <v>0</v>
      </c>
      <c r="AE234" s="239" t="s">
        <v>720</v>
      </c>
      <c r="AF234" s="239" t="s">
        <v>721</v>
      </c>
      <c r="AG234" s="239">
        <f t="shared" si="16"/>
        <v>0</v>
      </c>
      <c r="AH234" s="239">
        <f t="shared" si="17"/>
        <v>0</v>
      </c>
      <c r="AI234" s="239">
        <f t="shared" si="18"/>
        <v>0</v>
      </c>
      <c r="AJ234" s="239">
        <f t="shared" si="19"/>
        <v>0</v>
      </c>
    </row>
    <row r="235" spans="1:36" x14ac:dyDescent="0.2">
      <c r="A235" s="240" t="str">
        <f t="shared" si="15"/>
        <v>SNCF107726DY50</v>
      </c>
      <c r="B235" s="239" t="s">
        <v>19</v>
      </c>
      <c r="C235" s="239" t="s">
        <v>20</v>
      </c>
      <c r="D235" s="239" t="s">
        <v>2481</v>
      </c>
      <c r="E235" s="239" t="s">
        <v>2482</v>
      </c>
      <c r="F235" s="239" t="s">
        <v>2508</v>
      </c>
      <c r="G235" s="239">
        <v>50</v>
      </c>
      <c r="H235" s="239" t="s">
        <v>928</v>
      </c>
      <c r="I235" s="239" t="s">
        <v>928</v>
      </c>
      <c r="J235" s="239" t="s">
        <v>928</v>
      </c>
      <c r="K235" s="239" t="s">
        <v>2398</v>
      </c>
      <c r="L235" s="239">
        <v>466.31</v>
      </c>
      <c r="M235" s="239">
        <v>0</v>
      </c>
      <c r="N235" s="239">
        <v>0</v>
      </c>
      <c r="O235" s="239">
        <v>0</v>
      </c>
      <c r="P235" s="239">
        <v>0</v>
      </c>
      <c r="Q235" s="239">
        <v>0</v>
      </c>
      <c r="R235" s="239">
        <v>0</v>
      </c>
      <c r="S235" s="239">
        <v>0</v>
      </c>
      <c r="T235" s="239">
        <v>0</v>
      </c>
      <c r="U235" s="239">
        <v>0</v>
      </c>
      <c r="V235" s="239">
        <v>0</v>
      </c>
      <c r="W235" s="239">
        <v>0</v>
      </c>
      <c r="X235" s="239">
        <v>0</v>
      </c>
      <c r="Y235" s="239">
        <v>387.05</v>
      </c>
      <c r="Z235" s="239">
        <v>0</v>
      </c>
      <c r="AA235" s="239">
        <v>0</v>
      </c>
      <c r="AB235" s="239">
        <v>79.260000000000005</v>
      </c>
      <c r="AC235" s="239">
        <v>0</v>
      </c>
      <c r="AD235" s="239">
        <v>0</v>
      </c>
      <c r="AE235" s="239" t="s">
        <v>720</v>
      </c>
      <c r="AF235" s="239" t="s">
        <v>721</v>
      </c>
      <c r="AG235" s="239">
        <f t="shared" si="16"/>
        <v>0</v>
      </c>
      <c r="AH235" s="239">
        <f t="shared" si="17"/>
        <v>0</v>
      </c>
      <c r="AI235" s="239">
        <f t="shared" si="18"/>
        <v>0</v>
      </c>
      <c r="AJ235" s="239">
        <f t="shared" si="19"/>
        <v>0</v>
      </c>
    </row>
    <row r="236" spans="1:36" x14ac:dyDescent="0.2">
      <c r="A236" s="240" t="str">
        <f t="shared" si="15"/>
        <v>2SNCF107726P50</v>
      </c>
      <c r="B236" s="239" t="s">
        <v>19</v>
      </c>
      <c r="C236" s="239" t="s">
        <v>20</v>
      </c>
      <c r="D236" s="239" t="s">
        <v>2481</v>
      </c>
      <c r="E236" s="239" t="s">
        <v>2482</v>
      </c>
      <c r="F236" s="239" t="s">
        <v>2509</v>
      </c>
      <c r="G236" s="239">
        <v>50</v>
      </c>
      <c r="H236" s="239" t="s">
        <v>928</v>
      </c>
      <c r="I236" s="239" t="s">
        <v>2484</v>
      </c>
      <c r="J236" s="239" t="s">
        <v>928</v>
      </c>
      <c r="K236" s="239" t="s">
        <v>2398</v>
      </c>
      <c r="L236" s="239">
        <v>529.42999999999995</v>
      </c>
      <c r="M236" s="239">
        <v>0</v>
      </c>
      <c r="N236" s="239">
        <v>0</v>
      </c>
      <c r="O236" s="239">
        <v>0</v>
      </c>
      <c r="P236" s="239">
        <v>0</v>
      </c>
      <c r="Q236" s="239">
        <v>0</v>
      </c>
      <c r="R236" s="239">
        <v>0</v>
      </c>
      <c r="S236" s="239">
        <v>0</v>
      </c>
      <c r="T236" s="239">
        <v>0</v>
      </c>
      <c r="U236" s="239">
        <v>0</v>
      </c>
      <c r="V236" s="239">
        <v>0</v>
      </c>
      <c r="W236" s="239">
        <v>0</v>
      </c>
      <c r="X236" s="239">
        <v>0</v>
      </c>
      <c r="Y236" s="239">
        <v>429.78</v>
      </c>
      <c r="Z236" s="239">
        <v>0</v>
      </c>
      <c r="AA236" s="239">
        <v>0</v>
      </c>
      <c r="AB236" s="239">
        <v>99.65</v>
      </c>
      <c r="AC236" s="239">
        <v>0</v>
      </c>
      <c r="AD236" s="239">
        <v>0</v>
      </c>
      <c r="AE236" s="239" t="s">
        <v>720</v>
      </c>
      <c r="AF236" s="239" t="s">
        <v>721</v>
      </c>
      <c r="AG236" s="239">
        <f t="shared" si="16"/>
        <v>0</v>
      </c>
      <c r="AH236" s="239">
        <f t="shared" si="17"/>
        <v>0</v>
      </c>
      <c r="AI236" s="239">
        <f t="shared" si="18"/>
        <v>0</v>
      </c>
      <c r="AJ236" s="239">
        <f t="shared" si="19"/>
        <v>0</v>
      </c>
    </row>
    <row r="237" spans="1:36" x14ac:dyDescent="0.2">
      <c r="A237" s="240" t="str">
        <f t="shared" si="15"/>
        <v>SNCF107726P50</v>
      </c>
      <c r="B237" s="239" t="s">
        <v>19</v>
      </c>
      <c r="C237" s="239" t="s">
        <v>20</v>
      </c>
      <c r="D237" s="239" t="s">
        <v>2481</v>
      </c>
      <c r="E237" s="239" t="s">
        <v>2482</v>
      </c>
      <c r="F237" s="239" t="s">
        <v>2509</v>
      </c>
      <c r="G237" s="239">
        <v>50</v>
      </c>
      <c r="H237" s="239" t="s">
        <v>928</v>
      </c>
      <c r="I237" s="239" t="s">
        <v>928</v>
      </c>
      <c r="J237" s="239" t="s">
        <v>928</v>
      </c>
      <c r="K237" s="239" t="s">
        <v>2398</v>
      </c>
      <c r="L237" s="239">
        <v>529.42999999999995</v>
      </c>
      <c r="M237" s="239">
        <v>0</v>
      </c>
      <c r="N237" s="239">
        <v>0</v>
      </c>
      <c r="O237" s="239">
        <v>0</v>
      </c>
      <c r="P237" s="239">
        <v>0</v>
      </c>
      <c r="Q237" s="239">
        <v>0</v>
      </c>
      <c r="R237" s="239">
        <v>0</v>
      </c>
      <c r="S237" s="239">
        <v>0</v>
      </c>
      <c r="T237" s="239">
        <v>0</v>
      </c>
      <c r="U237" s="239">
        <v>0</v>
      </c>
      <c r="V237" s="239">
        <v>0</v>
      </c>
      <c r="W237" s="239">
        <v>0</v>
      </c>
      <c r="X237" s="239">
        <v>0</v>
      </c>
      <c r="Y237" s="239">
        <v>429.78</v>
      </c>
      <c r="Z237" s="239">
        <v>0</v>
      </c>
      <c r="AA237" s="239">
        <v>0</v>
      </c>
      <c r="AB237" s="239">
        <v>99.65</v>
      </c>
      <c r="AC237" s="239">
        <v>0</v>
      </c>
      <c r="AD237" s="239">
        <v>0</v>
      </c>
      <c r="AE237" s="239" t="s">
        <v>720</v>
      </c>
      <c r="AF237" s="239" t="s">
        <v>721</v>
      </c>
      <c r="AG237" s="239">
        <f t="shared" si="16"/>
        <v>0</v>
      </c>
      <c r="AH237" s="239">
        <f t="shared" si="17"/>
        <v>0</v>
      </c>
      <c r="AI237" s="239">
        <f t="shared" si="18"/>
        <v>0</v>
      </c>
      <c r="AJ237" s="239">
        <f t="shared" si="19"/>
        <v>0</v>
      </c>
    </row>
    <row r="238" spans="1:36" x14ac:dyDescent="0.2">
      <c r="A238" s="240" t="str">
        <f t="shared" si="15"/>
        <v>2SNCF107726Y50</v>
      </c>
      <c r="B238" s="239" t="s">
        <v>19</v>
      </c>
      <c r="C238" s="239" t="s">
        <v>20</v>
      </c>
      <c r="D238" s="239" t="s">
        <v>2481</v>
      </c>
      <c r="E238" s="239" t="s">
        <v>2482</v>
      </c>
      <c r="F238" s="239" t="s">
        <v>2510</v>
      </c>
      <c r="G238" s="239">
        <v>50</v>
      </c>
      <c r="H238" s="239" t="s">
        <v>928</v>
      </c>
      <c r="I238" s="239" t="s">
        <v>2484</v>
      </c>
      <c r="J238" s="239" t="s">
        <v>928</v>
      </c>
      <c r="K238" s="239" t="s">
        <v>2398</v>
      </c>
      <c r="L238" s="239">
        <v>527.39</v>
      </c>
      <c r="M238" s="239">
        <v>0</v>
      </c>
      <c r="N238" s="239">
        <v>0</v>
      </c>
      <c r="O238" s="239">
        <v>0</v>
      </c>
      <c r="P238" s="239">
        <v>0</v>
      </c>
      <c r="Q238" s="239">
        <v>0</v>
      </c>
      <c r="R238" s="239">
        <v>0</v>
      </c>
      <c r="S238" s="239">
        <v>0</v>
      </c>
      <c r="T238" s="239">
        <v>0</v>
      </c>
      <c r="U238" s="239">
        <v>0</v>
      </c>
      <c r="V238" s="239">
        <v>0</v>
      </c>
      <c r="W238" s="239">
        <v>0</v>
      </c>
      <c r="X238" s="239">
        <v>0</v>
      </c>
      <c r="Y238" s="239">
        <v>420.2</v>
      </c>
      <c r="Z238" s="239">
        <v>0</v>
      </c>
      <c r="AA238" s="239">
        <v>0</v>
      </c>
      <c r="AB238" s="239">
        <v>107.18</v>
      </c>
      <c r="AC238" s="239">
        <v>0</v>
      </c>
      <c r="AD238" s="239">
        <v>0</v>
      </c>
      <c r="AE238" s="239" t="s">
        <v>720</v>
      </c>
      <c r="AF238" s="239" t="s">
        <v>721</v>
      </c>
      <c r="AG238" s="239">
        <f t="shared" si="16"/>
        <v>0</v>
      </c>
      <c r="AH238" s="239">
        <f t="shared" si="17"/>
        <v>0</v>
      </c>
      <c r="AI238" s="239">
        <f t="shared" si="18"/>
        <v>0</v>
      </c>
      <c r="AJ238" s="239">
        <f t="shared" si="19"/>
        <v>0</v>
      </c>
    </row>
    <row r="239" spans="1:36" x14ac:dyDescent="0.2">
      <c r="A239" s="240" t="str">
        <f t="shared" si="15"/>
        <v>SNCF107726Y50</v>
      </c>
      <c r="B239" s="239" t="s">
        <v>19</v>
      </c>
      <c r="C239" s="239" t="s">
        <v>20</v>
      </c>
      <c r="D239" s="239" t="s">
        <v>2481</v>
      </c>
      <c r="E239" s="239" t="s">
        <v>2482</v>
      </c>
      <c r="F239" s="239" t="s">
        <v>2510</v>
      </c>
      <c r="G239" s="239">
        <v>50</v>
      </c>
      <c r="H239" s="239" t="s">
        <v>928</v>
      </c>
      <c r="I239" s="239" t="s">
        <v>928</v>
      </c>
      <c r="J239" s="239" t="s">
        <v>928</v>
      </c>
      <c r="K239" s="239" t="s">
        <v>2398</v>
      </c>
      <c r="L239" s="239">
        <v>527.39</v>
      </c>
      <c r="M239" s="239">
        <v>0</v>
      </c>
      <c r="N239" s="239">
        <v>0</v>
      </c>
      <c r="O239" s="239">
        <v>0</v>
      </c>
      <c r="P239" s="239">
        <v>0</v>
      </c>
      <c r="Q239" s="239">
        <v>0</v>
      </c>
      <c r="R239" s="239">
        <v>0</v>
      </c>
      <c r="S239" s="239">
        <v>0</v>
      </c>
      <c r="T239" s="239">
        <v>0</v>
      </c>
      <c r="U239" s="239">
        <v>0</v>
      </c>
      <c r="V239" s="239">
        <v>0</v>
      </c>
      <c r="W239" s="239">
        <v>0</v>
      </c>
      <c r="X239" s="239">
        <v>0</v>
      </c>
      <c r="Y239" s="239">
        <v>420.2</v>
      </c>
      <c r="Z239" s="239">
        <v>0</v>
      </c>
      <c r="AA239" s="239">
        <v>0</v>
      </c>
      <c r="AB239" s="239">
        <v>107.18</v>
      </c>
      <c r="AC239" s="239">
        <v>0</v>
      </c>
      <c r="AD239" s="239">
        <v>0</v>
      </c>
      <c r="AE239" s="239" t="s">
        <v>720</v>
      </c>
      <c r="AF239" s="239" t="s">
        <v>721</v>
      </c>
      <c r="AG239" s="239">
        <f t="shared" si="16"/>
        <v>0</v>
      </c>
      <c r="AH239" s="239">
        <f t="shared" si="17"/>
        <v>0</v>
      </c>
      <c r="AI239" s="239">
        <f t="shared" si="18"/>
        <v>0</v>
      </c>
      <c r="AJ239" s="239">
        <f t="shared" si="19"/>
        <v>0</v>
      </c>
    </row>
    <row r="240" spans="1:36" x14ac:dyDescent="0.2">
      <c r="A240" s="240" t="str">
        <f t="shared" si="15"/>
        <v>2SNCF10783230</v>
      </c>
      <c r="B240" s="239" t="s">
        <v>19</v>
      </c>
      <c r="C240" s="239" t="s">
        <v>20</v>
      </c>
      <c r="D240" s="239" t="s">
        <v>2481</v>
      </c>
      <c r="E240" s="239" t="s">
        <v>2482</v>
      </c>
      <c r="F240" s="239" t="s">
        <v>2511</v>
      </c>
      <c r="G240" s="239">
        <v>30</v>
      </c>
      <c r="H240" s="239" t="s">
        <v>928</v>
      </c>
      <c r="I240" s="239" t="s">
        <v>2484</v>
      </c>
      <c r="J240" s="239" t="s">
        <v>928</v>
      </c>
      <c r="K240" s="239" t="s">
        <v>2398</v>
      </c>
      <c r="L240" s="239">
        <v>1334.96</v>
      </c>
      <c r="M240" s="239">
        <v>0</v>
      </c>
      <c r="N240" s="239">
        <v>0</v>
      </c>
      <c r="O240" s="239">
        <v>0</v>
      </c>
      <c r="P240" s="239">
        <v>0</v>
      </c>
      <c r="Q240" s="239">
        <v>0</v>
      </c>
      <c r="R240" s="239">
        <v>0</v>
      </c>
      <c r="S240" s="239">
        <v>0</v>
      </c>
      <c r="T240" s="239">
        <v>0</v>
      </c>
      <c r="U240" s="239">
        <v>0</v>
      </c>
      <c r="V240" s="239">
        <v>0</v>
      </c>
      <c r="W240" s="239">
        <v>0</v>
      </c>
      <c r="X240" s="239">
        <v>0</v>
      </c>
      <c r="Y240" s="239">
        <v>952.24</v>
      </c>
      <c r="Z240" s="239">
        <v>0</v>
      </c>
      <c r="AA240" s="239">
        <v>0</v>
      </c>
      <c r="AB240" s="239">
        <v>382.72</v>
      </c>
      <c r="AC240" s="239">
        <v>0</v>
      </c>
      <c r="AD240" s="239">
        <v>0</v>
      </c>
      <c r="AE240" s="239" t="s">
        <v>720</v>
      </c>
      <c r="AF240" s="239" t="s">
        <v>721</v>
      </c>
      <c r="AG240" s="239">
        <f t="shared" si="16"/>
        <v>0</v>
      </c>
      <c r="AH240" s="239">
        <f t="shared" si="17"/>
        <v>0</v>
      </c>
      <c r="AI240" s="239">
        <f t="shared" si="18"/>
        <v>0</v>
      </c>
      <c r="AJ240" s="239">
        <f t="shared" si="19"/>
        <v>0</v>
      </c>
    </row>
    <row r="241" spans="1:36" x14ac:dyDescent="0.2">
      <c r="A241" s="240" t="str">
        <f t="shared" si="15"/>
        <v>SNCF10783230</v>
      </c>
      <c r="B241" s="239" t="s">
        <v>19</v>
      </c>
      <c r="C241" s="239" t="s">
        <v>20</v>
      </c>
      <c r="D241" s="239" t="s">
        <v>2481</v>
      </c>
      <c r="E241" s="239" t="s">
        <v>2482</v>
      </c>
      <c r="F241" s="239" t="s">
        <v>2511</v>
      </c>
      <c r="G241" s="239">
        <v>30</v>
      </c>
      <c r="H241" s="239" t="s">
        <v>928</v>
      </c>
      <c r="I241" s="239" t="s">
        <v>928</v>
      </c>
      <c r="J241" s="239" t="s">
        <v>928</v>
      </c>
      <c r="K241" s="239" t="s">
        <v>2398</v>
      </c>
      <c r="L241" s="239">
        <v>1334.96</v>
      </c>
      <c r="M241" s="239">
        <v>0</v>
      </c>
      <c r="N241" s="239">
        <v>0</v>
      </c>
      <c r="O241" s="239">
        <v>0</v>
      </c>
      <c r="P241" s="239">
        <v>0</v>
      </c>
      <c r="Q241" s="239">
        <v>0</v>
      </c>
      <c r="R241" s="239">
        <v>0</v>
      </c>
      <c r="S241" s="239">
        <v>0</v>
      </c>
      <c r="T241" s="239">
        <v>0</v>
      </c>
      <c r="U241" s="239">
        <v>0</v>
      </c>
      <c r="V241" s="239">
        <v>0</v>
      </c>
      <c r="W241" s="239">
        <v>0</v>
      </c>
      <c r="X241" s="239">
        <v>0</v>
      </c>
      <c r="Y241" s="239">
        <v>952.24</v>
      </c>
      <c r="Z241" s="239">
        <v>0</v>
      </c>
      <c r="AA241" s="239">
        <v>0</v>
      </c>
      <c r="AB241" s="239">
        <v>382.72</v>
      </c>
      <c r="AC241" s="239">
        <v>0</v>
      </c>
      <c r="AD241" s="239">
        <v>0</v>
      </c>
      <c r="AE241" s="239" t="s">
        <v>720</v>
      </c>
      <c r="AF241" s="239" t="s">
        <v>721</v>
      </c>
      <c r="AG241" s="239">
        <f t="shared" si="16"/>
        <v>0</v>
      </c>
      <c r="AH241" s="239">
        <f t="shared" si="17"/>
        <v>0</v>
      </c>
      <c r="AI241" s="239">
        <f t="shared" si="18"/>
        <v>0</v>
      </c>
      <c r="AJ241" s="239">
        <f t="shared" si="19"/>
        <v>0</v>
      </c>
    </row>
    <row r="242" spans="1:36" x14ac:dyDescent="0.2">
      <c r="A242" s="240" t="str">
        <f t="shared" si="15"/>
        <v>2SNCF107832C30</v>
      </c>
      <c r="B242" s="239" t="s">
        <v>19</v>
      </c>
      <c r="C242" s="239" t="s">
        <v>20</v>
      </c>
      <c r="D242" s="239" t="s">
        <v>2481</v>
      </c>
      <c r="E242" s="239" t="s">
        <v>2482</v>
      </c>
      <c r="F242" s="239" t="s">
        <v>2512</v>
      </c>
      <c r="G242" s="239">
        <v>30</v>
      </c>
      <c r="H242" s="239" t="s">
        <v>928</v>
      </c>
      <c r="I242" s="239" t="s">
        <v>2484</v>
      </c>
      <c r="J242" s="239" t="s">
        <v>928</v>
      </c>
      <c r="K242" s="239" t="s">
        <v>2398</v>
      </c>
      <c r="L242" s="239">
        <v>608.46</v>
      </c>
      <c r="M242" s="239">
        <v>0</v>
      </c>
      <c r="N242" s="239">
        <v>0</v>
      </c>
      <c r="O242" s="239">
        <v>0</v>
      </c>
      <c r="P242" s="239">
        <v>0</v>
      </c>
      <c r="Q242" s="239">
        <v>0</v>
      </c>
      <c r="R242" s="239">
        <v>0</v>
      </c>
      <c r="S242" s="239">
        <v>0</v>
      </c>
      <c r="T242" s="239">
        <v>0</v>
      </c>
      <c r="U242" s="239">
        <v>0</v>
      </c>
      <c r="V242" s="239">
        <v>0</v>
      </c>
      <c r="W242" s="239">
        <v>0</v>
      </c>
      <c r="X242" s="239">
        <v>0</v>
      </c>
      <c r="Y242" s="239">
        <v>482.46</v>
      </c>
      <c r="Z242" s="239">
        <v>0</v>
      </c>
      <c r="AA242" s="239">
        <v>0</v>
      </c>
      <c r="AB242" s="239">
        <v>126</v>
      </c>
      <c r="AC242" s="239">
        <v>0</v>
      </c>
      <c r="AD242" s="239">
        <v>0</v>
      </c>
      <c r="AE242" s="239" t="s">
        <v>720</v>
      </c>
      <c r="AF242" s="239" t="s">
        <v>721</v>
      </c>
      <c r="AG242" s="239">
        <f t="shared" si="16"/>
        <v>0</v>
      </c>
      <c r="AH242" s="239">
        <f t="shared" si="17"/>
        <v>0</v>
      </c>
      <c r="AI242" s="239">
        <f t="shared" si="18"/>
        <v>0</v>
      </c>
      <c r="AJ242" s="239">
        <f t="shared" si="19"/>
        <v>0</v>
      </c>
    </row>
    <row r="243" spans="1:36" x14ac:dyDescent="0.2">
      <c r="A243" s="240" t="str">
        <f t="shared" si="15"/>
        <v>SNCF107832C30</v>
      </c>
      <c r="B243" s="239" t="s">
        <v>19</v>
      </c>
      <c r="C243" s="239" t="s">
        <v>20</v>
      </c>
      <c r="D243" s="239" t="s">
        <v>2481</v>
      </c>
      <c r="E243" s="239" t="s">
        <v>2482</v>
      </c>
      <c r="F243" s="239" t="s">
        <v>2512</v>
      </c>
      <c r="G243" s="239">
        <v>30</v>
      </c>
      <c r="H243" s="239" t="s">
        <v>928</v>
      </c>
      <c r="I243" s="239" t="s">
        <v>928</v>
      </c>
      <c r="J243" s="239" t="s">
        <v>928</v>
      </c>
      <c r="K243" s="239" t="s">
        <v>2398</v>
      </c>
      <c r="L243" s="239">
        <v>608.46</v>
      </c>
      <c r="M243" s="239">
        <v>0</v>
      </c>
      <c r="N243" s="239">
        <v>0</v>
      </c>
      <c r="O243" s="239">
        <v>0</v>
      </c>
      <c r="P243" s="239">
        <v>0</v>
      </c>
      <c r="Q243" s="239">
        <v>0</v>
      </c>
      <c r="R243" s="239">
        <v>0</v>
      </c>
      <c r="S243" s="239">
        <v>0</v>
      </c>
      <c r="T243" s="239">
        <v>0</v>
      </c>
      <c r="U243" s="239">
        <v>0</v>
      </c>
      <c r="V243" s="239">
        <v>0</v>
      </c>
      <c r="W243" s="239">
        <v>0</v>
      </c>
      <c r="X243" s="239">
        <v>0</v>
      </c>
      <c r="Y243" s="239">
        <v>482.46</v>
      </c>
      <c r="Z243" s="239">
        <v>0</v>
      </c>
      <c r="AA243" s="239">
        <v>0</v>
      </c>
      <c r="AB243" s="239">
        <v>126</v>
      </c>
      <c r="AC243" s="239">
        <v>0</v>
      </c>
      <c r="AD243" s="239">
        <v>0</v>
      </c>
      <c r="AE243" s="239" t="s">
        <v>720</v>
      </c>
      <c r="AF243" s="239" t="s">
        <v>721</v>
      </c>
      <c r="AG243" s="239">
        <f t="shared" si="16"/>
        <v>0</v>
      </c>
      <c r="AH243" s="239">
        <f t="shared" si="17"/>
        <v>0</v>
      </c>
      <c r="AI243" s="239">
        <f t="shared" si="18"/>
        <v>0</v>
      </c>
      <c r="AJ243" s="239">
        <f t="shared" si="19"/>
        <v>0</v>
      </c>
    </row>
    <row r="244" spans="1:36" x14ac:dyDescent="0.2">
      <c r="A244" s="240" t="str">
        <f t="shared" si="15"/>
        <v>2SNCF107832C_30</v>
      </c>
      <c r="B244" s="239" t="s">
        <v>19</v>
      </c>
      <c r="C244" s="239" t="s">
        <v>20</v>
      </c>
      <c r="D244" s="239" t="s">
        <v>2481</v>
      </c>
      <c r="E244" s="239" t="s">
        <v>2482</v>
      </c>
      <c r="F244" s="239" t="s">
        <v>2513</v>
      </c>
      <c r="G244" s="239">
        <v>30</v>
      </c>
      <c r="H244" s="239" t="s">
        <v>928</v>
      </c>
      <c r="I244" s="239" t="s">
        <v>2484</v>
      </c>
      <c r="J244" s="239" t="s">
        <v>928</v>
      </c>
      <c r="K244" s="239" t="s">
        <v>2398</v>
      </c>
      <c r="L244" s="239">
        <v>492.36</v>
      </c>
      <c r="M244" s="239">
        <v>0</v>
      </c>
      <c r="N244" s="239">
        <v>0</v>
      </c>
      <c r="O244" s="239">
        <v>0</v>
      </c>
      <c r="P244" s="239">
        <v>0</v>
      </c>
      <c r="Q244" s="239">
        <v>0</v>
      </c>
      <c r="R244" s="239">
        <v>0</v>
      </c>
      <c r="S244" s="239">
        <v>0</v>
      </c>
      <c r="T244" s="239">
        <v>0</v>
      </c>
      <c r="U244" s="239">
        <v>0</v>
      </c>
      <c r="V244" s="239">
        <v>0</v>
      </c>
      <c r="W244" s="239">
        <v>0</v>
      </c>
      <c r="X244" s="239">
        <v>0</v>
      </c>
      <c r="Y244" s="239">
        <v>416.8</v>
      </c>
      <c r="Z244" s="239">
        <v>0</v>
      </c>
      <c r="AA244" s="239">
        <v>0</v>
      </c>
      <c r="AB244" s="239">
        <v>75.56</v>
      </c>
      <c r="AC244" s="239">
        <v>0</v>
      </c>
      <c r="AD244" s="239">
        <v>0</v>
      </c>
      <c r="AE244" s="239" t="s">
        <v>720</v>
      </c>
      <c r="AF244" s="239" t="s">
        <v>721</v>
      </c>
      <c r="AG244" s="239">
        <f t="shared" si="16"/>
        <v>0</v>
      </c>
      <c r="AH244" s="239">
        <f t="shared" si="17"/>
        <v>0</v>
      </c>
      <c r="AI244" s="239">
        <f t="shared" si="18"/>
        <v>0</v>
      </c>
      <c r="AJ244" s="239">
        <f t="shared" si="19"/>
        <v>0</v>
      </c>
    </row>
    <row r="245" spans="1:36" x14ac:dyDescent="0.2">
      <c r="A245" s="240" t="str">
        <f t="shared" si="15"/>
        <v>SNCF107832C_30</v>
      </c>
      <c r="B245" s="239" t="s">
        <v>19</v>
      </c>
      <c r="C245" s="239" t="s">
        <v>20</v>
      </c>
      <c r="D245" s="239" t="s">
        <v>2481</v>
      </c>
      <c r="E245" s="239" t="s">
        <v>2482</v>
      </c>
      <c r="F245" s="239" t="s">
        <v>2513</v>
      </c>
      <c r="G245" s="239">
        <v>30</v>
      </c>
      <c r="H245" s="239" t="s">
        <v>928</v>
      </c>
      <c r="I245" s="239" t="s">
        <v>928</v>
      </c>
      <c r="J245" s="239" t="s">
        <v>928</v>
      </c>
      <c r="K245" s="239" t="s">
        <v>2398</v>
      </c>
      <c r="L245" s="239">
        <v>492.36</v>
      </c>
      <c r="M245" s="239">
        <v>0</v>
      </c>
      <c r="N245" s="239">
        <v>0</v>
      </c>
      <c r="O245" s="239">
        <v>0</v>
      </c>
      <c r="P245" s="239">
        <v>0</v>
      </c>
      <c r="Q245" s="239">
        <v>0</v>
      </c>
      <c r="R245" s="239">
        <v>0</v>
      </c>
      <c r="S245" s="239">
        <v>0</v>
      </c>
      <c r="T245" s="239">
        <v>0</v>
      </c>
      <c r="U245" s="239">
        <v>0</v>
      </c>
      <c r="V245" s="239">
        <v>0</v>
      </c>
      <c r="W245" s="239">
        <v>0</v>
      </c>
      <c r="X245" s="239">
        <v>0</v>
      </c>
      <c r="Y245" s="239">
        <v>416.8</v>
      </c>
      <c r="Z245" s="239">
        <v>0</v>
      </c>
      <c r="AA245" s="239">
        <v>0</v>
      </c>
      <c r="AB245" s="239">
        <v>75.56</v>
      </c>
      <c r="AC245" s="239">
        <v>0</v>
      </c>
      <c r="AD245" s="239">
        <v>0</v>
      </c>
      <c r="AE245" s="239" t="s">
        <v>720</v>
      </c>
      <c r="AF245" s="239" t="s">
        <v>721</v>
      </c>
      <c r="AG245" s="239">
        <f t="shared" si="16"/>
        <v>0</v>
      </c>
      <c r="AH245" s="239">
        <f t="shared" si="17"/>
        <v>0</v>
      </c>
      <c r="AI245" s="239">
        <f t="shared" si="18"/>
        <v>0</v>
      </c>
      <c r="AJ245" s="239">
        <f t="shared" si="19"/>
        <v>0</v>
      </c>
    </row>
    <row r="246" spans="1:36" x14ac:dyDescent="0.2">
      <c r="A246" s="240" t="str">
        <f t="shared" si="15"/>
        <v>2SNCF107832C_50</v>
      </c>
      <c r="B246" s="239" t="s">
        <v>19</v>
      </c>
      <c r="C246" s="239" t="s">
        <v>20</v>
      </c>
      <c r="D246" s="239" t="s">
        <v>2481</v>
      </c>
      <c r="E246" s="239" t="s">
        <v>2482</v>
      </c>
      <c r="F246" s="239" t="s">
        <v>2513</v>
      </c>
      <c r="G246" s="239">
        <v>50</v>
      </c>
      <c r="H246" s="239" t="s">
        <v>928</v>
      </c>
      <c r="I246" s="239" t="s">
        <v>2484</v>
      </c>
      <c r="J246" s="239" t="s">
        <v>928</v>
      </c>
      <c r="K246" s="239" t="s">
        <v>2398</v>
      </c>
      <c r="L246" s="239">
        <v>513.05999999999995</v>
      </c>
      <c r="M246" s="239">
        <v>0</v>
      </c>
      <c r="N246" s="239">
        <v>0</v>
      </c>
      <c r="O246" s="239">
        <v>0</v>
      </c>
      <c r="P246" s="239">
        <v>0</v>
      </c>
      <c r="Q246" s="239">
        <v>0</v>
      </c>
      <c r="R246" s="239">
        <v>0</v>
      </c>
      <c r="S246" s="239">
        <v>0</v>
      </c>
      <c r="T246" s="239">
        <v>0</v>
      </c>
      <c r="U246" s="239">
        <v>0</v>
      </c>
      <c r="V246" s="239">
        <v>0</v>
      </c>
      <c r="W246" s="239">
        <v>0</v>
      </c>
      <c r="X246" s="239">
        <v>0</v>
      </c>
      <c r="Y246" s="239">
        <v>426.21</v>
      </c>
      <c r="Z246" s="239">
        <v>0</v>
      </c>
      <c r="AA246" s="239">
        <v>0</v>
      </c>
      <c r="AB246" s="239">
        <v>86.85</v>
      </c>
      <c r="AC246" s="239">
        <v>0</v>
      </c>
      <c r="AD246" s="239">
        <v>0</v>
      </c>
      <c r="AE246" s="239" t="s">
        <v>720</v>
      </c>
      <c r="AF246" s="239" t="s">
        <v>721</v>
      </c>
      <c r="AG246" s="239">
        <f t="shared" si="16"/>
        <v>0</v>
      </c>
      <c r="AH246" s="239">
        <f t="shared" si="17"/>
        <v>0</v>
      </c>
      <c r="AI246" s="239">
        <f t="shared" si="18"/>
        <v>0</v>
      </c>
      <c r="AJ246" s="239">
        <f t="shared" si="19"/>
        <v>0</v>
      </c>
    </row>
    <row r="247" spans="1:36" x14ac:dyDescent="0.2">
      <c r="A247" s="240" t="str">
        <f t="shared" si="15"/>
        <v>SNCF107832C_50</v>
      </c>
      <c r="B247" s="239" t="s">
        <v>19</v>
      </c>
      <c r="C247" s="239" t="s">
        <v>20</v>
      </c>
      <c r="D247" s="239" t="s">
        <v>2481</v>
      </c>
      <c r="E247" s="239" t="s">
        <v>2482</v>
      </c>
      <c r="F247" s="239" t="s">
        <v>2513</v>
      </c>
      <c r="G247" s="239">
        <v>50</v>
      </c>
      <c r="H247" s="239" t="s">
        <v>928</v>
      </c>
      <c r="I247" s="239" t="s">
        <v>928</v>
      </c>
      <c r="J247" s="239" t="s">
        <v>928</v>
      </c>
      <c r="K247" s="239" t="s">
        <v>2398</v>
      </c>
      <c r="L247" s="239">
        <v>513.05999999999995</v>
      </c>
      <c r="M247" s="239">
        <v>0</v>
      </c>
      <c r="N247" s="239">
        <v>0</v>
      </c>
      <c r="O247" s="239">
        <v>0</v>
      </c>
      <c r="P247" s="239">
        <v>0</v>
      </c>
      <c r="Q247" s="239">
        <v>0</v>
      </c>
      <c r="R247" s="239">
        <v>0</v>
      </c>
      <c r="S247" s="239">
        <v>0</v>
      </c>
      <c r="T247" s="239">
        <v>0</v>
      </c>
      <c r="U247" s="239">
        <v>0</v>
      </c>
      <c r="V247" s="239">
        <v>0</v>
      </c>
      <c r="W247" s="239">
        <v>0</v>
      </c>
      <c r="X247" s="239">
        <v>0</v>
      </c>
      <c r="Y247" s="239">
        <v>426.21</v>
      </c>
      <c r="Z247" s="239">
        <v>0</v>
      </c>
      <c r="AA247" s="239">
        <v>0</v>
      </c>
      <c r="AB247" s="239">
        <v>86.85</v>
      </c>
      <c r="AC247" s="239">
        <v>0</v>
      </c>
      <c r="AD247" s="239">
        <v>0</v>
      </c>
      <c r="AE247" s="239" t="s">
        <v>720</v>
      </c>
      <c r="AF247" s="239" t="s">
        <v>721</v>
      </c>
      <c r="AG247" s="239">
        <f t="shared" si="16"/>
        <v>0</v>
      </c>
      <c r="AH247" s="239">
        <f t="shared" si="17"/>
        <v>0</v>
      </c>
      <c r="AI247" s="239">
        <f t="shared" si="18"/>
        <v>0</v>
      </c>
      <c r="AJ247" s="239">
        <f t="shared" si="19"/>
        <v>0</v>
      </c>
    </row>
    <row r="248" spans="1:36" x14ac:dyDescent="0.2">
      <c r="A248" s="240" t="str">
        <f t="shared" si="15"/>
        <v>2SNCF107A6230</v>
      </c>
      <c r="B248" s="239" t="s">
        <v>19</v>
      </c>
      <c r="C248" s="239" t="s">
        <v>20</v>
      </c>
      <c r="D248" s="239" t="s">
        <v>2481</v>
      </c>
      <c r="E248" s="239" t="s">
        <v>2482</v>
      </c>
      <c r="F248" s="239" t="s">
        <v>2514</v>
      </c>
      <c r="G248" s="239">
        <v>30</v>
      </c>
      <c r="H248" s="239" t="s">
        <v>928</v>
      </c>
      <c r="I248" s="239" t="s">
        <v>2484</v>
      </c>
      <c r="J248" s="239" t="s">
        <v>928</v>
      </c>
      <c r="K248" s="239" t="s">
        <v>2398</v>
      </c>
      <c r="L248" s="239">
        <v>464.12</v>
      </c>
      <c r="M248" s="239">
        <v>0</v>
      </c>
      <c r="N248" s="239">
        <v>0</v>
      </c>
      <c r="O248" s="239">
        <v>0</v>
      </c>
      <c r="P248" s="239">
        <v>0</v>
      </c>
      <c r="Q248" s="239">
        <v>0</v>
      </c>
      <c r="R248" s="239">
        <v>0</v>
      </c>
      <c r="S248" s="239">
        <v>0</v>
      </c>
      <c r="T248" s="239">
        <v>0</v>
      </c>
      <c r="U248" s="239">
        <v>0</v>
      </c>
      <c r="V248" s="239">
        <v>0</v>
      </c>
      <c r="W248" s="239">
        <v>0</v>
      </c>
      <c r="X248" s="239">
        <v>0</v>
      </c>
      <c r="Y248" s="239">
        <v>373.74</v>
      </c>
      <c r="Z248" s="239">
        <v>0</v>
      </c>
      <c r="AA248" s="239">
        <v>0</v>
      </c>
      <c r="AB248" s="239">
        <v>90.38</v>
      </c>
      <c r="AC248" s="239">
        <v>0</v>
      </c>
      <c r="AD248" s="239">
        <v>0</v>
      </c>
      <c r="AE248" s="239" t="s">
        <v>720</v>
      </c>
      <c r="AF248" s="239" t="s">
        <v>721</v>
      </c>
      <c r="AG248" s="239">
        <f t="shared" si="16"/>
        <v>0</v>
      </c>
      <c r="AH248" s="239">
        <f t="shared" si="17"/>
        <v>0</v>
      </c>
      <c r="AI248" s="239">
        <f t="shared" si="18"/>
        <v>0</v>
      </c>
      <c r="AJ248" s="239">
        <f t="shared" si="19"/>
        <v>0</v>
      </c>
    </row>
    <row r="249" spans="1:36" x14ac:dyDescent="0.2">
      <c r="A249" s="240" t="str">
        <f t="shared" si="15"/>
        <v>SNCF107A6230</v>
      </c>
      <c r="B249" s="239" t="s">
        <v>19</v>
      </c>
      <c r="C249" s="239" t="s">
        <v>20</v>
      </c>
      <c r="D249" s="239" t="s">
        <v>2481</v>
      </c>
      <c r="E249" s="239" t="s">
        <v>2482</v>
      </c>
      <c r="F249" s="239" t="s">
        <v>2514</v>
      </c>
      <c r="G249" s="239">
        <v>30</v>
      </c>
      <c r="H249" s="239" t="s">
        <v>928</v>
      </c>
      <c r="I249" s="239" t="s">
        <v>928</v>
      </c>
      <c r="J249" s="239" t="s">
        <v>928</v>
      </c>
      <c r="K249" s="239" t="s">
        <v>2398</v>
      </c>
      <c r="L249" s="239">
        <v>464.12</v>
      </c>
      <c r="M249" s="239">
        <v>0</v>
      </c>
      <c r="N249" s="239">
        <v>0</v>
      </c>
      <c r="O249" s="239">
        <v>0</v>
      </c>
      <c r="P249" s="239">
        <v>0</v>
      </c>
      <c r="Q249" s="239">
        <v>0</v>
      </c>
      <c r="R249" s="239">
        <v>0</v>
      </c>
      <c r="S249" s="239">
        <v>0</v>
      </c>
      <c r="T249" s="239">
        <v>0</v>
      </c>
      <c r="U249" s="239">
        <v>0</v>
      </c>
      <c r="V249" s="239">
        <v>0</v>
      </c>
      <c r="W249" s="239">
        <v>0</v>
      </c>
      <c r="X249" s="239">
        <v>0</v>
      </c>
      <c r="Y249" s="239">
        <v>373.74</v>
      </c>
      <c r="Z249" s="239">
        <v>0</v>
      </c>
      <c r="AA249" s="239">
        <v>0</v>
      </c>
      <c r="AB249" s="239">
        <v>90.38</v>
      </c>
      <c r="AC249" s="239">
        <v>0</v>
      </c>
      <c r="AD249" s="239">
        <v>0</v>
      </c>
      <c r="AE249" s="239" t="s">
        <v>720</v>
      </c>
      <c r="AF249" s="239" t="s">
        <v>721</v>
      </c>
      <c r="AG249" s="239">
        <f t="shared" si="16"/>
        <v>0</v>
      </c>
      <c r="AH249" s="239">
        <f t="shared" si="17"/>
        <v>0</v>
      </c>
      <c r="AI249" s="239">
        <f t="shared" si="18"/>
        <v>0</v>
      </c>
      <c r="AJ249" s="239">
        <f t="shared" si="19"/>
        <v>0</v>
      </c>
    </row>
    <row r="250" spans="1:36" x14ac:dyDescent="0.2">
      <c r="A250" s="240" t="str">
        <f t="shared" si="15"/>
        <v>2SNCF107A6250</v>
      </c>
      <c r="B250" s="239" t="s">
        <v>19</v>
      </c>
      <c r="C250" s="239" t="s">
        <v>20</v>
      </c>
      <c r="D250" s="239" t="s">
        <v>2481</v>
      </c>
      <c r="E250" s="239" t="s">
        <v>2482</v>
      </c>
      <c r="F250" s="239" t="s">
        <v>2514</v>
      </c>
      <c r="G250" s="239">
        <v>50</v>
      </c>
      <c r="H250" s="239" t="s">
        <v>928</v>
      </c>
      <c r="I250" s="239" t="s">
        <v>2484</v>
      </c>
      <c r="J250" s="239" t="s">
        <v>928</v>
      </c>
      <c r="K250" s="239" t="s">
        <v>2398</v>
      </c>
      <c r="L250" s="239">
        <v>563.44000000000005</v>
      </c>
      <c r="M250" s="239">
        <v>0</v>
      </c>
      <c r="N250" s="239">
        <v>0</v>
      </c>
      <c r="O250" s="239">
        <v>0</v>
      </c>
      <c r="P250" s="239">
        <v>0</v>
      </c>
      <c r="Q250" s="239">
        <v>0</v>
      </c>
      <c r="R250" s="239">
        <v>0</v>
      </c>
      <c r="S250" s="239">
        <v>0</v>
      </c>
      <c r="T250" s="239">
        <v>0</v>
      </c>
      <c r="U250" s="239">
        <v>0</v>
      </c>
      <c r="V250" s="239">
        <v>0</v>
      </c>
      <c r="W250" s="239">
        <v>0</v>
      </c>
      <c r="X250" s="239">
        <v>0</v>
      </c>
      <c r="Y250" s="239">
        <v>445.24</v>
      </c>
      <c r="Z250" s="239">
        <v>0</v>
      </c>
      <c r="AA250" s="239">
        <v>0</v>
      </c>
      <c r="AB250" s="239">
        <v>118.19</v>
      </c>
      <c r="AC250" s="239">
        <v>0</v>
      </c>
      <c r="AD250" s="239">
        <v>0</v>
      </c>
      <c r="AE250" s="239" t="s">
        <v>720</v>
      </c>
      <c r="AF250" s="239" t="s">
        <v>721</v>
      </c>
      <c r="AG250" s="239">
        <f t="shared" si="16"/>
        <v>0</v>
      </c>
      <c r="AH250" s="239">
        <f t="shared" si="17"/>
        <v>0</v>
      </c>
      <c r="AI250" s="239">
        <f t="shared" si="18"/>
        <v>0</v>
      </c>
      <c r="AJ250" s="239">
        <f t="shared" si="19"/>
        <v>0</v>
      </c>
    </row>
    <row r="251" spans="1:36" x14ac:dyDescent="0.2">
      <c r="A251" s="240" t="str">
        <f t="shared" si="15"/>
        <v>SNCF107A6250</v>
      </c>
      <c r="B251" s="239" t="s">
        <v>19</v>
      </c>
      <c r="C251" s="239" t="s">
        <v>20</v>
      </c>
      <c r="D251" s="239" t="s">
        <v>2481</v>
      </c>
      <c r="E251" s="239" t="s">
        <v>2482</v>
      </c>
      <c r="F251" s="239" t="s">
        <v>2514</v>
      </c>
      <c r="G251" s="239">
        <v>50</v>
      </c>
      <c r="H251" s="239" t="s">
        <v>928</v>
      </c>
      <c r="I251" s="239" t="s">
        <v>928</v>
      </c>
      <c r="J251" s="239" t="s">
        <v>928</v>
      </c>
      <c r="K251" s="239" t="s">
        <v>2398</v>
      </c>
      <c r="L251" s="239">
        <v>563.44000000000005</v>
      </c>
      <c r="M251" s="239">
        <v>0</v>
      </c>
      <c r="N251" s="239">
        <v>0</v>
      </c>
      <c r="O251" s="239">
        <v>0</v>
      </c>
      <c r="P251" s="239">
        <v>0</v>
      </c>
      <c r="Q251" s="239">
        <v>0</v>
      </c>
      <c r="R251" s="239">
        <v>0</v>
      </c>
      <c r="S251" s="239">
        <v>0</v>
      </c>
      <c r="T251" s="239">
        <v>0</v>
      </c>
      <c r="U251" s="239">
        <v>0</v>
      </c>
      <c r="V251" s="239">
        <v>0</v>
      </c>
      <c r="W251" s="239">
        <v>0</v>
      </c>
      <c r="X251" s="239">
        <v>0</v>
      </c>
      <c r="Y251" s="239">
        <v>445.24</v>
      </c>
      <c r="Z251" s="239">
        <v>0</v>
      </c>
      <c r="AA251" s="239">
        <v>0</v>
      </c>
      <c r="AB251" s="239">
        <v>118.19</v>
      </c>
      <c r="AC251" s="239">
        <v>0</v>
      </c>
      <c r="AD251" s="239">
        <v>0</v>
      </c>
      <c r="AE251" s="239" t="s">
        <v>720</v>
      </c>
      <c r="AF251" s="239" t="s">
        <v>721</v>
      </c>
      <c r="AG251" s="239">
        <f t="shared" si="16"/>
        <v>0</v>
      </c>
      <c r="AH251" s="239">
        <f t="shared" si="17"/>
        <v>0</v>
      </c>
      <c r="AI251" s="239">
        <f t="shared" si="18"/>
        <v>0</v>
      </c>
      <c r="AJ251" s="239">
        <f t="shared" si="19"/>
        <v>0</v>
      </c>
    </row>
    <row r="252" spans="1:36" x14ac:dyDescent="0.2">
      <c r="A252" s="240" t="str">
        <f t="shared" si="15"/>
        <v>2SNCF107E4275</v>
      </c>
      <c r="B252" s="239" t="s">
        <v>19</v>
      </c>
      <c r="C252" s="239" t="s">
        <v>20</v>
      </c>
      <c r="D252" s="239" t="s">
        <v>2481</v>
      </c>
      <c r="E252" s="239" t="s">
        <v>2482</v>
      </c>
      <c r="F252" s="239" t="s">
        <v>2515</v>
      </c>
      <c r="G252" s="239">
        <v>75</v>
      </c>
      <c r="H252" s="239" t="s">
        <v>928</v>
      </c>
      <c r="I252" s="239" t="s">
        <v>2484</v>
      </c>
      <c r="J252" s="239" t="s">
        <v>928</v>
      </c>
      <c r="K252" s="239" t="s">
        <v>2398</v>
      </c>
      <c r="L252" s="239">
        <v>685.07</v>
      </c>
      <c r="M252" s="239">
        <v>0</v>
      </c>
      <c r="N252" s="239">
        <v>0</v>
      </c>
      <c r="O252" s="239">
        <v>0</v>
      </c>
      <c r="P252" s="239">
        <v>0</v>
      </c>
      <c r="Q252" s="239">
        <v>0</v>
      </c>
      <c r="R252" s="239">
        <v>0</v>
      </c>
      <c r="S252" s="239">
        <v>0</v>
      </c>
      <c r="T252" s="239">
        <v>0</v>
      </c>
      <c r="U252" s="239">
        <v>0</v>
      </c>
      <c r="V252" s="239">
        <v>0</v>
      </c>
      <c r="W252" s="239">
        <v>0</v>
      </c>
      <c r="X252" s="239">
        <v>0</v>
      </c>
      <c r="Y252" s="239">
        <v>489.15</v>
      </c>
      <c r="Z252" s="239">
        <v>0</v>
      </c>
      <c r="AA252" s="239">
        <v>0</v>
      </c>
      <c r="AB252" s="239">
        <v>195.92</v>
      </c>
      <c r="AC252" s="239">
        <v>0</v>
      </c>
      <c r="AD252" s="239">
        <v>0</v>
      </c>
      <c r="AE252" s="239" t="s">
        <v>720</v>
      </c>
      <c r="AF252" s="239" t="s">
        <v>721</v>
      </c>
      <c r="AG252" s="239">
        <f t="shared" si="16"/>
        <v>0</v>
      </c>
      <c r="AH252" s="239">
        <f t="shared" si="17"/>
        <v>0</v>
      </c>
      <c r="AI252" s="239">
        <f t="shared" si="18"/>
        <v>0</v>
      </c>
      <c r="AJ252" s="239">
        <f t="shared" si="19"/>
        <v>0</v>
      </c>
    </row>
    <row r="253" spans="1:36" x14ac:dyDescent="0.2">
      <c r="A253" s="240" t="str">
        <f t="shared" si="15"/>
        <v>SNCF107E4275</v>
      </c>
      <c r="B253" s="239" t="s">
        <v>19</v>
      </c>
      <c r="C253" s="239" t="s">
        <v>20</v>
      </c>
      <c r="D253" s="239" t="s">
        <v>2481</v>
      </c>
      <c r="E253" s="239" t="s">
        <v>2482</v>
      </c>
      <c r="F253" s="239" t="s">
        <v>2515</v>
      </c>
      <c r="G253" s="239">
        <v>75</v>
      </c>
      <c r="H253" s="239" t="s">
        <v>928</v>
      </c>
      <c r="I253" s="239" t="s">
        <v>928</v>
      </c>
      <c r="J253" s="239" t="s">
        <v>928</v>
      </c>
      <c r="K253" s="239" t="s">
        <v>2398</v>
      </c>
      <c r="L253" s="239">
        <v>685.07</v>
      </c>
      <c r="M253" s="239">
        <v>0</v>
      </c>
      <c r="N253" s="239">
        <v>0</v>
      </c>
      <c r="O253" s="239">
        <v>0</v>
      </c>
      <c r="P253" s="239">
        <v>0</v>
      </c>
      <c r="Q253" s="239">
        <v>0</v>
      </c>
      <c r="R253" s="239">
        <v>0</v>
      </c>
      <c r="S253" s="239">
        <v>0</v>
      </c>
      <c r="T253" s="239">
        <v>0</v>
      </c>
      <c r="U253" s="239">
        <v>0</v>
      </c>
      <c r="V253" s="239">
        <v>0</v>
      </c>
      <c r="W253" s="239">
        <v>0</v>
      </c>
      <c r="X253" s="239">
        <v>0</v>
      </c>
      <c r="Y253" s="239">
        <v>489.15</v>
      </c>
      <c r="Z253" s="239">
        <v>0</v>
      </c>
      <c r="AA253" s="239">
        <v>0</v>
      </c>
      <c r="AB253" s="239">
        <v>195.92</v>
      </c>
      <c r="AC253" s="239">
        <v>0</v>
      </c>
      <c r="AD253" s="239">
        <v>0</v>
      </c>
      <c r="AE253" s="239" t="s">
        <v>720</v>
      </c>
      <c r="AF253" s="239" t="s">
        <v>721</v>
      </c>
      <c r="AG253" s="239">
        <f t="shared" si="16"/>
        <v>0</v>
      </c>
      <c r="AH253" s="239">
        <f t="shared" si="17"/>
        <v>0</v>
      </c>
      <c r="AI253" s="239">
        <f t="shared" si="18"/>
        <v>0</v>
      </c>
      <c r="AJ253" s="239">
        <f t="shared" si="19"/>
        <v>0</v>
      </c>
    </row>
    <row r="254" spans="1:36" x14ac:dyDescent="0.2">
      <c r="A254" s="240" t="str">
        <f t="shared" si="15"/>
        <v>2SNCF107H5230</v>
      </c>
      <c r="B254" s="239" t="s">
        <v>19</v>
      </c>
      <c r="C254" s="239" t="s">
        <v>20</v>
      </c>
      <c r="D254" s="239" t="s">
        <v>2481</v>
      </c>
      <c r="E254" s="239" t="s">
        <v>2482</v>
      </c>
      <c r="F254" s="239" t="s">
        <v>2516</v>
      </c>
      <c r="G254" s="239">
        <v>30</v>
      </c>
      <c r="H254" s="239" t="s">
        <v>928</v>
      </c>
      <c r="I254" s="239" t="s">
        <v>2484</v>
      </c>
      <c r="J254" s="239" t="s">
        <v>928</v>
      </c>
      <c r="K254" s="239" t="s">
        <v>2398</v>
      </c>
      <c r="L254" s="239">
        <v>539.58000000000004</v>
      </c>
      <c r="M254" s="239">
        <v>0</v>
      </c>
      <c r="N254" s="239">
        <v>0</v>
      </c>
      <c r="O254" s="239">
        <v>0</v>
      </c>
      <c r="P254" s="239">
        <v>0</v>
      </c>
      <c r="Q254" s="239">
        <v>0</v>
      </c>
      <c r="R254" s="239">
        <v>0</v>
      </c>
      <c r="S254" s="239">
        <v>0</v>
      </c>
      <c r="T254" s="239">
        <v>0</v>
      </c>
      <c r="U254" s="239">
        <v>0</v>
      </c>
      <c r="V254" s="239">
        <v>0</v>
      </c>
      <c r="W254" s="239">
        <v>0</v>
      </c>
      <c r="X254" s="239">
        <v>0</v>
      </c>
      <c r="Y254" s="239">
        <v>363.88</v>
      </c>
      <c r="Z254" s="239">
        <v>0</v>
      </c>
      <c r="AA254" s="239">
        <v>0</v>
      </c>
      <c r="AB254" s="239">
        <v>175.7</v>
      </c>
      <c r="AC254" s="239">
        <v>0</v>
      </c>
      <c r="AD254" s="239">
        <v>0</v>
      </c>
      <c r="AE254" s="239" t="s">
        <v>720</v>
      </c>
      <c r="AF254" s="239" t="s">
        <v>721</v>
      </c>
      <c r="AG254" s="239">
        <f t="shared" si="16"/>
        <v>0</v>
      </c>
      <c r="AH254" s="239">
        <f t="shared" si="17"/>
        <v>0</v>
      </c>
      <c r="AI254" s="239">
        <f t="shared" si="18"/>
        <v>0</v>
      </c>
      <c r="AJ254" s="239">
        <f t="shared" si="19"/>
        <v>0</v>
      </c>
    </row>
    <row r="255" spans="1:36" x14ac:dyDescent="0.2">
      <c r="A255" s="240" t="str">
        <f t="shared" si="15"/>
        <v>8SNCF107H5230</v>
      </c>
      <c r="B255" s="239" t="s">
        <v>19</v>
      </c>
      <c r="C255" s="239" t="s">
        <v>20</v>
      </c>
      <c r="D255" s="239" t="s">
        <v>2481</v>
      </c>
      <c r="E255" s="239" t="s">
        <v>2482</v>
      </c>
      <c r="F255" s="239" t="s">
        <v>2516</v>
      </c>
      <c r="G255" s="239">
        <v>30</v>
      </c>
      <c r="H255" s="239" t="s">
        <v>928</v>
      </c>
      <c r="I255" s="239" t="s">
        <v>2494</v>
      </c>
      <c r="J255" s="239" t="s">
        <v>928</v>
      </c>
      <c r="K255" s="239" t="s">
        <v>2398</v>
      </c>
      <c r="L255" s="239">
        <v>932.89</v>
      </c>
      <c r="M255" s="239">
        <v>0</v>
      </c>
      <c r="N255" s="239">
        <v>0</v>
      </c>
      <c r="O255" s="239">
        <v>0</v>
      </c>
      <c r="P255" s="239">
        <v>0</v>
      </c>
      <c r="Q255" s="239">
        <v>322.66000000000003</v>
      </c>
      <c r="R255" s="239">
        <v>0</v>
      </c>
      <c r="S255" s="239">
        <v>0</v>
      </c>
      <c r="T255" s="239">
        <v>0</v>
      </c>
      <c r="U255" s="239">
        <v>77.599999999999994</v>
      </c>
      <c r="V255" s="239">
        <v>0</v>
      </c>
      <c r="W255" s="239">
        <v>0</v>
      </c>
      <c r="X255" s="239">
        <v>0</v>
      </c>
      <c r="Y255" s="239">
        <v>356.93</v>
      </c>
      <c r="Z255" s="239">
        <v>0</v>
      </c>
      <c r="AA255" s="239">
        <v>0</v>
      </c>
      <c r="AB255" s="239">
        <v>175.7</v>
      </c>
      <c r="AC255" s="239">
        <v>0</v>
      </c>
      <c r="AD255" s="239">
        <v>0</v>
      </c>
      <c r="AE255" s="239" t="s">
        <v>720</v>
      </c>
      <c r="AF255" s="239" t="s">
        <v>721</v>
      </c>
      <c r="AG255" s="239">
        <f t="shared" si="16"/>
        <v>0</v>
      </c>
      <c r="AH255" s="239">
        <f t="shared" si="17"/>
        <v>0</v>
      </c>
      <c r="AI255" s="239">
        <f t="shared" si="18"/>
        <v>0</v>
      </c>
      <c r="AJ255" s="239">
        <f t="shared" si="19"/>
        <v>0</v>
      </c>
    </row>
    <row r="256" spans="1:36" x14ac:dyDescent="0.2">
      <c r="A256" s="240" t="str">
        <f t="shared" si="15"/>
        <v>SNCF107H5230</v>
      </c>
      <c r="B256" s="239" t="s">
        <v>19</v>
      </c>
      <c r="C256" s="239" t="s">
        <v>20</v>
      </c>
      <c r="D256" s="239" t="s">
        <v>2481</v>
      </c>
      <c r="E256" s="239" t="s">
        <v>2482</v>
      </c>
      <c r="F256" s="239" t="s">
        <v>2516</v>
      </c>
      <c r="G256" s="239">
        <v>30</v>
      </c>
      <c r="H256" s="239" t="s">
        <v>928</v>
      </c>
      <c r="I256" s="239" t="s">
        <v>928</v>
      </c>
      <c r="J256" s="239" t="s">
        <v>928</v>
      </c>
      <c r="K256" s="239" t="s">
        <v>2398</v>
      </c>
      <c r="L256" s="239">
        <v>539.58000000000004</v>
      </c>
      <c r="M256" s="239">
        <v>0</v>
      </c>
      <c r="N256" s="239">
        <v>0</v>
      </c>
      <c r="O256" s="239">
        <v>0</v>
      </c>
      <c r="P256" s="239">
        <v>0</v>
      </c>
      <c r="Q256" s="239">
        <v>0</v>
      </c>
      <c r="R256" s="239">
        <v>0</v>
      </c>
      <c r="S256" s="239">
        <v>0</v>
      </c>
      <c r="T256" s="239">
        <v>0</v>
      </c>
      <c r="U256" s="239">
        <v>0</v>
      </c>
      <c r="V256" s="239">
        <v>0</v>
      </c>
      <c r="W256" s="239">
        <v>0</v>
      </c>
      <c r="X256" s="239">
        <v>0</v>
      </c>
      <c r="Y256" s="239">
        <v>363.88</v>
      </c>
      <c r="Z256" s="239">
        <v>0</v>
      </c>
      <c r="AA256" s="239">
        <v>0</v>
      </c>
      <c r="AB256" s="239">
        <v>175.7</v>
      </c>
      <c r="AC256" s="239">
        <v>0</v>
      </c>
      <c r="AD256" s="239">
        <v>0</v>
      </c>
      <c r="AE256" s="239" t="s">
        <v>720</v>
      </c>
      <c r="AF256" s="239" t="s">
        <v>721</v>
      </c>
      <c r="AG256" s="239">
        <f t="shared" si="16"/>
        <v>0</v>
      </c>
      <c r="AH256" s="239">
        <f t="shared" si="17"/>
        <v>0</v>
      </c>
      <c r="AI256" s="239">
        <f t="shared" si="18"/>
        <v>0</v>
      </c>
      <c r="AJ256" s="239">
        <f t="shared" si="19"/>
        <v>0</v>
      </c>
    </row>
    <row r="257" spans="1:36" x14ac:dyDescent="0.2">
      <c r="A257" s="240" t="str">
        <f t="shared" si="15"/>
        <v>2SNCF107H5250</v>
      </c>
      <c r="B257" s="239" t="s">
        <v>19</v>
      </c>
      <c r="C257" s="239" t="s">
        <v>20</v>
      </c>
      <c r="D257" s="239" t="s">
        <v>2481</v>
      </c>
      <c r="E257" s="239" t="s">
        <v>2482</v>
      </c>
      <c r="F257" s="239" t="s">
        <v>2516</v>
      </c>
      <c r="G257" s="239">
        <v>50</v>
      </c>
      <c r="H257" s="239" t="s">
        <v>928</v>
      </c>
      <c r="I257" s="239" t="s">
        <v>2484</v>
      </c>
      <c r="J257" s="239" t="s">
        <v>928</v>
      </c>
      <c r="K257" s="239" t="s">
        <v>2398</v>
      </c>
      <c r="L257" s="239">
        <v>633.64</v>
      </c>
      <c r="M257" s="239">
        <v>0</v>
      </c>
      <c r="N257" s="239">
        <v>0</v>
      </c>
      <c r="O257" s="239">
        <v>0</v>
      </c>
      <c r="P257" s="239">
        <v>0</v>
      </c>
      <c r="Q257" s="239">
        <v>0</v>
      </c>
      <c r="R257" s="239">
        <v>0</v>
      </c>
      <c r="S257" s="239">
        <v>0</v>
      </c>
      <c r="T257" s="239">
        <v>0</v>
      </c>
      <c r="U257" s="239">
        <v>0</v>
      </c>
      <c r="V257" s="239">
        <v>0</v>
      </c>
      <c r="W257" s="239">
        <v>0</v>
      </c>
      <c r="X257" s="239">
        <v>0</v>
      </c>
      <c r="Y257" s="239">
        <v>438.07</v>
      </c>
      <c r="Z257" s="239">
        <v>0</v>
      </c>
      <c r="AA257" s="239">
        <v>0</v>
      </c>
      <c r="AB257" s="239">
        <v>195.58</v>
      </c>
      <c r="AC257" s="239">
        <v>0</v>
      </c>
      <c r="AD257" s="239">
        <v>0</v>
      </c>
      <c r="AE257" s="239" t="s">
        <v>720</v>
      </c>
      <c r="AF257" s="239" t="s">
        <v>721</v>
      </c>
      <c r="AG257" s="239">
        <f t="shared" si="16"/>
        <v>0</v>
      </c>
      <c r="AH257" s="239">
        <f t="shared" si="17"/>
        <v>0</v>
      </c>
      <c r="AI257" s="239">
        <f t="shared" si="18"/>
        <v>0</v>
      </c>
      <c r="AJ257" s="239">
        <f t="shared" si="19"/>
        <v>0</v>
      </c>
    </row>
    <row r="258" spans="1:36" x14ac:dyDescent="0.2">
      <c r="A258" s="240" t="str">
        <f t="shared" si="15"/>
        <v>SNCF107H5250</v>
      </c>
      <c r="B258" s="239" t="s">
        <v>19</v>
      </c>
      <c r="C258" s="239" t="s">
        <v>20</v>
      </c>
      <c r="D258" s="239" t="s">
        <v>2481</v>
      </c>
      <c r="E258" s="239" t="s">
        <v>2482</v>
      </c>
      <c r="F258" s="239" t="s">
        <v>2516</v>
      </c>
      <c r="G258" s="239">
        <v>50</v>
      </c>
      <c r="H258" s="239" t="s">
        <v>928</v>
      </c>
      <c r="I258" s="239" t="s">
        <v>928</v>
      </c>
      <c r="J258" s="239" t="s">
        <v>928</v>
      </c>
      <c r="K258" s="239" t="s">
        <v>2398</v>
      </c>
      <c r="L258" s="239">
        <v>633.64</v>
      </c>
      <c r="M258" s="239">
        <v>0</v>
      </c>
      <c r="N258" s="239">
        <v>0</v>
      </c>
      <c r="O258" s="239">
        <v>0</v>
      </c>
      <c r="P258" s="239">
        <v>0</v>
      </c>
      <c r="Q258" s="239">
        <v>0</v>
      </c>
      <c r="R258" s="239">
        <v>0</v>
      </c>
      <c r="S258" s="239">
        <v>0</v>
      </c>
      <c r="T258" s="239">
        <v>0</v>
      </c>
      <c r="U258" s="239">
        <v>0</v>
      </c>
      <c r="V258" s="239">
        <v>0</v>
      </c>
      <c r="W258" s="239">
        <v>0</v>
      </c>
      <c r="X258" s="239">
        <v>0</v>
      </c>
      <c r="Y258" s="239">
        <v>438.07</v>
      </c>
      <c r="Z258" s="239">
        <v>0</v>
      </c>
      <c r="AA258" s="239">
        <v>0</v>
      </c>
      <c r="AB258" s="239">
        <v>195.58</v>
      </c>
      <c r="AC258" s="239">
        <v>0</v>
      </c>
      <c r="AD258" s="239">
        <v>0</v>
      </c>
      <c r="AE258" s="239" t="s">
        <v>720</v>
      </c>
      <c r="AF258" s="239" t="s">
        <v>721</v>
      </c>
      <c r="AG258" s="239">
        <f t="shared" si="16"/>
        <v>0</v>
      </c>
      <c r="AH258" s="239">
        <f t="shared" si="17"/>
        <v>0</v>
      </c>
      <c r="AI258" s="239">
        <f t="shared" si="18"/>
        <v>0</v>
      </c>
      <c r="AJ258" s="239">
        <f t="shared" si="19"/>
        <v>0</v>
      </c>
    </row>
    <row r="259" spans="1:36" x14ac:dyDescent="0.2">
      <c r="A259" s="240" t="str">
        <f t="shared" si="15"/>
        <v>2SNCF107H5275</v>
      </c>
      <c r="B259" s="239" t="s">
        <v>19</v>
      </c>
      <c r="C259" s="239" t="s">
        <v>20</v>
      </c>
      <c r="D259" s="239" t="s">
        <v>2481</v>
      </c>
      <c r="E259" s="239" t="s">
        <v>2482</v>
      </c>
      <c r="F259" s="239" t="s">
        <v>2516</v>
      </c>
      <c r="G259" s="239">
        <v>75</v>
      </c>
      <c r="H259" s="239" t="s">
        <v>928</v>
      </c>
      <c r="I259" s="239" t="s">
        <v>2484</v>
      </c>
      <c r="J259" s="239" t="s">
        <v>928</v>
      </c>
      <c r="K259" s="239" t="s">
        <v>2398</v>
      </c>
      <c r="L259" s="239">
        <v>553.85</v>
      </c>
      <c r="M259" s="239">
        <v>0</v>
      </c>
      <c r="N259" s="239">
        <v>0</v>
      </c>
      <c r="O259" s="239">
        <v>0</v>
      </c>
      <c r="P259" s="239">
        <v>0</v>
      </c>
      <c r="Q259" s="239">
        <v>0</v>
      </c>
      <c r="R259" s="239">
        <v>0</v>
      </c>
      <c r="S259" s="239">
        <v>0</v>
      </c>
      <c r="T259" s="239">
        <v>0</v>
      </c>
      <c r="U259" s="239">
        <v>0</v>
      </c>
      <c r="V259" s="239">
        <v>0</v>
      </c>
      <c r="W259" s="239">
        <v>0</v>
      </c>
      <c r="X259" s="239">
        <v>0</v>
      </c>
      <c r="Y259" s="239">
        <v>382.76</v>
      </c>
      <c r="Z259" s="239">
        <v>0</v>
      </c>
      <c r="AA259" s="239">
        <v>0</v>
      </c>
      <c r="AB259" s="239">
        <v>171.09</v>
      </c>
      <c r="AC259" s="239">
        <v>0</v>
      </c>
      <c r="AD259" s="239">
        <v>0</v>
      </c>
      <c r="AE259" s="239" t="s">
        <v>720</v>
      </c>
      <c r="AF259" s="239" t="s">
        <v>721</v>
      </c>
      <c r="AG259" s="239">
        <f t="shared" si="16"/>
        <v>0</v>
      </c>
      <c r="AH259" s="239">
        <f t="shared" si="17"/>
        <v>0</v>
      </c>
      <c r="AI259" s="239">
        <f t="shared" si="18"/>
        <v>0</v>
      </c>
      <c r="AJ259" s="239">
        <f t="shared" si="19"/>
        <v>0</v>
      </c>
    </row>
    <row r="260" spans="1:36" x14ac:dyDescent="0.2">
      <c r="A260" s="240" t="str">
        <f t="shared" ref="A260:A323" si="20">TRIM(I260&amp;B260&amp;C260&amp;D260&amp;F260&amp;G260)</f>
        <v>SNCF107H5275</v>
      </c>
      <c r="B260" s="239" t="s">
        <v>19</v>
      </c>
      <c r="C260" s="239" t="s">
        <v>20</v>
      </c>
      <c r="D260" s="239" t="s">
        <v>2481</v>
      </c>
      <c r="E260" s="239" t="s">
        <v>2482</v>
      </c>
      <c r="F260" s="239" t="s">
        <v>2516</v>
      </c>
      <c r="G260" s="239">
        <v>75</v>
      </c>
      <c r="H260" s="239" t="s">
        <v>928</v>
      </c>
      <c r="I260" s="239" t="s">
        <v>928</v>
      </c>
      <c r="J260" s="239" t="s">
        <v>928</v>
      </c>
      <c r="K260" s="239" t="s">
        <v>2398</v>
      </c>
      <c r="L260" s="239">
        <v>553.85</v>
      </c>
      <c r="M260" s="239">
        <v>0</v>
      </c>
      <c r="N260" s="239">
        <v>0</v>
      </c>
      <c r="O260" s="239">
        <v>0</v>
      </c>
      <c r="P260" s="239">
        <v>0</v>
      </c>
      <c r="Q260" s="239">
        <v>0</v>
      </c>
      <c r="R260" s="239">
        <v>0</v>
      </c>
      <c r="S260" s="239">
        <v>0</v>
      </c>
      <c r="T260" s="239">
        <v>0</v>
      </c>
      <c r="U260" s="239">
        <v>0</v>
      </c>
      <c r="V260" s="239">
        <v>0</v>
      </c>
      <c r="W260" s="239">
        <v>0</v>
      </c>
      <c r="X260" s="239">
        <v>0</v>
      </c>
      <c r="Y260" s="239">
        <v>382.76</v>
      </c>
      <c r="Z260" s="239">
        <v>0</v>
      </c>
      <c r="AA260" s="239">
        <v>0</v>
      </c>
      <c r="AB260" s="239">
        <v>171.09</v>
      </c>
      <c r="AC260" s="239">
        <v>0</v>
      </c>
      <c r="AD260" s="239">
        <v>0</v>
      </c>
      <c r="AE260" s="239" t="s">
        <v>720</v>
      </c>
      <c r="AF260" s="239" t="s">
        <v>721</v>
      </c>
      <c r="AG260" s="239">
        <f t="shared" si="16"/>
        <v>0</v>
      </c>
      <c r="AH260" s="239">
        <f t="shared" si="17"/>
        <v>0</v>
      </c>
      <c r="AI260" s="239">
        <f t="shared" si="18"/>
        <v>0</v>
      </c>
      <c r="AJ260" s="239">
        <f t="shared" si="19"/>
        <v>0</v>
      </c>
    </row>
    <row r="261" spans="1:36" x14ac:dyDescent="0.2">
      <c r="A261" s="240" t="str">
        <f t="shared" si="20"/>
        <v>2SNCF107H52100</v>
      </c>
      <c r="B261" s="239" t="s">
        <v>19</v>
      </c>
      <c r="C261" s="239" t="s">
        <v>20</v>
      </c>
      <c r="D261" s="239" t="s">
        <v>2481</v>
      </c>
      <c r="E261" s="239" t="s">
        <v>2482</v>
      </c>
      <c r="F261" s="239" t="s">
        <v>2516</v>
      </c>
      <c r="G261" s="239">
        <v>100</v>
      </c>
      <c r="H261" s="239" t="s">
        <v>928</v>
      </c>
      <c r="I261" s="239" t="s">
        <v>2484</v>
      </c>
      <c r="J261" s="239" t="s">
        <v>928</v>
      </c>
      <c r="K261" s="239" t="s">
        <v>2398</v>
      </c>
      <c r="L261" s="239">
        <v>580.12</v>
      </c>
      <c r="M261" s="239">
        <v>0</v>
      </c>
      <c r="N261" s="239">
        <v>0</v>
      </c>
      <c r="O261" s="239">
        <v>0</v>
      </c>
      <c r="P261" s="239">
        <v>0</v>
      </c>
      <c r="Q261" s="239">
        <v>0</v>
      </c>
      <c r="R261" s="239">
        <v>0</v>
      </c>
      <c r="S261" s="239">
        <v>0</v>
      </c>
      <c r="T261" s="239">
        <v>0</v>
      </c>
      <c r="U261" s="239">
        <v>0</v>
      </c>
      <c r="V261" s="239">
        <v>0</v>
      </c>
      <c r="W261" s="239">
        <v>0</v>
      </c>
      <c r="X261" s="239">
        <v>0</v>
      </c>
      <c r="Y261" s="239">
        <v>389.68</v>
      </c>
      <c r="Z261" s="239">
        <v>0</v>
      </c>
      <c r="AA261" s="239">
        <v>0</v>
      </c>
      <c r="AB261" s="239">
        <v>190.45</v>
      </c>
      <c r="AC261" s="239">
        <v>0</v>
      </c>
      <c r="AD261" s="239">
        <v>0</v>
      </c>
      <c r="AE261" s="239" t="s">
        <v>720</v>
      </c>
      <c r="AF261" s="239" t="s">
        <v>721</v>
      </c>
      <c r="AG261" s="239">
        <f t="shared" si="16"/>
        <v>0</v>
      </c>
      <c r="AH261" s="239">
        <f t="shared" si="17"/>
        <v>0</v>
      </c>
      <c r="AI261" s="239">
        <f t="shared" si="18"/>
        <v>0</v>
      </c>
      <c r="AJ261" s="239">
        <f t="shared" si="19"/>
        <v>0</v>
      </c>
    </row>
    <row r="262" spans="1:36" x14ac:dyDescent="0.2">
      <c r="A262" s="240" t="str">
        <f t="shared" si="20"/>
        <v>8SNCF107H52100</v>
      </c>
      <c r="B262" s="239" t="s">
        <v>19</v>
      </c>
      <c r="C262" s="239" t="s">
        <v>20</v>
      </c>
      <c r="D262" s="239" t="s">
        <v>2481</v>
      </c>
      <c r="E262" s="239" t="s">
        <v>2482</v>
      </c>
      <c r="F262" s="239" t="s">
        <v>2516</v>
      </c>
      <c r="G262" s="239">
        <v>100</v>
      </c>
      <c r="H262" s="239" t="s">
        <v>928</v>
      </c>
      <c r="I262" s="239" t="s">
        <v>2494</v>
      </c>
      <c r="J262" s="239" t="s">
        <v>928</v>
      </c>
      <c r="K262" s="239" t="s">
        <v>2398</v>
      </c>
      <c r="L262" s="239">
        <v>835.42</v>
      </c>
      <c r="M262" s="239">
        <v>0</v>
      </c>
      <c r="N262" s="239">
        <v>0</v>
      </c>
      <c r="O262" s="239">
        <v>0</v>
      </c>
      <c r="P262" s="239">
        <v>0</v>
      </c>
      <c r="Q262" s="239">
        <v>200.93</v>
      </c>
      <c r="R262" s="239">
        <v>0</v>
      </c>
      <c r="S262" s="239">
        <v>0</v>
      </c>
      <c r="T262" s="239">
        <v>0</v>
      </c>
      <c r="U262" s="239">
        <v>54.37</v>
      </c>
      <c r="V262" s="239">
        <v>0</v>
      </c>
      <c r="W262" s="239">
        <v>0</v>
      </c>
      <c r="X262" s="239">
        <v>0</v>
      </c>
      <c r="Y262" s="239">
        <v>389.68</v>
      </c>
      <c r="Z262" s="239">
        <v>0</v>
      </c>
      <c r="AA262" s="239">
        <v>0</v>
      </c>
      <c r="AB262" s="239">
        <v>190.44</v>
      </c>
      <c r="AC262" s="239">
        <v>0</v>
      </c>
      <c r="AD262" s="239">
        <v>0</v>
      </c>
      <c r="AE262" s="239" t="s">
        <v>720</v>
      </c>
      <c r="AF262" s="239" t="s">
        <v>721</v>
      </c>
      <c r="AG262" s="239">
        <f t="shared" ref="AG262:AG325" si="21">+O262*M262/100</f>
        <v>0</v>
      </c>
      <c r="AH262" s="239">
        <f t="shared" ref="AH262:AH325" si="22">+P262*M262/100</f>
        <v>0</v>
      </c>
      <c r="AI262" s="239">
        <f t="shared" ref="AI262:AI325" si="23">+AB262*M262/100</f>
        <v>0</v>
      </c>
      <c r="AJ262" s="239">
        <f t="shared" ref="AJ262:AJ325" si="24">+AG262+AH262+AI262</f>
        <v>0</v>
      </c>
    </row>
    <row r="263" spans="1:36" x14ac:dyDescent="0.2">
      <c r="A263" s="240" t="str">
        <f t="shared" si="20"/>
        <v>SNCF107H52100</v>
      </c>
      <c r="B263" s="239" t="s">
        <v>19</v>
      </c>
      <c r="C263" s="239" t="s">
        <v>20</v>
      </c>
      <c r="D263" s="239" t="s">
        <v>2481</v>
      </c>
      <c r="E263" s="239" t="s">
        <v>2482</v>
      </c>
      <c r="F263" s="239" t="s">
        <v>2516</v>
      </c>
      <c r="G263" s="239">
        <v>100</v>
      </c>
      <c r="H263" s="239" t="s">
        <v>928</v>
      </c>
      <c r="I263" s="239" t="s">
        <v>928</v>
      </c>
      <c r="J263" s="239" t="s">
        <v>928</v>
      </c>
      <c r="K263" s="239" t="s">
        <v>2398</v>
      </c>
      <c r="L263" s="239">
        <v>580.12</v>
      </c>
      <c r="M263" s="239">
        <v>0</v>
      </c>
      <c r="N263" s="239">
        <v>0</v>
      </c>
      <c r="O263" s="239">
        <v>0</v>
      </c>
      <c r="P263" s="239">
        <v>0</v>
      </c>
      <c r="Q263" s="239">
        <v>0</v>
      </c>
      <c r="R263" s="239">
        <v>0</v>
      </c>
      <c r="S263" s="239">
        <v>0</v>
      </c>
      <c r="T263" s="239">
        <v>0</v>
      </c>
      <c r="U263" s="239">
        <v>0</v>
      </c>
      <c r="V263" s="239">
        <v>0</v>
      </c>
      <c r="W263" s="239">
        <v>0</v>
      </c>
      <c r="X263" s="239">
        <v>0</v>
      </c>
      <c r="Y263" s="239">
        <v>389.68</v>
      </c>
      <c r="Z263" s="239">
        <v>0</v>
      </c>
      <c r="AA263" s="239">
        <v>0</v>
      </c>
      <c r="AB263" s="239">
        <v>190.45</v>
      </c>
      <c r="AC263" s="239">
        <v>0</v>
      </c>
      <c r="AD263" s="239">
        <v>0</v>
      </c>
      <c r="AE263" s="239" t="s">
        <v>720</v>
      </c>
      <c r="AF263" s="239" t="s">
        <v>721</v>
      </c>
      <c r="AG263" s="239">
        <f t="shared" si="21"/>
        <v>0</v>
      </c>
      <c r="AH263" s="239">
        <f t="shared" si="22"/>
        <v>0</v>
      </c>
      <c r="AI263" s="239">
        <f t="shared" si="23"/>
        <v>0</v>
      </c>
      <c r="AJ263" s="239">
        <f t="shared" si="24"/>
        <v>0</v>
      </c>
    </row>
    <row r="264" spans="1:36" x14ac:dyDescent="0.2">
      <c r="A264" s="240" t="str">
        <f t="shared" si="20"/>
        <v>2SNCF107H52D30</v>
      </c>
      <c r="B264" s="239" t="s">
        <v>19</v>
      </c>
      <c r="C264" s="239" t="s">
        <v>20</v>
      </c>
      <c r="D264" s="239" t="s">
        <v>2481</v>
      </c>
      <c r="E264" s="239" t="s">
        <v>2482</v>
      </c>
      <c r="F264" s="239" t="s">
        <v>2517</v>
      </c>
      <c r="G264" s="239">
        <v>30</v>
      </c>
      <c r="H264" s="239" t="s">
        <v>928</v>
      </c>
      <c r="I264" s="239" t="s">
        <v>2484</v>
      </c>
      <c r="J264" s="239" t="s">
        <v>928</v>
      </c>
      <c r="K264" s="239" t="s">
        <v>2398</v>
      </c>
      <c r="L264" s="239">
        <v>538.66</v>
      </c>
      <c r="M264" s="239">
        <v>0</v>
      </c>
      <c r="N264" s="239">
        <v>0</v>
      </c>
      <c r="O264" s="239">
        <v>0</v>
      </c>
      <c r="P264" s="239">
        <v>0</v>
      </c>
      <c r="Q264" s="239">
        <v>0</v>
      </c>
      <c r="R264" s="239">
        <v>0</v>
      </c>
      <c r="S264" s="239">
        <v>0</v>
      </c>
      <c r="T264" s="239">
        <v>0</v>
      </c>
      <c r="U264" s="239">
        <v>0</v>
      </c>
      <c r="V264" s="239">
        <v>0</v>
      </c>
      <c r="W264" s="239">
        <v>0</v>
      </c>
      <c r="X264" s="239">
        <v>0</v>
      </c>
      <c r="Y264" s="239">
        <v>373.96</v>
      </c>
      <c r="Z264" s="239">
        <v>0</v>
      </c>
      <c r="AA264" s="239">
        <v>0</v>
      </c>
      <c r="AB264" s="239">
        <v>164.7</v>
      </c>
      <c r="AC264" s="239">
        <v>0</v>
      </c>
      <c r="AD264" s="239">
        <v>0</v>
      </c>
      <c r="AE264" s="239" t="s">
        <v>720</v>
      </c>
      <c r="AF264" s="239" t="s">
        <v>721</v>
      </c>
      <c r="AG264" s="239">
        <f t="shared" si="21"/>
        <v>0</v>
      </c>
      <c r="AH264" s="239">
        <f t="shared" si="22"/>
        <v>0</v>
      </c>
      <c r="AI264" s="239">
        <f t="shared" si="23"/>
        <v>0</v>
      </c>
      <c r="AJ264" s="239">
        <f t="shared" si="24"/>
        <v>0</v>
      </c>
    </row>
    <row r="265" spans="1:36" x14ac:dyDescent="0.2">
      <c r="A265" s="240" t="str">
        <f t="shared" si="20"/>
        <v>SNCF107H52D30</v>
      </c>
      <c r="B265" s="239" t="s">
        <v>19</v>
      </c>
      <c r="C265" s="239" t="s">
        <v>20</v>
      </c>
      <c r="D265" s="239" t="s">
        <v>2481</v>
      </c>
      <c r="E265" s="239" t="s">
        <v>2482</v>
      </c>
      <c r="F265" s="239" t="s">
        <v>2517</v>
      </c>
      <c r="G265" s="239">
        <v>30</v>
      </c>
      <c r="H265" s="239" t="s">
        <v>928</v>
      </c>
      <c r="I265" s="239" t="s">
        <v>928</v>
      </c>
      <c r="J265" s="239" t="s">
        <v>928</v>
      </c>
      <c r="K265" s="239" t="s">
        <v>2398</v>
      </c>
      <c r="L265" s="239">
        <v>538.66</v>
      </c>
      <c r="M265" s="239">
        <v>0</v>
      </c>
      <c r="N265" s="239">
        <v>0</v>
      </c>
      <c r="O265" s="239">
        <v>0</v>
      </c>
      <c r="P265" s="239">
        <v>0</v>
      </c>
      <c r="Q265" s="239">
        <v>0</v>
      </c>
      <c r="R265" s="239">
        <v>0</v>
      </c>
      <c r="S265" s="239">
        <v>0</v>
      </c>
      <c r="T265" s="239">
        <v>0</v>
      </c>
      <c r="U265" s="239">
        <v>0</v>
      </c>
      <c r="V265" s="239">
        <v>0</v>
      </c>
      <c r="W265" s="239">
        <v>0</v>
      </c>
      <c r="X265" s="239">
        <v>0</v>
      </c>
      <c r="Y265" s="239">
        <v>373.96</v>
      </c>
      <c r="Z265" s="239">
        <v>0</v>
      </c>
      <c r="AA265" s="239">
        <v>0</v>
      </c>
      <c r="AB265" s="239">
        <v>164.7</v>
      </c>
      <c r="AC265" s="239">
        <v>0</v>
      </c>
      <c r="AD265" s="239">
        <v>0</v>
      </c>
      <c r="AE265" s="239" t="s">
        <v>720</v>
      </c>
      <c r="AF265" s="239" t="s">
        <v>721</v>
      </c>
      <c r="AG265" s="239">
        <f t="shared" si="21"/>
        <v>0</v>
      </c>
      <c r="AH265" s="239">
        <f t="shared" si="22"/>
        <v>0</v>
      </c>
      <c r="AI265" s="239">
        <f t="shared" si="23"/>
        <v>0</v>
      </c>
      <c r="AJ265" s="239">
        <f t="shared" si="24"/>
        <v>0</v>
      </c>
    </row>
    <row r="266" spans="1:36" x14ac:dyDescent="0.2">
      <c r="A266" s="240" t="str">
        <f t="shared" si="20"/>
        <v>2SNCF107H56G30</v>
      </c>
      <c r="B266" s="239" t="s">
        <v>19</v>
      </c>
      <c r="C266" s="239" t="s">
        <v>20</v>
      </c>
      <c r="D266" s="239" t="s">
        <v>2481</v>
      </c>
      <c r="E266" s="239" t="s">
        <v>2482</v>
      </c>
      <c r="F266" s="239" t="s">
        <v>2518</v>
      </c>
      <c r="G266" s="239">
        <v>30</v>
      </c>
      <c r="H266" s="239" t="s">
        <v>928</v>
      </c>
      <c r="I266" s="239" t="s">
        <v>2484</v>
      </c>
      <c r="J266" s="239" t="s">
        <v>928</v>
      </c>
      <c r="K266" s="239" t="s">
        <v>2398</v>
      </c>
      <c r="L266" s="239">
        <v>593.28</v>
      </c>
      <c r="M266" s="239">
        <v>0</v>
      </c>
      <c r="N266" s="239">
        <v>0</v>
      </c>
      <c r="O266" s="239">
        <v>0</v>
      </c>
      <c r="P266" s="239">
        <v>0</v>
      </c>
      <c r="Q266" s="239">
        <v>0</v>
      </c>
      <c r="R266" s="239">
        <v>0</v>
      </c>
      <c r="S266" s="239">
        <v>0</v>
      </c>
      <c r="T266" s="239">
        <v>0</v>
      </c>
      <c r="U266" s="239">
        <v>0</v>
      </c>
      <c r="V266" s="239">
        <v>0</v>
      </c>
      <c r="W266" s="239">
        <v>0</v>
      </c>
      <c r="X266" s="239">
        <v>0</v>
      </c>
      <c r="Y266" s="239">
        <v>421.73</v>
      </c>
      <c r="Z266" s="239">
        <v>0</v>
      </c>
      <c r="AA266" s="239">
        <v>0</v>
      </c>
      <c r="AB266" s="239">
        <v>171.55</v>
      </c>
      <c r="AC266" s="239">
        <v>0</v>
      </c>
      <c r="AD266" s="239">
        <v>0</v>
      </c>
      <c r="AE266" s="239" t="s">
        <v>720</v>
      </c>
      <c r="AF266" s="239" t="s">
        <v>721</v>
      </c>
      <c r="AG266" s="239">
        <f t="shared" si="21"/>
        <v>0</v>
      </c>
      <c r="AH266" s="239">
        <f t="shared" si="22"/>
        <v>0</v>
      </c>
      <c r="AI266" s="239">
        <f t="shared" si="23"/>
        <v>0</v>
      </c>
      <c r="AJ266" s="239">
        <f t="shared" si="24"/>
        <v>0</v>
      </c>
    </row>
    <row r="267" spans="1:36" x14ac:dyDescent="0.2">
      <c r="A267" s="240" t="str">
        <f t="shared" si="20"/>
        <v>SNCF107H56G30</v>
      </c>
      <c r="B267" s="239" t="s">
        <v>19</v>
      </c>
      <c r="C267" s="239" t="s">
        <v>20</v>
      </c>
      <c r="D267" s="239" t="s">
        <v>2481</v>
      </c>
      <c r="E267" s="239" t="s">
        <v>2482</v>
      </c>
      <c r="F267" s="239" t="s">
        <v>2518</v>
      </c>
      <c r="G267" s="239">
        <v>30</v>
      </c>
      <c r="H267" s="239" t="s">
        <v>928</v>
      </c>
      <c r="I267" s="239" t="s">
        <v>928</v>
      </c>
      <c r="J267" s="239" t="s">
        <v>928</v>
      </c>
      <c r="K267" s="239" t="s">
        <v>2398</v>
      </c>
      <c r="L267" s="239">
        <v>593.28</v>
      </c>
      <c r="M267" s="239">
        <v>0</v>
      </c>
      <c r="N267" s="239">
        <v>0</v>
      </c>
      <c r="O267" s="239">
        <v>0</v>
      </c>
      <c r="P267" s="239">
        <v>0</v>
      </c>
      <c r="Q267" s="239">
        <v>0</v>
      </c>
      <c r="R267" s="239">
        <v>0</v>
      </c>
      <c r="S267" s="239">
        <v>0</v>
      </c>
      <c r="T267" s="239">
        <v>0</v>
      </c>
      <c r="U267" s="239">
        <v>0</v>
      </c>
      <c r="V267" s="239">
        <v>0</v>
      </c>
      <c r="W267" s="239">
        <v>0</v>
      </c>
      <c r="X267" s="239">
        <v>0</v>
      </c>
      <c r="Y267" s="239">
        <v>421.73</v>
      </c>
      <c r="Z267" s="239">
        <v>0</v>
      </c>
      <c r="AA267" s="239">
        <v>0</v>
      </c>
      <c r="AB267" s="239">
        <v>171.55</v>
      </c>
      <c r="AC267" s="239">
        <v>0</v>
      </c>
      <c r="AD267" s="239">
        <v>0</v>
      </c>
      <c r="AE267" s="239" t="s">
        <v>720</v>
      </c>
      <c r="AF267" s="239" t="s">
        <v>721</v>
      </c>
      <c r="AG267" s="239">
        <f t="shared" si="21"/>
        <v>0</v>
      </c>
      <c r="AH267" s="239">
        <f t="shared" si="22"/>
        <v>0</v>
      </c>
      <c r="AI267" s="239">
        <f t="shared" si="23"/>
        <v>0</v>
      </c>
      <c r="AJ267" s="239">
        <f t="shared" si="24"/>
        <v>0</v>
      </c>
    </row>
    <row r="268" spans="1:36" x14ac:dyDescent="0.2">
      <c r="A268" s="240" t="str">
        <f t="shared" si="20"/>
        <v>2SNCF107H56G50</v>
      </c>
      <c r="B268" s="239" t="s">
        <v>19</v>
      </c>
      <c r="C268" s="239" t="s">
        <v>20</v>
      </c>
      <c r="D268" s="239" t="s">
        <v>2481</v>
      </c>
      <c r="E268" s="239" t="s">
        <v>2482</v>
      </c>
      <c r="F268" s="239" t="s">
        <v>2518</v>
      </c>
      <c r="G268" s="239">
        <v>50</v>
      </c>
      <c r="H268" s="239" t="s">
        <v>928</v>
      </c>
      <c r="I268" s="239" t="s">
        <v>2484</v>
      </c>
      <c r="J268" s="239" t="s">
        <v>928</v>
      </c>
      <c r="K268" s="239" t="s">
        <v>2398</v>
      </c>
      <c r="L268" s="239">
        <v>725.18</v>
      </c>
      <c r="M268" s="239">
        <v>0</v>
      </c>
      <c r="N268" s="239">
        <v>0</v>
      </c>
      <c r="O268" s="239">
        <v>0</v>
      </c>
      <c r="P268" s="239">
        <v>0</v>
      </c>
      <c r="Q268" s="239">
        <v>0</v>
      </c>
      <c r="R268" s="239">
        <v>0</v>
      </c>
      <c r="S268" s="239">
        <v>0</v>
      </c>
      <c r="T268" s="239">
        <v>0</v>
      </c>
      <c r="U268" s="239">
        <v>0</v>
      </c>
      <c r="V268" s="239">
        <v>0</v>
      </c>
      <c r="W268" s="239">
        <v>0</v>
      </c>
      <c r="X268" s="239">
        <v>0</v>
      </c>
      <c r="Y268" s="239">
        <v>509.02</v>
      </c>
      <c r="Z268" s="239">
        <v>0</v>
      </c>
      <c r="AA268" s="239">
        <v>0</v>
      </c>
      <c r="AB268" s="239">
        <v>216.16</v>
      </c>
      <c r="AC268" s="239">
        <v>0</v>
      </c>
      <c r="AD268" s="239">
        <v>0</v>
      </c>
      <c r="AE268" s="239" t="s">
        <v>720</v>
      </c>
      <c r="AF268" s="239" t="s">
        <v>721</v>
      </c>
      <c r="AG268" s="239">
        <f t="shared" si="21"/>
        <v>0</v>
      </c>
      <c r="AH268" s="239">
        <f t="shared" si="22"/>
        <v>0</v>
      </c>
      <c r="AI268" s="239">
        <f t="shared" si="23"/>
        <v>0</v>
      </c>
      <c r="AJ268" s="239">
        <f t="shared" si="24"/>
        <v>0</v>
      </c>
    </row>
    <row r="269" spans="1:36" x14ac:dyDescent="0.2">
      <c r="A269" s="240" t="str">
        <f t="shared" si="20"/>
        <v>SNCF107H56G50</v>
      </c>
      <c r="B269" s="239" t="s">
        <v>19</v>
      </c>
      <c r="C269" s="239" t="s">
        <v>20</v>
      </c>
      <c r="D269" s="239" t="s">
        <v>2481</v>
      </c>
      <c r="E269" s="239" t="s">
        <v>2482</v>
      </c>
      <c r="F269" s="239" t="s">
        <v>2518</v>
      </c>
      <c r="G269" s="239">
        <v>50</v>
      </c>
      <c r="H269" s="239" t="s">
        <v>928</v>
      </c>
      <c r="I269" s="239" t="s">
        <v>928</v>
      </c>
      <c r="J269" s="239" t="s">
        <v>928</v>
      </c>
      <c r="K269" s="239" t="s">
        <v>2398</v>
      </c>
      <c r="L269" s="239">
        <v>725.18</v>
      </c>
      <c r="M269" s="239">
        <v>0</v>
      </c>
      <c r="N269" s="239">
        <v>0</v>
      </c>
      <c r="O269" s="239">
        <v>0</v>
      </c>
      <c r="P269" s="239">
        <v>0</v>
      </c>
      <c r="Q269" s="239">
        <v>0</v>
      </c>
      <c r="R269" s="239">
        <v>0</v>
      </c>
      <c r="S269" s="239">
        <v>0</v>
      </c>
      <c r="T269" s="239">
        <v>0</v>
      </c>
      <c r="U269" s="239">
        <v>0</v>
      </c>
      <c r="V269" s="239">
        <v>0</v>
      </c>
      <c r="W269" s="239">
        <v>0</v>
      </c>
      <c r="X269" s="239">
        <v>0</v>
      </c>
      <c r="Y269" s="239">
        <v>509.02</v>
      </c>
      <c r="Z269" s="239">
        <v>0</v>
      </c>
      <c r="AA269" s="239">
        <v>0</v>
      </c>
      <c r="AB269" s="239">
        <v>216.16</v>
      </c>
      <c r="AC269" s="239">
        <v>0</v>
      </c>
      <c r="AD269" s="239">
        <v>0</v>
      </c>
      <c r="AE269" s="239" t="s">
        <v>720</v>
      </c>
      <c r="AF269" s="239" t="s">
        <v>721</v>
      </c>
      <c r="AG269" s="239">
        <f t="shared" si="21"/>
        <v>0</v>
      </c>
      <c r="AH269" s="239">
        <f t="shared" si="22"/>
        <v>0</v>
      </c>
      <c r="AI269" s="239">
        <f t="shared" si="23"/>
        <v>0</v>
      </c>
      <c r="AJ269" s="239">
        <f t="shared" si="24"/>
        <v>0</v>
      </c>
    </row>
    <row r="270" spans="1:36" x14ac:dyDescent="0.2">
      <c r="A270" s="240" t="str">
        <f t="shared" si="20"/>
        <v>2SNCF10A52130</v>
      </c>
      <c r="B270" s="239" t="s">
        <v>19</v>
      </c>
      <c r="C270" s="239" t="s">
        <v>20</v>
      </c>
      <c r="D270" s="239" t="s">
        <v>2481</v>
      </c>
      <c r="E270" s="239" t="s">
        <v>2482</v>
      </c>
      <c r="F270" s="239" t="s">
        <v>2519</v>
      </c>
      <c r="G270" s="239">
        <v>30</v>
      </c>
      <c r="H270" s="239" t="s">
        <v>928</v>
      </c>
      <c r="I270" s="239" t="s">
        <v>2484</v>
      </c>
      <c r="J270" s="239" t="s">
        <v>928</v>
      </c>
      <c r="K270" s="239" t="s">
        <v>2398</v>
      </c>
      <c r="L270" s="239">
        <v>1000.13</v>
      </c>
      <c r="M270" s="239">
        <v>0</v>
      </c>
      <c r="N270" s="239">
        <v>0</v>
      </c>
      <c r="O270" s="239">
        <v>0</v>
      </c>
      <c r="P270" s="239">
        <v>0</v>
      </c>
      <c r="Q270" s="239">
        <v>0</v>
      </c>
      <c r="R270" s="239">
        <v>0</v>
      </c>
      <c r="S270" s="239">
        <v>0</v>
      </c>
      <c r="T270" s="239">
        <v>0</v>
      </c>
      <c r="U270" s="239">
        <v>0</v>
      </c>
      <c r="V270" s="239">
        <v>0</v>
      </c>
      <c r="W270" s="239">
        <v>0</v>
      </c>
      <c r="X270" s="239">
        <v>0</v>
      </c>
      <c r="Y270" s="239">
        <v>599.52</v>
      </c>
      <c r="Z270" s="239">
        <v>0</v>
      </c>
      <c r="AA270" s="239">
        <v>0</v>
      </c>
      <c r="AB270" s="239">
        <v>400.6</v>
      </c>
      <c r="AC270" s="239">
        <v>0</v>
      </c>
      <c r="AD270" s="239">
        <v>0</v>
      </c>
      <c r="AE270" s="239" t="s">
        <v>720</v>
      </c>
      <c r="AF270" s="239" t="s">
        <v>721</v>
      </c>
      <c r="AG270" s="239">
        <f t="shared" si="21"/>
        <v>0</v>
      </c>
      <c r="AH270" s="239">
        <f t="shared" si="22"/>
        <v>0</v>
      </c>
      <c r="AI270" s="239">
        <f t="shared" si="23"/>
        <v>0</v>
      </c>
      <c r="AJ270" s="239">
        <f t="shared" si="24"/>
        <v>0</v>
      </c>
    </row>
    <row r="271" spans="1:36" x14ac:dyDescent="0.2">
      <c r="A271" s="240" t="str">
        <f t="shared" si="20"/>
        <v>SNCF10A52130</v>
      </c>
      <c r="B271" s="239" t="s">
        <v>19</v>
      </c>
      <c r="C271" s="239" t="s">
        <v>20</v>
      </c>
      <c r="D271" s="239" t="s">
        <v>2481</v>
      </c>
      <c r="E271" s="239" t="s">
        <v>2482</v>
      </c>
      <c r="F271" s="239" t="s">
        <v>2519</v>
      </c>
      <c r="G271" s="239">
        <v>30</v>
      </c>
      <c r="H271" s="239" t="s">
        <v>928</v>
      </c>
      <c r="I271" s="239" t="s">
        <v>928</v>
      </c>
      <c r="J271" s="239" t="s">
        <v>928</v>
      </c>
      <c r="K271" s="239" t="s">
        <v>2398</v>
      </c>
      <c r="L271" s="239">
        <v>1000.13</v>
      </c>
      <c r="M271" s="239">
        <v>0</v>
      </c>
      <c r="N271" s="239">
        <v>0</v>
      </c>
      <c r="O271" s="239">
        <v>0</v>
      </c>
      <c r="P271" s="239">
        <v>0</v>
      </c>
      <c r="Q271" s="239">
        <v>0</v>
      </c>
      <c r="R271" s="239">
        <v>0</v>
      </c>
      <c r="S271" s="239">
        <v>0</v>
      </c>
      <c r="T271" s="239">
        <v>0</v>
      </c>
      <c r="U271" s="239">
        <v>0</v>
      </c>
      <c r="V271" s="239">
        <v>0</v>
      </c>
      <c r="W271" s="239">
        <v>0</v>
      </c>
      <c r="X271" s="239">
        <v>0</v>
      </c>
      <c r="Y271" s="239">
        <v>599.52</v>
      </c>
      <c r="Z271" s="239">
        <v>0</v>
      </c>
      <c r="AA271" s="239">
        <v>0</v>
      </c>
      <c r="AB271" s="239">
        <v>400.6</v>
      </c>
      <c r="AC271" s="239">
        <v>0</v>
      </c>
      <c r="AD271" s="239">
        <v>0</v>
      </c>
      <c r="AE271" s="239" t="s">
        <v>720</v>
      </c>
      <c r="AF271" s="239" t="s">
        <v>721</v>
      </c>
      <c r="AG271" s="239">
        <f t="shared" si="21"/>
        <v>0</v>
      </c>
      <c r="AH271" s="239">
        <f t="shared" si="22"/>
        <v>0</v>
      </c>
      <c r="AI271" s="239">
        <f t="shared" si="23"/>
        <v>0</v>
      </c>
      <c r="AJ271" s="239">
        <f t="shared" si="24"/>
        <v>0</v>
      </c>
    </row>
    <row r="272" spans="1:36" x14ac:dyDescent="0.2">
      <c r="A272" s="240" t="str">
        <f t="shared" si="20"/>
        <v>2SNCF10CF47040</v>
      </c>
      <c r="B272" s="239" t="s">
        <v>19</v>
      </c>
      <c r="C272" s="239" t="s">
        <v>20</v>
      </c>
      <c r="D272" s="239" t="s">
        <v>2481</v>
      </c>
      <c r="E272" s="239" t="s">
        <v>2482</v>
      </c>
      <c r="F272" s="239" t="s">
        <v>2520</v>
      </c>
      <c r="G272" s="239">
        <v>40</v>
      </c>
      <c r="H272" s="239" t="s">
        <v>928</v>
      </c>
      <c r="I272" s="239" t="s">
        <v>2484</v>
      </c>
      <c r="J272" s="239" t="s">
        <v>928</v>
      </c>
      <c r="K272" s="239" t="s">
        <v>2398</v>
      </c>
      <c r="L272" s="239">
        <v>224.44</v>
      </c>
      <c r="M272" s="239">
        <v>0</v>
      </c>
      <c r="N272" s="239">
        <v>0</v>
      </c>
      <c r="O272" s="239">
        <v>0</v>
      </c>
      <c r="P272" s="239">
        <v>0</v>
      </c>
      <c r="Q272" s="239">
        <v>0</v>
      </c>
      <c r="R272" s="239">
        <v>0</v>
      </c>
      <c r="S272" s="239">
        <v>0</v>
      </c>
      <c r="T272" s="239">
        <v>0</v>
      </c>
      <c r="U272" s="239">
        <v>0</v>
      </c>
      <c r="V272" s="239">
        <v>0</v>
      </c>
      <c r="W272" s="239">
        <v>0</v>
      </c>
      <c r="X272" s="239">
        <v>0</v>
      </c>
      <c r="Y272" s="239">
        <v>123.66</v>
      </c>
      <c r="Z272" s="239">
        <v>0</v>
      </c>
      <c r="AA272" s="239">
        <v>0</v>
      </c>
      <c r="AB272" s="239">
        <v>100.78</v>
      </c>
      <c r="AC272" s="239">
        <v>0</v>
      </c>
      <c r="AD272" s="239">
        <v>0</v>
      </c>
      <c r="AE272" s="239" t="s">
        <v>720</v>
      </c>
      <c r="AF272" s="239" t="s">
        <v>721</v>
      </c>
      <c r="AG272" s="239">
        <f t="shared" si="21"/>
        <v>0</v>
      </c>
      <c r="AH272" s="239">
        <f t="shared" si="22"/>
        <v>0</v>
      </c>
      <c r="AI272" s="239">
        <f t="shared" si="23"/>
        <v>0</v>
      </c>
      <c r="AJ272" s="239">
        <f t="shared" si="24"/>
        <v>0</v>
      </c>
    </row>
    <row r="273" spans="1:36" x14ac:dyDescent="0.2">
      <c r="A273" s="240" t="str">
        <f t="shared" si="20"/>
        <v>SNCF10CF47040</v>
      </c>
      <c r="B273" s="239" t="s">
        <v>19</v>
      </c>
      <c r="C273" s="239" t="s">
        <v>20</v>
      </c>
      <c r="D273" s="239" t="s">
        <v>2481</v>
      </c>
      <c r="E273" s="239" t="s">
        <v>2482</v>
      </c>
      <c r="F273" s="239" t="s">
        <v>2520</v>
      </c>
      <c r="G273" s="239">
        <v>40</v>
      </c>
      <c r="H273" s="239" t="s">
        <v>928</v>
      </c>
      <c r="I273" s="239" t="s">
        <v>928</v>
      </c>
      <c r="J273" s="239" t="s">
        <v>928</v>
      </c>
      <c r="K273" s="239" t="s">
        <v>2398</v>
      </c>
      <c r="L273" s="239">
        <v>224.44</v>
      </c>
      <c r="M273" s="239">
        <v>0</v>
      </c>
      <c r="N273" s="239">
        <v>0</v>
      </c>
      <c r="O273" s="239">
        <v>0</v>
      </c>
      <c r="P273" s="239">
        <v>0</v>
      </c>
      <c r="Q273" s="239">
        <v>0</v>
      </c>
      <c r="R273" s="239">
        <v>0</v>
      </c>
      <c r="S273" s="239">
        <v>0</v>
      </c>
      <c r="T273" s="239">
        <v>0</v>
      </c>
      <c r="U273" s="239">
        <v>0</v>
      </c>
      <c r="V273" s="239">
        <v>0</v>
      </c>
      <c r="W273" s="239">
        <v>0</v>
      </c>
      <c r="X273" s="239">
        <v>0</v>
      </c>
      <c r="Y273" s="239">
        <v>123.66</v>
      </c>
      <c r="Z273" s="239">
        <v>0</v>
      </c>
      <c r="AA273" s="239">
        <v>0</v>
      </c>
      <c r="AB273" s="239">
        <v>100.78</v>
      </c>
      <c r="AC273" s="239">
        <v>0</v>
      </c>
      <c r="AD273" s="239">
        <v>0</v>
      </c>
      <c r="AE273" s="239" t="s">
        <v>720</v>
      </c>
      <c r="AF273" s="239" t="s">
        <v>721</v>
      </c>
      <c r="AG273" s="239">
        <f t="shared" si="21"/>
        <v>0</v>
      </c>
      <c r="AH273" s="239">
        <f t="shared" si="22"/>
        <v>0</v>
      </c>
      <c r="AI273" s="239">
        <f t="shared" si="23"/>
        <v>0</v>
      </c>
      <c r="AJ273" s="239">
        <f t="shared" si="24"/>
        <v>0</v>
      </c>
    </row>
    <row r="274" spans="1:36" x14ac:dyDescent="0.2">
      <c r="A274" s="240" t="str">
        <f t="shared" si="20"/>
        <v>2SNCF10CF47050</v>
      </c>
      <c r="B274" s="239" t="s">
        <v>19</v>
      </c>
      <c r="C274" s="239" t="s">
        <v>20</v>
      </c>
      <c r="D274" s="239" t="s">
        <v>2481</v>
      </c>
      <c r="E274" s="239" t="s">
        <v>2482</v>
      </c>
      <c r="F274" s="239" t="s">
        <v>2520</v>
      </c>
      <c r="G274" s="239">
        <v>50</v>
      </c>
      <c r="H274" s="239" t="s">
        <v>928</v>
      </c>
      <c r="I274" s="239" t="s">
        <v>2484</v>
      </c>
      <c r="J274" s="239" t="s">
        <v>928</v>
      </c>
      <c r="K274" s="239" t="s">
        <v>2398</v>
      </c>
      <c r="L274" s="239">
        <v>213.41</v>
      </c>
      <c r="M274" s="239">
        <v>0</v>
      </c>
      <c r="N274" s="239">
        <v>0</v>
      </c>
      <c r="O274" s="239">
        <v>0</v>
      </c>
      <c r="P274" s="239">
        <v>0</v>
      </c>
      <c r="Q274" s="239">
        <v>0</v>
      </c>
      <c r="R274" s="239">
        <v>0</v>
      </c>
      <c r="S274" s="239">
        <v>0</v>
      </c>
      <c r="T274" s="239">
        <v>0</v>
      </c>
      <c r="U274" s="239">
        <v>0</v>
      </c>
      <c r="V274" s="239">
        <v>0</v>
      </c>
      <c r="W274" s="239">
        <v>0</v>
      </c>
      <c r="X274" s="239">
        <v>0</v>
      </c>
      <c r="Y274" s="239">
        <v>120.91</v>
      </c>
      <c r="Z274" s="239">
        <v>0</v>
      </c>
      <c r="AA274" s="239">
        <v>0</v>
      </c>
      <c r="AB274" s="239">
        <v>92.5</v>
      </c>
      <c r="AC274" s="239">
        <v>0</v>
      </c>
      <c r="AD274" s="239">
        <v>0</v>
      </c>
      <c r="AE274" s="239" t="s">
        <v>720</v>
      </c>
      <c r="AF274" s="239" t="s">
        <v>721</v>
      </c>
      <c r="AG274" s="239">
        <f t="shared" si="21"/>
        <v>0</v>
      </c>
      <c r="AH274" s="239">
        <f t="shared" si="22"/>
        <v>0</v>
      </c>
      <c r="AI274" s="239">
        <f t="shared" si="23"/>
        <v>0</v>
      </c>
      <c r="AJ274" s="239">
        <f t="shared" si="24"/>
        <v>0</v>
      </c>
    </row>
    <row r="275" spans="1:36" x14ac:dyDescent="0.2">
      <c r="A275" s="240" t="str">
        <f t="shared" si="20"/>
        <v>SNCF10CF47050</v>
      </c>
      <c r="B275" s="239" t="s">
        <v>19</v>
      </c>
      <c r="C275" s="239" t="s">
        <v>20</v>
      </c>
      <c r="D275" s="239" t="s">
        <v>2481</v>
      </c>
      <c r="E275" s="239" t="s">
        <v>2482</v>
      </c>
      <c r="F275" s="239" t="s">
        <v>2520</v>
      </c>
      <c r="G275" s="239">
        <v>50</v>
      </c>
      <c r="H275" s="239" t="s">
        <v>928</v>
      </c>
      <c r="I275" s="239" t="s">
        <v>928</v>
      </c>
      <c r="J275" s="239" t="s">
        <v>928</v>
      </c>
      <c r="K275" s="239" t="s">
        <v>2398</v>
      </c>
      <c r="L275" s="239">
        <v>213.41</v>
      </c>
      <c r="M275" s="239">
        <v>0</v>
      </c>
      <c r="N275" s="239">
        <v>0</v>
      </c>
      <c r="O275" s="239">
        <v>0</v>
      </c>
      <c r="P275" s="239">
        <v>0</v>
      </c>
      <c r="Q275" s="239">
        <v>0</v>
      </c>
      <c r="R275" s="239">
        <v>0</v>
      </c>
      <c r="S275" s="239">
        <v>0</v>
      </c>
      <c r="T275" s="239">
        <v>0</v>
      </c>
      <c r="U275" s="239">
        <v>0</v>
      </c>
      <c r="V275" s="239">
        <v>0</v>
      </c>
      <c r="W275" s="239">
        <v>0</v>
      </c>
      <c r="X275" s="239">
        <v>0</v>
      </c>
      <c r="Y275" s="239">
        <v>120.91</v>
      </c>
      <c r="Z275" s="239">
        <v>0</v>
      </c>
      <c r="AA275" s="239">
        <v>0</v>
      </c>
      <c r="AB275" s="239">
        <v>92.5</v>
      </c>
      <c r="AC275" s="239">
        <v>0</v>
      </c>
      <c r="AD275" s="239">
        <v>0</v>
      </c>
      <c r="AE275" s="239" t="s">
        <v>720</v>
      </c>
      <c r="AF275" s="239" t="s">
        <v>721</v>
      </c>
      <c r="AG275" s="239">
        <f t="shared" si="21"/>
        <v>0</v>
      </c>
      <c r="AH275" s="239">
        <f t="shared" si="22"/>
        <v>0</v>
      </c>
      <c r="AI275" s="239">
        <f t="shared" si="23"/>
        <v>0</v>
      </c>
      <c r="AJ275" s="239">
        <f t="shared" si="24"/>
        <v>0</v>
      </c>
    </row>
    <row r="276" spans="1:36" x14ac:dyDescent="0.2">
      <c r="A276" s="240" t="str">
        <f t="shared" si="20"/>
        <v>2SNCF10CF47060</v>
      </c>
      <c r="B276" s="239" t="s">
        <v>19</v>
      </c>
      <c r="C276" s="239" t="s">
        <v>20</v>
      </c>
      <c r="D276" s="239" t="s">
        <v>2481</v>
      </c>
      <c r="E276" s="239" t="s">
        <v>2482</v>
      </c>
      <c r="F276" s="239" t="s">
        <v>2520</v>
      </c>
      <c r="G276" s="239">
        <v>60</v>
      </c>
      <c r="H276" s="239" t="s">
        <v>928</v>
      </c>
      <c r="I276" s="239" t="s">
        <v>2484</v>
      </c>
      <c r="J276" s="239" t="s">
        <v>928</v>
      </c>
      <c r="K276" s="239" t="s">
        <v>2398</v>
      </c>
      <c r="L276" s="239">
        <v>236.79</v>
      </c>
      <c r="M276" s="239">
        <v>0</v>
      </c>
      <c r="N276" s="239">
        <v>0</v>
      </c>
      <c r="O276" s="239">
        <v>0</v>
      </c>
      <c r="P276" s="239">
        <v>0</v>
      </c>
      <c r="Q276" s="239">
        <v>0</v>
      </c>
      <c r="R276" s="239">
        <v>0</v>
      </c>
      <c r="S276" s="239">
        <v>0</v>
      </c>
      <c r="T276" s="239">
        <v>0</v>
      </c>
      <c r="U276" s="239">
        <v>0</v>
      </c>
      <c r="V276" s="239">
        <v>0</v>
      </c>
      <c r="W276" s="239">
        <v>0</v>
      </c>
      <c r="X276" s="239">
        <v>0</v>
      </c>
      <c r="Y276" s="239">
        <v>132.72999999999999</v>
      </c>
      <c r="Z276" s="239">
        <v>0</v>
      </c>
      <c r="AA276" s="239">
        <v>0</v>
      </c>
      <c r="AB276" s="239">
        <v>104.06</v>
      </c>
      <c r="AC276" s="239">
        <v>0</v>
      </c>
      <c r="AD276" s="239">
        <v>0</v>
      </c>
      <c r="AE276" s="239" t="s">
        <v>720</v>
      </c>
      <c r="AF276" s="239" t="s">
        <v>721</v>
      </c>
      <c r="AG276" s="239">
        <f t="shared" si="21"/>
        <v>0</v>
      </c>
      <c r="AH276" s="239">
        <f t="shared" si="22"/>
        <v>0</v>
      </c>
      <c r="AI276" s="239">
        <f t="shared" si="23"/>
        <v>0</v>
      </c>
      <c r="AJ276" s="239">
        <f t="shared" si="24"/>
        <v>0</v>
      </c>
    </row>
    <row r="277" spans="1:36" x14ac:dyDescent="0.2">
      <c r="A277" s="240" t="str">
        <f t="shared" si="20"/>
        <v>SNCF10CF47060</v>
      </c>
      <c r="B277" s="239" t="s">
        <v>19</v>
      </c>
      <c r="C277" s="239" t="s">
        <v>20</v>
      </c>
      <c r="D277" s="239" t="s">
        <v>2481</v>
      </c>
      <c r="E277" s="239" t="s">
        <v>2482</v>
      </c>
      <c r="F277" s="239" t="s">
        <v>2520</v>
      </c>
      <c r="G277" s="239">
        <v>60</v>
      </c>
      <c r="H277" s="239" t="s">
        <v>928</v>
      </c>
      <c r="I277" s="239" t="s">
        <v>928</v>
      </c>
      <c r="J277" s="239" t="s">
        <v>928</v>
      </c>
      <c r="K277" s="239" t="s">
        <v>2398</v>
      </c>
      <c r="L277" s="239">
        <v>236.79</v>
      </c>
      <c r="M277" s="239">
        <v>0</v>
      </c>
      <c r="N277" s="239">
        <v>0</v>
      </c>
      <c r="O277" s="239">
        <v>0</v>
      </c>
      <c r="P277" s="239">
        <v>0</v>
      </c>
      <c r="Q277" s="239">
        <v>0</v>
      </c>
      <c r="R277" s="239">
        <v>0</v>
      </c>
      <c r="S277" s="239">
        <v>0</v>
      </c>
      <c r="T277" s="239">
        <v>0</v>
      </c>
      <c r="U277" s="239">
        <v>0</v>
      </c>
      <c r="V277" s="239">
        <v>0</v>
      </c>
      <c r="W277" s="239">
        <v>0</v>
      </c>
      <c r="X277" s="239">
        <v>0</v>
      </c>
      <c r="Y277" s="239">
        <v>132.72999999999999</v>
      </c>
      <c r="Z277" s="239">
        <v>0</v>
      </c>
      <c r="AA277" s="239">
        <v>0</v>
      </c>
      <c r="AB277" s="239">
        <v>104.06</v>
      </c>
      <c r="AC277" s="239">
        <v>0</v>
      </c>
      <c r="AD277" s="239">
        <v>0</v>
      </c>
      <c r="AE277" s="239" t="s">
        <v>720</v>
      </c>
      <c r="AF277" s="239" t="s">
        <v>721</v>
      </c>
      <c r="AG277" s="239">
        <f t="shared" si="21"/>
        <v>0</v>
      </c>
      <c r="AH277" s="239">
        <f t="shared" si="22"/>
        <v>0</v>
      </c>
      <c r="AI277" s="239">
        <f t="shared" si="23"/>
        <v>0</v>
      </c>
      <c r="AJ277" s="239">
        <f t="shared" si="24"/>
        <v>0</v>
      </c>
    </row>
    <row r="278" spans="1:36" x14ac:dyDescent="0.2">
      <c r="A278" s="240" t="str">
        <f t="shared" si="20"/>
        <v>2SNCF10CF47080</v>
      </c>
      <c r="B278" s="239" t="s">
        <v>19</v>
      </c>
      <c r="C278" s="239" t="s">
        <v>20</v>
      </c>
      <c r="D278" s="239" t="s">
        <v>2481</v>
      </c>
      <c r="E278" s="239" t="s">
        <v>2482</v>
      </c>
      <c r="F278" s="239" t="s">
        <v>2520</v>
      </c>
      <c r="G278" s="239">
        <v>80</v>
      </c>
      <c r="H278" s="239" t="s">
        <v>928</v>
      </c>
      <c r="I278" s="239" t="s">
        <v>2484</v>
      </c>
      <c r="J278" s="239" t="s">
        <v>928</v>
      </c>
      <c r="K278" s="239" t="s">
        <v>2398</v>
      </c>
      <c r="L278" s="239">
        <v>266.67</v>
      </c>
      <c r="M278" s="239">
        <v>0</v>
      </c>
      <c r="N278" s="239">
        <v>0</v>
      </c>
      <c r="O278" s="239">
        <v>0</v>
      </c>
      <c r="P278" s="239">
        <v>0</v>
      </c>
      <c r="Q278" s="239">
        <v>0</v>
      </c>
      <c r="R278" s="239">
        <v>0</v>
      </c>
      <c r="S278" s="239">
        <v>0</v>
      </c>
      <c r="T278" s="239">
        <v>0</v>
      </c>
      <c r="U278" s="239">
        <v>0</v>
      </c>
      <c r="V278" s="239">
        <v>0</v>
      </c>
      <c r="W278" s="239">
        <v>0</v>
      </c>
      <c r="X278" s="239">
        <v>0</v>
      </c>
      <c r="Y278" s="239">
        <v>140.38</v>
      </c>
      <c r="Z278" s="239">
        <v>0</v>
      </c>
      <c r="AA278" s="239">
        <v>0</v>
      </c>
      <c r="AB278" s="239">
        <v>126.29</v>
      </c>
      <c r="AC278" s="239">
        <v>0</v>
      </c>
      <c r="AD278" s="239">
        <v>0</v>
      </c>
      <c r="AE278" s="239" t="s">
        <v>720</v>
      </c>
      <c r="AF278" s="239" t="s">
        <v>721</v>
      </c>
      <c r="AG278" s="239">
        <f t="shared" si="21"/>
        <v>0</v>
      </c>
      <c r="AH278" s="239">
        <f t="shared" si="22"/>
        <v>0</v>
      </c>
      <c r="AI278" s="239">
        <f t="shared" si="23"/>
        <v>0</v>
      </c>
      <c r="AJ278" s="239">
        <f t="shared" si="24"/>
        <v>0</v>
      </c>
    </row>
    <row r="279" spans="1:36" x14ac:dyDescent="0.2">
      <c r="A279" s="240" t="str">
        <f t="shared" si="20"/>
        <v>SNCF10CF47080</v>
      </c>
      <c r="B279" s="239" t="s">
        <v>19</v>
      </c>
      <c r="C279" s="239" t="s">
        <v>20</v>
      </c>
      <c r="D279" s="239" t="s">
        <v>2481</v>
      </c>
      <c r="E279" s="239" t="s">
        <v>2482</v>
      </c>
      <c r="F279" s="239" t="s">
        <v>2520</v>
      </c>
      <c r="G279" s="239">
        <v>80</v>
      </c>
      <c r="H279" s="239" t="s">
        <v>928</v>
      </c>
      <c r="I279" s="239" t="s">
        <v>928</v>
      </c>
      <c r="J279" s="239" t="s">
        <v>928</v>
      </c>
      <c r="K279" s="239" t="s">
        <v>2398</v>
      </c>
      <c r="L279" s="239">
        <v>266.67</v>
      </c>
      <c r="M279" s="239">
        <v>0</v>
      </c>
      <c r="N279" s="239">
        <v>0</v>
      </c>
      <c r="O279" s="239">
        <v>0</v>
      </c>
      <c r="P279" s="239">
        <v>0</v>
      </c>
      <c r="Q279" s="239">
        <v>0</v>
      </c>
      <c r="R279" s="239">
        <v>0</v>
      </c>
      <c r="S279" s="239">
        <v>0</v>
      </c>
      <c r="T279" s="239">
        <v>0</v>
      </c>
      <c r="U279" s="239">
        <v>0</v>
      </c>
      <c r="V279" s="239">
        <v>0</v>
      </c>
      <c r="W279" s="239">
        <v>0</v>
      </c>
      <c r="X279" s="239">
        <v>0</v>
      </c>
      <c r="Y279" s="239">
        <v>140.38</v>
      </c>
      <c r="Z279" s="239">
        <v>0</v>
      </c>
      <c r="AA279" s="239">
        <v>0</v>
      </c>
      <c r="AB279" s="239">
        <v>126.29</v>
      </c>
      <c r="AC279" s="239">
        <v>0</v>
      </c>
      <c r="AD279" s="239">
        <v>0</v>
      </c>
      <c r="AE279" s="239" t="s">
        <v>720</v>
      </c>
      <c r="AF279" s="239" t="s">
        <v>721</v>
      </c>
      <c r="AG279" s="239">
        <f t="shared" si="21"/>
        <v>0</v>
      </c>
      <c r="AH279" s="239">
        <f t="shared" si="22"/>
        <v>0</v>
      </c>
      <c r="AI279" s="239">
        <f t="shared" si="23"/>
        <v>0</v>
      </c>
      <c r="AJ279" s="239">
        <f t="shared" si="24"/>
        <v>0</v>
      </c>
    </row>
    <row r="280" spans="1:36" x14ac:dyDescent="0.2">
      <c r="A280" s="240" t="str">
        <f t="shared" si="20"/>
        <v>2SNCF10CF470SB40</v>
      </c>
      <c r="B280" s="239" t="s">
        <v>19</v>
      </c>
      <c r="C280" s="239" t="s">
        <v>20</v>
      </c>
      <c r="D280" s="239" t="s">
        <v>2481</v>
      </c>
      <c r="E280" s="239" t="s">
        <v>2482</v>
      </c>
      <c r="F280" s="239" t="s">
        <v>2521</v>
      </c>
      <c r="G280" s="239">
        <v>40</v>
      </c>
      <c r="H280" s="239" t="s">
        <v>928</v>
      </c>
      <c r="I280" s="239" t="s">
        <v>2484</v>
      </c>
      <c r="J280" s="239" t="s">
        <v>928</v>
      </c>
      <c r="K280" s="239" t="s">
        <v>2398</v>
      </c>
      <c r="L280" s="239">
        <v>235.5</v>
      </c>
      <c r="M280" s="239">
        <v>0</v>
      </c>
      <c r="N280" s="239">
        <v>0</v>
      </c>
      <c r="O280" s="239">
        <v>0</v>
      </c>
      <c r="P280" s="239">
        <v>0</v>
      </c>
      <c r="Q280" s="239">
        <v>0</v>
      </c>
      <c r="R280" s="239">
        <v>0</v>
      </c>
      <c r="S280" s="239">
        <v>0</v>
      </c>
      <c r="T280" s="239">
        <v>0</v>
      </c>
      <c r="U280" s="239">
        <v>0</v>
      </c>
      <c r="V280" s="239">
        <v>0</v>
      </c>
      <c r="W280" s="239">
        <v>0</v>
      </c>
      <c r="X280" s="239">
        <v>0</v>
      </c>
      <c r="Y280" s="239">
        <v>140.30000000000001</v>
      </c>
      <c r="Z280" s="239">
        <v>0</v>
      </c>
      <c r="AA280" s="239">
        <v>0</v>
      </c>
      <c r="AB280" s="239">
        <v>95.21</v>
      </c>
      <c r="AC280" s="239">
        <v>0</v>
      </c>
      <c r="AD280" s="239">
        <v>0</v>
      </c>
      <c r="AE280" s="239" t="s">
        <v>720</v>
      </c>
      <c r="AF280" s="239" t="s">
        <v>721</v>
      </c>
      <c r="AG280" s="239">
        <f t="shared" si="21"/>
        <v>0</v>
      </c>
      <c r="AH280" s="239">
        <f t="shared" si="22"/>
        <v>0</v>
      </c>
      <c r="AI280" s="239">
        <f t="shared" si="23"/>
        <v>0</v>
      </c>
      <c r="AJ280" s="239">
        <f t="shared" si="24"/>
        <v>0</v>
      </c>
    </row>
    <row r="281" spans="1:36" x14ac:dyDescent="0.2">
      <c r="A281" s="240" t="str">
        <f t="shared" si="20"/>
        <v>SNCF10CF470SB40</v>
      </c>
      <c r="B281" s="239" t="s">
        <v>19</v>
      </c>
      <c r="C281" s="239" t="s">
        <v>20</v>
      </c>
      <c r="D281" s="239" t="s">
        <v>2481</v>
      </c>
      <c r="E281" s="239" t="s">
        <v>2482</v>
      </c>
      <c r="F281" s="239" t="s">
        <v>2521</v>
      </c>
      <c r="G281" s="239">
        <v>40</v>
      </c>
      <c r="H281" s="239" t="s">
        <v>928</v>
      </c>
      <c r="I281" s="239" t="s">
        <v>928</v>
      </c>
      <c r="J281" s="239" t="s">
        <v>928</v>
      </c>
      <c r="K281" s="239" t="s">
        <v>2398</v>
      </c>
      <c r="L281" s="239">
        <v>235.5</v>
      </c>
      <c r="M281" s="239">
        <v>0</v>
      </c>
      <c r="N281" s="239">
        <v>0</v>
      </c>
      <c r="O281" s="239">
        <v>0</v>
      </c>
      <c r="P281" s="239">
        <v>0</v>
      </c>
      <c r="Q281" s="239">
        <v>0</v>
      </c>
      <c r="R281" s="239">
        <v>0</v>
      </c>
      <c r="S281" s="239">
        <v>0</v>
      </c>
      <c r="T281" s="239">
        <v>0</v>
      </c>
      <c r="U281" s="239">
        <v>0</v>
      </c>
      <c r="V281" s="239">
        <v>0</v>
      </c>
      <c r="W281" s="239">
        <v>0</v>
      </c>
      <c r="X281" s="239">
        <v>0</v>
      </c>
      <c r="Y281" s="239">
        <v>140.30000000000001</v>
      </c>
      <c r="Z281" s="239">
        <v>0</v>
      </c>
      <c r="AA281" s="239">
        <v>0</v>
      </c>
      <c r="AB281" s="239">
        <v>95.21</v>
      </c>
      <c r="AC281" s="239">
        <v>0</v>
      </c>
      <c r="AD281" s="239">
        <v>0</v>
      </c>
      <c r="AE281" s="239" t="s">
        <v>720</v>
      </c>
      <c r="AF281" s="239" t="s">
        <v>721</v>
      </c>
      <c r="AG281" s="239">
        <f t="shared" si="21"/>
        <v>0</v>
      </c>
      <c r="AH281" s="239">
        <f t="shared" si="22"/>
        <v>0</v>
      </c>
      <c r="AI281" s="239">
        <f t="shared" si="23"/>
        <v>0</v>
      </c>
      <c r="AJ281" s="239">
        <f t="shared" si="24"/>
        <v>0</v>
      </c>
    </row>
    <row r="282" spans="1:36" x14ac:dyDescent="0.2">
      <c r="A282" s="240" t="str">
        <f t="shared" si="20"/>
        <v>2SNCF10CF470SB50</v>
      </c>
      <c r="B282" s="239" t="s">
        <v>19</v>
      </c>
      <c r="C282" s="239" t="s">
        <v>20</v>
      </c>
      <c r="D282" s="239" t="s">
        <v>2481</v>
      </c>
      <c r="E282" s="239" t="s">
        <v>2482</v>
      </c>
      <c r="F282" s="239" t="s">
        <v>2521</v>
      </c>
      <c r="G282" s="239">
        <v>50</v>
      </c>
      <c r="H282" s="239" t="s">
        <v>928</v>
      </c>
      <c r="I282" s="239" t="s">
        <v>2484</v>
      </c>
      <c r="J282" s="239" t="s">
        <v>928</v>
      </c>
      <c r="K282" s="239" t="s">
        <v>2398</v>
      </c>
      <c r="L282" s="239">
        <v>260.99</v>
      </c>
      <c r="M282" s="239">
        <v>0</v>
      </c>
      <c r="N282" s="239">
        <v>0</v>
      </c>
      <c r="O282" s="239">
        <v>0</v>
      </c>
      <c r="P282" s="239">
        <v>0</v>
      </c>
      <c r="Q282" s="239">
        <v>0</v>
      </c>
      <c r="R282" s="239">
        <v>0</v>
      </c>
      <c r="S282" s="239">
        <v>0</v>
      </c>
      <c r="T282" s="239">
        <v>0</v>
      </c>
      <c r="U282" s="239">
        <v>0</v>
      </c>
      <c r="V282" s="239">
        <v>0</v>
      </c>
      <c r="W282" s="239">
        <v>0</v>
      </c>
      <c r="X282" s="239">
        <v>0</v>
      </c>
      <c r="Y282" s="239">
        <v>149.5</v>
      </c>
      <c r="Z282" s="239">
        <v>0</v>
      </c>
      <c r="AA282" s="239">
        <v>0</v>
      </c>
      <c r="AB282" s="239">
        <v>111.49</v>
      </c>
      <c r="AC282" s="239">
        <v>0</v>
      </c>
      <c r="AD282" s="239">
        <v>0</v>
      </c>
      <c r="AE282" s="239" t="s">
        <v>720</v>
      </c>
      <c r="AF282" s="239" t="s">
        <v>721</v>
      </c>
      <c r="AG282" s="239">
        <f t="shared" si="21"/>
        <v>0</v>
      </c>
      <c r="AH282" s="239">
        <f t="shared" si="22"/>
        <v>0</v>
      </c>
      <c r="AI282" s="239">
        <f t="shared" si="23"/>
        <v>0</v>
      </c>
      <c r="AJ282" s="239">
        <f t="shared" si="24"/>
        <v>0</v>
      </c>
    </row>
    <row r="283" spans="1:36" x14ac:dyDescent="0.2">
      <c r="A283" s="240" t="str">
        <f t="shared" si="20"/>
        <v>SNCF10CF470SB50</v>
      </c>
      <c r="B283" s="239" t="s">
        <v>19</v>
      </c>
      <c r="C283" s="239" t="s">
        <v>20</v>
      </c>
      <c r="D283" s="239" t="s">
        <v>2481</v>
      </c>
      <c r="E283" s="239" t="s">
        <v>2482</v>
      </c>
      <c r="F283" s="239" t="s">
        <v>2521</v>
      </c>
      <c r="G283" s="239">
        <v>50</v>
      </c>
      <c r="H283" s="239" t="s">
        <v>928</v>
      </c>
      <c r="I283" s="239" t="s">
        <v>928</v>
      </c>
      <c r="J283" s="239" t="s">
        <v>928</v>
      </c>
      <c r="K283" s="239" t="s">
        <v>2398</v>
      </c>
      <c r="L283" s="239">
        <v>260.99</v>
      </c>
      <c r="M283" s="239">
        <v>0</v>
      </c>
      <c r="N283" s="239">
        <v>0</v>
      </c>
      <c r="O283" s="239">
        <v>0</v>
      </c>
      <c r="P283" s="239">
        <v>0</v>
      </c>
      <c r="Q283" s="239">
        <v>0</v>
      </c>
      <c r="R283" s="239">
        <v>0</v>
      </c>
      <c r="S283" s="239">
        <v>0</v>
      </c>
      <c r="T283" s="239">
        <v>0</v>
      </c>
      <c r="U283" s="239">
        <v>0</v>
      </c>
      <c r="V283" s="239">
        <v>0</v>
      </c>
      <c r="W283" s="239">
        <v>0</v>
      </c>
      <c r="X283" s="239">
        <v>0</v>
      </c>
      <c r="Y283" s="239">
        <v>149.5</v>
      </c>
      <c r="Z283" s="239">
        <v>0</v>
      </c>
      <c r="AA283" s="239">
        <v>0</v>
      </c>
      <c r="AB283" s="239">
        <v>111.49</v>
      </c>
      <c r="AC283" s="239">
        <v>0</v>
      </c>
      <c r="AD283" s="239">
        <v>0</v>
      </c>
      <c r="AE283" s="239" t="s">
        <v>720</v>
      </c>
      <c r="AF283" s="239" t="s">
        <v>721</v>
      </c>
      <c r="AG283" s="239">
        <f t="shared" si="21"/>
        <v>0</v>
      </c>
      <c r="AH283" s="239">
        <f t="shared" si="22"/>
        <v>0</v>
      </c>
      <c r="AI283" s="239">
        <f t="shared" si="23"/>
        <v>0</v>
      </c>
      <c r="AJ283" s="239">
        <f t="shared" si="24"/>
        <v>0</v>
      </c>
    </row>
    <row r="284" spans="1:36" x14ac:dyDescent="0.2">
      <c r="A284" s="240" t="str">
        <f t="shared" si="20"/>
        <v>2SNCF10CF47W50</v>
      </c>
      <c r="B284" s="239" t="s">
        <v>19</v>
      </c>
      <c r="C284" s="239" t="s">
        <v>20</v>
      </c>
      <c r="D284" s="239" t="s">
        <v>2481</v>
      </c>
      <c r="E284" s="239" t="s">
        <v>2482</v>
      </c>
      <c r="F284" s="239" t="s">
        <v>2522</v>
      </c>
      <c r="G284" s="239">
        <v>50</v>
      </c>
      <c r="H284" s="239" t="s">
        <v>928</v>
      </c>
      <c r="I284" s="239" t="s">
        <v>2484</v>
      </c>
      <c r="J284" s="239" t="s">
        <v>928</v>
      </c>
      <c r="K284" s="239" t="s">
        <v>2398</v>
      </c>
      <c r="L284" s="239">
        <v>226.03</v>
      </c>
      <c r="M284" s="239">
        <v>0</v>
      </c>
      <c r="N284" s="239">
        <v>0</v>
      </c>
      <c r="O284" s="239">
        <v>0</v>
      </c>
      <c r="P284" s="239">
        <v>0</v>
      </c>
      <c r="Q284" s="239">
        <v>0</v>
      </c>
      <c r="R284" s="239">
        <v>0</v>
      </c>
      <c r="S284" s="239">
        <v>0</v>
      </c>
      <c r="T284" s="239">
        <v>0</v>
      </c>
      <c r="U284" s="239">
        <v>0</v>
      </c>
      <c r="V284" s="239">
        <v>0</v>
      </c>
      <c r="W284" s="239">
        <v>0</v>
      </c>
      <c r="X284" s="239">
        <v>0</v>
      </c>
      <c r="Y284" s="239">
        <v>126.77</v>
      </c>
      <c r="Z284" s="239">
        <v>0</v>
      </c>
      <c r="AA284" s="239">
        <v>0</v>
      </c>
      <c r="AB284" s="239">
        <v>99.26</v>
      </c>
      <c r="AC284" s="239">
        <v>0</v>
      </c>
      <c r="AD284" s="239">
        <v>0</v>
      </c>
      <c r="AE284" s="239" t="s">
        <v>720</v>
      </c>
      <c r="AF284" s="239" t="s">
        <v>721</v>
      </c>
      <c r="AG284" s="239">
        <f t="shared" si="21"/>
        <v>0</v>
      </c>
      <c r="AH284" s="239">
        <f t="shared" si="22"/>
        <v>0</v>
      </c>
      <c r="AI284" s="239">
        <f t="shared" si="23"/>
        <v>0</v>
      </c>
      <c r="AJ284" s="239">
        <f t="shared" si="24"/>
        <v>0</v>
      </c>
    </row>
    <row r="285" spans="1:36" x14ac:dyDescent="0.2">
      <c r="A285" s="240" t="str">
        <f t="shared" si="20"/>
        <v>SNCF10CF47W50</v>
      </c>
      <c r="B285" s="239" t="s">
        <v>19</v>
      </c>
      <c r="C285" s="239" t="s">
        <v>20</v>
      </c>
      <c r="D285" s="239" t="s">
        <v>2481</v>
      </c>
      <c r="E285" s="239" t="s">
        <v>2482</v>
      </c>
      <c r="F285" s="239" t="s">
        <v>2522</v>
      </c>
      <c r="G285" s="239">
        <v>50</v>
      </c>
      <c r="H285" s="239" t="s">
        <v>928</v>
      </c>
      <c r="I285" s="239" t="s">
        <v>928</v>
      </c>
      <c r="J285" s="239" t="s">
        <v>928</v>
      </c>
      <c r="K285" s="239" t="s">
        <v>2398</v>
      </c>
      <c r="L285" s="239">
        <v>226.03</v>
      </c>
      <c r="M285" s="239">
        <v>0</v>
      </c>
      <c r="N285" s="239">
        <v>0</v>
      </c>
      <c r="O285" s="239">
        <v>0</v>
      </c>
      <c r="P285" s="239">
        <v>0</v>
      </c>
      <c r="Q285" s="239">
        <v>0</v>
      </c>
      <c r="R285" s="239">
        <v>0</v>
      </c>
      <c r="S285" s="239">
        <v>0</v>
      </c>
      <c r="T285" s="239">
        <v>0</v>
      </c>
      <c r="U285" s="239">
        <v>0</v>
      </c>
      <c r="V285" s="239">
        <v>0</v>
      </c>
      <c r="W285" s="239">
        <v>0</v>
      </c>
      <c r="X285" s="239">
        <v>0</v>
      </c>
      <c r="Y285" s="239">
        <v>126.77</v>
      </c>
      <c r="Z285" s="239">
        <v>0</v>
      </c>
      <c r="AA285" s="239">
        <v>0</v>
      </c>
      <c r="AB285" s="239">
        <v>99.26</v>
      </c>
      <c r="AC285" s="239">
        <v>0</v>
      </c>
      <c r="AD285" s="239">
        <v>0</v>
      </c>
      <c r="AE285" s="239" t="s">
        <v>720</v>
      </c>
      <c r="AF285" s="239" t="s">
        <v>721</v>
      </c>
      <c r="AG285" s="239">
        <f t="shared" si="21"/>
        <v>0</v>
      </c>
      <c r="AH285" s="239">
        <f t="shared" si="22"/>
        <v>0</v>
      </c>
      <c r="AI285" s="239">
        <f t="shared" si="23"/>
        <v>0</v>
      </c>
      <c r="AJ285" s="239">
        <f t="shared" si="24"/>
        <v>0</v>
      </c>
    </row>
    <row r="286" spans="1:36" x14ac:dyDescent="0.2">
      <c r="A286" s="240" t="str">
        <f t="shared" si="20"/>
        <v>72CSNCF10L25270</v>
      </c>
      <c r="B286" s="239" t="s">
        <v>19</v>
      </c>
      <c r="C286" s="239" t="s">
        <v>20</v>
      </c>
      <c r="D286" s="239" t="s">
        <v>2481</v>
      </c>
      <c r="E286" s="239" t="s">
        <v>2482</v>
      </c>
      <c r="F286" s="239" t="s">
        <v>2523</v>
      </c>
      <c r="G286" s="239">
        <v>70</v>
      </c>
      <c r="H286" s="239" t="s">
        <v>928</v>
      </c>
      <c r="I286" s="239" t="s">
        <v>2524</v>
      </c>
      <c r="J286" s="239" t="s">
        <v>928</v>
      </c>
      <c r="K286" s="239" t="s">
        <v>2398</v>
      </c>
      <c r="L286" s="239">
        <v>717.47</v>
      </c>
      <c r="M286" s="239">
        <v>100</v>
      </c>
      <c r="N286" s="239">
        <v>0</v>
      </c>
      <c r="O286" s="239">
        <v>717.47</v>
      </c>
      <c r="P286" s="239">
        <v>0</v>
      </c>
      <c r="Q286" s="239">
        <v>0</v>
      </c>
      <c r="R286" s="239">
        <v>0</v>
      </c>
      <c r="S286" s="239">
        <v>0</v>
      </c>
      <c r="T286" s="239">
        <v>0</v>
      </c>
      <c r="U286" s="239">
        <v>0</v>
      </c>
      <c r="V286" s="239">
        <v>0</v>
      </c>
      <c r="W286" s="239">
        <v>0</v>
      </c>
      <c r="X286" s="239">
        <v>0</v>
      </c>
      <c r="Y286" s="239">
        <v>0</v>
      </c>
      <c r="Z286" s="239">
        <v>0</v>
      </c>
      <c r="AA286" s="239">
        <v>0</v>
      </c>
      <c r="AB286" s="239">
        <v>0</v>
      </c>
      <c r="AC286" s="239">
        <v>0</v>
      </c>
      <c r="AD286" s="239">
        <v>0</v>
      </c>
      <c r="AE286" s="239" t="s">
        <v>720</v>
      </c>
      <c r="AF286" s="239" t="s">
        <v>721</v>
      </c>
      <c r="AG286" s="239">
        <f t="shared" si="21"/>
        <v>717.47</v>
      </c>
      <c r="AH286" s="239">
        <f t="shared" si="22"/>
        <v>0</v>
      </c>
      <c r="AI286" s="239">
        <f t="shared" si="23"/>
        <v>0</v>
      </c>
      <c r="AJ286" s="239">
        <f t="shared" si="24"/>
        <v>717.47</v>
      </c>
    </row>
    <row r="287" spans="1:36" x14ac:dyDescent="0.2">
      <c r="A287" s="240" t="str">
        <f t="shared" si="20"/>
        <v>SNCF10L25270</v>
      </c>
      <c r="B287" s="239" t="s">
        <v>19</v>
      </c>
      <c r="C287" s="239" t="s">
        <v>20</v>
      </c>
      <c r="D287" s="239" t="s">
        <v>2481</v>
      </c>
      <c r="E287" s="239" t="s">
        <v>2482</v>
      </c>
      <c r="F287" s="239" t="s">
        <v>2523</v>
      </c>
      <c r="G287" s="239">
        <v>70</v>
      </c>
      <c r="H287" s="239" t="s">
        <v>928</v>
      </c>
      <c r="I287" s="239" t="s">
        <v>928</v>
      </c>
      <c r="J287" s="239" t="s">
        <v>928</v>
      </c>
      <c r="K287" s="239" t="s">
        <v>2398</v>
      </c>
      <c r="L287" s="239">
        <v>717.47</v>
      </c>
      <c r="M287" s="239">
        <v>100</v>
      </c>
      <c r="N287" s="239">
        <v>0</v>
      </c>
      <c r="O287" s="239">
        <v>717.47</v>
      </c>
      <c r="P287" s="239">
        <v>0</v>
      </c>
      <c r="Q287" s="239">
        <v>0</v>
      </c>
      <c r="R287" s="239">
        <v>0</v>
      </c>
      <c r="S287" s="239">
        <v>0</v>
      </c>
      <c r="T287" s="239">
        <v>0</v>
      </c>
      <c r="U287" s="239">
        <v>0</v>
      </c>
      <c r="V287" s="239">
        <v>0</v>
      </c>
      <c r="W287" s="239">
        <v>0</v>
      </c>
      <c r="X287" s="239">
        <v>0</v>
      </c>
      <c r="Y287" s="239">
        <v>0</v>
      </c>
      <c r="Z287" s="239">
        <v>0</v>
      </c>
      <c r="AA287" s="239">
        <v>0</v>
      </c>
      <c r="AB287" s="239">
        <v>0</v>
      </c>
      <c r="AC287" s="239">
        <v>0</v>
      </c>
      <c r="AD287" s="239">
        <v>0</v>
      </c>
      <c r="AE287" s="239" t="s">
        <v>720</v>
      </c>
      <c r="AF287" s="239" t="s">
        <v>721</v>
      </c>
      <c r="AG287" s="239">
        <f t="shared" si="21"/>
        <v>717.47</v>
      </c>
      <c r="AH287" s="239">
        <f t="shared" si="22"/>
        <v>0</v>
      </c>
      <c r="AI287" s="239">
        <f t="shared" si="23"/>
        <v>0</v>
      </c>
      <c r="AJ287" s="239">
        <f t="shared" si="24"/>
        <v>717.47</v>
      </c>
    </row>
    <row r="288" spans="1:36" x14ac:dyDescent="0.2">
      <c r="A288" s="240" t="str">
        <f t="shared" si="20"/>
        <v>2SNCF10R03445</v>
      </c>
      <c r="B288" s="239" t="s">
        <v>19</v>
      </c>
      <c r="C288" s="239" t="s">
        <v>20</v>
      </c>
      <c r="D288" s="239" t="s">
        <v>2481</v>
      </c>
      <c r="E288" s="239" t="s">
        <v>2482</v>
      </c>
      <c r="F288" s="239" t="s">
        <v>2525</v>
      </c>
      <c r="G288" s="239">
        <v>45</v>
      </c>
      <c r="H288" s="239" t="s">
        <v>928</v>
      </c>
      <c r="I288" s="239" t="s">
        <v>2484</v>
      </c>
      <c r="J288" s="239" t="s">
        <v>928</v>
      </c>
      <c r="K288" s="239" t="s">
        <v>2398</v>
      </c>
      <c r="L288" s="239">
        <v>835.55</v>
      </c>
      <c r="M288" s="239">
        <v>0</v>
      </c>
      <c r="N288" s="239">
        <v>0</v>
      </c>
      <c r="O288" s="239">
        <v>0</v>
      </c>
      <c r="P288" s="239">
        <v>0</v>
      </c>
      <c r="Q288" s="239">
        <v>0</v>
      </c>
      <c r="R288" s="239">
        <v>0</v>
      </c>
      <c r="S288" s="239">
        <v>0</v>
      </c>
      <c r="T288" s="239">
        <v>0</v>
      </c>
      <c r="U288" s="239">
        <v>0</v>
      </c>
      <c r="V288" s="239">
        <v>0</v>
      </c>
      <c r="W288" s="239">
        <v>0</v>
      </c>
      <c r="X288" s="239">
        <v>0</v>
      </c>
      <c r="Y288" s="239">
        <v>634.26</v>
      </c>
      <c r="Z288" s="239">
        <v>0</v>
      </c>
      <c r="AA288" s="239">
        <v>0</v>
      </c>
      <c r="AB288" s="239">
        <v>201.3</v>
      </c>
      <c r="AC288" s="239">
        <v>0</v>
      </c>
      <c r="AD288" s="239">
        <v>0</v>
      </c>
      <c r="AE288" s="239" t="s">
        <v>720</v>
      </c>
      <c r="AF288" s="239" t="s">
        <v>721</v>
      </c>
      <c r="AG288" s="239">
        <f t="shared" si="21"/>
        <v>0</v>
      </c>
      <c r="AH288" s="239">
        <f t="shared" si="22"/>
        <v>0</v>
      </c>
      <c r="AI288" s="239">
        <f t="shared" si="23"/>
        <v>0</v>
      </c>
      <c r="AJ288" s="239">
        <f t="shared" si="24"/>
        <v>0</v>
      </c>
    </row>
    <row r="289" spans="1:36" x14ac:dyDescent="0.2">
      <c r="A289" s="240" t="str">
        <f t="shared" si="20"/>
        <v>SNCF10R03445</v>
      </c>
      <c r="B289" s="239" t="s">
        <v>19</v>
      </c>
      <c r="C289" s="239" t="s">
        <v>20</v>
      </c>
      <c r="D289" s="239" t="s">
        <v>2481</v>
      </c>
      <c r="E289" s="239" t="s">
        <v>2482</v>
      </c>
      <c r="F289" s="239" t="s">
        <v>2525</v>
      </c>
      <c r="G289" s="239">
        <v>45</v>
      </c>
      <c r="H289" s="239" t="s">
        <v>928</v>
      </c>
      <c r="I289" s="239" t="s">
        <v>928</v>
      </c>
      <c r="J289" s="239" t="s">
        <v>928</v>
      </c>
      <c r="K289" s="239" t="s">
        <v>2398</v>
      </c>
      <c r="L289" s="239">
        <v>835.55</v>
      </c>
      <c r="M289" s="239">
        <v>0</v>
      </c>
      <c r="N289" s="239">
        <v>0</v>
      </c>
      <c r="O289" s="239">
        <v>0</v>
      </c>
      <c r="P289" s="239">
        <v>0</v>
      </c>
      <c r="Q289" s="239">
        <v>0</v>
      </c>
      <c r="R289" s="239">
        <v>0</v>
      </c>
      <c r="S289" s="239">
        <v>0</v>
      </c>
      <c r="T289" s="239">
        <v>0</v>
      </c>
      <c r="U289" s="239">
        <v>0</v>
      </c>
      <c r="V289" s="239">
        <v>0</v>
      </c>
      <c r="W289" s="239">
        <v>0</v>
      </c>
      <c r="X289" s="239">
        <v>0</v>
      </c>
      <c r="Y289" s="239">
        <v>634.26</v>
      </c>
      <c r="Z289" s="239">
        <v>0</v>
      </c>
      <c r="AA289" s="239">
        <v>0</v>
      </c>
      <c r="AB289" s="239">
        <v>201.3</v>
      </c>
      <c r="AC289" s="239">
        <v>0</v>
      </c>
      <c r="AD289" s="239">
        <v>0</v>
      </c>
      <c r="AE289" s="239" t="s">
        <v>720</v>
      </c>
      <c r="AF289" s="239" t="s">
        <v>721</v>
      </c>
      <c r="AG289" s="239">
        <f t="shared" si="21"/>
        <v>0</v>
      </c>
      <c r="AH289" s="239">
        <f t="shared" si="22"/>
        <v>0</v>
      </c>
      <c r="AI289" s="239">
        <f t="shared" si="23"/>
        <v>0</v>
      </c>
      <c r="AJ289" s="239">
        <f t="shared" si="24"/>
        <v>0</v>
      </c>
    </row>
    <row r="290" spans="1:36" x14ac:dyDescent="0.2">
      <c r="A290" s="240" t="str">
        <f t="shared" si="20"/>
        <v>2SNCF10R307K40</v>
      </c>
      <c r="B290" s="239" t="s">
        <v>19</v>
      </c>
      <c r="C290" s="239" t="s">
        <v>20</v>
      </c>
      <c r="D290" s="239" t="s">
        <v>2481</v>
      </c>
      <c r="E290" s="239" t="s">
        <v>2482</v>
      </c>
      <c r="F290" s="239" t="s">
        <v>2526</v>
      </c>
      <c r="G290" s="239">
        <v>40</v>
      </c>
      <c r="H290" s="239" t="s">
        <v>928</v>
      </c>
      <c r="I290" s="239" t="s">
        <v>2484</v>
      </c>
      <c r="J290" s="239" t="s">
        <v>928</v>
      </c>
      <c r="K290" s="239" t="s">
        <v>2398</v>
      </c>
      <c r="L290" s="239">
        <v>1064.8599999999999</v>
      </c>
      <c r="M290" s="239">
        <v>0</v>
      </c>
      <c r="N290" s="239">
        <v>0</v>
      </c>
      <c r="O290" s="239">
        <v>0</v>
      </c>
      <c r="P290" s="239">
        <v>0</v>
      </c>
      <c r="Q290" s="239">
        <v>0</v>
      </c>
      <c r="R290" s="239">
        <v>0</v>
      </c>
      <c r="S290" s="239">
        <v>0</v>
      </c>
      <c r="T290" s="239">
        <v>0</v>
      </c>
      <c r="U290" s="239">
        <v>0</v>
      </c>
      <c r="V290" s="239">
        <v>0</v>
      </c>
      <c r="W290" s="239">
        <v>0</v>
      </c>
      <c r="X290" s="239">
        <v>0</v>
      </c>
      <c r="Y290" s="239">
        <v>881.39</v>
      </c>
      <c r="Z290" s="239">
        <v>0</v>
      </c>
      <c r="AA290" s="239">
        <v>0</v>
      </c>
      <c r="AB290" s="239">
        <v>183.47</v>
      </c>
      <c r="AC290" s="239">
        <v>0</v>
      </c>
      <c r="AD290" s="239">
        <v>0</v>
      </c>
      <c r="AE290" s="239" t="s">
        <v>720</v>
      </c>
      <c r="AF290" s="239" t="s">
        <v>721</v>
      </c>
      <c r="AG290" s="239">
        <f t="shared" si="21"/>
        <v>0</v>
      </c>
      <c r="AH290" s="239">
        <f t="shared" si="22"/>
        <v>0</v>
      </c>
      <c r="AI290" s="239">
        <f t="shared" si="23"/>
        <v>0</v>
      </c>
      <c r="AJ290" s="239">
        <f t="shared" si="24"/>
        <v>0</v>
      </c>
    </row>
    <row r="291" spans="1:36" x14ac:dyDescent="0.2">
      <c r="A291" s="240" t="str">
        <f t="shared" si="20"/>
        <v>SNCF10R307K40</v>
      </c>
      <c r="B291" s="239" t="s">
        <v>19</v>
      </c>
      <c r="C291" s="239" t="s">
        <v>20</v>
      </c>
      <c r="D291" s="239" t="s">
        <v>2481</v>
      </c>
      <c r="E291" s="239" t="s">
        <v>2482</v>
      </c>
      <c r="F291" s="239" t="s">
        <v>2526</v>
      </c>
      <c r="G291" s="239">
        <v>40</v>
      </c>
      <c r="H291" s="239" t="s">
        <v>928</v>
      </c>
      <c r="I291" s="239" t="s">
        <v>928</v>
      </c>
      <c r="J291" s="239" t="s">
        <v>928</v>
      </c>
      <c r="K291" s="239" t="s">
        <v>2398</v>
      </c>
      <c r="L291" s="239">
        <v>1064.8599999999999</v>
      </c>
      <c r="M291" s="239">
        <v>0</v>
      </c>
      <c r="N291" s="239">
        <v>0</v>
      </c>
      <c r="O291" s="239">
        <v>0</v>
      </c>
      <c r="P291" s="239">
        <v>0</v>
      </c>
      <c r="Q291" s="239">
        <v>0</v>
      </c>
      <c r="R291" s="239">
        <v>0</v>
      </c>
      <c r="S291" s="239">
        <v>0</v>
      </c>
      <c r="T291" s="239">
        <v>0</v>
      </c>
      <c r="U291" s="239">
        <v>0</v>
      </c>
      <c r="V291" s="239">
        <v>0</v>
      </c>
      <c r="W291" s="239">
        <v>0</v>
      </c>
      <c r="X291" s="239">
        <v>0</v>
      </c>
      <c r="Y291" s="239">
        <v>881.39</v>
      </c>
      <c r="Z291" s="239">
        <v>0</v>
      </c>
      <c r="AA291" s="239">
        <v>0</v>
      </c>
      <c r="AB291" s="239">
        <v>183.47</v>
      </c>
      <c r="AC291" s="239">
        <v>0</v>
      </c>
      <c r="AD291" s="239">
        <v>0</v>
      </c>
      <c r="AE291" s="239" t="s">
        <v>720</v>
      </c>
      <c r="AF291" s="239" t="s">
        <v>721</v>
      </c>
      <c r="AG291" s="239">
        <f t="shared" si="21"/>
        <v>0</v>
      </c>
      <c r="AH291" s="239">
        <f t="shared" si="22"/>
        <v>0</v>
      </c>
      <c r="AI291" s="239">
        <f t="shared" si="23"/>
        <v>0</v>
      </c>
      <c r="AJ291" s="239">
        <f t="shared" si="24"/>
        <v>0</v>
      </c>
    </row>
    <row r="292" spans="1:36" x14ac:dyDescent="0.2">
      <c r="A292" s="240" t="str">
        <f t="shared" si="20"/>
        <v>2SNCF10S500A35</v>
      </c>
      <c r="B292" s="239" t="s">
        <v>19</v>
      </c>
      <c r="C292" s="239" t="s">
        <v>20</v>
      </c>
      <c r="D292" s="239" t="s">
        <v>2481</v>
      </c>
      <c r="E292" s="239" t="s">
        <v>2482</v>
      </c>
      <c r="F292" s="239" t="s">
        <v>2527</v>
      </c>
      <c r="G292" s="239">
        <v>35</v>
      </c>
      <c r="H292" s="239" t="s">
        <v>928</v>
      </c>
      <c r="I292" s="239" t="s">
        <v>2484</v>
      </c>
      <c r="J292" s="239" t="s">
        <v>928</v>
      </c>
      <c r="K292" s="239" t="s">
        <v>2398</v>
      </c>
      <c r="L292" s="239">
        <v>496.05</v>
      </c>
      <c r="M292" s="239">
        <v>0</v>
      </c>
      <c r="N292" s="239">
        <v>0</v>
      </c>
      <c r="O292" s="239">
        <v>0</v>
      </c>
      <c r="P292" s="239">
        <v>0</v>
      </c>
      <c r="Q292" s="239">
        <v>0</v>
      </c>
      <c r="R292" s="239">
        <v>0</v>
      </c>
      <c r="S292" s="239">
        <v>0</v>
      </c>
      <c r="T292" s="239">
        <v>0</v>
      </c>
      <c r="U292" s="239">
        <v>0</v>
      </c>
      <c r="V292" s="239">
        <v>0</v>
      </c>
      <c r="W292" s="239">
        <v>0</v>
      </c>
      <c r="X292" s="239">
        <v>0</v>
      </c>
      <c r="Y292" s="239">
        <v>410.53</v>
      </c>
      <c r="Z292" s="239">
        <v>0</v>
      </c>
      <c r="AA292" s="239">
        <v>0</v>
      </c>
      <c r="AB292" s="239">
        <v>85.52</v>
      </c>
      <c r="AC292" s="239">
        <v>0</v>
      </c>
      <c r="AD292" s="239">
        <v>0</v>
      </c>
      <c r="AE292" s="239" t="s">
        <v>720</v>
      </c>
      <c r="AF292" s="239" t="s">
        <v>721</v>
      </c>
      <c r="AG292" s="239">
        <f t="shared" si="21"/>
        <v>0</v>
      </c>
      <c r="AH292" s="239">
        <f t="shared" si="22"/>
        <v>0</v>
      </c>
      <c r="AI292" s="239">
        <f t="shared" si="23"/>
        <v>0</v>
      </c>
      <c r="AJ292" s="239">
        <f t="shared" si="24"/>
        <v>0</v>
      </c>
    </row>
    <row r="293" spans="1:36" x14ac:dyDescent="0.2">
      <c r="A293" s="240" t="str">
        <f t="shared" si="20"/>
        <v>SNCF10S500A35</v>
      </c>
      <c r="B293" s="239" t="s">
        <v>19</v>
      </c>
      <c r="C293" s="239" t="s">
        <v>20</v>
      </c>
      <c r="D293" s="239" t="s">
        <v>2481</v>
      </c>
      <c r="E293" s="239" t="s">
        <v>2482</v>
      </c>
      <c r="F293" s="239" t="s">
        <v>2527</v>
      </c>
      <c r="G293" s="239">
        <v>35</v>
      </c>
      <c r="H293" s="239" t="s">
        <v>928</v>
      </c>
      <c r="I293" s="239" t="s">
        <v>928</v>
      </c>
      <c r="J293" s="239" t="s">
        <v>928</v>
      </c>
      <c r="K293" s="239" t="s">
        <v>2398</v>
      </c>
      <c r="L293" s="239">
        <v>496.05</v>
      </c>
      <c r="M293" s="239">
        <v>0</v>
      </c>
      <c r="N293" s="239">
        <v>0</v>
      </c>
      <c r="O293" s="239">
        <v>0</v>
      </c>
      <c r="P293" s="239">
        <v>0</v>
      </c>
      <c r="Q293" s="239">
        <v>0</v>
      </c>
      <c r="R293" s="239">
        <v>0</v>
      </c>
      <c r="S293" s="239">
        <v>0</v>
      </c>
      <c r="T293" s="239">
        <v>0</v>
      </c>
      <c r="U293" s="239">
        <v>0</v>
      </c>
      <c r="V293" s="239">
        <v>0</v>
      </c>
      <c r="W293" s="239">
        <v>0</v>
      </c>
      <c r="X293" s="239">
        <v>0</v>
      </c>
      <c r="Y293" s="239">
        <v>410.53</v>
      </c>
      <c r="Z293" s="239">
        <v>0</v>
      </c>
      <c r="AA293" s="239">
        <v>0</v>
      </c>
      <c r="AB293" s="239">
        <v>85.52</v>
      </c>
      <c r="AC293" s="239">
        <v>0</v>
      </c>
      <c r="AD293" s="239">
        <v>0</v>
      </c>
      <c r="AE293" s="239" t="s">
        <v>720</v>
      </c>
      <c r="AF293" s="239" t="s">
        <v>721</v>
      </c>
      <c r="AG293" s="239">
        <f t="shared" si="21"/>
        <v>0</v>
      </c>
      <c r="AH293" s="239">
        <f t="shared" si="22"/>
        <v>0</v>
      </c>
      <c r="AI293" s="239">
        <f t="shared" si="23"/>
        <v>0</v>
      </c>
      <c r="AJ293" s="239">
        <f t="shared" si="24"/>
        <v>0</v>
      </c>
    </row>
    <row r="294" spans="1:36" x14ac:dyDescent="0.2">
      <c r="A294" s="240" t="str">
        <f t="shared" si="20"/>
        <v>2SNCF10S500A40</v>
      </c>
      <c r="B294" s="239" t="s">
        <v>19</v>
      </c>
      <c r="C294" s="239" t="s">
        <v>20</v>
      </c>
      <c r="D294" s="239" t="s">
        <v>2481</v>
      </c>
      <c r="E294" s="239" t="s">
        <v>2482</v>
      </c>
      <c r="F294" s="239" t="s">
        <v>2527</v>
      </c>
      <c r="G294" s="239">
        <v>40</v>
      </c>
      <c r="H294" s="239" t="s">
        <v>928</v>
      </c>
      <c r="I294" s="239" t="s">
        <v>2484</v>
      </c>
      <c r="J294" s="239" t="s">
        <v>928</v>
      </c>
      <c r="K294" s="239" t="s">
        <v>2398</v>
      </c>
      <c r="L294" s="239">
        <v>546.62</v>
      </c>
      <c r="M294" s="239">
        <v>0</v>
      </c>
      <c r="N294" s="239">
        <v>0</v>
      </c>
      <c r="O294" s="239">
        <v>0</v>
      </c>
      <c r="P294" s="239">
        <v>0</v>
      </c>
      <c r="Q294" s="239">
        <v>0</v>
      </c>
      <c r="R294" s="239">
        <v>0</v>
      </c>
      <c r="S294" s="239">
        <v>0</v>
      </c>
      <c r="T294" s="239">
        <v>0</v>
      </c>
      <c r="U294" s="239">
        <v>0</v>
      </c>
      <c r="V294" s="239">
        <v>0</v>
      </c>
      <c r="W294" s="239">
        <v>0</v>
      </c>
      <c r="X294" s="239">
        <v>0</v>
      </c>
      <c r="Y294" s="239">
        <v>444.49</v>
      </c>
      <c r="Z294" s="239">
        <v>0</v>
      </c>
      <c r="AA294" s="239">
        <v>0</v>
      </c>
      <c r="AB294" s="239">
        <v>102.14</v>
      </c>
      <c r="AC294" s="239">
        <v>0</v>
      </c>
      <c r="AD294" s="239">
        <v>0</v>
      </c>
      <c r="AE294" s="239" t="s">
        <v>720</v>
      </c>
      <c r="AF294" s="239" t="s">
        <v>721</v>
      </c>
      <c r="AG294" s="239">
        <f t="shared" si="21"/>
        <v>0</v>
      </c>
      <c r="AH294" s="239">
        <f t="shared" si="22"/>
        <v>0</v>
      </c>
      <c r="AI294" s="239">
        <f t="shared" si="23"/>
        <v>0</v>
      </c>
      <c r="AJ294" s="239">
        <f t="shared" si="24"/>
        <v>0</v>
      </c>
    </row>
    <row r="295" spans="1:36" x14ac:dyDescent="0.2">
      <c r="A295" s="240" t="str">
        <f t="shared" si="20"/>
        <v>SNCF10S500A40</v>
      </c>
      <c r="B295" s="239" t="s">
        <v>19</v>
      </c>
      <c r="C295" s="239" t="s">
        <v>20</v>
      </c>
      <c r="D295" s="239" t="s">
        <v>2481</v>
      </c>
      <c r="E295" s="239" t="s">
        <v>2482</v>
      </c>
      <c r="F295" s="239" t="s">
        <v>2527</v>
      </c>
      <c r="G295" s="239">
        <v>40</v>
      </c>
      <c r="H295" s="239" t="s">
        <v>928</v>
      </c>
      <c r="I295" s="239" t="s">
        <v>928</v>
      </c>
      <c r="J295" s="239" t="s">
        <v>928</v>
      </c>
      <c r="K295" s="239" t="s">
        <v>2398</v>
      </c>
      <c r="L295" s="239">
        <v>546.62</v>
      </c>
      <c r="M295" s="239">
        <v>0</v>
      </c>
      <c r="N295" s="239">
        <v>0</v>
      </c>
      <c r="O295" s="239">
        <v>0</v>
      </c>
      <c r="P295" s="239">
        <v>0</v>
      </c>
      <c r="Q295" s="239">
        <v>0</v>
      </c>
      <c r="R295" s="239">
        <v>0</v>
      </c>
      <c r="S295" s="239">
        <v>0</v>
      </c>
      <c r="T295" s="239">
        <v>0</v>
      </c>
      <c r="U295" s="239">
        <v>0</v>
      </c>
      <c r="V295" s="239">
        <v>0</v>
      </c>
      <c r="W295" s="239">
        <v>0</v>
      </c>
      <c r="X295" s="239">
        <v>0</v>
      </c>
      <c r="Y295" s="239">
        <v>444.49</v>
      </c>
      <c r="Z295" s="239">
        <v>0</v>
      </c>
      <c r="AA295" s="239">
        <v>0</v>
      </c>
      <c r="AB295" s="239">
        <v>102.14</v>
      </c>
      <c r="AC295" s="239">
        <v>0</v>
      </c>
      <c r="AD295" s="239">
        <v>0</v>
      </c>
      <c r="AE295" s="239" t="s">
        <v>720</v>
      </c>
      <c r="AF295" s="239" t="s">
        <v>721</v>
      </c>
      <c r="AG295" s="239">
        <f t="shared" si="21"/>
        <v>0</v>
      </c>
      <c r="AH295" s="239">
        <f t="shared" si="22"/>
        <v>0</v>
      </c>
      <c r="AI295" s="239">
        <f t="shared" si="23"/>
        <v>0</v>
      </c>
      <c r="AJ295" s="239">
        <f t="shared" si="24"/>
        <v>0</v>
      </c>
    </row>
    <row r="296" spans="1:36" x14ac:dyDescent="0.2">
      <c r="A296" s="240" t="str">
        <f t="shared" si="20"/>
        <v>2SNCF1009021T20</v>
      </c>
      <c r="B296" s="239" t="s">
        <v>19</v>
      </c>
      <c r="C296" s="239" t="s">
        <v>20</v>
      </c>
      <c r="D296" s="239" t="s">
        <v>2528</v>
      </c>
      <c r="E296" s="239" t="s">
        <v>2529</v>
      </c>
      <c r="F296" s="239" t="s">
        <v>2530</v>
      </c>
      <c r="G296" s="239">
        <v>20</v>
      </c>
      <c r="H296" s="239" t="s">
        <v>928</v>
      </c>
      <c r="I296" s="239" t="s">
        <v>2484</v>
      </c>
      <c r="J296" s="239" t="s">
        <v>928</v>
      </c>
      <c r="K296" s="239" t="s">
        <v>2398</v>
      </c>
      <c r="L296" s="239">
        <v>329.37</v>
      </c>
      <c r="M296" s="239">
        <v>0</v>
      </c>
      <c r="N296" s="239">
        <v>0</v>
      </c>
      <c r="O296" s="239">
        <v>0</v>
      </c>
      <c r="P296" s="239">
        <v>0</v>
      </c>
      <c r="Q296" s="239">
        <v>0</v>
      </c>
      <c r="R296" s="239">
        <v>0</v>
      </c>
      <c r="S296" s="239">
        <v>0</v>
      </c>
      <c r="T296" s="239">
        <v>0</v>
      </c>
      <c r="U296" s="239">
        <v>0</v>
      </c>
      <c r="V296" s="239">
        <v>0</v>
      </c>
      <c r="W296" s="239">
        <v>0</v>
      </c>
      <c r="X296" s="239">
        <v>0</v>
      </c>
      <c r="Y296" s="239">
        <v>274.45</v>
      </c>
      <c r="Z296" s="239">
        <v>0</v>
      </c>
      <c r="AA296" s="239">
        <v>0</v>
      </c>
      <c r="AB296" s="239">
        <v>54.92</v>
      </c>
      <c r="AC296" s="239">
        <v>0</v>
      </c>
      <c r="AD296" s="239">
        <v>0</v>
      </c>
      <c r="AE296" s="239" t="s">
        <v>720</v>
      </c>
      <c r="AF296" s="239" t="s">
        <v>721</v>
      </c>
      <c r="AG296" s="239">
        <f t="shared" si="21"/>
        <v>0</v>
      </c>
      <c r="AH296" s="239">
        <f t="shared" si="22"/>
        <v>0</v>
      </c>
      <c r="AI296" s="239">
        <f t="shared" si="23"/>
        <v>0</v>
      </c>
      <c r="AJ296" s="239">
        <f t="shared" si="24"/>
        <v>0</v>
      </c>
    </row>
    <row r="297" spans="1:36" x14ac:dyDescent="0.2">
      <c r="A297" s="240" t="str">
        <f t="shared" si="20"/>
        <v>SNCF1009021T20</v>
      </c>
      <c r="B297" s="239" t="s">
        <v>19</v>
      </c>
      <c r="C297" s="239" t="s">
        <v>20</v>
      </c>
      <c r="D297" s="239" t="s">
        <v>2528</v>
      </c>
      <c r="E297" s="239" t="s">
        <v>2529</v>
      </c>
      <c r="F297" s="239" t="s">
        <v>2530</v>
      </c>
      <c r="G297" s="239">
        <v>20</v>
      </c>
      <c r="H297" s="239" t="s">
        <v>928</v>
      </c>
      <c r="I297" s="239" t="s">
        <v>928</v>
      </c>
      <c r="J297" s="239" t="s">
        <v>928</v>
      </c>
      <c r="K297" s="239" t="s">
        <v>2398</v>
      </c>
      <c r="L297" s="239">
        <v>329.37</v>
      </c>
      <c r="M297" s="239">
        <v>0</v>
      </c>
      <c r="N297" s="239">
        <v>0</v>
      </c>
      <c r="O297" s="239">
        <v>0</v>
      </c>
      <c r="P297" s="239">
        <v>0</v>
      </c>
      <c r="Q297" s="239">
        <v>0</v>
      </c>
      <c r="R297" s="239">
        <v>0</v>
      </c>
      <c r="S297" s="239">
        <v>0</v>
      </c>
      <c r="T297" s="239">
        <v>0</v>
      </c>
      <c r="U297" s="239">
        <v>0</v>
      </c>
      <c r="V297" s="239">
        <v>0</v>
      </c>
      <c r="W297" s="239">
        <v>0</v>
      </c>
      <c r="X297" s="239">
        <v>0</v>
      </c>
      <c r="Y297" s="239">
        <v>274.45</v>
      </c>
      <c r="Z297" s="239">
        <v>0</v>
      </c>
      <c r="AA297" s="239">
        <v>0</v>
      </c>
      <c r="AB297" s="239">
        <v>54.92</v>
      </c>
      <c r="AC297" s="239">
        <v>0</v>
      </c>
      <c r="AD297" s="239">
        <v>0</v>
      </c>
      <c r="AE297" s="239" t="s">
        <v>720</v>
      </c>
      <c r="AF297" s="239" t="s">
        <v>721</v>
      </c>
      <c r="AG297" s="239">
        <f t="shared" si="21"/>
        <v>0</v>
      </c>
      <c r="AH297" s="239">
        <f t="shared" si="22"/>
        <v>0</v>
      </c>
      <c r="AI297" s="239">
        <f t="shared" si="23"/>
        <v>0</v>
      </c>
      <c r="AJ297" s="239">
        <f t="shared" si="24"/>
        <v>0</v>
      </c>
    </row>
    <row r="298" spans="1:36" x14ac:dyDescent="0.2">
      <c r="A298" s="240" t="str">
        <f t="shared" si="20"/>
        <v>2SNCF1009021T25</v>
      </c>
      <c r="B298" s="239" t="s">
        <v>19</v>
      </c>
      <c r="C298" s="239" t="s">
        <v>20</v>
      </c>
      <c r="D298" s="239" t="s">
        <v>2528</v>
      </c>
      <c r="E298" s="239" t="s">
        <v>2529</v>
      </c>
      <c r="F298" s="239" t="s">
        <v>2530</v>
      </c>
      <c r="G298" s="239">
        <v>25</v>
      </c>
      <c r="H298" s="239" t="s">
        <v>928</v>
      </c>
      <c r="I298" s="239" t="s">
        <v>2484</v>
      </c>
      <c r="J298" s="239" t="s">
        <v>928</v>
      </c>
      <c r="K298" s="239" t="s">
        <v>2398</v>
      </c>
      <c r="L298" s="239">
        <v>284</v>
      </c>
      <c r="M298" s="239">
        <v>0</v>
      </c>
      <c r="N298" s="239">
        <v>0</v>
      </c>
      <c r="O298" s="239">
        <v>0</v>
      </c>
      <c r="P298" s="239">
        <v>0</v>
      </c>
      <c r="Q298" s="239">
        <v>0</v>
      </c>
      <c r="R298" s="239">
        <v>0</v>
      </c>
      <c r="S298" s="239">
        <v>0</v>
      </c>
      <c r="T298" s="239">
        <v>0</v>
      </c>
      <c r="U298" s="239">
        <v>0</v>
      </c>
      <c r="V298" s="239">
        <v>0</v>
      </c>
      <c r="W298" s="239">
        <v>0</v>
      </c>
      <c r="X298" s="239">
        <v>0</v>
      </c>
      <c r="Y298" s="239">
        <v>244.07</v>
      </c>
      <c r="Z298" s="239">
        <v>0</v>
      </c>
      <c r="AA298" s="239">
        <v>0</v>
      </c>
      <c r="AB298" s="239">
        <v>39.93</v>
      </c>
      <c r="AC298" s="239">
        <v>0</v>
      </c>
      <c r="AD298" s="239">
        <v>0</v>
      </c>
      <c r="AE298" s="239" t="s">
        <v>720</v>
      </c>
      <c r="AF298" s="239" t="s">
        <v>721</v>
      </c>
      <c r="AG298" s="239">
        <f t="shared" si="21"/>
        <v>0</v>
      </c>
      <c r="AH298" s="239">
        <f t="shared" si="22"/>
        <v>0</v>
      </c>
      <c r="AI298" s="239">
        <f t="shared" si="23"/>
        <v>0</v>
      </c>
      <c r="AJ298" s="239">
        <f t="shared" si="24"/>
        <v>0</v>
      </c>
    </row>
    <row r="299" spans="1:36" x14ac:dyDescent="0.2">
      <c r="A299" s="240" t="str">
        <f t="shared" si="20"/>
        <v>SNCF1009021T25</v>
      </c>
      <c r="B299" s="239" t="s">
        <v>19</v>
      </c>
      <c r="C299" s="239" t="s">
        <v>20</v>
      </c>
      <c r="D299" s="239" t="s">
        <v>2528</v>
      </c>
      <c r="E299" s="239" t="s">
        <v>2529</v>
      </c>
      <c r="F299" s="239" t="s">
        <v>2530</v>
      </c>
      <c r="G299" s="239">
        <v>25</v>
      </c>
      <c r="H299" s="239" t="s">
        <v>928</v>
      </c>
      <c r="I299" s="239" t="s">
        <v>928</v>
      </c>
      <c r="J299" s="239" t="s">
        <v>928</v>
      </c>
      <c r="K299" s="239" t="s">
        <v>2398</v>
      </c>
      <c r="L299" s="239">
        <v>284</v>
      </c>
      <c r="M299" s="239">
        <v>0</v>
      </c>
      <c r="N299" s="239">
        <v>0</v>
      </c>
      <c r="O299" s="239">
        <v>0</v>
      </c>
      <c r="P299" s="239">
        <v>0</v>
      </c>
      <c r="Q299" s="239">
        <v>0</v>
      </c>
      <c r="R299" s="239">
        <v>0</v>
      </c>
      <c r="S299" s="239">
        <v>0</v>
      </c>
      <c r="T299" s="239">
        <v>0</v>
      </c>
      <c r="U299" s="239">
        <v>0</v>
      </c>
      <c r="V299" s="239">
        <v>0</v>
      </c>
      <c r="W299" s="239">
        <v>0</v>
      </c>
      <c r="X299" s="239">
        <v>0</v>
      </c>
      <c r="Y299" s="239">
        <v>244.07</v>
      </c>
      <c r="Z299" s="239">
        <v>0</v>
      </c>
      <c r="AA299" s="239">
        <v>0</v>
      </c>
      <c r="AB299" s="239">
        <v>39.93</v>
      </c>
      <c r="AC299" s="239">
        <v>0</v>
      </c>
      <c r="AD299" s="239">
        <v>0</v>
      </c>
      <c r="AE299" s="239" t="s">
        <v>720</v>
      </c>
      <c r="AF299" s="239" t="s">
        <v>721</v>
      </c>
      <c r="AG299" s="239">
        <f t="shared" si="21"/>
        <v>0</v>
      </c>
      <c r="AH299" s="239">
        <f t="shared" si="22"/>
        <v>0</v>
      </c>
      <c r="AI299" s="239">
        <f t="shared" si="23"/>
        <v>0</v>
      </c>
      <c r="AJ299" s="239">
        <f t="shared" si="24"/>
        <v>0</v>
      </c>
    </row>
    <row r="300" spans="1:36" x14ac:dyDescent="0.2">
      <c r="A300" s="240" t="str">
        <f t="shared" si="20"/>
        <v>2SNCF100904120</v>
      </c>
      <c r="B300" s="239" t="s">
        <v>19</v>
      </c>
      <c r="C300" s="239" t="s">
        <v>20</v>
      </c>
      <c r="D300" s="239" t="s">
        <v>2528</v>
      </c>
      <c r="E300" s="239" t="s">
        <v>2529</v>
      </c>
      <c r="F300" s="239" t="s">
        <v>2531</v>
      </c>
      <c r="G300" s="239">
        <v>20</v>
      </c>
      <c r="H300" s="239" t="s">
        <v>928</v>
      </c>
      <c r="I300" s="239" t="s">
        <v>2484</v>
      </c>
      <c r="J300" s="239" t="s">
        <v>928</v>
      </c>
      <c r="K300" s="239" t="s">
        <v>2398</v>
      </c>
      <c r="L300" s="239">
        <v>291.54000000000002</v>
      </c>
      <c r="M300" s="239">
        <v>0</v>
      </c>
      <c r="N300" s="239">
        <v>0</v>
      </c>
      <c r="O300" s="239">
        <v>0</v>
      </c>
      <c r="P300" s="239">
        <v>0</v>
      </c>
      <c r="Q300" s="239">
        <v>0</v>
      </c>
      <c r="R300" s="239">
        <v>0</v>
      </c>
      <c r="S300" s="239">
        <v>0</v>
      </c>
      <c r="T300" s="239">
        <v>0</v>
      </c>
      <c r="U300" s="239">
        <v>0</v>
      </c>
      <c r="V300" s="239">
        <v>0</v>
      </c>
      <c r="W300" s="239">
        <v>0</v>
      </c>
      <c r="X300" s="239">
        <v>0</v>
      </c>
      <c r="Y300" s="239">
        <v>247.78</v>
      </c>
      <c r="Z300" s="239">
        <v>0</v>
      </c>
      <c r="AA300" s="239">
        <v>0</v>
      </c>
      <c r="AB300" s="239">
        <v>43.76</v>
      </c>
      <c r="AC300" s="239">
        <v>0</v>
      </c>
      <c r="AD300" s="239">
        <v>0</v>
      </c>
      <c r="AE300" s="239" t="s">
        <v>720</v>
      </c>
      <c r="AF300" s="239" t="s">
        <v>721</v>
      </c>
      <c r="AG300" s="239">
        <f t="shared" si="21"/>
        <v>0</v>
      </c>
      <c r="AH300" s="239">
        <f t="shared" si="22"/>
        <v>0</v>
      </c>
      <c r="AI300" s="239">
        <f t="shared" si="23"/>
        <v>0</v>
      </c>
      <c r="AJ300" s="239">
        <f t="shared" si="24"/>
        <v>0</v>
      </c>
    </row>
    <row r="301" spans="1:36" x14ac:dyDescent="0.2">
      <c r="A301" s="240" t="str">
        <f t="shared" si="20"/>
        <v>SNCF100904120</v>
      </c>
      <c r="B301" s="239" t="s">
        <v>19</v>
      </c>
      <c r="C301" s="239" t="s">
        <v>20</v>
      </c>
      <c r="D301" s="239" t="s">
        <v>2528</v>
      </c>
      <c r="E301" s="239" t="s">
        <v>2529</v>
      </c>
      <c r="F301" s="239" t="s">
        <v>2531</v>
      </c>
      <c r="G301" s="239">
        <v>20</v>
      </c>
      <c r="H301" s="239" t="s">
        <v>928</v>
      </c>
      <c r="I301" s="239" t="s">
        <v>928</v>
      </c>
      <c r="J301" s="239" t="s">
        <v>928</v>
      </c>
      <c r="K301" s="239" t="s">
        <v>2398</v>
      </c>
      <c r="L301" s="239">
        <v>291.54000000000002</v>
      </c>
      <c r="M301" s="239">
        <v>0</v>
      </c>
      <c r="N301" s="239">
        <v>0</v>
      </c>
      <c r="O301" s="239">
        <v>0</v>
      </c>
      <c r="P301" s="239">
        <v>0</v>
      </c>
      <c r="Q301" s="239">
        <v>0</v>
      </c>
      <c r="R301" s="239">
        <v>0</v>
      </c>
      <c r="S301" s="239">
        <v>0</v>
      </c>
      <c r="T301" s="239">
        <v>0</v>
      </c>
      <c r="U301" s="239">
        <v>0</v>
      </c>
      <c r="V301" s="239">
        <v>0</v>
      </c>
      <c r="W301" s="239">
        <v>0</v>
      </c>
      <c r="X301" s="239">
        <v>0</v>
      </c>
      <c r="Y301" s="239">
        <v>247.78</v>
      </c>
      <c r="Z301" s="239">
        <v>0</v>
      </c>
      <c r="AA301" s="239">
        <v>0</v>
      </c>
      <c r="AB301" s="239">
        <v>43.76</v>
      </c>
      <c r="AC301" s="239">
        <v>0</v>
      </c>
      <c r="AD301" s="239">
        <v>0</v>
      </c>
      <c r="AE301" s="239" t="s">
        <v>720</v>
      </c>
      <c r="AF301" s="239" t="s">
        <v>721</v>
      </c>
      <c r="AG301" s="239">
        <f t="shared" si="21"/>
        <v>0</v>
      </c>
      <c r="AH301" s="239">
        <f t="shared" si="22"/>
        <v>0</v>
      </c>
      <c r="AI301" s="239">
        <f t="shared" si="23"/>
        <v>0</v>
      </c>
      <c r="AJ301" s="239">
        <f t="shared" si="24"/>
        <v>0</v>
      </c>
    </row>
    <row r="302" spans="1:36" x14ac:dyDescent="0.2">
      <c r="A302" s="240" t="str">
        <f t="shared" si="20"/>
        <v>2SNCF100904125</v>
      </c>
      <c r="B302" s="239" t="s">
        <v>19</v>
      </c>
      <c r="C302" s="239" t="s">
        <v>20</v>
      </c>
      <c r="D302" s="239" t="s">
        <v>2528</v>
      </c>
      <c r="E302" s="239" t="s">
        <v>2529</v>
      </c>
      <c r="F302" s="239" t="s">
        <v>2531</v>
      </c>
      <c r="G302" s="239">
        <v>25</v>
      </c>
      <c r="H302" s="239" t="s">
        <v>928</v>
      </c>
      <c r="I302" s="239" t="s">
        <v>2484</v>
      </c>
      <c r="J302" s="239" t="s">
        <v>928</v>
      </c>
      <c r="K302" s="239" t="s">
        <v>2398</v>
      </c>
      <c r="L302" s="239">
        <v>283.41000000000003</v>
      </c>
      <c r="M302" s="239">
        <v>0</v>
      </c>
      <c r="N302" s="239">
        <v>0</v>
      </c>
      <c r="O302" s="239">
        <v>0</v>
      </c>
      <c r="P302" s="239">
        <v>0</v>
      </c>
      <c r="Q302" s="239">
        <v>0</v>
      </c>
      <c r="R302" s="239">
        <v>0</v>
      </c>
      <c r="S302" s="239">
        <v>0</v>
      </c>
      <c r="T302" s="239">
        <v>0</v>
      </c>
      <c r="U302" s="239">
        <v>0</v>
      </c>
      <c r="V302" s="239">
        <v>0</v>
      </c>
      <c r="W302" s="239">
        <v>0</v>
      </c>
      <c r="X302" s="239">
        <v>0</v>
      </c>
      <c r="Y302" s="239">
        <v>241.99</v>
      </c>
      <c r="Z302" s="239">
        <v>0</v>
      </c>
      <c r="AA302" s="239">
        <v>0</v>
      </c>
      <c r="AB302" s="239">
        <v>41.42</v>
      </c>
      <c r="AC302" s="239">
        <v>0</v>
      </c>
      <c r="AD302" s="239">
        <v>0</v>
      </c>
      <c r="AE302" s="239" t="s">
        <v>720</v>
      </c>
      <c r="AF302" s="239" t="s">
        <v>721</v>
      </c>
      <c r="AG302" s="239">
        <f t="shared" si="21"/>
        <v>0</v>
      </c>
      <c r="AH302" s="239">
        <f t="shared" si="22"/>
        <v>0</v>
      </c>
      <c r="AI302" s="239">
        <f t="shared" si="23"/>
        <v>0</v>
      </c>
      <c r="AJ302" s="239">
        <f t="shared" si="24"/>
        <v>0</v>
      </c>
    </row>
    <row r="303" spans="1:36" x14ac:dyDescent="0.2">
      <c r="A303" s="240" t="str">
        <f t="shared" si="20"/>
        <v>SNCF100904125</v>
      </c>
      <c r="B303" s="239" t="s">
        <v>19</v>
      </c>
      <c r="C303" s="239" t="s">
        <v>20</v>
      </c>
      <c r="D303" s="239" t="s">
        <v>2528</v>
      </c>
      <c r="E303" s="239" t="s">
        <v>2529</v>
      </c>
      <c r="F303" s="239" t="s">
        <v>2531</v>
      </c>
      <c r="G303" s="239">
        <v>25</v>
      </c>
      <c r="H303" s="239" t="s">
        <v>928</v>
      </c>
      <c r="I303" s="239" t="s">
        <v>928</v>
      </c>
      <c r="J303" s="239" t="s">
        <v>928</v>
      </c>
      <c r="K303" s="239" t="s">
        <v>2398</v>
      </c>
      <c r="L303" s="239">
        <v>283.41000000000003</v>
      </c>
      <c r="M303" s="239">
        <v>0</v>
      </c>
      <c r="N303" s="239">
        <v>0</v>
      </c>
      <c r="O303" s="239">
        <v>0</v>
      </c>
      <c r="P303" s="239">
        <v>0</v>
      </c>
      <c r="Q303" s="239">
        <v>0</v>
      </c>
      <c r="R303" s="239">
        <v>0</v>
      </c>
      <c r="S303" s="239">
        <v>0</v>
      </c>
      <c r="T303" s="239">
        <v>0</v>
      </c>
      <c r="U303" s="239">
        <v>0</v>
      </c>
      <c r="V303" s="239">
        <v>0</v>
      </c>
      <c r="W303" s="239">
        <v>0</v>
      </c>
      <c r="X303" s="239">
        <v>0</v>
      </c>
      <c r="Y303" s="239">
        <v>241.99</v>
      </c>
      <c r="Z303" s="239">
        <v>0</v>
      </c>
      <c r="AA303" s="239">
        <v>0</v>
      </c>
      <c r="AB303" s="239">
        <v>41.42</v>
      </c>
      <c r="AC303" s="239">
        <v>0</v>
      </c>
      <c r="AD303" s="239">
        <v>0</v>
      </c>
      <c r="AE303" s="239" t="s">
        <v>720</v>
      </c>
      <c r="AF303" s="239" t="s">
        <v>721</v>
      </c>
      <c r="AG303" s="239">
        <f t="shared" si="21"/>
        <v>0</v>
      </c>
      <c r="AH303" s="239">
        <f t="shared" si="22"/>
        <v>0</v>
      </c>
      <c r="AI303" s="239">
        <f t="shared" si="23"/>
        <v>0</v>
      </c>
      <c r="AJ303" s="239">
        <f t="shared" si="24"/>
        <v>0</v>
      </c>
    </row>
    <row r="304" spans="1:36" x14ac:dyDescent="0.2">
      <c r="A304" s="240" t="str">
        <f t="shared" si="20"/>
        <v>2SNCF100904130</v>
      </c>
      <c r="B304" s="239" t="s">
        <v>19</v>
      </c>
      <c r="C304" s="239" t="s">
        <v>20</v>
      </c>
      <c r="D304" s="239" t="s">
        <v>2528</v>
      </c>
      <c r="E304" s="239" t="s">
        <v>2529</v>
      </c>
      <c r="F304" s="239" t="s">
        <v>2531</v>
      </c>
      <c r="G304" s="239">
        <v>30</v>
      </c>
      <c r="H304" s="239" t="s">
        <v>928</v>
      </c>
      <c r="I304" s="239" t="s">
        <v>2484</v>
      </c>
      <c r="J304" s="239" t="s">
        <v>928</v>
      </c>
      <c r="K304" s="239" t="s">
        <v>2398</v>
      </c>
      <c r="L304" s="239">
        <v>324.08999999999997</v>
      </c>
      <c r="M304" s="239">
        <v>0</v>
      </c>
      <c r="N304" s="239">
        <v>0</v>
      </c>
      <c r="O304" s="239">
        <v>0</v>
      </c>
      <c r="P304" s="239">
        <v>0</v>
      </c>
      <c r="Q304" s="239">
        <v>0</v>
      </c>
      <c r="R304" s="239">
        <v>0</v>
      </c>
      <c r="S304" s="239">
        <v>0</v>
      </c>
      <c r="T304" s="239">
        <v>0</v>
      </c>
      <c r="U304" s="239">
        <v>0</v>
      </c>
      <c r="V304" s="239">
        <v>0</v>
      </c>
      <c r="W304" s="239">
        <v>0</v>
      </c>
      <c r="X304" s="239">
        <v>0</v>
      </c>
      <c r="Y304" s="239">
        <v>278.36</v>
      </c>
      <c r="Z304" s="239">
        <v>0</v>
      </c>
      <c r="AA304" s="239">
        <v>0</v>
      </c>
      <c r="AB304" s="239">
        <v>45.73</v>
      </c>
      <c r="AC304" s="239">
        <v>0</v>
      </c>
      <c r="AD304" s="239">
        <v>0</v>
      </c>
      <c r="AE304" s="239" t="s">
        <v>720</v>
      </c>
      <c r="AF304" s="239" t="s">
        <v>721</v>
      </c>
      <c r="AG304" s="239">
        <f t="shared" si="21"/>
        <v>0</v>
      </c>
      <c r="AH304" s="239">
        <f t="shared" si="22"/>
        <v>0</v>
      </c>
      <c r="AI304" s="239">
        <f t="shared" si="23"/>
        <v>0</v>
      </c>
      <c r="AJ304" s="239">
        <f t="shared" si="24"/>
        <v>0</v>
      </c>
    </row>
    <row r="305" spans="1:36" x14ac:dyDescent="0.2">
      <c r="A305" s="240" t="str">
        <f t="shared" si="20"/>
        <v>SNCF100904130</v>
      </c>
      <c r="B305" s="239" t="s">
        <v>19</v>
      </c>
      <c r="C305" s="239" t="s">
        <v>20</v>
      </c>
      <c r="D305" s="239" t="s">
        <v>2528</v>
      </c>
      <c r="E305" s="239" t="s">
        <v>2529</v>
      </c>
      <c r="F305" s="239" t="s">
        <v>2531</v>
      </c>
      <c r="G305" s="239">
        <v>30</v>
      </c>
      <c r="H305" s="239" t="s">
        <v>928</v>
      </c>
      <c r="I305" s="239" t="s">
        <v>928</v>
      </c>
      <c r="J305" s="239" t="s">
        <v>928</v>
      </c>
      <c r="K305" s="239" t="s">
        <v>2398</v>
      </c>
      <c r="L305" s="239">
        <v>324.08999999999997</v>
      </c>
      <c r="M305" s="239">
        <v>0</v>
      </c>
      <c r="N305" s="239">
        <v>0</v>
      </c>
      <c r="O305" s="239">
        <v>0</v>
      </c>
      <c r="P305" s="239">
        <v>0</v>
      </c>
      <c r="Q305" s="239">
        <v>0</v>
      </c>
      <c r="R305" s="239">
        <v>0</v>
      </c>
      <c r="S305" s="239">
        <v>0</v>
      </c>
      <c r="T305" s="239">
        <v>0</v>
      </c>
      <c r="U305" s="239">
        <v>0</v>
      </c>
      <c r="V305" s="239">
        <v>0</v>
      </c>
      <c r="W305" s="239">
        <v>0</v>
      </c>
      <c r="X305" s="239">
        <v>0</v>
      </c>
      <c r="Y305" s="239">
        <v>278.36</v>
      </c>
      <c r="Z305" s="239">
        <v>0</v>
      </c>
      <c r="AA305" s="239">
        <v>0</v>
      </c>
      <c r="AB305" s="239">
        <v>45.73</v>
      </c>
      <c r="AC305" s="239">
        <v>0</v>
      </c>
      <c r="AD305" s="239">
        <v>0</v>
      </c>
      <c r="AE305" s="239" t="s">
        <v>720</v>
      </c>
      <c r="AF305" s="239" t="s">
        <v>721</v>
      </c>
      <c r="AG305" s="239">
        <f t="shared" si="21"/>
        <v>0</v>
      </c>
      <c r="AH305" s="239">
        <f t="shared" si="22"/>
        <v>0</v>
      </c>
      <c r="AI305" s="239">
        <f t="shared" si="23"/>
        <v>0</v>
      </c>
      <c r="AJ305" s="239">
        <f t="shared" si="24"/>
        <v>0</v>
      </c>
    </row>
    <row r="306" spans="1:36" x14ac:dyDescent="0.2">
      <c r="A306" s="240" t="str">
        <f t="shared" si="20"/>
        <v>2SNCF100904140</v>
      </c>
      <c r="B306" s="239" t="s">
        <v>19</v>
      </c>
      <c r="C306" s="239" t="s">
        <v>20</v>
      </c>
      <c r="D306" s="239" t="s">
        <v>2528</v>
      </c>
      <c r="E306" s="239" t="s">
        <v>2529</v>
      </c>
      <c r="F306" s="239" t="s">
        <v>2531</v>
      </c>
      <c r="G306" s="239">
        <v>40</v>
      </c>
      <c r="H306" s="239" t="s">
        <v>928</v>
      </c>
      <c r="I306" s="239" t="s">
        <v>2484</v>
      </c>
      <c r="J306" s="239" t="s">
        <v>928</v>
      </c>
      <c r="K306" s="239" t="s">
        <v>2398</v>
      </c>
      <c r="L306" s="239">
        <v>307.77999999999997</v>
      </c>
      <c r="M306" s="239">
        <v>0</v>
      </c>
      <c r="N306" s="239">
        <v>0</v>
      </c>
      <c r="O306" s="239">
        <v>0</v>
      </c>
      <c r="P306" s="239">
        <v>0</v>
      </c>
      <c r="Q306" s="239">
        <v>0</v>
      </c>
      <c r="R306" s="239">
        <v>0</v>
      </c>
      <c r="S306" s="239">
        <v>0</v>
      </c>
      <c r="T306" s="239">
        <v>0</v>
      </c>
      <c r="U306" s="239">
        <v>0</v>
      </c>
      <c r="V306" s="239">
        <v>0</v>
      </c>
      <c r="W306" s="239">
        <v>0</v>
      </c>
      <c r="X306" s="239">
        <v>0</v>
      </c>
      <c r="Y306" s="239">
        <v>263.56</v>
      </c>
      <c r="Z306" s="239">
        <v>0</v>
      </c>
      <c r="AA306" s="239">
        <v>0</v>
      </c>
      <c r="AB306" s="239">
        <v>44.22</v>
      </c>
      <c r="AC306" s="239">
        <v>0</v>
      </c>
      <c r="AD306" s="239">
        <v>0</v>
      </c>
      <c r="AE306" s="239" t="s">
        <v>720</v>
      </c>
      <c r="AF306" s="239" t="s">
        <v>721</v>
      </c>
      <c r="AG306" s="239">
        <f t="shared" si="21"/>
        <v>0</v>
      </c>
      <c r="AH306" s="239">
        <f t="shared" si="22"/>
        <v>0</v>
      </c>
      <c r="AI306" s="239">
        <f t="shared" si="23"/>
        <v>0</v>
      </c>
      <c r="AJ306" s="239">
        <f t="shared" si="24"/>
        <v>0</v>
      </c>
    </row>
    <row r="307" spans="1:36" x14ac:dyDescent="0.2">
      <c r="A307" s="240" t="str">
        <f t="shared" si="20"/>
        <v>SNCF100904140</v>
      </c>
      <c r="B307" s="239" t="s">
        <v>19</v>
      </c>
      <c r="C307" s="239" t="s">
        <v>20</v>
      </c>
      <c r="D307" s="239" t="s">
        <v>2528</v>
      </c>
      <c r="E307" s="239" t="s">
        <v>2529</v>
      </c>
      <c r="F307" s="239" t="s">
        <v>2531</v>
      </c>
      <c r="G307" s="239">
        <v>40</v>
      </c>
      <c r="H307" s="239" t="s">
        <v>928</v>
      </c>
      <c r="I307" s="239" t="s">
        <v>928</v>
      </c>
      <c r="J307" s="239" t="s">
        <v>928</v>
      </c>
      <c r="K307" s="239" t="s">
        <v>2398</v>
      </c>
      <c r="L307" s="239">
        <v>307.77999999999997</v>
      </c>
      <c r="M307" s="239">
        <v>0</v>
      </c>
      <c r="N307" s="239">
        <v>0</v>
      </c>
      <c r="O307" s="239">
        <v>0</v>
      </c>
      <c r="P307" s="239">
        <v>0</v>
      </c>
      <c r="Q307" s="239">
        <v>0</v>
      </c>
      <c r="R307" s="239">
        <v>0</v>
      </c>
      <c r="S307" s="239">
        <v>0</v>
      </c>
      <c r="T307" s="239">
        <v>0</v>
      </c>
      <c r="U307" s="239">
        <v>0</v>
      </c>
      <c r="V307" s="239">
        <v>0</v>
      </c>
      <c r="W307" s="239">
        <v>0</v>
      </c>
      <c r="X307" s="239">
        <v>0</v>
      </c>
      <c r="Y307" s="239">
        <v>263.56</v>
      </c>
      <c r="Z307" s="239">
        <v>0</v>
      </c>
      <c r="AA307" s="239">
        <v>0</v>
      </c>
      <c r="AB307" s="239">
        <v>44.22</v>
      </c>
      <c r="AC307" s="239">
        <v>0</v>
      </c>
      <c r="AD307" s="239">
        <v>0</v>
      </c>
      <c r="AE307" s="239" t="s">
        <v>720</v>
      </c>
      <c r="AF307" s="239" t="s">
        <v>721</v>
      </c>
      <c r="AG307" s="239">
        <f t="shared" si="21"/>
        <v>0</v>
      </c>
      <c r="AH307" s="239">
        <f t="shared" si="22"/>
        <v>0</v>
      </c>
      <c r="AI307" s="239">
        <f t="shared" si="23"/>
        <v>0</v>
      </c>
      <c r="AJ307" s="239">
        <f t="shared" si="24"/>
        <v>0</v>
      </c>
    </row>
    <row r="308" spans="1:36" x14ac:dyDescent="0.2">
      <c r="A308" s="240" t="str">
        <f t="shared" si="20"/>
        <v>2SNCF1009405S25</v>
      </c>
      <c r="B308" s="239" t="s">
        <v>19</v>
      </c>
      <c r="C308" s="239" t="s">
        <v>20</v>
      </c>
      <c r="D308" s="239" t="s">
        <v>2528</v>
      </c>
      <c r="E308" s="239" t="s">
        <v>2529</v>
      </c>
      <c r="F308" s="239" t="s">
        <v>2532</v>
      </c>
      <c r="G308" s="239">
        <v>25</v>
      </c>
      <c r="H308" s="239" t="s">
        <v>928</v>
      </c>
      <c r="I308" s="239" t="s">
        <v>2484</v>
      </c>
      <c r="J308" s="239" t="s">
        <v>928</v>
      </c>
      <c r="K308" s="239" t="s">
        <v>2398</v>
      </c>
      <c r="L308" s="239">
        <v>484.23</v>
      </c>
      <c r="M308" s="239">
        <v>0</v>
      </c>
      <c r="N308" s="239">
        <v>0</v>
      </c>
      <c r="O308" s="239">
        <v>0</v>
      </c>
      <c r="P308" s="239">
        <v>0</v>
      </c>
      <c r="Q308" s="239">
        <v>0</v>
      </c>
      <c r="R308" s="239">
        <v>0</v>
      </c>
      <c r="S308" s="239">
        <v>0</v>
      </c>
      <c r="T308" s="239">
        <v>0</v>
      </c>
      <c r="U308" s="239">
        <v>0</v>
      </c>
      <c r="V308" s="239">
        <v>0</v>
      </c>
      <c r="W308" s="239">
        <v>0</v>
      </c>
      <c r="X308" s="239">
        <v>0</v>
      </c>
      <c r="Y308" s="239">
        <v>328.06</v>
      </c>
      <c r="Z308" s="239">
        <v>0</v>
      </c>
      <c r="AA308" s="239">
        <v>0</v>
      </c>
      <c r="AB308" s="239">
        <v>156.16999999999999</v>
      </c>
      <c r="AC308" s="239">
        <v>0</v>
      </c>
      <c r="AD308" s="239">
        <v>0</v>
      </c>
      <c r="AE308" s="239" t="s">
        <v>720</v>
      </c>
      <c r="AF308" s="239" t="s">
        <v>721</v>
      </c>
      <c r="AG308" s="239">
        <f t="shared" si="21"/>
        <v>0</v>
      </c>
      <c r="AH308" s="239">
        <f t="shared" si="22"/>
        <v>0</v>
      </c>
      <c r="AI308" s="239">
        <f t="shared" si="23"/>
        <v>0</v>
      </c>
      <c r="AJ308" s="239">
        <f t="shared" si="24"/>
        <v>0</v>
      </c>
    </row>
    <row r="309" spans="1:36" x14ac:dyDescent="0.2">
      <c r="A309" s="240" t="str">
        <f t="shared" si="20"/>
        <v>SNCF1009405S25</v>
      </c>
      <c r="B309" s="239" t="s">
        <v>19</v>
      </c>
      <c r="C309" s="239" t="s">
        <v>20</v>
      </c>
      <c r="D309" s="239" t="s">
        <v>2528</v>
      </c>
      <c r="E309" s="239" t="s">
        <v>2529</v>
      </c>
      <c r="F309" s="239" t="s">
        <v>2532</v>
      </c>
      <c r="G309" s="239">
        <v>25</v>
      </c>
      <c r="H309" s="239" t="s">
        <v>928</v>
      </c>
      <c r="I309" s="239" t="s">
        <v>928</v>
      </c>
      <c r="J309" s="239" t="s">
        <v>928</v>
      </c>
      <c r="K309" s="239" t="s">
        <v>2398</v>
      </c>
      <c r="L309" s="239">
        <v>484.23</v>
      </c>
      <c r="M309" s="239">
        <v>0</v>
      </c>
      <c r="N309" s="239">
        <v>0</v>
      </c>
      <c r="O309" s="239">
        <v>0</v>
      </c>
      <c r="P309" s="239">
        <v>0</v>
      </c>
      <c r="Q309" s="239">
        <v>0</v>
      </c>
      <c r="R309" s="239">
        <v>0</v>
      </c>
      <c r="S309" s="239">
        <v>0</v>
      </c>
      <c r="T309" s="239">
        <v>0</v>
      </c>
      <c r="U309" s="239">
        <v>0</v>
      </c>
      <c r="V309" s="239">
        <v>0</v>
      </c>
      <c r="W309" s="239">
        <v>0</v>
      </c>
      <c r="X309" s="239">
        <v>0</v>
      </c>
      <c r="Y309" s="239">
        <v>328.06</v>
      </c>
      <c r="Z309" s="239">
        <v>0</v>
      </c>
      <c r="AA309" s="239">
        <v>0</v>
      </c>
      <c r="AB309" s="239">
        <v>156.16999999999999</v>
      </c>
      <c r="AC309" s="239">
        <v>0</v>
      </c>
      <c r="AD309" s="239">
        <v>0</v>
      </c>
      <c r="AE309" s="239" t="s">
        <v>720</v>
      </c>
      <c r="AF309" s="239" t="s">
        <v>721</v>
      </c>
      <c r="AG309" s="239">
        <f t="shared" si="21"/>
        <v>0</v>
      </c>
      <c r="AH309" s="239">
        <f t="shared" si="22"/>
        <v>0</v>
      </c>
      <c r="AI309" s="239">
        <f t="shared" si="23"/>
        <v>0</v>
      </c>
      <c r="AJ309" s="239">
        <f t="shared" si="24"/>
        <v>0</v>
      </c>
    </row>
    <row r="310" spans="1:36" x14ac:dyDescent="0.2">
      <c r="A310" s="240" t="str">
        <f t="shared" si="20"/>
        <v>2SNCF1009405S30</v>
      </c>
      <c r="B310" s="239" t="s">
        <v>19</v>
      </c>
      <c r="C310" s="239" t="s">
        <v>20</v>
      </c>
      <c r="D310" s="239" t="s">
        <v>2528</v>
      </c>
      <c r="E310" s="239" t="s">
        <v>2529</v>
      </c>
      <c r="F310" s="239" t="s">
        <v>2532</v>
      </c>
      <c r="G310" s="239">
        <v>30</v>
      </c>
      <c r="H310" s="239" t="s">
        <v>928</v>
      </c>
      <c r="I310" s="239" t="s">
        <v>2484</v>
      </c>
      <c r="J310" s="239" t="s">
        <v>928</v>
      </c>
      <c r="K310" s="239" t="s">
        <v>2398</v>
      </c>
      <c r="L310" s="239">
        <v>431.12</v>
      </c>
      <c r="M310" s="239">
        <v>0</v>
      </c>
      <c r="N310" s="239">
        <v>0</v>
      </c>
      <c r="O310" s="239">
        <v>0</v>
      </c>
      <c r="P310" s="239">
        <v>0</v>
      </c>
      <c r="Q310" s="239">
        <v>0</v>
      </c>
      <c r="R310" s="239">
        <v>0</v>
      </c>
      <c r="S310" s="239">
        <v>0</v>
      </c>
      <c r="T310" s="239">
        <v>0</v>
      </c>
      <c r="U310" s="239">
        <v>0</v>
      </c>
      <c r="V310" s="239">
        <v>0</v>
      </c>
      <c r="W310" s="239">
        <v>0</v>
      </c>
      <c r="X310" s="239">
        <v>0</v>
      </c>
      <c r="Y310" s="239">
        <v>307.87</v>
      </c>
      <c r="Z310" s="239">
        <v>0</v>
      </c>
      <c r="AA310" s="239">
        <v>0</v>
      </c>
      <c r="AB310" s="239">
        <v>123.25</v>
      </c>
      <c r="AC310" s="239">
        <v>0</v>
      </c>
      <c r="AD310" s="239">
        <v>0</v>
      </c>
      <c r="AE310" s="239" t="s">
        <v>720</v>
      </c>
      <c r="AF310" s="239" t="s">
        <v>721</v>
      </c>
      <c r="AG310" s="239">
        <f t="shared" si="21"/>
        <v>0</v>
      </c>
      <c r="AH310" s="239">
        <f t="shared" si="22"/>
        <v>0</v>
      </c>
      <c r="AI310" s="239">
        <f t="shared" si="23"/>
        <v>0</v>
      </c>
      <c r="AJ310" s="239">
        <f t="shared" si="24"/>
        <v>0</v>
      </c>
    </row>
    <row r="311" spans="1:36" x14ac:dyDescent="0.2">
      <c r="A311" s="240" t="str">
        <f t="shared" si="20"/>
        <v>SNCF1009405S30</v>
      </c>
      <c r="B311" s="239" t="s">
        <v>19</v>
      </c>
      <c r="C311" s="239" t="s">
        <v>20</v>
      </c>
      <c r="D311" s="239" t="s">
        <v>2528</v>
      </c>
      <c r="E311" s="239" t="s">
        <v>2529</v>
      </c>
      <c r="F311" s="239" t="s">
        <v>2532</v>
      </c>
      <c r="G311" s="239">
        <v>30</v>
      </c>
      <c r="H311" s="239" t="s">
        <v>928</v>
      </c>
      <c r="I311" s="239" t="s">
        <v>928</v>
      </c>
      <c r="J311" s="239" t="s">
        <v>928</v>
      </c>
      <c r="K311" s="239" t="s">
        <v>2398</v>
      </c>
      <c r="L311" s="239">
        <v>431.12</v>
      </c>
      <c r="M311" s="239">
        <v>0</v>
      </c>
      <c r="N311" s="239">
        <v>0</v>
      </c>
      <c r="O311" s="239">
        <v>0</v>
      </c>
      <c r="P311" s="239">
        <v>0</v>
      </c>
      <c r="Q311" s="239">
        <v>0</v>
      </c>
      <c r="R311" s="239">
        <v>0</v>
      </c>
      <c r="S311" s="239">
        <v>0</v>
      </c>
      <c r="T311" s="239">
        <v>0</v>
      </c>
      <c r="U311" s="239">
        <v>0</v>
      </c>
      <c r="V311" s="239">
        <v>0</v>
      </c>
      <c r="W311" s="239">
        <v>0</v>
      </c>
      <c r="X311" s="239">
        <v>0</v>
      </c>
      <c r="Y311" s="239">
        <v>307.87</v>
      </c>
      <c r="Z311" s="239">
        <v>0</v>
      </c>
      <c r="AA311" s="239">
        <v>0</v>
      </c>
      <c r="AB311" s="239">
        <v>123.25</v>
      </c>
      <c r="AC311" s="239">
        <v>0</v>
      </c>
      <c r="AD311" s="239">
        <v>0</v>
      </c>
      <c r="AE311" s="239" t="s">
        <v>720</v>
      </c>
      <c r="AF311" s="239" t="s">
        <v>721</v>
      </c>
      <c r="AG311" s="239">
        <f t="shared" si="21"/>
        <v>0</v>
      </c>
      <c r="AH311" s="239">
        <f t="shared" si="22"/>
        <v>0</v>
      </c>
      <c r="AI311" s="239">
        <f t="shared" si="23"/>
        <v>0</v>
      </c>
      <c r="AJ311" s="239">
        <f t="shared" si="24"/>
        <v>0</v>
      </c>
    </row>
    <row r="312" spans="1:36" x14ac:dyDescent="0.2">
      <c r="A312" s="240" t="str">
        <f t="shared" si="20"/>
        <v>2SNCF1009405S40</v>
      </c>
      <c r="B312" s="239" t="s">
        <v>19</v>
      </c>
      <c r="C312" s="239" t="s">
        <v>20</v>
      </c>
      <c r="D312" s="239" t="s">
        <v>2528</v>
      </c>
      <c r="E312" s="239" t="s">
        <v>2529</v>
      </c>
      <c r="F312" s="239" t="s">
        <v>2532</v>
      </c>
      <c r="G312" s="239">
        <v>40</v>
      </c>
      <c r="H312" s="239" t="s">
        <v>928</v>
      </c>
      <c r="I312" s="239" t="s">
        <v>2484</v>
      </c>
      <c r="J312" s="239" t="s">
        <v>928</v>
      </c>
      <c r="K312" s="239" t="s">
        <v>2398</v>
      </c>
      <c r="L312" s="239">
        <v>419.44</v>
      </c>
      <c r="M312" s="239">
        <v>0</v>
      </c>
      <c r="N312" s="239">
        <v>0</v>
      </c>
      <c r="O312" s="239">
        <v>0</v>
      </c>
      <c r="P312" s="239">
        <v>0</v>
      </c>
      <c r="Q312" s="239">
        <v>0</v>
      </c>
      <c r="R312" s="239">
        <v>0</v>
      </c>
      <c r="S312" s="239">
        <v>0</v>
      </c>
      <c r="T312" s="239">
        <v>0</v>
      </c>
      <c r="U312" s="239">
        <v>0</v>
      </c>
      <c r="V312" s="239">
        <v>0</v>
      </c>
      <c r="W312" s="239">
        <v>0</v>
      </c>
      <c r="X312" s="239">
        <v>0</v>
      </c>
      <c r="Y312" s="239">
        <v>307.10000000000002</v>
      </c>
      <c r="Z312" s="239">
        <v>0</v>
      </c>
      <c r="AA312" s="239">
        <v>0</v>
      </c>
      <c r="AB312" s="239">
        <v>112.34</v>
      </c>
      <c r="AC312" s="239">
        <v>0</v>
      </c>
      <c r="AD312" s="239">
        <v>0</v>
      </c>
      <c r="AE312" s="239" t="s">
        <v>720</v>
      </c>
      <c r="AF312" s="239" t="s">
        <v>721</v>
      </c>
      <c r="AG312" s="239">
        <f t="shared" si="21"/>
        <v>0</v>
      </c>
      <c r="AH312" s="239">
        <f t="shared" si="22"/>
        <v>0</v>
      </c>
      <c r="AI312" s="239">
        <f t="shared" si="23"/>
        <v>0</v>
      </c>
      <c r="AJ312" s="239">
        <f t="shared" si="24"/>
        <v>0</v>
      </c>
    </row>
    <row r="313" spans="1:36" x14ac:dyDescent="0.2">
      <c r="A313" s="240" t="str">
        <f t="shared" si="20"/>
        <v>SNCF1009405S40</v>
      </c>
      <c r="B313" s="239" t="s">
        <v>19</v>
      </c>
      <c r="C313" s="239" t="s">
        <v>20</v>
      </c>
      <c r="D313" s="239" t="s">
        <v>2528</v>
      </c>
      <c r="E313" s="239" t="s">
        <v>2529</v>
      </c>
      <c r="F313" s="239" t="s">
        <v>2532</v>
      </c>
      <c r="G313" s="239">
        <v>40</v>
      </c>
      <c r="H313" s="239" t="s">
        <v>928</v>
      </c>
      <c r="I313" s="239" t="s">
        <v>928</v>
      </c>
      <c r="J313" s="239" t="s">
        <v>928</v>
      </c>
      <c r="K313" s="239" t="s">
        <v>2398</v>
      </c>
      <c r="L313" s="239">
        <v>419.44</v>
      </c>
      <c r="M313" s="239">
        <v>0</v>
      </c>
      <c r="N313" s="239">
        <v>0</v>
      </c>
      <c r="O313" s="239">
        <v>0</v>
      </c>
      <c r="P313" s="239">
        <v>0</v>
      </c>
      <c r="Q313" s="239">
        <v>0</v>
      </c>
      <c r="R313" s="239">
        <v>0</v>
      </c>
      <c r="S313" s="239">
        <v>0</v>
      </c>
      <c r="T313" s="239">
        <v>0</v>
      </c>
      <c r="U313" s="239">
        <v>0</v>
      </c>
      <c r="V313" s="239">
        <v>0</v>
      </c>
      <c r="W313" s="239">
        <v>0</v>
      </c>
      <c r="X313" s="239">
        <v>0</v>
      </c>
      <c r="Y313" s="239">
        <v>307.10000000000002</v>
      </c>
      <c r="Z313" s="239">
        <v>0</v>
      </c>
      <c r="AA313" s="239">
        <v>0</v>
      </c>
      <c r="AB313" s="239">
        <v>112.34</v>
      </c>
      <c r="AC313" s="239">
        <v>0</v>
      </c>
      <c r="AD313" s="239">
        <v>0</v>
      </c>
      <c r="AE313" s="239" t="s">
        <v>720</v>
      </c>
      <c r="AF313" s="239" t="s">
        <v>721</v>
      </c>
      <c r="AG313" s="239">
        <f t="shared" si="21"/>
        <v>0</v>
      </c>
      <c r="AH313" s="239">
        <f t="shared" si="22"/>
        <v>0</v>
      </c>
      <c r="AI313" s="239">
        <f t="shared" si="23"/>
        <v>0</v>
      </c>
      <c r="AJ313" s="239">
        <f t="shared" si="24"/>
        <v>0</v>
      </c>
    </row>
    <row r="314" spans="1:36" x14ac:dyDescent="0.2">
      <c r="A314" s="240" t="str">
        <f t="shared" si="20"/>
        <v>2SNCF1009405S50</v>
      </c>
      <c r="B314" s="239" t="s">
        <v>19</v>
      </c>
      <c r="C314" s="239" t="s">
        <v>20</v>
      </c>
      <c r="D314" s="239" t="s">
        <v>2528</v>
      </c>
      <c r="E314" s="239" t="s">
        <v>2529</v>
      </c>
      <c r="F314" s="239" t="s">
        <v>2532</v>
      </c>
      <c r="G314" s="239">
        <v>50</v>
      </c>
      <c r="H314" s="239" t="s">
        <v>928</v>
      </c>
      <c r="I314" s="239" t="s">
        <v>2484</v>
      </c>
      <c r="J314" s="239" t="s">
        <v>928</v>
      </c>
      <c r="K314" s="239" t="s">
        <v>2398</v>
      </c>
      <c r="L314" s="239">
        <v>451.1</v>
      </c>
      <c r="M314" s="239">
        <v>0</v>
      </c>
      <c r="N314" s="239">
        <v>0</v>
      </c>
      <c r="O314" s="239">
        <v>0</v>
      </c>
      <c r="P314" s="239">
        <v>0</v>
      </c>
      <c r="Q314" s="239">
        <v>0</v>
      </c>
      <c r="R314" s="239">
        <v>0</v>
      </c>
      <c r="S314" s="239">
        <v>0</v>
      </c>
      <c r="T314" s="239">
        <v>0</v>
      </c>
      <c r="U314" s="239">
        <v>0</v>
      </c>
      <c r="V314" s="239">
        <v>0</v>
      </c>
      <c r="W314" s="239">
        <v>0</v>
      </c>
      <c r="X314" s="239">
        <v>0</v>
      </c>
      <c r="Y314" s="239">
        <v>334.77</v>
      </c>
      <c r="Z314" s="239">
        <v>0</v>
      </c>
      <c r="AA314" s="239">
        <v>0</v>
      </c>
      <c r="AB314" s="239">
        <v>116.33</v>
      </c>
      <c r="AC314" s="239">
        <v>0</v>
      </c>
      <c r="AD314" s="239">
        <v>0</v>
      </c>
      <c r="AE314" s="239" t="s">
        <v>720</v>
      </c>
      <c r="AF314" s="239" t="s">
        <v>721</v>
      </c>
      <c r="AG314" s="239">
        <f t="shared" si="21"/>
        <v>0</v>
      </c>
      <c r="AH314" s="239">
        <f t="shared" si="22"/>
        <v>0</v>
      </c>
      <c r="AI314" s="239">
        <f t="shared" si="23"/>
        <v>0</v>
      </c>
      <c r="AJ314" s="239">
        <f t="shared" si="24"/>
        <v>0</v>
      </c>
    </row>
    <row r="315" spans="1:36" x14ac:dyDescent="0.2">
      <c r="A315" s="240" t="str">
        <f t="shared" si="20"/>
        <v>SNCF1009405S50</v>
      </c>
      <c r="B315" s="239" t="s">
        <v>19</v>
      </c>
      <c r="C315" s="239" t="s">
        <v>20</v>
      </c>
      <c r="D315" s="239" t="s">
        <v>2528</v>
      </c>
      <c r="E315" s="239" t="s">
        <v>2529</v>
      </c>
      <c r="F315" s="239" t="s">
        <v>2532</v>
      </c>
      <c r="G315" s="239">
        <v>50</v>
      </c>
      <c r="H315" s="239" t="s">
        <v>928</v>
      </c>
      <c r="I315" s="239" t="s">
        <v>928</v>
      </c>
      <c r="J315" s="239" t="s">
        <v>928</v>
      </c>
      <c r="K315" s="239" t="s">
        <v>2398</v>
      </c>
      <c r="L315" s="239">
        <v>451.1</v>
      </c>
      <c r="M315" s="239">
        <v>0</v>
      </c>
      <c r="N315" s="239">
        <v>0</v>
      </c>
      <c r="O315" s="239">
        <v>0</v>
      </c>
      <c r="P315" s="239">
        <v>0</v>
      </c>
      <c r="Q315" s="239">
        <v>0</v>
      </c>
      <c r="R315" s="239">
        <v>0</v>
      </c>
      <c r="S315" s="239">
        <v>0</v>
      </c>
      <c r="T315" s="239">
        <v>0</v>
      </c>
      <c r="U315" s="239">
        <v>0</v>
      </c>
      <c r="V315" s="239">
        <v>0</v>
      </c>
      <c r="W315" s="239">
        <v>0</v>
      </c>
      <c r="X315" s="239">
        <v>0</v>
      </c>
      <c r="Y315" s="239">
        <v>334.77</v>
      </c>
      <c r="Z315" s="239">
        <v>0</v>
      </c>
      <c r="AA315" s="239">
        <v>0</v>
      </c>
      <c r="AB315" s="239">
        <v>116.33</v>
      </c>
      <c r="AC315" s="239">
        <v>0</v>
      </c>
      <c r="AD315" s="239">
        <v>0</v>
      </c>
      <c r="AE315" s="239" t="s">
        <v>720</v>
      </c>
      <c r="AF315" s="239" t="s">
        <v>721</v>
      </c>
      <c r="AG315" s="239">
        <f t="shared" si="21"/>
        <v>0</v>
      </c>
      <c r="AH315" s="239">
        <f t="shared" si="22"/>
        <v>0</v>
      </c>
      <c r="AI315" s="239">
        <f t="shared" si="23"/>
        <v>0</v>
      </c>
      <c r="AJ315" s="239">
        <f t="shared" si="24"/>
        <v>0</v>
      </c>
    </row>
    <row r="316" spans="1:36" x14ac:dyDescent="0.2">
      <c r="A316" s="240" t="str">
        <f t="shared" si="20"/>
        <v>2SNCF100940725</v>
      </c>
      <c r="B316" s="239" t="s">
        <v>19</v>
      </c>
      <c r="C316" s="239" t="s">
        <v>20</v>
      </c>
      <c r="D316" s="239" t="s">
        <v>2528</v>
      </c>
      <c r="E316" s="239" t="s">
        <v>2529</v>
      </c>
      <c r="F316" s="239" t="s">
        <v>2533</v>
      </c>
      <c r="G316" s="239">
        <v>25</v>
      </c>
      <c r="H316" s="239" t="s">
        <v>928</v>
      </c>
      <c r="I316" s="239" t="s">
        <v>2484</v>
      </c>
      <c r="J316" s="239" t="s">
        <v>928</v>
      </c>
      <c r="K316" s="239" t="s">
        <v>2398</v>
      </c>
      <c r="L316" s="239">
        <v>664.91</v>
      </c>
      <c r="M316" s="239">
        <v>0</v>
      </c>
      <c r="N316" s="239">
        <v>0</v>
      </c>
      <c r="O316" s="239">
        <v>0</v>
      </c>
      <c r="P316" s="239">
        <v>0</v>
      </c>
      <c r="Q316" s="239">
        <v>0</v>
      </c>
      <c r="R316" s="239">
        <v>0</v>
      </c>
      <c r="S316" s="239">
        <v>0</v>
      </c>
      <c r="T316" s="239">
        <v>0</v>
      </c>
      <c r="U316" s="239">
        <v>0</v>
      </c>
      <c r="V316" s="239">
        <v>0</v>
      </c>
      <c r="W316" s="239">
        <v>0</v>
      </c>
      <c r="X316" s="239">
        <v>0</v>
      </c>
      <c r="Y316" s="239">
        <v>402.59</v>
      </c>
      <c r="Z316" s="239">
        <v>0</v>
      </c>
      <c r="AA316" s="239">
        <v>0</v>
      </c>
      <c r="AB316" s="239">
        <v>262.33</v>
      </c>
      <c r="AC316" s="239">
        <v>0</v>
      </c>
      <c r="AD316" s="239">
        <v>0</v>
      </c>
      <c r="AE316" s="239" t="s">
        <v>720</v>
      </c>
      <c r="AF316" s="239" t="s">
        <v>721</v>
      </c>
      <c r="AG316" s="239">
        <f t="shared" si="21"/>
        <v>0</v>
      </c>
      <c r="AH316" s="239">
        <f t="shared" si="22"/>
        <v>0</v>
      </c>
      <c r="AI316" s="239">
        <f t="shared" si="23"/>
        <v>0</v>
      </c>
      <c r="AJ316" s="239">
        <f t="shared" si="24"/>
        <v>0</v>
      </c>
    </row>
    <row r="317" spans="1:36" x14ac:dyDescent="0.2">
      <c r="A317" s="240" t="str">
        <f t="shared" si="20"/>
        <v>SNCF100940725</v>
      </c>
      <c r="B317" s="239" t="s">
        <v>19</v>
      </c>
      <c r="C317" s="239" t="s">
        <v>20</v>
      </c>
      <c r="D317" s="239" t="s">
        <v>2528</v>
      </c>
      <c r="E317" s="239" t="s">
        <v>2529</v>
      </c>
      <c r="F317" s="239" t="s">
        <v>2533</v>
      </c>
      <c r="G317" s="239">
        <v>25</v>
      </c>
      <c r="H317" s="239" t="s">
        <v>928</v>
      </c>
      <c r="I317" s="239" t="s">
        <v>928</v>
      </c>
      <c r="J317" s="239" t="s">
        <v>928</v>
      </c>
      <c r="K317" s="239" t="s">
        <v>2398</v>
      </c>
      <c r="L317" s="239">
        <v>664.91</v>
      </c>
      <c r="M317" s="239">
        <v>0</v>
      </c>
      <c r="N317" s="239">
        <v>0</v>
      </c>
      <c r="O317" s="239">
        <v>0</v>
      </c>
      <c r="P317" s="239">
        <v>0</v>
      </c>
      <c r="Q317" s="239">
        <v>0</v>
      </c>
      <c r="R317" s="239">
        <v>0</v>
      </c>
      <c r="S317" s="239">
        <v>0</v>
      </c>
      <c r="T317" s="239">
        <v>0</v>
      </c>
      <c r="U317" s="239">
        <v>0</v>
      </c>
      <c r="V317" s="239">
        <v>0</v>
      </c>
      <c r="W317" s="239">
        <v>0</v>
      </c>
      <c r="X317" s="239">
        <v>0</v>
      </c>
      <c r="Y317" s="239">
        <v>402.59</v>
      </c>
      <c r="Z317" s="239">
        <v>0</v>
      </c>
      <c r="AA317" s="239">
        <v>0</v>
      </c>
      <c r="AB317" s="239">
        <v>262.33</v>
      </c>
      <c r="AC317" s="239">
        <v>0</v>
      </c>
      <c r="AD317" s="239">
        <v>0</v>
      </c>
      <c r="AE317" s="239" t="s">
        <v>720</v>
      </c>
      <c r="AF317" s="239" t="s">
        <v>721</v>
      </c>
      <c r="AG317" s="239">
        <f t="shared" si="21"/>
        <v>0</v>
      </c>
      <c r="AH317" s="239">
        <f t="shared" si="22"/>
        <v>0</v>
      </c>
      <c r="AI317" s="239">
        <f t="shared" si="23"/>
        <v>0</v>
      </c>
      <c r="AJ317" s="239">
        <f t="shared" si="24"/>
        <v>0</v>
      </c>
    </row>
    <row r="318" spans="1:36" x14ac:dyDescent="0.2">
      <c r="A318" s="240" t="str">
        <f t="shared" si="20"/>
        <v>2SNCF100940730</v>
      </c>
      <c r="B318" s="239" t="s">
        <v>19</v>
      </c>
      <c r="C318" s="239" t="s">
        <v>20</v>
      </c>
      <c r="D318" s="239" t="s">
        <v>2528</v>
      </c>
      <c r="E318" s="239" t="s">
        <v>2529</v>
      </c>
      <c r="F318" s="239" t="s">
        <v>2533</v>
      </c>
      <c r="G318" s="239">
        <v>30</v>
      </c>
      <c r="H318" s="239" t="s">
        <v>928</v>
      </c>
      <c r="I318" s="239" t="s">
        <v>2484</v>
      </c>
      <c r="J318" s="239" t="s">
        <v>928</v>
      </c>
      <c r="K318" s="239" t="s">
        <v>2398</v>
      </c>
      <c r="L318" s="239">
        <v>590.41999999999996</v>
      </c>
      <c r="M318" s="239">
        <v>0</v>
      </c>
      <c r="N318" s="239">
        <v>0</v>
      </c>
      <c r="O318" s="239">
        <v>0</v>
      </c>
      <c r="P318" s="239">
        <v>0</v>
      </c>
      <c r="Q318" s="239">
        <v>0</v>
      </c>
      <c r="R318" s="239">
        <v>0</v>
      </c>
      <c r="S318" s="239">
        <v>0</v>
      </c>
      <c r="T318" s="239">
        <v>0</v>
      </c>
      <c r="U318" s="239">
        <v>0</v>
      </c>
      <c r="V318" s="239">
        <v>0</v>
      </c>
      <c r="W318" s="239">
        <v>0</v>
      </c>
      <c r="X318" s="239">
        <v>0</v>
      </c>
      <c r="Y318" s="239">
        <v>363.25</v>
      </c>
      <c r="Z318" s="239">
        <v>0</v>
      </c>
      <c r="AA318" s="239">
        <v>0</v>
      </c>
      <c r="AB318" s="239">
        <v>227.16</v>
      </c>
      <c r="AC318" s="239">
        <v>0</v>
      </c>
      <c r="AD318" s="239">
        <v>0</v>
      </c>
      <c r="AE318" s="239" t="s">
        <v>720</v>
      </c>
      <c r="AF318" s="239" t="s">
        <v>721</v>
      </c>
      <c r="AG318" s="239">
        <f t="shared" si="21"/>
        <v>0</v>
      </c>
      <c r="AH318" s="239">
        <f t="shared" si="22"/>
        <v>0</v>
      </c>
      <c r="AI318" s="239">
        <f t="shared" si="23"/>
        <v>0</v>
      </c>
      <c r="AJ318" s="239">
        <f t="shared" si="24"/>
        <v>0</v>
      </c>
    </row>
    <row r="319" spans="1:36" x14ac:dyDescent="0.2">
      <c r="A319" s="240" t="str">
        <f t="shared" si="20"/>
        <v>SNCF100940730</v>
      </c>
      <c r="B319" s="239" t="s">
        <v>19</v>
      </c>
      <c r="C319" s="239" t="s">
        <v>20</v>
      </c>
      <c r="D319" s="239" t="s">
        <v>2528</v>
      </c>
      <c r="E319" s="239" t="s">
        <v>2529</v>
      </c>
      <c r="F319" s="239" t="s">
        <v>2533</v>
      </c>
      <c r="G319" s="239">
        <v>30</v>
      </c>
      <c r="H319" s="239" t="s">
        <v>928</v>
      </c>
      <c r="I319" s="239" t="s">
        <v>928</v>
      </c>
      <c r="J319" s="239" t="s">
        <v>928</v>
      </c>
      <c r="K319" s="239" t="s">
        <v>2398</v>
      </c>
      <c r="L319" s="239">
        <v>590.41999999999996</v>
      </c>
      <c r="M319" s="239">
        <v>0</v>
      </c>
      <c r="N319" s="239">
        <v>0</v>
      </c>
      <c r="O319" s="239">
        <v>0</v>
      </c>
      <c r="P319" s="239">
        <v>0</v>
      </c>
      <c r="Q319" s="239">
        <v>0</v>
      </c>
      <c r="R319" s="239">
        <v>0</v>
      </c>
      <c r="S319" s="239">
        <v>0</v>
      </c>
      <c r="T319" s="239">
        <v>0</v>
      </c>
      <c r="U319" s="239">
        <v>0</v>
      </c>
      <c r="V319" s="239">
        <v>0</v>
      </c>
      <c r="W319" s="239">
        <v>0</v>
      </c>
      <c r="X319" s="239">
        <v>0</v>
      </c>
      <c r="Y319" s="239">
        <v>363.25</v>
      </c>
      <c r="Z319" s="239">
        <v>0</v>
      </c>
      <c r="AA319" s="239">
        <v>0</v>
      </c>
      <c r="AB319" s="239">
        <v>227.16</v>
      </c>
      <c r="AC319" s="239">
        <v>0</v>
      </c>
      <c r="AD319" s="239">
        <v>0</v>
      </c>
      <c r="AE319" s="239" t="s">
        <v>720</v>
      </c>
      <c r="AF319" s="239" t="s">
        <v>721</v>
      </c>
      <c r="AG319" s="239">
        <f t="shared" si="21"/>
        <v>0</v>
      </c>
      <c r="AH319" s="239">
        <f t="shared" si="22"/>
        <v>0</v>
      </c>
      <c r="AI319" s="239">
        <f t="shared" si="23"/>
        <v>0</v>
      </c>
      <c r="AJ319" s="239">
        <f t="shared" si="24"/>
        <v>0</v>
      </c>
    </row>
    <row r="320" spans="1:36" x14ac:dyDescent="0.2">
      <c r="A320" s="240" t="str">
        <f t="shared" si="20"/>
        <v>2SNCF100940740</v>
      </c>
      <c r="B320" s="239" t="s">
        <v>19</v>
      </c>
      <c r="C320" s="239" t="s">
        <v>20</v>
      </c>
      <c r="D320" s="239" t="s">
        <v>2528</v>
      </c>
      <c r="E320" s="239" t="s">
        <v>2529</v>
      </c>
      <c r="F320" s="239" t="s">
        <v>2533</v>
      </c>
      <c r="G320" s="239">
        <v>40</v>
      </c>
      <c r="H320" s="239" t="s">
        <v>928</v>
      </c>
      <c r="I320" s="239" t="s">
        <v>2484</v>
      </c>
      <c r="J320" s="239" t="s">
        <v>928</v>
      </c>
      <c r="K320" s="239" t="s">
        <v>2398</v>
      </c>
      <c r="L320" s="239">
        <v>552.80999999999995</v>
      </c>
      <c r="M320" s="239">
        <v>0</v>
      </c>
      <c r="N320" s="239">
        <v>0</v>
      </c>
      <c r="O320" s="239">
        <v>0</v>
      </c>
      <c r="P320" s="239">
        <v>0</v>
      </c>
      <c r="Q320" s="239">
        <v>0</v>
      </c>
      <c r="R320" s="239">
        <v>0</v>
      </c>
      <c r="S320" s="239">
        <v>0</v>
      </c>
      <c r="T320" s="239">
        <v>0</v>
      </c>
      <c r="U320" s="239">
        <v>0</v>
      </c>
      <c r="V320" s="239">
        <v>0</v>
      </c>
      <c r="W320" s="239">
        <v>0</v>
      </c>
      <c r="X320" s="239">
        <v>0</v>
      </c>
      <c r="Y320" s="239">
        <v>353.68</v>
      </c>
      <c r="Z320" s="239">
        <v>0</v>
      </c>
      <c r="AA320" s="239">
        <v>0</v>
      </c>
      <c r="AB320" s="239">
        <v>199.13</v>
      </c>
      <c r="AC320" s="239">
        <v>0</v>
      </c>
      <c r="AD320" s="239">
        <v>0</v>
      </c>
      <c r="AE320" s="239" t="s">
        <v>720</v>
      </c>
      <c r="AF320" s="239" t="s">
        <v>721</v>
      </c>
      <c r="AG320" s="239">
        <f t="shared" si="21"/>
        <v>0</v>
      </c>
      <c r="AH320" s="239">
        <f t="shared" si="22"/>
        <v>0</v>
      </c>
      <c r="AI320" s="239">
        <f t="shared" si="23"/>
        <v>0</v>
      </c>
      <c r="AJ320" s="239">
        <f t="shared" si="24"/>
        <v>0</v>
      </c>
    </row>
    <row r="321" spans="1:36" x14ac:dyDescent="0.2">
      <c r="A321" s="240" t="str">
        <f t="shared" si="20"/>
        <v>SNCF100940740</v>
      </c>
      <c r="B321" s="239" t="s">
        <v>19</v>
      </c>
      <c r="C321" s="239" t="s">
        <v>20</v>
      </c>
      <c r="D321" s="239" t="s">
        <v>2528</v>
      </c>
      <c r="E321" s="239" t="s">
        <v>2529</v>
      </c>
      <c r="F321" s="239" t="s">
        <v>2533</v>
      </c>
      <c r="G321" s="239">
        <v>40</v>
      </c>
      <c r="H321" s="239" t="s">
        <v>928</v>
      </c>
      <c r="I321" s="239" t="s">
        <v>928</v>
      </c>
      <c r="J321" s="239" t="s">
        <v>928</v>
      </c>
      <c r="K321" s="239" t="s">
        <v>2398</v>
      </c>
      <c r="L321" s="239">
        <v>552.80999999999995</v>
      </c>
      <c r="M321" s="239">
        <v>0</v>
      </c>
      <c r="N321" s="239">
        <v>0</v>
      </c>
      <c r="O321" s="239">
        <v>0</v>
      </c>
      <c r="P321" s="239">
        <v>0</v>
      </c>
      <c r="Q321" s="239">
        <v>0</v>
      </c>
      <c r="R321" s="239">
        <v>0</v>
      </c>
      <c r="S321" s="239">
        <v>0</v>
      </c>
      <c r="T321" s="239">
        <v>0</v>
      </c>
      <c r="U321" s="239">
        <v>0</v>
      </c>
      <c r="V321" s="239">
        <v>0</v>
      </c>
      <c r="W321" s="239">
        <v>0</v>
      </c>
      <c r="X321" s="239">
        <v>0</v>
      </c>
      <c r="Y321" s="239">
        <v>353.68</v>
      </c>
      <c r="Z321" s="239">
        <v>0</v>
      </c>
      <c r="AA321" s="239">
        <v>0</v>
      </c>
      <c r="AB321" s="239">
        <v>199.13</v>
      </c>
      <c r="AC321" s="239">
        <v>0</v>
      </c>
      <c r="AD321" s="239">
        <v>0</v>
      </c>
      <c r="AE321" s="239" t="s">
        <v>720</v>
      </c>
      <c r="AF321" s="239" t="s">
        <v>721</v>
      </c>
      <c r="AG321" s="239">
        <f t="shared" si="21"/>
        <v>0</v>
      </c>
      <c r="AH321" s="239">
        <f t="shared" si="22"/>
        <v>0</v>
      </c>
      <c r="AI321" s="239">
        <f t="shared" si="23"/>
        <v>0</v>
      </c>
      <c r="AJ321" s="239">
        <f t="shared" si="24"/>
        <v>0</v>
      </c>
    </row>
    <row r="322" spans="1:36" x14ac:dyDescent="0.2">
      <c r="A322" s="240" t="str">
        <f t="shared" si="20"/>
        <v>2SNCF100940750</v>
      </c>
      <c r="B322" s="239" t="s">
        <v>19</v>
      </c>
      <c r="C322" s="239" t="s">
        <v>20</v>
      </c>
      <c r="D322" s="239" t="s">
        <v>2528</v>
      </c>
      <c r="E322" s="239" t="s">
        <v>2529</v>
      </c>
      <c r="F322" s="239" t="s">
        <v>2533</v>
      </c>
      <c r="G322" s="239">
        <v>50</v>
      </c>
      <c r="H322" s="239" t="s">
        <v>928</v>
      </c>
      <c r="I322" s="239" t="s">
        <v>2484</v>
      </c>
      <c r="J322" s="239" t="s">
        <v>928</v>
      </c>
      <c r="K322" s="239" t="s">
        <v>2398</v>
      </c>
      <c r="L322" s="239">
        <v>515.87</v>
      </c>
      <c r="M322" s="239">
        <v>0</v>
      </c>
      <c r="N322" s="239">
        <v>0</v>
      </c>
      <c r="O322" s="239">
        <v>0</v>
      </c>
      <c r="P322" s="239">
        <v>0</v>
      </c>
      <c r="Q322" s="239">
        <v>0</v>
      </c>
      <c r="R322" s="239">
        <v>0</v>
      </c>
      <c r="S322" s="239">
        <v>0</v>
      </c>
      <c r="T322" s="239">
        <v>0</v>
      </c>
      <c r="U322" s="239">
        <v>0</v>
      </c>
      <c r="V322" s="239">
        <v>0</v>
      </c>
      <c r="W322" s="239">
        <v>0</v>
      </c>
      <c r="X322" s="239">
        <v>0</v>
      </c>
      <c r="Y322" s="239">
        <v>339.4</v>
      </c>
      <c r="Z322" s="239">
        <v>0</v>
      </c>
      <c r="AA322" s="239">
        <v>0</v>
      </c>
      <c r="AB322" s="239">
        <v>176.47</v>
      </c>
      <c r="AC322" s="239">
        <v>0</v>
      </c>
      <c r="AD322" s="239">
        <v>0</v>
      </c>
      <c r="AE322" s="239" t="s">
        <v>720</v>
      </c>
      <c r="AF322" s="239" t="s">
        <v>721</v>
      </c>
      <c r="AG322" s="239">
        <f t="shared" si="21"/>
        <v>0</v>
      </c>
      <c r="AH322" s="239">
        <f t="shared" si="22"/>
        <v>0</v>
      </c>
      <c r="AI322" s="239">
        <f t="shared" si="23"/>
        <v>0</v>
      </c>
      <c r="AJ322" s="239">
        <f t="shared" si="24"/>
        <v>0</v>
      </c>
    </row>
    <row r="323" spans="1:36" x14ac:dyDescent="0.2">
      <c r="A323" s="240" t="str">
        <f t="shared" si="20"/>
        <v>SNCF100940750</v>
      </c>
      <c r="B323" s="239" t="s">
        <v>19</v>
      </c>
      <c r="C323" s="239" t="s">
        <v>20</v>
      </c>
      <c r="D323" s="239" t="s">
        <v>2528</v>
      </c>
      <c r="E323" s="239" t="s">
        <v>2529</v>
      </c>
      <c r="F323" s="239" t="s">
        <v>2533</v>
      </c>
      <c r="G323" s="239">
        <v>50</v>
      </c>
      <c r="H323" s="239" t="s">
        <v>928</v>
      </c>
      <c r="I323" s="239" t="s">
        <v>928</v>
      </c>
      <c r="J323" s="239" t="s">
        <v>928</v>
      </c>
      <c r="K323" s="239" t="s">
        <v>2398</v>
      </c>
      <c r="L323" s="239">
        <v>515.87</v>
      </c>
      <c r="M323" s="239">
        <v>0</v>
      </c>
      <c r="N323" s="239">
        <v>0</v>
      </c>
      <c r="O323" s="239">
        <v>0</v>
      </c>
      <c r="P323" s="239">
        <v>0</v>
      </c>
      <c r="Q323" s="239">
        <v>0</v>
      </c>
      <c r="R323" s="239">
        <v>0</v>
      </c>
      <c r="S323" s="239">
        <v>0</v>
      </c>
      <c r="T323" s="239">
        <v>0</v>
      </c>
      <c r="U323" s="239">
        <v>0</v>
      </c>
      <c r="V323" s="239">
        <v>0</v>
      </c>
      <c r="W323" s="239">
        <v>0</v>
      </c>
      <c r="X323" s="239">
        <v>0</v>
      </c>
      <c r="Y323" s="239">
        <v>339.4</v>
      </c>
      <c r="Z323" s="239">
        <v>0</v>
      </c>
      <c r="AA323" s="239">
        <v>0</v>
      </c>
      <c r="AB323" s="239">
        <v>176.47</v>
      </c>
      <c r="AC323" s="239">
        <v>0</v>
      </c>
      <c r="AD323" s="239">
        <v>0</v>
      </c>
      <c r="AE323" s="239" t="s">
        <v>720</v>
      </c>
      <c r="AF323" s="239" t="s">
        <v>721</v>
      </c>
      <c r="AG323" s="239">
        <f t="shared" si="21"/>
        <v>0</v>
      </c>
      <c r="AH323" s="239">
        <f t="shared" si="22"/>
        <v>0</v>
      </c>
      <c r="AI323" s="239">
        <f t="shared" si="23"/>
        <v>0</v>
      </c>
      <c r="AJ323" s="239">
        <f t="shared" si="24"/>
        <v>0</v>
      </c>
    </row>
    <row r="324" spans="1:36" x14ac:dyDescent="0.2">
      <c r="A324" s="240" t="str">
        <f t="shared" ref="A324:A387" si="25">TRIM(I324&amp;B324&amp;C324&amp;D324&amp;F324&amp;G324)</f>
        <v>2SNCF1009710B450</v>
      </c>
      <c r="B324" s="239" t="s">
        <v>19</v>
      </c>
      <c r="C324" s="239" t="s">
        <v>20</v>
      </c>
      <c r="D324" s="239" t="s">
        <v>2528</v>
      </c>
      <c r="E324" s="239" t="s">
        <v>2529</v>
      </c>
      <c r="F324" s="239" t="s">
        <v>2534</v>
      </c>
      <c r="G324" s="239">
        <v>50</v>
      </c>
      <c r="H324" s="239" t="s">
        <v>928</v>
      </c>
      <c r="I324" s="239" t="s">
        <v>2484</v>
      </c>
      <c r="J324" s="239" t="s">
        <v>928</v>
      </c>
      <c r="K324" s="239" t="s">
        <v>2398</v>
      </c>
      <c r="L324" s="239">
        <v>709.14</v>
      </c>
      <c r="M324" s="239">
        <v>0</v>
      </c>
      <c r="N324" s="239">
        <v>0</v>
      </c>
      <c r="O324" s="239">
        <v>0</v>
      </c>
      <c r="P324" s="239">
        <v>0</v>
      </c>
      <c r="Q324" s="239">
        <v>0</v>
      </c>
      <c r="R324" s="239">
        <v>0</v>
      </c>
      <c r="S324" s="239">
        <v>0</v>
      </c>
      <c r="T324" s="239">
        <v>0</v>
      </c>
      <c r="U324" s="239">
        <v>0</v>
      </c>
      <c r="V324" s="239">
        <v>0</v>
      </c>
      <c r="W324" s="239">
        <v>0</v>
      </c>
      <c r="X324" s="239">
        <v>0</v>
      </c>
      <c r="Y324" s="239">
        <v>515.55999999999995</v>
      </c>
      <c r="Z324" s="239">
        <v>0</v>
      </c>
      <c r="AA324" s="239">
        <v>0</v>
      </c>
      <c r="AB324" s="239">
        <v>193.58</v>
      </c>
      <c r="AC324" s="239">
        <v>0</v>
      </c>
      <c r="AD324" s="239">
        <v>0</v>
      </c>
      <c r="AE324" s="239" t="s">
        <v>720</v>
      </c>
      <c r="AF324" s="239" t="s">
        <v>721</v>
      </c>
      <c r="AG324" s="239">
        <f t="shared" si="21"/>
        <v>0</v>
      </c>
      <c r="AH324" s="239">
        <f t="shared" si="22"/>
        <v>0</v>
      </c>
      <c r="AI324" s="239">
        <f t="shared" si="23"/>
        <v>0</v>
      </c>
      <c r="AJ324" s="239">
        <f t="shared" si="24"/>
        <v>0</v>
      </c>
    </row>
    <row r="325" spans="1:36" x14ac:dyDescent="0.2">
      <c r="A325" s="240" t="str">
        <f t="shared" si="25"/>
        <v>SNCF1009710B450</v>
      </c>
      <c r="B325" s="239" t="s">
        <v>19</v>
      </c>
      <c r="C325" s="239" t="s">
        <v>20</v>
      </c>
      <c r="D325" s="239" t="s">
        <v>2528</v>
      </c>
      <c r="E325" s="239" t="s">
        <v>2529</v>
      </c>
      <c r="F325" s="239" t="s">
        <v>2534</v>
      </c>
      <c r="G325" s="239">
        <v>50</v>
      </c>
      <c r="H325" s="239" t="s">
        <v>928</v>
      </c>
      <c r="I325" s="239" t="s">
        <v>928</v>
      </c>
      <c r="J325" s="239" t="s">
        <v>928</v>
      </c>
      <c r="K325" s="239" t="s">
        <v>2398</v>
      </c>
      <c r="L325" s="239">
        <v>709.14</v>
      </c>
      <c r="M325" s="239">
        <v>0</v>
      </c>
      <c r="N325" s="239">
        <v>0</v>
      </c>
      <c r="O325" s="239">
        <v>0</v>
      </c>
      <c r="P325" s="239">
        <v>0</v>
      </c>
      <c r="Q325" s="239">
        <v>0</v>
      </c>
      <c r="R325" s="239">
        <v>0</v>
      </c>
      <c r="S325" s="239">
        <v>0</v>
      </c>
      <c r="T325" s="239">
        <v>0</v>
      </c>
      <c r="U325" s="239">
        <v>0</v>
      </c>
      <c r="V325" s="239">
        <v>0</v>
      </c>
      <c r="W325" s="239">
        <v>0</v>
      </c>
      <c r="X325" s="239">
        <v>0</v>
      </c>
      <c r="Y325" s="239">
        <v>515.55999999999995</v>
      </c>
      <c r="Z325" s="239">
        <v>0</v>
      </c>
      <c r="AA325" s="239">
        <v>0</v>
      </c>
      <c r="AB325" s="239">
        <v>193.58</v>
      </c>
      <c r="AC325" s="239">
        <v>0</v>
      </c>
      <c r="AD325" s="239">
        <v>0</v>
      </c>
      <c r="AE325" s="239" t="s">
        <v>720</v>
      </c>
      <c r="AF325" s="239" t="s">
        <v>721</v>
      </c>
      <c r="AG325" s="239">
        <f t="shared" si="21"/>
        <v>0</v>
      </c>
      <c r="AH325" s="239">
        <f t="shared" si="22"/>
        <v>0</v>
      </c>
      <c r="AI325" s="239">
        <f t="shared" si="23"/>
        <v>0</v>
      </c>
      <c r="AJ325" s="239">
        <f t="shared" si="24"/>
        <v>0</v>
      </c>
    </row>
    <row r="326" spans="1:36" x14ac:dyDescent="0.2">
      <c r="A326" s="240" t="str">
        <f t="shared" si="25"/>
        <v>2SNCF1009710B470</v>
      </c>
      <c r="B326" s="239" t="s">
        <v>19</v>
      </c>
      <c r="C326" s="239" t="s">
        <v>20</v>
      </c>
      <c r="D326" s="239" t="s">
        <v>2528</v>
      </c>
      <c r="E326" s="239" t="s">
        <v>2529</v>
      </c>
      <c r="F326" s="239" t="s">
        <v>2534</v>
      </c>
      <c r="G326" s="239">
        <v>70</v>
      </c>
      <c r="H326" s="239" t="s">
        <v>928</v>
      </c>
      <c r="I326" s="239" t="s">
        <v>2484</v>
      </c>
      <c r="J326" s="239" t="s">
        <v>928</v>
      </c>
      <c r="K326" s="239" t="s">
        <v>2398</v>
      </c>
      <c r="L326" s="239">
        <v>774.28</v>
      </c>
      <c r="M326" s="239">
        <v>0</v>
      </c>
      <c r="N326" s="239">
        <v>0</v>
      </c>
      <c r="O326" s="239">
        <v>0</v>
      </c>
      <c r="P326" s="239">
        <v>0</v>
      </c>
      <c r="Q326" s="239">
        <v>0</v>
      </c>
      <c r="R326" s="239">
        <v>0</v>
      </c>
      <c r="S326" s="239">
        <v>0</v>
      </c>
      <c r="T326" s="239">
        <v>0</v>
      </c>
      <c r="U326" s="239">
        <v>0</v>
      </c>
      <c r="V326" s="239">
        <v>0</v>
      </c>
      <c r="W326" s="239">
        <v>0</v>
      </c>
      <c r="X326" s="239">
        <v>0</v>
      </c>
      <c r="Y326" s="239">
        <v>541.6</v>
      </c>
      <c r="Z326" s="239">
        <v>0</v>
      </c>
      <c r="AA326" s="239">
        <v>0</v>
      </c>
      <c r="AB326" s="239">
        <v>232.68</v>
      </c>
      <c r="AC326" s="239">
        <v>0</v>
      </c>
      <c r="AD326" s="239">
        <v>0</v>
      </c>
      <c r="AE326" s="239" t="s">
        <v>720</v>
      </c>
      <c r="AF326" s="239" t="s">
        <v>721</v>
      </c>
      <c r="AG326" s="239">
        <f t="shared" ref="AG326:AG389" si="26">+O326*M326/100</f>
        <v>0</v>
      </c>
      <c r="AH326" s="239">
        <f t="shared" ref="AH326:AH389" si="27">+P326*M326/100</f>
        <v>0</v>
      </c>
      <c r="AI326" s="239">
        <f t="shared" ref="AI326:AI389" si="28">+AB326*M326/100</f>
        <v>0</v>
      </c>
      <c r="AJ326" s="239">
        <f t="shared" ref="AJ326:AJ389" si="29">+AG326+AH326+AI326</f>
        <v>0</v>
      </c>
    </row>
    <row r="327" spans="1:36" x14ac:dyDescent="0.2">
      <c r="A327" s="240" t="str">
        <f t="shared" si="25"/>
        <v>SNCF1009710B470</v>
      </c>
      <c r="B327" s="239" t="s">
        <v>19</v>
      </c>
      <c r="C327" s="239" t="s">
        <v>20</v>
      </c>
      <c r="D327" s="239" t="s">
        <v>2528</v>
      </c>
      <c r="E327" s="239" t="s">
        <v>2529</v>
      </c>
      <c r="F327" s="239" t="s">
        <v>2534</v>
      </c>
      <c r="G327" s="239">
        <v>70</v>
      </c>
      <c r="H327" s="239" t="s">
        <v>928</v>
      </c>
      <c r="I327" s="239" t="s">
        <v>928</v>
      </c>
      <c r="J327" s="239" t="s">
        <v>928</v>
      </c>
      <c r="K327" s="239" t="s">
        <v>2398</v>
      </c>
      <c r="L327" s="239">
        <v>774.28</v>
      </c>
      <c r="M327" s="239">
        <v>0</v>
      </c>
      <c r="N327" s="239">
        <v>0</v>
      </c>
      <c r="O327" s="239">
        <v>0</v>
      </c>
      <c r="P327" s="239">
        <v>0</v>
      </c>
      <c r="Q327" s="239">
        <v>0</v>
      </c>
      <c r="R327" s="239">
        <v>0</v>
      </c>
      <c r="S327" s="239">
        <v>0</v>
      </c>
      <c r="T327" s="239">
        <v>0</v>
      </c>
      <c r="U327" s="239">
        <v>0</v>
      </c>
      <c r="V327" s="239">
        <v>0</v>
      </c>
      <c r="W327" s="239">
        <v>0</v>
      </c>
      <c r="X327" s="239">
        <v>0</v>
      </c>
      <c r="Y327" s="239">
        <v>541.6</v>
      </c>
      <c r="Z327" s="239">
        <v>0</v>
      </c>
      <c r="AA327" s="239">
        <v>0</v>
      </c>
      <c r="AB327" s="239">
        <v>232.68</v>
      </c>
      <c r="AC327" s="239">
        <v>0</v>
      </c>
      <c r="AD327" s="239">
        <v>0</v>
      </c>
      <c r="AE327" s="239" t="s">
        <v>720</v>
      </c>
      <c r="AF327" s="239" t="s">
        <v>721</v>
      </c>
      <c r="AG327" s="239">
        <f t="shared" si="26"/>
        <v>0</v>
      </c>
      <c r="AH327" s="239">
        <f t="shared" si="27"/>
        <v>0</v>
      </c>
      <c r="AI327" s="239">
        <f t="shared" si="28"/>
        <v>0</v>
      </c>
      <c r="AJ327" s="239">
        <f t="shared" si="29"/>
        <v>0</v>
      </c>
    </row>
    <row r="328" spans="1:36" x14ac:dyDescent="0.2">
      <c r="A328" s="240" t="str">
        <f t="shared" si="25"/>
        <v>2SNCF100972020</v>
      </c>
      <c r="B328" s="239" t="s">
        <v>19</v>
      </c>
      <c r="C328" s="239" t="s">
        <v>20</v>
      </c>
      <c r="D328" s="239" t="s">
        <v>2528</v>
      </c>
      <c r="E328" s="239" t="s">
        <v>2529</v>
      </c>
      <c r="F328" s="239" t="s">
        <v>2535</v>
      </c>
      <c r="G328" s="239">
        <v>20</v>
      </c>
      <c r="H328" s="239" t="s">
        <v>928</v>
      </c>
      <c r="I328" s="239" t="s">
        <v>2484</v>
      </c>
      <c r="J328" s="239" t="s">
        <v>928</v>
      </c>
      <c r="K328" s="239" t="s">
        <v>2398</v>
      </c>
      <c r="L328" s="239">
        <v>812.33</v>
      </c>
      <c r="M328" s="239">
        <v>0</v>
      </c>
      <c r="N328" s="239">
        <v>0</v>
      </c>
      <c r="O328" s="239">
        <v>0</v>
      </c>
      <c r="P328" s="239">
        <v>0</v>
      </c>
      <c r="Q328" s="239">
        <v>0</v>
      </c>
      <c r="R328" s="239">
        <v>0</v>
      </c>
      <c r="S328" s="239">
        <v>0</v>
      </c>
      <c r="T328" s="239">
        <v>0</v>
      </c>
      <c r="U328" s="239">
        <v>0</v>
      </c>
      <c r="V328" s="239">
        <v>0</v>
      </c>
      <c r="W328" s="239">
        <v>0</v>
      </c>
      <c r="X328" s="239">
        <v>0</v>
      </c>
      <c r="Y328" s="239">
        <v>529.42999999999995</v>
      </c>
      <c r="Z328" s="239">
        <v>0</v>
      </c>
      <c r="AA328" s="239">
        <v>0</v>
      </c>
      <c r="AB328" s="239">
        <v>282.89999999999998</v>
      </c>
      <c r="AC328" s="239">
        <v>0</v>
      </c>
      <c r="AD328" s="239">
        <v>0</v>
      </c>
      <c r="AE328" s="239" t="s">
        <v>720</v>
      </c>
      <c r="AF328" s="239" t="s">
        <v>721</v>
      </c>
      <c r="AG328" s="239">
        <f t="shared" si="26"/>
        <v>0</v>
      </c>
      <c r="AH328" s="239">
        <f t="shared" si="27"/>
        <v>0</v>
      </c>
      <c r="AI328" s="239">
        <f t="shared" si="28"/>
        <v>0</v>
      </c>
      <c r="AJ328" s="239">
        <f t="shared" si="29"/>
        <v>0</v>
      </c>
    </row>
    <row r="329" spans="1:36" x14ac:dyDescent="0.2">
      <c r="A329" s="240" t="str">
        <f t="shared" si="25"/>
        <v>SNCF100972020</v>
      </c>
      <c r="B329" s="239" t="s">
        <v>19</v>
      </c>
      <c r="C329" s="239" t="s">
        <v>20</v>
      </c>
      <c r="D329" s="239" t="s">
        <v>2528</v>
      </c>
      <c r="E329" s="239" t="s">
        <v>2529</v>
      </c>
      <c r="F329" s="239" t="s">
        <v>2535</v>
      </c>
      <c r="G329" s="239">
        <v>20</v>
      </c>
      <c r="H329" s="239" t="s">
        <v>928</v>
      </c>
      <c r="I329" s="239" t="s">
        <v>928</v>
      </c>
      <c r="J329" s="239" t="s">
        <v>928</v>
      </c>
      <c r="K329" s="239" t="s">
        <v>2398</v>
      </c>
      <c r="L329" s="239">
        <v>812.33</v>
      </c>
      <c r="M329" s="239">
        <v>0</v>
      </c>
      <c r="N329" s="239">
        <v>0</v>
      </c>
      <c r="O329" s="239">
        <v>0</v>
      </c>
      <c r="P329" s="239">
        <v>0</v>
      </c>
      <c r="Q329" s="239">
        <v>0</v>
      </c>
      <c r="R329" s="239">
        <v>0</v>
      </c>
      <c r="S329" s="239">
        <v>0</v>
      </c>
      <c r="T329" s="239">
        <v>0</v>
      </c>
      <c r="U329" s="239">
        <v>0</v>
      </c>
      <c r="V329" s="239">
        <v>0</v>
      </c>
      <c r="W329" s="239">
        <v>0</v>
      </c>
      <c r="X329" s="239">
        <v>0</v>
      </c>
      <c r="Y329" s="239">
        <v>529.42999999999995</v>
      </c>
      <c r="Z329" s="239">
        <v>0</v>
      </c>
      <c r="AA329" s="239">
        <v>0</v>
      </c>
      <c r="AB329" s="239">
        <v>282.89999999999998</v>
      </c>
      <c r="AC329" s="239">
        <v>0</v>
      </c>
      <c r="AD329" s="239">
        <v>0</v>
      </c>
      <c r="AE329" s="239" t="s">
        <v>720</v>
      </c>
      <c r="AF329" s="239" t="s">
        <v>721</v>
      </c>
      <c r="AG329" s="239">
        <f t="shared" si="26"/>
        <v>0</v>
      </c>
      <c r="AH329" s="239">
        <f t="shared" si="27"/>
        <v>0</v>
      </c>
      <c r="AI329" s="239">
        <f t="shared" si="28"/>
        <v>0</v>
      </c>
      <c r="AJ329" s="239">
        <f t="shared" si="29"/>
        <v>0</v>
      </c>
    </row>
    <row r="330" spans="1:36" x14ac:dyDescent="0.2">
      <c r="A330" s="240" t="str">
        <f t="shared" si="25"/>
        <v>2SNCF1009720NK20</v>
      </c>
      <c r="B330" s="239" t="s">
        <v>19</v>
      </c>
      <c r="C330" s="239" t="s">
        <v>20</v>
      </c>
      <c r="D330" s="239" t="s">
        <v>2528</v>
      </c>
      <c r="E330" s="239" t="s">
        <v>2529</v>
      </c>
      <c r="F330" s="239" t="s">
        <v>2536</v>
      </c>
      <c r="G330" s="239">
        <v>20</v>
      </c>
      <c r="H330" s="239" t="s">
        <v>928</v>
      </c>
      <c r="I330" s="239" t="s">
        <v>2484</v>
      </c>
      <c r="J330" s="239" t="s">
        <v>928</v>
      </c>
      <c r="K330" s="239" t="s">
        <v>2398</v>
      </c>
      <c r="L330" s="239">
        <v>7535.32</v>
      </c>
      <c r="M330" s="239">
        <v>0</v>
      </c>
      <c r="N330" s="239">
        <v>0</v>
      </c>
      <c r="O330" s="239">
        <v>0</v>
      </c>
      <c r="P330" s="239">
        <v>0</v>
      </c>
      <c r="Q330" s="239">
        <v>0</v>
      </c>
      <c r="R330" s="239">
        <v>0</v>
      </c>
      <c r="S330" s="239">
        <v>0</v>
      </c>
      <c r="T330" s="239">
        <v>0</v>
      </c>
      <c r="U330" s="239">
        <v>0</v>
      </c>
      <c r="V330" s="239">
        <v>0</v>
      </c>
      <c r="W330" s="239">
        <v>0</v>
      </c>
      <c r="X330" s="239">
        <v>0</v>
      </c>
      <c r="Y330" s="239">
        <v>7251.62</v>
      </c>
      <c r="Z330" s="239">
        <v>0</v>
      </c>
      <c r="AA330" s="239">
        <v>0</v>
      </c>
      <c r="AB330" s="239">
        <v>283.7</v>
      </c>
      <c r="AC330" s="239">
        <v>0</v>
      </c>
      <c r="AD330" s="239">
        <v>0</v>
      </c>
      <c r="AE330" s="239" t="s">
        <v>720</v>
      </c>
      <c r="AF330" s="239" t="s">
        <v>721</v>
      </c>
      <c r="AG330" s="239">
        <f t="shared" si="26"/>
        <v>0</v>
      </c>
      <c r="AH330" s="239">
        <f t="shared" si="27"/>
        <v>0</v>
      </c>
      <c r="AI330" s="239">
        <f t="shared" si="28"/>
        <v>0</v>
      </c>
      <c r="AJ330" s="239">
        <f t="shared" si="29"/>
        <v>0</v>
      </c>
    </row>
    <row r="331" spans="1:36" x14ac:dyDescent="0.2">
      <c r="A331" s="240" t="str">
        <f t="shared" si="25"/>
        <v>SNCF1009720NK20</v>
      </c>
      <c r="B331" s="239" t="s">
        <v>19</v>
      </c>
      <c r="C331" s="239" t="s">
        <v>20</v>
      </c>
      <c r="D331" s="239" t="s">
        <v>2528</v>
      </c>
      <c r="E331" s="239" t="s">
        <v>2529</v>
      </c>
      <c r="F331" s="239" t="s">
        <v>2536</v>
      </c>
      <c r="G331" s="239">
        <v>20</v>
      </c>
      <c r="H331" s="239" t="s">
        <v>928</v>
      </c>
      <c r="I331" s="239" t="s">
        <v>928</v>
      </c>
      <c r="J331" s="239" t="s">
        <v>928</v>
      </c>
      <c r="K331" s="239" t="s">
        <v>2398</v>
      </c>
      <c r="L331" s="239">
        <v>7535.32</v>
      </c>
      <c r="M331" s="239">
        <v>0</v>
      </c>
      <c r="N331" s="239">
        <v>0</v>
      </c>
      <c r="O331" s="239">
        <v>0</v>
      </c>
      <c r="P331" s="239">
        <v>0</v>
      </c>
      <c r="Q331" s="239">
        <v>0</v>
      </c>
      <c r="R331" s="239">
        <v>0</v>
      </c>
      <c r="S331" s="239">
        <v>0</v>
      </c>
      <c r="T331" s="239">
        <v>0</v>
      </c>
      <c r="U331" s="239">
        <v>0</v>
      </c>
      <c r="V331" s="239">
        <v>0</v>
      </c>
      <c r="W331" s="239">
        <v>0</v>
      </c>
      <c r="X331" s="239">
        <v>0</v>
      </c>
      <c r="Y331" s="239">
        <v>7251.62</v>
      </c>
      <c r="Z331" s="239">
        <v>0</v>
      </c>
      <c r="AA331" s="239">
        <v>0</v>
      </c>
      <c r="AB331" s="239">
        <v>283.7</v>
      </c>
      <c r="AC331" s="239">
        <v>0</v>
      </c>
      <c r="AD331" s="239">
        <v>0</v>
      </c>
      <c r="AE331" s="239" t="s">
        <v>720</v>
      </c>
      <c r="AF331" s="239" t="s">
        <v>721</v>
      </c>
      <c r="AG331" s="239">
        <f t="shared" si="26"/>
        <v>0</v>
      </c>
      <c r="AH331" s="239">
        <f t="shared" si="27"/>
        <v>0</v>
      </c>
      <c r="AI331" s="239">
        <f t="shared" si="28"/>
        <v>0</v>
      </c>
      <c r="AJ331" s="239">
        <f t="shared" si="29"/>
        <v>0</v>
      </c>
    </row>
    <row r="332" spans="1:36" x14ac:dyDescent="0.2">
      <c r="A332" s="240" t="str">
        <f t="shared" si="25"/>
        <v>2SNCF100P9501A30</v>
      </c>
      <c r="B332" s="239" t="s">
        <v>19</v>
      </c>
      <c r="C332" s="239" t="s">
        <v>20</v>
      </c>
      <c r="D332" s="239" t="s">
        <v>2537</v>
      </c>
      <c r="E332" s="239" t="s">
        <v>2538</v>
      </c>
      <c r="F332" s="239" t="s">
        <v>2539</v>
      </c>
      <c r="G332" s="239">
        <v>30</v>
      </c>
      <c r="H332" s="239" t="s">
        <v>928</v>
      </c>
      <c r="I332" s="239" t="s">
        <v>2484</v>
      </c>
      <c r="J332" s="239" t="s">
        <v>928</v>
      </c>
      <c r="K332" s="239" t="s">
        <v>2398</v>
      </c>
      <c r="L332" s="239">
        <v>240.09</v>
      </c>
      <c r="M332" s="239">
        <v>0</v>
      </c>
      <c r="N332" s="239">
        <v>0</v>
      </c>
      <c r="O332" s="239">
        <v>0</v>
      </c>
      <c r="P332" s="239">
        <v>0</v>
      </c>
      <c r="Q332" s="239">
        <v>0</v>
      </c>
      <c r="R332" s="239">
        <v>0</v>
      </c>
      <c r="S332" s="239">
        <v>0</v>
      </c>
      <c r="T332" s="239">
        <v>0</v>
      </c>
      <c r="U332" s="239">
        <v>0</v>
      </c>
      <c r="V332" s="239">
        <v>0</v>
      </c>
      <c r="W332" s="239">
        <v>0</v>
      </c>
      <c r="X332" s="239">
        <v>0</v>
      </c>
      <c r="Y332" s="239">
        <v>90.15</v>
      </c>
      <c r="Z332" s="239">
        <v>0</v>
      </c>
      <c r="AA332" s="239">
        <v>0</v>
      </c>
      <c r="AB332" s="239">
        <v>149.94</v>
      </c>
      <c r="AC332" s="239">
        <v>0</v>
      </c>
      <c r="AD332" s="239">
        <v>0</v>
      </c>
      <c r="AE332" s="239" t="s">
        <v>720</v>
      </c>
      <c r="AF332" s="239" t="s">
        <v>721</v>
      </c>
      <c r="AG332" s="239">
        <f t="shared" si="26"/>
        <v>0</v>
      </c>
      <c r="AH332" s="239">
        <f t="shared" si="27"/>
        <v>0</v>
      </c>
      <c r="AI332" s="239">
        <f t="shared" si="28"/>
        <v>0</v>
      </c>
      <c r="AJ332" s="239">
        <f t="shared" si="29"/>
        <v>0</v>
      </c>
    </row>
    <row r="333" spans="1:36" x14ac:dyDescent="0.2">
      <c r="A333" s="240" t="str">
        <f t="shared" si="25"/>
        <v>SNCF100P9501A30</v>
      </c>
      <c r="B333" s="239" t="s">
        <v>19</v>
      </c>
      <c r="C333" s="239" t="s">
        <v>20</v>
      </c>
      <c r="D333" s="239" t="s">
        <v>2537</v>
      </c>
      <c r="E333" s="239" t="s">
        <v>2538</v>
      </c>
      <c r="F333" s="239" t="s">
        <v>2539</v>
      </c>
      <c r="G333" s="239">
        <v>30</v>
      </c>
      <c r="H333" s="239" t="s">
        <v>928</v>
      </c>
      <c r="I333" s="239" t="s">
        <v>928</v>
      </c>
      <c r="J333" s="239" t="s">
        <v>928</v>
      </c>
      <c r="K333" s="239" t="s">
        <v>2398</v>
      </c>
      <c r="L333" s="239">
        <v>240.09</v>
      </c>
      <c r="M333" s="239">
        <v>0</v>
      </c>
      <c r="N333" s="239">
        <v>0</v>
      </c>
      <c r="O333" s="239">
        <v>0</v>
      </c>
      <c r="P333" s="239">
        <v>0</v>
      </c>
      <c r="Q333" s="239">
        <v>0</v>
      </c>
      <c r="R333" s="239">
        <v>0</v>
      </c>
      <c r="S333" s="239">
        <v>0</v>
      </c>
      <c r="T333" s="239">
        <v>0</v>
      </c>
      <c r="U333" s="239">
        <v>0</v>
      </c>
      <c r="V333" s="239">
        <v>0</v>
      </c>
      <c r="W333" s="239">
        <v>0</v>
      </c>
      <c r="X333" s="239">
        <v>0</v>
      </c>
      <c r="Y333" s="239">
        <v>90.15</v>
      </c>
      <c r="Z333" s="239">
        <v>0</v>
      </c>
      <c r="AA333" s="239">
        <v>0</v>
      </c>
      <c r="AB333" s="239">
        <v>149.94</v>
      </c>
      <c r="AC333" s="239">
        <v>0</v>
      </c>
      <c r="AD333" s="239">
        <v>0</v>
      </c>
      <c r="AE333" s="239" t="s">
        <v>720</v>
      </c>
      <c r="AF333" s="239" t="s">
        <v>721</v>
      </c>
      <c r="AG333" s="239">
        <f t="shared" si="26"/>
        <v>0</v>
      </c>
      <c r="AH333" s="239">
        <f t="shared" si="27"/>
        <v>0</v>
      </c>
      <c r="AI333" s="239">
        <f t="shared" si="28"/>
        <v>0</v>
      </c>
      <c r="AJ333" s="239">
        <f t="shared" si="29"/>
        <v>0</v>
      </c>
    </row>
    <row r="334" spans="1:36" x14ac:dyDescent="0.2">
      <c r="A334" s="240" t="str">
        <f t="shared" si="25"/>
        <v>2SNCF100P9501A50</v>
      </c>
      <c r="B334" s="239" t="s">
        <v>19</v>
      </c>
      <c r="C334" s="239" t="s">
        <v>20</v>
      </c>
      <c r="D334" s="239" t="s">
        <v>2537</v>
      </c>
      <c r="E334" s="239" t="s">
        <v>2538</v>
      </c>
      <c r="F334" s="239" t="s">
        <v>2539</v>
      </c>
      <c r="G334" s="239">
        <v>50</v>
      </c>
      <c r="H334" s="239" t="s">
        <v>928</v>
      </c>
      <c r="I334" s="239" t="s">
        <v>2484</v>
      </c>
      <c r="J334" s="239" t="s">
        <v>928</v>
      </c>
      <c r="K334" s="239" t="s">
        <v>2398</v>
      </c>
      <c r="L334" s="239">
        <v>426.44</v>
      </c>
      <c r="M334" s="239">
        <v>0</v>
      </c>
      <c r="N334" s="239">
        <v>0</v>
      </c>
      <c r="O334" s="239">
        <v>0</v>
      </c>
      <c r="P334" s="239">
        <v>0</v>
      </c>
      <c r="Q334" s="239">
        <v>0</v>
      </c>
      <c r="R334" s="239">
        <v>0</v>
      </c>
      <c r="S334" s="239">
        <v>0</v>
      </c>
      <c r="T334" s="239">
        <v>0</v>
      </c>
      <c r="U334" s="239">
        <v>0</v>
      </c>
      <c r="V334" s="239">
        <v>0</v>
      </c>
      <c r="W334" s="239">
        <v>0</v>
      </c>
      <c r="X334" s="239">
        <v>0</v>
      </c>
      <c r="Y334" s="239">
        <v>348.37</v>
      </c>
      <c r="Z334" s="239">
        <v>0</v>
      </c>
      <c r="AA334" s="239">
        <v>0</v>
      </c>
      <c r="AB334" s="239">
        <v>78.069999999999993</v>
      </c>
      <c r="AC334" s="239">
        <v>0</v>
      </c>
      <c r="AD334" s="239">
        <v>0</v>
      </c>
      <c r="AE334" s="239" t="s">
        <v>720</v>
      </c>
      <c r="AF334" s="239" t="s">
        <v>721</v>
      </c>
      <c r="AG334" s="239">
        <f t="shared" si="26"/>
        <v>0</v>
      </c>
      <c r="AH334" s="239">
        <f t="shared" si="27"/>
        <v>0</v>
      </c>
      <c r="AI334" s="239">
        <f t="shared" si="28"/>
        <v>0</v>
      </c>
      <c r="AJ334" s="239">
        <f t="shared" si="29"/>
        <v>0</v>
      </c>
    </row>
    <row r="335" spans="1:36" x14ac:dyDescent="0.2">
      <c r="A335" s="240" t="str">
        <f t="shared" si="25"/>
        <v>SNCF100P9501A50</v>
      </c>
      <c r="B335" s="239" t="s">
        <v>19</v>
      </c>
      <c r="C335" s="239" t="s">
        <v>20</v>
      </c>
      <c r="D335" s="239" t="s">
        <v>2537</v>
      </c>
      <c r="E335" s="239" t="s">
        <v>2538</v>
      </c>
      <c r="F335" s="239" t="s">
        <v>2539</v>
      </c>
      <c r="G335" s="239">
        <v>50</v>
      </c>
      <c r="H335" s="239" t="s">
        <v>928</v>
      </c>
      <c r="I335" s="239" t="s">
        <v>928</v>
      </c>
      <c r="J335" s="239" t="s">
        <v>928</v>
      </c>
      <c r="K335" s="239" t="s">
        <v>2398</v>
      </c>
      <c r="L335" s="239">
        <v>426.44</v>
      </c>
      <c r="M335" s="239">
        <v>0</v>
      </c>
      <c r="N335" s="239">
        <v>0</v>
      </c>
      <c r="O335" s="239">
        <v>0</v>
      </c>
      <c r="P335" s="239">
        <v>0</v>
      </c>
      <c r="Q335" s="239">
        <v>0</v>
      </c>
      <c r="R335" s="239">
        <v>0</v>
      </c>
      <c r="S335" s="239">
        <v>0</v>
      </c>
      <c r="T335" s="239">
        <v>0</v>
      </c>
      <c r="U335" s="239">
        <v>0</v>
      </c>
      <c r="V335" s="239">
        <v>0</v>
      </c>
      <c r="W335" s="239">
        <v>0</v>
      </c>
      <c r="X335" s="239">
        <v>0</v>
      </c>
      <c r="Y335" s="239">
        <v>348.37</v>
      </c>
      <c r="Z335" s="239">
        <v>0</v>
      </c>
      <c r="AA335" s="239">
        <v>0</v>
      </c>
      <c r="AB335" s="239">
        <v>78.069999999999993</v>
      </c>
      <c r="AC335" s="239">
        <v>0</v>
      </c>
      <c r="AD335" s="239">
        <v>0</v>
      </c>
      <c r="AE335" s="239" t="s">
        <v>720</v>
      </c>
      <c r="AF335" s="239" t="s">
        <v>721</v>
      </c>
      <c r="AG335" s="239">
        <f t="shared" si="26"/>
        <v>0</v>
      </c>
      <c r="AH335" s="239">
        <f t="shared" si="27"/>
        <v>0</v>
      </c>
      <c r="AI335" s="239">
        <f t="shared" si="28"/>
        <v>0</v>
      </c>
      <c r="AJ335" s="239">
        <f t="shared" si="29"/>
        <v>0</v>
      </c>
    </row>
    <row r="336" spans="1:36" x14ac:dyDescent="0.2">
      <c r="A336" s="240" t="str">
        <f t="shared" si="25"/>
        <v>2SNCF100P9501C30</v>
      </c>
      <c r="B336" s="239" t="s">
        <v>19</v>
      </c>
      <c r="C336" s="239" t="s">
        <v>20</v>
      </c>
      <c r="D336" s="239" t="s">
        <v>2537</v>
      </c>
      <c r="E336" s="239" t="s">
        <v>2538</v>
      </c>
      <c r="F336" s="239" t="s">
        <v>2540</v>
      </c>
      <c r="G336" s="239">
        <v>30</v>
      </c>
      <c r="H336" s="239" t="s">
        <v>928</v>
      </c>
      <c r="I336" s="239" t="s">
        <v>2484</v>
      </c>
      <c r="J336" s="239" t="s">
        <v>928</v>
      </c>
      <c r="K336" s="239" t="s">
        <v>2398</v>
      </c>
      <c r="L336" s="239">
        <v>783.69</v>
      </c>
      <c r="M336" s="239">
        <v>0</v>
      </c>
      <c r="N336" s="239">
        <v>0</v>
      </c>
      <c r="O336" s="239">
        <v>0</v>
      </c>
      <c r="P336" s="239">
        <v>0</v>
      </c>
      <c r="Q336" s="239">
        <v>0</v>
      </c>
      <c r="R336" s="239">
        <v>0</v>
      </c>
      <c r="S336" s="239">
        <v>0</v>
      </c>
      <c r="T336" s="239">
        <v>0</v>
      </c>
      <c r="U336" s="239">
        <v>0</v>
      </c>
      <c r="V336" s="239">
        <v>0</v>
      </c>
      <c r="W336" s="239">
        <v>0</v>
      </c>
      <c r="X336" s="239">
        <v>0</v>
      </c>
      <c r="Y336" s="239">
        <v>561.38</v>
      </c>
      <c r="Z336" s="239">
        <v>0</v>
      </c>
      <c r="AA336" s="239">
        <v>0</v>
      </c>
      <c r="AB336" s="239">
        <v>222.31</v>
      </c>
      <c r="AC336" s="239">
        <v>0</v>
      </c>
      <c r="AD336" s="239">
        <v>0</v>
      </c>
      <c r="AE336" s="239" t="s">
        <v>720</v>
      </c>
      <c r="AF336" s="239" t="s">
        <v>721</v>
      </c>
      <c r="AG336" s="239">
        <f t="shared" si="26"/>
        <v>0</v>
      </c>
      <c r="AH336" s="239">
        <f t="shared" si="27"/>
        <v>0</v>
      </c>
      <c r="AI336" s="239">
        <f t="shared" si="28"/>
        <v>0</v>
      </c>
      <c r="AJ336" s="239">
        <f t="shared" si="29"/>
        <v>0</v>
      </c>
    </row>
    <row r="337" spans="1:36" x14ac:dyDescent="0.2">
      <c r="A337" s="240" t="str">
        <f t="shared" si="25"/>
        <v>SNCF100P9501C30</v>
      </c>
      <c r="B337" s="239" t="s">
        <v>19</v>
      </c>
      <c r="C337" s="239" t="s">
        <v>20</v>
      </c>
      <c r="D337" s="239" t="s">
        <v>2537</v>
      </c>
      <c r="E337" s="239" t="s">
        <v>2538</v>
      </c>
      <c r="F337" s="239" t="s">
        <v>2540</v>
      </c>
      <c r="G337" s="239">
        <v>30</v>
      </c>
      <c r="H337" s="239" t="s">
        <v>928</v>
      </c>
      <c r="I337" s="239" t="s">
        <v>928</v>
      </c>
      <c r="J337" s="239" t="s">
        <v>928</v>
      </c>
      <c r="K337" s="239" t="s">
        <v>2398</v>
      </c>
      <c r="L337" s="239">
        <v>783.69</v>
      </c>
      <c r="M337" s="239">
        <v>0</v>
      </c>
      <c r="N337" s="239">
        <v>0</v>
      </c>
      <c r="O337" s="239">
        <v>0</v>
      </c>
      <c r="P337" s="239">
        <v>0</v>
      </c>
      <c r="Q337" s="239">
        <v>0</v>
      </c>
      <c r="R337" s="239">
        <v>0</v>
      </c>
      <c r="S337" s="239">
        <v>0</v>
      </c>
      <c r="T337" s="239">
        <v>0</v>
      </c>
      <c r="U337" s="239">
        <v>0</v>
      </c>
      <c r="V337" s="239">
        <v>0</v>
      </c>
      <c r="W337" s="239">
        <v>0</v>
      </c>
      <c r="X337" s="239">
        <v>0</v>
      </c>
      <c r="Y337" s="239">
        <v>561.38</v>
      </c>
      <c r="Z337" s="239">
        <v>0</v>
      </c>
      <c r="AA337" s="239">
        <v>0</v>
      </c>
      <c r="AB337" s="239">
        <v>222.31</v>
      </c>
      <c r="AC337" s="239">
        <v>0</v>
      </c>
      <c r="AD337" s="239">
        <v>0</v>
      </c>
      <c r="AE337" s="239" t="s">
        <v>720</v>
      </c>
      <c r="AF337" s="239" t="s">
        <v>721</v>
      </c>
      <c r="AG337" s="239">
        <f t="shared" si="26"/>
        <v>0</v>
      </c>
      <c r="AH337" s="239">
        <f t="shared" si="27"/>
        <v>0</v>
      </c>
      <c r="AI337" s="239">
        <f t="shared" si="28"/>
        <v>0</v>
      </c>
      <c r="AJ337" s="239">
        <f t="shared" si="29"/>
        <v>0</v>
      </c>
    </row>
    <row r="338" spans="1:36" x14ac:dyDescent="0.2">
      <c r="A338" s="240" t="str">
        <f t="shared" si="25"/>
        <v>2SNCF100P9501C40</v>
      </c>
      <c r="B338" s="239" t="s">
        <v>19</v>
      </c>
      <c r="C338" s="239" t="s">
        <v>20</v>
      </c>
      <c r="D338" s="239" t="s">
        <v>2537</v>
      </c>
      <c r="E338" s="239" t="s">
        <v>2538</v>
      </c>
      <c r="F338" s="239" t="s">
        <v>2540</v>
      </c>
      <c r="G338" s="239">
        <v>40</v>
      </c>
      <c r="H338" s="239" t="s">
        <v>928</v>
      </c>
      <c r="I338" s="239" t="s">
        <v>2484</v>
      </c>
      <c r="J338" s="239" t="s">
        <v>928</v>
      </c>
      <c r="K338" s="239" t="s">
        <v>2398</v>
      </c>
      <c r="L338" s="239">
        <v>599.37</v>
      </c>
      <c r="M338" s="239">
        <v>0</v>
      </c>
      <c r="N338" s="239">
        <v>0</v>
      </c>
      <c r="O338" s="239">
        <v>0</v>
      </c>
      <c r="P338" s="239">
        <v>0</v>
      </c>
      <c r="Q338" s="239">
        <v>0</v>
      </c>
      <c r="R338" s="239">
        <v>0</v>
      </c>
      <c r="S338" s="239">
        <v>0</v>
      </c>
      <c r="T338" s="239">
        <v>0</v>
      </c>
      <c r="U338" s="239">
        <v>0</v>
      </c>
      <c r="V338" s="239">
        <v>0</v>
      </c>
      <c r="W338" s="239">
        <v>0</v>
      </c>
      <c r="X338" s="239">
        <v>0</v>
      </c>
      <c r="Y338" s="239">
        <v>452.85</v>
      </c>
      <c r="Z338" s="239">
        <v>0</v>
      </c>
      <c r="AA338" s="239">
        <v>0</v>
      </c>
      <c r="AB338" s="239">
        <v>146.51</v>
      </c>
      <c r="AC338" s="239">
        <v>0</v>
      </c>
      <c r="AD338" s="239">
        <v>0</v>
      </c>
      <c r="AE338" s="239" t="s">
        <v>720</v>
      </c>
      <c r="AF338" s="239" t="s">
        <v>721</v>
      </c>
      <c r="AG338" s="239">
        <f t="shared" si="26"/>
        <v>0</v>
      </c>
      <c r="AH338" s="239">
        <f t="shared" si="27"/>
        <v>0</v>
      </c>
      <c r="AI338" s="239">
        <f t="shared" si="28"/>
        <v>0</v>
      </c>
      <c r="AJ338" s="239">
        <f t="shared" si="29"/>
        <v>0</v>
      </c>
    </row>
    <row r="339" spans="1:36" x14ac:dyDescent="0.2">
      <c r="A339" s="240" t="str">
        <f t="shared" si="25"/>
        <v>SNCF100P9501C40</v>
      </c>
      <c r="B339" s="239" t="s">
        <v>19</v>
      </c>
      <c r="C339" s="239" t="s">
        <v>20</v>
      </c>
      <c r="D339" s="239" t="s">
        <v>2537</v>
      </c>
      <c r="E339" s="239" t="s">
        <v>2538</v>
      </c>
      <c r="F339" s="239" t="s">
        <v>2540</v>
      </c>
      <c r="G339" s="239">
        <v>40</v>
      </c>
      <c r="H339" s="239" t="s">
        <v>928</v>
      </c>
      <c r="I339" s="239" t="s">
        <v>928</v>
      </c>
      <c r="J339" s="239" t="s">
        <v>928</v>
      </c>
      <c r="K339" s="239" t="s">
        <v>2398</v>
      </c>
      <c r="L339" s="239">
        <v>599.37</v>
      </c>
      <c r="M339" s="239">
        <v>0</v>
      </c>
      <c r="N339" s="239">
        <v>0</v>
      </c>
      <c r="O339" s="239">
        <v>0</v>
      </c>
      <c r="P339" s="239">
        <v>0</v>
      </c>
      <c r="Q339" s="239">
        <v>0</v>
      </c>
      <c r="R339" s="239">
        <v>0</v>
      </c>
      <c r="S339" s="239">
        <v>0</v>
      </c>
      <c r="T339" s="239">
        <v>0</v>
      </c>
      <c r="U339" s="239">
        <v>0</v>
      </c>
      <c r="V339" s="239">
        <v>0</v>
      </c>
      <c r="W339" s="239">
        <v>0</v>
      </c>
      <c r="X339" s="239">
        <v>0</v>
      </c>
      <c r="Y339" s="239">
        <v>452.85</v>
      </c>
      <c r="Z339" s="239">
        <v>0</v>
      </c>
      <c r="AA339" s="239">
        <v>0</v>
      </c>
      <c r="AB339" s="239">
        <v>146.51</v>
      </c>
      <c r="AC339" s="239">
        <v>0</v>
      </c>
      <c r="AD339" s="239">
        <v>0</v>
      </c>
      <c r="AE339" s="239" t="s">
        <v>720</v>
      </c>
      <c r="AF339" s="239" t="s">
        <v>721</v>
      </c>
      <c r="AG339" s="239">
        <f t="shared" si="26"/>
        <v>0</v>
      </c>
      <c r="AH339" s="239">
        <f t="shared" si="27"/>
        <v>0</v>
      </c>
      <c r="AI339" s="239">
        <f t="shared" si="28"/>
        <v>0</v>
      </c>
      <c r="AJ339" s="239">
        <f t="shared" si="29"/>
        <v>0</v>
      </c>
    </row>
    <row r="340" spans="1:36" x14ac:dyDescent="0.2">
      <c r="A340" s="240" t="str">
        <f t="shared" si="25"/>
        <v>2SNCF100P9501C50</v>
      </c>
      <c r="B340" s="239" t="s">
        <v>19</v>
      </c>
      <c r="C340" s="239" t="s">
        <v>20</v>
      </c>
      <c r="D340" s="239" t="s">
        <v>2537</v>
      </c>
      <c r="E340" s="239" t="s">
        <v>2538</v>
      </c>
      <c r="F340" s="239" t="s">
        <v>2540</v>
      </c>
      <c r="G340" s="239">
        <v>50</v>
      </c>
      <c r="H340" s="239" t="s">
        <v>928</v>
      </c>
      <c r="I340" s="239" t="s">
        <v>2484</v>
      </c>
      <c r="J340" s="239" t="s">
        <v>928</v>
      </c>
      <c r="K340" s="239" t="s">
        <v>2398</v>
      </c>
      <c r="L340" s="239">
        <v>585.53</v>
      </c>
      <c r="M340" s="239">
        <v>0</v>
      </c>
      <c r="N340" s="239">
        <v>0</v>
      </c>
      <c r="O340" s="239">
        <v>0</v>
      </c>
      <c r="P340" s="239">
        <v>0</v>
      </c>
      <c r="Q340" s="239">
        <v>0</v>
      </c>
      <c r="R340" s="239">
        <v>0</v>
      </c>
      <c r="S340" s="239">
        <v>0</v>
      </c>
      <c r="T340" s="239">
        <v>0</v>
      </c>
      <c r="U340" s="239">
        <v>0</v>
      </c>
      <c r="V340" s="239">
        <v>0</v>
      </c>
      <c r="W340" s="239">
        <v>0</v>
      </c>
      <c r="X340" s="239">
        <v>0</v>
      </c>
      <c r="Y340" s="239">
        <v>422.28</v>
      </c>
      <c r="Z340" s="239">
        <v>0</v>
      </c>
      <c r="AA340" s="239">
        <v>0</v>
      </c>
      <c r="AB340" s="239">
        <v>163.26</v>
      </c>
      <c r="AC340" s="239">
        <v>0</v>
      </c>
      <c r="AD340" s="239">
        <v>0</v>
      </c>
      <c r="AE340" s="239" t="s">
        <v>720</v>
      </c>
      <c r="AF340" s="239" t="s">
        <v>721</v>
      </c>
      <c r="AG340" s="239">
        <f t="shared" si="26"/>
        <v>0</v>
      </c>
      <c r="AH340" s="239">
        <f t="shared" si="27"/>
        <v>0</v>
      </c>
      <c r="AI340" s="239">
        <f t="shared" si="28"/>
        <v>0</v>
      </c>
      <c r="AJ340" s="239">
        <f t="shared" si="29"/>
        <v>0</v>
      </c>
    </row>
    <row r="341" spans="1:36" x14ac:dyDescent="0.2">
      <c r="A341" s="240" t="str">
        <f t="shared" si="25"/>
        <v>SNCF100P9501C50</v>
      </c>
      <c r="B341" s="239" t="s">
        <v>19</v>
      </c>
      <c r="C341" s="239" t="s">
        <v>20</v>
      </c>
      <c r="D341" s="239" t="s">
        <v>2537</v>
      </c>
      <c r="E341" s="239" t="s">
        <v>2538</v>
      </c>
      <c r="F341" s="239" t="s">
        <v>2540</v>
      </c>
      <c r="G341" s="239">
        <v>50</v>
      </c>
      <c r="H341" s="239" t="s">
        <v>928</v>
      </c>
      <c r="I341" s="239" t="s">
        <v>928</v>
      </c>
      <c r="J341" s="239" t="s">
        <v>928</v>
      </c>
      <c r="K341" s="239" t="s">
        <v>2398</v>
      </c>
      <c r="L341" s="239">
        <v>585.53</v>
      </c>
      <c r="M341" s="239">
        <v>0</v>
      </c>
      <c r="N341" s="239">
        <v>0</v>
      </c>
      <c r="O341" s="239">
        <v>0</v>
      </c>
      <c r="P341" s="239">
        <v>0</v>
      </c>
      <c r="Q341" s="239">
        <v>0</v>
      </c>
      <c r="R341" s="239">
        <v>0</v>
      </c>
      <c r="S341" s="239">
        <v>0</v>
      </c>
      <c r="T341" s="239">
        <v>0</v>
      </c>
      <c r="U341" s="239">
        <v>0</v>
      </c>
      <c r="V341" s="239">
        <v>0</v>
      </c>
      <c r="W341" s="239">
        <v>0</v>
      </c>
      <c r="X341" s="239">
        <v>0</v>
      </c>
      <c r="Y341" s="239">
        <v>422.28</v>
      </c>
      <c r="Z341" s="239">
        <v>0</v>
      </c>
      <c r="AA341" s="239">
        <v>0</v>
      </c>
      <c r="AB341" s="239">
        <v>163.26</v>
      </c>
      <c r="AC341" s="239">
        <v>0</v>
      </c>
      <c r="AD341" s="239">
        <v>0</v>
      </c>
      <c r="AE341" s="239" t="s">
        <v>720</v>
      </c>
      <c r="AF341" s="239" t="s">
        <v>721</v>
      </c>
      <c r="AG341" s="239">
        <f t="shared" si="26"/>
        <v>0</v>
      </c>
      <c r="AH341" s="239">
        <f t="shared" si="27"/>
        <v>0</v>
      </c>
      <c r="AI341" s="239">
        <f t="shared" si="28"/>
        <v>0</v>
      </c>
      <c r="AJ341" s="239">
        <f t="shared" si="29"/>
        <v>0</v>
      </c>
    </row>
    <row r="342" spans="1:36" x14ac:dyDescent="0.2">
      <c r="A342" s="240" t="str">
        <f t="shared" si="25"/>
        <v>2SNCF100P9501E30</v>
      </c>
      <c r="B342" s="239" t="s">
        <v>19</v>
      </c>
      <c r="C342" s="239" t="s">
        <v>20</v>
      </c>
      <c r="D342" s="239" t="s">
        <v>2537</v>
      </c>
      <c r="E342" s="239" t="s">
        <v>2538</v>
      </c>
      <c r="F342" s="239" t="s">
        <v>2541</v>
      </c>
      <c r="G342" s="239">
        <v>30</v>
      </c>
      <c r="H342" s="239" t="s">
        <v>928</v>
      </c>
      <c r="I342" s="239" t="s">
        <v>2484</v>
      </c>
      <c r="J342" s="239" t="s">
        <v>928</v>
      </c>
      <c r="K342" s="239" t="s">
        <v>2398</v>
      </c>
      <c r="L342" s="239">
        <v>418.13</v>
      </c>
      <c r="M342" s="239">
        <v>0</v>
      </c>
      <c r="N342" s="239">
        <v>0</v>
      </c>
      <c r="O342" s="239">
        <v>0</v>
      </c>
      <c r="P342" s="239">
        <v>0</v>
      </c>
      <c r="Q342" s="239">
        <v>0</v>
      </c>
      <c r="R342" s="239">
        <v>0</v>
      </c>
      <c r="S342" s="239">
        <v>0</v>
      </c>
      <c r="T342" s="239">
        <v>0</v>
      </c>
      <c r="U342" s="239">
        <v>0</v>
      </c>
      <c r="V342" s="239">
        <v>0</v>
      </c>
      <c r="W342" s="239">
        <v>0</v>
      </c>
      <c r="X342" s="239">
        <v>0</v>
      </c>
      <c r="Y342" s="239">
        <v>313.81</v>
      </c>
      <c r="Z342" s="239">
        <v>0</v>
      </c>
      <c r="AA342" s="239">
        <v>0</v>
      </c>
      <c r="AB342" s="239">
        <v>104.32</v>
      </c>
      <c r="AC342" s="239">
        <v>0</v>
      </c>
      <c r="AD342" s="239">
        <v>0</v>
      </c>
      <c r="AE342" s="239" t="s">
        <v>720</v>
      </c>
      <c r="AF342" s="239" t="s">
        <v>721</v>
      </c>
      <c r="AG342" s="239">
        <f t="shared" si="26"/>
        <v>0</v>
      </c>
      <c r="AH342" s="239">
        <f t="shared" si="27"/>
        <v>0</v>
      </c>
      <c r="AI342" s="239">
        <f t="shared" si="28"/>
        <v>0</v>
      </c>
      <c r="AJ342" s="239">
        <f t="shared" si="29"/>
        <v>0</v>
      </c>
    </row>
    <row r="343" spans="1:36" x14ac:dyDescent="0.2">
      <c r="A343" s="240" t="str">
        <f t="shared" si="25"/>
        <v>SNCF100P9501E30</v>
      </c>
      <c r="B343" s="239" t="s">
        <v>19</v>
      </c>
      <c r="C343" s="239" t="s">
        <v>20</v>
      </c>
      <c r="D343" s="239" t="s">
        <v>2537</v>
      </c>
      <c r="E343" s="239" t="s">
        <v>2538</v>
      </c>
      <c r="F343" s="239" t="s">
        <v>2541</v>
      </c>
      <c r="G343" s="239">
        <v>30</v>
      </c>
      <c r="H343" s="239" t="s">
        <v>928</v>
      </c>
      <c r="I343" s="239" t="s">
        <v>928</v>
      </c>
      <c r="J343" s="239" t="s">
        <v>928</v>
      </c>
      <c r="K343" s="239" t="s">
        <v>2398</v>
      </c>
      <c r="L343" s="239">
        <v>418.13</v>
      </c>
      <c r="M343" s="239">
        <v>0</v>
      </c>
      <c r="N343" s="239">
        <v>0</v>
      </c>
      <c r="O343" s="239">
        <v>0</v>
      </c>
      <c r="P343" s="239">
        <v>0</v>
      </c>
      <c r="Q343" s="239">
        <v>0</v>
      </c>
      <c r="R343" s="239">
        <v>0</v>
      </c>
      <c r="S343" s="239">
        <v>0</v>
      </c>
      <c r="T343" s="239">
        <v>0</v>
      </c>
      <c r="U343" s="239">
        <v>0</v>
      </c>
      <c r="V343" s="239">
        <v>0</v>
      </c>
      <c r="W343" s="239">
        <v>0</v>
      </c>
      <c r="X343" s="239">
        <v>0</v>
      </c>
      <c r="Y343" s="239">
        <v>313.81</v>
      </c>
      <c r="Z343" s="239">
        <v>0</v>
      </c>
      <c r="AA343" s="239">
        <v>0</v>
      </c>
      <c r="AB343" s="239">
        <v>104.32</v>
      </c>
      <c r="AC343" s="239">
        <v>0</v>
      </c>
      <c r="AD343" s="239">
        <v>0</v>
      </c>
      <c r="AE343" s="239" t="s">
        <v>720</v>
      </c>
      <c r="AF343" s="239" t="s">
        <v>721</v>
      </c>
      <c r="AG343" s="239">
        <f t="shared" si="26"/>
        <v>0</v>
      </c>
      <c r="AH343" s="239">
        <f t="shared" si="27"/>
        <v>0</v>
      </c>
      <c r="AI343" s="239">
        <f t="shared" si="28"/>
        <v>0</v>
      </c>
      <c r="AJ343" s="239">
        <f t="shared" si="29"/>
        <v>0</v>
      </c>
    </row>
    <row r="344" spans="1:36" x14ac:dyDescent="0.2">
      <c r="A344" s="240" t="str">
        <f t="shared" si="25"/>
        <v>2SNCF100P9501E40</v>
      </c>
      <c r="B344" s="239" t="s">
        <v>19</v>
      </c>
      <c r="C344" s="239" t="s">
        <v>20</v>
      </c>
      <c r="D344" s="239" t="s">
        <v>2537</v>
      </c>
      <c r="E344" s="239" t="s">
        <v>2538</v>
      </c>
      <c r="F344" s="239" t="s">
        <v>2541</v>
      </c>
      <c r="G344" s="239">
        <v>40</v>
      </c>
      <c r="H344" s="239" t="s">
        <v>928</v>
      </c>
      <c r="I344" s="239" t="s">
        <v>2484</v>
      </c>
      <c r="J344" s="239" t="s">
        <v>928</v>
      </c>
      <c r="K344" s="239" t="s">
        <v>2398</v>
      </c>
      <c r="L344" s="239">
        <v>433.25</v>
      </c>
      <c r="M344" s="239">
        <v>0</v>
      </c>
      <c r="N344" s="239">
        <v>0</v>
      </c>
      <c r="O344" s="239">
        <v>0</v>
      </c>
      <c r="P344" s="239">
        <v>0</v>
      </c>
      <c r="Q344" s="239">
        <v>0</v>
      </c>
      <c r="R344" s="239">
        <v>0</v>
      </c>
      <c r="S344" s="239">
        <v>0</v>
      </c>
      <c r="T344" s="239">
        <v>0</v>
      </c>
      <c r="U344" s="239">
        <v>0</v>
      </c>
      <c r="V344" s="239">
        <v>0</v>
      </c>
      <c r="W344" s="239">
        <v>0</v>
      </c>
      <c r="X344" s="239">
        <v>0</v>
      </c>
      <c r="Y344" s="239">
        <v>337.71</v>
      </c>
      <c r="Z344" s="239">
        <v>0</v>
      </c>
      <c r="AA344" s="239">
        <v>0</v>
      </c>
      <c r="AB344" s="239">
        <v>95.54</v>
      </c>
      <c r="AC344" s="239">
        <v>0</v>
      </c>
      <c r="AD344" s="239">
        <v>0</v>
      </c>
      <c r="AE344" s="239" t="s">
        <v>720</v>
      </c>
      <c r="AF344" s="239" t="s">
        <v>721</v>
      </c>
      <c r="AG344" s="239">
        <f t="shared" si="26"/>
        <v>0</v>
      </c>
      <c r="AH344" s="239">
        <f t="shared" si="27"/>
        <v>0</v>
      </c>
      <c r="AI344" s="239">
        <f t="shared" si="28"/>
        <v>0</v>
      </c>
      <c r="AJ344" s="239">
        <f t="shared" si="29"/>
        <v>0</v>
      </c>
    </row>
    <row r="345" spans="1:36" x14ac:dyDescent="0.2">
      <c r="A345" s="240" t="str">
        <f t="shared" si="25"/>
        <v>SNCF100P9501E40</v>
      </c>
      <c r="B345" s="239" t="s">
        <v>19</v>
      </c>
      <c r="C345" s="239" t="s">
        <v>20</v>
      </c>
      <c r="D345" s="239" t="s">
        <v>2537</v>
      </c>
      <c r="E345" s="239" t="s">
        <v>2538</v>
      </c>
      <c r="F345" s="239" t="s">
        <v>2541</v>
      </c>
      <c r="G345" s="239">
        <v>40</v>
      </c>
      <c r="H345" s="239" t="s">
        <v>928</v>
      </c>
      <c r="I345" s="239" t="s">
        <v>928</v>
      </c>
      <c r="J345" s="239" t="s">
        <v>928</v>
      </c>
      <c r="K345" s="239" t="s">
        <v>2398</v>
      </c>
      <c r="L345" s="239">
        <v>433.25</v>
      </c>
      <c r="M345" s="239">
        <v>0</v>
      </c>
      <c r="N345" s="239">
        <v>0</v>
      </c>
      <c r="O345" s="239">
        <v>0</v>
      </c>
      <c r="P345" s="239">
        <v>0</v>
      </c>
      <c r="Q345" s="239">
        <v>0</v>
      </c>
      <c r="R345" s="239">
        <v>0</v>
      </c>
      <c r="S345" s="239">
        <v>0</v>
      </c>
      <c r="T345" s="239">
        <v>0</v>
      </c>
      <c r="U345" s="239">
        <v>0</v>
      </c>
      <c r="V345" s="239">
        <v>0</v>
      </c>
      <c r="W345" s="239">
        <v>0</v>
      </c>
      <c r="X345" s="239">
        <v>0</v>
      </c>
      <c r="Y345" s="239">
        <v>337.71</v>
      </c>
      <c r="Z345" s="239">
        <v>0</v>
      </c>
      <c r="AA345" s="239">
        <v>0</v>
      </c>
      <c r="AB345" s="239">
        <v>95.54</v>
      </c>
      <c r="AC345" s="239">
        <v>0</v>
      </c>
      <c r="AD345" s="239">
        <v>0</v>
      </c>
      <c r="AE345" s="239" t="s">
        <v>720</v>
      </c>
      <c r="AF345" s="239" t="s">
        <v>721</v>
      </c>
      <c r="AG345" s="239">
        <f t="shared" si="26"/>
        <v>0</v>
      </c>
      <c r="AH345" s="239">
        <f t="shared" si="27"/>
        <v>0</v>
      </c>
      <c r="AI345" s="239">
        <f t="shared" si="28"/>
        <v>0</v>
      </c>
      <c r="AJ345" s="239">
        <f t="shared" si="29"/>
        <v>0</v>
      </c>
    </row>
    <row r="346" spans="1:36" x14ac:dyDescent="0.2">
      <c r="A346" s="240" t="str">
        <f t="shared" si="25"/>
        <v>2SNCF100P9501E50</v>
      </c>
      <c r="B346" s="239" t="s">
        <v>19</v>
      </c>
      <c r="C346" s="239" t="s">
        <v>20</v>
      </c>
      <c r="D346" s="239" t="s">
        <v>2537</v>
      </c>
      <c r="E346" s="239" t="s">
        <v>2538</v>
      </c>
      <c r="F346" s="239" t="s">
        <v>2541</v>
      </c>
      <c r="G346" s="239">
        <v>50</v>
      </c>
      <c r="H346" s="239" t="s">
        <v>928</v>
      </c>
      <c r="I346" s="239" t="s">
        <v>2484</v>
      </c>
      <c r="J346" s="239" t="s">
        <v>928</v>
      </c>
      <c r="K346" s="239" t="s">
        <v>2398</v>
      </c>
      <c r="L346" s="239">
        <v>385.35</v>
      </c>
      <c r="M346" s="239">
        <v>0</v>
      </c>
      <c r="N346" s="239">
        <v>0</v>
      </c>
      <c r="O346" s="239">
        <v>0</v>
      </c>
      <c r="P346" s="239">
        <v>0</v>
      </c>
      <c r="Q346" s="239">
        <v>0</v>
      </c>
      <c r="R346" s="239">
        <v>0</v>
      </c>
      <c r="S346" s="239">
        <v>0</v>
      </c>
      <c r="T346" s="239">
        <v>0</v>
      </c>
      <c r="U346" s="239">
        <v>0</v>
      </c>
      <c r="V346" s="239">
        <v>0</v>
      </c>
      <c r="W346" s="239">
        <v>0</v>
      </c>
      <c r="X346" s="239">
        <v>0</v>
      </c>
      <c r="Y346" s="239">
        <v>304.29000000000002</v>
      </c>
      <c r="Z346" s="239">
        <v>0</v>
      </c>
      <c r="AA346" s="239">
        <v>0</v>
      </c>
      <c r="AB346" s="239">
        <v>81.06</v>
      </c>
      <c r="AC346" s="239">
        <v>0</v>
      </c>
      <c r="AD346" s="239">
        <v>0</v>
      </c>
      <c r="AE346" s="239" t="s">
        <v>720</v>
      </c>
      <c r="AF346" s="239" t="s">
        <v>721</v>
      </c>
      <c r="AG346" s="239">
        <f t="shared" si="26"/>
        <v>0</v>
      </c>
      <c r="AH346" s="239">
        <f t="shared" si="27"/>
        <v>0</v>
      </c>
      <c r="AI346" s="239">
        <f t="shared" si="28"/>
        <v>0</v>
      </c>
      <c r="AJ346" s="239">
        <f t="shared" si="29"/>
        <v>0</v>
      </c>
    </row>
    <row r="347" spans="1:36" x14ac:dyDescent="0.2">
      <c r="A347" s="240" t="str">
        <f t="shared" si="25"/>
        <v>SNCF100P9501E50</v>
      </c>
      <c r="B347" s="239" t="s">
        <v>19</v>
      </c>
      <c r="C347" s="239" t="s">
        <v>20</v>
      </c>
      <c r="D347" s="239" t="s">
        <v>2537</v>
      </c>
      <c r="E347" s="239" t="s">
        <v>2538</v>
      </c>
      <c r="F347" s="239" t="s">
        <v>2541</v>
      </c>
      <c r="G347" s="239">
        <v>50</v>
      </c>
      <c r="H347" s="239" t="s">
        <v>928</v>
      </c>
      <c r="I347" s="239" t="s">
        <v>928</v>
      </c>
      <c r="J347" s="239" t="s">
        <v>928</v>
      </c>
      <c r="K347" s="239" t="s">
        <v>2398</v>
      </c>
      <c r="L347" s="239">
        <v>385.35</v>
      </c>
      <c r="M347" s="239">
        <v>0</v>
      </c>
      <c r="N347" s="239">
        <v>0</v>
      </c>
      <c r="O347" s="239">
        <v>0</v>
      </c>
      <c r="P347" s="239">
        <v>0</v>
      </c>
      <c r="Q347" s="239">
        <v>0</v>
      </c>
      <c r="R347" s="239">
        <v>0</v>
      </c>
      <c r="S347" s="239">
        <v>0</v>
      </c>
      <c r="T347" s="239">
        <v>0</v>
      </c>
      <c r="U347" s="239">
        <v>0</v>
      </c>
      <c r="V347" s="239">
        <v>0</v>
      </c>
      <c r="W347" s="239">
        <v>0</v>
      </c>
      <c r="X347" s="239">
        <v>0</v>
      </c>
      <c r="Y347" s="239">
        <v>304.29000000000002</v>
      </c>
      <c r="Z347" s="239">
        <v>0</v>
      </c>
      <c r="AA347" s="239">
        <v>0</v>
      </c>
      <c r="AB347" s="239">
        <v>81.06</v>
      </c>
      <c r="AC347" s="239">
        <v>0</v>
      </c>
      <c r="AD347" s="239">
        <v>0</v>
      </c>
      <c r="AE347" s="239" t="s">
        <v>720</v>
      </c>
      <c r="AF347" s="239" t="s">
        <v>721</v>
      </c>
      <c r="AG347" s="239">
        <f t="shared" si="26"/>
        <v>0</v>
      </c>
      <c r="AH347" s="239">
        <f t="shared" si="27"/>
        <v>0</v>
      </c>
      <c r="AI347" s="239">
        <f t="shared" si="28"/>
        <v>0</v>
      </c>
      <c r="AJ347" s="239">
        <f t="shared" si="29"/>
        <v>0</v>
      </c>
    </row>
    <row r="348" spans="1:36" x14ac:dyDescent="0.2">
      <c r="A348" s="240" t="str">
        <f t="shared" si="25"/>
        <v>2SNCF100P9501F30</v>
      </c>
      <c r="B348" s="239" t="s">
        <v>19</v>
      </c>
      <c r="C348" s="239" t="s">
        <v>20</v>
      </c>
      <c r="D348" s="239" t="s">
        <v>2537</v>
      </c>
      <c r="E348" s="239" t="s">
        <v>2538</v>
      </c>
      <c r="F348" s="239" t="s">
        <v>2542</v>
      </c>
      <c r="G348" s="239">
        <v>30</v>
      </c>
      <c r="H348" s="239" t="s">
        <v>928</v>
      </c>
      <c r="I348" s="239" t="s">
        <v>2484</v>
      </c>
      <c r="J348" s="239" t="s">
        <v>928</v>
      </c>
      <c r="K348" s="239" t="s">
        <v>2398</v>
      </c>
      <c r="L348" s="239">
        <v>541.82000000000005</v>
      </c>
      <c r="M348" s="239">
        <v>0</v>
      </c>
      <c r="N348" s="239">
        <v>0</v>
      </c>
      <c r="O348" s="239">
        <v>0</v>
      </c>
      <c r="P348" s="239">
        <v>0</v>
      </c>
      <c r="Q348" s="239">
        <v>0</v>
      </c>
      <c r="R348" s="239">
        <v>0</v>
      </c>
      <c r="S348" s="239">
        <v>0</v>
      </c>
      <c r="T348" s="239">
        <v>0</v>
      </c>
      <c r="U348" s="239">
        <v>0</v>
      </c>
      <c r="V348" s="239">
        <v>0</v>
      </c>
      <c r="W348" s="239">
        <v>0</v>
      </c>
      <c r="X348" s="239">
        <v>0</v>
      </c>
      <c r="Y348" s="239">
        <v>340.66</v>
      </c>
      <c r="Z348" s="239">
        <v>0</v>
      </c>
      <c r="AA348" s="239">
        <v>0</v>
      </c>
      <c r="AB348" s="239">
        <v>201.16</v>
      </c>
      <c r="AC348" s="239">
        <v>0</v>
      </c>
      <c r="AD348" s="239">
        <v>0</v>
      </c>
      <c r="AE348" s="239" t="s">
        <v>720</v>
      </c>
      <c r="AF348" s="239" t="s">
        <v>721</v>
      </c>
      <c r="AG348" s="239">
        <f t="shared" si="26"/>
        <v>0</v>
      </c>
      <c r="AH348" s="239">
        <f t="shared" si="27"/>
        <v>0</v>
      </c>
      <c r="AI348" s="239">
        <f t="shared" si="28"/>
        <v>0</v>
      </c>
      <c r="AJ348" s="239">
        <f t="shared" si="29"/>
        <v>0</v>
      </c>
    </row>
    <row r="349" spans="1:36" x14ac:dyDescent="0.2">
      <c r="A349" s="240" t="str">
        <f t="shared" si="25"/>
        <v>SNCF100P9501F30</v>
      </c>
      <c r="B349" s="239" t="s">
        <v>19</v>
      </c>
      <c r="C349" s="239" t="s">
        <v>20</v>
      </c>
      <c r="D349" s="239" t="s">
        <v>2537</v>
      </c>
      <c r="E349" s="239" t="s">
        <v>2538</v>
      </c>
      <c r="F349" s="239" t="s">
        <v>2542</v>
      </c>
      <c r="G349" s="239">
        <v>30</v>
      </c>
      <c r="H349" s="239" t="s">
        <v>928</v>
      </c>
      <c r="I349" s="239" t="s">
        <v>928</v>
      </c>
      <c r="J349" s="239" t="s">
        <v>928</v>
      </c>
      <c r="K349" s="239" t="s">
        <v>2398</v>
      </c>
      <c r="L349" s="239">
        <v>541.82000000000005</v>
      </c>
      <c r="M349" s="239">
        <v>0</v>
      </c>
      <c r="N349" s="239">
        <v>0</v>
      </c>
      <c r="O349" s="239">
        <v>0</v>
      </c>
      <c r="P349" s="239">
        <v>0</v>
      </c>
      <c r="Q349" s="239">
        <v>0</v>
      </c>
      <c r="R349" s="239">
        <v>0</v>
      </c>
      <c r="S349" s="239">
        <v>0</v>
      </c>
      <c r="T349" s="239">
        <v>0</v>
      </c>
      <c r="U349" s="239">
        <v>0</v>
      </c>
      <c r="V349" s="239">
        <v>0</v>
      </c>
      <c r="W349" s="239">
        <v>0</v>
      </c>
      <c r="X349" s="239">
        <v>0</v>
      </c>
      <c r="Y349" s="239">
        <v>340.66</v>
      </c>
      <c r="Z349" s="239">
        <v>0</v>
      </c>
      <c r="AA349" s="239">
        <v>0</v>
      </c>
      <c r="AB349" s="239">
        <v>201.16</v>
      </c>
      <c r="AC349" s="239">
        <v>0</v>
      </c>
      <c r="AD349" s="239">
        <v>0</v>
      </c>
      <c r="AE349" s="239" t="s">
        <v>720</v>
      </c>
      <c r="AF349" s="239" t="s">
        <v>721</v>
      </c>
      <c r="AG349" s="239">
        <f t="shared" si="26"/>
        <v>0</v>
      </c>
      <c r="AH349" s="239">
        <f t="shared" si="27"/>
        <v>0</v>
      </c>
      <c r="AI349" s="239">
        <f t="shared" si="28"/>
        <v>0</v>
      </c>
      <c r="AJ349" s="239">
        <f t="shared" si="29"/>
        <v>0</v>
      </c>
    </row>
    <row r="350" spans="1:36" x14ac:dyDescent="0.2">
      <c r="A350" s="240" t="str">
        <f t="shared" si="25"/>
        <v>2SNCF100P9501G50</v>
      </c>
      <c r="B350" s="239" t="s">
        <v>19</v>
      </c>
      <c r="C350" s="239" t="s">
        <v>20</v>
      </c>
      <c r="D350" s="239" t="s">
        <v>2537</v>
      </c>
      <c r="E350" s="239" t="s">
        <v>2538</v>
      </c>
      <c r="F350" s="239" t="s">
        <v>2543</v>
      </c>
      <c r="G350" s="239">
        <v>50</v>
      </c>
      <c r="H350" s="239" t="s">
        <v>928</v>
      </c>
      <c r="I350" s="239" t="s">
        <v>2484</v>
      </c>
      <c r="J350" s="239" t="s">
        <v>928</v>
      </c>
      <c r="K350" s="239" t="s">
        <v>2398</v>
      </c>
      <c r="L350" s="239">
        <v>474.28</v>
      </c>
      <c r="M350" s="239">
        <v>0</v>
      </c>
      <c r="N350" s="239">
        <v>0</v>
      </c>
      <c r="O350" s="239">
        <v>0</v>
      </c>
      <c r="P350" s="239">
        <v>0</v>
      </c>
      <c r="Q350" s="239">
        <v>0</v>
      </c>
      <c r="R350" s="239">
        <v>0</v>
      </c>
      <c r="S350" s="239">
        <v>0</v>
      </c>
      <c r="T350" s="239">
        <v>0</v>
      </c>
      <c r="U350" s="239">
        <v>0</v>
      </c>
      <c r="V350" s="239">
        <v>0</v>
      </c>
      <c r="W350" s="239">
        <v>0</v>
      </c>
      <c r="X350" s="239">
        <v>0</v>
      </c>
      <c r="Y350" s="239">
        <v>332.04</v>
      </c>
      <c r="Z350" s="239">
        <v>0</v>
      </c>
      <c r="AA350" s="239">
        <v>0</v>
      </c>
      <c r="AB350" s="239">
        <v>142.24</v>
      </c>
      <c r="AC350" s="239">
        <v>0</v>
      </c>
      <c r="AD350" s="239">
        <v>0</v>
      </c>
      <c r="AE350" s="239" t="s">
        <v>720</v>
      </c>
      <c r="AF350" s="239" t="s">
        <v>721</v>
      </c>
      <c r="AG350" s="239">
        <f t="shared" si="26"/>
        <v>0</v>
      </c>
      <c r="AH350" s="239">
        <f t="shared" si="27"/>
        <v>0</v>
      </c>
      <c r="AI350" s="239">
        <f t="shared" si="28"/>
        <v>0</v>
      </c>
      <c r="AJ350" s="239">
        <f t="shared" si="29"/>
        <v>0</v>
      </c>
    </row>
    <row r="351" spans="1:36" x14ac:dyDescent="0.2">
      <c r="A351" s="240" t="str">
        <f t="shared" si="25"/>
        <v>SNCF100P9501G50</v>
      </c>
      <c r="B351" s="239" t="s">
        <v>19</v>
      </c>
      <c r="C351" s="239" t="s">
        <v>20</v>
      </c>
      <c r="D351" s="239" t="s">
        <v>2537</v>
      </c>
      <c r="E351" s="239" t="s">
        <v>2538</v>
      </c>
      <c r="F351" s="239" t="s">
        <v>2543</v>
      </c>
      <c r="G351" s="239">
        <v>50</v>
      </c>
      <c r="H351" s="239" t="s">
        <v>928</v>
      </c>
      <c r="I351" s="239" t="s">
        <v>928</v>
      </c>
      <c r="J351" s="239" t="s">
        <v>928</v>
      </c>
      <c r="K351" s="239" t="s">
        <v>2398</v>
      </c>
      <c r="L351" s="239">
        <v>474.28</v>
      </c>
      <c r="M351" s="239">
        <v>0</v>
      </c>
      <c r="N351" s="239">
        <v>0</v>
      </c>
      <c r="O351" s="239">
        <v>0</v>
      </c>
      <c r="P351" s="239">
        <v>0</v>
      </c>
      <c r="Q351" s="239">
        <v>0</v>
      </c>
      <c r="R351" s="239">
        <v>0</v>
      </c>
      <c r="S351" s="239">
        <v>0</v>
      </c>
      <c r="T351" s="239">
        <v>0</v>
      </c>
      <c r="U351" s="239">
        <v>0</v>
      </c>
      <c r="V351" s="239">
        <v>0</v>
      </c>
      <c r="W351" s="239">
        <v>0</v>
      </c>
      <c r="X351" s="239">
        <v>0</v>
      </c>
      <c r="Y351" s="239">
        <v>332.04</v>
      </c>
      <c r="Z351" s="239">
        <v>0</v>
      </c>
      <c r="AA351" s="239">
        <v>0</v>
      </c>
      <c r="AB351" s="239">
        <v>142.24</v>
      </c>
      <c r="AC351" s="239">
        <v>0</v>
      </c>
      <c r="AD351" s="239">
        <v>0</v>
      </c>
      <c r="AE351" s="239" t="s">
        <v>720</v>
      </c>
      <c r="AF351" s="239" t="s">
        <v>721</v>
      </c>
      <c r="AG351" s="239">
        <f t="shared" si="26"/>
        <v>0</v>
      </c>
      <c r="AH351" s="239">
        <f t="shared" si="27"/>
        <v>0</v>
      </c>
      <c r="AI351" s="239">
        <f t="shared" si="28"/>
        <v>0</v>
      </c>
      <c r="AJ351" s="239">
        <f t="shared" si="29"/>
        <v>0</v>
      </c>
    </row>
    <row r="352" spans="1:36" x14ac:dyDescent="0.2">
      <c r="A352" s="240" t="str">
        <f t="shared" si="25"/>
        <v>2SNCF100P9501H30</v>
      </c>
      <c r="B352" s="239" t="s">
        <v>19</v>
      </c>
      <c r="C352" s="239" t="s">
        <v>20</v>
      </c>
      <c r="D352" s="239" t="s">
        <v>2537</v>
      </c>
      <c r="E352" s="239" t="s">
        <v>2538</v>
      </c>
      <c r="F352" s="239" t="s">
        <v>2544</v>
      </c>
      <c r="G352" s="239">
        <v>30</v>
      </c>
      <c r="H352" s="239" t="s">
        <v>928</v>
      </c>
      <c r="I352" s="239" t="s">
        <v>2484</v>
      </c>
      <c r="J352" s="239" t="s">
        <v>928</v>
      </c>
      <c r="K352" s="239" t="s">
        <v>2398</v>
      </c>
      <c r="L352" s="239">
        <v>404.26</v>
      </c>
      <c r="M352" s="239">
        <v>0</v>
      </c>
      <c r="N352" s="239">
        <v>0</v>
      </c>
      <c r="O352" s="239">
        <v>0</v>
      </c>
      <c r="P352" s="239">
        <v>0</v>
      </c>
      <c r="Q352" s="239">
        <v>0</v>
      </c>
      <c r="R352" s="239">
        <v>0</v>
      </c>
      <c r="S352" s="239">
        <v>0</v>
      </c>
      <c r="T352" s="239">
        <v>0</v>
      </c>
      <c r="U352" s="239">
        <v>0</v>
      </c>
      <c r="V352" s="239">
        <v>0</v>
      </c>
      <c r="W352" s="239">
        <v>0</v>
      </c>
      <c r="X352" s="239">
        <v>0</v>
      </c>
      <c r="Y352" s="239">
        <v>309.45</v>
      </c>
      <c r="Z352" s="239">
        <v>0</v>
      </c>
      <c r="AA352" s="239">
        <v>0</v>
      </c>
      <c r="AB352" s="239">
        <v>94.81</v>
      </c>
      <c r="AC352" s="239">
        <v>0</v>
      </c>
      <c r="AD352" s="239">
        <v>0</v>
      </c>
      <c r="AE352" s="239" t="s">
        <v>720</v>
      </c>
      <c r="AF352" s="239" t="s">
        <v>721</v>
      </c>
      <c r="AG352" s="239">
        <f t="shared" si="26"/>
        <v>0</v>
      </c>
      <c r="AH352" s="239">
        <f t="shared" si="27"/>
        <v>0</v>
      </c>
      <c r="AI352" s="239">
        <f t="shared" si="28"/>
        <v>0</v>
      </c>
      <c r="AJ352" s="239">
        <f t="shared" si="29"/>
        <v>0</v>
      </c>
    </row>
    <row r="353" spans="1:36" x14ac:dyDescent="0.2">
      <c r="A353" s="240" t="str">
        <f t="shared" si="25"/>
        <v>SNCF100P9501H30</v>
      </c>
      <c r="B353" s="239" t="s">
        <v>19</v>
      </c>
      <c r="C353" s="239" t="s">
        <v>20</v>
      </c>
      <c r="D353" s="239" t="s">
        <v>2537</v>
      </c>
      <c r="E353" s="239" t="s">
        <v>2538</v>
      </c>
      <c r="F353" s="239" t="s">
        <v>2544</v>
      </c>
      <c r="G353" s="239">
        <v>30</v>
      </c>
      <c r="H353" s="239" t="s">
        <v>928</v>
      </c>
      <c r="I353" s="239" t="s">
        <v>928</v>
      </c>
      <c r="J353" s="239" t="s">
        <v>928</v>
      </c>
      <c r="K353" s="239" t="s">
        <v>2398</v>
      </c>
      <c r="L353" s="239">
        <v>404.26</v>
      </c>
      <c r="M353" s="239">
        <v>0</v>
      </c>
      <c r="N353" s="239">
        <v>0</v>
      </c>
      <c r="O353" s="239">
        <v>0</v>
      </c>
      <c r="P353" s="239">
        <v>0</v>
      </c>
      <c r="Q353" s="239">
        <v>0</v>
      </c>
      <c r="R353" s="239">
        <v>0</v>
      </c>
      <c r="S353" s="239">
        <v>0</v>
      </c>
      <c r="T353" s="239">
        <v>0</v>
      </c>
      <c r="U353" s="239">
        <v>0</v>
      </c>
      <c r="V353" s="239">
        <v>0</v>
      </c>
      <c r="W353" s="239">
        <v>0</v>
      </c>
      <c r="X353" s="239">
        <v>0</v>
      </c>
      <c r="Y353" s="239">
        <v>309.45</v>
      </c>
      <c r="Z353" s="239">
        <v>0</v>
      </c>
      <c r="AA353" s="239">
        <v>0</v>
      </c>
      <c r="AB353" s="239">
        <v>94.81</v>
      </c>
      <c r="AC353" s="239">
        <v>0</v>
      </c>
      <c r="AD353" s="239">
        <v>0</v>
      </c>
      <c r="AE353" s="239" t="s">
        <v>720</v>
      </c>
      <c r="AF353" s="239" t="s">
        <v>721</v>
      </c>
      <c r="AG353" s="239">
        <f t="shared" si="26"/>
        <v>0</v>
      </c>
      <c r="AH353" s="239">
        <f t="shared" si="27"/>
        <v>0</v>
      </c>
      <c r="AI353" s="239">
        <f t="shared" si="28"/>
        <v>0</v>
      </c>
      <c r="AJ353" s="239">
        <f t="shared" si="29"/>
        <v>0</v>
      </c>
    </row>
    <row r="354" spans="1:36" x14ac:dyDescent="0.2">
      <c r="A354" s="240" t="str">
        <f t="shared" si="25"/>
        <v>2SNCF100P9501H50</v>
      </c>
      <c r="B354" s="239" t="s">
        <v>19</v>
      </c>
      <c r="C354" s="239" t="s">
        <v>20</v>
      </c>
      <c r="D354" s="239" t="s">
        <v>2537</v>
      </c>
      <c r="E354" s="239" t="s">
        <v>2538</v>
      </c>
      <c r="F354" s="239" t="s">
        <v>2544</v>
      </c>
      <c r="G354" s="239">
        <v>50</v>
      </c>
      <c r="H354" s="239" t="s">
        <v>928</v>
      </c>
      <c r="I354" s="239" t="s">
        <v>2484</v>
      </c>
      <c r="J354" s="239" t="s">
        <v>928</v>
      </c>
      <c r="K354" s="239" t="s">
        <v>2398</v>
      </c>
      <c r="L354" s="239">
        <v>429.06</v>
      </c>
      <c r="M354" s="239">
        <v>0</v>
      </c>
      <c r="N354" s="239">
        <v>0</v>
      </c>
      <c r="O354" s="239">
        <v>0</v>
      </c>
      <c r="P354" s="239">
        <v>0</v>
      </c>
      <c r="Q354" s="239">
        <v>0</v>
      </c>
      <c r="R354" s="239">
        <v>0</v>
      </c>
      <c r="S354" s="239">
        <v>0</v>
      </c>
      <c r="T354" s="239">
        <v>0</v>
      </c>
      <c r="U354" s="239">
        <v>0</v>
      </c>
      <c r="V354" s="239">
        <v>0</v>
      </c>
      <c r="W354" s="239">
        <v>0</v>
      </c>
      <c r="X354" s="239">
        <v>0</v>
      </c>
      <c r="Y354" s="239">
        <v>335.43</v>
      </c>
      <c r="Z354" s="239">
        <v>0</v>
      </c>
      <c r="AA354" s="239">
        <v>0</v>
      </c>
      <c r="AB354" s="239">
        <v>93.63</v>
      </c>
      <c r="AC354" s="239">
        <v>0</v>
      </c>
      <c r="AD354" s="239">
        <v>0</v>
      </c>
      <c r="AE354" s="239" t="s">
        <v>720</v>
      </c>
      <c r="AF354" s="239" t="s">
        <v>721</v>
      </c>
      <c r="AG354" s="239">
        <f t="shared" si="26"/>
        <v>0</v>
      </c>
      <c r="AH354" s="239">
        <f t="shared" si="27"/>
        <v>0</v>
      </c>
      <c r="AI354" s="239">
        <f t="shared" si="28"/>
        <v>0</v>
      </c>
      <c r="AJ354" s="239">
        <f t="shared" si="29"/>
        <v>0</v>
      </c>
    </row>
    <row r="355" spans="1:36" x14ac:dyDescent="0.2">
      <c r="A355" s="240" t="str">
        <f t="shared" si="25"/>
        <v>SNCF100P9501H50</v>
      </c>
      <c r="B355" s="239" t="s">
        <v>19</v>
      </c>
      <c r="C355" s="239" t="s">
        <v>20</v>
      </c>
      <c r="D355" s="239" t="s">
        <v>2537</v>
      </c>
      <c r="E355" s="239" t="s">
        <v>2538</v>
      </c>
      <c r="F355" s="239" t="s">
        <v>2544</v>
      </c>
      <c r="G355" s="239">
        <v>50</v>
      </c>
      <c r="H355" s="239" t="s">
        <v>928</v>
      </c>
      <c r="I355" s="239" t="s">
        <v>928</v>
      </c>
      <c r="J355" s="239" t="s">
        <v>928</v>
      </c>
      <c r="K355" s="239" t="s">
        <v>2398</v>
      </c>
      <c r="L355" s="239">
        <v>429.06</v>
      </c>
      <c r="M355" s="239">
        <v>0</v>
      </c>
      <c r="N355" s="239">
        <v>0</v>
      </c>
      <c r="O355" s="239">
        <v>0</v>
      </c>
      <c r="P355" s="239">
        <v>0</v>
      </c>
      <c r="Q355" s="239">
        <v>0</v>
      </c>
      <c r="R355" s="239">
        <v>0</v>
      </c>
      <c r="S355" s="239">
        <v>0</v>
      </c>
      <c r="T355" s="239">
        <v>0</v>
      </c>
      <c r="U355" s="239">
        <v>0</v>
      </c>
      <c r="V355" s="239">
        <v>0</v>
      </c>
      <c r="W355" s="239">
        <v>0</v>
      </c>
      <c r="X355" s="239">
        <v>0</v>
      </c>
      <c r="Y355" s="239">
        <v>335.43</v>
      </c>
      <c r="Z355" s="239">
        <v>0</v>
      </c>
      <c r="AA355" s="239">
        <v>0</v>
      </c>
      <c r="AB355" s="239">
        <v>93.63</v>
      </c>
      <c r="AC355" s="239">
        <v>0</v>
      </c>
      <c r="AD355" s="239">
        <v>0</v>
      </c>
      <c r="AE355" s="239" t="s">
        <v>720</v>
      </c>
      <c r="AF355" s="239" t="s">
        <v>721</v>
      </c>
      <c r="AG355" s="239">
        <f t="shared" si="26"/>
        <v>0</v>
      </c>
      <c r="AH355" s="239">
        <f t="shared" si="27"/>
        <v>0</v>
      </c>
      <c r="AI355" s="239">
        <f t="shared" si="28"/>
        <v>0</v>
      </c>
      <c r="AJ355" s="239">
        <f t="shared" si="29"/>
        <v>0</v>
      </c>
    </row>
    <row r="356" spans="1:36" x14ac:dyDescent="0.2">
      <c r="A356" s="240" t="str">
        <f t="shared" si="25"/>
        <v>2SNCF100P9501HG30</v>
      </c>
      <c r="B356" s="239" t="s">
        <v>19</v>
      </c>
      <c r="C356" s="239" t="s">
        <v>20</v>
      </c>
      <c r="D356" s="239" t="s">
        <v>2537</v>
      </c>
      <c r="E356" s="239" t="s">
        <v>2538</v>
      </c>
      <c r="F356" s="239" t="s">
        <v>2545</v>
      </c>
      <c r="G356" s="239">
        <v>30</v>
      </c>
      <c r="H356" s="239" t="s">
        <v>928</v>
      </c>
      <c r="I356" s="239" t="s">
        <v>2484</v>
      </c>
      <c r="J356" s="239" t="s">
        <v>928</v>
      </c>
      <c r="K356" s="239" t="s">
        <v>2398</v>
      </c>
      <c r="L356" s="239">
        <v>781.34</v>
      </c>
      <c r="M356" s="239">
        <v>0</v>
      </c>
      <c r="N356" s="239">
        <v>0</v>
      </c>
      <c r="O356" s="239">
        <v>0</v>
      </c>
      <c r="P356" s="239">
        <v>0</v>
      </c>
      <c r="Q356" s="239">
        <v>0</v>
      </c>
      <c r="R356" s="239">
        <v>0</v>
      </c>
      <c r="S356" s="239">
        <v>0</v>
      </c>
      <c r="T356" s="239">
        <v>0</v>
      </c>
      <c r="U356" s="239">
        <v>0</v>
      </c>
      <c r="V356" s="239">
        <v>0</v>
      </c>
      <c r="W356" s="239">
        <v>0</v>
      </c>
      <c r="X356" s="239">
        <v>0</v>
      </c>
      <c r="Y356" s="239">
        <v>559.03</v>
      </c>
      <c r="Z356" s="239">
        <v>0</v>
      </c>
      <c r="AA356" s="239">
        <v>0</v>
      </c>
      <c r="AB356" s="239">
        <v>222.31</v>
      </c>
      <c r="AC356" s="239">
        <v>0</v>
      </c>
      <c r="AD356" s="239">
        <v>0</v>
      </c>
      <c r="AE356" s="239" t="s">
        <v>720</v>
      </c>
      <c r="AF356" s="239" t="s">
        <v>721</v>
      </c>
      <c r="AG356" s="239">
        <f t="shared" si="26"/>
        <v>0</v>
      </c>
      <c r="AH356" s="239">
        <f t="shared" si="27"/>
        <v>0</v>
      </c>
      <c r="AI356" s="239">
        <f t="shared" si="28"/>
        <v>0</v>
      </c>
      <c r="AJ356" s="239">
        <f t="shared" si="29"/>
        <v>0</v>
      </c>
    </row>
    <row r="357" spans="1:36" x14ac:dyDescent="0.2">
      <c r="A357" s="240" t="str">
        <f t="shared" si="25"/>
        <v>SNCF100P9501HG30</v>
      </c>
      <c r="B357" s="239" t="s">
        <v>19</v>
      </c>
      <c r="C357" s="239" t="s">
        <v>20</v>
      </c>
      <c r="D357" s="239" t="s">
        <v>2537</v>
      </c>
      <c r="E357" s="239" t="s">
        <v>2538</v>
      </c>
      <c r="F357" s="239" t="s">
        <v>2545</v>
      </c>
      <c r="G357" s="239">
        <v>30</v>
      </c>
      <c r="H357" s="239" t="s">
        <v>928</v>
      </c>
      <c r="I357" s="239" t="s">
        <v>928</v>
      </c>
      <c r="J357" s="239" t="s">
        <v>928</v>
      </c>
      <c r="K357" s="239" t="s">
        <v>2398</v>
      </c>
      <c r="L357" s="239">
        <v>781.34</v>
      </c>
      <c r="M357" s="239">
        <v>0</v>
      </c>
      <c r="N357" s="239">
        <v>0</v>
      </c>
      <c r="O357" s="239">
        <v>0</v>
      </c>
      <c r="P357" s="239">
        <v>0</v>
      </c>
      <c r="Q357" s="239">
        <v>0</v>
      </c>
      <c r="R357" s="239">
        <v>0</v>
      </c>
      <c r="S357" s="239">
        <v>0</v>
      </c>
      <c r="T357" s="239">
        <v>0</v>
      </c>
      <c r="U357" s="239">
        <v>0</v>
      </c>
      <c r="V357" s="239">
        <v>0</v>
      </c>
      <c r="W357" s="239">
        <v>0</v>
      </c>
      <c r="X357" s="239">
        <v>0</v>
      </c>
      <c r="Y357" s="239">
        <v>559.03</v>
      </c>
      <c r="Z357" s="239">
        <v>0</v>
      </c>
      <c r="AA357" s="239">
        <v>0</v>
      </c>
      <c r="AB357" s="239">
        <v>222.31</v>
      </c>
      <c r="AC357" s="239">
        <v>0</v>
      </c>
      <c r="AD357" s="239">
        <v>0</v>
      </c>
      <c r="AE357" s="239" t="s">
        <v>720</v>
      </c>
      <c r="AF357" s="239" t="s">
        <v>721</v>
      </c>
      <c r="AG357" s="239">
        <f t="shared" si="26"/>
        <v>0</v>
      </c>
      <c r="AH357" s="239">
        <f t="shared" si="27"/>
        <v>0</v>
      </c>
      <c r="AI357" s="239">
        <f t="shared" si="28"/>
        <v>0</v>
      </c>
      <c r="AJ357" s="239">
        <f t="shared" si="29"/>
        <v>0</v>
      </c>
    </row>
    <row r="358" spans="1:36" x14ac:dyDescent="0.2">
      <c r="A358" s="240" t="str">
        <f t="shared" si="25"/>
        <v>2SNCF100P9501K230</v>
      </c>
      <c r="B358" s="239" t="s">
        <v>19</v>
      </c>
      <c r="C358" s="239" t="s">
        <v>20</v>
      </c>
      <c r="D358" s="239" t="s">
        <v>2537</v>
      </c>
      <c r="E358" s="239" t="s">
        <v>2538</v>
      </c>
      <c r="F358" s="239" t="s">
        <v>2546</v>
      </c>
      <c r="G358" s="239">
        <v>30</v>
      </c>
      <c r="H358" s="239" t="s">
        <v>928</v>
      </c>
      <c r="I358" s="239" t="s">
        <v>2484</v>
      </c>
      <c r="J358" s="239" t="s">
        <v>928</v>
      </c>
      <c r="K358" s="239" t="s">
        <v>2398</v>
      </c>
      <c r="L358" s="239">
        <v>430.53</v>
      </c>
      <c r="M358" s="239">
        <v>0</v>
      </c>
      <c r="N358" s="239">
        <v>0</v>
      </c>
      <c r="O358" s="239">
        <v>0</v>
      </c>
      <c r="P358" s="239">
        <v>0</v>
      </c>
      <c r="Q358" s="239">
        <v>0</v>
      </c>
      <c r="R358" s="239">
        <v>0</v>
      </c>
      <c r="S358" s="239">
        <v>0</v>
      </c>
      <c r="T358" s="239">
        <v>0</v>
      </c>
      <c r="U358" s="239">
        <v>0</v>
      </c>
      <c r="V358" s="239">
        <v>0</v>
      </c>
      <c r="W358" s="239">
        <v>0</v>
      </c>
      <c r="X358" s="239">
        <v>0</v>
      </c>
      <c r="Y358" s="239">
        <v>319.64</v>
      </c>
      <c r="Z358" s="239">
        <v>0</v>
      </c>
      <c r="AA358" s="239">
        <v>0</v>
      </c>
      <c r="AB358" s="239">
        <v>110.88</v>
      </c>
      <c r="AC358" s="239">
        <v>0</v>
      </c>
      <c r="AD358" s="239">
        <v>0</v>
      </c>
      <c r="AE358" s="239" t="s">
        <v>720</v>
      </c>
      <c r="AF358" s="239" t="s">
        <v>721</v>
      </c>
      <c r="AG358" s="239">
        <f t="shared" si="26"/>
        <v>0</v>
      </c>
      <c r="AH358" s="239">
        <f t="shared" si="27"/>
        <v>0</v>
      </c>
      <c r="AI358" s="239">
        <f t="shared" si="28"/>
        <v>0</v>
      </c>
      <c r="AJ358" s="239">
        <f t="shared" si="29"/>
        <v>0</v>
      </c>
    </row>
    <row r="359" spans="1:36" x14ac:dyDescent="0.2">
      <c r="A359" s="240" t="str">
        <f t="shared" si="25"/>
        <v>SNCF100P9501K230</v>
      </c>
      <c r="B359" s="239" t="s">
        <v>19</v>
      </c>
      <c r="C359" s="239" t="s">
        <v>20</v>
      </c>
      <c r="D359" s="239" t="s">
        <v>2537</v>
      </c>
      <c r="E359" s="239" t="s">
        <v>2538</v>
      </c>
      <c r="F359" s="239" t="s">
        <v>2546</v>
      </c>
      <c r="G359" s="239">
        <v>30</v>
      </c>
      <c r="H359" s="239" t="s">
        <v>928</v>
      </c>
      <c r="I359" s="239" t="s">
        <v>928</v>
      </c>
      <c r="J359" s="239" t="s">
        <v>928</v>
      </c>
      <c r="K359" s="239" t="s">
        <v>2398</v>
      </c>
      <c r="L359" s="239">
        <v>430.53</v>
      </c>
      <c r="M359" s="239">
        <v>0</v>
      </c>
      <c r="N359" s="239">
        <v>0</v>
      </c>
      <c r="O359" s="239">
        <v>0</v>
      </c>
      <c r="P359" s="239">
        <v>0</v>
      </c>
      <c r="Q359" s="239">
        <v>0</v>
      </c>
      <c r="R359" s="239">
        <v>0</v>
      </c>
      <c r="S359" s="239">
        <v>0</v>
      </c>
      <c r="T359" s="239">
        <v>0</v>
      </c>
      <c r="U359" s="239">
        <v>0</v>
      </c>
      <c r="V359" s="239">
        <v>0</v>
      </c>
      <c r="W359" s="239">
        <v>0</v>
      </c>
      <c r="X359" s="239">
        <v>0</v>
      </c>
      <c r="Y359" s="239">
        <v>319.64</v>
      </c>
      <c r="Z359" s="239">
        <v>0</v>
      </c>
      <c r="AA359" s="239">
        <v>0</v>
      </c>
      <c r="AB359" s="239">
        <v>110.88</v>
      </c>
      <c r="AC359" s="239">
        <v>0</v>
      </c>
      <c r="AD359" s="239">
        <v>0</v>
      </c>
      <c r="AE359" s="239" t="s">
        <v>720</v>
      </c>
      <c r="AF359" s="239" t="s">
        <v>721</v>
      </c>
      <c r="AG359" s="239">
        <f t="shared" si="26"/>
        <v>0</v>
      </c>
      <c r="AH359" s="239">
        <f t="shared" si="27"/>
        <v>0</v>
      </c>
      <c r="AI359" s="239">
        <f t="shared" si="28"/>
        <v>0</v>
      </c>
      <c r="AJ359" s="239">
        <f t="shared" si="29"/>
        <v>0</v>
      </c>
    </row>
    <row r="360" spans="1:36" x14ac:dyDescent="0.2">
      <c r="A360" s="240" t="str">
        <f t="shared" si="25"/>
        <v>2SNCF100P9501K250</v>
      </c>
      <c r="B360" s="239" t="s">
        <v>19</v>
      </c>
      <c r="C360" s="239" t="s">
        <v>20</v>
      </c>
      <c r="D360" s="239" t="s">
        <v>2537</v>
      </c>
      <c r="E360" s="239" t="s">
        <v>2538</v>
      </c>
      <c r="F360" s="239" t="s">
        <v>2546</v>
      </c>
      <c r="G360" s="239">
        <v>50</v>
      </c>
      <c r="H360" s="239" t="s">
        <v>928</v>
      </c>
      <c r="I360" s="239" t="s">
        <v>2484</v>
      </c>
      <c r="J360" s="239" t="s">
        <v>928</v>
      </c>
      <c r="K360" s="239" t="s">
        <v>2398</v>
      </c>
      <c r="L360" s="239">
        <v>452.92</v>
      </c>
      <c r="M360" s="239">
        <v>0</v>
      </c>
      <c r="N360" s="239">
        <v>0</v>
      </c>
      <c r="O360" s="239">
        <v>0</v>
      </c>
      <c r="P360" s="239">
        <v>0</v>
      </c>
      <c r="Q360" s="239">
        <v>0</v>
      </c>
      <c r="R360" s="239">
        <v>0</v>
      </c>
      <c r="S360" s="239">
        <v>0</v>
      </c>
      <c r="T360" s="239">
        <v>0</v>
      </c>
      <c r="U360" s="239">
        <v>0</v>
      </c>
      <c r="V360" s="239">
        <v>0</v>
      </c>
      <c r="W360" s="239">
        <v>0</v>
      </c>
      <c r="X360" s="239">
        <v>0</v>
      </c>
      <c r="Y360" s="239">
        <v>348.26</v>
      </c>
      <c r="Z360" s="239">
        <v>0</v>
      </c>
      <c r="AA360" s="239">
        <v>0</v>
      </c>
      <c r="AB360" s="239">
        <v>104.66</v>
      </c>
      <c r="AC360" s="239">
        <v>0</v>
      </c>
      <c r="AD360" s="239">
        <v>0</v>
      </c>
      <c r="AE360" s="239" t="s">
        <v>720</v>
      </c>
      <c r="AF360" s="239" t="s">
        <v>721</v>
      </c>
      <c r="AG360" s="239">
        <f t="shared" si="26"/>
        <v>0</v>
      </c>
      <c r="AH360" s="239">
        <f t="shared" si="27"/>
        <v>0</v>
      </c>
      <c r="AI360" s="239">
        <f t="shared" si="28"/>
        <v>0</v>
      </c>
      <c r="AJ360" s="239">
        <f t="shared" si="29"/>
        <v>0</v>
      </c>
    </row>
    <row r="361" spans="1:36" x14ac:dyDescent="0.2">
      <c r="A361" s="240" t="str">
        <f t="shared" si="25"/>
        <v>SNCF100P9501K250</v>
      </c>
      <c r="B361" s="239" t="s">
        <v>19</v>
      </c>
      <c r="C361" s="239" t="s">
        <v>20</v>
      </c>
      <c r="D361" s="239" t="s">
        <v>2537</v>
      </c>
      <c r="E361" s="239" t="s">
        <v>2538</v>
      </c>
      <c r="F361" s="239" t="s">
        <v>2546</v>
      </c>
      <c r="G361" s="239">
        <v>50</v>
      </c>
      <c r="H361" s="239" t="s">
        <v>928</v>
      </c>
      <c r="I361" s="239" t="s">
        <v>928</v>
      </c>
      <c r="J361" s="239" t="s">
        <v>928</v>
      </c>
      <c r="K361" s="239" t="s">
        <v>2398</v>
      </c>
      <c r="L361" s="239">
        <v>452.92</v>
      </c>
      <c r="M361" s="239">
        <v>0</v>
      </c>
      <c r="N361" s="239">
        <v>0</v>
      </c>
      <c r="O361" s="239">
        <v>0</v>
      </c>
      <c r="P361" s="239">
        <v>0</v>
      </c>
      <c r="Q361" s="239">
        <v>0</v>
      </c>
      <c r="R361" s="239">
        <v>0</v>
      </c>
      <c r="S361" s="239">
        <v>0</v>
      </c>
      <c r="T361" s="239">
        <v>0</v>
      </c>
      <c r="U361" s="239">
        <v>0</v>
      </c>
      <c r="V361" s="239">
        <v>0</v>
      </c>
      <c r="W361" s="239">
        <v>0</v>
      </c>
      <c r="X361" s="239">
        <v>0</v>
      </c>
      <c r="Y361" s="239">
        <v>348.26</v>
      </c>
      <c r="Z361" s="239">
        <v>0</v>
      </c>
      <c r="AA361" s="239">
        <v>0</v>
      </c>
      <c r="AB361" s="239">
        <v>104.66</v>
      </c>
      <c r="AC361" s="239">
        <v>0</v>
      </c>
      <c r="AD361" s="239">
        <v>0</v>
      </c>
      <c r="AE361" s="239" t="s">
        <v>720</v>
      </c>
      <c r="AF361" s="239" t="s">
        <v>721</v>
      </c>
      <c r="AG361" s="239">
        <f t="shared" si="26"/>
        <v>0</v>
      </c>
      <c r="AH361" s="239">
        <f t="shared" si="27"/>
        <v>0</v>
      </c>
      <c r="AI361" s="239">
        <f t="shared" si="28"/>
        <v>0</v>
      </c>
      <c r="AJ361" s="239">
        <f t="shared" si="29"/>
        <v>0</v>
      </c>
    </row>
    <row r="362" spans="1:36" x14ac:dyDescent="0.2">
      <c r="A362" s="240" t="str">
        <f t="shared" si="25"/>
        <v>2SNCF100P9501KF30</v>
      </c>
      <c r="B362" s="239" t="s">
        <v>19</v>
      </c>
      <c r="C362" s="239" t="s">
        <v>20</v>
      </c>
      <c r="D362" s="239" t="s">
        <v>2537</v>
      </c>
      <c r="E362" s="239" t="s">
        <v>2538</v>
      </c>
      <c r="F362" s="239" t="s">
        <v>2547</v>
      </c>
      <c r="G362" s="239">
        <v>30</v>
      </c>
      <c r="H362" s="239" t="s">
        <v>928</v>
      </c>
      <c r="I362" s="239" t="s">
        <v>2484</v>
      </c>
      <c r="J362" s="239" t="s">
        <v>928</v>
      </c>
      <c r="K362" s="239" t="s">
        <v>2398</v>
      </c>
      <c r="L362" s="239">
        <v>537.4</v>
      </c>
      <c r="M362" s="239">
        <v>0</v>
      </c>
      <c r="N362" s="239">
        <v>0</v>
      </c>
      <c r="O362" s="239">
        <v>0</v>
      </c>
      <c r="P362" s="239">
        <v>0</v>
      </c>
      <c r="Q362" s="239">
        <v>0</v>
      </c>
      <c r="R362" s="239">
        <v>0</v>
      </c>
      <c r="S362" s="239">
        <v>0</v>
      </c>
      <c r="T362" s="239">
        <v>0</v>
      </c>
      <c r="U362" s="239">
        <v>0</v>
      </c>
      <c r="V362" s="239">
        <v>0</v>
      </c>
      <c r="W362" s="239">
        <v>0</v>
      </c>
      <c r="X362" s="239">
        <v>0</v>
      </c>
      <c r="Y362" s="239">
        <v>398.49</v>
      </c>
      <c r="Z362" s="239">
        <v>0</v>
      </c>
      <c r="AA362" s="239">
        <v>0</v>
      </c>
      <c r="AB362" s="239">
        <v>138.91999999999999</v>
      </c>
      <c r="AC362" s="239">
        <v>0</v>
      </c>
      <c r="AD362" s="239">
        <v>0</v>
      </c>
      <c r="AE362" s="239" t="s">
        <v>720</v>
      </c>
      <c r="AF362" s="239" t="s">
        <v>721</v>
      </c>
      <c r="AG362" s="239">
        <f t="shared" si="26"/>
        <v>0</v>
      </c>
      <c r="AH362" s="239">
        <f t="shared" si="27"/>
        <v>0</v>
      </c>
      <c r="AI362" s="239">
        <f t="shared" si="28"/>
        <v>0</v>
      </c>
      <c r="AJ362" s="239">
        <f t="shared" si="29"/>
        <v>0</v>
      </c>
    </row>
    <row r="363" spans="1:36" x14ac:dyDescent="0.2">
      <c r="A363" s="240" t="str">
        <f t="shared" si="25"/>
        <v>SNCF100P9501KF30</v>
      </c>
      <c r="B363" s="239" t="s">
        <v>19</v>
      </c>
      <c r="C363" s="239" t="s">
        <v>20</v>
      </c>
      <c r="D363" s="239" t="s">
        <v>2537</v>
      </c>
      <c r="E363" s="239" t="s">
        <v>2538</v>
      </c>
      <c r="F363" s="239" t="s">
        <v>2547</v>
      </c>
      <c r="G363" s="239">
        <v>30</v>
      </c>
      <c r="H363" s="239" t="s">
        <v>928</v>
      </c>
      <c r="I363" s="239" t="s">
        <v>928</v>
      </c>
      <c r="J363" s="239" t="s">
        <v>928</v>
      </c>
      <c r="K363" s="239" t="s">
        <v>2398</v>
      </c>
      <c r="L363" s="239">
        <v>537.4</v>
      </c>
      <c r="M363" s="239">
        <v>0</v>
      </c>
      <c r="N363" s="239">
        <v>0</v>
      </c>
      <c r="O363" s="239">
        <v>0</v>
      </c>
      <c r="P363" s="239">
        <v>0</v>
      </c>
      <c r="Q363" s="239">
        <v>0</v>
      </c>
      <c r="R363" s="239">
        <v>0</v>
      </c>
      <c r="S363" s="239">
        <v>0</v>
      </c>
      <c r="T363" s="239">
        <v>0</v>
      </c>
      <c r="U363" s="239">
        <v>0</v>
      </c>
      <c r="V363" s="239">
        <v>0</v>
      </c>
      <c r="W363" s="239">
        <v>0</v>
      </c>
      <c r="X363" s="239">
        <v>0</v>
      </c>
      <c r="Y363" s="239">
        <v>398.49</v>
      </c>
      <c r="Z363" s="239">
        <v>0</v>
      </c>
      <c r="AA363" s="239">
        <v>0</v>
      </c>
      <c r="AB363" s="239">
        <v>138.91999999999999</v>
      </c>
      <c r="AC363" s="239">
        <v>0</v>
      </c>
      <c r="AD363" s="239">
        <v>0</v>
      </c>
      <c r="AE363" s="239" t="s">
        <v>720</v>
      </c>
      <c r="AF363" s="239" t="s">
        <v>721</v>
      </c>
      <c r="AG363" s="239">
        <f t="shared" si="26"/>
        <v>0</v>
      </c>
      <c r="AH363" s="239">
        <f t="shared" si="27"/>
        <v>0</v>
      </c>
      <c r="AI363" s="239">
        <f t="shared" si="28"/>
        <v>0</v>
      </c>
      <c r="AJ363" s="239">
        <f t="shared" si="29"/>
        <v>0</v>
      </c>
    </row>
    <row r="364" spans="1:36" x14ac:dyDescent="0.2">
      <c r="A364" s="240" t="str">
        <f t="shared" si="25"/>
        <v>2SNCF100P9521T50</v>
      </c>
      <c r="B364" s="239" t="s">
        <v>19</v>
      </c>
      <c r="C364" s="239" t="s">
        <v>20</v>
      </c>
      <c r="D364" s="239" t="s">
        <v>2537</v>
      </c>
      <c r="E364" s="239" t="s">
        <v>2538</v>
      </c>
      <c r="F364" s="239" t="s">
        <v>2548</v>
      </c>
      <c r="G364" s="239">
        <v>50</v>
      </c>
      <c r="H364" s="239" t="s">
        <v>928</v>
      </c>
      <c r="I364" s="239" t="s">
        <v>2484</v>
      </c>
      <c r="J364" s="239" t="s">
        <v>928</v>
      </c>
      <c r="K364" s="239" t="s">
        <v>2398</v>
      </c>
      <c r="L364" s="239">
        <v>538.11</v>
      </c>
      <c r="M364" s="239">
        <v>0</v>
      </c>
      <c r="N364" s="239">
        <v>0</v>
      </c>
      <c r="O364" s="239">
        <v>0</v>
      </c>
      <c r="P364" s="239">
        <v>0</v>
      </c>
      <c r="Q364" s="239">
        <v>0</v>
      </c>
      <c r="R364" s="239">
        <v>0</v>
      </c>
      <c r="S364" s="239">
        <v>0</v>
      </c>
      <c r="T364" s="239">
        <v>0</v>
      </c>
      <c r="U364" s="239">
        <v>0</v>
      </c>
      <c r="V364" s="239">
        <v>0</v>
      </c>
      <c r="W364" s="239">
        <v>0</v>
      </c>
      <c r="X364" s="239">
        <v>0</v>
      </c>
      <c r="Y364" s="239">
        <v>365.96</v>
      </c>
      <c r="Z364" s="239">
        <v>0</v>
      </c>
      <c r="AA364" s="239">
        <v>0</v>
      </c>
      <c r="AB364" s="239">
        <v>172.15</v>
      </c>
      <c r="AC364" s="239">
        <v>0</v>
      </c>
      <c r="AD364" s="239">
        <v>0</v>
      </c>
      <c r="AE364" s="239" t="s">
        <v>720</v>
      </c>
      <c r="AF364" s="239" t="s">
        <v>721</v>
      </c>
      <c r="AG364" s="239">
        <f t="shared" si="26"/>
        <v>0</v>
      </c>
      <c r="AH364" s="239">
        <f t="shared" si="27"/>
        <v>0</v>
      </c>
      <c r="AI364" s="239">
        <f t="shared" si="28"/>
        <v>0</v>
      </c>
      <c r="AJ364" s="239">
        <f t="shared" si="29"/>
        <v>0</v>
      </c>
    </row>
    <row r="365" spans="1:36" x14ac:dyDescent="0.2">
      <c r="A365" s="240" t="str">
        <f t="shared" si="25"/>
        <v>SNCF100P9521T50</v>
      </c>
      <c r="B365" s="239" t="s">
        <v>19</v>
      </c>
      <c r="C365" s="239" t="s">
        <v>20</v>
      </c>
      <c r="D365" s="239" t="s">
        <v>2537</v>
      </c>
      <c r="E365" s="239" t="s">
        <v>2538</v>
      </c>
      <c r="F365" s="239" t="s">
        <v>2548</v>
      </c>
      <c r="G365" s="239">
        <v>50</v>
      </c>
      <c r="H365" s="239" t="s">
        <v>928</v>
      </c>
      <c r="I365" s="239" t="s">
        <v>928</v>
      </c>
      <c r="J365" s="239" t="s">
        <v>928</v>
      </c>
      <c r="K365" s="239" t="s">
        <v>2398</v>
      </c>
      <c r="L365" s="239">
        <v>538.11</v>
      </c>
      <c r="M365" s="239">
        <v>0</v>
      </c>
      <c r="N365" s="239">
        <v>0</v>
      </c>
      <c r="O365" s="239">
        <v>0</v>
      </c>
      <c r="P365" s="239">
        <v>0</v>
      </c>
      <c r="Q365" s="239">
        <v>0</v>
      </c>
      <c r="R365" s="239">
        <v>0</v>
      </c>
      <c r="S365" s="239">
        <v>0</v>
      </c>
      <c r="T365" s="239">
        <v>0</v>
      </c>
      <c r="U365" s="239">
        <v>0</v>
      </c>
      <c r="V365" s="239">
        <v>0</v>
      </c>
      <c r="W365" s="239">
        <v>0</v>
      </c>
      <c r="X365" s="239">
        <v>0</v>
      </c>
      <c r="Y365" s="239">
        <v>365.96</v>
      </c>
      <c r="Z365" s="239">
        <v>0</v>
      </c>
      <c r="AA365" s="239">
        <v>0</v>
      </c>
      <c r="AB365" s="239">
        <v>172.15</v>
      </c>
      <c r="AC365" s="239">
        <v>0</v>
      </c>
      <c r="AD365" s="239">
        <v>0</v>
      </c>
      <c r="AE365" s="239" t="s">
        <v>720</v>
      </c>
      <c r="AF365" s="239" t="s">
        <v>721</v>
      </c>
      <c r="AG365" s="239">
        <f t="shared" si="26"/>
        <v>0</v>
      </c>
      <c r="AH365" s="239">
        <f t="shared" si="27"/>
        <v>0</v>
      </c>
      <c r="AI365" s="239">
        <f t="shared" si="28"/>
        <v>0</v>
      </c>
      <c r="AJ365" s="239">
        <f t="shared" si="29"/>
        <v>0</v>
      </c>
    </row>
    <row r="366" spans="1:36" x14ac:dyDescent="0.2">
      <c r="A366" s="240" t="str">
        <f t="shared" si="25"/>
        <v>2SNCF100PCX830</v>
      </c>
      <c r="B366" s="239" t="s">
        <v>19</v>
      </c>
      <c r="C366" s="239" t="s">
        <v>20</v>
      </c>
      <c r="D366" s="239" t="s">
        <v>2537</v>
      </c>
      <c r="E366" s="239" t="s">
        <v>2538</v>
      </c>
      <c r="F366" s="239" t="s">
        <v>2549</v>
      </c>
      <c r="G366" s="239">
        <v>30</v>
      </c>
      <c r="H366" s="239" t="s">
        <v>928</v>
      </c>
      <c r="I366" s="239" t="s">
        <v>2484</v>
      </c>
      <c r="J366" s="239" t="s">
        <v>928</v>
      </c>
      <c r="K366" s="239" t="s">
        <v>2398</v>
      </c>
      <c r="L366" s="239">
        <v>486.44</v>
      </c>
      <c r="M366" s="239">
        <v>0</v>
      </c>
      <c r="N366" s="239">
        <v>0</v>
      </c>
      <c r="O366" s="239">
        <v>0</v>
      </c>
      <c r="P366" s="239">
        <v>0</v>
      </c>
      <c r="Q366" s="239">
        <v>0</v>
      </c>
      <c r="R366" s="239">
        <v>0</v>
      </c>
      <c r="S366" s="239">
        <v>0</v>
      </c>
      <c r="T366" s="239">
        <v>0</v>
      </c>
      <c r="U366" s="239">
        <v>0</v>
      </c>
      <c r="V366" s="239">
        <v>0</v>
      </c>
      <c r="W366" s="239">
        <v>0</v>
      </c>
      <c r="X366" s="239">
        <v>0</v>
      </c>
      <c r="Y366" s="239">
        <v>331.55</v>
      </c>
      <c r="Z366" s="239">
        <v>0</v>
      </c>
      <c r="AA366" s="239">
        <v>0</v>
      </c>
      <c r="AB366" s="239">
        <v>154.88999999999999</v>
      </c>
      <c r="AC366" s="239">
        <v>0</v>
      </c>
      <c r="AD366" s="239">
        <v>0</v>
      </c>
      <c r="AE366" s="239" t="s">
        <v>720</v>
      </c>
      <c r="AF366" s="239" t="s">
        <v>721</v>
      </c>
      <c r="AG366" s="239">
        <f t="shared" si="26"/>
        <v>0</v>
      </c>
      <c r="AH366" s="239">
        <f t="shared" si="27"/>
        <v>0</v>
      </c>
      <c r="AI366" s="239">
        <f t="shared" si="28"/>
        <v>0</v>
      </c>
      <c r="AJ366" s="239">
        <f t="shared" si="29"/>
        <v>0</v>
      </c>
    </row>
    <row r="367" spans="1:36" x14ac:dyDescent="0.2">
      <c r="A367" s="240" t="str">
        <f t="shared" si="25"/>
        <v>SNCF100PCX830</v>
      </c>
      <c r="B367" s="239" t="s">
        <v>19</v>
      </c>
      <c r="C367" s="239" t="s">
        <v>20</v>
      </c>
      <c r="D367" s="239" t="s">
        <v>2537</v>
      </c>
      <c r="E367" s="239" t="s">
        <v>2538</v>
      </c>
      <c r="F367" s="239" t="s">
        <v>2549</v>
      </c>
      <c r="G367" s="239">
        <v>30</v>
      </c>
      <c r="H367" s="239" t="s">
        <v>928</v>
      </c>
      <c r="I367" s="239" t="s">
        <v>928</v>
      </c>
      <c r="J367" s="239" t="s">
        <v>928</v>
      </c>
      <c r="K367" s="239" t="s">
        <v>2398</v>
      </c>
      <c r="L367" s="239">
        <v>486.44</v>
      </c>
      <c r="M367" s="239">
        <v>0</v>
      </c>
      <c r="N367" s="239">
        <v>0</v>
      </c>
      <c r="O367" s="239">
        <v>0</v>
      </c>
      <c r="P367" s="239">
        <v>0</v>
      </c>
      <c r="Q367" s="239">
        <v>0</v>
      </c>
      <c r="R367" s="239">
        <v>0</v>
      </c>
      <c r="S367" s="239">
        <v>0</v>
      </c>
      <c r="T367" s="239">
        <v>0</v>
      </c>
      <c r="U367" s="239">
        <v>0</v>
      </c>
      <c r="V367" s="239">
        <v>0</v>
      </c>
      <c r="W367" s="239">
        <v>0</v>
      </c>
      <c r="X367" s="239">
        <v>0</v>
      </c>
      <c r="Y367" s="239">
        <v>331.55</v>
      </c>
      <c r="Z367" s="239">
        <v>0</v>
      </c>
      <c r="AA367" s="239">
        <v>0</v>
      </c>
      <c r="AB367" s="239">
        <v>154.88999999999999</v>
      </c>
      <c r="AC367" s="239">
        <v>0</v>
      </c>
      <c r="AD367" s="239">
        <v>0</v>
      </c>
      <c r="AE367" s="239" t="s">
        <v>720</v>
      </c>
      <c r="AF367" s="239" t="s">
        <v>721</v>
      </c>
      <c r="AG367" s="239">
        <f t="shared" si="26"/>
        <v>0</v>
      </c>
      <c r="AH367" s="239">
        <f t="shared" si="27"/>
        <v>0</v>
      </c>
      <c r="AI367" s="239">
        <f t="shared" si="28"/>
        <v>0</v>
      </c>
      <c r="AJ367" s="239">
        <f t="shared" si="29"/>
        <v>0</v>
      </c>
    </row>
    <row r="368" spans="1:36" x14ac:dyDescent="0.2">
      <c r="A368" s="240" t="str">
        <f t="shared" si="25"/>
        <v>2SNCF100PCX850</v>
      </c>
      <c r="B368" s="239" t="s">
        <v>19</v>
      </c>
      <c r="C368" s="239" t="s">
        <v>20</v>
      </c>
      <c r="D368" s="239" t="s">
        <v>2537</v>
      </c>
      <c r="E368" s="239" t="s">
        <v>2538</v>
      </c>
      <c r="F368" s="239" t="s">
        <v>2549</v>
      </c>
      <c r="G368" s="239">
        <v>50</v>
      </c>
      <c r="H368" s="239" t="s">
        <v>928</v>
      </c>
      <c r="I368" s="239" t="s">
        <v>2484</v>
      </c>
      <c r="J368" s="239" t="s">
        <v>928</v>
      </c>
      <c r="K368" s="239" t="s">
        <v>2398</v>
      </c>
      <c r="L368" s="239">
        <v>485.99</v>
      </c>
      <c r="M368" s="239">
        <v>0</v>
      </c>
      <c r="N368" s="239">
        <v>0</v>
      </c>
      <c r="O368" s="239">
        <v>0</v>
      </c>
      <c r="P368" s="239">
        <v>0</v>
      </c>
      <c r="Q368" s="239">
        <v>0</v>
      </c>
      <c r="R368" s="239">
        <v>0</v>
      </c>
      <c r="S368" s="239">
        <v>0</v>
      </c>
      <c r="T368" s="239">
        <v>0</v>
      </c>
      <c r="U368" s="239">
        <v>0</v>
      </c>
      <c r="V368" s="239">
        <v>0</v>
      </c>
      <c r="W368" s="239">
        <v>0</v>
      </c>
      <c r="X368" s="239">
        <v>0</v>
      </c>
      <c r="Y368" s="239">
        <v>341.81</v>
      </c>
      <c r="Z368" s="239">
        <v>0</v>
      </c>
      <c r="AA368" s="239">
        <v>0</v>
      </c>
      <c r="AB368" s="239">
        <v>144.18</v>
      </c>
      <c r="AC368" s="239">
        <v>0</v>
      </c>
      <c r="AD368" s="239">
        <v>0</v>
      </c>
      <c r="AE368" s="239" t="s">
        <v>720</v>
      </c>
      <c r="AF368" s="239" t="s">
        <v>721</v>
      </c>
      <c r="AG368" s="239">
        <f t="shared" si="26"/>
        <v>0</v>
      </c>
      <c r="AH368" s="239">
        <f t="shared" si="27"/>
        <v>0</v>
      </c>
      <c r="AI368" s="239">
        <f t="shared" si="28"/>
        <v>0</v>
      </c>
      <c r="AJ368" s="239">
        <f t="shared" si="29"/>
        <v>0</v>
      </c>
    </row>
    <row r="369" spans="1:36" x14ac:dyDescent="0.2">
      <c r="A369" s="240" t="str">
        <f t="shared" si="25"/>
        <v>SNCF100PCX850</v>
      </c>
      <c r="B369" s="239" t="s">
        <v>19</v>
      </c>
      <c r="C369" s="239" t="s">
        <v>20</v>
      </c>
      <c r="D369" s="239" t="s">
        <v>2537</v>
      </c>
      <c r="E369" s="239" t="s">
        <v>2538</v>
      </c>
      <c r="F369" s="239" t="s">
        <v>2549</v>
      </c>
      <c r="G369" s="239">
        <v>50</v>
      </c>
      <c r="H369" s="239" t="s">
        <v>928</v>
      </c>
      <c r="I369" s="239" t="s">
        <v>928</v>
      </c>
      <c r="J369" s="239" t="s">
        <v>928</v>
      </c>
      <c r="K369" s="239" t="s">
        <v>2398</v>
      </c>
      <c r="L369" s="239">
        <v>485.99</v>
      </c>
      <c r="M369" s="239">
        <v>0</v>
      </c>
      <c r="N369" s="239">
        <v>0</v>
      </c>
      <c r="O369" s="239">
        <v>0</v>
      </c>
      <c r="P369" s="239">
        <v>0</v>
      </c>
      <c r="Q369" s="239">
        <v>0</v>
      </c>
      <c r="R369" s="239">
        <v>0</v>
      </c>
      <c r="S369" s="239">
        <v>0</v>
      </c>
      <c r="T369" s="239">
        <v>0</v>
      </c>
      <c r="U369" s="239">
        <v>0</v>
      </c>
      <c r="V369" s="239">
        <v>0</v>
      </c>
      <c r="W369" s="239">
        <v>0</v>
      </c>
      <c r="X369" s="239">
        <v>0</v>
      </c>
      <c r="Y369" s="239">
        <v>341.81</v>
      </c>
      <c r="Z369" s="239">
        <v>0</v>
      </c>
      <c r="AA369" s="239">
        <v>0</v>
      </c>
      <c r="AB369" s="239">
        <v>144.18</v>
      </c>
      <c r="AC369" s="239">
        <v>0</v>
      </c>
      <c r="AD369" s="239">
        <v>0</v>
      </c>
      <c r="AE369" s="239" t="s">
        <v>720</v>
      </c>
      <c r="AF369" s="239" t="s">
        <v>721</v>
      </c>
      <c r="AG369" s="239">
        <f t="shared" si="26"/>
        <v>0</v>
      </c>
      <c r="AH369" s="239">
        <f t="shared" si="27"/>
        <v>0</v>
      </c>
      <c r="AI369" s="239">
        <f t="shared" si="28"/>
        <v>0</v>
      </c>
      <c r="AJ369" s="239">
        <f t="shared" si="29"/>
        <v>0</v>
      </c>
    </row>
    <row r="370" spans="1:36" x14ac:dyDescent="0.2">
      <c r="A370" s="240" t="str">
        <f t="shared" si="25"/>
        <v>2SNCF10P7601A30</v>
      </c>
      <c r="B370" s="239" t="s">
        <v>19</v>
      </c>
      <c r="C370" s="239" t="s">
        <v>20</v>
      </c>
      <c r="D370" s="239" t="s">
        <v>2550</v>
      </c>
      <c r="E370" s="239" t="s">
        <v>2538</v>
      </c>
      <c r="F370" s="239" t="s">
        <v>2551</v>
      </c>
      <c r="G370" s="239">
        <v>30</v>
      </c>
      <c r="H370" s="239" t="s">
        <v>928</v>
      </c>
      <c r="I370" s="239" t="s">
        <v>2484</v>
      </c>
      <c r="J370" s="239" t="s">
        <v>928</v>
      </c>
      <c r="K370" s="239" t="s">
        <v>2398</v>
      </c>
      <c r="L370" s="239">
        <v>457.42</v>
      </c>
      <c r="M370" s="239">
        <v>0</v>
      </c>
      <c r="N370" s="239">
        <v>0</v>
      </c>
      <c r="O370" s="239">
        <v>0</v>
      </c>
      <c r="P370" s="239">
        <v>0</v>
      </c>
      <c r="Q370" s="239">
        <v>0</v>
      </c>
      <c r="R370" s="239">
        <v>0</v>
      </c>
      <c r="S370" s="239">
        <v>0</v>
      </c>
      <c r="T370" s="239">
        <v>0</v>
      </c>
      <c r="U370" s="239">
        <v>0</v>
      </c>
      <c r="V370" s="239">
        <v>0</v>
      </c>
      <c r="W370" s="239">
        <v>0</v>
      </c>
      <c r="X370" s="239">
        <v>0</v>
      </c>
      <c r="Y370" s="239">
        <v>318.52999999999997</v>
      </c>
      <c r="Z370" s="239">
        <v>0</v>
      </c>
      <c r="AA370" s="239">
        <v>0</v>
      </c>
      <c r="AB370" s="239">
        <v>138.88999999999999</v>
      </c>
      <c r="AC370" s="239">
        <v>0</v>
      </c>
      <c r="AD370" s="239">
        <v>0</v>
      </c>
      <c r="AE370" s="239" t="s">
        <v>720</v>
      </c>
      <c r="AF370" s="239" t="s">
        <v>721</v>
      </c>
      <c r="AG370" s="239">
        <f t="shared" si="26"/>
        <v>0</v>
      </c>
      <c r="AH370" s="239">
        <f t="shared" si="27"/>
        <v>0</v>
      </c>
      <c r="AI370" s="239">
        <f t="shared" si="28"/>
        <v>0</v>
      </c>
      <c r="AJ370" s="239">
        <f t="shared" si="29"/>
        <v>0</v>
      </c>
    </row>
    <row r="371" spans="1:36" x14ac:dyDescent="0.2">
      <c r="A371" s="240" t="str">
        <f t="shared" si="25"/>
        <v>SNCF10P7601A30</v>
      </c>
      <c r="B371" s="239" t="s">
        <v>19</v>
      </c>
      <c r="C371" s="239" t="s">
        <v>20</v>
      </c>
      <c r="D371" s="239" t="s">
        <v>2550</v>
      </c>
      <c r="E371" s="239" t="s">
        <v>2538</v>
      </c>
      <c r="F371" s="239" t="s">
        <v>2551</v>
      </c>
      <c r="G371" s="239">
        <v>30</v>
      </c>
      <c r="H371" s="239" t="s">
        <v>928</v>
      </c>
      <c r="I371" s="239" t="s">
        <v>928</v>
      </c>
      <c r="J371" s="239" t="s">
        <v>928</v>
      </c>
      <c r="K371" s="239" t="s">
        <v>2398</v>
      </c>
      <c r="L371" s="239">
        <v>457.42</v>
      </c>
      <c r="M371" s="239">
        <v>0</v>
      </c>
      <c r="N371" s="239">
        <v>0</v>
      </c>
      <c r="O371" s="239">
        <v>0</v>
      </c>
      <c r="P371" s="239">
        <v>0</v>
      </c>
      <c r="Q371" s="239">
        <v>0</v>
      </c>
      <c r="R371" s="239">
        <v>0</v>
      </c>
      <c r="S371" s="239">
        <v>0</v>
      </c>
      <c r="T371" s="239">
        <v>0</v>
      </c>
      <c r="U371" s="239">
        <v>0</v>
      </c>
      <c r="V371" s="239">
        <v>0</v>
      </c>
      <c r="W371" s="239">
        <v>0</v>
      </c>
      <c r="X371" s="239">
        <v>0</v>
      </c>
      <c r="Y371" s="239">
        <v>318.52999999999997</v>
      </c>
      <c r="Z371" s="239">
        <v>0</v>
      </c>
      <c r="AA371" s="239">
        <v>0</v>
      </c>
      <c r="AB371" s="239">
        <v>138.88999999999999</v>
      </c>
      <c r="AC371" s="239">
        <v>0</v>
      </c>
      <c r="AD371" s="239">
        <v>0</v>
      </c>
      <c r="AE371" s="239" t="s">
        <v>720</v>
      </c>
      <c r="AF371" s="239" t="s">
        <v>721</v>
      </c>
      <c r="AG371" s="239">
        <f t="shared" si="26"/>
        <v>0</v>
      </c>
      <c r="AH371" s="239">
        <f t="shared" si="27"/>
        <v>0</v>
      </c>
      <c r="AI371" s="239">
        <f t="shared" si="28"/>
        <v>0</v>
      </c>
      <c r="AJ371" s="239">
        <f t="shared" si="29"/>
        <v>0</v>
      </c>
    </row>
    <row r="372" spans="1:36" x14ac:dyDescent="0.2">
      <c r="A372" s="240" t="str">
        <f t="shared" si="25"/>
        <v>2SNCF10P7601A50</v>
      </c>
      <c r="B372" s="239" t="s">
        <v>19</v>
      </c>
      <c r="C372" s="239" t="s">
        <v>20</v>
      </c>
      <c r="D372" s="239" t="s">
        <v>2550</v>
      </c>
      <c r="E372" s="239" t="s">
        <v>2538</v>
      </c>
      <c r="F372" s="239" t="s">
        <v>2551</v>
      </c>
      <c r="G372" s="239">
        <v>50</v>
      </c>
      <c r="H372" s="239" t="s">
        <v>928</v>
      </c>
      <c r="I372" s="239" t="s">
        <v>2484</v>
      </c>
      <c r="J372" s="239" t="s">
        <v>928</v>
      </c>
      <c r="K372" s="239" t="s">
        <v>2398</v>
      </c>
      <c r="L372" s="239">
        <v>675.55</v>
      </c>
      <c r="M372" s="239">
        <v>0</v>
      </c>
      <c r="N372" s="239">
        <v>0</v>
      </c>
      <c r="O372" s="239">
        <v>0</v>
      </c>
      <c r="P372" s="239">
        <v>0</v>
      </c>
      <c r="Q372" s="239">
        <v>0</v>
      </c>
      <c r="R372" s="239">
        <v>0</v>
      </c>
      <c r="S372" s="239">
        <v>0</v>
      </c>
      <c r="T372" s="239">
        <v>0</v>
      </c>
      <c r="U372" s="239">
        <v>0</v>
      </c>
      <c r="V372" s="239">
        <v>0</v>
      </c>
      <c r="W372" s="239">
        <v>0</v>
      </c>
      <c r="X372" s="239">
        <v>0</v>
      </c>
      <c r="Y372" s="239">
        <v>421.55</v>
      </c>
      <c r="Z372" s="239">
        <v>0</v>
      </c>
      <c r="AA372" s="239">
        <v>0</v>
      </c>
      <c r="AB372" s="239">
        <v>254.01</v>
      </c>
      <c r="AC372" s="239">
        <v>0</v>
      </c>
      <c r="AD372" s="239">
        <v>0</v>
      </c>
      <c r="AE372" s="239" t="s">
        <v>720</v>
      </c>
      <c r="AF372" s="239" t="s">
        <v>721</v>
      </c>
      <c r="AG372" s="239">
        <f t="shared" si="26"/>
        <v>0</v>
      </c>
      <c r="AH372" s="239">
        <f t="shared" si="27"/>
        <v>0</v>
      </c>
      <c r="AI372" s="239">
        <f t="shared" si="28"/>
        <v>0</v>
      </c>
      <c r="AJ372" s="239">
        <f t="shared" si="29"/>
        <v>0</v>
      </c>
    </row>
    <row r="373" spans="1:36" x14ac:dyDescent="0.2">
      <c r="A373" s="240" t="str">
        <f t="shared" si="25"/>
        <v>SNCF10P7601A50</v>
      </c>
      <c r="B373" s="239" t="s">
        <v>19</v>
      </c>
      <c r="C373" s="239" t="s">
        <v>20</v>
      </c>
      <c r="D373" s="239" t="s">
        <v>2550</v>
      </c>
      <c r="E373" s="239" t="s">
        <v>2538</v>
      </c>
      <c r="F373" s="239" t="s">
        <v>2551</v>
      </c>
      <c r="G373" s="239">
        <v>50</v>
      </c>
      <c r="H373" s="239" t="s">
        <v>928</v>
      </c>
      <c r="I373" s="239" t="s">
        <v>928</v>
      </c>
      <c r="J373" s="239" t="s">
        <v>928</v>
      </c>
      <c r="K373" s="239" t="s">
        <v>2398</v>
      </c>
      <c r="L373" s="239">
        <v>675.55</v>
      </c>
      <c r="M373" s="239">
        <v>0</v>
      </c>
      <c r="N373" s="239">
        <v>0</v>
      </c>
      <c r="O373" s="239">
        <v>0</v>
      </c>
      <c r="P373" s="239">
        <v>0</v>
      </c>
      <c r="Q373" s="239">
        <v>0</v>
      </c>
      <c r="R373" s="239">
        <v>0</v>
      </c>
      <c r="S373" s="239">
        <v>0</v>
      </c>
      <c r="T373" s="239">
        <v>0</v>
      </c>
      <c r="U373" s="239">
        <v>0</v>
      </c>
      <c r="V373" s="239">
        <v>0</v>
      </c>
      <c r="W373" s="239">
        <v>0</v>
      </c>
      <c r="X373" s="239">
        <v>0</v>
      </c>
      <c r="Y373" s="239">
        <v>421.55</v>
      </c>
      <c r="Z373" s="239">
        <v>0</v>
      </c>
      <c r="AA373" s="239">
        <v>0</v>
      </c>
      <c r="AB373" s="239">
        <v>254.01</v>
      </c>
      <c r="AC373" s="239">
        <v>0</v>
      </c>
      <c r="AD373" s="239">
        <v>0</v>
      </c>
      <c r="AE373" s="239" t="s">
        <v>720</v>
      </c>
      <c r="AF373" s="239" t="s">
        <v>721</v>
      </c>
      <c r="AG373" s="239">
        <f t="shared" si="26"/>
        <v>0</v>
      </c>
      <c r="AH373" s="239">
        <f t="shared" si="27"/>
        <v>0</v>
      </c>
      <c r="AI373" s="239">
        <f t="shared" si="28"/>
        <v>0</v>
      </c>
      <c r="AJ373" s="239">
        <f t="shared" si="29"/>
        <v>0</v>
      </c>
    </row>
    <row r="374" spans="1:36" x14ac:dyDescent="0.2">
      <c r="A374" s="240" t="str">
        <f t="shared" si="25"/>
        <v>2SNCF10P7601AA30</v>
      </c>
      <c r="B374" s="239" t="s">
        <v>19</v>
      </c>
      <c r="C374" s="239" t="s">
        <v>20</v>
      </c>
      <c r="D374" s="239" t="s">
        <v>2550</v>
      </c>
      <c r="E374" s="239" t="s">
        <v>2538</v>
      </c>
      <c r="F374" s="239" t="s">
        <v>2552</v>
      </c>
      <c r="G374" s="239">
        <v>30</v>
      </c>
      <c r="H374" s="239" t="s">
        <v>928</v>
      </c>
      <c r="I374" s="239" t="s">
        <v>2484</v>
      </c>
      <c r="J374" s="239" t="s">
        <v>928</v>
      </c>
      <c r="K374" s="239" t="s">
        <v>2398</v>
      </c>
      <c r="L374" s="239">
        <v>575.54999999999995</v>
      </c>
      <c r="M374" s="239">
        <v>0</v>
      </c>
      <c r="N374" s="239">
        <v>0</v>
      </c>
      <c r="O374" s="239">
        <v>0</v>
      </c>
      <c r="P374" s="239">
        <v>0</v>
      </c>
      <c r="Q374" s="239">
        <v>0</v>
      </c>
      <c r="R374" s="239">
        <v>0</v>
      </c>
      <c r="S374" s="239">
        <v>0</v>
      </c>
      <c r="T374" s="239">
        <v>0</v>
      </c>
      <c r="U374" s="239">
        <v>0</v>
      </c>
      <c r="V374" s="239">
        <v>0</v>
      </c>
      <c r="W374" s="239">
        <v>0</v>
      </c>
      <c r="X374" s="239">
        <v>0</v>
      </c>
      <c r="Y374" s="239">
        <v>420.78</v>
      </c>
      <c r="Z374" s="239">
        <v>0</v>
      </c>
      <c r="AA374" s="239">
        <v>0</v>
      </c>
      <c r="AB374" s="239">
        <v>154.77000000000001</v>
      </c>
      <c r="AC374" s="239">
        <v>0</v>
      </c>
      <c r="AD374" s="239">
        <v>0</v>
      </c>
      <c r="AE374" s="239" t="s">
        <v>720</v>
      </c>
      <c r="AF374" s="239" t="s">
        <v>721</v>
      </c>
      <c r="AG374" s="239">
        <f t="shared" si="26"/>
        <v>0</v>
      </c>
      <c r="AH374" s="239">
        <f t="shared" si="27"/>
        <v>0</v>
      </c>
      <c r="AI374" s="239">
        <f t="shared" si="28"/>
        <v>0</v>
      </c>
      <c r="AJ374" s="239">
        <f t="shared" si="29"/>
        <v>0</v>
      </c>
    </row>
    <row r="375" spans="1:36" x14ac:dyDescent="0.2">
      <c r="A375" s="240" t="str">
        <f t="shared" si="25"/>
        <v>SNCF10P7601AA30</v>
      </c>
      <c r="B375" s="239" t="s">
        <v>19</v>
      </c>
      <c r="C375" s="239" t="s">
        <v>20</v>
      </c>
      <c r="D375" s="239" t="s">
        <v>2550</v>
      </c>
      <c r="E375" s="239" t="s">
        <v>2538</v>
      </c>
      <c r="F375" s="239" t="s">
        <v>2552</v>
      </c>
      <c r="G375" s="239">
        <v>30</v>
      </c>
      <c r="H375" s="239" t="s">
        <v>928</v>
      </c>
      <c r="I375" s="239" t="s">
        <v>928</v>
      </c>
      <c r="J375" s="239" t="s">
        <v>928</v>
      </c>
      <c r="K375" s="239" t="s">
        <v>2398</v>
      </c>
      <c r="L375" s="239">
        <v>575.54999999999995</v>
      </c>
      <c r="M375" s="239">
        <v>0</v>
      </c>
      <c r="N375" s="239">
        <v>0</v>
      </c>
      <c r="O375" s="239">
        <v>0</v>
      </c>
      <c r="P375" s="239">
        <v>0</v>
      </c>
      <c r="Q375" s="239">
        <v>0</v>
      </c>
      <c r="R375" s="239">
        <v>0</v>
      </c>
      <c r="S375" s="239">
        <v>0</v>
      </c>
      <c r="T375" s="239">
        <v>0</v>
      </c>
      <c r="U375" s="239">
        <v>0</v>
      </c>
      <c r="V375" s="239">
        <v>0</v>
      </c>
      <c r="W375" s="239">
        <v>0</v>
      </c>
      <c r="X375" s="239">
        <v>0</v>
      </c>
      <c r="Y375" s="239">
        <v>420.78</v>
      </c>
      <c r="Z375" s="239">
        <v>0</v>
      </c>
      <c r="AA375" s="239">
        <v>0</v>
      </c>
      <c r="AB375" s="239">
        <v>154.77000000000001</v>
      </c>
      <c r="AC375" s="239">
        <v>0</v>
      </c>
      <c r="AD375" s="239">
        <v>0</v>
      </c>
      <c r="AE375" s="239" t="s">
        <v>720</v>
      </c>
      <c r="AF375" s="239" t="s">
        <v>721</v>
      </c>
      <c r="AG375" s="239">
        <f t="shared" si="26"/>
        <v>0</v>
      </c>
      <c r="AH375" s="239">
        <f t="shared" si="27"/>
        <v>0</v>
      </c>
      <c r="AI375" s="239">
        <f t="shared" si="28"/>
        <v>0</v>
      </c>
      <c r="AJ375" s="239">
        <f t="shared" si="29"/>
        <v>0</v>
      </c>
    </row>
    <row r="376" spans="1:36" x14ac:dyDescent="0.2">
      <c r="A376" s="240" t="str">
        <f t="shared" si="25"/>
        <v>2SNCF10P7601C30</v>
      </c>
      <c r="B376" s="239" t="s">
        <v>19</v>
      </c>
      <c r="C376" s="239" t="s">
        <v>20</v>
      </c>
      <c r="D376" s="239" t="s">
        <v>2550</v>
      </c>
      <c r="E376" s="239" t="s">
        <v>2538</v>
      </c>
      <c r="F376" s="239" t="s">
        <v>2553</v>
      </c>
      <c r="G376" s="239">
        <v>30</v>
      </c>
      <c r="H376" s="239" t="s">
        <v>928</v>
      </c>
      <c r="I376" s="239" t="s">
        <v>2484</v>
      </c>
      <c r="J376" s="239" t="s">
        <v>928</v>
      </c>
      <c r="K376" s="239" t="s">
        <v>2398</v>
      </c>
      <c r="L376" s="239">
        <v>575.54999999999995</v>
      </c>
      <c r="M376" s="239">
        <v>0</v>
      </c>
      <c r="N376" s="239">
        <v>0</v>
      </c>
      <c r="O376" s="239">
        <v>0</v>
      </c>
      <c r="P376" s="239">
        <v>0</v>
      </c>
      <c r="Q376" s="239">
        <v>0</v>
      </c>
      <c r="R376" s="239">
        <v>0</v>
      </c>
      <c r="S376" s="239">
        <v>0</v>
      </c>
      <c r="T376" s="239">
        <v>0</v>
      </c>
      <c r="U376" s="239">
        <v>0</v>
      </c>
      <c r="V376" s="239">
        <v>0</v>
      </c>
      <c r="W376" s="239">
        <v>0</v>
      </c>
      <c r="X376" s="239">
        <v>0</v>
      </c>
      <c r="Y376" s="239">
        <v>420.78</v>
      </c>
      <c r="Z376" s="239">
        <v>0</v>
      </c>
      <c r="AA376" s="239">
        <v>0</v>
      </c>
      <c r="AB376" s="239">
        <v>154.77000000000001</v>
      </c>
      <c r="AC376" s="239">
        <v>0</v>
      </c>
      <c r="AD376" s="239">
        <v>0</v>
      </c>
      <c r="AE376" s="239" t="s">
        <v>720</v>
      </c>
      <c r="AF376" s="239" t="s">
        <v>721</v>
      </c>
      <c r="AG376" s="239">
        <f t="shared" si="26"/>
        <v>0</v>
      </c>
      <c r="AH376" s="239">
        <f t="shared" si="27"/>
        <v>0</v>
      </c>
      <c r="AI376" s="239">
        <f t="shared" si="28"/>
        <v>0</v>
      </c>
      <c r="AJ376" s="239">
        <f t="shared" si="29"/>
        <v>0</v>
      </c>
    </row>
    <row r="377" spans="1:36" x14ac:dyDescent="0.2">
      <c r="A377" s="240" t="str">
        <f t="shared" si="25"/>
        <v>SNCF10P7601C30</v>
      </c>
      <c r="B377" s="239" t="s">
        <v>19</v>
      </c>
      <c r="C377" s="239" t="s">
        <v>20</v>
      </c>
      <c r="D377" s="239" t="s">
        <v>2550</v>
      </c>
      <c r="E377" s="239" t="s">
        <v>2538</v>
      </c>
      <c r="F377" s="239" t="s">
        <v>2553</v>
      </c>
      <c r="G377" s="239">
        <v>30</v>
      </c>
      <c r="H377" s="239" t="s">
        <v>928</v>
      </c>
      <c r="I377" s="239" t="s">
        <v>928</v>
      </c>
      <c r="J377" s="239" t="s">
        <v>928</v>
      </c>
      <c r="K377" s="239" t="s">
        <v>2398</v>
      </c>
      <c r="L377" s="239">
        <v>575.54999999999995</v>
      </c>
      <c r="M377" s="239">
        <v>0</v>
      </c>
      <c r="N377" s="239">
        <v>0</v>
      </c>
      <c r="O377" s="239">
        <v>0</v>
      </c>
      <c r="P377" s="239">
        <v>0</v>
      </c>
      <c r="Q377" s="239">
        <v>0</v>
      </c>
      <c r="R377" s="239">
        <v>0</v>
      </c>
      <c r="S377" s="239">
        <v>0</v>
      </c>
      <c r="T377" s="239">
        <v>0</v>
      </c>
      <c r="U377" s="239">
        <v>0</v>
      </c>
      <c r="V377" s="239">
        <v>0</v>
      </c>
      <c r="W377" s="239">
        <v>0</v>
      </c>
      <c r="X377" s="239">
        <v>0</v>
      </c>
      <c r="Y377" s="239">
        <v>420.78</v>
      </c>
      <c r="Z377" s="239">
        <v>0</v>
      </c>
      <c r="AA377" s="239">
        <v>0</v>
      </c>
      <c r="AB377" s="239">
        <v>154.77000000000001</v>
      </c>
      <c r="AC377" s="239">
        <v>0</v>
      </c>
      <c r="AD377" s="239">
        <v>0</v>
      </c>
      <c r="AE377" s="239" t="s">
        <v>720</v>
      </c>
      <c r="AF377" s="239" t="s">
        <v>721</v>
      </c>
      <c r="AG377" s="239">
        <f t="shared" si="26"/>
        <v>0</v>
      </c>
      <c r="AH377" s="239">
        <f t="shared" si="27"/>
        <v>0</v>
      </c>
      <c r="AI377" s="239">
        <f t="shared" si="28"/>
        <v>0</v>
      </c>
      <c r="AJ377" s="239">
        <f t="shared" si="29"/>
        <v>0</v>
      </c>
    </row>
    <row r="378" spans="1:36" x14ac:dyDescent="0.2">
      <c r="A378" s="240" t="str">
        <f t="shared" si="25"/>
        <v>2SNCF10P7601C40</v>
      </c>
      <c r="B378" s="239" t="s">
        <v>19</v>
      </c>
      <c r="C378" s="239" t="s">
        <v>20</v>
      </c>
      <c r="D378" s="239" t="s">
        <v>2550</v>
      </c>
      <c r="E378" s="239" t="s">
        <v>2538</v>
      </c>
      <c r="F378" s="239" t="s">
        <v>2553</v>
      </c>
      <c r="G378" s="239">
        <v>40</v>
      </c>
      <c r="H378" s="239" t="s">
        <v>928</v>
      </c>
      <c r="I378" s="239" t="s">
        <v>2484</v>
      </c>
      <c r="J378" s="239" t="s">
        <v>928</v>
      </c>
      <c r="K378" s="239" t="s">
        <v>2398</v>
      </c>
      <c r="L378" s="239">
        <v>814.83</v>
      </c>
      <c r="M378" s="239">
        <v>0</v>
      </c>
      <c r="N378" s="239">
        <v>0</v>
      </c>
      <c r="O378" s="239">
        <v>0</v>
      </c>
      <c r="P378" s="239">
        <v>0</v>
      </c>
      <c r="Q378" s="239">
        <v>0</v>
      </c>
      <c r="R378" s="239">
        <v>0</v>
      </c>
      <c r="S378" s="239">
        <v>0</v>
      </c>
      <c r="T378" s="239">
        <v>0</v>
      </c>
      <c r="U378" s="239">
        <v>0</v>
      </c>
      <c r="V378" s="239">
        <v>0</v>
      </c>
      <c r="W378" s="239">
        <v>0</v>
      </c>
      <c r="X378" s="239">
        <v>0</v>
      </c>
      <c r="Y378" s="239">
        <v>533.94000000000005</v>
      </c>
      <c r="Z378" s="239">
        <v>0</v>
      </c>
      <c r="AA378" s="239">
        <v>0</v>
      </c>
      <c r="AB378" s="239">
        <v>280.89</v>
      </c>
      <c r="AC378" s="239">
        <v>0</v>
      </c>
      <c r="AD378" s="239">
        <v>0</v>
      </c>
      <c r="AE378" s="239" t="s">
        <v>720</v>
      </c>
      <c r="AF378" s="239" t="s">
        <v>721</v>
      </c>
      <c r="AG378" s="239">
        <f t="shared" si="26"/>
        <v>0</v>
      </c>
      <c r="AH378" s="239">
        <f t="shared" si="27"/>
        <v>0</v>
      </c>
      <c r="AI378" s="239">
        <f t="shared" si="28"/>
        <v>0</v>
      </c>
      <c r="AJ378" s="239">
        <f t="shared" si="29"/>
        <v>0</v>
      </c>
    </row>
    <row r="379" spans="1:36" x14ac:dyDescent="0.2">
      <c r="A379" s="240" t="str">
        <f t="shared" si="25"/>
        <v>SNCF10P7601C40</v>
      </c>
      <c r="B379" s="239" t="s">
        <v>19</v>
      </c>
      <c r="C379" s="239" t="s">
        <v>20</v>
      </c>
      <c r="D379" s="239" t="s">
        <v>2550</v>
      </c>
      <c r="E379" s="239" t="s">
        <v>2538</v>
      </c>
      <c r="F379" s="239" t="s">
        <v>2553</v>
      </c>
      <c r="G379" s="239">
        <v>40</v>
      </c>
      <c r="H379" s="239" t="s">
        <v>928</v>
      </c>
      <c r="I379" s="239" t="s">
        <v>928</v>
      </c>
      <c r="J379" s="239" t="s">
        <v>928</v>
      </c>
      <c r="K379" s="239" t="s">
        <v>2398</v>
      </c>
      <c r="L379" s="239">
        <v>814.83</v>
      </c>
      <c r="M379" s="239">
        <v>0</v>
      </c>
      <c r="N379" s="239">
        <v>0</v>
      </c>
      <c r="O379" s="239">
        <v>0</v>
      </c>
      <c r="P379" s="239">
        <v>0</v>
      </c>
      <c r="Q379" s="239">
        <v>0</v>
      </c>
      <c r="R379" s="239">
        <v>0</v>
      </c>
      <c r="S379" s="239">
        <v>0</v>
      </c>
      <c r="T379" s="239">
        <v>0</v>
      </c>
      <c r="U379" s="239">
        <v>0</v>
      </c>
      <c r="V379" s="239">
        <v>0</v>
      </c>
      <c r="W379" s="239">
        <v>0</v>
      </c>
      <c r="X379" s="239">
        <v>0</v>
      </c>
      <c r="Y379" s="239">
        <v>533.94000000000005</v>
      </c>
      <c r="Z379" s="239">
        <v>0</v>
      </c>
      <c r="AA379" s="239">
        <v>0</v>
      </c>
      <c r="AB379" s="239">
        <v>280.89</v>
      </c>
      <c r="AC379" s="239">
        <v>0</v>
      </c>
      <c r="AD379" s="239">
        <v>0</v>
      </c>
      <c r="AE379" s="239" t="s">
        <v>720</v>
      </c>
      <c r="AF379" s="239" t="s">
        <v>721</v>
      </c>
      <c r="AG379" s="239">
        <f t="shared" si="26"/>
        <v>0</v>
      </c>
      <c r="AH379" s="239">
        <f t="shared" si="27"/>
        <v>0</v>
      </c>
      <c r="AI379" s="239">
        <f t="shared" si="28"/>
        <v>0</v>
      </c>
      <c r="AJ379" s="239">
        <f t="shared" si="29"/>
        <v>0</v>
      </c>
    </row>
    <row r="380" spans="1:36" x14ac:dyDescent="0.2">
      <c r="A380" s="240" t="str">
        <f t="shared" si="25"/>
        <v>2SNCF10P7601EA30</v>
      </c>
      <c r="B380" s="239" t="s">
        <v>19</v>
      </c>
      <c r="C380" s="239" t="s">
        <v>20</v>
      </c>
      <c r="D380" s="239" t="s">
        <v>2550</v>
      </c>
      <c r="E380" s="239" t="s">
        <v>2538</v>
      </c>
      <c r="F380" s="239" t="s">
        <v>2554</v>
      </c>
      <c r="G380" s="239">
        <v>30</v>
      </c>
      <c r="H380" s="239" t="s">
        <v>928</v>
      </c>
      <c r="I380" s="239" t="s">
        <v>2484</v>
      </c>
      <c r="J380" s="239" t="s">
        <v>928</v>
      </c>
      <c r="K380" s="239" t="s">
        <v>2398</v>
      </c>
      <c r="L380" s="239">
        <v>447.11</v>
      </c>
      <c r="M380" s="239">
        <v>0</v>
      </c>
      <c r="N380" s="239">
        <v>0</v>
      </c>
      <c r="O380" s="239">
        <v>0</v>
      </c>
      <c r="P380" s="239">
        <v>0</v>
      </c>
      <c r="Q380" s="239">
        <v>0</v>
      </c>
      <c r="R380" s="239">
        <v>0</v>
      </c>
      <c r="S380" s="239">
        <v>0</v>
      </c>
      <c r="T380" s="239">
        <v>0</v>
      </c>
      <c r="U380" s="239">
        <v>0</v>
      </c>
      <c r="V380" s="239">
        <v>0</v>
      </c>
      <c r="W380" s="239">
        <v>0</v>
      </c>
      <c r="X380" s="239">
        <v>0</v>
      </c>
      <c r="Y380" s="239">
        <v>305.32</v>
      </c>
      <c r="Z380" s="239">
        <v>0</v>
      </c>
      <c r="AA380" s="239">
        <v>0</v>
      </c>
      <c r="AB380" s="239">
        <v>141.79</v>
      </c>
      <c r="AC380" s="239">
        <v>0</v>
      </c>
      <c r="AD380" s="239">
        <v>0</v>
      </c>
      <c r="AE380" s="239" t="s">
        <v>720</v>
      </c>
      <c r="AF380" s="239" t="s">
        <v>721</v>
      </c>
      <c r="AG380" s="239">
        <f t="shared" si="26"/>
        <v>0</v>
      </c>
      <c r="AH380" s="239">
        <f t="shared" si="27"/>
        <v>0</v>
      </c>
      <c r="AI380" s="239">
        <f t="shared" si="28"/>
        <v>0</v>
      </c>
      <c r="AJ380" s="239">
        <f t="shared" si="29"/>
        <v>0</v>
      </c>
    </row>
    <row r="381" spans="1:36" x14ac:dyDescent="0.2">
      <c r="A381" s="240" t="str">
        <f t="shared" si="25"/>
        <v>SNCF10P7601EA30</v>
      </c>
      <c r="B381" s="239" t="s">
        <v>19</v>
      </c>
      <c r="C381" s="239" t="s">
        <v>20</v>
      </c>
      <c r="D381" s="239" t="s">
        <v>2550</v>
      </c>
      <c r="E381" s="239" t="s">
        <v>2538</v>
      </c>
      <c r="F381" s="239" t="s">
        <v>2554</v>
      </c>
      <c r="G381" s="239">
        <v>30</v>
      </c>
      <c r="H381" s="239" t="s">
        <v>928</v>
      </c>
      <c r="I381" s="239" t="s">
        <v>928</v>
      </c>
      <c r="J381" s="239" t="s">
        <v>928</v>
      </c>
      <c r="K381" s="239" t="s">
        <v>2398</v>
      </c>
      <c r="L381" s="239">
        <v>447.11</v>
      </c>
      <c r="M381" s="239">
        <v>0</v>
      </c>
      <c r="N381" s="239">
        <v>0</v>
      </c>
      <c r="O381" s="239">
        <v>0</v>
      </c>
      <c r="P381" s="239">
        <v>0</v>
      </c>
      <c r="Q381" s="239">
        <v>0</v>
      </c>
      <c r="R381" s="239">
        <v>0</v>
      </c>
      <c r="S381" s="239">
        <v>0</v>
      </c>
      <c r="T381" s="239">
        <v>0</v>
      </c>
      <c r="U381" s="239">
        <v>0</v>
      </c>
      <c r="V381" s="239">
        <v>0</v>
      </c>
      <c r="W381" s="239">
        <v>0</v>
      </c>
      <c r="X381" s="239">
        <v>0</v>
      </c>
      <c r="Y381" s="239">
        <v>305.32</v>
      </c>
      <c r="Z381" s="239">
        <v>0</v>
      </c>
      <c r="AA381" s="239">
        <v>0</v>
      </c>
      <c r="AB381" s="239">
        <v>141.79</v>
      </c>
      <c r="AC381" s="239">
        <v>0</v>
      </c>
      <c r="AD381" s="239">
        <v>0</v>
      </c>
      <c r="AE381" s="239" t="s">
        <v>720</v>
      </c>
      <c r="AF381" s="239" t="s">
        <v>721</v>
      </c>
      <c r="AG381" s="239">
        <f t="shared" si="26"/>
        <v>0</v>
      </c>
      <c r="AH381" s="239">
        <f t="shared" si="27"/>
        <v>0</v>
      </c>
      <c r="AI381" s="239">
        <f t="shared" si="28"/>
        <v>0</v>
      </c>
      <c r="AJ381" s="239">
        <f t="shared" si="29"/>
        <v>0</v>
      </c>
    </row>
    <row r="382" spans="1:36" x14ac:dyDescent="0.2">
      <c r="A382" s="240" t="str">
        <f t="shared" si="25"/>
        <v>2SNCF10P7601EA40</v>
      </c>
      <c r="B382" s="239" t="s">
        <v>19</v>
      </c>
      <c r="C382" s="239" t="s">
        <v>20</v>
      </c>
      <c r="D382" s="239" t="s">
        <v>2550</v>
      </c>
      <c r="E382" s="239" t="s">
        <v>2538</v>
      </c>
      <c r="F382" s="239" t="s">
        <v>2554</v>
      </c>
      <c r="G382" s="239">
        <v>40</v>
      </c>
      <c r="H382" s="239" t="s">
        <v>928</v>
      </c>
      <c r="I382" s="239" t="s">
        <v>2484</v>
      </c>
      <c r="J382" s="239" t="s">
        <v>928</v>
      </c>
      <c r="K382" s="239" t="s">
        <v>2398</v>
      </c>
      <c r="L382" s="239">
        <v>512.95000000000005</v>
      </c>
      <c r="M382" s="239">
        <v>0</v>
      </c>
      <c r="N382" s="239">
        <v>0</v>
      </c>
      <c r="O382" s="239">
        <v>0</v>
      </c>
      <c r="P382" s="239">
        <v>0</v>
      </c>
      <c r="Q382" s="239">
        <v>0</v>
      </c>
      <c r="R382" s="239">
        <v>0</v>
      </c>
      <c r="S382" s="239">
        <v>0</v>
      </c>
      <c r="T382" s="239">
        <v>0</v>
      </c>
      <c r="U382" s="239">
        <v>0</v>
      </c>
      <c r="V382" s="239">
        <v>0</v>
      </c>
      <c r="W382" s="239">
        <v>0</v>
      </c>
      <c r="X382" s="239">
        <v>0</v>
      </c>
      <c r="Y382" s="239">
        <v>342.35</v>
      </c>
      <c r="Z382" s="239">
        <v>0</v>
      </c>
      <c r="AA382" s="239">
        <v>0</v>
      </c>
      <c r="AB382" s="239">
        <v>170.59</v>
      </c>
      <c r="AC382" s="239">
        <v>0</v>
      </c>
      <c r="AD382" s="239">
        <v>0</v>
      </c>
      <c r="AE382" s="239" t="s">
        <v>720</v>
      </c>
      <c r="AF382" s="239" t="s">
        <v>721</v>
      </c>
      <c r="AG382" s="239">
        <f t="shared" si="26"/>
        <v>0</v>
      </c>
      <c r="AH382" s="239">
        <f t="shared" si="27"/>
        <v>0</v>
      </c>
      <c r="AI382" s="239">
        <f t="shared" si="28"/>
        <v>0</v>
      </c>
      <c r="AJ382" s="239">
        <f t="shared" si="29"/>
        <v>0</v>
      </c>
    </row>
    <row r="383" spans="1:36" x14ac:dyDescent="0.2">
      <c r="A383" s="240" t="str">
        <f t="shared" si="25"/>
        <v>SNCF10P7601EA40</v>
      </c>
      <c r="B383" s="239" t="s">
        <v>19</v>
      </c>
      <c r="C383" s="239" t="s">
        <v>20</v>
      </c>
      <c r="D383" s="239" t="s">
        <v>2550</v>
      </c>
      <c r="E383" s="239" t="s">
        <v>2538</v>
      </c>
      <c r="F383" s="239" t="s">
        <v>2554</v>
      </c>
      <c r="G383" s="239">
        <v>40</v>
      </c>
      <c r="H383" s="239" t="s">
        <v>928</v>
      </c>
      <c r="I383" s="239" t="s">
        <v>928</v>
      </c>
      <c r="J383" s="239" t="s">
        <v>928</v>
      </c>
      <c r="K383" s="239" t="s">
        <v>2398</v>
      </c>
      <c r="L383" s="239">
        <v>512.95000000000005</v>
      </c>
      <c r="M383" s="239">
        <v>0</v>
      </c>
      <c r="N383" s="239">
        <v>0</v>
      </c>
      <c r="O383" s="239">
        <v>0</v>
      </c>
      <c r="P383" s="239">
        <v>0</v>
      </c>
      <c r="Q383" s="239">
        <v>0</v>
      </c>
      <c r="R383" s="239">
        <v>0</v>
      </c>
      <c r="S383" s="239">
        <v>0</v>
      </c>
      <c r="T383" s="239">
        <v>0</v>
      </c>
      <c r="U383" s="239">
        <v>0</v>
      </c>
      <c r="V383" s="239">
        <v>0</v>
      </c>
      <c r="W383" s="239">
        <v>0</v>
      </c>
      <c r="X383" s="239">
        <v>0</v>
      </c>
      <c r="Y383" s="239">
        <v>342.35</v>
      </c>
      <c r="Z383" s="239">
        <v>0</v>
      </c>
      <c r="AA383" s="239">
        <v>0</v>
      </c>
      <c r="AB383" s="239">
        <v>170.59</v>
      </c>
      <c r="AC383" s="239">
        <v>0</v>
      </c>
      <c r="AD383" s="239">
        <v>0</v>
      </c>
      <c r="AE383" s="239" t="s">
        <v>720</v>
      </c>
      <c r="AF383" s="239" t="s">
        <v>721</v>
      </c>
      <c r="AG383" s="239">
        <f t="shared" si="26"/>
        <v>0</v>
      </c>
      <c r="AH383" s="239">
        <f t="shared" si="27"/>
        <v>0</v>
      </c>
      <c r="AI383" s="239">
        <f t="shared" si="28"/>
        <v>0</v>
      </c>
      <c r="AJ383" s="239">
        <f t="shared" si="29"/>
        <v>0</v>
      </c>
    </row>
    <row r="384" spans="1:36" x14ac:dyDescent="0.2">
      <c r="A384" s="240" t="str">
        <f t="shared" si="25"/>
        <v>2SNCF10P7601EA50</v>
      </c>
      <c r="B384" s="239" t="s">
        <v>19</v>
      </c>
      <c r="C384" s="239" t="s">
        <v>20</v>
      </c>
      <c r="D384" s="239" t="s">
        <v>2550</v>
      </c>
      <c r="E384" s="239" t="s">
        <v>2538</v>
      </c>
      <c r="F384" s="239" t="s">
        <v>2554</v>
      </c>
      <c r="G384" s="239">
        <v>50</v>
      </c>
      <c r="H384" s="239" t="s">
        <v>928</v>
      </c>
      <c r="I384" s="239" t="s">
        <v>2484</v>
      </c>
      <c r="J384" s="239" t="s">
        <v>928</v>
      </c>
      <c r="K384" s="239" t="s">
        <v>2398</v>
      </c>
      <c r="L384" s="239">
        <v>718.34</v>
      </c>
      <c r="M384" s="239">
        <v>0</v>
      </c>
      <c r="N384" s="239">
        <v>0</v>
      </c>
      <c r="O384" s="239">
        <v>0</v>
      </c>
      <c r="P384" s="239">
        <v>0</v>
      </c>
      <c r="Q384" s="239">
        <v>0</v>
      </c>
      <c r="R384" s="239">
        <v>0</v>
      </c>
      <c r="S384" s="239">
        <v>0</v>
      </c>
      <c r="T384" s="239">
        <v>0</v>
      </c>
      <c r="U384" s="239">
        <v>0</v>
      </c>
      <c r="V384" s="239">
        <v>0</v>
      </c>
      <c r="W384" s="239">
        <v>0</v>
      </c>
      <c r="X384" s="239">
        <v>0</v>
      </c>
      <c r="Y384" s="239">
        <v>459.5</v>
      </c>
      <c r="Z384" s="239">
        <v>0</v>
      </c>
      <c r="AA384" s="239">
        <v>0</v>
      </c>
      <c r="AB384" s="239">
        <v>258.83999999999997</v>
      </c>
      <c r="AC384" s="239">
        <v>0</v>
      </c>
      <c r="AD384" s="239">
        <v>0</v>
      </c>
      <c r="AE384" s="239" t="s">
        <v>720</v>
      </c>
      <c r="AF384" s="239" t="s">
        <v>721</v>
      </c>
      <c r="AG384" s="239">
        <f t="shared" si="26"/>
        <v>0</v>
      </c>
      <c r="AH384" s="239">
        <f t="shared" si="27"/>
        <v>0</v>
      </c>
      <c r="AI384" s="239">
        <f t="shared" si="28"/>
        <v>0</v>
      </c>
      <c r="AJ384" s="239">
        <f t="shared" si="29"/>
        <v>0</v>
      </c>
    </row>
    <row r="385" spans="1:36" x14ac:dyDescent="0.2">
      <c r="A385" s="240" t="str">
        <f t="shared" si="25"/>
        <v>SNCF10P7601EA50</v>
      </c>
      <c r="B385" s="239" t="s">
        <v>19</v>
      </c>
      <c r="C385" s="239" t="s">
        <v>20</v>
      </c>
      <c r="D385" s="239" t="s">
        <v>2550</v>
      </c>
      <c r="E385" s="239" t="s">
        <v>2538</v>
      </c>
      <c r="F385" s="239" t="s">
        <v>2554</v>
      </c>
      <c r="G385" s="239">
        <v>50</v>
      </c>
      <c r="H385" s="239" t="s">
        <v>928</v>
      </c>
      <c r="I385" s="239" t="s">
        <v>928</v>
      </c>
      <c r="J385" s="239" t="s">
        <v>928</v>
      </c>
      <c r="K385" s="239" t="s">
        <v>2398</v>
      </c>
      <c r="L385" s="239">
        <v>718.34</v>
      </c>
      <c r="M385" s="239">
        <v>0</v>
      </c>
      <c r="N385" s="239">
        <v>0</v>
      </c>
      <c r="O385" s="239">
        <v>0</v>
      </c>
      <c r="P385" s="239">
        <v>0</v>
      </c>
      <c r="Q385" s="239">
        <v>0</v>
      </c>
      <c r="R385" s="239">
        <v>0</v>
      </c>
      <c r="S385" s="239">
        <v>0</v>
      </c>
      <c r="T385" s="239">
        <v>0</v>
      </c>
      <c r="U385" s="239">
        <v>0</v>
      </c>
      <c r="V385" s="239">
        <v>0</v>
      </c>
      <c r="W385" s="239">
        <v>0</v>
      </c>
      <c r="X385" s="239">
        <v>0</v>
      </c>
      <c r="Y385" s="239">
        <v>459.5</v>
      </c>
      <c r="Z385" s="239">
        <v>0</v>
      </c>
      <c r="AA385" s="239">
        <v>0</v>
      </c>
      <c r="AB385" s="239">
        <v>258.83999999999997</v>
      </c>
      <c r="AC385" s="239">
        <v>0</v>
      </c>
      <c r="AD385" s="239">
        <v>0</v>
      </c>
      <c r="AE385" s="239" t="s">
        <v>720</v>
      </c>
      <c r="AF385" s="239" t="s">
        <v>721</v>
      </c>
      <c r="AG385" s="239">
        <f t="shared" si="26"/>
        <v>0</v>
      </c>
      <c r="AH385" s="239">
        <f t="shared" si="27"/>
        <v>0</v>
      </c>
      <c r="AI385" s="239">
        <f t="shared" si="28"/>
        <v>0</v>
      </c>
      <c r="AJ385" s="239">
        <f t="shared" si="29"/>
        <v>0</v>
      </c>
    </row>
    <row r="386" spans="1:36" x14ac:dyDescent="0.2">
      <c r="A386" s="240" t="str">
        <f t="shared" si="25"/>
        <v>2SNCF10P7601EB30</v>
      </c>
      <c r="B386" s="239" t="s">
        <v>19</v>
      </c>
      <c r="C386" s="239" t="s">
        <v>20</v>
      </c>
      <c r="D386" s="239" t="s">
        <v>2550</v>
      </c>
      <c r="E386" s="239" t="s">
        <v>2538</v>
      </c>
      <c r="F386" s="239" t="s">
        <v>2555</v>
      </c>
      <c r="G386" s="239">
        <v>30</v>
      </c>
      <c r="H386" s="239" t="s">
        <v>928</v>
      </c>
      <c r="I386" s="239" t="s">
        <v>2484</v>
      </c>
      <c r="J386" s="239" t="s">
        <v>928</v>
      </c>
      <c r="K386" s="239" t="s">
        <v>2398</v>
      </c>
      <c r="L386" s="239">
        <v>466.05</v>
      </c>
      <c r="M386" s="239">
        <v>0</v>
      </c>
      <c r="N386" s="239">
        <v>0</v>
      </c>
      <c r="O386" s="239">
        <v>0</v>
      </c>
      <c r="P386" s="239">
        <v>0</v>
      </c>
      <c r="Q386" s="239">
        <v>0</v>
      </c>
      <c r="R386" s="239">
        <v>0</v>
      </c>
      <c r="S386" s="239">
        <v>0</v>
      </c>
      <c r="T386" s="239">
        <v>0</v>
      </c>
      <c r="U386" s="239">
        <v>0</v>
      </c>
      <c r="V386" s="239">
        <v>0</v>
      </c>
      <c r="W386" s="239">
        <v>0</v>
      </c>
      <c r="X386" s="239">
        <v>0</v>
      </c>
      <c r="Y386" s="239">
        <v>309.20999999999998</v>
      </c>
      <c r="Z386" s="239">
        <v>0</v>
      </c>
      <c r="AA386" s="239">
        <v>0</v>
      </c>
      <c r="AB386" s="239">
        <v>156.84</v>
      </c>
      <c r="AC386" s="239">
        <v>0</v>
      </c>
      <c r="AD386" s="239">
        <v>0</v>
      </c>
      <c r="AE386" s="239" t="s">
        <v>720</v>
      </c>
      <c r="AF386" s="239" t="s">
        <v>721</v>
      </c>
      <c r="AG386" s="239">
        <f t="shared" si="26"/>
        <v>0</v>
      </c>
      <c r="AH386" s="239">
        <f t="shared" si="27"/>
        <v>0</v>
      </c>
      <c r="AI386" s="239">
        <f t="shared" si="28"/>
        <v>0</v>
      </c>
      <c r="AJ386" s="239">
        <f t="shared" si="29"/>
        <v>0</v>
      </c>
    </row>
    <row r="387" spans="1:36" x14ac:dyDescent="0.2">
      <c r="A387" s="240" t="str">
        <f t="shared" si="25"/>
        <v>SNCF10P7601EB30</v>
      </c>
      <c r="B387" s="239" t="s">
        <v>19</v>
      </c>
      <c r="C387" s="239" t="s">
        <v>20</v>
      </c>
      <c r="D387" s="239" t="s">
        <v>2550</v>
      </c>
      <c r="E387" s="239" t="s">
        <v>2538</v>
      </c>
      <c r="F387" s="239" t="s">
        <v>2555</v>
      </c>
      <c r="G387" s="239">
        <v>30</v>
      </c>
      <c r="H387" s="239" t="s">
        <v>928</v>
      </c>
      <c r="I387" s="239" t="s">
        <v>928</v>
      </c>
      <c r="J387" s="239" t="s">
        <v>928</v>
      </c>
      <c r="K387" s="239" t="s">
        <v>2398</v>
      </c>
      <c r="L387" s="239">
        <v>466.05</v>
      </c>
      <c r="M387" s="239">
        <v>0</v>
      </c>
      <c r="N387" s="239">
        <v>0</v>
      </c>
      <c r="O387" s="239">
        <v>0</v>
      </c>
      <c r="P387" s="239">
        <v>0</v>
      </c>
      <c r="Q387" s="239">
        <v>0</v>
      </c>
      <c r="R387" s="239">
        <v>0</v>
      </c>
      <c r="S387" s="239">
        <v>0</v>
      </c>
      <c r="T387" s="239">
        <v>0</v>
      </c>
      <c r="U387" s="239">
        <v>0</v>
      </c>
      <c r="V387" s="239">
        <v>0</v>
      </c>
      <c r="W387" s="239">
        <v>0</v>
      </c>
      <c r="X387" s="239">
        <v>0</v>
      </c>
      <c r="Y387" s="239">
        <v>309.20999999999998</v>
      </c>
      <c r="Z387" s="239">
        <v>0</v>
      </c>
      <c r="AA387" s="239">
        <v>0</v>
      </c>
      <c r="AB387" s="239">
        <v>156.84</v>
      </c>
      <c r="AC387" s="239">
        <v>0</v>
      </c>
      <c r="AD387" s="239">
        <v>0</v>
      </c>
      <c r="AE387" s="239" t="s">
        <v>720</v>
      </c>
      <c r="AF387" s="239" t="s">
        <v>721</v>
      </c>
      <c r="AG387" s="239">
        <f t="shared" si="26"/>
        <v>0</v>
      </c>
      <c r="AH387" s="239">
        <f t="shared" si="27"/>
        <v>0</v>
      </c>
      <c r="AI387" s="239">
        <f t="shared" si="28"/>
        <v>0</v>
      </c>
      <c r="AJ387" s="239">
        <f t="shared" si="29"/>
        <v>0</v>
      </c>
    </row>
    <row r="388" spans="1:36" x14ac:dyDescent="0.2">
      <c r="A388" s="240" t="str">
        <f t="shared" ref="A388:A451" si="30">TRIM(I388&amp;B388&amp;C388&amp;D388&amp;F388&amp;G388)</f>
        <v>2SNCF10P7601EB50</v>
      </c>
      <c r="B388" s="239" t="s">
        <v>19</v>
      </c>
      <c r="C388" s="239" t="s">
        <v>20</v>
      </c>
      <c r="D388" s="239" t="s">
        <v>2550</v>
      </c>
      <c r="E388" s="239" t="s">
        <v>2538</v>
      </c>
      <c r="F388" s="239" t="s">
        <v>2555</v>
      </c>
      <c r="G388" s="239">
        <v>50</v>
      </c>
      <c r="H388" s="239" t="s">
        <v>928</v>
      </c>
      <c r="I388" s="239" t="s">
        <v>2484</v>
      </c>
      <c r="J388" s="239" t="s">
        <v>928</v>
      </c>
      <c r="K388" s="239" t="s">
        <v>2398</v>
      </c>
      <c r="L388" s="239">
        <v>511.96</v>
      </c>
      <c r="M388" s="239">
        <v>0</v>
      </c>
      <c r="N388" s="239">
        <v>0</v>
      </c>
      <c r="O388" s="239">
        <v>0</v>
      </c>
      <c r="P388" s="239">
        <v>0</v>
      </c>
      <c r="Q388" s="239">
        <v>0</v>
      </c>
      <c r="R388" s="239">
        <v>0</v>
      </c>
      <c r="S388" s="239">
        <v>0</v>
      </c>
      <c r="T388" s="239">
        <v>0</v>
      </c>
      <c r="U388" s="239">
        <v>0</v>
      </c>
      <c r="V388" s="239">
        <v>0</v>
      </c>
      <c r="W388" s="239">
        <v>0</v>
      </c>
      <c r="X388" s="239">
        <v>0</v>
      </c>
      <c r="Y388" s="239">
        <v>354.23</v>
      </c>
      <c r="Z388" s="239">
        <v>0</v>
      </c>
      <c r="AA388" s="239">
        <v>0</v>
      </c>
      <c r="AB388" s="239">
        <v>157.72999999999999</v>
      </c>
      <c r="AC388" s="239">
        <v>0</v>
      </c>
      <c r="AD388" s="239">
        <v>0</v>
      </c>
      <c r="AE388" s="239" t="s">
        <v>720</v>
      </c>
      <c r="AF388" s="239" t="s">
        <v>721</v>
      </c>
      <c r="AG388" s="239">
        <f t="shared" si="26"/>
        <v>0</v>
      </c>
      <c r="AH388" s="239">
        <f t="shared" si="27"/>
        <v>0</v>
      </c>
      <c r="AI388" s="239">
        <f t="shared" si="28"/>
        <v>0</v>
      </c>
      <c r="AJ388" s="239">
        <f t="shared" si="29"/>
        <v>0</v>
      </c>
    </row>
    <row r="389" spans="1:36" x14ac:dyDescent="0.2">
      <c r="A389" s="240" t="str">
        <f t="shared" si="30"/>
        <v>SNCF10P7601EB50</v>
      </c>
      <c r="B389" s="239" t="s">
        <v>19</v>
      </c>
      <c r="C389" s="239" t="s">
        <v>20</v>
      </c>
      <c r="D389" s="239" t="s">
        <v>2550</v>
      </c>
      <c r="E389" s="239" t="s">
        <v>2538</v>
      </c>
      <c r="F389" s="239" t="s">
        <v>2555</v>
      </c>
      <c r="G389" s="239">
        <v>50</v>
      </c>
      <c r="H389" s="239" t="s">
        <v>928</v>
      </c>
      <c r="I389" s="239" t="s">
        <v>928</v>
      </c>
      <c r="J389" s="239" t="s">
        <v>928</v>
      </c>
      <c r="K389" s="239" t="s">
        <v>2398</v>
      </c>
      <c r="L389" s="239">
        <v>511.96</v>
      </c>
      <c r="M389" s="239">
        <v>0</v>
      </c>
      <c r="N389" s="239">
        <v>0</v>
      </c>
      <c r="O389" s="239">
        <v>0</v>
      </c>
      <c r="P389" s="239">
        <v>0</v>
      </c>
      <c r="Q389" s="239">
        <v>0</v>
      </c>
      <c r="R389" s="239">
        <v>0</v>
      </c>
      <c r="S389" s="239">
        <v>0</v>
      </c>
      <c r="T389" s="239">
        <v>0</v>
      </c>
      <c r="U389" s="239">
        <v>0</v>
      </c>
      <c r="V389" s="239">
        <v>0</v>
      </c>
      <c r="W389" s="239">
        <v>0</v>
      </c>
      <c r="X389" s="239">
        <v>0</v>
      </c>
      <c r="Y389" s="239">
        <v>354.23</v>
      </c>
      <c r="Z389" s="239">
        <v>0</v>
      </c>
      <c r="AA389" s="239">
        <v>0</v>
      </c>
      <c r="AB389" s="239">
        <v>157.72999999999999</v>
      </c>
      <c r="AC389" s="239">
        <v>0</v>
      </c>
      <c r="AD389" s="239">
        <v>0</v>
      </c>
      <c r="AE389" s="239" t="s">
        <v>720</v>
      </c>
      <c r="AF389" s="239" t="s">
        <v>721</v>
      </c>
      <c r="AG389" s="239">
        <f t="shared" si="26"/>
        <v>0</v>
      </c>
      <c r="AH389" s="239">
        <f t="shared" si="27"/>
        <v>0</v>
      </c>
      <c r="AI389" s="239">
        <f t="shared" si="28"/>
        <v>0</v>
      </c>
      <c r="AJ389" s="239">
        <f t="shared" si="29"/>
        <v>0</v>
      </c>
    </row>
    <row r="390" spans="1:36" x14ac:dyDescent="0.2">
      <c r="A390" s="240" t="str">
        <f t="shared" si="30"/>
        <v>2SNCF10P7601ED30</v>
      </c>
      <c r="B390" s="239" t="s">
        <v>19</v>
      </c>
      <c r="C390" s="239" t="s">
        <v>20</v>
      </c>
      <c r="D390" s="239" t="s">
        <v>2550</v>
      </c>
      <c r="E390" s="239" t="s">
        <v>2538</v>
      </c>
      <c r="F390" s="239" t="s">
        <v>2556</v>
      </c>
      <c r="G390" s="239">
        <v>30</v>
      </c>
      <c r="H390" s="239" t="s">
        <v>928</v>
      </c>
      <c r="I390" s="239" t="s">
        <v>2484</v>
      </c>
      <c r="J390" s="239" t="s">
        <v>928</v>
      </c>
      <c r="K390" s="239" t="s">
        <v>2398</v>
      </c>
      <c r="L390" s="239">
        <v>521.08000000000004</v>
      </c>
      <c r="M390" s="239">
        <v>0</v>
      </c>
      <c r="N390" s="239">
        <v>0</v>
      </c>
      <c r="O390" s="239">
        <v>0</v>
      </c>
      <c r="P390" s="239">
        <v>0</v>
      </c>
      <c r="Q390" s="239">
        <v>0</v>
      </c>
      <c r="R390" s="239">
        <v>0</v>
      </c>
      <c r="S390" s="239">
        <v>0</v>
      </c>
      <c r="T390" s="239">
        <v>0</v>
      </c>
      <c r="U390" s="239">
        <v>0</v>
      </c>
      <c r="V390" s="239">
        <v>0</v>
      </c>
      <c r="W390" s="239">
        <v>0</v>
      </c>
      <c r="X390" s="239">
        <v>0</v>
      </c>
      <c r="Y390" s="239">
        <v>341.1</v>
      </c>
      <c r="Z390" s="239">
        <v>0</v>
      </c>
      <c r="AA390" s="239">
        <v>0</v>
      </c>
      <c r="AB390" s="239">
        <v>179.98</v>
      </c>
      <c r="AC390" s="239">
        <v>0</v>
      </c>
      <c r="AD390" s="239">
        <v>0</v>
      </c>
      <c r="AE390" s="239" t="s">
        <v>720</v>
      </c>
      <c r="AF390" s="239" t="s">
        <v>721</v>
      </c>
      <c r="AG390" s="239">
        <f t="shared" ref="AG390:AG453" si="31">+O390*M390/100</f>
        <v>0</v>
      </c>
      <c r="AH390" s="239">
        <f t="shared" ref="AH390:AH453" si="32">+P390*M390/100</f>
        <v>0</v>
      </c>
      <c r="AI390" s="239">
        <f t="shared" ref="AI390:AI453" si="33">+AB390*M390/100</f>
        <v>0</v>
      </c>
      <c r="AJ390" s="239">
        <f t="shared" ref="AJ390:AJ453" si="34">+AG390+AH390+AI390</f>
        <v>0</v>
      </c>
    </row>
    <row r="391" spans="1:36" x14ac:dyDescent="0.2">
      <c r="A391" s="240" t="str">
        <f t="shared" si="30"/>
        <v>SNCF10P7601ED30</v>
      </c>
      <c r="B391" s="239" t="s">
        <v>19</v>
      </c>
      <c r="C391" s="239" t="s">
        <v>20</v>
      </c>
      <c r="D391" s="239" t="s">
        <v>2550</v>
      </c>
      <c r="E391" s="239" t="s">
        <v>2538</v>
      </c>
      <c r="F391" s="239" t="s">
        <v>2556</v>
      </c>
      <c r="G391" s="239">
        <v>30</v>
      </c>
      <c r="H391" s="239" t="s">
        <v>928</v>
      </c>
      <c r="I391" s="239" t="s">
        <v>928</v>
      </c>
      <c r="J391" s="239" t="s">
        <v>928</v>
      </c>
      <c r="K391" s="239" t="s">
        <v>2398</v>
      </c>
      <c r="L391" s="239">
        <v>521.08000000000004</v>
      </c>
      <c r="M391" s="239">
        <v>0</v>
      </c>
      <c r="N391" s="239">
        <v>0</v>
      </c>
      <c r="O391" s="239">
        <v>0</v>
      </c>
      <c r="P391" s="239">
        <v>0</v>
      </c>
      <c r="Q391" s="239">
        <v>0</v>
      </c>
      <c r="R391" s="239">
        <v>0</v>
      </c>
      <c r="S391" s="239">
        <v>0</v>
      </c>
      <c r="T391" s="239">
        <v>0</v>
      </c>
      <c r="U391" s="239">
        <v>0</v>
      </c>
      <c r="V391" s="239">
        <v>0</v>
      </c>
      <c r="W391" s="239">
        <v>0</v>
      </c>
      <c r="X391" s="239">
        <v>0</v>
      </c>
      <c r="Y391" s="239">
        <v>341.1</v>
      </c>
      <c r="Z391" s="239">
        <v>0</v>
      </c>
      <c r="AA391" s="239">
        <v>0</v>
      </c>
      <c r="AB391" s="239">
        <v>179.98</v>
      </c>
      <c r="AC391" s="239">
        <v>0</v>
      </c>
      <c r="AD391" s="239">
        <v>0</v>
      </c>
      <c r="AE391" s="239" t="s">
        <v>720</v>
      </c>
      <c r="AF391" s="239" t="s">
        <v>721</v>
      </c>
      <c r="AG391" s="239">
        <f t="shared" si="31"/>
        <v>0</v>
      </c>
      <c r="AH391" s="239">
        <f t="shared" si="32"/>
        <v>0</v>
      </c>
      <c r="AI391" s="239">
        <f t="shared" si="33"/>
        <v>0</v>
      </c>
      <c r="AJ391" s="239">
        <f t="shared" si="34"/>
        <v>0</v>
      </c>
    </row>
    <row r="392" spans="1:36" x14ac:dyDescent="0.2">
      <c r="A392" s="240" t="str">
        <f t="shared" si="30"/>
        <v>2SNCF10P7601ED50</v>
      </c>
      <c r="B392" s="239" t="s">
        <v>19</v>
      </c>
      <c r="C392" s="239" t="s">
        <v>20</v>
      </c>
      <c r="D392" s="239" t="s">
        <v>2550</v>
      </c>
      <c r="E392" s="239" t="s">
        <v>2538</v>
      </c>
      <c r="F392" s="239" t="s">
        <v>2556</v>
      </c>
      <c r="G392" s="239">
        <v>50</v>
      </c>
      <c r="H392" s="239" t="s">
        <v>928</v>
      </c>
      <c r="I392" s="239" t="s">
        <v>2484</v>
      </c>
      <c r="J392" s="239" t="s">
        <v>928</v>
      </c>
      <c r="K392" s="239" t="s">
        <v>2398</v>
      </c>
      <c r="L392" s="239">
        <v>592.79999999999995</v>
      </c>
      <c r="M392" s="239">
        <v>0</v>
      </c>
      <c r="N392" s="239">
        <v>0</v>
      </c>
      <c r="O392" s="239">
        <v>0</v>
      </c>
      <c r="P392" s="239">
        <v>0</v>
      </c>
      <c r="Q392" s="239">
        <v>0</v>
      </c>
      <c r="R392" s="239">
        <v>0</v>
      </c>
      <c r="S392" s="239">
        <v>0</v>
      </c>
      <c r="T392" s="239">
        <v>0</v>
      </c>
      <c r="U392" s="239">
        <v>0</v>
      </c>
      <c r="V392" s="239">
        <v>0</v>
      </c>
      <c r="W392" s="239">
        <v>0</v>
      </c>
      <c r="X392" s="239">
        <v>0</v>
      </c>
      <c r="Y392" s="239">
        <v>390.41</v>
      </c>
      <c r="Z392" s="239">
        <v>0</v>
      </c>
      <c r="AA392" s="239">
        <v>0</v>
      </c>
      <c r="AB392" s="239">
        <v>202.39</v>
      </c>
      <c r="AC392" s="239">
        <v>0</v>
      </c>
      <c r="AD392" s="239">
        <v>0</v>
      </c>
      <c r="AE392" s="239" t="s">
        <v>720</v>
      </c>
      <c r="AF392" s="239" t="s">
        <v>721</v>
      </c>
      <c r="AG392" s="239">
        <f t="shared" si="31"/>
        <v>0</v>
      </c>
      <c r="AH392" s="239">
        <f t="shared" si="32"/>
        <v>0</v>
      </c>
      <c r="AI392" s="239">
        <f t="shared" si="33"/>
        <v>0</v>
      </c>
      <c r="AJ392" s="239">
        <f t="shared" si="34"/>
        <v>0</v>
      </c>
    </row>
    <row r="393" spans="1:36" x14ac:dyDescent="0.2">
      <c r="A393" s="240" t="str">
        <f t="shared" si="30"/>
        <v>SNCF10P7601ED50</v>
      </c>
      <c r="B393" s="239" t="s">
        <v>19</v>
      </c>
      <c r="C393" s="239" t="s">
        <v>20</v>
      </c>
      <c r="D393" s="239" t="s">
        <v>2550</v>
      </c>
      <c r="E393" s="239" t="s">
        <v>2538</v>
      </c>
      <c r="F393" s="239" t="s">
        <v>2556</v>
      </c>
      <c r="G393" s="239">
        <v>50</v>
      </c>
      <c r="H393" s="239" t="s">
        <v>928</v>
      </c>
      <c r="I393" s="239" t="s">
        <v>928</v>
      </c>
      <c r="J393" s="239" t="s">
        <v>928</v>
      </c>
      <c r="K393" s="239" t="s">
        <v>2398</v>
      </c>
      <c r="L393" s="239">
        <v>592.79999999999995</v>
      </c>
      <c r="M393" s="239">
        <v>0</v>
      </c>
      <c r="N393" s="239">
        <v>0</v>
      </c>
      <c r="O393" s="239">
        <v>0</v>
      </c>
      <c r="P393" s="239">
        <v>0</v>
      </c>
      <c r="Q393" s="239">
        <v>0</v>
      </c>
      <c r="R393" s="239">
        <v>0</v>
      </c>
      <c r="S393" s="239">
        <v>0</v>
      </c>
      <c r="T393" s="239">
        <v>0</v>
      </c>
      <c r="U393" s="239">
        <v>0</v>
      </c>
      <c r="V393" s="239">
        <v>0</v>
      </c>
      <c r="W393" s="239">
        <v>0</v>
      </c>
      <c r="X393" s="239">
        <v>0</v>
      </c>
      <c r="Y393" s="239">
        <v>390.41</v>
      </c>
      <c r="Z393" s="239">
        <v>0</v>
      </c>
      <c r="AA393" s="239">
        <v>0</v>
      </c>
      <c r="AB393" s="239">
        <v>202.39</v>
      </c>
      <c r="AC393" s="239">
        <v>0</v>
      </c>
      <c r="AD393" s="239">
        <v>0</v>
      </c>
      <c r="AE393" s="239" t="s">
        <v>720</v>
      </c>
      <c r="AF393" s="239" t="s">
        <v>721</v>
      </c>
      <c r="AG393" s="239">
        <f t="shared" si="31"/>
        <v>0</v>
      </c>
      <c r="AH393" s="239">
        <f t="shared" si="32"/>
        <v>0</v>
      </c>
      <c r="AI393" s="239">
        <f t="shared" si="33"/>
        <v>0</v>
      </c>
      <c r="AJ393" s="239">
        <f t="shared" si="34"/>
        <v>0</v>
      </c>
    </row>
    <row r="394" spans="1:36" x14ac:dyDescent="0.2">
      <c r="A394" s="240" t="str">
        <f t="shared" si="30"/>
        <v>2SNCF10P7601EK50</v>
      </c>
      <c r="B394" s="239" t="s">
        <v>19</v>
      </c>
      <c r="C394" s="239" t="s">
        <v>20</v>
      </c>
      <c r="D394" s="239" t="s">
        <v>2550</v>
      </c>
      <c r="E394" s="239" t="s">
        <v>2538</v>
      </c>
      <c r="F394" s="239" t="s">
        <v>2557</v>
      </c>
      <c r="G394" s="239">
        <v>50</v>
      </c>
      <c r="H394" s="239" t="s">
        <v>928</v>
      </c>
      <c r="I394" s="239" t="s">
        <v>2484</v>
      </c>
      <c r="J394" s="239" t="s">
        <v>928</v>
      </c>
      <c r="K394" s="239" t="s">
        <v>2398</v>
      </c>
      <c r="L394" s="239">
        <v>435.7</v>
      </c>
      <c r="M394" s="239">
        <v>0</v>
      </c>
      <c r="N394" s="239">
        <v>0</v>
      </c>
      <c r="O394" s="239">
        <v>0</v>
      </c>
      <c r="P394" s="239">
        <v>0</v>
      </c>
      <c r="Q394" s="239">
        <v>0</v>
      </c>
      <c r="R394" s="239">
        <v>0</v>
      </c>
      <c r="S394" s="239">
        <v>0</v>
      </c>
      <c r="T394" s="239">
        <v>0</v>
      </c>
      <c r="U394" s="239">
        <v>0</v>
      </c>
      <c r="V394" s="239">
        <v>0</v>
      </c>
      <c r="W394" s="239">
        <v>0</v>
      </c>
      <c r="X394" s="239">
        <v>0</v>
      </c>
      <c r="Y394" s="239">
        <v>305.55</v>
      </c>
      <c r="Z394" s="239">
        <v>0</v>
      </c>
      <c r="AA394" s="239">
        <v>0</v>
      </c>
      <c r="AB394" s="239">
        <v>130.13999999999999</v>
      </c>
      <c r="AC394" s="239">
        <v>0</v>
      </c>
      <c r="AD394" s="239">
        <v>0</v>
      </c>
      <c r="AE394" s="239" t="s">
        <v>720</v>
      </c>
      <c r="AF394" s="239" t="s">
        <v>721</v>
      </c>
      <c r="AG394" s="239">
        <f t="shared" si="31"/>
        <v>0</v>
      </c>
      <c r="AH394" s="239">
        <f t="shared" si="32"/>
        <v>0</v>
      </c>
      <c r="AI394" s="239">
        <f t="shared" si="33"/>
        <v>0</v>
      </c>
      <c r="AJ394" s="239">
        <f t="shared" si="34"/>
        <v>0</v>
      </c>
    </row>
    <row r="395" spans="1:36" x14ac:dyDescent="0.2">
      <c r="A395" s="240" t="str">
        <f t="shared" si="30"/>
        <v>SNCF10P7601EK50</v>
      </c>
      <c r="B395" s="239" t="s">
        <v>19</v>
      </c>
      <c r="C395" s="239" t="s">
        <v>20</v>
      </c>
      <c r="D395" s="239" t="s">
        <v>2550</v>
      </c>
      <c r="E395" s="239" t="s">
        <v>2538</v>
      </c>
      <c r="F395" s="239" t="s">
        <v>2557</v>
      </c>
      <c r="G395" s="239">
        <v>50</v>
      </c>
      <c r="H395" s="239" t="s">
        <v>928</v>
      </c>
      <c r="I395" s="239" t="s">
        <v>928</v>
      </c>
      <c r="J395" s="239" t="s">
        <v>928</v>
      </c>
      <c r="K395" s="239" t="s">
        <v>2398</v>
      </c>
      <c r="L395" s="239">
        <v>435.7</v>
      </c>
      <c r="M395" s="239">
        <v>0</v>
      </c>
      <c r="N395" s="239">
        <v>0</v>
      </c>
      <c r="O395" s="239">
        <v>0</v>
      </c>
      <c r="P395" s="239">
        <v>0</v>
      </c>
      <c r="Q395" s="239">
        <v>0</v>
      </c>
      <c r="R395" s="239">
        <v>0</v>
      </c>
      <c r="S395" s="239">
        <v>0</v>
      </c>
      <c r="T395" s="239">
        <v>0</v>
      </c>
      <c r="U395" s="239">
        <v>0</v>
      </c>
      <c r="V395" s="239">
        <v>0</v>
      </c>
      <c r="W395" s="239">
        <v>0</v>
      </c>
      <c r="X395" s="239">
        <v>0</v>
      </c>
      <c r="Y395" s="239">
        <v>305.55</v>
      </c>
      <c r="Z395" s="239">
        <v>0</v>
      </c>
      <c r="AA395" s="239">
        <v>0</v>
      </c>
      <c r="AB395" s="239">
        <v>130.13999999999999</v>
      </c>
      <c r="AC395" s="239">
        <v>0</v>
      </c>
      <c r="AD395" s="239">
        <v>0</v>
      </c>
      <c r="AE395" s="239" t="s">
        <v>720</v>
      </c>
      <c r="AF395" s="239" t="s">
        <v>721</v>
      </c>
      <c r="AG395" s="239">
        <f t="shared" si="31"/>
        <v>0</v>
      </c>
      <c r="AH395" s="239">
        <f t="shared" si="32"/>
        <v>0</v>
      </c>
      <c r="AI395" s="239">
        <f t="shared" si="33"/>
        <v>0</v>
      </c>
      <c r="AJ395" s="239">
        <f t="shared" si="34"/>
        <v>0</v>
      </c>
    </row>
    <row r="396" spans="1:36" x14ac:dyDescent="0.2">
      <c r="A396" s="240" t="str">
        <f t="shared" si="30"/>
        <v>2SNCF10P7601TA30</v>
      </c>
      <c r="B396" s="239" t="s">
        <v>19</v>
      </c>
      <c r="C396" s="239" t="s">
        <v>20</v>
      </c>
      <c r="D396" s="239" t="s">
        <v>2550</v>
      </c>
      <c r="E396" s="239" t="s">
        <v>2538</v>
      </c>
      <c r="F396" s="239" t="s">
        <v>2558</v>
      </c>
      <c r="G396" s="239">
        <v>30</v>
      </c>
      <c r="H396" s="239" t="s">
        <v>928</v>
      </c>
      <c r="I396" s="239" t="s">
        <v>2484</v>
      </c>
      <c r="J396" s="239" t="s">
        <v>928</v>
      </c>
      <c r="K396" s="239" t="s">
        <v>2398</v>
      </c>
      <c r="L396" s="239">
        <v>443.42</v>
      </c>
      <c r="M396" s="239">
        <v>0</v>
      </c>
      <c r="N396" s="239">
        <v>0</v>
      </c>
      <c r="O396" s="239">
        <v>0</v>
      </c>
      <c r="P396" s="239">
        <v>0</v>
      </c>
      <c r="Q396" s="239">
        <v>0</v>
      </c>
      <c r="R396" s="239">
        <v>0</v>
      </c>
      <c r="S396" s="239">
        <v>0</v>
      </c>
      <c r="T396" s="239">
        <v>0</v>
      </c>
      <c r="U396" s="239">
        <v>0</v>
      </c>
      <c r="V396" s="239">
        <v>0</v>
      </c>
      <c r="W396" s="239">
        <v>0</v>
      </c>
      <c r="X396" s="239">
        <v>0</v>
      </c>
      <c r="Y396" s="239">
        <v>309.69</v>
      </c>
      <c r="Z396" s="239">
        <v>0</v>
      </c>
      <c r="AA396" s="239">
        <v>0</v>
      </c>
      <c r="AB396" s="239">
        <v>133.72999999999999</v>
      </c>
      <c r="AC396" s="239">
        <v>0</v>
      </c>
      <c r="AD396" s="239">
        <v>0</v>
      </c>
      <c r="AE396" s="239" t="s">
        <v>720</v>
      </c>
      <c r="AF396" s="239" t="s">
        <v>721</v>
      </c>
      <c r="AG396" s="239">
        <f t="shared" si="31"/>
        <v>0</v>
      </c>
      <c r="AH396" s="239">
        <f t="shared" si="32"/>
        <v>0</v>
      </c>
      <c r="AI396" s="239">
        <f t="shared" si="33"/>
        <v>0</v>
      </c>
      <c r="AJ396" s="239">
        <f t="shared" si="34"/>
        <v>0</v>
      </c>
    </row>
    <row r="397" spans="1:36" x14ac:dyDescent="0.2">
      <c r="A397" s="240" t="str">
        <f t="shared" si="30"/>
        <v>SNCF10P7601TA30</v>
      </c>
      <c r="B397" s="239" t="s">
        <v>19</v>
      </c>
      <c r="C397" s="239" t="s">
        <v>20</v>
      </c>
      <c r="D397" s="239" t="s">
        <v>2550</v>
      </c>
      <c r="E397" s="239" t="s">
        <v>2538</v>
      </c>
      <c r="F397" s="239" t="s">
        <v>2558</v>
      </c>
      <c r="G397" s="239">
        <v>30</v>
      </c>
      <c r="H397" s="239" t="s">
        <v>928</v>
      </c>
      <c r="I397" s="239" t="s">
        <v>928</v>
      </c>
      <c r="J397" s="239" t="s">
        <v>928</v>
      </c>
      <c r="K397" s="239" t="s">
        <v>2398</v>
      </c>
      <c r="L397" s="239">
        <v>443.42</v>
      </c>
      <c r="M397" s="239">
        <v>0</v>
      </c>
      <c r="N397" s="239">
        <v>0</v>
      </c>
      <c r="O397" s="239">
        <v>0</v>
      </c>
      <c r="P397" s="239">
        <v>0</v>
      </c>
      <c r="Q397" s="239">
        <v>0</v>
      </c>
      <c r="R397" s="239">
        <v>0</v>
      </c>
      <c r="S397" s="239">
        <v>0</v>
      </c>
      <c r="T397" s="239">
        <v>0</v>
      </c>
      <c r="U397" s="239">
        <v>0</v>
      </c>
      <c r="V397" s="239">
        <v>0</v>
      </c>
      <c r="W397" s="239">
        <v>0</v>
      </c>
      <c r="X397" s="239">
        <v>0</v>
      </c>
      <c r="Y397" s="239">
        <v>309.69</v>
      </c>
      <c r="Z397" s="239">
        <v>0</v>
      </c>
      <c r="AA397" s="239">
        <v>0</v>
      </c>
      <c r="AB397" s="239">
        <v>133.72999999999999</v>
      </c>
      <c r="AC397" s="239">
        <v>0</v>
      </c>
      <c r="AD397" s="239">
        <v>0</v>
      </c>
      <c r="AE397" s="239" t="s">
        <v>720</v>
      </c>
      <c r="AF397" s="239" t="s">
        <v>721</v>
      </c>
      <c r="AG397" s="239">
        <f t="shared" si="31"/>
        <v>0</v>
      </c>
      <c r="AH397" s="239">
        <f t="shared" si="32"/>
        <v>0</v>
      </c>
      <c r="AI397" s="239">
        <f t="shared" si="33"/>
        <v>0</v>
      </c>
      <c r="AJ397" s="239">
        <f t="shared" si="34"/>
        <v>0</v>
      </c>
    </row>
    <row r="398" spans="1:36" x14ac:dyDescent="0.2">
      <c r="A398" s="240" t="str">
        <f t="shared" si="30"/>
        <v>2SNCF10P7603B30</v>
      </c>
      <c r="B398" s="239" t="s">
        <v>19</v>
      </c>
      <c r="C398" s="239" t="s">
        <v>20</v>
      </c>
      <c r="D398" s="239" t="s">
        <v>2550</v>
      </c>
      <c r="E398" s="239" t="s">
        <v>2538</v>
      </c>
      <c r="F398" s="239" t="s">
        <v>2559</v>
      </c>
      <c r="G398" s="239">
        <v>30</v>
      </c>
      <c r="H398" s="239" t="s">
        <v>928</v>
      </c>
      <c r="I398" s="239" t="s">
        <v>2484</v>
      </c>
      <c r="J398" s="239" t="s">
        <v>928</v>
      </c>
      <c r="K398" s="239" t="s">
        <v>2398</v>
      </c>
      <c r="L398" s="239">
        <v>889.52</v>
      </c>
      <c r="M398" s="239">
        <v>0</v>
      </c>
      <c r="N398" s="239">
        <v>0</v>
      </c>
      <c r="O398" s="239">
        <v>0</v>
      </c>
      <c r="P398" s="239">
        <v>0</v>
      </c>
      <c r="Q398" s="239">
        <v>0</v>
      </c>
      <c r="R398" s="239">
        <v>0</v>
      </c>
      <c r="S398" s="239">
        <v>0</v>
      </c>
      <c r="T398" s="239">
        <v>0</v>
      </c>
      <c r="U398" s="239">
        <v>0</v>
      </c>
      <c r="V398" s="239">
        <v>0</v>
      </c>
      <c r="W398" s="239">
        <v>0</v>
      </c>
      <c r="X398" s="239">
        <v>0</v>
      </c>
      <c r="Y398" s="239">
        <v>655.75</v>
      </c>
      <c r="Z398" s="239">
        <v>0</v>
      </c>
      <c r="AA398" s="239">
        <v>0</v>
      </c>
      <c r="AB398" s="239">
        <v>233.78</v>
      </c>
      <c r="AC398" s="239">
        <v>0</v>
      </c>
      <c r="AD398" s="239">
        <v>0</v>
      </c>
      <c r="AE398" s="239" t="s">
        <v>720</v>
      </c>
      <c r="AF398" s="239" t="s">
        <v>721</v>
      </c>
      <c r="AG398" s="239">
        <f t="shared" si="31"/>
        <v>0</v>
      </c>
      <c r="AH398" s="239">
        <f t="shared" si="32"/>
        <v>0</v>
      </c>
      <c r="AI398" s="239">
        <f t="shared" si="33"/>
        <v>0</v>
      </c>
      <c r="AJ398" s="239">
        <f t="shared" si="34"/>
        <v>0</v>
      </c>
    </row>
    <row r="399" spans="1:36" x14ac:dyDescent="0.2">
      <c r="A399" s="240" t="str">
        <f t="shared" si="30"/>
        <v>SNCF10P7603B30</v>
      </c>
      <c r="B399" s="239" t="s">
        <v>19</v>
      </c>
      <c r="C399" s="239" t="s">
        <v>20</v>
      </c>
      <c r="D399" s="239" t="s">
        <v>2550</v>
      </c>
      <c r="E399" s="239" t="s">
        <v>2538</v>
      </c>
      <c r="F399" s="239" t="s">
        <v>2559</v>
      </c>
      <c r="G399" s="239">
        <v>30</v>
      </c>
      <c r="H399" s="239" t="s">
        <v>928</v>
      </c>
      <c r="I399" s="239" t="s">
        <v>928</v>
      </c>
      <c r="J399" s="239" t="s">
        <v>928</v>
      </c>
      <c r="K399" s="239" t="s">
        <v>2398</v>
      </c>
      <c r="L399" s="239">
        <v>889.52</v>
      </c>
      <c r="M399" s="239">
        <v>0</v>
      </c>
      <c r="N399" s="239">
        <v>0</v>
      </c>
      <c r="O399" s="239">
        <v>0</v>
      </c>
      <c r="P399" s="239">
        <v>0</v>
      </c>
      <c r="Q399" s="239">
        <v>0</v>
      </c>
      <c r="R399" s="239">
        <v>0</v>
      </c>
      <c r="S399" s="239">
        <v>0</v>
      </c>
      <c r="T399" s="239">
        <v>0</v>
      </c>
      <c r="U399" s="239">
        <v>0</v>
      </c>
      <c r="V399" s="239">
        <v>0</v>
      </c>
      <c r="W399" s="239">
        <v>0</v>
      </c>
      <c r="X399" s="239">
        <v>0</v>
      </c>
      <c r="Y399" s="239">
        <v>655.75</v>
      </c>
      <c r="Z399" s="239">
        <v>0</v>
      </c>
      <c r="AA399" s="239">
        <v>0</v>
      </c>
      <c r="AB399" s="239">
        <v>233.78</v>
      </c>
      <c r="AC399" s="239">
        <v>0</v>
      </c>
      <c r="AD399" s="239">
        <v>0</v>
      </c>
      <c r="AE399" s="239" t="s">
        <v>20</v>
      </c>
      <c r="AF399" s="239" t="s">
        <v>718</v>
      </c>
      <c r="AG399" s="239">
        <f t="shared" si="31"/>
        <v>0</v>
      </c>
      <c r="AH399" s="239">
        <f t="shared" si="32"/>
        <v>0</v>
      </c>
      <c r="AI399" s="239">
        <f t="shared" si="33"/>
        <v>0</v>
      </c>
      <c r="AJ399" s="239">
        <f t="shared" si="34"/>
        <v>0</v>
      </c>
    </row>
    <row r="400" spans="1:36" x14ac:dyDescent="0.2">
      <c r="A400" s="240" t="str">
        <f t="shared" si="30"/>
        <v>2SNCF10P7603B40</v>
      </c>
      <c r="B400" s="239" t="s">
        <v>19</v>
      </c>
      <c r="C400" s="239" t="s">
        <v>20</v>
      </c>
      <c r="D400" s="239" t="s">
        <v>2550</v>
      </c>
      <c r="E400" s="239" t="s">
        <v>2538</v>
      </c>
      <c r="F400" s="239" t="s">
        <v>2559</v>
      </c>
      <c r="G400" s="239">
        <v>40</v>
      </c>
      <c r="H400" s="239" t="s">
        <v>928</v>
      </c>
      <c r="I400" s="239" t="s">
        <v>2484</v>
      </c>
      <c r="J400" s="239" t="s">
        <v>928</v>
      </c>
      <c r="K400" s="239" t="s">
        <v>2398</v>
      </c>
      <c r="L400" s="239">
        <v>1174.1600000000001</v>
      </c>
      <c r="M400" s="239">
        <v>0</v>
      </c>
      <c r="N400" s="239">
        <v>0</v>
      </c>
      <c r="O400" s="239">
        <v>0</v>
      </c>
      <c r="P400" s="239">
        <v>0</v>
      </c>
      <c r="Q400" s="239">
        <v>0</v>
      </c>
      <c r="R400" s="239">
        <v>0</v>
      </c>
      <c r="S400" s="239">
        <v>0</v>
      </c>
      <c r="T400" s="239">
        <v>0</v>
      </c>
      <c r="U400" s="239">
        <v>0</v>
      </c>
      <c r="V400" s="239">
        <v>0</v>
      </c>
      <c r="W400" s="239">
        <v>0</v>
      </c>
      <c r="X400" s="239">
        <v>0</v>
      </c>
      <c r="Y400" s="239">
        <v>850.62</v>
      </c>
      <c r="Z400" s="239">
        <v>0</v>
      </c>
      <c r="AA400" s="239">
        <v>0</v>
      </c>
      <c r="AB400" s="239">
        <v>323.54000000000002</v>
      </c>
      <c r="AC400" s="239">
        <v>0</v>
      </c>
      <c r="AD400" s="239">
        <v>0</v>
      </c>
      <c r="AE400" s="239" t="s">
        <v>20</v>
      </c>
      <c r="AF400" s="239" t="s">
        <v>718</v>
      </c>
      <c r="AG400" s="239">
        <f t="shared" si="31"/>
        <v>0</v>
      </c>
      <c r="AH400" s="239">
        <f t="shared" si="32"/>
        <v>0</v>
      </c>
      <c r="AI400" s="239">
        <f t="shared" si="33"/>
        <v>0</v>
      </c>
      <c r="AJ400" s="239">
        <f t="shared" si="34"/>
        <v>0</v>
      </c>
    </row>
    <row r="401" spans="1:36" x14ac:dyDescent="0.2">
      <c r="A401" s="240" t="str">
        <f t="shared" si="30"/>
        <v>SNCF10P7603B40</v>
      </c>
      <c r="B401" s="239" t="s">
        <v>19</v>
      </c>
      <c r="C401" s="239" t="s">
        <v>20</v>
      </c>
      <c r="D401" s="239" t="s">
        <v>2550</v>
      </c>
      <c r="E401" s="239" t="s">
        <v>2538</v>
      </c>
      <c r="F401" s="239" t="s">
        <v>2559</v>
      </c>
      <c r="G401" s="239">
        <v>40</v>
      </c>
      <c r="H401" s="239" t="s">
        <v>928</v>
      </c>
      <c r="I401" s="239" t="s">
        <v>928</v>
      </c>
      <c r="J401" s="239" t="s">
        <v>928</v>
      </c>
      <c r="K401" s="239" t="s">
        <v>2398</v>
      </c>
      <c r="L401" s="239">
        <v>1174.1600000000001</v>
      </c>
      <c r="M401" s="239">
        <v>0</v>
      </c>
      <c r="N401" s="239">
        <v>0</v>
      </c>
      <c r="O401" s="239">
        <v>0</v>
      </c>
      <c r="P401" s="239">
        <v>0</v>
      </c>
      <c r="Q401" s="239">
        <v>0</v>
      </c>
      <c r="R401" s="239">
        <v>0</v>
      </c>
      <c r="S401" s="239">
        <v>0</v>
      </c>
      <c r="T401" s="239">
        <v>0</v>
      </c>
      <c r="U401" s="239">
        <v>0</v>
      </c>
      <c r="V401" s="239">
        <v>0</v>
      </c>
      <c r="W401" s="239">
        <v>0</v>
      </c>
      <c r="X401" s="239">
        <v>0</v>
      </c>
      <c r="Y401" s="239">
        <v>850.62</v>
      </c>
      <c r="Z401" s="239">
        <v>0</v>
      </c>
      <c r="AA401" s="239">
        <v>0</v>
      </c>
      <c r="AB401" s="239">
        <v>323.54000000000002</v>
      </c>
      <c r="AC401" s="239">
        <v>0</v>
      </c>
      <c r="AD401" s="239">
        <v>0</v>
      </c>
      <c r="AE401" s="239" t="s">
        <v>20</v>
      </c>
      <c r="AF401" s="239" t="s">
        <v>718</v>
      </c>
      <c r="AG401" s="239">
        <f t="shared" si="31"/>
        <v>0</v>
      </c>
      <c r="AH401" s="239">
        <f t="shared" si="32"/>
        <v>0</v>
      </c>
      <c r="AI401" s="239">
        <f t="shared" si="33"/>
        <v>0</v>
      </c>
      <c r="AJ401" s="239">
        <f t="shared" si="34"/>
        <v>0</v>
      </c>
    </row>
    <row r="402" spans="1:36" x14ac:dyDescent="0.2">
      <c r="A402" s="240" t="str">
        <f t="shared" si="30"/>
        <v>2SNCF10P7603C30</v>
      </c>
      <c r="B402" s="239" t="s">
        <v>19</v>
      </c>
      <c r="C402" s="239" t="s">
        <v>20</v>
      </c>
      <c r="D402" s="239" t="s">
        <v>2550</v>
      </c>
      <c r="E402" s="239" t="s">
        <v>2538</v>
      </c>
      <c r="F402" s="239" t="s">
        <v>2560</v>
      </c>
      <c r="G402" s="239">
        <v>30</v>
      </c>
      <c r="H402" s="239" t="s">
        <v>928</v>
      </c>
      <c r="I402" s="239" t="s">
        <v>2484</v>
      </c>
      <c r="J402" s="239" t="s">
        <v>928</v>
      </c>
      <c r="K402" s="239" t="s">
        <v>2398</v>
      </c>
      <c r="L402" s="239">
        <v>538.61</v>
      </c>
      <c r="M402" s="239">
        <v>0</v>
      </c>
      <c r="N402" s="239">
        <v>0</v>
      </c>
      <c r="O402" s="239">
        <v>0</v>
      </c>
      <c r="P402" s="239">
        <v>0</v>
      </c>
      <c r="Q402" s="239">
        <v>0</v>
      </c>
      <c r="R402" s="239">
        <v>0</v>
      </c>
      <c r="S402" s="239">
        <v>0</v>
      </c>
      <c r="T402" s="239">
        <v>0</v>
      </c>
      <c r="U402" s="239">
        <v>0</v>
      </c>
      <c r="V402" s="239">
        <v>0</v>
      </c>
      <c r="W402" s="239">
        <v>0</v>
      </c>
      <c r="X402" s="239">
        <v>0</v>
      </c>
      <c r="Y402" s="239">
        <v>413.61</v>
      </c>
      <c r="Z402" s="239">
        <v>0</v>
      </c>
      <c r="AA402" s="239">
        <v>0</v>
      </c>
      <c r="AB402" s="239">
        <v>125.01</v>
      </c>
      <c r="AC402" s="239">
        <v>0</v>
      </c>
      <c r="AD402" s="239">
        <v>0</v>
      </c>
      <c r="AE402" s="239" t="s">
        <v>20</v>
      </c>
      <c r="AF402" s="239" t="s">
        <v>718</v>
      </c>
      <c r="AG402" s="239">
        <f t="shared" si="31"/>
        <v>0</v>
      </c>
      <c r="AH402" s="239">
        <f t="shared" si="32"/>
        <v>0</v>
      </c>
      <c r="AI402" s="239">
        <f t="shared" si="33"/>
        <v>0</v>
      </c>
      <c r="AJ402" s="239">
        <f t="shared" si="34"/>
        <v>0</v>
      </c>
    </row>
    <row r="403" spans="1:36" x14ac:dyDescent="0.2">
      <c r="A403" s="240" t="str">
        <f t="shared" si="30"/>
        <v>SNCF10P7603C30</v>
      </c>
      <c r="B403" s="239" t="s">
        <v>19</v>
      </c>
      <c r="C403" s="239" t="s">
        <v>20</v>
      </c>
      <c r="D403" s="239" t="s">
        <v>2550</v>
      </c>
      <c r="E403" s="239" t="s">
        <v>2538</v>
      </c>
      <c r="F403" s="239" t="s">
        <v>2560</v>
      </c>
      <c r="G403" s="239">
        <v>30</v>
      </c>
      <c r="H403" s="239" t="s">
        <v>928</v>
      </c>
      <c r="I403" s="239" t="s">
        <v>928</v>
      </c>
      <c r="J403" s="239" t="s">
        <v>928</v>
      </c>
      <c r="K403" s="239" t="s">
        <v>2398</v>
      </c>
      <c r="L403" s="239">
        <v>538.61</v>
      </c>
      <c r="M403" s="239">
        <v>0</v>
      </c>
      <c r="N403" s="239">
        <v>0</v>
      </c>
      <c r="O403" s="239">
        <v>0</v>
      </c>
      <c r="P403" s="239">
        <v>0</v>
      </c>
      <c r="Q403" s="239">
        <v>0</v>
      </c>
      <c r="R403" s="239">
        <v>0</v>
      </c>
      <c r="S403" s="239">
        <v>0</v>
      </c>
      <c r="T403" s="239">
        <v>0</v>
      </c>
      <c r="U403" s="239">
        <v>0</v>
      </c>
      <c r="V403" s="239">
        <v>0</v>
      </c>
      <c r="W403" s="239">
        <v>0</v>
      </c>
      <c r="X403" s="239">
        <v>0</v>
      </c>
      <c r="Y403" s="239">
        <v>413.61</v>
      </c>
      <c r="Z403" s="239">
        <v>0</v>
      </c>
      <c r="AA403" s="239">
        <v>0</v>
      </c>
      <c r="AB403" s="239">
        <v>125.01</v>
      </c>
      <c r="AC403" s="239">
        <v>0</v>
      </c>
      <c r="AD403" s="239">
        <v>0</v>
      </c>
      <c r="AE403" s="239" t="s">
        <v>20</v>
      </c>
      <c r="AF403" s="239" t="s">
        <v>718</v>
      </c>
      <c r="AG403" s="239">
        <f t="shared" si="31"/>
        <v>0</v>
      </c>
      <c r="AH403" s="239">
        <f t="shared" si="32"/>
        <v>0</v>
      </c>
      <c r="AI403" s="239">
        <f t="shared" si="33"/>
        <v>0</v>
      </c>
      <c r="AJ403" s="239">
        <f t="shared" si="34"/>
        <v>0</v>
      </c>
    </row>
    <row r="404" spans="1:36" x14ac:dyDescent="0.2">
      <c r="A404" s="240" t="str">
        <f t="shared" si="30"/>
        <v>2SNCF10P7603MS30</v>
      </c>
      <c r="B404" s="239" t="s">
        <v>19</v>
      </c>
      <c r="C404" s="239" t="s">
        <v>20</v>
      </c>
      <c r="D404" s="239" t="s">
        <v>2550</v>
      </c>
      <c r="E404" s="239" t="s">
        <v>2538</v>
      </c>
      <c r="F404" s="239" t="s">
        <v>2561</v>
      </c>
      <c r="G404" s="239">
        <v>30</v>
      </c>
      <c r="H404" s="239" t="s">
        <v>928</v>
      </c>
      <c r="I404" s="239" t="s">
        <v>2484</v>
      </c>
      <c r="J404" s="239" t="s">
        <v>928</v>
      </c>
      <c r="K404" s="239" t="s">
        <v>2398</v>
      </c>
      <c r="L404" s="239">
        <v>759.76</v>
      </c>
      <c r="M404" s="239">
        <v>0</v>
      </c>
      <c r="N404" s="239">
        <v>0</v>
      </c>
      <c r="O404" s="239">
        <v>0</v>
      </c>
      <c r="P404" s="239">
        <v>0</v>
      </c>
      <c r="Q404" s="239">
        <v>0</v>
      </c>
      <c r="R404" s="239">
        <v>0</v>
      </c>
      <c r="S404" s="239">
        <v>0</v>
      </c>
      <c r="T404" s="239">
        <v>0</v>
      </c>
      <c r="U404" s="239">
        <v>0</v>
      </c>
      <c r="V404" s="239">
        <v>0</v>
      </c>
      <c r="W404" s="239">
        <v>0</v>
      </c>
      <c r="X404" s="239">
        <v>0</v>
      </c>
      <c r="Y404" s="239">
        <v>568.01</v>
      </c>
      <c r="Z404" s="239">
        <v>0</v>
      </c>
      <c r="AA404" s="239">
        <v>0</v>
      </c>
      <c r="AB404" s="239">
        <v>191.76</v>
      </c>
      <c r="AC404" s="239">
        <v>0</v>
      </c>
      <c r="AD404" s="239">
        <v>0</v>
      </c>
      <c r="AE404" s="239" t="s">
        <v>20</v>
      </c>
      <c r="AF404" s="239" t="s">
        <v>718</v>
      </c>
      <c r="AG404" s="239">
        <f t="shared" si="31"/>
        <v>0</v>
      </c>
      <c r="AH404" s="239">
        <f t="shared" si="32"/>
        <v>0</v>
      </c>
      <c r="AI404" s="239">
        <f t="shared" si="33"/>
        <v>0</v>
      </c>
      <c r="AJ404" s="239">
        <f t="shared" si="34"/>
        <v>0</v>
      </c>
    </row>
    <row r="405" spans="1:36" x14ac:dyDescent="0.2">
      <c r="A405" s="240" t="str">
        <f t="shared" si="30"/>
        <v>SNCF10P7603MS30</v>
      </c>
      <c r="B405" s="239" t="s">
        <v>19</v>
      </c>
      <c r="C405" s="239" t="s">
        <v>20</v>
      </c>
      <c r="D405" s="239" t="s">
        <v>2550</v>
      </c>
      <c r="E405" s="239" t="s">
        <v>2538</v>
      </c>
      <c r="F405" s="239" t="s">
        <v>2561</v>
      </c>
      <c r="G405" s="239">
        <v>30</v>
      </c>
      <c r="H405" s="239" t="s">
        <v>928</v>
      </c>
      <c r="I405" s="239" t="s">
        <v>928</v>
      </c>
      <c r="J405" s="239" t="s">
        <v>928</v>
      </c>
      <c r="K405" s="239" t="s">
        <v>2398</v>
      </c>
      <c r="L405" s="239">
        <v>759.76</v>
      </c>
      <c r="M405" s="239">
        <v>0</v>
      </c>
      <c r="N405" s="239">
        <v>0</v>
      </c>
      <c r="O405" s="239">
        <v>0</v>
      </c>
      <c r="P405" s="239">
        <v>0</v>
      </c>
      <c r="Q405" s="239">
        <v>0</v>
      </c>
      <c r="R405" s="239">
        <v>0</v>
      </c>
      <c r="S405" s="239">
        <v>0</v>
      </c>
      <c r="T405" s="239">
        <v>0</v>
      </c>
      <c r="U405" s="239">
        <v>0</v>
      </c>
      <c r="V405" s="239">
        <v>0</v>
      </c>
      <c r="W405" s="239">
        <v>0</v>
      </c>
      <c r="X405" s="239">
        <v>0</v>
      </c>
      <c r="Y405" s="239">
        <v>568.01</v>
      </c>
      <c r="Z405" s="239">
        <v>0</v>
      </c>
      <c r="AA405" s="239">
        <v>0</v>
      </c>
      <c r="AB405" s="239">
        <v>191.76</v>
      </c>
      <c r="AC405" s="239">
        <v>0</v>
      </c>
      <c r="AD405" s="239">
        <v>0</v>
      </c>
      <c r="AE405" s="239" t="s">
        <v>20</v>
      </c>
      <c r="AF405" s="239" t="s">
        <v>718</v>
      </c>
      <c r="AG405" s="239">
        <f t="shared" si="31"/>
        <v>0</v>
      </c>
      <c r="AH405" s="239">
        <f t="shared" si="32"/>
        <v>0</v>
      </c>
      <c r="AI405" s="239">
        <f t="shared" si="33"/>
        <v>0</v>
      </c>
      <c r="AJ405" s="239">
        <f t="shared" si="34"/>
        <v>0</v>
      </c>
    </row>
    <row r="406" spans="1:36" x14ac:dyDescent="0.2">
      <c r="A406" s="240" t="str">
        <f t="shared" si="30"/>
        <v>2SNCF10P761HF450</v>
      </c>
      <c r="B406" s="239" t="s">
        <v>19</v>
      </c>
      <c r="C406" s="239" t="s">
        <v>20</v>
      </c>
      <c r="D406" s="239" t="s">
        <v>2550</v>
      </c>
      <c r="E406" s="239" t="s">
        <v>2538</v>
      </c>
      <c r="F406" s="239" t="s">
        <v>2562</v>
      </c>
      <c r="G406" s="239">
        <v>50</v>
      </c>
      <c r="H406" s="239" t="s">
        <v>928</v>
      </c>
      <c r="I406" s="239" t="s">
        <v>2484</v>
      </c>
      <c r="J406" s="239" t="s">
        <v>928</v>
      </c>
      <c r="K406" s="239" t="s">
        <v>2398</v>
      </c>
      <c r="L406" s="239">
        <v>671.35</v>
      </c>
      <c r="M406" s="239">
        <v>0</v>
      </c>
      <c r="N406" s="239">
        <v>0</v>
      </c>
      <c r="O406" s="239">
        <v>0</v>
      </c>
      <c r="P406" s="239">
        <v>0</v>
      </c>
      <c r="Q406" s="239">
        <v>0</v>
      </c>
      <c r="R406" s="239">
        <v>0</v>
      </c>
      <c r="S406" s="239">
        <v>0</v>
      </c>
      <c r="T406" s="239">
        <v>0</v>
      </c>
      <c r="U406" s="239">
        <v>0</v>
      </c>
      <c r="V406" s="239">
        <v>0</v>
      </c>
      <c r="W406" s="239">
        <v>0</v>
      </c>
      <c r="X406" s="239">
        <v>0</v>
      </c>
      <c r="Y406" s="239">
        <v>499.73</v>
      </c>
      <c r="Z406" s="239">
        <v>0</v>
      </c>
      <c r="AA406" s="239">
        <v>0</v>
      </c>
      <c r="AB406" s="239">
        <v>171.62</v>
      </c>
      <c r="AC406" s="239">
        <v>0</v>
      </c>
      <c r="AD406" s="239">
        <v>0</v>
      </c>
      <c r="AE406" s="239" t="s">
        <v>20</v>
      </c>
      <c r="AF406" s="239" t="s">
        <v>718</v>
      </c>
      <c r="AG406" s="239">
        <f t="shared" si="31"/>
        <v>0</v>
      </c>
      <c r="AH406" s="239">
        <f t="shared" si="32"/>
        <v>0</v>
      </c>
      <c r="AI406" s="239">
        <f t="shared" si="33"/>
        <v>0</v>
      </c>
      <c r="AJ406" s="239">
        <f t="shared" si="34"/>
        <v>0</v>
      </c>
    </row>
    <row r="407" spans="1:36" x14ac:dyDescent="0.2">
      <c r="A407" s="240" t="str">
        <f t="shared" si="30"/>
        <v>SNCF10P761HF450</v>
      </c>
      <c r="B407" s="239" t="s">
        <v>19</v>
      </c>
      <c r="C407" s="239" t="s">
        <v>20</v>
      </c>
      <c r="D407" s="239" t="s">
        <v>2550</v>
      </c>
      <c r="E407" s="239" t="s">
        <v>2538</v>
      </c>
      <c r="F407" s="239" t="s">
        <v>2562</v>
      </c>
      <c r="G407" s="239">
        <v>50</v>
      </c>
      <c r="H407" s="239" t="s">
        <v>928</v>
      </c>
      <c r="I407" s="239" t="s">
        <v>928</v>
      </c>
      <c r="J407" s="239" t="s">
        <v>928</v>
      </c>
      <c r="K407" s="239" t="s">
        <v>2398</v>
      </c>
      <c r="L407" s="239">
        <v>671.35</v>
      </c>
      <c r="M407" s="239">
        <v>0</v>
      </c>
      <c r="N407" s="239">
        <v>0</v>
      </c>
      <c r="O407" s="239">
        <v>0</v>
      </c>
      <c r="P407" s="239">
        <v>0</v>
      </c>
      <c r="Q407" s="239">
        <v>0</v>
      </c>
      <c r="R407" s="239">
        <v>0</v>
      </c>
      <c r="S407" s="239">
        <v>0</v>
      </c>
      <c r="T407" s="239">
        <v>0</v>
      </c>
      <c r="U407" s="239">
        <v>0</v>
      </c>
      <c r="V407" s="239">
        <v>0</v>
      </c>
      <c r="W407" s="239">
        <v>0</v>
      </c>
      <c r="X407" s="239">
        <v>0</v>
      </c>
      <c r="Y407" s="239">
        <v>499.73</v>
      </c>
      <c r="Z407" s="239">
        <v>0</v>
      </c>
      <c r="AA407" s="239">
        <v>0</v>
      </c>
      <c r="AB407" s="239">
        <v>171.62</v>
      </c>
      <c r="AC407" s="239">
        <v>0</v>
      </c>
      <c r="AD407" s="239">
        <v>0</v>
      </c>
      <c r="AE407" s="239" t="s">
        <v>20</v>
      </c>
      <c r="AF407" s="239" t="s">
        <v>718</v>
      </c>
      <c r="AG407" s="239">
        <f t="shared" si="31"/>
        <v>0</v>
      </c>
      <c r="AH407" s="239">
        <f t="shared" si="32"/>
        <v>0</v>
      </c>
      <c r="AI407" s="239">
        <f t="shared" si="33"/>
        <v>0</v>
      </c>
      <c r="AJ407" s="239">
        <f t="shared" si="34"/>
        <v>0</v>
      </c>
    </row>
    <row r="408" spans="1:36" x14ac:dyDescent="0.2">
      <c r="A408" s="240" t="str">
        <f t="shared" si="30"/>
        <v>2SNCF10PGR0150</v>
      </c>
      <c r="B408" s="239" t="s">
        <v>19</v>
      </c>
      <c r="C408" s="239" t="s">
        <v>20</v>
      </c>
      <c r="D408" s="239" t="s">
        <v>2550</v>
      </c>
      <c r="E408" s="239" t="s">
        <v>2538</v>
      </c>
      <c r="F408" s="239" t="s">
        <v>2563</v>
      </c>
      <c r="G408" s="239">
        <v>50</v>
      </c>
      <c r="H408" s="239" t="s">
        <v>928</v>
      </c>
      <c r="I408" s="239" t="s">
        <v>2484</v>
      </c>
      <c r="J408" s="239" t="s">
        <v>928</v>
      </c>
      <c r="K408" s="239" t="s">
        <v>2398</v>
      </c>
      <c r="L408" s="239">
        <v>596.80999999999995</v>
      </c>
      <c r="M408" s="239">
        <v>0</v>
      </c>
      <c r="N408" s="239">
        <v>0</v>
      </c>
      <c r="O408" s="239">
        <v>0</v>
      </c>
      <c r="P408" s="239">
        <v>0</v>
      </c>
      <c r="Q408" s="239">
        <v>0</v>
      </c>
      <c r="R408" s="239">
        <v>0</v>
      </c>
      <c r="S408" s="239">
        <v>0</v>
      </c>
      <c r="T408" s="239">
        <v>0</v>
      </c>
      <c r="U408" s="239">
        <v>0</v>
      </c>
      <c r="V408" s="239">
        <v>0</v>
      </c>
      <c r="W408" s="239">
        <v>0</v>
      </c>
      <c r="X408" s="239">
        <v>0</v>
      </c>
      <c r="Y408" s="239">
        <v>453.51</v>
      </c>
      <c r="Z408" s="239">
        <v>0</v>
      </c>
      <c r="AA408" s="239">
        <v>0</v>
      </c>
      <c r="AB408" s="239">
        <v>143.30000000000001</v>
      </c>
      <c r="AC408" s="239">
        <v>0</v>
      </c>
      <c r="AD408" s="239">
        <v>0</v>
      </c>
      <c r="AE408" s="239" t="s">
        <v>20</v>
      </c>
      <c r="AF408" s="239" t="s">
        <v>718</v>
      </c>
      <c r="AG408" s="239">
        <f t="shared" si="31"/>
        <v>0</v>
      </c>
      <c r="AH408" s="239">
        <f t="shared" si="32"/>
        <v>0</v>
      </c>
      <c r="AI408" s="239">
        <f t="shared" si="33"/>
        <v>0</v>
      </c>
      <c r="AJ408" s="239">
        <f t="shared" si="34"/>
        <v>0</v>
      </c>
    </row>
    <row r="409" spans="1:36" x14ac:dyDescent="0.2">
      <c r="A409" s="240" t="str">
        <f t="shared" si="30"/>
        <v>SNCF10PGR0150</v>
      </c>
      <c r="B409" s="239" t="s">
        <v>19</v>
      </c>
      <c r="C409" s="239" t="s">
        <v>20</v>
      </c>
      <c r="D409" s="239" t="s">
        <v>2550</v>
      </c>
      <c r="E409" s="239" t="s">
        <v>2538</v>
      </c>
      <c r="F409" s="239" t="s">
        <v>2563</v>
      </c>
      <c r="G409" s="239">
        <v>50</v>
      </c>
      <c r="H409" s="239" t="s">
        <v>928</v>
      </c>
      <c r="I409" s="239" t="s">
        <v>928</v>
      </c>
      <c r="J409" s="239" t="s">
        <v>928</v>
      </c>
      <c r="K409" s="239" t="s">
        <v>2398</v>
      </c>
      <c r="L409" s="239">
        <v>596.80999999999995</v>
      </c>
      <c r="M409" s="239">
        <v>0</v>
      </c>
      <c r="N409" s="239">
        <v>0</v>
      </c>
      <c r="O409" s="239">
        <v>0</v>
      </c>
      <c r="P409" s="239">
        <v>0</v>
      </c>
      <c r="Q409" s="239">
        <v>0</v>
      </c>
      <c r="R409" s="239">
        <v>0</v>
      </c>
      <c r="S409" s="239">
        <v>0</v>
      </c>
      <c r="T409" s="239">
        <v>0</v>
      </c>
      <c r="U409" s="239">
        <v>0</v>
      </c>
      <c r="V409" s="239">
        <v>0</v>
      </c>
      <c r="W409" s="239">
        <v>0</v>
      </c>
      <c r="X409" s="239">
        <v>0</v>
      </c>
      <c r="Y409" s="239">
        <v>453.51</v>
      </c>
      <c r="Z409" s="239">
        <v>0</v>
      </c>
      <c r="AA409" s="239">
        <v>0</v>
      </c>
      <c r="AB409" s="239">
        <v>143.30000000000001</v>
      </c>
      <c r="AC409" s="239">
        <v>0</v>
      </c>
      <c r="AD409" s="239">
        <v>0</v>
      </c>
      <c r="AE409" s="239" t="s">
        <v>20</v>
      </c>
      <c r="AF409" s="239" t="s">
        <v>718</v>
      </c>
      <c r="AG409" s="239">
        <f t="shared" si="31"/>
        <v>0</v>
      </c>
      <c r="AH409" s="239">
        <f t="shared" si="32"/>
        <v>0</v>
      </c>
      <c r="AI409" s="239">
        <f t="shared" si="33"/>
        <v>0</v>
      </c>
      <c r="AJ409" s="239">
        <f t="shared" si="34"/>
        <v>0</v>
      </c>
    </row>
    <row r="410" spans="1:36" x14ac:dyDescent="0.2">
      <c r="A410" s="240" t="str">
        <f t="shared" si="30"/>
        <v>2SNCF10PGR0230</v>
      </c>
      <c r="B410" s="239" t="s">
        <v>19</v>
      </c>
      <c r="C410" s="239" t="s">
        <v>20</v>
      </c>
      <c r="D410" s="239" t="s">
        <v>2550</v>
      </c>
      <c r="E410" s="239" t="s">
        <v>2538</v>
      </c>
      <c r="F410" s="239" t="s">
        <v>2564</v>
      </c>
      <c r="G410" s="239">
        <v>30</v>
      </c>
      <c r="H410" s="239" t="s">
        <v>928</v>
      </c>
      <c r="I410" s="239" t="s">
        <v>2484</v>
      </c>
      <c r="J410" s="239" t="s">
        <v>928</v>
      </c>
      <c r="K410" s="239" t="s">
        <v>2398</v>
      </c>
      <c r="L410" s="239">
        <v>570.41</v>
      </c>
      <c r="M410" s="239">
        <v>0</v>
      </c>
      <c r="N410" s="239">
        <v>0</v>
      </c>
      <c r="O410" s="239">
        <v>0</v>
      </c>
      <c r="P410" s="239">
        <v>0</v>
      </c>
      <c r="Q410" s="239">
        <v>0</v>
      </c>
      <c r="R410" s="239">
        <v>0</v>
      </c>
      <c r="S410" s="239">
        <v>0</v>
      </c>
      <c r="T410" s="239">
        <v>0</v>
      </c>
      <c r="U410" s="239">
        <v>0</v>
      </c>
      <c r="V410" s="239">
        <v>0</v>
      </c>
      <c r="W410" s="239">
        <v>0</v>
      </c>
      <c r="X410" s="239">
        <v>0</v>
      </c>
      <c r="Y410" s="239">
        <v>384.98</v>
      </c>
      <c r="Z410" s="239">
        <v>0</v>
      </c>
      <c r="AA410" s="239">
        <v>0</v>
      </c>
      <c r="AB410" s="239">
        <v>185.43</v>
      </c>
      <c r="AC410" s="239">
        <v>0</v>
      </c>
      <c r="AD410" s="239">
        <v>0</v>
      </c>
      <c r="AE410" s="239" t="s">
        <v>20</v>
      </c>
      <c r="AF410" s="239" t="s">
        <v>718</v>
      </c>
      <c r="AG410" s="239">
        <f t="shared" si="31"/>
        <v>0</v>
      </c>
      <c r="AH410" s="239">
        <f t="shared" si="32"/>
        <v>0</v>
      </c>
      <c r="AI410" s="239">
        <f t="shared" si="33"/>
        <v>0</v>
      </c>
      <c r="AJ410" s="239">
        <f t="shared" si="34"/>
        <v>0</v>
      </c>
    </row>
    <row r="411" spans="1:36" x14ac:dyDescent="0.2">
      <c r="A411" s="240" t="str">
        <f t="shared" si="30"/>
        <v>SNCF10PGR0230</v>
      </c>
      <c r="B411" s="239" t="s">
        <v>19</v>
      </c>
      <c r="C411" s="239" t="s">
        <v>20</v>
      </c>
      <c r="D411" s="239" t="s">
        <v>2550</v>
      </c>
      <c r="E411" s="239" t="s">
        <v>2538</v>
      </c>
      <c r="F411" s="239" t="s">
        <v>2564</v>
      </c>
      <c r="G411" s="239">
        <v>30</v>
      </c>
      <c r="H411" s="239" t="s">
        <v>928</v>
      </c>
      <c r="I411" s="239" t="s">
        <v>928</v>
      </c>
      <c r="J411" s="239" t="s">
        <v>928</v>
      </c>
      <c r="K411" s="239" t="s">
        <v>2398</v>
      </c>
      <c r="L411" s="239">
        <v>570.41</v>
      </c>
      <c r="M411" s="239">
        <v>0</v>
      </c>
      <c r="N411" s="239">
        <v>0</v>
      </c>
      <c r="O411" s="239">
        <v>0</v>
      </c>
      <c r="P411" s="239">
        <v>0</v>
      </c>
      <c r="Q411" s="239">
        <v>0</v>
      </c>
      <c r="R411" s="239">
        <v>0</v>
      </c>
      <c r="S411" s="239">
        <v>0</v>
      </c>
      <c r="T411" s="239">
        <v>0</v>
      </c>
      <c r="U411" s="239">
        <v>0</v>
      </c>
      <c r="V411" s="239">
        <v>0</v>
      </c>
      <c r="W411" s="239">
        <v>0</v>
      </c>
      <c r="X411" s="239">
        <v>0</v>
      </c>
      <c r="Y411" s="239">
        <v>384.98</v>
      </c>
      <c r="Z411" s="239">
        <v>0</v>
      </c>
      <c r="AA411" s="239">
        <v>0</v>
      </c>
      <c r="AB411" s="239">
        <v>185.43</v>
      </c>
      <c r="AC411" s="239">
        <v>0</v>
      </c>
      <c r="AD411" s="239">
        <v>0</v>
      </c>
      <c r="AE411" s="239" t="s">
        <v>20</v>
      </c>
      <c r="AF411" s="239" t="s">
        <v>718</v>
      </c>
      <c r="AG411" s="239">
        <f t="shared" si="31"/>
        <v>0</v>
      </c>
      <c r="AH411" s="239">
        <f t="shared" si="32"/>
        <v>0</v>
      </c>
      <c r="AI411" s="239">
        <f t="shared" si="33"/>
        <v>0</v>
      </c>
      <c r="AJ411" s="239">
        <f t="shared" si="34"/>
        <v>0</v>
      </c>
    </row>
    <row r="412" spans="1:36" x14ac:dyDescent="0.2">
      <c r="A412" s="240" t="str">
        <f t="shared" si="30"/>
        <v>2SNCF10PGR0250</v>
      </c>
      <c r="B412" s="239" t="s">
        <v>19</v>
      </c>
      <c r="C412" s="239" t="s">
        <v>20</v>
      </c>
      <c r="D412" s="239" t="s">
        <v>2550</v>
      </c>
      <c r="E412" s="239" t="s">
        <v>2538</v>
      </c>
      <c r="F412" s="239" t="s">
        <v>2564</v>
      </c>
      <c r="G412" s="239">
        <v>50</v>
      </c>
      <c r="H412" s="239" t="s">
        <v>928</v>
      </c>
      <c r="I412" s="239" t="s">
        <v>2484</v>
      </c>
      <c r="J412" s="239" t="s">
        <v>928</v>
      </c>
      <c r="K412" s="239" t="s">
        <v>2398</v>
      </c>
      <c r="L412" s="239">
        <v>519.42999999999995</v>
      </c>
      <c r="M412" s="239">
        <v>0</v>
      </c>
      <c r="N412" s="239">
        <v>0</v>
      </c>
      <c r="O412" s="239">
        <v>0</v>
      </c>
      <c r="P412" s="239">
        <v>0</v>
      </c>
      <c r="Q412" s="239">
        <v>0</v>
      </c>
      <c r="R412" s="239">
        <v>0</v>
      </c>
      <c r="S412" s="239">
        <v>0</v>
      </c>
      <c r="T412" s="239">
        <v>0</v>
      </c>
      <c r="U412" s="239">
        <v>0</v>
      </c>
      <c r="V412" s="239">
        <v>0</v>
      </c>
      <c r="W412" s="239">
        <v>0</v>
      </c>
      <c r="X412" s="239">
        <v>0</v>
      </c>
      <c r="Y412" s="239">
        <v>390.75</v>
      </c>
      <c r="Z412" s="239">
        <v>0</v>
      </c>
      <c r="AA412" s="239">
        <v>0</v>
      </c>
      <c r="AB412" s="239">
        <v>128.66999999999999</v>
      </c>
      <c r="AC412" s="239">
        <v>0</v>
      </c>
      <c r="AD412" s="239">
        <v>0</v>
      </c>
      <c r="AE412" s="239" t="s">
        <v>20</v>
      </c>
      <c r="AF412" s="239" t="s">
        <v>718</v>
      </c>
      <c r="AG412" s="239">
        <f t="shared" si="31"/>
        <v>0</v>
      </c>
      <c r="AH412" s="239">
        <f t="shared" si="32"/>
        <v>0</v>
      </c>
      <c r="AI412" s="239">
        <f t="shared" si="33"/>
        <v>0</v>
      </c>
      <c r="AJ412" s="239">
        <f t="shared" si="34"/>
        <v>0</v>
      </c>
    </row>
    <row r="413" spans="1:36" x14ac:dyDescent="0.2">
      <c r="A413" s="240" t="str">
        <f t="shared" si="30"/>
        <v>SNCF10PGR0250</v>
      </c>
      <c r="B413" s="239" t="s">
        <v>19</v>
      </c>
      <c r="C413" s="239" t="s">
        <v>20</v>
      </c>
      <c r="D413" s="239" t="s">
        <v>2550</v>
      </c>
      <c r="E413" s="239" t="s">
        <v>2538</v>
      </c>
      <c r="F413" s="239" t="s">
        <v>2564</v>
      </c>
      <c r="G413" s="239">
        <v>50</v>
      </c>
      <c r="H413" s="239" t="s">
        <v>928</v>
      </c>
      <c r="I413" s="239" t="s">
        <v>928</v>
      </c>
      <c r="J413" s="239" t="s">
        <v>928</v>
      </c>
      <c r="K413" s="239" t="s">
        <v>2398</v>
      </c>
      <c r="L413" s="239">
        <v>519.42999999999995</v>
      </c>
      <c r="M413" s="239">
        <v>0</v>
      </c>
      <c r="N413" s="239">
        <v>0</v>
      </c>
      <c r="O413" s="239">
        <v>0</v>
      </c>
      <c r="P413" s="239">
        <v>0</v>
      </c>
      <c r="Q413" s="239">
        <v>0</v>
      </c>
      <c r="R413" s="239">
        <v>0</v>
      </c>
      <c r="S413" s="239">
        <v>0</v>
      </c>
      <c r="T413" s="239">
        <v>0</v>
      </c>
      <c r="U413" s="239">
        <v>0</v>
      </c>
      <c r="V413" s="239">
        <v>0</v>
      </c>
      <c r="W413" s="239">
        <v>0</v>
      </c>
      <c r="X413" s="239">
        <v>0</v>
      </c>
      <c r="Y413" s="239">
        <v>390.75</v>
      </c>
      <c r="Z413" s="239">
        <v>0</v>
      </c>
      <c r="AA413" s="239">
        <v>0</v>
      </c>
      <c r="AB413" s="239">
        <v>128.66999999999999</v>
      </c>
      <c r="AC413" s="239">
        <v>0</v>
      </c>
      <c r="AD413" s="239">
        <v>0</v>
      </c>
      <c r="AE413" s="239" t="s">
        <v>720</v>
      </c>
      <c r="AF413" s="239" t="s">
        <v>721</v>
      </c>
      <c r="AG413" s="239">
        <f t="shared" si="31"/>
        <v>0</v>
      </c>
      <c r="AH413" s="239">
        <f t="shared" si="32"/>
        <v>0</v>
      </c>
      <c r="AI413" s="239">
        <f t="shared" si="33"/>
        <v>0</v>
      </c>
      <c r="AJ413" s="239">
        <f t="shared" si="34"/>
        <v>0</v>
      </c>
    </row>
    <row r="414" spans="1:36" x14ac:dyDescent="0.2">
      <c r="A414" s="240" t="str">
        <f t="shared" si="30"/>
        <v>33SSNCLBLTL25</v>
      </c>
      <c r="B414" s="239" t="s">
        <v>19</v>
      </c>
      <c r="C414" s="239" t="s">
        <v>20</v>
      </c>
      <c r="D414" s="239" t="s">
        <v>143</v>
      </c>
      <c r="E414" s="239" t="s">
        <v>722</v>
      </c>
      <c r="F414" s="239" t="s">
        <v>156</v>
      </c>
      <c r="G414" s="239">
        <v>25</v>
      </c>
      <c r="H414" s="239" t="s">
        <v>928</v>
      </c>
      <c r="I414" s="239" t="s">
        <v>158</v>
      </c>
      <c r="J414" s="239" t="s">
        <v>928</v>
      </c>
      <c r="K414" s="239" t="s">
        <v>2398</v>
      </c>
      <c r="L414" s="239">
        <v>51.071190000000001</v>
      </c>
      <c r="M414" s="239">
        <v>98</v>
      </c>
      <c r="N414" s="239">
        <v>0</v>
      </c>
      <c r="O414" s="239">
        <v>0</v>
      </c>
      <c r="P414" s="239">
        <v>0</v>
      </c>
      <c r="Q414" s="239">
        <v>0</v>
      </c>
      <c r="R414" s="239">
        <v>0</v>
      </c>
      <c r="S414" s="239">
        <v>0</v>
      </c>
      <c r="T414" s="239">
        <v>2.9913599999999998</v>
      </c>
      <c r="U414" s="239">
        <v>0.47909000000000002</v>
      </c>
      <c r="V414" s="239">
        <v>0.56003999999999998</v>
      </c>
      <c r="W414" s="239">
        <v>9.0036000000000005</v>
      </c>
      <c r="X414" s="239">
        <v>0</v>
      </c>
      <c r="Y414" s="239">
        <v>0</v>
      </c>
      <c r="Z414" s="239">
        <v>21.613040000000002</v>
      </c>
      <c r="AA414" s="239">
        <v>16.424060000000001</v>
      </c>
      <c r="AB414" s="239">
        <v>0</v>
      </c>
      <c r="AC414" s="239">
        <v>0</v>
      </c>
      <c r="AD414" s="239">
        <v>1</v>
      </c>
      <c r="AE414" s="239" t="s">
        <v>720</v>
      </c>
      <c r="AF414" s="239" t="s">
        <v>721</v>
      </c>
      <c r="AG414" s="239">
        <f t="shared" si="31"/>
        <v>0</v>
      </c>
      <c r="AH414" s="239">
        <f t="shared" si="32"/>
        <v>0</v>
      </c>
      <c r="AI414" s="239">
        <f t="shared" si="33"/>
        <v>0</v>
      </c>
      <c r="AJ414" s="239">
        <f t="shared" si="34"/>
        <v>0</v>
      </c>
    </row>
    <row r="415" spans="1:36" x14ac:dyDescent="0.2">
      <c r="A415" s="240" t="str">
        <f t="shared" si="30"/>
        <v>3SNCLBPETTL38</v>
      </c>
      <c r="B415" s="239" t="s">
        <v>19</v>
      </c>
      <c r="C415" s="239" t="s">
        <v>20</v>
      </c>
      <c r="D415" s="239" t="s">
        <v>143</v>
      </c>
      <c r="E415" s="239" t="s">
        <v>722</v>
      </c>
      <c r="F415" s="239" t="s">
        <v>163</v>
      </c>
      <c r="G415" s="239">
        <v>38</v>
      </c>
      <c r="H415" s="239" t="s">
        <v>928</v>
      </c>
      <c r="I415" s="239" t="s">
        <v>2471</v>
      </c>
      <c r="J415" s="239" t="s">
        <v>928</v>
      </c>
      <c r="K415" s="239" t="s">
        <v>2398</v>
      </c>
      <c r="L415" s="239">
        <v>82.172460000000001</v>
      </c>
      <c r="M415" s="239">
        <v>91</v>
      </c>
      <c r="N415" s="239">
        <v>0</v>
      </c>
      <c r="O415" s="239">
        <v>26.604399999999998</v>
      </c>
      <c r="P415" s="239">
        <v>0</v>
      </c>
      <c r="Q415" s="239">
        <v>0</v>
      </c>
      <c r="R415" s="239">
        <v>0</v>
      </c>
      <c r="S415" s="239">
        <v>0</v>
      </c>
      <c r="T415" s="239">
        <v>3.2114600000000002</v>
      </c>
      <c r="U415" s="239">
        <v>1.5102899999999999</v>
      </c>
      <c r="V415" s="239">
        <v>0.59697</v>
      </c>
      <c r="W415" s="239">
        <v>9.5926399999999994</v>
      </c>
      <c r="X415" s="239">
        <v>0</v>
      </c>
      <c r="Y415" s="239">
        <v>0</v>
      </c>
      <c r="Z415" s="239">
        <v>23.149830000000001</v>
      </c>
      <c r="AA415" s="239">
        <v>17.506869999999999</v>
      </c>
      <c r="AB415" s="239">
        <v>0</v>
      </c>
      <c r="AC415" s="239">
        <v>0</v>
      </c>
      <c r="AD415" s="239">
        <v>1</v>
      </c>
      <c r="AE415" s="239" t="s">
        <v>720</v>
      </c>
      <c r="AF415" s="239" t="s">
        <v>721</v>
      </c>
      <c r="AG415" s="239">
        <f t="shared" si="31"/>
        <v>24.210003999999998</v>
      </c>
      <c r="AH415" s="239">
        <f t="shared" si="32"/>
        <v>0</v>
      </c>
      <c r="AI415" s="239">
        <f t="shared" si="33"/>
        <v>0</v>
      </c>
      <c r="AJ415" s="239">
        <f t="shared" si="34"/>
        <v>24.210003999999998</v>
      </c>
    </row>
    <row r="416" spans="1:36" x14ac:dyDescent="0.2">
      <c r="A416" s="240" t="str">
        <f t="shared" si="30"/>
        <v>3SNCLBPETTL50</v>
      </c>
      <c r="B416" s="239" t="s">
        <v>19</v>
      </c>
      <c r="C416" s="239" t="s">
        <v>20</v>
      </c>
      <c r="D416" s="239" t="s">
        <v>143</v>
      </c>
      <c r="E416" s="239" t="s">
        <v>722</v>
      </c>
      <c r="F416" s="239" t="s">
        <v>163</v>
      </c>
      <c r="G416" s="239">
        <v>50</v>
      </c>
      <c r="H416" s="239" t="s">
        <v>928</v>
      </c>
      <c r="I416" s="239" t="s">
        <v>2471</v>
      </c>
      <c r="J416" s="239" t="s">
        <v>928</v>
      </c>
      <c r="K416" s="239" t="s">
        <v>2398</v>
      </c>
      <c r="L416" s="239">
        <v>90.532049999999998</v>
      </c>
      <c r="M416" s="239">
        <v>91</v>
      </c>
      <c r="N416" s="239">
        <v>0</v>
      </c>
      <c r="O416" s="239">
        <v>35</v>
      </c>
      <c r="P416" s="239">
        <v>0</v>
      </c>
      <c r="Q416" s="239">
        <v>0</v>
      </c>
      <c r="R416" s="239">
        <v>0</v>
      </c>
      <c r="S416" s="239">
        <v>0</v>
      </c>
      <c r="T416" s="239">
        <v>3.2114600000000002</v>
      </c>
      <c r="U416" s="239">
        <v>1.47428</v>
      </c>
      <c r="V416" s="239">
        <v>0.59697</v>
      </c>
      <c r="W416" s="239">
        <v>9.5926399999999994</v>
      </c>
      <c r="X416" s="239">
        <v>0</v>
      </c>
      <c r="Y416" s="239">
        <v>0</v>
      </c>
      <c r="Z416" s="239">
        <v>23.149830000000001</v>
      </c>
      <c r="AA416" s="239">
        <v>17.506869999999999</v>
      </c>
      <c r="AB416" s="239">
        <v>0</v>
      </c>
      <c r="AC416" s="239">
        <v>0</v>
      </c>
      <c r="AD416" s="239">
        <v>1</v>
      </c>
      <c r="AE416" s="239" t="s">
        <v>720</v>
      </c>
      <c r="AF416" s="239" t="s">
        <v>721</v>
      </c>
      <c r="AG416" s="239">
        <f t="shared" si="31"/>
        <v>31.85</v>
      </c>
      <c r="AH416" s="239">
        <f t="shared" si="32"/>
        <v>0</v>
      </c>
      <c r="AI416" s="239">
        <f t="shared" si="33"/>
        <v>0</v>
      </c>
      <c r="AJ416" s="239">
        <f t="shared" si="34"/>
        <v>31.85</v>
      </c>
    </row>
    <row r="417" spans="1:36" x14ac:dyDescent="0.2">
      <c r="A417" s="240" t="str">
        <f t="shared" si="30"/>
        <v>2SNCPP341940</v>
      </c>
      <c r="B417" s="239" t="s">
        <v>19</v>
      </c>
      <c r="C417" s="239" t="s">
        <v>20</v>
      </c>
      <c r="D417" s="239" t="s">
        <v>2565</v>
      </c>
      <c r="E417" s="239" t="s">
        <v>2529</v>
      </c>
      <c r="F417" s="239" t="s">
        <v>2566</v>
      </c>
      <c r="G417" s="239">
        <v>40</v>
      </c>
      <c r="H417" s="239" t="s">
        <v>928</v>
      </c>
      <c r="I417" s="239" t="s">
        <v>2484</v>
      </c>
      <c r="J417" s="239" t="s">
        <v>928</v>
      </c>
      <c r="K417" s="239" t="s">
        <v>2398</v>
      </c>
      <c r="L417" s="239">
        <v>367.89</v>
      </c>
      <c r="M417" s="239">
        <v>0</v>
      </c>
      <c r="N417" s="239">
        <v>0</v>
      </c>
      <c r="O417" s="239">
        <v>0</v>
      </c>
      <c r="P417" s="239">
        <v>0</v>
      </c>
      <c r="Q417" s="239">
        <v>0</v>
      </c>
      <c r="R417" s="239">
        <v>0</v>
      </c>
      <c r="S417" s="239">
        <v>0</v>
      </c>
      <c r="T417" s="239">
        <v>0</v>
      </c>
      <c r="U417" s="239">
        <v>0</v>
      </c>
      <c r="V417" s="239">
        <v>0</v>
      </c>
      <c r="W417" s="239">
        <v>0</v>
      </c>
      <c r="X417" s="239">
        <v>0</v>
      </c>
      <c r="Y417" s="239">
        <v>281.56</v>
      </c>
      <c r="Z417" s="239">
        <v>0</v>
      </c>
      <c r="AA417" s="239">
        <v>0</v>
      </c>
      <c r="AB417" s="239">
        <v>86.33</v>
      </c>
      <c r="AC417" s="239">
        <v>0</v>
      </c>
      <c r="AD417" s="239">
        <v>0</v>
      </c>
      <c r="AE417" s="239" t="s">
        <v>720</v>
      </c>
      <c r="AF417" s="239" t="s">
        <v>721</v>
      </c>
      <c r="AG417" s="239">
        <f t="shared" si="31"/>
        <v>0</v>
      </c>
      <c r="AH417" s="239">
        <f t="shared" si="32"/>
        <v>0</v>
      </c>
      <c r="AI417" s="239">
        <f t="shared" si="33"/>
        <v>0</v>
      </c>
      <c r="AJ417" s="239">
        <f t="shared" si="34"/>
        <v>0</v>
      </c>
    </row>
    <row r="418" spans="1:36" x14ac:dyDescent="0.2">
      <c r="A418" s="240" t="str">
        <f t="shared" si="30"/>
        <v>SNCPP341940</v>
      </c>
      <c r="B418" s="239" t="s">
        <v>19</v>
      </c>
      <c r="C418" s="239" t="s">
        <v>20</v>
      </c>
      <c r="D418" s="239" t="s">
        <v>2565</v>
      </c>
      <c r="E418" s="239" t="s">
        <v>2529</v>
      </c>
      <c r="F418" s="239" t="s">
        <v>2566</v>
      </c>
      <c r="G418" s="239">
        <v>40</v>
      </c>
      <c r="H418" s="239" t="s">
        <v>928</v>
      </c>
      <c r="I418" s="239" t="s">
        <v>928</v>
      </c>
      <c r="J418" s="239" t="s">
        <v>928</v>
      </c>
      <c r="K418" s="239" t="s">
        <v>2398</v>
      </c>
      <c r="L418" s="239">
        <v>367.89</v>
      </c>
      <c r="M418" s="239">
        <v>0</v>
      </c>
      <c r="N418" s="239">
        <v>0</v>
      </c>
      <c r="O418" s="239">
        <v>0</v>
      </c>
      <c r="P418" s="239">
        <v>0</v>
      </c>
      <c r="Q418" s="239">
        <v>0</v>
      </c>
      <c r="R418" s="239">
        <v>0</v>
      </c>
      <c r="S418" s="239">
        <v>0</v>
      </c>
      <c r="T418" s="239">
        <v>0</v>
      </c>
      <c r="U418" s="239">
        <v>0</v>
      </c>
      <c r="V418" s="239">
        <v>0</v>
      </c>
      <c r="W418" s="239">
        <v>0</v>
      </c>
      <c r="X418" s="239">
        <v>0</v>
      </c>
      <c r="Y418" s="239">
        <v>281.56</v>
      </c>
      <c r="Z418" s="239">
        <v>0</v>
      </c>
      <c r="AA418" s="239">
        <v>0</v>
      </c>
      <c r="AB418" s="239">
        <v>86.33</v>
      </c>
      <c r="AC418" s="239">
        <v>0</v>
      </c>
      <c r="AD418" s="239">
        <v>0</v>
      </c>
      <c r="AE418" s="239" t="s">
        <v>720</v>
      </c>
      <c r="AF418" s="239" t="s">
        <v>721</v>
      </c>
      <c r="AG418" s="239">
        <f t="shared" si="31"/>
        <v>0</v>
      </c>
      <c r="AH418" s="239">
        <f t="shared" si="32"/>
        <v>0</v>
      </c>
      <c r="AI418" s="239">
        <f t="shared" si="33"/>
        <v>0</v>
      </c>
      <c r="AJ418" s="239">
        <f t="shared" si="34"/>
        <v>0</v>
      </c>
    </row>
    <row r="419" spans="1:36" x14ac:dyDescent="0.2">
      <c r="A419" s="240" t="str">
        <f t="shared" si="30"/>
        <v>2SNCPP3429K60</v>
      </c>
      <c r="B419" s="239" t="s">
        <v>19</v>
      </c>
      <c r="C419" s="239" t="s">
        <v>20</v>
      </c>
      <c r="D419" s="239" t="s">
        <v>2565</v>
      </c>
      <c r="E419" s="239" t="s">
        <v>2529</v>
      </c>
      <c r="F419" s="239" t="s">
        <v>2567</v>
      </c>
      <c r="G419" s="239">
        <v>60</v>
      </c>
      <c r="H419" s="239" t="s">
        <v>928</v>
      </c>
      <c r="I419" s="239" t="s">
        <v>2484</v>
      </c>
      <c r="J419" s="239" t="s">
        <v>928</v>
      </c>
      <c r="K419" s="239" t="s">
        <v>2398</v>
      </c>
      <c r="L419" s="239">
        <v>385.58</v>
      </c>
      <c r="M419" s="239">
        <v>0</v>
      </c>
      <c r="N419" s="239">
        <v>0</v>
      </c>
      <c r="O419" s="239">
        <v>0</v>
      </c>
      <c r="P419" s="239">
        <v>0</v>
      </c>
      <c r="Q419" s="239">
        <v>0</v>
      </c>
      <c r="R419" s="239">
        <v>0</v>
      </c>
      <c r="S419" s="239">
        <v>0</v>
      </c>
      <c r="T419" s="239">
        <v>0</v>
      </c>
      <c r="U419" s="239">
        <v>0</v>
      </c>
      <c r="V419" s="239">
        <v>0</v>
      </c>
      <c r="W419" s="239">
        <v>0</v>
      </c>
      <c r="X419" s="239">
        <v>0</v>
      </c>
      <c r="Y419" s="239">
        <v>290.54000000000002</v>
      </c>
      <c r="Z419" s="239">
        <v>0</v>
      </c>
      <c r="AA419" s="239">
        <v>0</v>
      </c>
      <c r="AB419" s="239">
        <v>95.04</v>
      </c>
      <c r="AC419" s="239">
        <v>0</v>
      </c>
      <c r="AD419" s="239">
        <v>0</v>
      </c>
      <c r="AE419" s="239" t="s">
        <v>720</v>
      </c>
      <c r="AF419" s="239" t="s">
        <v>721</v>
      </c>
      <c r="AG419" s="239">
        <f t="shared" si="31"/>
        <v>0</v>
      </c>
      <c r="AH419" s="239">
        <f t="shared" si="32"/>
        <v>0</v>
      </c>
      <c r="AI419" s="239">
        <f t="shared" si="33"/>
        <v>0</v>
      </c>
      <c r="AJ419" s="239">
        <f t="shared" si="34"/>
        <v>0</v>
      </c>
    </row>
    <row r="420" spans="1:36" x14ac:dyDescent="0.2">
      <c r="A420" s="240" t="str">
        <f t="shared" si="30"/>
        <v>SNCPP3429K60</v>
      </c>
      <c r="B420" s="239" t="s">
        <v>19</v>
      </c>
      <c r="C420" s="239" t="s">
        <v>20</v>
      </c>
      <c r="D420" s="239" t="s">
        <v>2565</v>
      </c>
      <c r="E420" s="239" t="s">
        <v>2529</v>
      </c>
      <c r="F420" s="239" t="s">
        <v>2567</v>
      </c>
      <c r="G420" s="239">
        <v>60</v>
      </c>
      <c r="H420" s="239" t="s">
        <v>928</v>
      </c>
      <c r="I420" s="239" t="s">
        <v>928</v>
      </c>
      <c r="J420" s="239" t="s">
        <v>928</v>
      </c>
      <c r="K420" s="239" t="s">
        <v>2398</v>
      </c>
      <c r="L420" s="239">
        <v>385.58</v>
      </c>
      <c r="M420" s="239">
        <v>0</v>
      </c>
      <c r="N420" s="239">
        <v>0</v>
      </c>
      <c r="O420" s="239">
        <v>0</v>
      </c>
      <c r="P420" s="239">
        <v>0</v>
      </c>
      <c r="Q420" s="239">
        <v>0</v>
      </c>
      <c r="R420" s="239">
        <v>0</v>
      </c>
      <c r="S420" s="239">
        <v>0</v>
      </c>
      <c r="T420" s="239">
        <v>0</v>
      </c>
      <c r="U420" s="239">
        <v>0</v>
      </c>
      <c r="V420" s="239">
        <v>0</v>
      </c>
      <c r="W420" s="239">
        <v>0</v>
      </c>
      <c r="X420" s="239">
        <v>0</v>
      </c>
      <c r="Y420" s="239">
        <v>290.54000000000002</v>
      </c>
      <c r="Z420" s="239">
        <v>0</v>
      </c>
      <c r="AA420" s="239">
        <v>0</v>
      </c>
      <c r="AB420" s="239">
        <v>95.04</v>
      </c>
      <c r="AC420" s="239">
        <v>0</v>
      </c>
      <c r="AD420" s="239">
        <v>0</v>
      </c>
      <c r="AE420" s="239" t="s">
        <v>720</v>
      </c>
      <c r="AF420" s="239" t="s">
        <v>721</v>
      </c>
      <c r="AG420" s="239">
        <f t="shared" si="31"/>
        <v>0</v>
      </c>
      <c r="AH420" s="239">
        <f t="shared" si="32"/>
        <v>0</v>
      </c>
      <c r="AI420" s="239">
        <f t="shared" si="33"/>
        <v>0</v>
      </c>
      <c r="AJ420" s="239">
        <f t="shared" si="34"/>
        <v>0</v>
      </c>
    </row>
    <row r="421" spans="1:36" x14ac:dyDescent="0.2">
      <c r="A421" s="240" t="str">
        <f t="shared" si="30"/>
        <v>2SNCPP3429K100</v>
      </c>
      <c r="B421" s="239" t="s">
        <v>19</v>
      </c>
      <c r="C421" s="239" t="s">
        <v>20</v>
      </c>
      <c r="D421" s="239" t="s">
        <v>2565</v>
      </c>
      <c r="E421" s="239" t="s">
        <v>2529</v>
      </c>
      <c r="F421" s="239" t="s">
        <v>2567</v>
      </c>
      <c r="G421" s="239">
        <v>100</v>
      </c>
      <c r="H421" s="239" t="s">
        <v>928</v>
      </c>
      <c r="I421" s="239" t="s">
        <v>2484</v>
      </c>
      <c r="J421" s="239" t="s">
        <v>928</v>
      </c>
      <c r="K421" s="239" t="s">
        <v>2398</v>
      </c>
      <c r="L421" s="239">
        <v>378.01</v>
      </c>
      <c r="M421" s="239">
        <v>0</v>
      </c>
      <c r="N421" s="239">
        <v>0</v>
      </c>
      <c r="O421" s="239">
        <v>0</v>
      </c>
      <c r="P421" s="239">
        <v>0</v>
      </c>
      <c r="Q421" s="239">
        <v>0</v>
      </c>
      <c r="R421" s="239">
        <v>0</v>
      </c>
      <c r="S421" s="239">
        <v>0</v>
      </c>
      <c r="T421" s="239">
        <v>0</v>
      </c>
      <c r="U421" s="239">
        <v>0</v>
      </c>
      <c r="V421" s="239">
        <v>0</v>
      </c>
      <c r="W421" s="239">
        <v>0</v>
      </c>
      <c r="X421" s="239">
        <v>0</v>
      </c>
      <c r="Y421" s="239">
        <v>296.70999999999998</v>
      </c>
      <c r="Z421" s="239">
        <v>0</v>
      </c>
      <c r="AA421" s="239">
        <v>0</v>
      </c>
      <c r="AB421" s="239">
        <v>81.3</v>
      </c>
      <c r="AC421" s="239">
        <v>0</v>
      </c>
      <c r="AD421" s="239">
        <v>0</v>
      </c>
      <c r="AE421" s="239" t="s">
        <v>720</v>
      </c>
      <c r="AF421" s="239" t="s">
        <v>721</v>
      </c>
      <c r="AG421" s="239">
        <f t="shared" si="31"/>
        <v>0</v>
      </c>
      <c r="AH421" s="239">
        <f t="shared" si="32"/>
        <v>0</v>
      </c>
      <c r="AI421" s="239">
        <f t="shared" si="33"/>
        <v>0</v>
      </c>
      <c r="AJ421" s="239">
        <f t="shared" si="34"/>
        <v>0</v>
      </c>
    </row>
    <row r="422" spans="1:36" x14ac:dyDescent="0.2">
      <c r="A422" s="240" t="str">
        <f t="shared" si="30"/>
        <v>SNCPP3429K100</v>
      </c>
      <c r="B422" s="239" t="s">
        <v>19</v>
      </c>
      <c r="C422" s="239" t="s">
        <v>20</v>
      </c>
      <c r="D422" s="239" t="s">
        <v>2565</v>
      </c>
      <c r="E422" s="239" t="s">
        <v>2529</v>
      </c>
      <c r="F422" s="239" t="s">
        <v>2567</v>
      </c>
      <c r="G422" s="239">
        <v>100</v>
      </c>
      <c r="H422" s="239" t="s">
        <v>928</v>
      </c>
      <c r="I422" s="239" t="s">
        <v>928</v>
      </c>
      <c r="J422" s="239" t="s">
        <v>928</v>
      </c>
      <c r="K422" s="239" t="s">
        <v>2398</v>
      </c>
      <c r="L422" s="239">
        <v>378.01</v>
      </c>
      <c r="M422" s="239">
        <v>0</v>
      </c>
      <c r="N422" s="239">
        <v>0</v>
      </c>
      <c r="O422" s="239">
        <v>0</v>
      </c>
      <c r="P422" s="239">
        <v>0</v>
      </c>
      <c r="Q422" s="239">
        <v>0</v>
      </c>
      <c r="R422" s="239">
        <v>0</v>
      </c>
      <c r="S422" s="239">
        <v>0</v>
      </c>
      <c r="T422" s="239">
        <v>0</v>
      </c>
      <c r="U422" s="239">
        <v>0</v>
      </c>
      <c r="V422" s="239">
        <v>0</v>
      </c>
      <c r="W422" s="239">
        <v>0</v>
      </c>
      <c r="X422" s="239">
        <v>0</v>
      </c>
      <c r="Y422" s="239">
        <v>296.70999999999998</v>
      </c>
      <c r="Z422" s="239">
        <v>0</v>
      </c>
      <c r="AA422" s="239">
        <v>0</v>
      </c>
      <c r="AB422" s="239">
        <v>81.3</v>
      </c>
      <c r="AC422" s="239">
        <v>0</v>
      </c>
      <c r="AD422" s="239">
        <v>0</v>
      </c>
      <c r="AE422" s="239" t="s">
        <v>720</v>
      </c>
      <c r="AF422" s="239" t="s">
        <v>721</v>
      </c>
      <c r="AG422" s="239">
        <f t="shared" si="31"/>
        <v>0</v>
      </c>
      <c r="AH422" s="239">
        <f t="shared" si="32"/>
        <v>0</v>
      </c>
      <c r="AI422" s="239">
        <f t="shared" si="33"/>
        <v>0</v>
      </c>
      <c r="AJ422" s="239">
        <f t="shared" si="34"/>
        <v>0</v>
      </c>
    </row>
    <row r="423" spans="1:36" x14ac:dyDescent="0.2">
      <c r="A423" s="240" t="str">
        <f t="shared" si="30"/>
        <v>2SNCPP350120</v>
      </c>
      <c r="B423" s="239" t="s">
        <v>19</v>
      </c>
      <c r="C423" s="239" t="s">
        <v>20</v>
      </c>
      <c r="D423" s="239" t="s">
        <v>2565</v>
      </c>
      <c r="E423" s="239" t="s">
        <v>2529</v>
      </c>
      <c r="F423" s="239" t="s">
        <v>2568</v>
      </c>
      <c r="G423" s="239">
        <v>20</v>
      </c>
      <c r="H423" s="239" t="s">
        <v>928</v>
      </c>
      <c r="I423" s="239" t="s">
        <v>2484</v>
      </c>
      <c r="J423" s="239" t="s">
        <v>928</v>
      </c>
      <c r="K423" s="239" t="s">
        <v>2398</v>
      </c>
      <c r="L423" s="239">
        <v>419.25</v>
      </c>
      <c r="M423" s="239">
        <v>0</v>
      </c>
      <c r="N423" s="239">
        <v>0</v>
      </c>
      <c r="O423" s="239">
        <v>0</v>
      </c>
      <c r="P423" s="239">
        <v>0</v>
      </c>
      <c r="Q423" s="239">
        <v>0</v>
      </c>
      <c r="R423" s="239">
        <v>0</v>
      </c>
      <c r="S423" s="239">
        <v>0</v>
      </c>
      <c r="T423" s="239">
        <v>0</v>
      </c>
      <c r="U423" s="239">
        <v>0</v>
      </c>
      <c r="V423" s="239">
        <v>0</v>
      </c>
      <c r="W423" s="239">
        <v>0</v>
      </c>
      <c r="X423" s="239">
        <v>0</v>
      </c>
      <c r="Y423" s="239">
        <v>302.83999999999997</v>
      </c>
      <c r="Z423" s="239">
        <v>0</v>
      </c>
      <c r="AA423" s="239">
        <v>0</v>
      </c>
      <c r="AB423" s="239">
        <v>116.41</v>
      </c>
      <c r="AC423" s="239">
        <v>0</v>
      </c>
      <c r="AD423" s="239">
        <v>0</v>
      </c>
      <c r="AE423" s="239" t="s">
        <v>720</v>
      </c>
      <c r="AF423" s="239" t="s">
        <v>721</v>
      </c>
      <c r="AG423" s="239">
        <f t="shared" si="31"/>
        <v>0</v>
      </c>
      <c r="AH423" s="239">
        <f t="shared" si="32"/>
        <v>0</v>
      </c>
      <c r="AI423" s="239">
        <f t="shared" si="33"/>
        <v>0</v>
      </c>
      <c r="AJ423" s="239">
        <f t="shared" si="34"/>
        <v>0</v>
      </c>
    </row>
    <row r="424" spans="1:36" x14ac:dyDescent="0.2">
      <c r="A424" s="240" t="str">
        <f t="shared" si="30"/>
        <v>SNCPP350120</v>
      </c>
      <c r="B424" s="239" t="s">
        <v>19</v>
      </c>
      <c r="C424" s="239" t="s">
        <v>20</v>
      </c>
      <c r="D424" s="239" t="s">
        <v>2565</v>
      </c>
      <c r="E424" s="239" t="s">
        <v>2529</v>
      </c>
      <c r="F424" s="239" t="s">
        <v>2568</v>
      </c>
      <c r="G424" s="239">
        <v>20</v>
      </c>
      <c r="H424" s="239" t="s">
        <v>928</v>
      </c>
      <c r="I424" s="239" t="s">
        <v>928</v>
      </c>
      <c r="J424" s="239" t="s">
        <v>928</v>
      </c>
      <c r="K424" s="239" t="s">
        <v>2398</v>
      </c>
      <c r="L424" s="239">
        <v>419.25</v>
      </c>
      <c r="M424" s="239">
        <v>0</v>
      </c>
      <c r="N424" s="239">
        <v>0</v>
      </c>
      <c r="O424" s="239">
        <v>0</v>
      </c>
      <c r="P424" s="239">
        <v>0</v>
      </c>
      <c r="Q424" s="239">
        <v>0</v>
      </c>
      <c r="R424" s="239">
        <v>0</v>
      </c>
      <c r="S424" s="239">
        <v>0</v>
      </c>
      <c r="T424" s="239">
        <v>0</v>
      </c>
      <c r="U424" s="239">
        <v>0</v>
      </c>
      <c r="V424" s="239">
        <v>0</v>
      </c>
      <c r="W424" s="239">
        <v>0</v>
      </c>
      <c r="X424" s="239">
        <v>0</v>
      </c>
      <c r="Y424" s="239">
        <v>302.83999999999997</v>
      </c>
      <c r="Z424" s="239">
        <v>0</v>
      </c>
      <c r="AA424" s="239">
        <v>0</v>
      </c>
      <c r="AB424" s="239">
        <v>116.41</v>
      </c>
      <c r="AC424" s="239">
        <v>0</v>
      </c>
      <c r="AD424" s="239">
        <v>0</v>
      </c>
      <c r="AE424" s="239" t="s">
        <v>720</v>
      </c>
      <c r="AF424" s="239" t="s">
        <v>721</v>
      </c>
      <c r="AG424" s="239">
        <f t="shared" si="31"/>
        <v>0</v>
      </c>
      <c r="AH424" s="239">
        <f t="shared" si="32"/>
        <v>0</v>
      </c>
      <c r="AI424" s="239">
        <f t="shared" si="33"/>
        <v>0</v>
      </c>
      <c r="AJ424" s="239">
        <f t="shared" si="34"/>
        <v>0</v>
      </c>
    </row>
    <row r="425" spans="1:36" x14ac:dyDescent="0.2">
      <c r="A425" s="240" t="str">
        <f t="shared" si="30"/>
        <v>2SNCPP350125</v>
      </c>
      <c r="B425" s="239" t="s">
        <v>19</v>
      </c>
      <c r="C425" s="239" t="s">
        <v>20</v>
      </c>
      <c r="D425" s="239" t="s">
        <v>2565</v>
      </c>
      <c r="E425" s="239" t="s">
        <v>2529</v>
      </c>
      <c r="F425" s="239" t="s">
        <v>2568</v>
      </c>
      <c r="G425" s="239">
        <v>25</v>
      </c>
      <c r="H425" s="239" t="s">
        <v>928</v>
      </c>
      <c r="I425" s="239" t="s">
        <v>2484</v>
      </c>
      <c r="J425" s="239" t="s">
        <v>928</v>
      </c>
      <c r="K425" s="239" t="s">
        <v>2398</v>
      </c>
      <c r="L425" s="239">
        <v>434.69</v>
      </c>
      <c r="M425" s="239">
        <v>0</v>
      </c>
      <c r="N425" s="239">
        <v>0</v>
      </c>
      <c r="O425" s="239">
        <v>0</v>
      </c>
      <c r="P425" s="239">
        <v>0</v>
      </c>
      <c r="Q425" s="239">
        <v>0</v>
      </c>
      <c r="R425" s="239">
        <v>0</v>
      </c>
      <c r="S425" s="239">
        <v>0</v>
      </c>
      <c r="T425" s="239">
        <v>0</v>
      </c>
      <c r="U425" s="239">
        <v>0</v>
      </c>
      <c r="V425" s="239">
        <v>0</v>
      </c>
      <c r="W425" s="239">
        <v>0</v>
      </c>
      <c r="X425" s="239">
        <v>0</v>
      </c>
      <c r="Y425" s="239">
        <v>332.56</v>
      </c>
      <c r="Z425" s="239">
        <v>0</v>
      </c>
      <c r="AA425" s="239">
        <v>0</v>
      </c>
      <c r="AB425" s="239">
        <v>102.13</v>
      </c>
      <c r="AC425" s="239">
        <v>0</v>
      </c>
      <c r="AD425" s="239">
        <v>0</v>
      </c>
      <c r="AE425" s="239" t="s">
        <v>720</v>
      </c>
      <c r="AF425" s="239" t="s">
        <v>721</v>
      </c>
      <c r="AG425" s="239">
        <f t="shared" si="31"/>
        <v>0</v>
      </c>
      <c r="AH425" s="239">
        <f t="shared" si="32"/>
        <v>0</v>
      </c>
      <c r="AI425" s="239">
        <f t="shared" si="33"/>
        <v>0</v>
      </c>
      <c r="AJ425" s="239">
        <f t="shared" si="34"/>
        <v>0</v>
      </c>
    </row>
    <row r="426" spans="1:36" x14ac:dyDescent="0.2">
      <c r="A426" s="240" t="str">
        <f t="shared" si="30"/>
        <v>SNCPP350125</v>
      </c>
      <c r="B426" s="239" t="s">
        <v>19</v>
      </c>
      <c r="C426" s="239" t="s">
        <v>20</v>
      </c>
      <c r="D426" s="239" t="s">
        <v>2565</v>
      </c>
      <c r="E426" s="239" t="s">
        <v>2529</v>
      </c>
      <c r="F426" s="239" t="s">
        <v>2568</v>
      </c>
      <c r="G426" s="239">
        <v>25</v>
      </c>
      <c r="H426" s="239" t="s">
        <v>928</v>
      </c>
      <c r="I426" s="239" t="s">
        <v>928</v>
      </c>
      <c r="J426" s="239" t="s">
        <v>928</v>
      </c>
      <c r="K426" s="239" t="s">
        <v>2398</v>
      </c>
      <c r="L426" s="239">
        <v>434.69</v>
      </c>
      <c r="M426" s="239">
        <v>0</v>
      </c>
      <c r="N426" s="239">
        <v>0</v>
      </c>
      <c r="O426" s="239">
        <v>0</v>
      </c>
      <c r="P426" s="239">
        <v>0</v>
      </c>
      <c r="Q426" s="239">
        <v>0</v>
      </c>
      <c r="R426" s="239">
        <v>0</v>
      </c>
      <c r="S426" s="239">
        <v>0</v>
      </c>
      <c r="T426" s="239">
        <v>0</v>
      </c>
      <c r="U426" s="239">
        <v>0</v>
      </c>
      <c r="V426" s="239">
        <v>0</v>
      </c>
      <c r="W426" s="239">
        <v>0</v>
      </c>
      <c r="X426" s="239">
        <v>0</v>
      </c>
      <c r="Y426" s="239">
        <v>332.56</v>
      </c>
      <c r="Z426" s="239">
        <v>0</v>
      </c>
      <c r="AA426" s="239">
        <v>0</v>
      </c>
      <c r="AB426" s="239">
        <v>102.13</v>
      </c>
      <c r="AC426" s="239">
        <v>0</v>
      </c>
      <c r="AD426" s="239">
        <v>0</v>
      </c>
      <c r="AE426" s="239" t="s">
        <v>720</v>
      </c>
      <c r="AF426" s="239" t="s">
        <v>721</v>
      </c>
      <c r="AG426" s="239">
        <f t="shared" si="31"/>
        <v>0</v>
      </c>
      <c r="AH426" s="239">
        <f t="shared" si="32"/>
        <v>0</v>
      </c>
      <c r="AI426" s="239">
        <f t="shared" si="33"/>
        <v>0</v>
      </c>
      <c r="AJ426" s="239">
        <f t="shared" si="34"/>
        <v>0</v>
      </c>
    </row>
    <row r="427" spans="1:36" x14ac:dyDescent="0.2">
      <c r="A427" s="240" t="str">
        <f t="shared" si="30"/>
        <v>2SNCPP350130</v>
      </c>
      <c r="B427" s="239" t="s">
        <v>19</v>
      </c>
      <c r="C427" s="239" t="s">
        <v>20</v>
      </c>
      <c r="D427" s="239" t="s">
        <v>2565</v>
      </c>
      <c r="E427" s="239" t="s">
        <v>2529</v>
      </c>
      <c r="F427" s="239" t="s">
        <v>2568</v>
      </c>
      <c r="G427" s="239">
        <v>30</v>
      </c>
      <c r="H427" s="239" t="s">
        <v>928</v>
      </c>
      <c r="I427" s="239" t="s">
        <v>2484</v>
      </c>
      <c r="J427" s="239" t="s">
        <v>928</v>
      </c>
      <c r="K427" s="239" t="s">
        <v>2398</v>
      </c>
      <c r="L427" s="239">
        <v>349.01</v>
      </c>
      <c r="M427" s="239">
        <v>0</v>
      </c>
      <c r="N427" s="239">
        <v>0</v>
      </c>
      <c r="O427" s="239">
        <v>0</v>
      </c>
      <c r="P427" s="239">
        <v>0</v>
      </c>
      <c r="Q427" s="239">
        <v>0</v>
      </c>
      <c r="R427" s="239">
        <v>0</v>
      </c>
      <c r="S427" s="239">
        <v>0</v>
      </c>
      <c r="T427" s="239">
        <v>0</v>
      </c>
      <c r="U427" s="239">
        <v>0</v>
      </c>
      <c r="V427" s="239">
        <v>0</v>
      </c>
      <c r="W427" s="239">
        <v>0</v>
      </c>
      <c r="X427" s="239">
        <v>0</v>
      </c>
      <c r="Y427" s="239">
        <v>273.62</v>
      </c>
      <c r="Z427" s="239">
        <v>0</v>
      </c>
      <c r="AA427" s="239">
        <v>0</v>
      </c>
      <c r="AB427" s="239">
        <v>75.39</v>
      </c>
      <c r="AC427" s="239">
        <v>0</v>
      </c>
      <c r="AD427" s="239">
        <v>0</v>
      </c>
      <c r="AE427" s="239" t="s">
        <v>720</v>
      </c>
      <c r="AF427" s="239" t="s">
        <v>721</v>
      </c>
      <c r="AG427" s="239">
        <f t="shared" si="31"/>
        <v>0</v>
      </c>
      <c r="AH427" s="239">
        <f t="shared" si="32"/>
        <v>0</v>
      </c>
      <c r="AI427" s="239">
        <f t="shared" si="33"/>
        <v>0</v>
      </c>
      <c r="AJ427" s="239">
        <f t="shared" si="34"/>
        <v>0</v>
      </c>
    </row>
    <row r="428" spans="1:36" x14ac:dyDescent="0.2">
      <c r="A428" s="240" t="str">
        <f t="shared" si="30"/>
        <v>SNCPP350130</v>
      </c>
      <c r="B428" s="239" t="s">
        <v>19</v>
      </c>
      <c r="C428" s="239" t="s">
        <v>20</v>
      </c>
      <c r="D428" s="239" t="s">
        <v>2565</v>
      </c>
      <c r="E428" s="239" t="s">
        <v>2529</v>
      </c>
      <c r="F428" s="239" t="s">
        <v>2568</v>
      </c>
      <c r="G428" s="239">
        <v>30</v>
      </c>
      <c r="H428" s="239" t="s">
        <v>928</v>
      </c>
      <c r="I428" s="239" t="s">
        <v>928</v>
      </c>
      <c r="J428" s="239" t="s">
        <v>928</v>
      </c>
      <c r="K428" s="239" t="s">
        <v>2398</v>
      </c>
      <c r="L428" s="239">
        <v>349.01</v>
      </c>
      <c r="M428" s="239">
        <v>0</v>
      </c>
      <c r="N428" s="239">
        <v>0</v>
      </c>
      <c r="O428" s="239">
        <v>0</v>
      </c>
      <c r="P428" s="239">
        <v>0</v>
      </c>
      <c r="Q428" s="239">
        <v>0</v>
      </c>
      <c r="R428" s="239">
        <v>0</v>
      </c>
      <c r="S428" s="239">
        <v>0</v>
      </c>
      <c r="T428" s="239">
        <v>0</v>
      </c>
      <c r="U428" s="239">
        <v>0</v>
      </c>
      <c r="V428" s="239">
        <v>0</v>
      </c>
      <c r="W428" s="239">
        <v>0</v>
      </c>
      <c r="X428" s="239">
        <v>0</v>
      </c>
      <c r="Y428" s="239">
        <v>273.62</v>
      </c>
      <c r="Z428" s="239">
        <v>0</v>
      </c>
      <c r="AA428" s="239">
        <v>0</v>
      </c>
      <c r="AB428" s="239">
        <v>75.39</v>
      </c>
      <c r="AC428" s="239">
        <v>0</v>
      </c>
      <c r="AD428" s="239">
        <v>0</v>
      </c>
      <c r="AE428" s="239" t="s">
        <v>720</v>
      </c>
      <c r="AF428" s="239" t="s">
        <v>721</v>
      </c>
      <c r="AG428" s="239">
        <f t="shared" si="31"/>
        <v>0</v>
      </c>
      <c r="AH428" s="239">
        <f t="shared" si="32"/>
        <v>0</v>
      </c>
      <c r="AI428" s="239">
        <f t="shared" si="33"/>
        <v>0</v>
      </c>
      <c r="AJ428" s="239">
        <f t="shared" si="34"/>
        <v>0</v>
      </c>
    </row>
    <row r="429" spans="1:36" x14ac:dyDescent="0.2">
      <c r="A429" s="240" t="str">
        <f t="shared" si="30"/>
        <v>2SNCPP350140</v>
      </c>
      <c r="B429" s="239" t="s">
        <v>19</v>
      </c>
      <c r="C429" s="239" t="s">
        <v>20</v>
      </c>
      <c r="D429" s="239" t="s">
        <v>2565</v>
      </c>
      <c r="E429" s="239" t="s">
        <v>2529</v>
      </c>
      <c r="F429" s="239" t="s">
        <v>2568</v>
      </c>
      <c r="G429" s="239">
        <v>40</v>
      </c>
      <c r="H429" s="239" t="s">
        <v>928</v>
      </c>
      <c r="I429" s="239" t="s">
        <v>2484</v>
      </c>
      <c r="J429" s="239" t="s">
        <v>928</v>
      </c>
      <c r="K429" s="239" t="s">
        <v>2398</v>
      </c>
      <c r="L429" s="239">
        <v>453.15</v>
      </c>
      <c r="M429" s="239">
        <v>0</v>
      </c>
      <c r="N429" s="239">
        <v>0</v>
      </c>
      <c r="O429" s="239">
        <v>0</v>
      </c>
      <c r="P429" s="239">
        <v>0</v>
      </c>
      <c r="Q429" s="239">
        <v>0</v>
      </c>
      <c r="R429" s="239">
        <v>0</v>
      </c>
      <c r="S429" s="239">
        <v>0</v>
      </c>
      <c r="T429" s="239">
        <v>0</v>
      </c>
      <c r="U429" s="239">
        <v>0</v>
      </c>
      <c r="V429" s="239">
        <v>0</v>
      </c>
      <c r="W429" s="239">
        <v>0</v>
      </c>
      <c r="X429" s="239">
        <v>0</v>
      </c>
      <c r="Y429" s="239">
        <v>309.5</v>
      </c>
      <c r="Z429" s="239">
        <v>0</v>
      </c>
      <c r="AA429" s="239">
        <v>0</v>
      </c>
      <c r="AB429" s="239">
        <v>143.65</v>
      </c>
      <c r="AC429" s="239">
        <v>0</v>
      </c>
      <c r="AD429" s="239">
        <v>0</v>
      </c>
      <c r="AE429" s="239" t="s">
        <v>720</v>
      </c>
      <c r="AF429" s="239" t="s">
        <v>721</v>
      </c>
      <c r="AG429" s="239">
        <f t="shared" si="31"/>
        <v>0</v>
      </c>
      <c r="AH429" s="239">
        <f t="shared" si="32"/>
        <v>0</v>
      </c>
      <c r="AI429" s="239">
        <f t="shared" si="33"/>
        <v>0</v>
      </c>
      <c r="AJ429" s="239">
        <f t="shared" si="34"/>
        <v>0</v>
      </c>
    </row>
    <row r="430" spans="1:36" x14ac:dyDescent="0.2">
      <c r="A430" s="240" t="str">
        <f t="shared" si="30"/>
        <v>SNCPP350140</v>
      </c>
      <c r="B430" s="239" t="s">
        <v>19</v>
      </c>
      <c r="C430" s="239" t="s">
        <v>20</v>
      </c>
      <c r="D430" s="239" t="s">
        <v>2565</v>
      </c>
      <c r="E430" s="239" t="s">
        <v>2529</v>
      </c>
      <c r="F430" s="239" t="s">
        <v>2568</v>
      </c>
      <c r="G430" s="239">
        <v>40</v>
      </c>
      <c r="H430" s="239" t="s">
        <v>928</v>
      </c>
      <c r="I430" s="239" t="s">
        <v>928</v>
      </c>
      <c r="J430" s="239" t="s">
        <v>928</v>
      </c>
      <c r="K430" s="239" t="s">
        <v>2398</v>
      </c>
      <c r="L430" s="239">
        <v>453.15</v>
      </c>
      <c r="M430" s="239">
        <v>0</v>
      </c>
      <c r="N430" s="239">
        <v>0</v>
      </c>
      <c r="O430" s="239">
        <v>0</v>
      </c>
      <c r="P430" s="239">
        <v>0</v>
      </c>
      <c r="Q430" s="239">
        <v>0</v>
      </c>
      <c r="R430" s="239">
        <v>0</v>
      </c>
      <c r="S430" s="239">
        <v>0</v>
      </c>
      <c r="T430" s="239">
        <v>0</v>
      </c>
      <c r="U430" s="239">
        <v>0</v>
      </c>
      <c r="V430" s="239">
        <v>0</v>
      </c>
      <c r="W430" s="239">
        <v>0</v>
      </c>
      <c r="X430" s="239">
        <v>0</v>
      </c>
      <c r="Y430" s="239">
        <v>309.5</v>
      </c>
      <c r="Z430" s="239">
        <v>0</v>
      </c>
      <c r="AA430" s="239">
        <v>0</v>
      </c>
      <c r="AB430" s="239">
        <v>143.65</v>
      </c>
      <c r="AC430" s="239">
        <v>0</v>
      </c>
      <c r="AD430" s="239">
        <v>0</v>
      </c>
      <c r="AE430" s="239" t="s">
        <v>720</v>
      </c>
      <c r="AF430" s="239" t="s">
        <v>721</v>
      </c>
      <c r="AG430" s="239">
        <f t="shared" si="31"/>
        <v>0</v>
      </c>
      <c r="AH430" s="239">
        <f t="shared" si="32"/>
        <v>0</v>
      </c>
      <c r="AI430" s="239">
        <f t="shared" si="33"/>
        <v>0</v>
      </c>
      <c r="AJ430" s="239">
        <f t="shared" si="34"/>
        <v>0</v>
      </c>
    </row>
    <row r="431" spans="1:36" x14ac:dyDescent="0.2">
      <c r="A431" s="240" t="str">
        <f t="shared" si="30"/>
        <v>2SNCPP350150</v>
      </c>
      <c r="B431" s="239" t="s">
        <v>19</v>
      </c>
      <c r="C431" s="239" t="s">
        <v>20</v>
      </c>
      <c r="D431" s="239" t="s">
        <v>2565</v>
      </c>
      <c r="E431" s="239" t="s">
        <v>2529</v>
      </c>
      <c r="F431" s="239" t="s">
        <v>2568</v>
      </c>
      <c r="G431" s="239">
        <v>50</v>
      </c>
      <c r="H431" s="239" t="s">
        <v>928</v>
      </c>
      <c r="I431" s="239" t="s">
        <v>2484</v>
      </c>
      <c r="J431" s="239" t="s">
        <v>928</v>
      </c>
      <c r="K431" s="239" t="s">
        <v>2398</v>
      </c>
      <c r="L431" s="239">
        <v>740.22</v>
      </c>
      <c r="M431" s="239">
        <v>0</v>
      </c>
      <c r="N431" s="239">
        <v>0</v>
      </c>
      <c r="O431" s="239">
        <v>0</v>
      </c>
      <c r="P431" s="239">
        <v>0</v>
      </c>
      <c r="Q431" s="239">
        <v>0</v>
      </c>
      <c r="R431" s="239">
        <v>0</v>
      </c>
      <c r="S431" s="239">
        <v>0</v>
      </c>
      <c r="T431" s="239">
        <v>0</v>
      </c>
      <c r="U431" s="239">
        <v>0</v>
      </c>
      <c r="V431" s="239">
        <v>0</v>
      </c>
      <c r="W431" s="239">
        <v>0</v>
      </c>
      <c r="X431" s="239">
        <v>0</v>
      </c>
      <c r="Y431" s="239">
        <v>472.83</v>
      </c>
      <c r="Z431" s="239">
        <v>0</v>
      </c>
      <c r="AA431" s="239">
        <v>0</v>
      </c>
      <c r="AB431" s="239">
        <v>267.39</v>
      </c>
      <c r="AC431" s="239">
        <v>0</v>
      </c>
      <c r="AD431" s="239">
        <v>0</v>
      </c>
      <c r="AE431" s="239" t="s">
        <v>720</v>
      </c>
      <c r="AF431" s="239" t="s">
        <v>721</v>
      </c>
      <c r="AG431" s="239">
        <f t="shared" si="31"/>
        <v>0</v>
      </c>
      <c r="AH431" s="239">
        <f t="shared" si="32"/>
        <v>0</v>
      </c>
      <c r="AI431" s="239">
        <f t="shared" si="33"/>
        <v>0</v>
      </c>
      <c r="AJ431" s="239">
        <f t="shared" si="34"/>
        <v>0</v>
      </c>
    </row>
    <row r="432" spans="1:36" x14ac:dyDescent="0.2">
      <c r="A432" s="240" t="str">
        <f t="shared" si="30"/>
        <v>SNCPP350150</v>
      </c>
      <c r="B432" s="239" t="s">
        <v>19</v>
      </c>
      <c r="C432" s="239" t="s">
        <v>20</v>
      </c>
      <c r="D432" s="239" t="s">
        <v>2565</v>
      </c>
      <c r="E432" s="239" t="s">
        <v>2529</v>
      </c>
      <c r="F432" s="239" t="s">
        <v>2568</v>
      </c>
      <c r="G432" s="239">
        <v>50</v>
      </c>
      <c r="H432" s="239" t="s">
        <v>928</v>
      </c>
      <c r="I432" s="239" t="s">
        <v>928</v>
      </c>
      <c r="J432" s="239" t="s">
        <v>928</v>
      </c>
      <c r="K432" s="239" t="s">
        <v>2398</v>
      </c>
      <c r="L432" s="239">
        <v>740.22</v>
      </c>
      <c r="M432" s="239">
        <v>0</v>
      </c>
      <c r="N432" s="239">
        <v>0</v>
      </c>
      <c r="O432" s="239">
        <v>0</v>
      </c>
      <c r="P432" s="239">
        <v>0</v>
      </c>
      <c r="Q432" s="239">
        <v>0</v>
      </c>
      <c r="R432" s="239">
        <v>0</v>
      </c>
      <c r="S432" s="239">
        <v>0</v>
      </c>
      <c r="T432" s="239">
        <v>0</v>
      </c>
      <c r="U432" s="239">
        <v>0</v>
      </c>
      <c r="V432" s="239">
        <v>0</v>
      </c>
      <c r="W432" s="239">
        <v>0</v>
      </c>
      <c r="X432" s="239">
        <v>0</v>
      </c>
      <c r="Y432" s="239">
        <v>472.83</v>
      </c>
      <c r="Z432" s="239">
        <v>0</v>
      </c>
      <c r="AA432" s="239">
        <v>0</v>
      </c>
      <c r="AB432" s="239">
        <v>267.39</v>
      </c>
      <c r="AC432" s="239">
        <v>0</v>
      </c>
      <c r="AD432" s="239">
        <v>0</v>
      </c>
      <c r="AE432" s="239" t="s">
        <v>720</v>
      </c>
      <c r="AF432" s="239" t="s">
        <v>721</v>
      </c>
      <c r="AG432" s="239">
        <f t="shared" si="31"/>
        <v>0</v>
      </c>
      <c r="AH432" s="239">
        <f t="shared" si="32"/>
        <v>0</v>
      </c>
      <c r="AI432" s="239">
        <f t="shared" si="33"/>
        <v>0</v>
      </c>
      <c r="AJ432" s="239">
        <f t="shared" si="34"/>
        <v>0</v>
      </c>
    </row>
    <row r="433" spans="1:36" x14ac:dyDescent="0.2">
      <c r="A433" s="240" t="str">
        <f t="shared" si="30"/>
        <v>2SNCPP3701J40</v>
      </c>
      <c r="B433" s="239" t="s">
        <v>19</v>
      </c>
      <c r="C433" s="239" t="s">
        <v>20</v>
      </c>
      <c r="D433" s="239" t="s">
        <v>2565</v>
      </c>
      <c r="E433" s="239" t="s">
        <v>2529</v>
      </c>
      <c r="F433" s="239" t="s">
        <v>2569</v>
      </c>
      <c r="G433" s="239">
        <v>40</v>
      </c>
      <c r="H433" s="239" t="s">
        <v>928</v>
      </c>
      <c r="I433" s="239" t="s">
        <v>2484</v>
      </c>
      <c r="J433" s="239" t="s">
        <v>928</v>
      </c>
      <c r="K433" s="239" t="s">
        <v>2398</v>
      </c>
      <c r="L433" s="239">
        <v>553.16</v>
      </c>
      <c r="M433" s="239">
        <v>0</v>
      </c>
      <c r="N433" s="239">
        <v>0</v>
      </c>
      <c r="O433" s="239">
        <v>0</v>
      </c>
      <c r="P433" s="239">
        <v>0</v>
      </c>
      <c r="Q433" s="239">
        <v>0</v>
      </c>
      <c r="R433" s="239">
        <v>0</v>
      </c>
      <c r="S433" s="239">
        <v>0</v>
      </c>
      <c r="T433" s="239">
        <v>0</v>
      </c>
      <c r="U433" s="239">
        <v>0</v>
      </c>
      <c r="V433" s="239">
        <v>0</v>
      </c>
      <c r="W433" s="239">
        <v>0</v>
      </c>
      <c r="X433" s="239">
        <v>0</v>
      </c>
      <c r="Y433" s="239">
        <v>340.42</v>
      </c>
      <c r="Z433" s="239">
        <v>0</v>
      </c>
      <c r="AA433" s="239">
        <v>0</v>
      </c>
      <c r="AB433" s="239">
        <v>212.74</v>
      </c>
      <c r="AC433" s="239">
        <v>0</v>
      </c>
      <c r="AD433" s="239">
        <v>0</v>
      </c>
      <c r="AE433" s="239" t="s">
        <v>720</v>
      </c>
      <c r="AF433" s="239" t="s">
        <v>721</v>
      </c>
      <c r="AG433" s="239">
        <f t="shared" si="31"/>
        <v>0</v>
      </c>
      <c r="AH433" s="239">
        <f t="shared" si="32"/>
        <v>0</v>
      </c>
      <c r="AI433" s="239">
        <f t="shared" si="33"/>
        <v>0</v>
      </c>
      <c r="AJ433" s="239">
        <f t="shared" si="34"/>
        <v>0</v>
      </c>
    </row>
    <row r="434" spans="1:36" x14ac:dyDescent="0.2">
      <c r="A434" s="240" t="str">
        <f t="shared" si="30"/>
        <v>SNCPP3701J40</v>
      </c>
      <c r="B434" s="239" t="s">
        <v>19</v>
      </c>
      <c r="C434" s="239" t="s">
        <v>20</v>
      </c>
      <c r="D434" s="239" t="s">
        <v>2565</v>
      </c>
      <c r="E434" s="239" t="s">
        <v>2529</v>
      </c>
      <c r="F434" s="239" t="s">
        <v>2569</v>
      </c>
      <c r="G434" s="239">
        <v>40</v>
      </c>
      <c r="H434" s="239" t="s">
        <v>928</v>
      </c>
      <c r="I434" s="239" t="s">
        <v>928</v>
      </c>
      <c r="J434" s="239" t="s">
        <v>928</v>
      </c>
      <c r="K434" s="239" t="s">
        <v>2398</v>
      </c>
      <c r="L434" s="239">
        <v>553.16</v>
      </c>
      <c r="M434" s="239">
        <v>0</v>
      </c>
      <c r="N434" s="239">
        <v>0</v>
      </c>
      <c r="O434" s="239">
        <v>0</v>
      </c>
      <c r="P434" s="239">
        <v>0</v>
      </c>
      <c r="Q434" s="239">
        <v>0</v>
      </c>
      <c r="R434" s="239">
        <v>0</v>
      </c>
      <c r="S434" s="239">
        <v>0</v>
      </c>
      <c r="T434" s="239">
        <v>0</v>
      </c>
      <c r="U434" s="239">
        <v>0</v>
      </c>
      <c r="V434" s="239">
        <v>0</v>
      </c>
      <c r="W434" s="239">
        <v>0</v>
      </c>
      <c r="X434" s="239">
        <v>0</v>
      </c>
      <c r="Y434" s="239">
        <v>340.42</v>
      </c>
      <c r="Z434" s="239">
        <v>0</v>
      </c>
      <c r="AA434" s="239">
        <v>0</v>
      </c>
      <c r="AB434" s="239">
        <v>212.74</v>
      </c>
      <c r="AC434" s="239">
        <v>0</v>
      </c>
      <c r="AD434" s="239">
        <v>0</v>
      </c>
      <c r="AE434" s="239" t="s">
        <v>720</v>
      </c>
      <c r="AF434" s="239" t="s">
        <v>721</v>
      </c>
      <c r="AG434" s="239">
        <f t="shared" si="31"/>
        <v>0</v>
      </c>
      <c r="AH434" s="239">
        <f t="shared" si="32"/>
        <v>0</v>
      </c>
      <c r="AI434" s="239">
        <f t="shared" si="33"/>
        <v>0</v>
      </c>
      <c r="AJ434" s="239">
        <f t="shared" si="34"/>
        <v>0</v>
      </c>
    </row>
    <row r="435" spans="1:36" x14ac:dyDescent="0.2">
      <c r="A435" s="240" t="str">
        <f t="shared" si="30"/>
        <v>2SNCPP372170</v>
      </c>
      <c r="B435" s="239" t="s">
        <v>19</v>
      </c>
      <c r="C435" s="239" t="s">
        <v>20</v>
      </c>
      <c r="D435" s="239" t="s">
        <v>2565</v>
      </c>
      <c r="E435" s="239" t="s">
        <v>2529</v>
      </c>
      <c r="F435" s="239" t="s">
        <v>2570</v>
      </c>
      <c r="G435" s="239">
        <v>70</v>
      </c>
      <c r="H435" s="239" t="s">
        <v>928</v>
      </c>
      <c r="I435" s="239" t="s">
        <v>2484</v>
      </c>
      <c r="J435" s="239" t="s">
        <v>928</v>
      </c>
      <c r="K435" s="239" t="s">
        <v>2398</v>
      </c>
      <c r="L435" s="239">
        <v>761.68</v>
      </c>
      <c r="M435" s="239">
        <v>0</v>
      </c>
      <c r="N435" s="239">
        <v>0</v>
      </c>
      <c r="O435" s="239">
        <v>0</v>
      </c>
      <c r="P435" s="239">
        <v>0</v>
      </c>
      <c r="Q435" s="239">
        <v>0</v>
      </c>
      <c r="R435" s="239">
        <v>0</v>
      </c>
      <c r="S435" s="239">
        <v>0</v>
      </c>
      <c r="T435" s="239">
        <v>0</v>
      </c>
      <c r="U435" s="239">
        <v>0</v>
      </c>
      <c r="V435" s="239">
        <v>0</v>
      </c>
      <c r="W435" s="239">
        <v>0</v>
      </c>
      <c r="X435" s="239">
        <v>0</v>
      </c>
      <c r="Y435" s="239">
        <v>424.6</v>
      </c>
      <c r="Z435" s="239">
        <v>0</v>
      </c>
      <c r="AA435" s="239">
        <v>0</v>
      </c>
      <c r="AB435" s="239">
        <v>337.08</v>
      </c>
      <c r="AC435" s="239">
        <v>0</v>
      </c>
      <c r="AD435" s="239">
        <v>0</v>
      </c>
      <c r="AE435" s="239" t="s">
        <v>720</v>
      </c>
      <c r="AF435" s="239" t="s">
        <v>721</v>
      </c>
      <c r="AG435" s="239">
        <f t="shared" si="31"/>
        <v>0</v>
      </c>
      <c r="AH435" s="239">
        <f t="shared" si="32"/>
        <v>0</v>
      </c>
      <c r="AI435" s="239">
        <f t="shared" si="33"/>
        <v>0</v>
      </c>
      <c r="AJ435" s="239">
        <f t="shared" si="34"/>
        <v>0</v>
      </c>
    </row>
    <row r="436" spans="1:36" x14ac:dyDescent="0.2">
      <c r="A436" s="240" t="str">
        <f t="shared" si="30"/>
        <v>SNCPP372170</v>
      </c>
      <c r="B436" s="239" t="s">
        <v>19</v>
      </c>
      <c r="C436" s="239" t="s">
        <v>20</v>
      </c>
      <c r="D436" s="239" t="s">
        <v>2565</v>
      </c>
      <c r="E436" s="239" t="s">
        <v>2529</v>
      </c>
      <c r="F436" s="239" t="s">
        <v>2570</v>
      </c>
      <c r="G436" s="239">
        <v>70</v>
      </c>
      <c r="H436" s="239" t="s">
        <v>928</v>
      </c>
      <c r="I436" s="239" t="s">
        <v>928</v>
      </c>
      <c r="J436" s="239" t="s">
        <v>928</v>
      </c>
      <c r="K436" s="239" t="s">
        <v>2398</v>
      </c>
      <c r="L436" s="239">
        <v>761.68</v>
      </c>
      <c r="M436" s="239">
        <v>0</v>
      </c>
      <c r="N436" s="239">
        <v>0</v>
      </c>
      <c r="O436" s="239">
        <v>0</v>
      </c>
      <c r="P436" s="239">
        <v>0</v>
      </c>
      <c r="Q436" s="239">
        <v>0</v>
      </c>
      <c r="R436" s="239">
        <v>0</v>
      </c>
      <c r="S436" s="239">
        <v>0</v>
      </c>
      <c r="T436" s="239">
        <v>0</v>
      </c>
      <c r="U436" s="239">
        <v>0</v>
      </c>
      <c r="V436" s="239">
        <v>0</v>
      </c>
      <c r="W436" s="239">
        <v>0</v>
      </c>
      <c r="X436" s="239">
        <v>0</v>
      </c>
      <c r="Y436" s="239">
        <v>424.6</v>
      </c>
      <c r="Z436" s="239">
        <v>0</v>
      </c>
      <c r="AA436" s="239">
        <v>0</v>
      </c>
      <c r="AB436" s="239">
        <v>337.08</v>
      </c>
      <c r="AC436" s="239">
        <v>0</v>
      </c>
      <c r="AD436" s="239">
        <v>0</v>
      </c>
      <c r="AE436" s="239" t="s">
        <v>720</v>
      </c>
      <c r="AF436" s="239" t="s">
        <v>721</v>
      </c>
      <c r="AG436" s="239">
        <f t="shared" si="31"/>
        <v>0</v>
      </c>
      <c r="AH436" s="239">
        <f t="shared" si="32"/>
        <v>0</v>
      </c>
      <c r="AI436" s="239">
        <f t="shared" si="33"/>
        <v>0</v>
      </c>
      <c r="AJ436" s="239">
        <f t="shared" si="34"/>
        <v>0</v>
      </c>
    </row>
    <row r="437" spans="1:36" x14ac:dyDescent="0.2">
      <c r="A437" s="240" t="str">
        <f t="shared" si="30"/>
        <v>2SNCPP395130</v>
      </c>
      <c r="B437" s="239" t="s">
        <v>19</v>
      </c>
      <c r="C437" s="239" t="s">
        <v>20</v>
      </c>
      <c r="D437" s="239" t="s">
        <v>2565</v>
      </c>
      <c r="E437" s="239" t="s">
        <v>2529</v>
      </c>
      <c r="F437" s="239" t="s">
        <v>2571</v>
      </c>
      <c r="G437" s="239">
        <v>30</v>
      </c>
      <c r="H437" s="239" t="s">
        <v>928</v>
      </c>
      <c r="I437" s="239" t="s">
        <v>2484</v>
      </c>
      <c r="J437" s="239" t="s">
        <v>928</v>
      </c>
      <c r="K437" s="239" t="s">
        <v>2398</v>
      </c>
      <c r="L437" s="239">
        <v>510.57</v>
      </c>
      <c r="M437" s="239">
        <v>0</v>
      </c>
      <c r="N437" s="239">
        <v>0</v>
      </c>
      <c r="O437" s="239">
        <v>0</v>
      </c>
      <c r="P437" s="239">
        <v>0</v>
      </c>
      <c r="Q437" s="239">
        <v>0</v>
      </c>
      <c r="R437" s="239">
        <v>0</v>
      </c>
      <c r="S437" s="239">
        <v>0</v>
      </c>
      <c r="T437" s="239">
        <v>0</v>
      </c>
      <c r="U437" s="239">
        <v>0</v>
      </c>
      <c r="V437" s="239">
        <v>0</v>
      </c>
      <c r="W437" s="239">
        <v>0</v>
      </c>
      <c r="X437" s="239">
        <v>0</v>
      </c>
      <c r="Y437" s="239">
        <v>364.18</v>
      </c>
      <c r="Z437" s="239">
        <v>0</v>
      </c>
      <c r="AA437" s="239">
        <v>0</v>
      </c>
      <c r="AB437" s="239">
        <v>146.38999999999999</v>
      </c>
      <c r="AC437" s="239">
        <v>0</v>
      </c>
      <c r="AD437" s="239">
        <v>0</v>
      </c>
      <c r="AE437" s="239" t="s">
        <v>720</v>
      </c>
      <c r="AF437" s="239" t="s">
        <v>721</v>
      </c>
      <c r="AG437" s="239">
        <f t="shared" si="31"/>
        <v>0</v>
      </c>
      <c r="AH437" s="239">
        <f t="shared" si="32"/>
        <v>0</v>
      </c>
      <c r="AI437" s="239">
        <f t="shared" si="33"/>
        <v>0</v>
      </c>
      <c r="AJ437" s="239">
        <f t="shared" si="34"/>
        <v>0</v>
      </c>
    </row>
    <row r="438" spans="1:36" x14ac:dyDescent="0.2">
      <c r="A438" s="240" t="str">
        <f t="shared" si="30"/>
        <v>SNCPP395130</v>
      </c>
      <c r="B438" s="239" t="s">
        <v>19</v>
      </c>
      <c r="C438" s="239" t="s">
        <v>20</v>
      </c>
      <c r="D438" s="239" t="s">
        <v>2565</v>
      </c>
      <c r="E438" s="239" t="s">
        <v>2529</v>
      </c>
      <c r="F438" s="239" t="s">
        <v>2571</v>
      </c>
      <c r="G438" s="239">
        <v>30</v>
      </c>
      <c r="H438" s="239" t="s">
        <v>928</v>
      </c>
      <c r="I438" s="239" t="s">
        <v>928</v>
      </c>
      <c r="J438" s="239" t="s">
        <v>928</v>
      </c>
      <c r="K438" s="239" t="s">
        <v>2398</v>
      </c>
      <c r="L438" s="239">
        <v>510.57</v>
      </c>
      <c r="M438" s="239">
        <v>0</v>
      </c>
      <c r="N438" s="239">
        <v>0</v>
      </c>
      <c r="O438" s="239">
        <v>0</v>
      </c>
      <c r="P438" s="239">
        <v>0</v>
      </c>
      <c r="Q438" s="239">
        <v>0</v>
      </c>
      <c r="R438" s="239">
        <v>0</v>
      </c>
      <c r="S438" s="239">
        <v>0</v>
      </c>
      <c r="T438" s="239">
        <v>0</v>
      </c>
      <c r="U438" s="239">
        <v>0</v>
      </c>
      <c r="V438" s="239">
        <v>0</v>
      </c>
      <c r="W438" s="239">
        <v>0</v>
      </c>
      <c r="X438" s="239">
        <v>0</v>
      </c>
      <c r="Y438" s="239">
        <v>364.18</v>
      </c>
      <c r="Z438" s="239">
        <v>0</v>
      </c>
      <c r="AA438" s="239">
        <v>0</v>
      </c>
      <c r="AB438" s="239">
        <v>146.38999999999999</v>
      </c>
      <c r="AC438" s="239">
        <v>0</v>
      </c>
      <c r="AD438" s="239">
        <v>0</v>
      </c>
      <c r="AE438" s="239" t="s">
        <v>720</v>
      </c>
      <c r="AF438" s="239" t="s">
        <v>721</v>
      </c>
      <c r="AG438" s="239">
        <f t="shared" si="31"/>
        <v>0</v>
      </c>
      <c r="AH438" s="239">
        <f t="shared" si="32"/>
        <v>0</v>
      </c>
      <c r="AI438" s="239">
        <f t="shared" si="33"/>
        <v>0</v>
      </c>
      <c r="AJ438" s="239">
        <f t="shared" si="34"/>
        <v>0</v>
      </c>
    </row>
    <row r="439" spans="1:36" x14ac:dyDescent="0.2">
      <c r="A439" s="240" t="str">
        <f t="shared" si="30"/>
        <v>2SNCPP395140</v>
      </c>
      <c r="B439" s="239" t="s">
        <v>19</v>
      </c>
      <c r="C439" s="239" t="s">
        <v>20</v>
      </c>
      <c r="D439" s="239" t="s">
        <v>2565</v>
      </c>
      <c r="E439" s="239" t="s">
        <v>2529</v>
      </c>
      <c r="F439" s="239" t="s">
        <v>2571</v>
      </c>
      <c r="G439" s="239">
        <v>40</v>
      </c>
      <c r="H439" s="239" t="s">
        <v>928</v>
      </c>
      <c r="I439" s="239" t="s">
        <v>2484</v>
      </c>
      <c r="J439" s="239" t="s">
        <v>928</v>
      </c>
      <c r="K439" s="239" t="s">
        <v>2398</v>
      </c>
      <c r="L439" s="239">
        <v>375.13</v>
      </c>
      <c r="M439" s="239">
        <v>0</v>
      </c>
      <c r="N439" s="239">
        <v>0</v>
      </c>
      <c r="O439" s="239">
        <v>0</v>
      </c>
      <c r="P439" s="239">
        <v>0</v>
      </c>
      <c r="Q439" s="239">
        <v>0</v>
      </c>
      <c r="R439" s="239">
        <v>0</v>
      </c>
      <c r="S439" s="239">
        <v>0</v>
      </c>
      <c r="T439" s="239">
        <v>0</v>
      </c>
      <c r="U439" s="239">
        <v>0</v>
      </c>
      <c r="V439" s="239">
        <v>0</v>
      </c>
      <c r="W439" s="239">
        <v>0</v>
      </c>
      <c r="X439" s="239">
        <v>0</v>
      </c>
      <c r="Y439" s="239">
        <v>291.70999999999998</v>
      </c>
      <c r="Z439" s="239">
        <v>0</v>
      </c>
      <c r="AA439" s="239">
        <v>0</v>
      </c>
      <c r="AB439" s="239">
        <v>83.42</v>
      </c>
      <c r="AC439" s="239">
        <v>0</v>
      </c>
      <c r="AD439" s="239">
        <v>0</v>
      </c>
      <c r="AE439" s="239" t="s">
        <v>720</v>
      </c>
      <c r="AF439" s="239" t="s">
        <v>721</v>
      </c>
      <c r="AG439" s="239">
        <f t="shared" si="31"/>
        <v>0</v>
      </c>
      <c r="AH439" s="239">
        <f t="shared" si="32"/>
        <v>0</v>
      </c>
      <c r="AI439" s="239">
        <f t="shared" si="33"/>
        <v>0</v>
      </c>
      <c r="AJ439" s="239">
        <f t="shared" si="34"/>
        <v>0</v>
      </c>
    </row>
    <row r="440" spans="1:36" x14ac:dyDescent="0.2">
      <c r="A440" s="240" t="str">
        <f t="shared" si="30"/>
        <v>SNCPP395140</v>
      </c>
      <c r="B440" s="239" t="s">
        <v>19</v>
      </c>
      <c r="C440" s="239" t="s">
        <v>20</v>
      </c>
      <c r="D440" s="239" t="s">
        <v>2565</v>
      </c>
      <c r="E440" s="239" t="s">
        <v>2529</v>
      </c>
      <c r="F440" s="239" t="s">
        <v>2571</v>
      </c>
      <c r="G440" s="239">
        <v>40</v>
      </c>
      <c r="H440" s="239" t="s">
        <v>928</v>
      </c>
      <c r="I440" s="239" t="s">
        <v>928</v>
      </c>
      <c r="J440" s="239" t="s">
        <v>928</v>
      </c>
      <c r="K440" s="239" t="s">
        <v>2398</v>
      </c>
      <c r="L440" s="239">
        <v>375.13</v>
      </c>
      <c r="M440" s="239">
        <v>0</v>
      </c>
      <c r="N440" s="239">
        <v>0</v>
      </c>
      <c r="O440" s="239">
        <v>0</v>
      </c>
      <c r="P440" s="239">
        <v>0</v>
      </c>
      <c r="Q440" s="239">
        <v>0</v>
      </c>
      <c r="R440" s="239">
        <v>0</v>
      </c>
      <c r="S440" s="239">
        <v>0</v>
      </c>
      <c r="T440" s="239">
        <v>0</v>
      </c>
      <c r="U440" s="239">
        <v>0</v>
      </c>
      <c r="V440" s="239">
        <v>0</v>
      </c>
      <c r="W440" s="239">
        <v>0</v>
      </c>
      <c r="X440" s="239">
        <v>0</v>
      </c>
      <c r="Y440" s="239">
        <v>291.70999999999998</v>
      </c>
      <c r="Z440" s="239">
        <v>0</v>
      </c>
      <c r="AA440" s="239">
        <v>0</v>
      </c>
      <c r="AB440" s="239">
        <v>83.42</v>
      </c>
      <c r="AC440" s="239">
        <v>0</v>
      </c>
      <c r="AD440" s="239">
        <v>0</v>
      </c>
      <c r="AE440" s="239" t="s">
        <v>720</v>
      </c>
      <c r="AF440" s="239" t="s">
        <v>721</v>
      </c>
      <c r="AG440" s="239">
        <f t="shared" si="31"/>
        <v>0</v>
      </c>
      <c r="AH440" s="239">
        <f t="shared" si="32"/>
        <v>0</v>
      </c>
      <c r="AI440" s="239">
        <f t="shared" si="33"/>
        <v>0</v>
      </c>
      <c r="AJ440" s="239">
        <f t="shared" si="34"/>
        <v>0</v>
      </c>
    </row>
    <row r="441" spans="1:36" x14ac:dyDescent="0.2">
      <c r="A441" s="240" t="str">
        <f t="shared" si="30"/>
        <v>2SNCPP395150</v>
      </c>
      <c r="B441" s="239" t="s">
        <v>19</v>
      </c>
      <c r="C441" s="239" t="s">
        <v>20</v>
      </c>
      <c r="D441" s="239" t="s">
        <v>2565</v>
      </c>
      <c r="E441" s="239" t="s">
        <v>2529</v>
      </c>
      <c r="F441" s="239" t="s">
        <v>2571</v>
      </c>
      <c r="G441" s="239">
        <v>50</v>
      </c>
      <c r="H441" s="239" t="s">
        <v>928</v>
      </c>
      <c r="I441" s="239" t="s">
        <v>2484</v>
      </c>
      <c r="J441" s="239" t="s">
        <v>928</v>
      </c>
      <c r="K441" s="239" t="s">
        <v>2398</v>
      </c>
      <c r="L441" s="239">
        <v>341.81</v>
      </c>
      <c r="M441" s="239">
        <v>0</v>
      </c>
      <c r="N441" s="239">
        <v>0</v>
      </c>
      <c r="O441" s="239">
        <v>0</v>
      </c>
      <c r="P441" s="239">
        <v>0</v>
      </c>
      <c r="Q441" s="239">
        <v>0</v>
      </c>
      <c r="R441" s="239">
        <v>0</v>
      </c>
      <c r="S441" s="239">
        <v>0</v>
      </c>
      <c r="T441" s="239">
        <v>0</v>
      </c>
      <c r="U441" s="239">
        <v>0</v>
      </c>
      <c r="V441" s="239">
        <v>0</v>
      </c>
      <c r="W441" s="239">
        <v>0</v>
      </c>
      <c r="X441" s="239">
        <v>0</v>
      </c>
      <c r="Y441" s="239">
        <v>283.43</v>
      </c>
      <c r="Z441" s="239">
        <v>0</v>
      </c>
      <c r="AA441" s="239">
        <v>0</v>
      </c>
      <c r="AB441" s="239">
        <v>58.38</v>
      </c>
      <c r="AC441" s="239">
        <v>0</v>
      </c>
      <c r="AD441" s="239">
        <v>0</v>
      </c>
      <c r="AE441" s="239" t="s">
        <v>720</v>
      </c>
      <c r="AF441" s="239" t="s">
        <v>721</v>
      </c>
      <c r="AG441" s="239">
        <f t="shared" si="31"/>
        <v>0</v>
      </c>
      <c r="AH441" s="239">
        <f t="shared" si="32"/>
        <v>0</v>
      </c>
      <c r="AI441" s="239">
        <f t="shared" si="33"/>
        <v>0</v>
      </c>
      <c r="AJ441" s="239">
        <f t="shared" si="34"/>
        <v>0</v>
      </c>
    </row>
    <row r="442" spans="1:36" x14ac:dyDescent="0.2">
      <c r="A442" s="240" t="str">
        <f t="shared" si="30"/>
        <v>SNCPP395150</v>
      </c>
      <c r="B442" s="239" t="s">
        <v>19</v>
      </c>
      <c r="C442" s="239" t="s">
        <v>20</v>
      </c>
      <c r="D442" s="239" t="s">
        <v>2565</v>
      </c>
      <c r="E442" s="239" t="s">
        <v>2529</v>
      </c>
      <c r="F442" s="239" t="s">
        <v>2571</v>
      </c>
      <c r="G442" s="239">
        <v>50</v>
      </c>
      <c r="H442" s="239" t="s">
        <v>928</v>
      </c>
      <c r="I442" s="239" t="s">
        <v>928</v>
      </c>
      <c r="J442" s="239" t="s">
        <v>928</v>
      </c>
      <c r="K442" s="239" t="s">
        <v>2398</v>
      </c>
      <c r="L442" s="239">
        <v>341.81</v>
      </c>
      <c r="M442" s="239">
        <v>0</v>
      </c>
      <c r="N442" s="239">
        <v>0</v>
      </c>
      <c r="O442" s="239">
        <v>0</v>
      </c>
      <c r="P442" s="239">
        <v>0</v>
      </c>
      <c r="Q442" s="239">
        <v>0</v>
      </c>
      <c r="R442" s="239">
        <v>0</v>
      </c>
      <c r="S442" s="239">
        <v>0</v>
      </c>
      <c r="T442" s="239">
        <v>0</v>
      </c>
      <c r="U442" s="239">
        <v>0</v>
      </c>
      <c r="V442" s="239">
        <v>0</v>
      </c>
      <c r="W442" s="239">
        <v>0</v>
      </c>
      <c r="X442" s="239">
        <v>0</v>
      </c>
      <c r="Y442" s="239">
        <v>283.43</v>
      </c>
      <c r="Z442" s="239">
        <v>0</v>
      </c>
      <c r="AA442" s="239">
        <v>0</v>
      </c>
      <c r="AB442" s="239">
        <v>58.38</v>
      </c>
      <c r="AC442" s="239">
        <v>0</v>
      </c>
      <c r="AD442" s="239">
        <v>0</v>
      </c>
      <c r="AE442" s="239" t="s">
        <v>720</v>
      </c>
      <c r="AF442" s="239" t="s">
        <v>721</v>
      </c>
      <c r="AG442" s="239">
        <f t="shared" si="31"/>
        <v>0</v>
      </c>
      <c r="AH442" s="239">
        <f t="shared" si="32"/>
        <v>0</v>
      </c>
      <c r="AI442" s="239">
        <f t="shared" si="33"/>
        <v>0</v>
      </c>
      <c r="AJ442" s="239">
        <f t="shared" si="34"/>
        <v>0</v>
      </c>
    </row>
    <row r="443" spans="1:36" x14ac:dyDescent="0.2">
      <c r="A443" s="240" t="str">
        <f t="shared" si="30"/>
        <v>2SNCPP395160</v>
      </c>
      <c r="B443" s="239" t="s">
        <v>19</v>
      </c>
      <c r="C443" s="239" t="s">
        <v>20</v>
      </c>
      <c r="D443" s="239" t="s">
        <v>2565</v>
      </c>
      <c r="E443" s="239" t="s">
        <v>2529</v>
      </c>
      <c r="F443" s="239" t="s">
        <v>2571</v>
      </c>
      <c r="G443" s="239">
        <v>60</v>
      </c>
      <c r="H443" s="239" t="s">
        <v>928</v>
      </c>
      <c r="I443" s="239" t="s">
        <v>2484</v>
      </c>
      <c r="J443" s="239" t="s">
        <v>928</v>
      </c>
      <c r="K443" s="239" t="s">
        <v>2398</v>
      </c>
      <c r="L443" s="239">
        <v>337.75</v>
      </c>
      <c r="M443" s="239">
        <v>0</v>
      </c>
      <c r="N443" s="239">
        <v>0</v>
      </c>
      <c r="O443" s="239">
        <v>0</v>
      </c>
      <c r="P443" s="239">
        <v>0</v>
      </c>
      <c r="Q443" s="239">
        <v>0</v>
      </c>
      <c r="R443" s="239">
        <v>0</v>
      </c>
      <c r="S443" s="239">
        <v>0</v>
      </c>
      <c r="T443" s="239">
        <v>0</v>
      </c>
      <c r="U443" s="239">
        <v>0</v>
      </c>
      <c r="V443" s="239">
        <v>0</v>
      </c>
      <c r="W443" s="239">
        <v>0</v>
      </c>
      <c r="X443" s="239">
        <v>0</v>
      </c>
      <c r="Y443" s="239">
        <v>276.27</v>
      </c>
      <c r="Z443" s="239">
        <v>0</v>
      </c>
      <c r="AA443" s="239">
        <v>0</v>
      </c>
      <c r="AB443" s="239">
        <v>61.49</v>
      </c>
      <c r="AC443" s="239">
        <v>0</v>
      </c>
      <c r="AD443" s="239">
        <v>0</v>
      </c>
      <c r="AE443" s="239" t="s">
        <v>720</v>
      </c>
      <c r="AF443" s="239" t="s">
        <v>721</v>
      </c>
      <c r="AG443" s="239">
        <f t="shared" si="31"/>
        <v>0</v>
      </c>
      <c r="AH443" s="239">
        <f t="shared" si="32"/>
        <v>0</v>
      </c>
      <c r="AI443" s="239">
        <f t="shared" si="33"/>
        <v>0</v>
      </c>
      <c r="AJ443" s="239">
        <f t="shared" si="34"/>
        <v>0</v>
      </c>
    </row>
    <row r="444" spans="1:36" x14ac:dyDescent="0.2">
      <c r="A444" s="240" t="str">
        <f t="shared" si="30"/>
        <v>SNCPP395160</v>
      </c>
      <c r="B444" s="239" t="s">
        <v>19</v>
      </c>
      <c r="C444" s="239" t="s">
        <v>20</v>
      </c>
      <c r="D444" s="239" t="s">
        <v>2565</v>
      </c>
      <c r="E444" s="239" t="s">
        <v>2529</v>
      </c>
      <c r="F444" s="239" t="s">
        <v>2571</v>
      </c>
      <c r="G444" s="239">
        <v>60</v>
      </c>
      <c r="H444" s="239" t="s">
        <v>928</v>
      </c>
      <c r="I444" s="239" t="s">
        <v>928</v>
      </c>
      <c r="J444" s="239" t="s">
        <v>928</v>
      </c>
      <c r="K444" s="239" t="s">
        <v>2398</v>
      </c>
      <c r="L444" s="239">
        <v>337.75</v>
      </c>
      <c r="M444" s="239">
        <v>0</v>
      </c>
      <c r="N444" s="239">
        <v>0</v>
      </c>
      <c r="O444" s="239">
        <v>0</v>
      </c>
      <c r="P444" s="239">
        <v>0</v>
      </c>
      <c r="Q444" s="239">
        <v>0</v>
      </c>
      <c r="R444" s="239">
        <v>0</v>
      </c>
      <c r="S444" s="239">
        <v>0</v>
      </c>
      <c r="T444" s="239">
        <v>0</v>
      </c>
      <c r="U444" s="239">
        <v>0</v>
      </c>
      <c r="V444" s="239">
        <v>0</v>
      </c>
      <c r="W444" s="239">
        <v>0</v>
      </c>
      <c r="X444" s="239">
        <v>0</v>
      </c>
      <c r="Y444" s="239">
        <v>276.27</v>
      </c>
      <c r="Z444" s="239">
        <v>0</v>
      </c>
      <c r="AA444" s="239">
        <v>0</v>
      </c>
      <c r="AB444" s="239">
        <v>61.49</v>
      </c>
      <c r="AC444" s="239">
        <v>0</v>
      </c>
      <c r="AD444" s="239">
        <v>0</v>
      </c>
      <c r="AE444" s="239" t="s">
        <v>720</v>
      </c>
      <c r="AF444" s="239" t="s">
        <v>721</v>
      </c>
      <c r="AG444" s="239">
        <f t="shared" si="31"/>
        <v>0</v>
      </c>
      <c r="AH444" s="239">
        <f t="shared" si="32"/>
        <v>0</v>
      </c>
      <c r="AI444" s="239">
        <f t="shared" si="33"/>
        <v>0</v>
      </c>
      <c r="AJ444" s="239">
        <f t="shared" si="34"/>
        <v>0</v>
      </c>
    </row>
    <row r="445" spans="1:36" x14ac:dyDescent="0.2">
      <c r="A445" s="240" t="str">
        <f t="shared" si="30"/>
        <v>2SNCPP395170</v>
      </c>
      <c r="B445" s="239" t="s">
        <v>19</v>
      </c>
      <c r="C445" s="239" t="s">
        <v>20</v>
      </c>
      <c r="D445" s="239" t="s">
        <v>2565</v>
      </c>
      <c r="E445" s="239" t="s">
        <v>2529</v>
      </c>
      <c r="F445" s="239" t="s">
        <v>2571</v>
      </c>
      <c r="G445" s="239">
        <v>70</v>
      </c>
      <c r="H445" s="239" t="s">
        <v>928</v>
      </c>
      <c r="I445" s="239" t="s">
        <v>2484</v>
      </c>
      <c r="J445" s="239" t="s">
        <v>928</v>
      </c>
      <c r="K445" s="239" t="s">
        <v>2398</v>
      </c>
      <c r="L445" s="239">
        <v>367.67</v>
      </c>
      <c r="M445" s="239">
        <v>0</v>
      </c>
      <c r="N445" s="239">
        <v>0</v>
      </c>
      <c r="O445" s="239">
        <v>0</v>
      </c>
      <c r="P445" s="239">
        <v>0</v>
      </c>
      <c r="Q445" s="239">
        <v>0</v>
      </c>
      <c r="R445" s="239">
        <v>0</v>
      </c>
      <c r="S445" s="239">
        <v>0</v>
      </c>
      <c r="T445" s="239">
        <v>0</v>
      </c>
      <c r="U445" s="239">
        <v>0</v>
      </c>
      <c r="V445" s="239">
        <v>0</v>
      </c>
      <c r="W445" s="239">
        <v>0</v>
      </c>
      <c r="X445" s="239">
        <v>0</v>
      </c>
      <c r="Y445" s="239">
        <v>290.69</v>
      </c>
      <c r="Z445" s="239">
        <v>0</v>
      </c>
      <c r="AA445" s="239">
        <v>0</v>
      </c>
      <c r="AB445" s="239">
        <v>76.98</v>
      </c>
      <c r="AC445" s="239">
        <v>0</v>
      </c>
      <c r="AD445" s="239">
        <v>0</v>
      </c>
      <c r="AE445" s="239" t="s">
        <v>720</v>
      </c>
      <c r="AF445" s="239" t="s">
        <v>721</v>
      </c>
      <c r="AG445" s="239">
        <f t="shared" si="31"/>
        <v>0</v>
      </c>
      <c r="AH445" s="239">
        <f t="shared" si="32"/>
        <v>0</v>
      </c>
      <c r="AI445" s="239">
        <f t="shared" si="33"/>
        <v>0</v>
      </c>
      <c r="AJ445" s="239">
        <f t="shared" si="34"/>
        <v>0</v>
      </c>
    </row>
    <row r="446" spans="1:36" x14ac:dyDescent="0.2">
      <c r="A446" s="240" t="str">
        <f t="shared" si="30"/>
        <v>SNCPP395170</v>
      </c>
      <c r="B446" s="239" t="s">
        <v>19</v>
      </c>
      <c r="C446" s="239" t="s">
        <v>20</v>
      </c>
      <c r="D446" s="239" t="s">
        <v>2565</v>
      </c>
      <c r="E446" s="239" t="s">
        <v>2529</v>
      </c>
      <c r="F446" s="239" t="s">
        <v>2571</v>
      </c>
      <c r="G446" s="239">
        <v>70</v>
      </c>
      <c r="H446" s="239" t="s">
        <v>928</v>
      </c>
      <c r="I446" s="239" t="s">
        <v>928</v>
      </c>
      <c r="J446" s="239" t="s">
        <v>928</v>
      </c>
      <c r="K446" s="239" t="s">
        <v>2398</v>
      </c>
      <c r="L446" s="239">
        <v>367.67</v>
      </c>
      <c r="M446" s="239">
        <v>0</v>
      </c>
      <c r="N446" s="239">
        <v>0</v>
      </c>
      <c r="O446" s="239">
        <v>0</v>
      </c>
      <c r="P446" s="239">
        <v>0</v>
      </c>
      <c r="Q446" s="239">
        <v>0</v>
      </c>
      <c r="R446" s="239">
        <v>0</v>
      </c>
      <c r="S446" s="239">
        <v>0</v>
      </c>
      <c r="T446" s="239">
        <v>0</v>
      </c>
      <c r="U446" s="239">
        <v>0</v>
      </c>
      <c r="V446" s="239">
        <v>0</v>
      </c>
      <c r="W446" s="239">
        <v>0</v>
      </c>
      <c r="X446" s="239">
        <v>0</v>
      </c>
      <c r="Y446" s="239">
        <v>290.69</v>
      </c>
      <c r="Z446" s="239">
        <v>0</v>
      </c>
      <c r="AA446" s="239">
        <v>0</v>
      </c>
      <c r="AB446" s="239">
        <v>76.98</v>
      </c>
      <c r="AC446" s="239">
        <v>0</v>
      </c>
      <c r="AD446" s="239">
        <v>0</v>
      </c>
      <c r="AE446" s="239" t="s">
        <v>720</v>
      </c>
      <c r="AF446" s="239" t="s">
        <v>721</v>
      </c>
      <c r="AG446" s="239">
        <f t="shared" si="31"/>
        <v>0</v>
      </c>
      <c r="AH446" s="239">
        <f t="shared" si="32"/>
        <v>0</v>
      </c>
      <c r="AI446" s="239">
        <f t="shared" si="33"/>
        <v>0</v>
      </c>
      <c r="AJ446" s="239">
        <f t="shared" si="34"/>
        <v>0</v>
      </c>
    </row>
    <row r="447" spans="1:36" x14ac:dyDescent="0.2">
      <c r="A447" s="240" t="str">
        <f t="shared" si="30"/>
        <v>2SNCPP395180</v>
      </c>
      <c r="B447" s="239" t="s">
        <v>19</v>
      </c>
      <c r="C447" s="239" t="s">
        <v>20</v>
      </c>
      <c r="D447" s="239" t="s">
        <v>2565</v>
      </c>
      <c r="E447" s="239" t="s">
        <v>2529</v>
      </c>
      <c r="F447" s="239" t="s">
        <v>2571</v>
      </c>
      <c r="G447" s="239">
        <v>80</v>
      </c>
      <c r="H447" s="239" t="s">
        <v>928</v>
      </c>
      <c r="I447" s="239" t="s">
        <v>2484</v>
      </c>
      <c r="J447" s="239" t="s">
        <v>928</v>
      </c>
      <c r="K447" s="239" t="s">
        <v>2398</v>
      </c>
      <c r="L447" s="239">
        <v>363.89</v>
      </c>
      <c r="M447" s="239">
        <v>0</v>
      </c>
      <c r="N447" s="239">
        <v>0</v>
      </c>
      <c r="O447" s="239">
        <v>0</v>
      </c>
      <c r="P447" s="239">
        <v>0</v>
      </c>
      <c r="Q447" s="239">
        <v>0</v>
      </c>
      <c r="R447" s="239">
        <v>0</v>
      </c>
      <c r="S447" s="239">
        <v>0</v>
      </c>
      <c r="T447" s="239">
        <v>0</v>
      </c>
      <c r="U447" s="239">
        <v>0</v>
      </c>
      <c r="V447" s="239">
        <v>0</v>
      </c>
      <c r="W447" s="239">
        <v>0</v>
      </c>
      <c r="X447" s="239">
        <v>0</v>
      </c>
      <c r="Y447" s="239">
        <v>289.26</v>
      </c>
      <c r="Z447" s="239">
        <v>0</v>
      </c>
      <c r="AA447" s="239">
        <v>0</v>
      </c>
      <c r="AB447" s="239">
        <v>74.63</v>
      </c>
      <c r="AC447" s="239">
        <v>0</v>
      </c>
      <c r="AD447" s="239">
        <v>0</v>
      </c>
      <c r="AE447" s="239" t="s">
        <v>720</v>
      </c>
      <c r="AF447" s="239" t="s">
        <v>721</v>
      </c>
      <c r="AG447" s="239">
        <f t="shared" si="31"/>
        <v>0</v>
      </c>
      <c r="AH447" s="239">
        <f t="shared" si="32"/>
        <v>0</v>
      </c>
      <c r="AI447" s="239">
        <f t="shared" si="33"/>
        <v>0</v>
      </c>
      <c r="AJ447" s="239">
        <f t="shared" si="34"/>
        <v>0</v>
      </c>
    </row>
    <row r="448" spans="1:36" x14ac:dyDescent="0.2">
      <c r="A448" s="240" t="str">
        <f t="shared" si="30"/>
        <v>SNCPP395180</v>
      </c>
      <c r="B448" s="239" t="s">
        <v>19</v>
      </c>
      <c r="C448" s="239" t="s">
        <v>20</v>
      </c>
      <c r="D448" s="239" t="s">
        <v>2565</v>
      </c>
      <c r="E448" s="239" t="s">
        <v>2529</v>
      </c>
      <c r="F448" s="239" t="s">
        <v>2571</v>
      </c>
      <c r="G448" s="239">
        <v>80</v>
      </c>
      <c r="H448" s="239" t="s">
        <v>928</v>
      </c>
      <c r="I448" s="239" t="s">
        <v>928</v>
      </c>
      <c r="J448" s="239" t="s">
        <v>928</v>
      </c>
      <c r="K448" s="239" t="s">
        <v>2398</v>
      </c>
      <c r="L448" s="239">
        <v>363.89</v>
      </c>
      <c r="M448" s="239">
        <v>0</v>
      </c>
      <c r="N448" s="239">
        <v>0</v>
      </c>
      <c r="O448" s="239">
        <v>0</v>
      </c>
      <c r="P448" s="239">
        <v>0</v>
      </c>
      <c r="Q448" s="239">
        <v>0</v>
      </c>
      <c r="R448" s="239">
        <v>0</v>
      </c>
      <c r="S448" s="239">
        <v>0</v>
      </c>
      <c r="T448" s="239">
        <v>0</v>
      </c>
      <c r="U448" s="239">
        <v>0</v>
      </c>
      <c r="V448" s="239">
        <v>0</v>
      </c>
      <c r="W448" s="239">
        <v>0</v>
      </c>
      <c r="X448" s="239">
        <v>0</v>
      </c>
      <c r="Y448" s="239">
        <v>289.26</v>
      </c>
      <c r="Z448" s="239">
        <v>0</v>
      </c>
      <c r="AA448" s="239">
        <v>0</v>
      </c>
      <c r="AB448" s="239">
        <v>74.63</v>
      </c>
      <c r="AC448" s="239">
        <v>0</v>
      </c>
      <c r="AD448" s="239">
        <v>0</v>
      </c>
      <c r="AE448" s="239" t="s">
        <v>720</v>
      </c>
      <c r="AF448" s="239" t="s">
        <v>721</v>
      </c>
      <c r="AG448" s="239">
        <f t="shared" si="31"/>
        <v>0</v>
      </c>
      <c r="AH448" s="239">
        <f t="shared" si="32"/>
        <v>0</v>
      </c>
      <c r="AI448" s="239">
        <f t="shared" si="33"/>
        <v>0</v>
      </c>
      <c r="AJ448" s="239">
        <f t="shared" si="34"/>
        <v>0</v>
      </c>
    </row>
    <row r="449" spans="1:36" x14ac:dyDescent="0.2">
      <c r="A449" s="240" t="str">
        <f t="shared" si="30"/>
        <v>2SNCPP3951100</v>
      </c>
      <c r="B449" s="239" t="s">
        <v>19</v>
      </c>
      <c r="C449" s="239" t="s">
        <v>20</v>
      </c>
      <c r="D449" s="239" t="s">
        <v>2565</v>
      </c>
      <c r="E449" s="239" t="s">
        <v>2529</v>
      </c>
      <c r="F449" s="239" t="s">
        <v>2571</v>
      </c>
      <c r="G449" s="239">
        <v>100</v>
      </c>
      <c r="H449" s="239" t="s">
        <v>928</v>
      </c>
      <c r="I449" s="239" t="s">
        <v>2484</v>
      </c>
      <c r="J449" s="239" t="s">
        <v>928</v>
      </c>
      <c r="K449" s="239" t="s">
        <v>2398</v>
      </c>
      <c r="L449" s="239">
        <v>485.91</v>
      </c>
      <c r="M449" s="239">
        <v>0</v>
      </c>
      <c r="N449" s="239">
        <v>0</v>
      </c>
      <c r="O449" s="239">
        <v>0</v>
      </c>
      <c r="P449" s="239">
        <v>0</v>
      </c>
      <c r="Q449" s="239">
        <v>0</v>
      </c>
      <c r="R449" s="239">
        <v>0</v>
      </c>
      <c r="S449" s="239">
        <v>0</v>
      </c>
      <c r="T449" s="239">
        <v>0</v>
      </c>
      <c r="U449" s="239">
        <v>0</v>
      </c>
      <c r="V449" s="239">
        <v>0</v>
      </c>
      <c r="W449" s="239">
        <v>0</v>
      </c>
      <c r="X449" s="239">
        <v>0</v>
      </c>
      <c r="Y449" s="239">
        <v>353.34</v>
      </c>
      <c r="Z449" s="239">
        <v>0</v>
      </c>
      <c r="AA449" s="239">
        <v>0</v>
      </c>
      <c r="AB449" s="239">
        <v>132.56</v>
      </c>
      <c r="AC449" s="239">
        <v>0</v>
      </c>
      <c r="AD449" s="239">
        <v>0</v>
      </c>
      <c r="AE449" s="239" t="s">
        <v>720</v>
      </c>
      <c r="AF449" s="239" t="s">
        <v>721</v>
      </c>
      <c r="AG449" s="239">
        <f t="shared" si="31"/>
        <v>0</v>
      </c>
      <c r="AH449" s="239">
        <f t="shared" si="32"/>
        <v>0</v>
      </c>
      <c r="AI449" s="239">
        <f t="shared" si="33"/>
        <v>0</v>
      </c>
      <c r="AJ449" s="239">
        <f t="shared" si="34"/>
        <v>0</v>
      </c>
    </row>
    <row r="450" spans="1:36" x14ac:dyDescent="0.2">
      <c r="A450" s="240" t="str">
        <f t="shared" si="30"/>
        <v>SNCPP3951100</v>
      </c>
      <c r="B450" s="239" t="s">
        <v>19</v>
      </c>
      <c r="C450" s="239" t="s">
        <v>20</v>
      </c>
      <c r="D450" s="239" t="s">
        <v>2565</v>
      </c>
      <c r="E450" s="239" t="s">
        <v>2529</v>
      </c>
      <c r="F450" s="239" t="s">
        <v>2571</v>
      </c>
      <c r="G450" s="239">
        <v>100</v>
      </c>
      <c r="H450" s="239" t="s">
        <v>928</v>
      </c>
      <c r="I450" s="239" t="s">
        <v>928</v>
      </c>
      <c r="J450" s="239" t="s">
        <v>928</v>
      </c>
      <c r="K450" s="239" t="s">
        <v>2398</v>
      </c>
      <c r="L450" s="239">
        <v>485.91</v>
      </c>
      <c r="M450" s="239">
        <v>0</v>
      </c>
      <c r="N450" s="239">
        <v>0</v>
      </c>
      <c r="O450" s="239">
        <v>0</v>
      </c>
      <c r="P450" s="239">
        <v>0</v>
      </c>
      <c r="Q450" s="239">
        <v>0</v>
      </c>
      <c r="R450" s="239">
        <v>0</v>
      </c>
      <c r="S450" s="239">
        <v>0</v>
      </c>
      <c r="T450" s="239">
        <v>0</v>
      </c>
      <c r="U450" s="239">
        <v>0</v>
      </c>
      <c r="V450" s="239">
        <v>0</v>
      </c>
      <c r="W450" s="239">
        <v>0</v>
      </c>
      <c r="X450" s="239">
        <v>0</v>
      </c>
      <c r="Y450" s="239">
        <v>353.34</v>
      </c>
      <c r="Z450" s="239">
        <v>0</v>
      </c>
      <c r="AA450" s="239">
        <v>0</v>
      </c>
      <c r="AB450" s="239">
        <v>132.56</v>
      </c>
      <c r="AC450" s="239">
        <v>0</v>
      </c>
      <c r="AD450" s="239">
        <v>0</v>
      </c>
      <c r="AE450" s="239" t="s">
        <v>720</v>
      </c>
      <c r="AF450" s="239" t="s">
        <v>721</v>
      </c>
      <c r="AG450" s="239">
        <f t="shared" si="31"/>
        <v>0</v>
      </c>
      <c r="AH450" s="239">
        <f t="shared" si="32"/>
        <v>0</v>
      </c>
      <c r="AI450" s="239">
        <f t="shared" si="33"/>
        <v>0</v>
      </c>
      <c r="AJ450" s="239">
        <f t="shared" si="34"/>
        <v>0</v>
      </c>
    </row>
    <row r="451" spans="1:36" x14ac:dyDescent="0.2">
      <c r="A451" s="240" t="str">
        <f t="shared" si="30"/>
        <v>2SNCPP9801TS80</v>
      </c>
      <c r="B451" s="239" t="s">
        <v>19</v>
      </c>
      <c r="C451" s="239" t="s">
        <v>20</v>
      </c>
      <c r="D451" s="239" t="s">
        <v>2565</v>
      </c>
      <c r="E451" s="239" t="s">
        <v>2529</v>
      </c>
      <c r="F451" s="239" t="s">
        <v>2572</v>
      </c>
      <c r="G451" s="239">
        <v>80</v>
      </c>
      <c r="H451" s="239" t="s">
        <v>928</v>
      </c>
      <c r="I451" s="239" t="s">
        <v>2484</v>
      </c>
      <c r="J451" s="239" t="s">
        <v>928</v>
      </c>
      <c r="K451" s="239" t="s">
        <v>2398</v>
      </c>
      <c r="L451" s="239">
        <v>477.92</v>
      </c>
      <c r="M451" s="239">
        <v>0</v>
      </c>
      <c r="N451" s="239">
        <v>0</v>
      </c>
      <c r="O451" s="239">
        <v>0</v>
      </c>
      <c r="P451" s="239">
        <v>0</v>
      </c>
      <c r="Q451" s="239">
        <v>0</v>
      </c>
      <c r="R451" s="239">
        <v>0</v>
      </c>
      <c r="S451" s="239">
        <v>0</v>
      </c>
      <c r="T451" s="239">
        <v>0</v>
      </c>
      <c r="U451" s="239">
        <v>0</v>
      </c>
      <c r="V451" s="239">
        <v>0</v>
      </c>
      <c r="W451" s="239">
        <v>0</v>
      </c>
      <c r="X451" s="239">
        <v>0</v>
      </c>
      <c r="Y451" s="239">
        <v>330.71</v>
      </c>
      <c r="Z451" s="239">
        <v>0</v>
      </c>
      <c r="AA451" s="239">
        <v>0</v>
      </c>
      <c r="AB451" s="239">
        <v>147.22</v>
      </c>
      <c r="AC451" s="239">
        <v>0</v>
      </c>
      <c r="AD451" s="239">
        <v>0</v>
      </c>
      <c r="AE451" s="239" t="s">
        <v>720</v>
      </c>
      <c r="AF451" s="239" t="s">
        <v>721</v>
      </c>
      <c r="AG451" s="239">
        <f t="shared" si="31"/>
        <v>0</v>
      </c>
      <c r="AH451" s="239">
        <f t="shared" si="32"/>
        <v>0</v>
      </c>
      <c r="AI451" s="239">
        <f t="shared" si="33"/>
        <v>0</v>
      </c>
      <c r="AJ451" s="239">
        <f t="shared" si="34"/>
        <v>0</v>
      </c>
    </row>
    <row r="452" spans="1:36" x14ac:dyDescent="0.2">
      <c r="A452" s="240" t="str">
        <f t="shared" ref="A452:A515" si="35">TRIM(I452&amp;B452&amp;C452&amp;D452&amp;F452&amp;G452)</f>
        <v>SNCPP9801TS80</v>
      </c>
      <c r="B452" s="239" t="s">
        <v>19</v>
      </c>
      <c r="C452" s="239" t="s">
        <v>20</v>
      </c>
      <c r="D452" s="239" t="s">
        <v>2565</v>
      </c>
      <c r="E452" s="239" t="s">
        <v>2529</v>
      </c>
      <c r="F452" s="239" t="s">
        <v>2572</v>
      </c>
      <c r="G452" s="239">
        <v>80</v>
      </c>
      <c r="H452" s="239" t="s">
        <v>928</v>
      </c>
      <c r="I452" s="239" t="s">
        <v>928</v>
      </c>
      <c r="J452" s="239" t="s">
        <v>928</v>
      </c>
      <c r="K452" s="239" t="s">
        <v>2398</v>
      </c>
      <c r="L452" s="239">
        <v>477.92</v>
      </c>
      <c r="M452" s="239">
        <v>0</v>
      </c>
      <c r="N452" s="239">
        <v>0</v>
      </c>
      <c r="O452" s="239">
        <v>0</v>
      </c>
      <c r="P452" s="239">
        <v>0</v>
      </c>
      <c r="Q452" s="239">
        <v>0</v>
      </c>
      <c r="R452" s="239">
        <v>0</v>
      </c>
      <c r="S452" s="239">
        <v>0</v>
      </c>
      <c r="T452" s="239">
        <v>0</v>
      </c>
      <c r="U452" s="239">
        <v>0</v>
      </c>
      <c r="V452" s="239">
        <v>0</v>
      </c>
      <c r="W452" s="239">
        <v>0</v>
      </c>
      <c r="X452" s="239">
        <v>0</v>
      </c>
      <c r="Y452" s="239">
        <v>330.71</v>
      </c>
      <c r="Z452" s="239">
        <v>0</v>
      </c>
      <c r="AA452" s="239">
        <v>0</v>
      </c>
      <c r="AB452" s="239">
        <v>147.22</v>
      </c>
      <c r="AC452" s="239">
        <v>0</v>
      </c>
      <c r="AD452" s="239">
        <v>0</v>
      </c>
      <c r="AE452" s="239" t="s">
        <v>720</v>
      </c>
      <c r="AF452" s="239" t="s">
        <v>721</v>
      </c>
      <c r="AG452" s="239">
        <f t="shared" si="31"/>
        <v>0</v>
      </c>
      <c r="AH452" s="239">
        <f t="shared" si="32"/>
        <v>0</v>
      </c>
      <c r="AI452" s="239">
        <f t="shared" si="33"/>
        <v>0</v>
      </c>
      <c r="AJ452" s="239">
        <f t="shared" si="34"/>
        <v>0</v>
      </c>
    </row>
    <row r="453" spans="1:36" x14ac:dyDescent="0.2">
      <c r="A453" s="240" t="str">
        <f t="shared" si="35"/>
        <v>2SNCPPZK10050</v>
      </c>
      <c r="B453" s="239" t="s">
        <v>19</v>
      </c>
      <c r="C453" s="239" t="s">
        <v>20</v>
      </c>
      <c r="D453" s="239" t="s">
        <v>2565</v>
      </c>
      <c r="E453" s="239" t="s">
        <v>2529</v>
      </c>
      <c r="F453" s="239" t="s">
        <v>2573</v>
      </c>
      <c r="G453" s="239">
        <v>50</v>
      </c>
      <c r="H453" s="239" t="s">
        <v>928</v>
      </c>
      <c r="I453" s="239" t="s">
        <v>2484</v>
      </c>
      <c r="J453" s="239" t="s">
        <v>928</v>
      </c>
      <c r="K453" s="239" t="s">
        <v>2398</v>
      </c>
      <c r="L453" s="239">
        <v>360.54</v>
      </c>
      <c r="M453" s="239">
        <v>0</v>
      </c>
      <c r="N453" s="239">
        <v>0</v>
      </c>
      <c r="O453" s="239">
        <v>0</v>
      </c>
      <c r="P453" s="239">
        <v>0</v>
      </c>
      <c r="Q453" s="239">
        <v>0</v>
      </c>
      <c r="R453" s="239">
        <v>0</v>
      </c>
      <c r="S453" s="239">
        <v>0</v>
      </c>
      <c r="T453" s="239">
        <v>0</v>
      </c>
      <c r="U453" s="239">
        <v>0</v>
      </c>
      <c r="V453" s="239">
        <v>0</v>
      </c>
      <c r="W453" s="239">
        <v>0</v>
      </c>
      <c r="X453" s="239">
        <v>0</v>
      </c>
      <c r="Y453" s="239">
        <v>296.52999999999997</v>
      </c>
      <c r="Z453" s="239">
        <v>0</v>
      </c>
      <c r="AA453" s="239">
        <v>0</v>
      </c>
      <c r="AB453" s="239">
        <v>64</v>
      </c>
      <c r="AC453" s="239">
        <v>0</v>
      </c>
      <c r="AD453" s="239">
        <v>0</v>
      </c>
      <c r="AE453" s="239" t="s">
        <v>720</v>
      </c>
      <c r="AF453" s="239" t="s">
        <v>721</v>
      </c>
      <c r="AG453" s="239">
        <f t="shared" si="31"/>
        <v>0</v>
      </c>
      <c r="AH453" s="239">
        <f t="shared" si="32"/>
        <v>0</v>
      </c>
      <c r="AI453" s="239">
        <f t="shared" si="33"/>
        <v>0</v>
      </c>
      <c r="AJ453" s="239">
        <f t="shared" si="34"/>
        <v>0</v>
      </c>
    </row>
    <row r="454" spans="1:36" x14ac:dyDescent="0.2">
      <c r="A454" s="240" t="str">
        <f t="shared" si="35"/>
        <v>SNCPPZK10050</v>
      </c>
      <c r="B454" s="239" t="s">
        <v>19</v>
      </c>
      <c r="C454" s="239" t="s">
        <v>20</v>
      </c>
      <c r="D454" s="239" t="s">
        <v>2565</v>
      </c>
      <c r="E454" s="239" t="s">
        <v>2529</v>
      </c>
      <c r="F454" s="239" t="s">
        <v>2573</v>
      </c>
      <c r="G454" s="239">
        <v>50</v>
      </c>
      <c r="H454" s="239" t="s">
        <v>928</v>
      </c>
      <c r="I454" s="239" t="s">
        <v>928</v>
      </c>
      <c r="J454" s="239" t="s">
        <v>928</v>
      </c>
      <c r="K454" s="239" t="s">
        <v>2398</v>
      </c>
      <c r="L454" s="239">
        <v>360.54</v>
      </c>
      <c r="M454" s="239">
        <v>0</v>
      </c>
      <c r="N454" s="239">
        <v>0</v>
      </c>
      <c r="O454" s="239">
        <v>0</v>
      </c>
      <c r="P454" s="239">
        <v>0</v>
      </c>
      <c r="Q454" s="239">
        <v>0</v>
      </c>
      <c r="R454" s="239">
        <v>0</v>
      </c>
      <c r="S454" s="239">
        <v>0</v>
      </c>
      <c r="T454" s="239">
        <v>0</v>
      </c>
      <c r="U454" s="239">
        <v>0</v>
      </c>
      <c r="V454" s="239">
        <v>0</v>
      </c>
      <c r="W454" s="239">
        <v>0</v>
      </c>
      <c r="X454" s="239">
        <v>0</v>
      </c>
      <c r="Y454" s="239">
        <v>296.52999999999997</v>
      </c>
      <c r="Z454" s="239">
        <v>0</v>
      </c>
      <c r="AA454" s="239">
        <v>0</v>
      </c>
      <c r="AB454" s="239">
        <v>64</v>
      </c>
      <c r="AC454" s="239">
        <v>0</v>
      </c>
      <c r="AD454" s="239">
        <v>0</v>
      </c>
      <c r="AE454" s="239" t="s">
        <v>720</v>
      </c>
      <c r="AF454" s="239" t="s">
        <v>721</v>
      </c>
      <c r="AG454" s="239">
        <f t="shared" ref="AG454:AG517" si="36">+O454*M454/100</f>
        <v>0</v>
      </c>
      <c r="AH454" s="239">
        <f t="shared" ref="AH454:AH517" si="37">+P454*M454/100</f>
        <v>0</v>
      </c>
      <c r="AI454" s="239">
        <f t="shared" ref="AI454:AI517" si="38">+AB454*M454/100</f>
        <v>0</v>
      </c>
      <c r="AJ454" s="239">
        <f t="shared" ref="AJ454:AJ517" si="39">+AG454+AH454+AI454</f>
        <v>0</v>
      </c>
    </row>
    <row r="455" spans="1:36" x14ac:dyDescent="0.2">
      <c r="A455" s="240" t="str">
        <f t="shared" si="35"/>
        <v>2SNCPPZK10060</v>
      </c>
      <c r="B455" s="239" t="s">
        <v>19</v>
      </c>
      <c r="C455" s="239" t="s">
        <v>20</v>
      </c>
      <c r="D455" s="239" t="s">
        <v>2565</v>
      </c>
      <c r="E455" s="239" t="s">
        <v>2529</v>
      </c>
      <c r="F455" s="239" t="s">
        <v>2573</v>
      </c>
      <c r="G455" s="239">
        <v>60</v>
      </c>
      <c r="H455" s="239" t="s">
        <v>928</v>
      </c>
      <c r="I455" s="239" t="s">
        <v>2484</v>
      </c>
      <c r="J455" s="239" t="s">
        <v>928</v>
      </c>
      <c r="K455" s="239" t="s">
        <v>2398</v>
      </c>
      <c r="L455" s="239">
        <v>355.47</v>
      </c>
      <c r="M455" s="239">
        <v>0</v>
      </c>
      <c r="N455" s="239">
        <v>0</v>
      </c>
      <c r="O455" s="239">
        <v>0</v>
      </c>
      <c r="P455" s="239">
        <v>0</v>
      </c>
      <c r="Q455" s="239">
        <v>0</v>
      </c>
      <c r="R455" s="239">
        <v>0</v>
      </c>
      <c r="S455" s="239">
        <v>0</v>
      </c>
      <c r="T455" s="239">
        <v>0</v>
      </c>
      <c r="U455" s="239">
        <v>0</v>
      </c>
      <c r="V455" s="239">
        <v>0</v>
      </c>
      <c r="W455" s="239">
        <v>0</v>
      </c>
      <c r="X455" s="239">
        <v>0</v>
      </c>
      <c r="Y455" s="239">
        <v>297</v>
      </c>
      <c r="Z455" s="239">
        <v>0</v>
      </c>
      <c r="AA455" s="239">
        <v>0</v>
      </c>
      <c r="AB455" s="239">
        <v>58.48</v>
      </c>
      <c r="AC455" s="239">
        <v>0</v>
      </c>
      <c r="AD455" s="239">
        <v>0</v>
      </c>
      <c r="AE455" s="239" t="s">
        <v>720</v>
      </c>
      <c r="AF455" s="239" t="s">
        <v>721</v>
      </c>
      <c r="AG455" s="239">
        <f t="shared" si="36"/>
        <v>0</v>
      </c>
      <c r="AH455" s="239">
        <f t="shared" si="37"/>
        <v>0</v>
      </c>
      <c r="AI455" s="239">
        <f t="shared" si="38"/>
        <v>0</v>
      </c>
      <c r="AJ455" s="239">
        <f t="shared" si="39"/>
        <v>0</v>
      </c>
    </row>
    <row r="456" spans="1:36" x14ac:dyDescent="0.2">
      <c r="A456" s="240" t="str">
        <f t="shared" si="35"/>
        <v>SNCPPZK10060</v>
      </c>
      <c r="B456" s="239" t="s">
        <v>19</v>
      </c>
      <c r="C456" s="239" t="s">
        <v>20</v>
      </c>
      <c r="D456" s="239" t="s">
        <v>2565</v>
      </c>
      <c r="E456" s="239" t="s">
        <v>2529</v>
      </c>
      <c r="F456" s="239" t="s">
        <v>2573</v>
      </c>
      <c r="G456" s="239">
        <v>60</v>
      </c>
      <c r="H456" s="239" t="s">
        <v>928</v>
      </c>
      <c r="I456" s="239" t="s">
        <v>928</v>
      </c>
      <c r="J456" s="239" t="s">
        <v>928</v>
      </c>
      <c r="K456" s="239" t="s">
        <v>2398</v>
      </c>
      <c r="L456" s="239">
        <v>355.47</v>
      </c>
      <c r="M456" s="239">
        <v>0</v>
      </c>
      <c r="N456" s="239">
        <v>0</v>
      </c>
      <c r="O456" s="239">
        <v>0</v>
      </c>
      <c r="P456" s="239">
        <v>0</v>
      </c>
      <c r="Q456" s="239">
        <v>0</v>
      </c>
      <c r="R456" s="239">
        <v>0</v>
      </c>
      <c r="S456" s="239">
        <v>0</v>
      </c>
      <c r="T456" s="239">
        <v>0</v>
      </c>
      <c r="U456" s="239">
        <v>0</v>
      </c>
      <c r="V456" s="239">
        <v>0</v>
      </c>
      <c r="W456" s="239">
        <v>0</v>
      </c>
      <c r="X456" s="239">
        <v>0</v>
      </c>
      <c r="Y456" s="239">
        <v>297</v>
      </c>
      <c r="Z456" s="239">
        <v>0</v>
      </c>
      <c r="AA456" s="239">
        <v>0</v>
      </c>
      <c r="AB456" s="239">
        <v>58.48</v>
      </c>
      <c r="AC456" s="239">
        <v>0</v>
      </c>
      <c r="AD456" s="239">
        <v>0</v>
      </c>
      <c r="AE456" s="239" t="s">
        <v>720</v>
      </c>
      <c r="AF456" s="239" t="s">
        <v>721</v>
      </c>
      <c r="AG456" s="239">
        <f t="shared" si="36"/>
        <v>0</v>
      </c>
      <c r="AH456" s="239">
        <f t="shared" si="37"/>
        <v>0</v>
      </c>
      <c r="AI456" s="239">
        <f t="shared" si="38"/>
        <v>0</v>
      </c>
      <c r="AJ456" s="239">
        <f t="shared" si="39"/>
        <v>0</v>
      </c>
    </row>
    <row r="457" spans="1:36" x14ac:dyDescent="0.2">
      <c r="A457" s="240" t="str">
        <f t="shared" si="35"/>
        <v>2SNCPPZK10070</v>
      </c>
      <c r="B457" s="239" t="s">
        <v>19</v>
      </c>
      <c r="C457" s="239" t="s">
        <v>20</v>
      </c>
      <c r="D457" s="239" t="s">
        <v>2565</v>
      </c>
      <c r="E457" s="239" t="s">
        <v>2529</v>
      </c>
      <c r="F457" s="239" t="s">
        <v>2573</v>
      </c>
      <c r="G457" s="239">
        <v>70</v>
      </c>
      <c r="H457" s="239" t="s">
        <v>928</v>
      </c>
      <c r="I457" s="239" t="s">
        <v>2484</v>
      </c>
      <c r="J457" s="239" t="s">
        <v>928</v>
      </c>
      <c r="K457" s="239" t="s">
        <v>2398</v>
      </c>
      <c r="L457" s="239">
        <v>345.26</v>
      </c>
      <c r="M457" s="239">
        <v>0</v>
      </c>
      <c r="N457" s="239">
        <v>0</v>
      </c>
      <c r="O457" s="239">
        <v>0</v>
      </c>
      <c r="P457" s="239">
        <v>0</v>
      </c>
      <c r="Q457" s="239">
        <v>0</v>
      </c>
      <c r="R457" s="239">
        <v>0</v>
      </c>
      <c r="S457" s="239">
        <v>0</v>
      </c>
      <c r="T457" s="239">
        <v>0</v>
      </c>
      <c r="U457" s="239">
        <v>0</v>
      </c>
      <c r="V457" s="239">
        <v>0</v>
      </c>
      <c r="W457" s="239">
        <v>0</v>
      </c>
      <c r="X457" s="239">
        <v>0</v>
      </c>
      <c r="Y457" s="239">
        <v>292.07</v>
      </c>
      <c r="Z457" s="239">
        <v>0</v>
      </c>
      <c r="AA457" s="239">
        <v>0</v>
      </c>
      <c r="AB457" s="239">
        <v>53.19</v>
      </c>
      <c r="AC457" s="239">
        <v>0</v>
      </c>
      <c r="AD457" s="239">
        <v>0</v>
      </c>
      <c r="AE457" s="239" t="s">
        <v>720</v>
      </c>
      <c r="AF457" s="239" t="s">
        <v>721</v>
      </c>
      <c r="AG457" s="239">
        <f t="shared" si="36"/>
        <v>0</v>
      </c>
      <c r="AH457" s="239">
        <f t="shared" si="37"/>
        <v>0</v>
      </c>
      <c r="AI457" s="239">
        <f t="shared" si="38"/>
        <v>0</v>
      </c>
      <c r="AJ457" s="239">
        <f t="shared" si="39"/>
        <v>0</v>
      </c>
    </row>
    <row r="458" spans="1:36" x14ac:dyDescent="0.2">
      <c r="A458" s="240" t="str">
        <f t="shared" si="35"/>
        <v>SNCPPZK10070</v>
      </c>
      <c r="B458" s="239" t="s">
        <v>19</v>
      </c>
      <c r="C458" s="239" t="s">
        <v>20</v>
      </c>
      <c r="D458" s="239" t="s">
        <v>2565</v>
      </c>
      <c r="E458" s="239" t="s">
        <v>2529</v>
      </c>
      <c r="F458" s="239" t="s">
        <v>2573</v>
      </c>
      <c r="G458" s="239">
        <v>70</v>
      </c>
      <c r="H458" s="239" t="s">
        <v>928</v>
      </c>
      <c r="I458" s="239" t="s">
        <v>928</v>
      </c>
      <c r="J458" s="239" t="s">
        <v>928</v>
      </c>
      <c r="K458" s="239" t="s">
        <v>2398</v>
      </c>
      <c r="L458" s="239">
        <v>345.26</v>
      </c>
      <c r="M458" s="239">
        <v>0</v>
      </c>
      <c r="N458" s="239">
        <v>0</v>
      </c>
      <c r="O458" s="239">
        <v>0</v>
      </c>
      <c r="P458" s="239">
        <v>0</v>
      </c>
      <c r="Q458" s="239">
        <v>0</v>
      </c>
      <c r="R458" s="239">
        <v>0</v>
      </c>
      <c r="S458" s="239">
        <v>0</v>
      </c>
      <c r="T458" s="239">
        <v>0</v>
      </c>
      <c r="U458" s="239">
        <v>0</v>
      </c>
      <c r="V458" s="239">
        <v>0</v>
      </c>
      <c r="W458" s="239">
        <v>0</v>
      </c>
      <c r="X458" s="239">
        <v>0</v>
      </c>
      <c r="Y458" s="239">
        <v>292.07</v>
      </c>
      <c r="Z458" s="239">
        <v>0</v>
      </c>
      <c r="AA458" s="239">
        <v>0</v>
      </c>
      <c r="AB458" s="239">
        <v>53.19</v>
      </c>
      <c r="AC458" s="239">
        <v>0</v>
      </c>
      <c r="AD458" s="239">
        <v>0</v>
      </c>
      <c r="AE458" s="239" t="s">
        <v>720</v>
      </c>
      <c r="AF458" s="239" t="s">
        <v>721</v>
      </c>
      <c r="AG458" s="239">
        <f t="shared" si="36"/>
        <v>0</v>
      </c>
      <c r="AH458" s="239">
        <f t="shared" si="37"/>
        <v>0</v>
      </c>
      <c r="AI458" s="239">
        <f t="shared" si="38"/>
        <v>0</v>
      </c>
      <c r="AJ458" s="239">
        <f t="shared" si="39"/>
        <v>0</v>
      </c>
    </row>
    <row r="459" spans="1:36" x14ac:dyDescent="0.2">
      <c r="A459" s="240" t="str">
        <f t="shared" si="35"/>
        <v>2SNCPPZK10080</v>
      </c>
      <c r="B459" s="239" t="s">
        <v>19</v>
      </c>
      <c r="C459" s="239" t="s">
        <v>20</v>
      </c>
      <c r="D459" s="239" t="s">
        <v>2565</v>
      </c>
      <c r="E459" s="239" t="s">
        <v>2529</v>
      </c>
      <c r="F459" s="239" t="s">
        <v>2573</v>
      </c>
      <c r="G459" s="239">
        <v>80</v>
      </c>
      <c r="H459" s="239" t="s">
        <v>928</v>
      </c>
      <c r="I459" s="239" t="s">
        <v>2484</v>
      </c>
      <c r="J459" s="239" t="s">
        <v>928</v>
      </c>
      <c r="K459" s="239" t="s">
        <v>2398</v>
      </c>
      <c r="L459" s="239">
        <v>366.17</v>
      </c>
      <c r="M459" s="239">
        <v>0</v>
      </c>
      <c r="N459" s="239">
        <v>0</v>
      </c>
      <c r="O459" s="239">
        <v>0</v>
      </c>
      <c r="P459" s="239">
        <v>0</v>
      </c>
      <c r="Q459" s="239">
        <v>0</v>
      </c>
      <c r="R459" s="239">
        <v>0</v>
      </c>
      <c r="S459" s="239">
        <v>0</v>
      </c>
      <c r="T459" s="239">
        <v>0</v>
      </c>
      <c r="U459" s="239">
        <v>0</v>
      </c>
      <c r="V459" s="239">
        <v>0</v>
      </c>
      <c r="W459" s="239">
        <v>0</v>
      </c>
      <c r="X459" s="239">
        <v>0</v>
      </c>
      <c r="Y459" s="239">
        <v>306.89999999999998</v>
      </c>
      <c r="Z459" s="239">
        <v>0</v>
      </c>
      <c r="AA459" s="239">
        <v>0</v>
      </c>
      <c r="AB459" s="239">
        <v>59.27</v>
      </c>
      <c r="AC459" s="239">
        <v>0</v>
      </c>
      <c r="AD459" s="239">
        <v>0</v>
      </c>
      <c r="AE459" s="239" t="s">
        <v>720</v>
      </c>
      <c r="AF459" s="239" t="s">
        <v>721</v>
      </c>
      <c r="AG459" s="239">
        <f t="shared" si="36"/>
        <v>0</v>
      </c>
      <c r="AH459" s="239">
        <f t="shared" si="37"/>
        <v>0</v>
      </c>
      <c r="AI459" s="239">
        <f t="shared" si="38"/>
        <v>0</v>
      </c>
      <c r="AJ459" s="239">
        <f t="shared" si="39"/>
        <v>0</v>
      </c>
    </row>
    <row r="460" spans="1:36" x14ac:dyDescent="0.2">
      <c r="A460" s="240" t="str">
        <f t="shared" si="35"/>
        <v>SNCPPZK10080</v>
      </c>
      <c r="B460" s="239" t="s">
        <v>19</v>
      </c>
      <c r="C460" s="239" t="s">
        <v>20</v>
      </c>
      <c r="D460" s="239" t="s">
        <v>2565</v>
      </c>
      <c r="E460" s="239" t="s">
        <v>2529</v>
      </c>
      <c r="F460" s="239" t="s">
        <v>2573</v>
      </c>
      <c r="G460" s="239">
        <v>80</v>
      </c>
      <c r="H460" s="239" t="s">
        <v>928</v>
      </c>
      <c r="I460" s="239" t="s">
        <v>928</v>
      </c>
      <c r="J460" s="239" t="s">
        <v>928</v>
      </c>
      <c r="K460" s="239" t="s">
        <v>2398</v>
      </c>
      <c r="L460" s="239">
        <v>366.17</v>
      </c>
      <c r="M460" s="239">
        <v>0</v>
      </c>
      <c r="N460" s="239">
        <v>0</v>
      </c>
      <c r="O460" s="239">
        <v>0</v>
      </c>
      <c r="P460" s="239">
        <v>0</v>
      </c>
      <c r="Q460" s="239">
        <v>0</v>
      </c>
      <c r="R460" s="239">
        <v>0</v>
      </c>
      <c r="S460" s="239">
        <v>0</v>
      </c>
      <c r="T460" s="239">
        <v>0</v>
      </c>
      <c r="U460" s="239">
        <v>0</v>
      </c>
      <c r="V460" s="239">
        <v>0</v>
      </c>
      <c r="W460" s="239">
        <v>0</v>
      </c>
      <c r="X460" s="239">
        <v>0</v>
      </c>
      <c r="Y460" s="239">
        <v>306.89999999999998</v>
      </c>
      <c r="Z460" s="239">
        <v>0</v>
      </c>
      <c r="AA460" s="239">
        <v>0</v>
      </c>
      <c r="AB460" s="239">
        <v>59.27</v>
      </c>
      <c r="AC460" s="239">
        <v>0</v>
      </c>
      <c r="AD460" s="239">
        <v>0</v>
      </c>
      <c r="AE460" s="239" t="s">
        <v>720</v>
      </c>
      <c r="AF460" s="239" t="s">
        <v>721</v>
      </c>
      <c r="AG460" s="239">
        <f t="shared" si="36"/>
        <v>0</v>
      </c>
      <c r="AH460" s="239">
        <f t="shared" si="37"/>
        <v>0</v>
      </c>
      <c r="AI460" s="239">
        <f t="shared" si="38"/>
        <v>0</v>
      </c>
      <c r="AJ460" s="239">
        <f t="shared" si="39"/>
        <v>0</v>
      </c>
    </row>
    <row r="461" spans="1:36" x14ac:dyDescent="0.2">
      <c r="A461" s="240" t="str">
        <f t="shared" si="35"/>
        <v>2SNCPPZK100100</v>
      </c>
      <c r="B461" s="239" t="s">
        <v>19</v>
      </c>
      <c r="C461" s="239" t="s">
        <v>20</v>
      </c>
      <c r="D461" s="239" t="s">
        <v>2565</v>
      </c>
      <c r="E461" s="239" t="s">
        <v>2529</v>
      </c>
      <c r="F461" s="239" t="s">
        <v>2573</v>
      </c>
      <c r="G461" s="239">
        <v>100</v>
      </c>
      <c r="H461" s="239" t="s">
        <v>928</v>
      </c>
      <c r="I461" s="239" t="s">
        <v>2484</v>
      </c>
      <c r="J461" s="239" t="s">
        <v>928</v>
      </c>
      <c r="K461" s="239" t="s">
        <v>2398</v>
      </c>
      <c r="L461" s="239">
        <v>367.01</v>
      </c>
      <c r="M461" s="239">
        <v>0</v>
      </c>
      <c r="N461" s="239">
        <v>0</v>
      </c>
      <c r="O461" s="239">
        <v>0</v>
      </c>
      <c r="P461" s="239">
        <v>0</v>
      </c>
      <c r="Q461" s="239">
        <v>0</v>
      </c>
      <c r="R461" s="239">
        <v>0</v>
      </c>
      <c r="S461" s="239">
        <v>0</v>
      </c>
      <c r="T461" s="239">
        <v>0</v>
      </c>
      <c r="U461" s="239">
        <v>0</v>
      </c>
      <c r="V461" s="239">
        <v>0</v>
      </c>
      <c r="W461" s="239">
        <v>0</v>
      </c>
      <c r="X461" s="239">
        <v>0</v>
      </c>
      <c r="Y461" s="239">
        <v>302.47000000000003</v>
      </c>
      <c r="Z461" s="239">
        <v>0</v>
      </c>
      <c r="AA461" s="239">
        <v>0</v>
      </c>
      <c r="AB461" s="239">
        <v>64.540000000000006</v>
      </c>
      <c r="AC461" s="239">
        <v>0</v>
      </c>
      <c r="AD461" s="239">
        <v>0</v>
      </c>
      <c r="AE461" s="239" t="s">
        <v>720</v>
      </c>
      <c r="AF461" s="239" t="s">
        <v>721</v>
      </c>
      <c r="AG461" s="239">
        <f t="shared" si="36"/>
        <v>0</v>
      </c>
      <c r="AH461" s="239">
        <f t="shared" si="37"/>
        <v>0</v>
      </c>
      <c r="AI461" s="239">
        <f t="shared" si="38"/>
        <v>0</v>
      </c>
      <c r="AJ461" s="239">
        <f t="shared" si="39"/>
        <v>0</v>
      </c>
    </row>
    <row r="462" spans="1:36" x14ac:dyDescent="0.2">
      <c r="A462" s="240" t="str">
        <f t="shared" si="35"/>
        <v>SNCPPZK100100</v>
      </c>
      <c r="B462" s="239" t="s">
        <v>19</v>
      </c>
      <c r="C462" s="239" t="s">
        <v>20</v>
      </c>
      <c r="D462" s="239" t="s">
        <v>2565</v>
      </c>
      <c r="E462" s="239" t="s">
        <v>2529</v>
      </c>
      <c r="F462" s="239" t="s">
        <v>2573</v>
      </c>
      <c r="G462" s="239">
        <v>100</v>
      </c>
      <c r="H462" s="239" t="s">
        <v>928</v>
      </c>
      <c r="I462" s="239" t="s">
        <v>928</v>
      </c>
      <c r="J462" s="239" t="s">
        <v>928</v>
      </c>
      <c r="K462" s="239" t="s">
        <v>2398</v>
      </c>
      <c r="L462" s="239">
        <v>367.01</v>
      </c>
      <c r="M462" s="239">
        <v>0</v>
      </c>
      <c r="N462" s="239">
        <v>0</v>
      </c>
      <c r="O462" s="239">
        <v>0</v>
      </c>
      <c r="P462" s="239">
        <v>0</v>
      </c>
      <c r="Q462" s="239">
        <v>0</v>
      </c>
      <c r="R462" s="239">
        <v>0</v>
      </c>
      <c r="S462" s="239">
        <v>0</v>
      </c>
      <c r="T462" s="239">
        <v>0</v>
      </c>
      <c r="U462" s="239">
        <v>0</v>
      </c>
      <c r="V462" s="239">
        <v>0</v>
      </c>
      <c r="W462" s="239">
        <v>0</v>
      </c>
      <c r="X462" s="239">
        <v>0</v>
      </c>
      <c r="Y462" s="239">
        <v>302.47000000000003</v>
      </c>
      <c r="Z462" s="239">
        <v>0</v>
      </c>
      <c r="AA462" s="239">
        <v>0</v>
      </c>
      <c r="AB462" s="239">
        <v>64.540000000000006</v>
      </c>
      <c r="AC462" s="239">
        <v>0</v>
      </c>
      <c r="AD462" s="239">
        <v>0</v>
      </c>
      <c r="AE462" s="239" t="s">
        <v>720</v>
      </c>
      <c r="AF462" s="239" t="s">
        <v>721</v>
      </c>
      <c r="AG462" s="239">
        <f t="shared" si="36"/>
        <v>0</v>
      </c>
      <c r="AH462" s="239">
        <f t="shared" si="37"/>
        <v>0</v>
      </c>
      <c r="AI462" s="239">
        <f t="shared" si="38"/>
        <v>0</v>
      </c>
      <c r="AJ462" s="239">
        <f t="shared" si="39"/>
        <v>0</v>
      </c>
    </row>
    <row r="463" spans="1:36" x14ac:dyDescent="0.2">
      <c r="A463" s="240" t="str">
        <f t="shared" si="35"/>
        <v>2SNCPPZK20550</v>
      </c>
      <c r="B463" s="239" t="s">
        <v>19</v>
      </c>
      <c r="C463" s="239" t="s">
        <v>20</v>
      </c>
      <c r="D463" s="239" t="s">
        <v>2565</v>
      </c>
      <c r="E463" s="239" t="s">
        <v>2529</v>
      </c>
      <c r="F463" s="239" t="s">
        <v>2574</v>
      </c>
      <c r="G463" s="239">
        <v>50</v>
      </c>
      <c r="H463" s="239" t="s">
        <v>928</v>
      </c>
      <c r="I463" s="239" t="s">
        <v>2484</v>
      </c>
      <c r="J463" s="239" t="s">
        <v>928</v>
      </c>
      <c r="K463" s="239" t="s">
        <v>2398</v>
      </c>
      <c r="L463" s="239">
        <v>608.73</v>
      </c>
      <c r="M463" s="239">
        <v>0</v>
      </c>
      <c r="N463" s="239">
        <v>0</v>
      </c>
      <c r="O463" s="239">
        <v>0</v>
      </c>
      <c r="P463" s="239">
        <v>0</v>
      </c>
      <c r="Q463" s="239">
        <v>0</v>
      </c>
      <c r="R463" s="239">
        <v>0</v>
      </c>
      <c r="S463" s="239">
        <v>0</v>
      </c>
      <c r="T463" s="239">
        <v>0</v>
      </c>
      <c r="U463" s="239">
        <v>0</v>
      </c>
      <c r="V463" s="239">
        <v>0</v>
      </c>
      <c r="W463" s="239">
        <v>0</v>
      </c>
      <c r="X463" s="239">
        <v>0</v>
      </c>
      <c r="Y463" s="239">
        <v>373.49</v>
      </c>
      <c r="Z463" s="239">
        <v>0</v>
      </c>
      <c r="AA463" s="239">
        <v>0</v>
      </c>
      <c r="AB463" s="239">
        <v>235.24</v>
      </c>
      <c r="AC463" s="239">
        <v>0</v>
      </c>
      <c r="AD463" s="239">
        <v>0</v>
      </c>
      <c r="AE463" s="239" t="s">
        <v>720</v>
      </c>
      <c r="AF463" s="239" t="s">
        <v>721</v>
      </c>
      <c r="AG463" s="239">
        <f t="shared" si="36"/>
        <v>0</v>
      </c>
      <c r="AH463" s="239">
        <f t="shared" si="37"/>
        <v>0</v>
      </c>
      <c r="AI463" s="239">
        <f t="shared" si="38"/>
        <v>0</v>
      </c>
      <c r="AJ463" s="239">
        <f t="shared" si="39"/>
        <v>0</v>
      </c>
    </row>
    <row r="464" spans="1:36" x14ac:dyDescent="0.2">
      <c r="A464" s="240" t="str">
        <f t="shared" si="35"/>
        <v>SNCPPZK20550</v>
      </c>
      <c r="B464" s="239" t="s">
        <v>19</v>
      </c>
      <c r="C464" s="239" t="s">
        <v>20</v>
      </c>
      <c r="D464" s="239" t="s">
        <v>2565</v>
      </c>
      <c r="E464" s="239" t="s">
        <v>2529</v>
      </c>
      <c r="F464" s="239" t="s">
        <v>2574</v>
      </c>
      <c r="G464" s="239">
        <v>50</v>
      </c>
      <c r="H464" s="239" t="s">
        <v>928</v>
      </c>
      <c r="I464" s="239" t="s">
        <v>928</v>
      </c>
      <c r="J464" s="239" t="s">
        <v>928</v>
      </c>
      <c r="K464" s="239" t="s">
        <v>2398</v>
      </c>
      <c r="L464" s="239">
        <v>608.73</v>
      </c>
      <c r="M464" s="239">
        <v>0</v>
      </c>
      <c r="N464" s="239">
        <v>0</v>
      </c>
      <c r="O464" s="239">
        <v>0</v>
      </c>
      <c r="P464" s="239">
        <v>0</v>
      </c>
      <c r="Q464" s="239">
        <v>0</v>
      </c>
      <c r="R464" s="239">
        <v>0</v>
      </c>
      <c r="S464" s="239">
        <v>0</v>
      </c>
      <c r="T464" s="239">
        <v>0</v>
      </c>
      <c r="U464" s="239">
        <v>0</v>
      </c>
      <c r="V464" s="239">
        <v>0</v>
      </c>
      <c r="W464" s="239">
        <v>0</v>
      </c>
      <c r="X464" s="239">
        <v>0</v>
      </c>
      <c r="Y464" s="239">
        <v>373.49</v>
      </c>
      <c r="Z464" s="239">
        <v>0</v>
      </c>
      <c r="AA464" s="239">
        <v>0</v>
      </c>
      <c r="AB464" s="239">
        <v>235.24</v>
      </c>
      <c r="AC464" s="239">
        <v>0</v>
      </c>
      <c r="AD464" s="239">
        <v>0</v>
      </c>
      <c r="AE464" s="239" t="s">
        <v>720</v>
      </c>
      <c r="AF464" s="239" t="s">
        <v>721</v>
      </c>
      <c r="AG464" s="239">
        <f t="shared" si="36"/>
        <v>0</v>
      </c>
      <c r="AH464" s="239">
        <f t="shared" si="37"/>
        <v>0</v>
      </c>
      <c r="AI464" s="239">
        <f t="shared" si="38"/>
        <v>0</v>
      </c>
      <c r="AJ464" s="239">
        <f t="shared" si="39"/>
        <v>0</v>
      </c>
    </row>
    <row r="465" spans="1:36" x14ac:dyDescent="0.2">
      <c r="A465" s="240" t="str">
        <f t="shared" si="35"/>
        <v>2SNCPPZK20560</v>
      </c>
      <c r="B465" s="239" t="s">
        <v>19</v>
      </c>
      <c r="C465" s="239" t="s">
        <v>20</v>
      </c>
      <c r="D465" s="239" t="s">
        <v>2565</v>
      </c>
      <c r="E465" s="239" t="s">
        <v>2529</v>
      </c>
      <c r="F465" s="239" t="s">
        <v>2574</v>
      </c>
      <c r="G465" s="239">
        <v>60</v>
      </c>
      <c r="H465" s="239" t="s">
        <v>928</v>
      </c>
      <c r="I465" s="239" t="s">
        <v>2484</v>
      </c>
      <c r="J465" s="239" t="s">
        <v>928</v>
      </c>
      <c r="K465" s="239" t="s">
        <v>2398</v>
      </c>
      <c r="L465" s="239">
        <v>462.16</v>
      </c>
      <c r="M465" s="239">
        <v>0</v>
      </c>
      <c r="N465" s="239">
        <v>0</v>
      </c>
      <c r="O465" s="239">
        <v>0</v>
      </c>
      <c r="P465" s="239">
        <v>0</v>
      </c>
      <c r="Q465" s="239">
        <v>0</v>
      </c>
      <c r="R465" s="239">
        <v>0</v>
      </c>
      <c r="S465" s="239">
        <v>0</v>
      </c>
      <c r="T465" s="239">
        <v>0</v>
      </c>
      <c r="U465" s="239">
        <v>0</v>
      </c>
      <c r="V465" s="239">
        <v>0</v>
      </c>
      <c r="W465" s="239">
        <v>0</v>
      </c>
      <c r="X465" s="239">
        <v>0</v>
      </c>
      <c r="Y465" s="239">
        <v>322.11</v>
      </c>
      <c r="Z465" s="239">
        <v>0</v>
      </c>
      <c r="AA465" s="239">
        <v>0</v>
      </c>
      <c r="AB465" s="239">
        <v>140.04</v>
      </c>
      <c r="AC465" s="239">
        <v>0</v>
      </c>
      <c r="AD465" s="239">
        <v>0</v>
      </c>
      <c r="AE465" s="239" t="s">
        <v>720</v>
      </c>
      <c r="AF465" s="239" t="s">
        <v>721</v>
      </c>
      <c r="AG465" s="239">
        <f t="shared" si="36"/>
        <v>0</v>
      </c>
      <c r="AH465" s="239">
        <f t="shared" si="37"/>
        <v>0</v>
      </c>
      <c r="AI465" s="239">
        <f t="shared" si="38"/>
        <v>0</v>
      </c>
      <c r="AJ465" s="239">
        <f t="shared" si="39"/>
        <v>0</v>
      </c>
    </row>
    <row r="466" spans="1:36" x14ac:dyDescent="0.2">
      <c r="A466" s="240" t="str">
        <f t="shared" si="35"/>
        <v>SNCPPZK20560</v>
      </c>
      <c r="B466" s="239" t="s">
        <v>19</v>
      </c>
      <c r="C466" s="239" t="s">
        <v>20</v>
      </c>
      <c r="D466" s="239" t="s">
        <v>2565</v>
      </c>
      <c r="E466" s="239" t="s">
        <v>2529</v>
      </c>
      <c r="F466" s="239" t="s">
        <v>2574</v>
      </c>
      <c r="G466" s="239">
        <v>60</v>
      </c>
      <c r="H466" s="239" t="s">
        <v>928</v>
      </c>
      <c r="I466" s="239" t="s">
        <v>928</v>
      </c>
      <c r="J466" s="239" t="s">
        <v>928</v>
      </c>
      <c r="K466" s="239" t="s">
        <v>2398</v>
      </c>
      <c r="L466" s="239">
        <v>462.16</v>
      </c>
      <c r="M466" s="239">
        <v>0</v>
      </c>
      <c r="N466" s="239">
        <v>0</v>
      </c>
      <c r="O466" s="239">
        <v>0</v>
      </c>
      <c r="P466" s="239">
        <v>0</v>
      </c>
      <c r="Q466" s="239">
        <v>0</v>
      </c>
      <c r="R466" s="239">
        <v>0</v>
      </c>
      <c r="S466" s="239">
        <v>0</v>
      </c>
      <c r="T466" s="239">
        <v>0</v>
      </c>
      <c r="U466" s="239">
        <v>0</v>
      </c>
      <c r="V466" s="239">
        <v>0</v>
      </c>
      <c r="W466" s="239">
        <v>0</v>
      </c>
      <c r="X466" s="239">
        <v>0</v>
      </c>
      <c r="Y466" s="239">
        <v>322.11</v>
      </c>
      <c r="Z466" s="239">
        <v>0</v>
      </c>
      <c r="AA466" s="239">
        <v>0</v>
      </c>
      <c r="AB466" s="239">
        <v>140.04</v>
      </c>
      <c r="AC466" s="239">
        <v>0</v>
      </c>
      <c r="AD466" s="239">
        <v>0</v>
      </c>
      <c r="AE466" s="239" t="s">
        <v>720</v>
      </c>
      <c r="AF466" s="239" t="s">
        <v>721</v>
      </c>
      <c r="AG466" s="239">
        <f t="shared" si="36"/>
        <v>0</v>
      </c>
      <c r="AH466" s="239">
        <f t="shared" si="37"/>
        <v>0</v>
      </c>
      <c r="AI466" s="239">
        <f t="shared" si="38"/>
        <v>0</v>
      </c>
      <c r="AJ466" s="239">
        <f t="shared" si="39"/>
        <v>0</v>
      </c>
    </row>
    <row r="467" spans="1:36" x14ac:dyDescent="0.2">
      <c r="A467" s="240" t="str">
        <f t="shared" si="35"/>
        <v>2SNCPPZK20570</v>
      </c>
      <c r="B467" s="239" t="s">
        <v>19</v>
      </c>
      <c r="C467" s="239" t="s">
        <v>20</v>
      </c>
      <c r="D467" s="239" t="s">
        <v>2565</v>
      </c>
      <c r="E467" s="239" t="s">
        <v>2529</v>
      </c>
      <c r="F467" s="239" t="s">
        <v>2574</v>
      </c>
      <c r="G467" s="239">
        <v>70</v>
      </c>
      <c r="H467" s="239" t="s">
        <v>928</v>
      </c>
      <c r="I467" s="239" t="s">
        <v>2484</v>
      </c>
      <c r="J467" s="239" t="s">
        <v>928</v>
      </c>
      <c r="K467" s="239" t="s">
        <v>2398</v>
      </c>
      <c r="L467" s="239">
        <v>495.84</v>
      </c>
      <c r="M467" s="239">
        <v>0</v>
      </c>
      <c r="N467" s="239">
        <v>0</v>
      </c>
      <c r="O467" s="239">
        <v>0</v>
      </c>
      <c r="P467" s="239">
        <v>0</v>
      </c>
      <c r="Q467" s="239">
        <v>0</v>
      </c>
      <c r="R467" s="239">
        <v>0</v>
      </c>
      <c r="S467" s="239">
        <v>0</v>
      </c>
      <c r="T467" s="239">
        <v>0</v>
      </c>
      <c r="U467" s="239">
        <v>0</v>
      </c>
      <c r="V467" s="239">
        <v>0</v>
      </c>
      <c r="W467" s="239">
        <v>0</v>
      </c>
      <c r="X467" s="239">
        <v>0</v>
      </c>
      <c r="Y467" s="239">
        <v>333.3</v>
      </c>
      <c r="Z467" s="239">
        <v>0</v>
      </c>
      <c r="AA467" s="239">
        <v>0</v>
      </c>
      <c r="AB467" s="239">
        <v>162.54</v>
      </c>
      <c r="AC467" s="239">
        <v>0</v>
      </c>
      <c r="AD467" s="239">
        <v>0</v>
      </c>
      <c r="AE467" s="239" t="s">
        <v>720</v>
      </c>
      <c r="AF467" s="239" t="s">
        <v>721</v>
      </c>
      <c r="AG467" s="239">
        <f t="shared" si="36"/>
        <v>0</v>
      </c>
      <c r="AH467" s="239">
        <f t="shared" si="37"/>
        <v>0</v>
      </c>
      <c r="AI467" s="239">
        <f t="shared" si="38"/>
        <v>0</v>
      </c>
      <c r="AJ467" s="239">
        <f t="shared" si="39"/>
        <v>0</v>
      </c>
    </row>
    <row r="468" spans="1:36" x14ac:dyDescent="0.2">
      <c r="A468" s="240" t="str">
        <f t="shared" si="35"/>
        <v>SNCPPZK20570</v>
      </c>
      <c r="B468" s="239" t="s">
        <v>19</v>
      </c>
      <c r="C468" s="239" t="s">
        <v>20</v>
      </c>
      <c r="D468" s="239" t="s">
        <v>2565</v>
      </c>
      <c r="E468" s="239" t="s">
        <v>2529</v>
      </c>
      <c r="F468" s="239" t="s">
        <v>2574</v>
      </c>
      <c r="G468" s="239">
        <v>70</v>
      </c>
      <c r="H468" s="239" t="s">
        <v>928</v>
      </c>
      <c r="I468" s="239" t="s">
        <v>928</v>
      </c>
      <c r="J468" s="239" t="s">
        <v>928</v>
      </c>
      <c r="K468" s="239" t="s">
        <v>2398</v>
      </c>
      <c r="L468" s="239">
        <v>495.84</v>
      </c>
      <c r="M468" s="239">
        <v>0</v>
      </c>
      <c r="N468" s="239">
        <v>0</v>
      </c>
      <c r="O468" s="239">
        <v>0</v>
      </c>
      <c r="P468" s="239">
        <v>0</v>
      </c>
      <c r="Q468" s="239">
        <v>0</v>
      </c>
      <c r="R468" s="239">
        <v>0</v>
      </c>
      <c r="S468" s="239">
        <v>0</v>
      </c>
      <c r="T468" s="239">
        <v>0</v>
      </c>
      <c r="U468" s="239">
        <v>0</v>
      </c>
      <c r="V468" s="239">
        <v>0</v>
      </c>
      <c r="W468" s="239">
        <v>0</v>
      </c>
      <c r="X468" s="239">
        <v>0</v>
      </c>
      <c r="Y468" s="239">
        <v>333.3</v>
      </c>
      <c r="Z468" s="239">
        <v>0</v>
      </c>
      <c r="AA468" s="239">
        <v>0</v>
      </c>
      <c r="AB468" s="239">
        <v>162.54</v>
      </c>
      <c r="AC468" s="239">
        <v>0</v>
      </c>
      <c r="AD468" s="239">
        <v>0</v>
      </c>
      <c r="AE468" s="239" t="s">
        <v>720</v>
      </c>
      <c r="AF468" s="239" t="s">
        <v>721</v>
      </c>
      <c r="AG468" s="239">
        <f t="shared" si="36"/>
        <v>0</v>
      </c>
      <c r="AH468" s="239">
        <f t="shared" si="37"/>
        <v>0</v>
      </c>
      <c r="AI468" s="239">
        <f t="shared" si="38"/>
        <v>0</v>
      </c>
      <c r="AJ468" s="239">
        <f t="shared" si="39"/>
        <v>0</v>
      </c>
    </row>
    <row r="469" spans="1:36" x14ac:dyDescent="0.2">
      <c r="A469" s="240" t="str">
        <f t="shared" si="35"/>
        <v>2SNCPPZK20580</v>
      </c>
      <c r="B469" s="239" t="s">
        <v>19</v>
      </c>
      <c r="C469" s="239" t="s">
        <v>20</v>
      </c>
      <c r="D469" s="239" t="s">
        <v>2565</v>
      </c>
      <c r="E469" s="239" t="s">
        <v>2529</v>
      </c>
      <c r="F469" s="239" t="s">
        <v>2574</v>
      </c>
      <c r="G469" s="239">
        <v>80</v>
      </c>
      <c r="H469" s="239" t="s">
        <v>928</v>
      </c>
      <c r="I469" s="239" t="s">
        <v>2484</v>
      </c>
      <c r="J469" s="239" t="s">
        <v>928</v>
      </c>
      <c r="K469" s="239" t="s">
        <v>2398</v>
      </c>
      <c r="L469" s="239">
        <v>702.8</v>
      </c>
      <c r="M469" s="239">
        <v>0</v>
      </c>
      <c r="N469" s="239">
        <v>0</v>
      </c>
      <c r="O469" s="239">
        <v>0</v>
      </c>
      <c r="P469" s="239">
        <v>0</v>
      </c>
      <c r="Q469" s="239">
        <v>0</v>
      </c>
      <c r="R469" s="239">
        <v>0</v>
      </c>
      <c r="S469" s="239">
        <v>0</v>
      </c>
      <c r="T469" s="239">
        <v>0</v>
      </c>
      <c r="U469" s="239">
        <v>0</v>
      </c>
      <c r="V469" s="239">
        <v>0</v>
      </c>
      <c r="W469" s="239">
        <v>0</v>
      </c>
      <c r="X469" s="239">
        <v>0</v>
      </c>
      <c r="Y469" s="239">
        <v>386.79</v>
      </c>
      <c r="Z469" s="239">
        <v>0</v>
      </c>
      <c r="AA469" s="239">
        <v>0</v>
      </c>
      <c r="AB469" s="239">
        <v>316.02</v>
      </c>
      <c r="AC469" s="239">
        <v>0</v>
      </c>
      <c r="AD469" s="239">
        <v>0</v>
      </c>
      <c r="AE469" s="239" t="s">
        <v>720</v>
      </c>
      <c r="AF469" s="239" t="s">
        <v>721</v>
      </c>
      <c r="AG469" s="239">
        <f t="shared" si="36"/>
        <v>0</v>
      </c>
      <c r="AH469" s="239">
        <f t="shared" si="37"/>
        <v>0</v>
      </c>
      <c r="AI469" s="239">
        <f t="shared" si="38"/>
        <v>0</v>
      </c>
      <c r="AJ469" s="239">
        <f t="shared" si="39"/>
        <v>0</v>
      </c>
    </row>
    <row r="470" spans="1:36" x14ac:dyDescent="0.2">
      <c r="A470" s="240" t="str">
        <f t="shared" si="35"/>
        <v>SNCPPZK20580</v>
      </c>
      <c r="B470" s="239" t="s">
        <v>19</v>
      </c>
      <c r="C470" s="239" t="s">
        <v>20</v>
      </c>
      <c r="D470" s="239" t="s">
        <v>2565</v>
      </c>
      <c r="E470" s="239" t="s">
        <v>2529</v>
      </c>
      <c r="F470" s="239" t="s">
        <v>2574</v>
      </c>
      <c r="G470" s="239">
        <v>80</v>
      </c>
      <c r="H470" s="239" t="s">
        <v>928</v>
      </c>
      <c r="I470" s="239" t="s">
        <v>928</v>
      </c>
      <c r="J470" s="239" t="s">
        <v>928</v>
      </c>
      <c r="K470" s="239" t="s">
        <v>2398</v>
      </c>
      <c r="L470" s="239">
        <v>702.8</v>
      </c>
      <c r="M470" s="239">
        <v>0</v>
      </c>
      <c r="N470" s="239">
        <v>0</v>
      </c>
      <c r="O470" s="239">
        <v>0</v>
      </c>
      <c r="P470" s="239">
        <v>0</v>
      </c>
      <c r="Q470" s="239">
        <v>0</v>
      </c>
      <c r="R470" s="239">
        <v>0</v>
      </c>
      <c r="S470" s="239">
        <v>0</v>
      </c>
      <c r="T470" s="239">
        <v>0</v>
      </c>
      <c r="U470" s="239">
        <v>0</v>
      </c>
      <c r="V470" s="239">
        <v>0</v>
      </c>
      <c r="W470" s="239">
        <v>0</v>
      </c>
      <c r="X470" s="239">
        <v>0</v>
      </c>
      <c r="Y470" s="239">
        <v>386.79</v>
      </c>
      <c r="Z470" s="239">
        <v>0</v>
      </c>
      <c r="AA470" s="239">
        <v>0</v>
      </c>
      <c r="AB470" s="239">
        <v>316.02</v>
      </c>
      <c r="AC470" s="239">
        <v>0</v>
      </c>
      <c r="AD470" s="239">
        <v>0</v>
      </c>
      <c r="AE470" s="239" t="s">
        <v>720</v>
      </c>
      <c r="AF470" s="239" t="s">
        <v>721</v>
      </c>
      <c r="AG470" s="239">
        <f t="shared" si="36"/>
        <v>0</v>
      </c>
      <c r="AH470" s="239">
        <f t="shared" si="37"/>
        <v>0</v>
      </c>
      <c r="AI470" s="239">
        <f t="shared" si="38"/>
        <v>0</v>
      </c>
      <c r="AJ470" s="239">
        <f t="shared" si="39"/>
        <v>0</v>
      </c>
    </row>
    <row r="471" spans="1:36" x14ac:dyDescent="0.2">
      <c r="A471" s="240" t="str">
        <f t="shared" si="35"/>
        <v>2SNCPPZK20750</v>
      </c>
      <c r="B471" s="239" t="s">
        <v>19</v>
      </c>
      <c r="C471" s="239" t="s">
        <v>20</v>
      </c>
      <c r="D471" s="239" t="s">
        <v>2565</v>
      </c>
      <c r="E471" s="239" t="s">
        <v>2529</v>
      </c>
      <c r="F471" s="239" t="s">
        <v>2575</v>
      </c>
      <c r="G471" s="239">
        <v>50</v>
      </c>
      <c r="H471" s="239" t="s">
        <v>928</v>
      </c>
      <c r="I471" s="239" t="s">
        <v>2484</v>
      </c>
      <c r="J471" s="239" t="s">
        <v>928</v>
      </c>
      <c r="K471" s="239" t="s">
        <v>2398</v>
      </c>
      <c r="L471" s="239">
        <v>300.05</v>
      </c>
      <c r="M471" s="239">
        <v>0</v>
      </c>
      <c r="N471" s="239">
        <v>0</v>
      </c>
      <c r="O471" s="239">
        <v>0</v>
      </c>
      <c r="P471" s="239">
        <v>0</v>
      </c>
      <c r="Q471" s="239">
        <v>0</v>
      </c>
      <c r="R471" s="239">
        <v>0</v>
      </c>
      <c r="S471" s="239">
        <v>0</v>
      </c>
      <c r="T471" s="239">
        <v>0</v>
      </c>
      <c r="U471" s="239">
        <v>0</v>
      </c>
      <c r="V471" s="239">
        <v>0</v>
      </c>
      <c r="W471" s="239">
        <v>0</v>
      </c>
      <c r="X471" s="239">
        <v>0</v>
      </c>
      <c r="Y471" s="239">
        <v>255.27</v>
      </c>
      <c r="Z471" s="239">
        <v>0</v>
      </c>
      <c r="AA471" s="239">
        <v>0</v>
      </c>
      <c r="AB471" s="239">
        <v>44.78</v>
      </c>
      <c r="AC471" s="239">
        <v>0</v>
      </c>
      <c r="AD471" s="239">
        <v>0</v>
      </c>
      <c r="AE471" s="239" t="s">
        <v>720</v>
      </c>
      <c r="AF471" s="239" t="s">
        <v>721</v>
      </c>
      <c r="AG471" s="239">
        <f t="shared" si="36"/>
        <v>0</v>
      </c>
      <c r="AH471" s="239">
        <f t="shared" si="37"/>
        <v>0</v>
      </c>
      <c r="AI471" s="239">
        <f t="shared" si="38"/>
        <v>0</v>
      </c>
      <c r="AJ471" s="239">
        <f t="shared" si="39"/>
        <v>0</v>
      </c>
    </row>
    <row r="472" spans="1:36" x14ac:dyDescent="0.2">
      <c r="A472" s="240" t="str">
        <f t="shared" si="35"/>
        <v>SNCPPZK20750</v>
      </c>
      <c r="B472" s="239" t="s">
        <v>19</v>
      </c>
      <c r="C472" s="239" t="s">
        <v>20</v>
      </c>
      <c r="D472" s="239" t="s">
        <v>2565</v>
      </c>
      <c r="E472" s="239" t="s">
        <v>2529</v>
      </c>
      <c r="F472" s="239" t="s">
        <v>2575</v>
      </c>
      <c r="G472" s="239">
        <v>50</v>
      </c>
      <c r="H472" s="239" t="s">
        <v>928</v>
      </c>
      <c r="I472" s="239" t="s">
        <v>928</v>
      </c>
      <c r="J472" s="239" t="s">
        <v>928</v>
      </c>
      <c r="K472" s="239" t="s">
        <v>2398</v>
      </c>
      <c r="L472" s="239">
        <v>300.05</v>
      </c>
      <c r="M472" s="239">
        <v>0</v>
      </c>
      <c r="N472" s="239">
        <v>0</v>
      </c>
      <c r="O472" s="239">
        <v>0</v>
      </c>
      <c r="P472" s="239">
        <v>0</v>
      </c>
      <c r="Q472" s="239">
        <v>0</v>
      </c>
      <c r="R472" s="239">
        <v>0</v>
      </c>
      <c r="S472" s="239">
        <v>0</v>
      </c>
      <c r="T472" s="239">
        <v>0</v>
      </c>
      <c r="U472" s="239">
        <v>0</v>
      </c>
      <c r="V472" s="239">
        <v>0</v>
      </c>
      <c r="W472" s="239">
        <v>0</v>
      </c>
      <c r="X472" s="239">
        <v>0</v>
      </c>
      <c r="Y472" s="239">
        <v>255.27</v>
      </c>
      <c r="Z472" s="239">
        <v>0</v>
      </c>
      <c r="AA472" s="239">
        <v>0</v>
      </c>
      <c r="AB472" s="239">
        <v>44.78</v>
      </c>
      <c r="AC472" s="239">
        <v>0</v>
      </c>
      <c r="AD472" s="239">
        <v>0</v>
      </c>
      <c r="AE472" s="239" t="s">
        <v>720</v>
      </c>
      <c r="AF472" s="239" t="s">
        <v>721</v>
      </c>
      <c r="AG472" s="239">
        <f t="shared" si="36"/>
        <v>0</v>
      </c>
      <c r="AH472" s="239">
        <f t="shared" si="37"/>
        <v>0</v>
      </c>
      <c r="AI472" s="239">
        <f t="shared" si="38"/>
        <v>0</v>
      </c>
      <c r="AJ472" s="239">
        <f t="shared" si="39"/>
        <v>0</v>
      </c>
    </row>
    <row r="473" spans="1:36" x14ac:dyDescent="0.2">
      <c r="A473" s="240" t="str">
        <f t="shared" si="35"/>
        <v>2SNCPPZK20760</v>
      </c>
      <c r="B473" s="239" t="s">
        <v>19</v>
      </c>
      <c r="C473" s="239" t="s">
        <v>20</v>
      </c>
      <c r="D473" s="239" t="s">
        <v>2565</v>
      </c>
      <c r="E473" s="239" t="s">
        <v>2529</v>
      </c>
      <c r="F473" s="239" t="s">
        <v>2575</v>
      </c>
      <c r="G473" s="239">
        <v>60</v>
      </c>
      <c r="H473" s="239" t="s">
        <v>928</v>
      </c>
      <c r="I473" s="239" t="s">
        <v>2484</v>
      </c>
      <c r="J473" s="239" t="s">
        <v>928</v>
      </c>
      <c r="K473" s="239" t="s">
        <v>2398</v>
      </c>
      <c r="L473" s="239">
        <v>301.10000000000002</v>
      </c>
      <c r="M473" s="239">
        <v>0</v>
      </c>
      <c r="N473" s="239">
        <v>0</v>
      </c>
      <c r="O473" s="239">
        <v>0</v>
      </c>
      <c r="P473" s="239">
        <v>0</v>
      </c>
      <c r="Q473" s="239">
        <v>0</v>
      </c>
      <c r="R473" s="239">
        <v>0</v>
      </c>
      <c r="S473" s="239">
        <v>0</v>
      </c>
      <c r="T473" s="239">
        <v>0</v>
      </c>
      <c r="U473" s="239">
        <v>0</v>
      </c>
      <c r="V473" s="239">
        <v>0</v>
      </c>
      <c r="W473" s="239">
        <v>0</v>
      </c>
      <c r="X473" s="239">
        <v>0</v>
      </c>
      <c r="Y473" s="239">
        <v>256.95999999999998</v>
      </c>
      <c r="Z473" s="239">
        <v>0</v>
      </c>
      <c r="AA473" s="239">
        <v>0</v>
      </c>
      <c r="AB473" s="239">
        <v>44.14</v>
      </c>
      <c r="AC473" s="239">
        <v>0</v>
      </c>
      <c r="AD473" s="239">
        <v>0</v>
      </c>
      <c r="AE473" s="239" t="s">
        <v>720</v>
      </c>
      <c r="AF473" s="239" t="s">
        <v>721</v>
      </c>
      <c r="AG473" s="239">
        <f t="shared" si="36"/>
        <v>0</v>
      </c>
      <c r="AH473" s="239">
        <f t="shared" si="37"/>
        <v>0</v>
      </c>
      <c r="AI473" s="239">
        <f t="shared" si="38"/>
        <v>0</v>
      </c>
      <c r="AJ473" s="239">
        <f t="shared" si="39"/>
        <v>0</v>
      </c>
    </row>
    <row r="474" spans="1:36" x14ac:dyDescent="0.2">
      <c r="A474" s="240" t="str">
        <f t="shared" si="35"/>
        <v>SNCPPZK20760</v>
      </c>
      <c r="B474" s="239" t="s">
        <v>19</v>
      </c>
      <c r="C474" s="239" t="s">
        <v>20</v>
      </c>
      <c r="D474" s="239" t="s">
        <v>2565</v>
      </c>
      <c r="E474" s="239" t="s">
        <v>2529</v>
      </c>
      <c r="F474" s="239" t="s">
        <v>2575</v>
      </c>
      <c r="G474" s="239">
        <v>60</v>
      </c>
      <c r="H474" s="239" t="s">
        <v>928</v>
      </c>
      <c r="I474" s="239" t="s">
        <v>928</v>
      </c>
      <c r="J474" s="239" t="s">
        <v>928</v>
      </c>
      <c r="K474" s="239" t="s">
        <v>2398</v>
      </c>
      <c r="L474" s="239">
        <v>301.10000000000002</v>
      </c>
      <c r="M474" s="239">
        <v>0</v>
      </c>
      <c r="N474" s="239">
        <v>0</v>
      </c>
      <c r="O474" s="239">
        <v>0</v>
      </c>
      <c r="P474" s="239">
        <v>0</v>
      </c>
      <c r="Q474" s="239">
        <v>0</v>
      </c>
      <c r="R474" s="239">
        <v>0</v>
      </c>
      <c r="S474" s="239">
        <v>0</v>
      </c>
      <c r="T474" s="239">
        <v>0</v>
      </c>
      <c r="U474" s="239">
        <v>0</v>
      </c>
      <c r="V474" s="239">
        <v>0</v>
      </c>
      <c r="W474" s="239">
        <v>0</v>
      </c>
      <c r="X474" s="239">
        <v>0</v>
      </c>
      <c r="Y474" s="239">
        <v>256.95999999999998</v>
      </c>
      <c r="Z474" s="239">
        <v>0</v>
      </c>
      <c r="AA474" s="239">
        <v>0</v>
      </c>
      <c r="AB474" s="239">
        <v>44.14</v>
      </c>
      <c r="AC474" s="239">
        <v>0</v>
      </c>
      <c r="AD474" s="239">
        <v>0</v>
      </c>
      <c r="AE474" s="239" t="s">
        <v>720</v>
      </c>
      <c r="AF474" s="239" t="s">
        <v>721</v>
      </c>
      <c r="AG474" s="239">
        <f t="shared" si="36"/>
        <v>0</v>
      </c>
      <c r="AH474" s="239">
        <f t="shared" si="37"/>
        <v>0</v>
      </c>
      <c r="AI474" s="239">
        <f t="shared" si="38"/>
        <v>0</v>
      </c>
      <c r="AJ474" s="239">
        <f t="shared" si="39"/>
        <v>0</v>
      </c>
    </row>
    <row r="475" spans="1:36" x14ac:dyDescent="0.2">
      <c r="A475" s="240" t="str">
        <f t="shared" si="35"/>
        <v>2SNCPPZK20770</v>
      </c>
      <c r="B475" s="239" t="s">
        <v>19</v>
      </c>
      <c r="C475" s="239" t="s">
        <v>20</v>
      </c>
      <c r="D475" s="239" t="s">
        <v>2565</v>
      </c>
      <c r="E475" s="239" t="s">
        <v>2529</v>
      </c>
      <c r="F475" s="239" t="s">
        <v>2575</v>
      </c>
      <c r="G475" s="239">
        <v>70</v>
      </c>
      <c r="H475" s="239" t="s">
        <v>928</v>
      </c>
      <c r="I475" s="239" t="s">
        <v>2484</v>
      </c>
      <c r="J475" s="239" t="s">
        <v>928</v>
      </c>
      <c r="K475" s="239" t="s">
        <v>2398</v>
      </c>
      <c r="L475" s="239">
        <v>307.58</v>
      </c>
      <c r="M475" s="239">
        <v>0</v>
      </c>
      <c r="N475" s="239">
        <v>0</v>
      </c>
      <c r="O475" s="239">
        <v>0</v>
      </c>
      <c r="P475" s="239">
        <v>0</v>
      </c>
      <c r="Q475" s="239">
        <v>0</v>
      </c>
      <c r="R475" s="239">
        <v>0</v>
      </c>
      <c r="S475" s="239">
        <v>0</v>
      </c>
      <c r="T475" s="239">
        <v>0</v>
      </c>
      <c r="U475" s="239">
        <v>0</v>
      </c>
      <c r="V475" s="239">
        <v>0</v>
      </c>
      <c r="W475" s="239">
        <v>0</v>
      </c>
      <c r="X475" s="239">
        <v>0</v>
      </c>
      <c r="Y475" s="239">
        <v>260.23</v>
      </c>
      <c r="Z475" s="239">
        <v>0</v>
      </c>
      <c r="AA475" s="239">
        <v>0</v>
      </c>
      <c r="AB475" s="239">
        <v>47.35</v>
      </c>
      <c r="AC475" s="239">
        <v>0</v>
      </c>
      <c r="AD475" s="239">
        <v>0</v>
      </c>
      <c r="AE475" s="239" t="s">
        <v>720</v>
      </c>
      <c r="AF475" s="239" t="s">
        <v>721</v>
      </c>
      <c r="AG475" s="239">
        <f t="shared" si="36"/>
        <v>0</v>
      </c>
      <c r="AH475" s="239">
        <f t="shared" si="37"/>
        <v>0</v>
      </c>
      <c r="AI475" s="239">
        <f t="shared" si="38"/>
        <v>0</v>
      </c>
      <c r="AJ475" s="239">
        <f t="shared" si="39"/>
        <v>0</v>
      </c>
    </row>
    <row r="476" spans="1:36" x14ac:dyDescent="0.2">
      <c r="A476" s="240" t="str">
        <f t="shared" si="35"/>
        <v>SNCPPZK20770</v>
      </c>
      <c r="B476" s="239" t="s">
        <v>19</v>
      </c>
      <c r="C476" s="239" t="s">
        <v>20</v>
      </c>
      <c r="D476" s="239" t="s">
        <v>2565</v>
      </c>
      <c r="E476" s="239" t="s">
        <v>2529</v>
      </c>
      <c r="F476" s="239" t="s">
        <v>2575</v>
      </c>
      <c r="G476" s="239">
        <v>70</v>
      </c>
      <c r="H476" s="239" t="s">
        <v>928</v>
      </c>
      <c r="I476" s="239" t="s">
        <v>928</v>
      </c>
      <c r="J476" s="239" t="s">
        <v>928</v>
      </c>
      <c r="K476" s="239" t="s">
        <v>2398</v>
      </c>
      <c r="L476" s="239">
        <v>307.58</v>
      </c>
      <c r="M476" s="239">
        <v>0</v>
      </c>
      <c r="N476" s="239">
        <v>0</v>
      </c>
      <c r="O476" s="239">
        <v>0</v>
      </c>
      <c r="P476" s="239">
        <v>0</v>
      </c>
      <c r="Q476" s="239">
        <v>0</v>
      </c>
      <c r="R476" s="239">
        <v>0</v>
      </c>
      <c r="S476" s="239">
        <v>0</v>
      </c>
      <c r="T476" s="239">
        <v>0</v>
      </c>
      <c r="U476" s="239">
        <v>0</v>
      </c>
      <c r="V476" s="239">
        <v>0</v>
      </c>
      <c r="W476" s="239">
        <v>0</v>
      </c>
      <c r="X476" s="239">
        <v>0</v>
      </c>
      <c r="Y476" s="239">
        <v>260.23</v>
      </c>
      <c r="Z476" s="239">
        <v>0</v>
      </c>
      <c r="AA476" s="239">
        <v>0</v>
      </c>
      <c r="AB476" s="239">
        <v>47.35</v>
      </c>
      <c r="AC476" s="239">
        <v>0</v>
      </c>
      <c r="AD476" s="239">
        <v>0</v>
      </c>
      <c r="AE476" s="239" t="s">
        <v>720</v>
      </c>
      <c r="AF476" s="239" t="s">
        <v>721</v>
      </c>
      <c r="AG476" s="239">
        <f t="shared" si="36"/>
        <v>0</v>
      </c>
      <c r="AH476" s="239">
        <f t="shared" si="37"/>
        <v>0</v>
      </c>
      <c r="AI476" s="239">
        <f t="shared" si="38"/>
        <v>0</v>
      </c>
      <c r="AJ476" s="239">
        <f t="shared" si="39"/>
        <v>0</v>
      </c>
    </row>
    <row r="477" spans="1:36" x14ac:dyDescent="0.2">
      <c r="A477" s="240" t="str">
        <f t="shared" si="35"/>
        <v>2SNCPPZK20780</v>
      </c>
      <c r="B477" s="239" t="s">
        <v>19</v>
      </c>
      <c r="C477" s="239" t="s">
        <v>20</v>
      </c>
      <c r="D477" s="239" t="s">
        <v>2565</v>
      </c>
      <c r="E477" s="239" t="s">
        <v>2529</v>
      </c>
      <c r="F477" s="239" t="s">
        <v>2575</v>
      </c>
      <c r="G477" s="239">
        <v>80</v>
      </c>
      <c r="H477" s="239" t="s">
        <v>928</v>
      </c>
      <c r="I477" s="239" t="s">
        <v>2484</v>
      </c>
      <c r="J477" s="239" t="s">
        <v>928</v>
      </c>
      <c r="K477" s="239" t="s">
        <v>2398</v>
      </c>
      <c r="L477" s="239">
        <v>303.63</v>
      </c>
      <c r="M477" s="239">
        <v>0</v>
      </c>
      <c r="N477" s="239">
        <v>0</v>
      </c>
      <c r="O477" s="239">
        <v>0</v>
      </c>
      <c r="P477" s="239">
        <v>0</v>
      </c>
      <c r="Q477" s="239">
        <v>0</v>
      </c>
      <c r="R477" s="239">
        <v>0</v>
      </c>
      <c r="S477" s="239">
        <v>0</v>
      </c>
      <c r="T477" s="239">
        <v>0</v>
      </c>
      <c r="U477" s="239">
        <v>0</v>
      </c>
      <c r="V477" s="239">
        <v>0</v>
      </c>
      <c r="W477" s="239">
        <v>0</v>
      </c>
      <c r="X477" s="239">
        <v>0</v>
      </c>
      <c r="Y477" s="239">
        <v>257.81</v>
      </c>
      <c r="Z477" s="239">
        <v>0</v>
      </c>
      <c r="AA477" s="239">
        <v>0</v>
      </c>
      <c r="AB477" s="239">
        <v>45.83</v>
      </c>
      <c r="AC477" s="239">
        <v>0</v>
      </c>
      <c r="AD477" s="239">
        <v>0</v>
      </c>
      <c r="AE477" s="239" t="s">
        <v>720</v>
      </c>
      <c r="AF477" s="239" t="s">
        <v>721</v>
      </c>
      <c r="AG477" s="239">
        <f t="shared" si="36"/>
        <v>0</v>
      </c>
      <c r="AH477" s="239">
        <f t="shared" si="37"/>
        <v>0</v>
      </c>
      <c r="AI477" s="239">
        <f t="shared" si="38"/>
        <v>0</v>
      </c>
      <c r="AJ477" s="239">
        <f t="shared" si="39"/>
        <v>0</v>
      </c>
    </row>
    <row r="478" spans="1:36" x14ac:dyDescent="0.2">
      <c r="A478" s="240" t="str">
        <f t="shared" si="35"/>
        <v>SNCPPZK20780</v>
      </c>
      <c r="B478" s="239" t="s">
        <v>19</v>
      </c>
      <c r="C478" s="239" t="s">
        <v>20</v>
      </c>
      <c r="D478" s="239" t="s">
        <v>2565</v>
      </c>
      <c r="E478" s="239" t="s">
        <v>2529</v>
      </c>
      <c r="F478" s="239" t="s">
        <v>2575</v>
      </c>
      <c r="G478" s="239">
        <v>80</v>
      </c>
      <c r="H478" s="239" t="s">
        <v>928</v>
      </c>
      <c r="I478" s="239" t="s">
        <v>928</v>
      </c>
      <c r="J478" s="239" t="s">
        <v>928</v>
      </c>
      <c r="K478" s="239" t="s">
        <v>2398</v>
      </c>
      <c r="L478" s="239">
        <v>303.63</v>
      </c>
      <c r="M478" s="239">
        <v>0</v>
      </c>
      <c r="N478" s="239">
        <v>0</v>
      </c>
      <c r="O478" s="239">
        <v>0</v>
      </c>
      <c r="P478" s="239">
        <v>0</v>
      </c>
      <c r="Q478" s="239">
        <v>0</v>
      </c>
      <c r="R478" s="239">
        <v>0</v>
      </c>
      <c r="S478" s="239">
        <v>0</v>
      </c>
      <c r="T478" s="239">
        <v>0</v>
      </c>
      <c r="U478" s="239">
        <v>0</v>
      </c>
      <c r="V478" s="239">
        <v>0</v>
      </c>
      <c r="W478" s="239">
        <v>0</v>
      </c>
      <c r="X478" s="239">
        <v>0</v>
      </c>
      <c r="Y478" s="239">
        <v>257.81</v>
      </c>
      <c r="Z478" s="239">
        <v>0</v>
      </c>
      <c r="AA478" s="239">
        <v>0</v>
      </c>
      <c r="AB478" s="239">
        <v>45.83</v>
      </c>
      <c r="AC478" s="239">
        <v>0</v>
      </c>
      <c r="AD478" s="239">
        <v>0</v>
      </c>
      <c r="AE478" s="239" t="s">
        <v>720</v>
      </c>
      <c r="AF478" s="239" t="s">
        <v>721</v>
      </c>
      <c r="AG478" s="239">
        <f t="shared" si="36"/>
        <v>0</v>
      </c>
      <c r="AH478" s="239">
        <f t="shared" si="37"/>
        <v>0</v>
      </c>
      <c r="AI478" s="239">
        <f t="shared" si="38"/>
        <v>0</v>
      </c>
      <c r="AJ478" s="239">
        <f t="shared" si="39"/>
        <v>0</v>
      </c>
    </row>
    <row r="479" spans="1:36" x14ac:dyDescent="0.2">
      <c r="A479" s="240" t="str">
        <f t="shared" si="35"/>
        <v>2SNCPPZK207100</v>
      </c>
      <c r="B479" s="239" t="s">
        <v>19</v>
      </c>
      <c r="C479" s="239" t="s">
        <v>20</v>
      </c>
      <c r="D479" s="239" t="s">
        <v>2565</v>
      </c>
      <c r="E479" s="239" t="s">
        <v>2529</v>
      </c>
      <c r="F479" s="239" t="s">
        <v>2575</v>
      </c>
      <c r="G479" s="239">
        <v>100</v>
      </c>
      <c r="H479" s="239" t="s">
        <v>928</v>
      </c>
      <c r="I479" s="239" t="s">
        <v>2484</v>
      </c>
      <c r="J479" s="239" t="s">
        <v>928</v>
      </c>
      <c r="K479" s="239" t="s">
        <v>2398</v>
      </c>
      <c r="L479" s="239">
        <v>307.60000000000002</v>
      </c>
      <c r="M479" s="239">
        <v>0</v>
      </c>
      <c r="N479" s="239">
        <v>0</v>
      </c>
      <c r="O479" s="239">
        <v>0</v>
      </c>
      <c r="P479" s="239">
        <v>0</v>
      </c>
      <c r="Q479" s="239">
        <v>0</v>
      </c>
      <c r="R479" s="239">
        <v>0</v>
      </c>
      <c r="S479" s="239">
        <v>0</v>
      </c>
      <c r="T479" s="239">
        <v>0</v>
      </c>
      <c r="U479" s="239">
        <v>0</v>
      </c>
      <c r="V479" s="239">
        <v>0</v>
      </c>
      <c r="W479" s="239">
        <v>0</v>
      </c>
      <c r="X479" s="239">
        <v>0</v>
      </c>
      <c r="Y479" s="239">
        <v>259.82</v>
      </c>
      <c r="Z479" s="239">
        <v>0</v>
      </c>
      <c r="AA479" s="239">
        <v>0</v>
      </c>
      <c r="AB479" s="239">
        <v>47.78</v>
      </c>
      <c r="AC479" s="239">
        <v>0</v>
      </c>
      <c r="AD479" s="239">
        <v>0</v>
      </c>
      <c r="AE479" s="239" t="s">
        <v>720</v>
      </c>
      <c r="AF479" s="239" t="s">
        <v>721</v>
      </c>
      <c r="AG479" s="239">
        <f t="shared" si="36"/>
        <v>0</v>
      </c>
      <c r="AH479" s="239">
        <f t="shared" si="37"/>
        <v>0</v>
      </c>
      <c r="AI479" s="239">
        <f t="shared" si="38"/>
        <v>0</v>
      </c>
      <c r="AJ479" s="239">
        <f t="shared" si="39"/>
        <v>0</v>
      </c>
    </row>
    <row r="480" spans="1:36" x14ac:dyDescent="0.2">
      <c r="A480" s="240" t="str">
        <f t="shared" si="35"/>
        <v>SNCPPZK207100</v>
      </c>
      <c r="B480" s="239" t="s">
        <v>19</v>
      </c>
      <c r="C480" s="239" t="s">
        <v>20</v>
      </c>
      <c r="D480" s="239" t="s">
        <v>2565</v>
      </c>
      <c r="E480" s="239" t="s">
        <v>2529</v>
      </c>
      <c r="F480" s="239" t="s">
        <v>2575</v>
      </c>
      <c r="G480" s="239">
        <v>100</v>
      </c>
      <c r="H480" s="239" t="s">
        <v>928</v>
      </c>
      <c r="I480" s="239" t="s">
        <v>928</v>
      </c>
      <c r="J480" s="239" t="s">
        <v>928</v>
      </c>
      <c r="K480" s="239" t="s">
        <v>2398</v>
      </c>
      <c r="L480" s="239">
        <v>307.60000000000002</v>
      </c>
      <c r="M480" s="239">
        <v>0</v>
      </c>
      <c r="N480" s="239">
        <v>0</v>
      </c>
      <c r="O480" s="239">
        <v>0</v>
      </c>
      <c r="P480" s="239">
        <v>0</v>
      </c>
      <c r="Q480" s="239">
        <v>0</v>
      </c>
      <c r="R480" s="239">
        <v>0</v>
      </c>
      <c r="S480" s="239">
        <v>0</v>
      </c>
      <c r="T480" s="239">
        <v>0</v>
      </c>
      <c r="U480" s="239">
        <v>0</v>
      </c>
      <c r="V480" s="239">
        <v>0</v>
      </c>
      <c r="W480" s="239">
        <v>0</v>
      </c>
      <c r="X480" s="239">
        <v>0</v>
      </c>
      <c r="Y480" s="239">
        <v>259.82</v>
      </c>
      <c r="Z480" s="239">
        <v>0</v>
      </c>
      <c r="AA480" s="239">
        <v>0</v>
      </c>
      <c r="AB480" s="239">
        <v>47.78</v>
      </c>
      <c r="AC480" s="239">
        <v>0</v>
      </c>
      <c r="AD480" s="239">
        <v>0</v>
      </c>
      <c r="AE480" s="239" t="s">
        <v>720</v>
      </c>
      <c r="AF480" s="239" t="s">
        <v>721</v>
      </c>
      <c r="AG480" s="239">
        <f t="shared" si="36"/>
        <v>0</v>
      </c>
      <c r="AH480" s="239">
        <f t="shared" si="37"/>
        <v>0</v>
      </c>
      <c r="AI480" s="239">
        <f t="shared" si="38"/>
        <v>0</v>
      </c>
      <c r="AJ480" s="239">
        <f t="shared" si="39"/>
        <v>0</v>
      </c>
    </row>
    <row r="481" spans="1:36" x14ac:dyDescent="0.2">
      <c r="A481" s="240" t="str">
        <f t="shared" si="35"/>
        <v>2SNCPPZK20950</v>
      </c>
      <c r="B481" s="239" t="s">
        <v>19</v>
      </c>
      <c r="C481" s="239" t="s">
        <v>20</v>
      </c>
      <c r="D481" s="239" t="s">
        <v>2565</v>
      </c>
      <c r="E481" s="239" t="s">
        <v>2529</v>
      </c>
      <c r="F481" s="239" t="s">
        <v>2576</v>
      </c>
      <c r="G481" s="239">
        <v>50</v>
      </c>
      <c r="H481" s="239" t="s">
        <v>928</v>
      </c>
      <c r="I481" s="239" t="s">
        <v>2484</v>
      </c>
      <c r="J481" s="239" t="s">
        <v>928</v>
      </c>
      <c r="K481" s="239" t="s">
        <v>2398</v>
      </c>
      <c r="L481" s="239">
        <v>403.91</v>
      </c>
      <c r="M481" s="239">
        <v>0</v>
      </c>
      <c r="N481" s="239">
        <v>0</v>
      </c>
      <c r="O481" s="239">
        <v>0</v>
      </c>
      <c r="P481" s="239">
        <v>0</v>
      </c>
      <c r="Q481" s="239">
        <v>0</v>
      </c>
      <c r="R481" s="239">
        <v>0</v>
      </c>
      <c r="S481" s="239">
        <v>0</v>
      </c>
      <c r="T481" s="239">
        <v>0</v>
      </c>
      <c r="U481" s="239">
        <v>0</v>
      </c>
      <c r="V481" s="239">
        <v>0</v>
      </c>
      <c r="W481" s="239">
        <v>0</v>
      </c>
      <c r="X481" s="239">
        <v>0</v>
      </c>
      <c r="Y481" s="239">
        <v>330.26</v>
      </c>
      <c r="Z481" s="239">
        <v>0</v>
      </c>
      <c r="AA481" s="239">
        <v>0</v>
      </c>
      <c r="AB481" s="239">
        <v>73.650000000000006</v>
      </c>
      <c r="AC481" s="239">
        <v>0</v>
      </c>
      <c r="AD481" s="239">
        <v>0</v>
      </c>
      <c r="AE481" s="239" t="s">
        <v>720</v>
      </c>
      <c r="AF481" s="239" t="s">
        <v>721</v>
      </c>
      <c r="AG481" s="239">
        <f t="shared" si="36"/>
        <v>0</v>
      </c>
      <c r="AH481" s="239">
        <f t="shared" si="37"/>
        <v>0</v>
      </c>
      <c r="AI481" s="239">
        <f t="shared" si="38"/>
        <v>0</v>
      </c>
      <c r="AJ481" s="239">
        <f t="shared" si="39"/>
        <v>0</v>
      </c>
    </row>
    <row r="482" spans="1:36" x14ac:dyDescent="0.2">
      <c r="A482" s="240" t="str">
        <f t="shared" si="35"/>
        <v>SNCPPZK20950</v>
      </c>
      <c r="B482" s="239" t="s">
        <v>19</v>
      </c>
      <c r="C482" s="239" t="s">
        <v>20</v>
      </c>
      <c r="D482" s="239" t="s">
        <v>2565</v>
      </c>
      <c r="E482" s="239" t="s">
        <v>2529</v>
      </c>
      <c r="F482" s="239" t="s">
        <v>2576</v>
      </c>
      <c r="G482" s="239">
        <v>50</v>
      </c>
      <c r="H482" s="239" t="s">
        <v>928</v>
      </c>
      <c r="I482" s="239" t="s">
        <v>928</v>
      </c>
      <c r="J482" s="239" t="s">
        <v>928</v>
      </c>
      <c r="K482" s="239" t="s">
        <v>2398</v>
      </c>
      <c r="L482" s="239">
        <v>403.91</v>
      </c>
      <c r="M482" s="239">
        <v>0</v>
      </c>
      <c r="N482" s="239">
        <v>0</v>
      </c>
      <c r="O482" s="239">
        <v>0</v>
      </c>
      <c r="P482" s="239">
        <v>0</v>
      </c>
      <c r="Q482" s="239">
        <v>0</v>
      </c>
      <c r="R482" s="239">
        <v>0</v>
      </c>
      <c r="S482" s="239">
        <v>0</v>
      </c>
      <c r="T482" s="239">
        <v>0</v>
      </c>
      <c r="U482" s="239">
        <v>0</v>
      </c>
      <c r="V482" s="239">
        <v>0</v>
      </c>
      <c r="W482" s="239">
        <v>0</v>
      </c>
      <c r="X482" s="239">
        <v>0</v>
      </c>
      <c r="Y482" s="239">
        <v>330.26</v>
      </c>
      <c r="Z482" s="239">
        <v>0</v>
      </c>
      <c r="AA482" s="239">
        <v>0</v>
      </c>
      <c r="AB482" s="239">
        <v>73.650000000000006</v>
      </c>
      <c r="AC482" s="239">
        <v>0</v>
      </c>
      <c r="AD482" s="239">
        <v>0</v>
      </c>
      <c r="AE482" s="239" t="s">
        <v>720</v>
      </c>
      <c r="AF482" s="239" t="s">
        <v>721</v>
      </c>
      <c r="AG482" s="239">
        <f t="shared" si="36"/>
        <v>0</v>
      </c>
      <c r="AH482" s="239">
        <f t="shared" si="37"/>
        <v>0</v>
      </c>
      <c r="AI482" s="239">
        <f t="shared" si="38"/>
        <v>0</v>
      </c>
      <c r="AJ482" s="239">
        <f t="shared" si="39"/>
        <v>0</v>
      </c>
    </row>
    <row r="483" spans="1:36" x14ac:dyDescent="0.2">
      <c r="A483" s="240" t="str">
        <f t="shared" si="35"/>
        <v>2SNCPPZK20960</v>
      </c>
      <c r="B483" s="239" t="s">
        <v>19</v>
      </c>
      <c r="C483" s="239" t="s">
        <v>20</v>
      </c>
      <c r="D483" s="239" t="s">
        <v>2565</v>
      </c>
      <c r="E483" s="239" t="s">
        <v>2529</v>
      </c>
      <c r="F483" s="239" t="s">
        <v>2576</v>
      </c>
      <c r="G483" s="239">
        <v>60</v>
      </c>
      <c r="H483" s="239" t="s">
        <v>928</v>
      </c>
      <c r="I483" s="239" t="s">
        <v>2484</v>
      </c>
      <c r="J483" s="239" t="s">
        <v>928</v>
      </c>
      <c r="K483" s="239" t="s">
        <v>2398</v>
      </c>
      <c r="L483" s="239">
        <v>367.56</v>
      </c>
      <c r="M483" s="239">
        <v>0</v>
      </c>
      <c r="N483" s="239">
        <v>0</v>
      </c>
      <c r="O483" s="239">
        <v>0</v>
      </c>
      <c r="P483" s="239">
        <v>0</v>
      </c>
      <c r="Q483" s="239">
        <v>0</v>
      </c>
      <c r="R483" s="239">
        <v>0</v>
      </c>
      <c r="S483" s="239">
        <v>0</v>
      </c>
      <c r="T483" s="239">
        <v>0</v>
      </c>
      <c r="U483" s="239">
        <v>0</v>
      </c>
      <c r="V483" s="239">
        <v>0</v>
      </c>
      <c r="W483" s="239">
        <v>0</v>
      </c>
      <c r="X483" s="239">
        <v>0</v>
      </c>
      <c r="Y483" s="239">
        <v>298.33</v>
      </c>
      <c r="Z483" s="239">
        <v>0</v>
      </c>
      <c r="AA483" s="239">
        <v>0</v>
      </c>
      <c r="AB483" s="239">
        <v>69.239999999999995</v>
      </c>
      <c r="AC483" s="239">
        <v>0</v>
      </c>
      <c r="AD483" s="239">
        <v>0</v>
      </c>
      <c r="AE483" s="239" t="s">
        <v>720</v>
      </c>
      <c r="AF483" s="239" t="s">
        <v>721</v>
      </c>
      <c r="AG483" s="239">
        <f t="shared" si="36"/>
        <v>0</v>
      </c>
      <c r="AH483" s="239">
        <f t="shared" si="37"/>
        <v>0</v>
      </c>
      <c r="AI483" s="239">
        <f t="shared" si="38"/>
        <v>0</v>
      </c>
      <c r="AJ483" s="239">
        <f t="shared" si="39"/>
        <v>0</v>
      </c>
    </row>
    <row r="484" spans="1:36" x14ac:dyDescent="0.2">
      <c r="A484" s="240" t="str">
        <f t="shared" si="35"/>
        <v>SNCPPZK20960</v>
      </c>
      <c r="B484" s="239" t="s">
        <v>19</v>
      </c>
      <c r="C484" s="239" t="s">
        <v>20</v>
      </c>
      <c r="D484" s="239" t="s">
        <v>2565</v>
      </c>
      <c r="E484" s="239" t="s">
        <v>2529</v>
      </c>
      <c r="F484" s="239" t="s">
        <v>2576</v>
      </c>
      <c r="G484" s="239">
        <v>60</v>
      </c>
      <c r="H484" s="239" t="s">
        <v>928</v>
      </c>
      <c r="I484" s="239" t="s">
        <v>928</v>
      </c>
      <c r="J484" s="239" t="s">
        <v>928</v>
      </c>
      <c r="K484" s="239" t="s">
        <v>2398</v>
      </c>
      <c r="L484" s="239">
        <v>367.56</v>
      </c>
      <c r="M484" s="239">
        <v>0</v>
      </c>
      <c r="N484" s="239">
        <v>0</v>
      </c>
      <c r="O484" s="239">
        <v>0</v>
      </c>
      <c r="P484" s="239">
        <v>0</v>
      </c>
      <c r="Q484" s="239">
        <v>0</v>
      </c>
      <c r="R484" s="239">
        <v>0</v>
      </c>
      <c r="S484" s="239">
        <v>0</v>
      </c>
      <c r="T484" s="239">
        <v>0</v>
      </c>
      <c r="U484" s="239">
        <v>0</v>
      </c>
      <c r="V484" s="239">
        <v>0</v>
      </c>
      <c r="W484" s="239">
        <v>0</v>
      </c>
      <c r="X484" s="239">
        <v>0</v>
      </c>
      <c r="Y484" s="239">
        <v>298.33</v>
      </c>
      <c r="Z484" s="239">
        <v>0</v>
      </c>
      <c r="AA484" s="239">
        <v>0</v>
      </c>
      <c r="AB484" s="239">
        <v>69.239999999999995</v>
      </c>
      <c r="AC484" s="239">
        <v>0</v>
      </c>
      <c r="AD484" s="239">
        <v>0</v>
      </c>
      <c r="AE484" s="239" t="s">
        <v>720</v>
      </c>
      <c r="AF484" s="239" t="s">
        <v>721</v>
      </c>
      <c r="AG484" s="239">
        <f t="shared" si="36"/>
        <v>0</v>
      </c>
      <c r="AH484" s="239">
        <f t="shared" si="37"/>
        <v>0</v>
      </c>
      <c r="AI484" s="239">
        <f t="shared" si="38"/>
        <v>0</v>
      </c>
      <c r="AJ484" s="239">
        <f t="shared" si="39"/>
        <v>0</v>
      </c>
    </row>
    <row r="485" spans="1:36" x14ac:dyDescent="0.2">
      <c r="A485" s="240" t="str">
        <f t="shared" si="35"/>
        <v>2SNCPPZK20970</v>
      </c>
      <c r="B485" s="239" t="s">
        <v>19</v>
      </c>
      <c r="C485" s="239" t="s">
        <v>20</v>
      </c>
      <c r="D485" s="239" t="s">
        <v>2565</v>
      </c>
      <c r="E485" s="239" t="s">
        <v>2529</v>
      </c>
      <c r="F485" s="239" t="s">
        <v>2576</v>
      </c>
      <c r="G485" s="239">
        <v>70</v>
      </c>
      <c r="H485" s="239" t="s">
        <v>928</v>
      </c>
      <c r="I485" s="239" t="s">
        <v>2484</v>
      </c>
      <c r="J485" s="239" t="s">
        <v>928</v>
      </c>
      <c r="K485" s="239" t="s">
        <v>2398</v>
      </c>
      <c r="L485" s="239">
        <v>403.86</v>
      </c>
      <c r="M485" s="239">
        <v>0</v>
      </c>
      <c r="N485" s="239">
        <v>0</v>
      </c>
      <c r="O485" s="239">
        <v>0</v>
      </c>
      <c r="P485" s="239">
        <v>0</v>
      </c>
      <c r="Q485" s="239">
        <v>0</v>
      </c>
      <c r="R485" s="239">
        <v>0</v>
      </c>
      <c r="S485" s="239">
        <v>0</v>
      </c>
      <c r="T485" s="239">
        <v>0</v>
      </c>
      <c r="U485" s="239">
        <v>0</v>
      </c>
      <c r="V485" s="239">
        <v>0</v>
      </c>
      <c r="W485" s="239">
        <v>0</v>
      </c>
      <c r="X485" s="239">
        <v>0</v>
      </c>
      <c r="Y485" s="239">
        <v>316.08999999999997</v>
      </c>
      <c r="Z485" s="239">
        <v>0</v>
      </c>
      <c r="AA485" s="239">
        <v>0</v>
      </c>
      <c r="AB485" s="239">
        <v>87.77</v>
      </c>
      <c r="AC485" s="239">
        <v>0</v>
      </c>
      <c r="AD485" s="239">
        <v>0</v>
      </c>
      <c r="AE485" s="239" t="s">
        <v>720</v>
      </c>
      <c r="AF485" s="239" t="s">
        <v>721</v>
      </c>
      <c r="AG485" s="239">
        <f t="shared" si="36"/>
        <v>0</v>
      </c>
      <c r="AH485" s="239">
        <f t="shared" si="37"/>
        <v>0</v>
      </c>
      <c r="AI485" s="239">
        <f t="shared" si="38"/>
        <v>0</v>
      </c>
      <c r="AJ485" s="239">
        <f t="shared" si="39"/>
        <v>0</v>
      </c>
    </row>
    <row r="486" spans="1:36" x14ac:dyDescent="0.2">
      <c r="A486" s="240" t="str">
        <f t="shared" si="35"/>
        <v>SNCPPZK20970</v>
      </c>
      <c r="B486" s="239" t="s">
        <v>19</v>
      </c>
      <c r="C486" s="239" t="s">
        <v>20</v>
      </c>
      <c r="D486" s="239" t="s">
        <v>2565</v>
      </c>
      <c r="E486" s="239" t="s">
        <v>2529</v>
      </c>
      <c r="F486" s="239" t="s">
        <v>2576</v>
      </c>
      <c r="G486" s="239">
        <v>70</v>
      </c>
      <c r="H486" s="239" t="s">
        <v>928</v>
      </c>
      <c r="I486" s="239" t="s">
        <v>928</v>
      </c>
      <c r="J486" s="239" t="s">
        <v>928</v>
      </c>
      <c r="K486" s="239" t="s">
        <v>2398</v>
      </c>
      <c r="L486" s="239">
        <v>403.86</v>
      </c>
      <c r="M486" s="239">
        <v>0</v>
      </c>
      <c r="N486" s="239">
        <v>0</v>
      </c>
      <c r="O486" s="239">
        <v>0</v>
      </c>
      <c r="P486" s="239">
        <v>0</v>
      </c>
      <c r="Q486" s="239">
        <v>0</v>
      </c>
      <c r="R486" s="239">
        <v>0</v>
      </c>
      <c r="S486" s="239">
        <v>0</v>
      </c>
      <c r="T486" s="239">
        <v>0</v>
      </c>
      <c r="U486" s="239">
        <v>0</v>
      </c>
      <c r="V486" s="239">
        <v>0</v>
      </c>
      <c r="W486" s="239">
        <v>0</v>
      </c>
      <c r="X486" s="239">
        <v>0</v>
      </c>
      <c r="Y486" s="239">
        <v>316.08999999999997</v>
      </c>
      <c r="Z486" s="239">
        <v>0</v>
      </c>
      <c r="AA486" s="239">
        <v>0</v>
      </c>
      <c r="AB486" s="239">
        <v>87.77</v>
      </c>
      <c r="AC486" s="239">
        <v>0</v>
      </c>
      <c r="AD486" s="239">
        <v>0</v>
      </c>
      <c r="AE486" s="239" t="s">
        <v>720</v>
      </c>
      <c r="AF486" s="239" t="s">
        <v>721</v>
      </c>
      <c r="AG486" s="239">
        <f t="shared" si="36"/>
        <v>0</v>
      </c>
      <c r="AH486" s="239">
        <f t="shared" si="37"/>
        <v>0</v>
      </c>
      <c r="AI486" s="239">
        <f t="shared" si="38"/>
        <v>0</v>
      </c>
      <c r="AJ486" s="239">
        <f t="shared" si="39"/>
        <v>0</v>
      </c>
    </row>
    <row r="487" spans="1:36" x14ac:dyDescent="0.2">
      <c r="A487" s="240" t="str">
        <f t="shared" si="35"/>
        <v>2SNCPPZK20980</v>
      </c>
      <c r="B487" s="239" t="s">
        <v>19</v>
      </c>
      <c r="C487" s="239" t="s">
        <v>20</v>
      </c>
      <c r="D487" s="239" t="s">
        <v>2565</v>
      </c>
      <c r="E487" s="239" t="s">
        <v>2529</v>
      </c>
      <c r="F487" s="239" t="s">
        <v>2576</v>
      </c>
      <c r="G487" s="239">
        <v>80</v>
      </c>
      <c r="H487" s="239" t="s">
        <v>928</v>
      </c>
      <c r="I487" s="239" t="s">
        <v>2484</v>
      </c>
      <c r="J487" s="239" t="s">
        <v>928</v>
      </c>
      <c r="K487" s="239" t="s">
        <v>2398</v>
      </c>
      <c r="L487" s="239">
        <v>352.45</v>
      </c>
      <c r="M487" s="239">
        <v>0</v>
      </c>
      <c r="N487" s="239">
        <v>0</v>
      </c>
      <c r="O487" s="239">
        <v>0</v>
      </c>
      <c r="P487" s="239">
        <v>0</v>
      </c>
      <c r="Q487" s="239">
        <v>0</v>
      </c>
      <c r="R487" s="239">
        <v>0</v>
      </c>
      <c r="S487" s="239">
        <v>0</v>
      </c>
      <c r="T487" s="239">
        <v>0</v>
      </c>
      <c r="U487" s="239">
        <v>0</v>
      </c>
      <c r="V487" s="239">
        <v>0</v>
      </c>
      <c r="W487" s="239">
        <v>0</v>
      </c>
      <c r="X487" s="239">
        <v>0</v>
      </c>
      <c r="Y487" s="239">
        <v>289.67</v>
      </c>
      <c r="Z487" s="239">
        <v>0</v>
      </c>
      <c r="AA487" s="239">
        <v>0</v>
      </c>
      <c r="AB487" s="239">
        <v>62.78</v>
      </c>
      <c r="AC487" s="239">
        <v>0</v>
      </c>
      <c r="AD487" s="239">
        <v>0</v>
      </c>
      <c r="AE487" s="239" t="s">
        <v>720</v>
      </c>
      <c r="AF487" s="239" t="s">
        <v>721</v>
      </c>
      <c r="AG487" s="239">
        <f t="shared" si="36"/>
        <v>0</v>
      </c>
      <c r="AH487" s="239">
        <f t="shared" si="37"/>
        <v>0</v>
      </c>
      <c r="AI487" s="239">
        <f t="shared" si="38"/>
        <v>0</v>
      </c>
      <c r="AJ487" s="239">
        <f t="shared" si="39"/>
        <v>0</v>
      </c>
    </row>
    <row r="488" spans="1:36" x14ac:dyDescent="0.2">
      <c r="A488" s="240" t="str">
        <f t="shared" si="35"/>
        <v>SNCPPZK20980</v>
      </c>
      <c r="B488" s="239" t="s">
        <v>19</v>
      </c>
      <c r="C488" s="239" t="s">
        <v>20</v>
      </c>
      <c r="D488" s="239" t="s">
        <v>2565</v>
      </c>
      <c r="E488" s="239" t="s">
        <v>2529</v>
      </c>
      <c r="F488" s="239" t="s">
        <v>2576</v>
      </c>
      <c r="G488" s="239">
        <v>80</v>
      </c>
      <c r="H488" s="239" t="s">
        <v>928</v>
      </c>
      <c r="I488" s="239" t="s">
        <v>928</v>
      </c>
      <c r="J488" s="239" t="s">
        <v>928</v>
      </c>
      <c r="K488" s="239" t="s">
        <v>2398</v>
      </c>
      <c r="L488" s="239">
        <v>352.45</v>
      </c>
      <c r="M488" s="239">
        <v>0</v>
      </c>
      <c r="N488" s="239">
        <v>0</v>
      </c>
      <c r="O488" s="239">
        <v>0</v>
      </c>
      <c r="P488" s="239">
        <v>0</v>
      </c>
      <c r="Q488" s="239">
        <v>0</v>
      </c>
      <c r="R488" s="239">
        <v>0</v>
      </c>
      <c r="S488" s="239">
        <v>0</v>
      </c>
      <c r="T488" s="239">
        <v>0</v>
      </c>
      <c r="U488" s="239">
        <v>0</v>
      </c>
      <c r="V488" s="239">
        <v>0</v>
      </c>
      <c r="W488" s="239">
        <v>0</v>
      </c>
      <c r="X488" s="239">
        <v>0</v>
      </c>
      <c r="Y488" s="239">
        <v>289.67</v>
      </c>
      <c r="Z488" s="239">
        <v>0</v>
      </c>
      <c r="AA488" s="239">
        <v>0</v>
      </c>
      <c r="AB488" s="239">
        <v>62.78</v>
      </c>
      <c r="AC488" s="239">
        <v>0</v>
      </c>
      <c r="AD488" s="239">
        <v>0</v>
      </c>
      <c r="AE488" s="239" t="s">
        <v>720</v>
      </c>
      <c r="AF488" s="239" t="s">
        <v>721</v>
      </c>
      <c r="AG488" s="239">
        <f t="shared" si="36"/>
        <v>0</v>
      </c>
      <c r="AH488" s="239">
        <f t="shared" si="37"/>
        <v>0</v>
      </c>
      <c r="AI488" s="239">
        <f t="shared" si="38"/>
        <v>0</v>
      </c>
      <c r="AJ488" s="239">
        <f t="shared" si="39"/>
        <v>0</v>
      </c>
    </row>
    <row r="489" spans="1:36" x14ac:dyDescent="0.2">
      <c r="A489" s="240" t="str">
        <f t="shared" si="35"/>
        <v>2SNCPPZK209100</v>
      </c>
      <c r="B489" s="239" t="s">
        <v>19</v>
      </c>
      <c r="C489" s="239" t="s">
        <v>20</v>
      </c>
      <c r="D489" s="239" t="s">
        <v>2565</v>
      </c>
      <c r="E489" s="239" t="s">
        <v>2529</v>
      </c>
      <c r="F489" s="239" t="s">
        <v>2576</v>
      </c>
      <c r="G489" s="239">
        <v>100</v>
      </c>
      <c r="H489" s="239" t="s">
        <v>928</v>
      </c>
      <c r="I489" s="239" t="s">
        <v>2484</v>
      </c>
      <c r="J489" s="239" t="s">
        <v>928</v>
      </c>
      <c r="K489" s="239" t="s">
        <v>2398</v>
      </c>
      <c r="L489" s="239">
        <v>381.72</v>
      </c>
      <c r="M489" s="239">
        <v>0</v>
      </c>
      <c r="N489" s="239">
        <v>0</v>
      </c>
      <c r="O489" s="239">
        <v>0</v>
      </c>
      <c r="P489" s="239">
        <v>0</v>
      </c>
      <c r="Q489" s="239">
        <v>0</v>
      </c>
      <c r="R489" s="239">
        <v>0</v>
      </c>
      <c r="S489" s="239">
        <v>0</v>
      </c>
      <c r="T489" s="239">
        <v>0</v>
      </c>
      <c r="U489" s="239">
        <v>0</v>
      </c>
      <c r="V489" s="239">
        <v>0</v>
      </c>
      <c r="W489" s="239">
        <v>0</v>
      </c>
      <c r="X489" s="239">
        <v>0</v>
      </c>
      <c r="Y489" s="239">
        <v>301.89</v>
      </c>
      <c r="Z489" s="239">
        <v>0</v>
      </c>
      <c r="AA489" s="239">
        <v>0</v>
      </c>
      <c r="AB489" s="239">
        <v>79.83</v>
      </c>
      <c r="AC489" s="239">
        <v>0</v>
      </c>
      <c r="AD489" s="239">
        <v>0</v>
      </c>
      <c r="AE489" s="239" t="s">
        <v>720</v>
      </c>
      <c r="AF489" s="239" t="s">
        <v>721</v>
      </c>
      <c r="AG489" s="239">
        <f t="shared" si="36"/>
        <v>0</v>
      </c>
      <c r="AH489" s="239">
        <f t="shared" si="37"/>
        <v>0</v>
      </c>
      <c r="AI489" s="239">
        <f t="shared" si="38"/>
        <v>0</v>
      </c>
      <c r="AJ489" s="239">
        <f t="shared" si="39"/>
        <v>0</v>
      </c>
    </row>
    <row r="490" spans="1:36" x14ac:dyDescent="0.2">
      <c r="A490" s="240" t="str">
        <f t="shared" si="35"/>
        <v>SNCPPZK209100</v>
      </c>
      <c r="B490" s="239" t="s">
        <v>19</v>
      </c>
      <c r="C490" s="239" t="s">
        <v>20</v>
      </c>
      <c r="D490" s="239" t="s">
        <v>2565</v>
      </c>
      <c r="E490" s="239" t="s">
        <v>2529</v>
      </c>
      <c r="F490" s="239" t="s">
        <v>2576</v>
      </c>
      <c r="G490" s="239">
        <v>100</v>
      </c>
      <c r="H490" s="239" t="s">
        <v>928</v>
      </c>
      <c r="I490" s="239" t="s">
        <v>928</v>
      </c>
      <c r="J490" s="239" t="s">
        <v>928</v>
      </c>
      <c r="K490" s="239" t="s">
        <v>2398</v>
      </c>
      <c r="L490" s="239">
        <v>381.72</v>
      </c>
      <c r="M490" s="239">
        <v>0</v>
      </c>
      <c r="N490" s="239">
        <v>0</v>
      </c>
      <c r="O490" s="239">
        <v>0</v>
      </c>
      <c r="P490" s="239">
        <v>0</v>
      </c>
      <c r="Q490" s="239">
        <v>0</v>
      </c>
      <c r="R490" s="239">
        <v>0</v>
      </c>
      <c r="S490" s="239">
        <v>0</v>
      </c>
      <c r="T490" s="239">
        <v>0</v>
      </c>
      <c r="U490" s="239">
        <v>0</v>
      </c>
      <c r="V490" s="239">
        <v>0</v>
      </c>
      <c r="W490" s="239">
        <v>0</v>
      </c>
      <c r="X490" s="239">
        <v>0</v>
      </c>
      <c r="Y490" s="239">
        <v>301.89</v>
      </c>
      <c r="Z490" s="239">
        <v>0</v>
      </c>
      <c r="AA490" s="239">
        <v>0</v>
      </c>
      <c r="AB490" s="239">
        <v>79.83</v>
      </c>
      <c r="AC490" s="239">
        <v>0</v>
      </c>
      <c r="AD490" s="239">
        <v>0</v>
      </c>
      <c r="AE490" s="239" t="s">
        <v>720</v>
      </c>
      <c r="AF490" s="239" t="s">
        <v>721</v>
      </c>
      <c r="AG490" s="239">
        <f t="shared" si="36"/>
        <v>0</v>
      </c>
      <c r="AH490" s="239">
        <f t="shared" si="37"/>
        <v>0</v>
      </c>
      <c r="AI490" s="239">
        <f t="shared" si="38"/>
        <v>0</v>
      </c>
      <c r="AJ490" s="239">
        <f t="shared" si="39"/>
        <v>0</v>
      </c>
    </row>
    <row r="491" spans="1:36" x14ac:dyDescent="0.2">
      <c r="A491" s="240" t="str">
        <f t="shared" si="35"/>
        <v>2SNCPPZK40150</v>
      </c>
      <c r="B491" s="239" t="s">
        <v>19</v>
      </c>
      <c r="C491" s="239" t="s">
        <v>20</v>
      </c>
      <c r="D491" s="239" t="s">
        <v>2565</v>
      </c>
      <c r="E491" s="239" t="s">
        <v>2529</v>
      </c>
      <c r="F491" s="239" t="s">
        <v>2577</v>
      </c>
      <c r="G491" s="239">
        <v>50</v>
      </c>
      <c r="H491" s="239" t="s">
        <v>928</v>
      </c>
      <c r="I491" s="239" t="s">
        <v>2484</v>
      </c>
      <c r="J491" s="239" t="s">
        <v>928</v>
      </c>
      <c r="K491" s="239" t="s">
        <v>2398</v>
      </c>
      <c r="L491" s="239">
        <v>322.20999999999998</v>
      </c>
      <c r="M491" s="239">
        <v>0</v>
      </c>
      <c r="N491" s="239">
        <v>0</v>
      </c>
      <c r="O491" s="239">
        <v>0</v>
      </c>
      <c r="P491" s="239">
        <v>0</v>
      </c>
      <c r="Q491" s="239">
        <v>0</v>
      </c>
      <c r="R491" s="239">
        <v>0</v>
      </c>
      <c r="S491" s="239">
        <v>0</v>
      </c>
      <c r="T491" s="239">
        <v>0</v>
      </c>
      <c r="U491" s="239">
        <v>0</v>
      </c>
      <c r="V491" s="239">
        <v>0</v>
      </c>
      <c r="W491" s="239">
        <v>0</v>
      </c>
      <c r="X491" s="239">
        <v>0</v>
      </c>
      <c r="Y491" s="239">
        <v>275.48</v>
      </c>
      <c r="Z491" s="239">
        <v>0</v>
      </c>
      <c r="AA491" s="239">
        <v>0</v>
      </c>
      <c r="AB491" s="239">
        <v>46.73</v>
      </c>
      <c r="AC491" s="239">
        <v>0</v>
      </c>
      <c r="AD491" s="239">
        <v>0</v>
      </c>
      <c r="AE491" s="239" t="s">
        <v>720</v>
      </c>
      <c r="AF491" s="239" t="s">
        <v>721</v>
      </c>
      <c r="AG491" s="239">
        <f t="shared" si="36"/>
        <v>0</v>
      </c>
      <c r="AH491" s="239">
        <f t="shared" si="37"/>
        <v>0</v>
      </c>
      <c r="AI491" s="239">
        <f t="shared" si="38"/>
        <v>0</v>
      </c>
      <c r="AJ491" s="239">
        <f t="shared" si="39"/>
        <v>0</v>
      </c>
    </row>
    <row r="492" spans="1:36" x14ac:dyDescent="0.2">
      <c r="A492" s="240" t="str">
        <f t="shared" si="35"/>
        <v>SNCPPZK40150</v>
      </c>
      <c r="B492" s="239" t="s">
        <v>19</v>
      </c>
      <c r="C492" s="239" t="s">
        <v>20</v>
      </c>
      <c r="D492" s="239" t="s">
        <v>2565</v>
      </c>
      <c r="E492" s="239" t="s">
        <v>2529</v>
      </c>
      <c r="F492" s="239" t="s">
        <v>2577</v>
      </c>
      <c r="G492" s="239">
        <v>50</v>
      </c>
      <c r="H492" s="239" t="s">
        <v>928</v>
      </c>
      <c r="I492" s="239" t="s">
        <v>928</v>
      </c>
      <c r="J492" s="239" t="s">
        <v>928</v>
      </c>
      <c r="K492" s="239" t="s">
        <v>2398</v>
      </c>
      <c r="L492" s="239">
        <v>322.20999999999998</v>
      </c>
      <c r="M492" s="239">
        <v>0</v>
      </c>
      <c r="N492" s="239">
        <v>0</v>
      </c>
      <c r="O492" s="239">
        <v>0</v>
      </c>
      <c r="P492" s="239">
        <v>0</v>
      </c>
      <c r="Q492" s="239">
        <v>0</v>
      </c>
      <c r="R492" s="239">
        <v>0</v>
      </c>
      <c r="S492" s="239">
        <v>0</v>
      </c>
      <c r="T492" s="239">
        <v>0</v>
      </c>
      <c r="U492" s="239">
        <v>0</v>
      </c>
      <c r="V492" s="239">
        <v>0</v>
      </c>
      <c r="W492" s="239">
        <v>0</v>
      </c>
      <c r="X492" s="239">
        <v>0</v>
      </c>
      <c r="Y492" s="239">
        <v>275.48</v>
      </c>
      <c r="Z492" s="239">
        <v>0</v>
      </c>
      <c r="AA492" s="239">
        <v>0</v>
      </c>
      <c r="AB492" s="239">
        <v>46.73</v>
      </c>
      <c r="AC492" s="239">
        <v>0</v>
      </c>
      <c r="AD492" s="239">
        <v>0</v>
      </c>
      <c r="AE492" s="239" t="s">
        <v>720</v>
      </c>
      <c r="AF492" s="239" t="s">
        <v>721</v>
      </c>
      <c r="AG492" s="239">
        <f t="shared" si="36"/>
        <v>0</v>
      </c>
      <c r="AH492" s="239">
        <f t="shared" si="37"/>
        <v>0</v>
      </c>
      <c r="AI492" s="239">
        <f t="shared" si="38"/>
        <v>0</v>
      </c>
      <c r="AJ492" s="239">
        <f t="shared" si="39"/>
        <v>0</v>
      </c>
    </row>
    <row r="493" spans="1:36" x14ac:dyDescent="0.2">
      <c r="A493" s="240" t="str">
        <f t="shared" si="35"/>
        <v>2SNCPPZK40160</v>
      </c>
      <c r="B493" s="239" t="s">
        <v>19</v>
      </c>
      <c r="C493" s="239" t="s">
        <v>20</v>
      </c>
      <c r="D493" s="239" t="s">
        <v>2565</v>
      </c>
      <c r="E493" s="239" t="s">
        <v>2529</v>
      </c>
      <c r="F493" s="239" t="s">
        <v>2577</v>
      </c>
      <c r="G493" s="239">
        <v>60</v>
      </c>
      <c r="H493" s="239" t="s">
        <v>928</v>
      </c>
      <c r="I493" s="239" t="s">
        <v>2484</v>
      </c>
      <c r="J493" s="239" t="s">
        <v>928</v>
      </c>
      <c r="K493" s="239" t="s">
        <v>2398</v>
      </c>
      <c r="L493" s="239">
        <v>319.08</v>
      </c>
      <c r="M493" s="239">
        <v>0</v>
      </c>
      <c r="N493" s="239">
        <v>0</v>
      </c>
      <c r="O493" s="239">
        <v>0</v>
      </c>
      <c r="P493" s="239">
        <v>0</v>
      </c>
      <c r="Q493" s="239">
        <v>0</v>
      </c>
      <c r="R493" s="239">
        <v>0</v>
      </c>
      <c r="S493" s="239">
        <v>0</v>
      </c>
      <c r="T493" s="239">
        <v>0</v>
      </c>
      <c r="U493" s="239">
        <v>0</v>
      </c>
      <c r="V493" s="239">
        <v>0</v>
      </c>
      <c r="W493" s="239">
        <v>0</v>
      </c>
      <c r="X493" s="239">
        <v>0</v>
      </c>
      <c r="Y493" s="239">
        <v>274.8</v>
      </c>
      <c r="Z493" s="239">
        <v>0</v>
      </c>
      <c r="AA493" s="239">
        <v>0</v>
      </c>
      <c r="AB493" s="239">
        <v>44.28</v>
      </c>
      <c r="AC493" s="239">
        <v>0</v>
      </c>
      <c r="AD493" s="239">
        <v>0</v>
      </c>
      <c r="AE493" s="239" t="s">
        <v>720</v>
      </c>
      <c r="AF493" s="239" t="s">
        <v>721</v>
      </c>
      <c r="AG493" s="239">
        <f t="shared" si="36"/>
        <v>0</v>
      </c>
      <c r="AH493" s="239">
        <f t="shared" si="37"/>
        <v>0</v>
      </c>
      <c r="AI493" s="239">
        <f t="shared" si="38"/>
        <v>0</v>
      </c>
      <c r="AJ493" s="239">
        <f t="shared" si="39"/>
        <v>0</v>
      </c>
    </row>
    <row r="494" spans="1:36" x14ac:dyDescent="0.2">
      <c r="A494" s="240" t="str">
        <f t="shared" si="35"/>
        <v>SNCPPZK40160</v>
      </c>
      <c r="B494" s="239" t="s">
        <v>19</v>
      </c>
      <c r="C494" s="239" t="s">
        <v>20</v>
      </c>
      <c r="D494" s="239" t="s">
        <v>2565</v>
      </c>
      <c r="E494" s="239" t="s">
        <v>2529</v>
      </c>
      <c r="F494" s="239" t="s">
        <v>2577</v>
      </c>
      <c r="G494" s="239">
        <v>60</v>
      </c>
      <c r="H494" s="239" t="s">
        <v>928</v>
      </c>
      <c r="I494" s="239" t="s">
        <v>928</v>
      </c>
      <c r="J494" s="239" t="s">
        <v>928</v>
      </c>
      <c r="K494" s="239" t="s">
        <v>2398</v>
      </c>
      <c r="L494" s="239">
        <v>319.08</v>
      </c>
      <c r="M494" s="239">
        <v>0</v>
      </c>
      <c r="N494" s="239">
        <v>0</v>
      </c>
      <c r="O494" s="239">
        <v>0</v>
      </c>
      <c r="P494" s="239">
        <v>0</v>
      </c>
      <c r="Q494" s="239">
        <v>0</v>
      </c>
      <c r="R494" s="239">
        <v>0</v>
      </c>
      <c r="S494" s="239">
        <v>0</v>
      </c>
      <c r="T494" s="239">
        <v>0</v>
      </c>
      <c r="U494" s="239">
        <v>0</v>
      </c>
      <c r="V494" s="239">
        <v>0</v>
      </c>
      <c r="W494" s="239">
        <v>0</v>
      </c>
      <c r="X494" s="239">
        <v>0</v>
      </c>
      <c r="Y494" s="239">
        <v>274.8</v>
      </c>
      <c r="Z494" s="239">
        <v>0</v>
      </c>
      <c r="AA494" s="239">
        <v>0</v>
      </c>
      <c r="AB494" s="239">
        <v>44.28</v>
      </c>
      <c r="AC494" s="239">
        <v>0</v>
      </c>
      <c r="AD494" s="239">
        <v>0</v>
      </c>
      <c r="AE494" s="239" t="s">
        <v>720</v>
      </c>
      <c r="AF494" s="239" t="s">
        <v>721</v>
      </c>
      <c r="AG494" s="239">
        <f t="shared" si="36"/>
        <v>0</v>
      </c>
      <c r="AH494" s="239">
        <f t="shared" si="37"/>
        <v>0</v>
      </c>
      <c r="AI494" s="239">
        <f t="shared" si="38"/>
        <v>0</v>
      </c>
      <c r="AJ494" s="239">
        <f t="shared" si="39"/>
        <v>0</v>
      </c>
    </row>
    <row r="495" spans="1:36" x14ac:dyDescent="0.2">
      <c r="A495" s="240" t="str">
        <f t="shared" si="35"/>
        <v>2SNCPPZK40170</v>
      </c>
      <c r="B495" s="239" t="s">
        <v>19</v>
      </c>
      <c r="C495" s="239" t="s">
        <v>20</v>
      </c>
      <c r="D495" s="239" t="s">
        <v>2565</v>
      </c>
      <c r="E495" s="239" t="s">
        <v>2529</v>
      </c>
      <c r="F495" s="239" t="s">
        <v>2577</v>
      </c>
      <c r="G495" s="239">
        <v>70</v>
      </c>
      <c r="H495" s="239" t="s">
        <v>928</v>
      </c>
      <c r="I495" s="239" t="s">
        <v>2484</v>
      </c>
      <c r="J495" s="239" t="s">
        <v>928</v>
      </c>
      <c r="K495" s="239" t="s">
        <v>2398</v>
      </c>
      <c r="L495" s="239">
        <v>327.63</v>
      </c>
      <c r="M495" s="239">
        <v>0</v>
      </c>
      <c r="N495" s="239">
        <v>0</v>
      </c>
      <c r="O495" s="239">
        <v>0</v>
      </c>
      <c r="P495" s="239">
        <v>0</v>
      </c>
      <c r="Q495" s="239">
        <v>0</v>
      </c>
      <c r="R495" s="239">
        <v>0</v>
      </c>
      <c r="S495" s="239">
        <v>0</v>
      </c>
      <c r="T495" s="239">
        <v>0</v>
      </c>
      <c r="U495" s="239">
        <v>0</v>
      </c>
      <c r="V495" s="239">
        <v>0</v>
      </c>
      <c r="W495" s="239">
        <v>0</v>
      </c>
      <c r="X495" s="239">
        <v>0</v>
      </c>
      <c r="Y495" s="239">
        <v>276.81</v>
      </c>
      <c r="Z495" s="239">
        <v>0</v>
      </c>
      <c r="AA495" s="239">
        <v>0</v>
      </c>
      <c r="AB495" s="239">
        <v>50.82</v>
      </c>
      <c r="AC495" s="239">
        <v>0</v>
      </c>
      <c r="AD495" s="239">
        <v>0</v>
      </c>
      <c r="AE495" s="239" t="s">
        <v>720</v>
      </c>
      <c r="AF495" s="239" t="s">
        <v>721</v>
      </c>
      <c r="AG495" s="239">
        <f t="shared" si="36"/>
        <v>0</v>
      </c>
      <c r="AH495" s="239">
        <f t="shared" si="37"/>
        <v>0</v>
      </c>
      <c r="AI495" s="239">
        <f t="shared" si="38"/>
        <v>0</v>
      </c>
      <c r="AJ495" s="239">
        <f t="shared" si="39"/>
        <v>0</v>
      </c>
    </row>
    <row r="496" spans="1:36" x14ac:dyDescent="0.2">
      <c r="A496" s="240" t="str">
        <f t="shared" si="35"/>
        <v>SNCPPZK40170</v>
      </c>
      <c r="B496" s="239" t="s">
        <v>19</v>
      </c>
      <c r="C496" s="239" t="s">
        <v>20</v>
      </c>
      <c r="D496" s="239" t="s">
        <v>2565</v>
      </c>
      <c r="E496" s="239" t="s">
        <v>2529</v>
      </c>
      <c r="F496" s="239" t="s">
        <v>2577</v>
      </c>
      <c r="G496" s="239">
        <v>70</v>
      </c>
      <c r="H496" s="239" t="s">
        <v>928</v>
      </c>
      <c r="I496" s="239" t="s">
        <v>928</v>
      </c>
      <c r="J496" s="239" t="s">
        <v>928</v>
      </c>
      <c r="K496" s="239" t="s">
        <v>2398</v>
      </c>
      <c r="L496" s="239">
        <v>327.63</v>
      </c>
      <c r="M496" s="239">
        <v>0</v>
      </c>
      <c r="N496" s="239">
        <v>0</v>
      </c>
      <c r="O496" s="239">
        <v>0</v>
      </c>
      <c r="P496" s="239">
        <v>0</v>
      </c>
      <c r="Q496" s="239">
        <v>0</v>
      </c>
      <c r="R496" s="239">
        <v>0</v>
      </c>
      <c r="S496" s="239">
        <v>0</v>
      </c>
      <c r="T496" s="239">
        <v>0</v>
      </c>
      <c r="U496" s="239">
        <v>0</v>
      </c>
      <c r="V496" s="239">
        <v>0</v>
      </c>
      <c r="W496" s="239">
        <v>0</v>
      </c>
      <c r="X496" s="239">
        <v>0</v>
      </c>
      <c r="Y496" s="239">
        <v>276.81</v>
      </c>
      <c r="Z496" s="239">
        <v>0</v>
      </c>
      <c r="AA496" s="239">
        <v>0</v>
      </c>
      <c r="AB496" s="239">
        <v>50.82</v>
      </c>
      <c r="AC496" s="239">
        <v>0</v>
      </c>
      <c r="AD496" s="239">
        <v>0</v>
      </c>
      <c r="AE496" s="239" t="s">
        <v>720</v>
      </c>
      <c r="AF496" s="239" t="s">
        <v>721</v>
      </c>
      <c r="AG496" s="239">
        <f t="shared" si="36"/>
        <v>0</v>
      </c>
      <c r="AH496" s="239">
        <f t="shared" si="37"/>
        <v>0</v>
      </c>
      <c r="AI496" s="239">
        <f t="shared" si="38"/>
        <v>0</v>
      </c>
      <c r="AJ496" s="239">
        <f t="shared" si="39"/>
        <v>0</v>
      </c>
    </row>
    <row r="497" spans="1:36" x14ac:dyDescent="0.2">
      <c r="A497" s="240" t="str">
        <f t="shared" si="35"/>
        <v>2SNCPPZK40180</v>
      </c>
      <c r="B497" s="239" t="s">
        <v>19</v>
      </c>
      <c r="C497" s="239" t="s">
        <v>20</v>
      </c>
      <c r="D497" s="239" t="s">
        <v>2565</v>
      </c>
      <c r="E497" s="239" t="s">
        <v>2529</v>
      </c>
      <c r="F497" s="239" t="s">
        <v>2577</v>
      </c>
      <c r="G497" s="239">
        <v>80</v>
      </c>
      <c r="H497" s="239" t="s">
        <v>928</v>
      </c>
      <c r="I497" s="239" t="s">
        <v>2484</v>
      </c>
      <c r="J497" s="239" t="s">
        <v>928</v>
      </c>
      <c r="K497" s="239" t="s">
        <v>2398</v>
      </c>
      <c r="L497" s="239">
        <v>346.4</v>
      </c>
      <c r="M497" s="239">
        <v>0</v>
      </c>
      <c r="N497" s="239">
        <v>0</v>
      </c>
      <c r="O497" s="239">
        <v>0</v>
      </c>
      <c r="P497" s="239">
        <v>0</v>
      </c>
      <c r="Q497" s="239">
        <v>0</v>
      </c>
      <c r="R497" s="239">
        <v>0</v>
      </c>
      <c r="S497" s="239">
        <v>0</v>
      </c>
      <c r="T497" s="239">
        <v>0</v>
      </c>
      <c r="U497" s="239">
        <v>0</v>
      </c>
      <c r="V497" s="239">
        <v>0</v>
      </c>
      <c r="W497" s="239">
        <v>0</v>
      </c>
      <c r="X497" s="239">
        <v>0</v>
      </c>
      <c r="Y497" s="239">
        <v>290.27</v>
      </c>
      <c r="Z497" s="239">
        <v>0</v>
      </c>
      <c r="AA497" s="239">
        <v>0</v>
      </c>
      <c r="AB497" s="239">
        <v>56.13</v>
      </c>
      <c r="AC497" s="239">
        <v>0</v>
      </c>
      <c r="AD497" s="239">
        <v>0</v>
      </c>
      <c r="AE497" s="239" t="s">
        <v>720</v>
      </c>
      <c r="AF497" s="239" t="s">
        <v>721</v>
      </c>
      <c r="AG497" s="239">
        <f t="shared" si="36"/>
        <v>0</v>
      </c>
      <c r="AH497" s="239">
        <f t="shared" si="37"/>
        <v>0</v>
      </c>
      <c r="AI497" s="239">
        <f t="shared" si="38"/>
        <v>0</v>
      </c>
      <c r="AJ497" s="239">
        <f t="shared" si="39"/>
        <v>0</v>
      </c>
    </row>
    <row r="498" spans="1:36" x14ac:dyDescent="0.2">
      <c r="A498" s="240" t="str">
        <f t="shared" si="35"/>
        <v>SNCPPZK40180</v>
      </c>
      <c r="B498" s="239" t="s">
        <v>19</v>
      </c>
      <c r="C498" s="239" t="s">
        <v>20</v>
      </c>
      <c r="D498" s="239" t="s">
        <v>2565</v>
      </c>
      <c r="E498" s="239" t="s">
        <v>2529</v>
      </c>
      <c r="F498" s="239" t="s">
        <v>2577</v>
      </c>
      <c r="G498" s="239">
        <v>80</v>
      </c>
      <c r="H498" s="239" t="s">
        <v>928</v>
      </c>
      <c r="I498" s="239" t="s">
        <v>928</v>
      </c>
      <c r="J498" s="239" t="s">
        <v>928</v>
      </c>
      <c r="K498" s="239" t="s">
        <v>2398</v>
      </c>
      <c r="L498" s="239">
        <v>346.4</v>
      </c>
      <c r="M498" s="239">
        <v>0</v>
      </c>
      <c r="N498" s="239">
        <v>0</v>
      </c>
      <c r="O498" s="239">
        <v>0</v>
      </c>
      <c r="P498" s="239">
        <v>0</v>
      </c>
      <c r="Q498" s="239">
        <v>0</v>
      </c>
      <c r="R498" s="239">
        <v>0</v>
      </c>
      <c r="S498" s="239">
        <v>0</v>
      </c>
      <c r="T498" s="239">
        <v>0</v>
      </c>
      <c r="U498" s="239">
        <v>0</v>
      </c>
      <c r="V498" s="239">
        <v>0</v>
      </c>
      <c r="W498" s="239">
        <v>0</v>
      </c>
      <c r="X498" s="239">
        <v>0</v>
      </c>
      <c r="Y498" s="239">
        <v>290.27</v>
      </c>
      <c r="Z498" s="239">
        <v>0</v>
      </c>
      <c r="AA498" s="239">
        <v>0</v>
      </c>
      <c r="AB498" s="239">
        <v>56.13</v>
      </c>
      <c r="AC498" s="239">
        <v>0</v>
      </c>
      <c r="AD498" s="239">
        <v>0</v>
      </c>
      <c r="AE498" s="239" t="s">
        <v>720</v>
      </c>
      <c r="AF498" s="239" t="s">
        <v>721</v>
      </c>
      <c r="AG498" s="239">
        <f t="shared" si="36"/>
        <v>0</v>
      </c>
      <c r="AH498" s="239">
        <f t="shared" si="37"/>
        <v>0</v>
      </c>
      <c r="AI498" s="239">
        <f t="shared" si="38"/>
        <v>0</v>
      </c>
      <c r="AJ498" s="239">
        <f t="shared" si="39"/>
        <v>0</v>
      </c>
    </row>
    <row r="499" spans="1:36" x14ac:dyDescent="0.2">
      <c r="A499" s="240" t="str">
        <f t="shared" si="35"/>
        <v>2SNCPPZK401100</v>
      </c>
      <c r="B499" s="239" t="s">
        <v>19</v>
      </c>
      <c r="C499" s="239" t="s">
        <v>20</v>
      </c>
      <c r="D499" s="239" t="s">
        <v>2565</v>
      </c>
      <c r="E499" s="239" t="s">
        <v>2529</v>
      </c>
      <c r="F499" s="239" t="s">
        <v>2577</v>
      </c>
      <c r="G499" s="239">
        <v>100</v>
      </c>
      <c r="H499" s="239" t="s">
        <v>928</v>
      </c>
      <c r="I499" s="239" t="s">
        <v>2484</v>
      </c>
      <c r="J499" s="239" t="s">
        <v>928</v>
      </c>
      <c r="K499" s="239" t="s">
        <v>2398</v>
      </c>
      <c r="L499" s="239">
        <v>345.21</v>
      </c>
      <c r="M499" s="239">
        <v>0</v>
      </c>
      <c r="N499" s="239">
        <v>0</v>
      </c>
      <c r="O499" s="239">
        <v>0</v>
      </c>
      <c r="P499" s="239">
        <v>0</v>
      </c>
      <c r="Q499" s="239">
        <v>0</v>
      </c>
      <c r="R499" s="239">
        <v>0</v>
      </c>
      <c r="S499" s="239">
        <v>0</v>
      </c>
      <c r="T499" s="239">
        <v>0</v>
      </c>
      <c r="U499" s="239">
        <v>0</v>
      </c>
      <c r="V499" s="239">
        <v>0</v>
      </c>
      <c r="W499" s="239">
        <v>0</v>
      </c>
      <c r="X499" s="239">
        <v>0</v>
      </c>
      <c r="Y499" s="239">
        <v>287.64</v>
      </c>
      <c r="Z499" s="239">
        <v>0</v>
      </c>
      <c r="AA499" s="239">
        <v>0</v>
      </c>
      <c r="AB499" s="239">
        <v>57.57</v>
      </c>
      <c r="AC499" s="239">
        <v>0</v>
      </c>
      <c r="AD499" s="239">
        <v>0</v>
      </c>
      <c r="AE499" s="239" t="s">
        <v>720</v>
      </c>
      <c r="AF499" s="239" t="s">
        <v>721</v>
      </c>
      <c r="AG499" s="239">
        <f t="shared" si="36"/>
        <v>0</v>
      </c>
      <c r="AH499" s="239">
        <f t="shared" si="37"/>
        <v>0</v>
      </c>
      <c r="AI499" s="239">
        <f t="shared" si="38"/>
        <v>0</v>
      </c>
      <c r="AJ499" s="239">
        <f t="shared" si="39"/>
        <v>0</v>
      </c>
    </row>
    <row r="500" spans="1:36" x14ac:dyDescent="0.2">
      <c r="A500" s="240" t="str">
        <f t="shared" si="35"/>
        <v>SNCPPZK401100</v>
      </c>
      <c r="B500" s="239" t="s">
        <v>19</v>
      </c>
      <c r="C500" s="239" t="s">
        <v>20</v>
      </c>
      <c r="D500" s="239" t="s">
        <v>2565</v>
      </c>
      <c r="E500" s="239" t="s">
        <v>2529</v>
      </c>
      <c r="F500" s="239" t="s">
        <v>2577</v>
      </c>
      <c r="G500" s="239">
        <v>100</v>
      </c>
      <c r="H500" s="239" t="s">
        <v>928</v>
      </c>
      <c r="I500" s="239" t="s">
        <v>928</v>
      </c>
      <c r="J500" s="239" t="s">
        <v>928</v>
      </c>
      <c r="K500" s="239" t="s">
        <v>2398</v>
      </c>
      <c r="L500" s="239">
        <v>345.21</v>
      </c>
      <c r="M500" s="239">
        <v>0</v>
      </c>
      <c r="N500" s="239">
        <v>0</v>
      </c>
      <c r="O500" s="239">
        <v>0</v>
      </c>
      <c r="P500" s="239">
        <v>0</v>
      </c>
      <c r="Q500" s="239">
        <v>0</v>
      </c>
      <c r="R500" s="239">
        <v>0</v>
      </c>
      <c r="S500" s="239">
        <v>0</v>
      </c>
      <c r="T500" s="239">
        <v>0</v>
      </c>
      <c r="U500" s="239">
        <v>0</v>
      </c>
      <c r="V500" s="239">
        <v>0</v>
      </c>
      <c r="W500" s="239">
        <v>0</v>
      </c>
      <c r="X500" s="239">
        <v>0</v>
      </c>
      <c r="Y500" s="239">
        <v>287.64</v>
      </c>
      <c r="Z500" s="239">
        <v>0</v>
      </c>
      <c r="AA500" s="239">
        <v>0</v>
      </c>
      <c r="AB500" s="239">
        <v>57.57</v>
      </c>
      <c r="AC500" s="239">
        <v>0</v>
      </c>
      <c r="AD500" s="239">
        <v>0</v>
      </c>
      <c r="AE500" s="239" t="s">
        <v>720</v>
      </c>
      <c r="AF500" s="239" t="s">
        <v>721</v>
      </c>
      <c r="AG500" s="239">
        <f t="shared" si="36"/>
        <v>0</v>
      </c>
      <c r="AH500" s="239">
        <f t="shared" si="37"/>
        <v>0</v>
      </c>
      <c r="AI500" s="239">
        <f t="shared" si="38"/>
        <v>0</v>
      </c>
      <c r="AJ500" s="239">
        <f t="shared" si="39"/>
        <v>0</v>
      </c>
    </row>
    <row r="501" spans="1:36" x14ac:dyDescent="0.2">
      <c r="A501" s="240" t="str">
        <f t="shared" si="35"/>
        <v>2SNCPPZK50050</v>
      </c>
      <c r="B501" s="239" t="s">
        <v>19</v>
      </c>
      <c r="C501" s="239" t="s">
        <v>20</v>
      </c>
      <c r="D501" s="239" t="s">
        <v>2565</v>
      </c>
      <c r="E501" s="239" t="s">
        <v>2529</v>
      </c>
      <c r="F501" s="239" t="s">
        <v>2578</v>
      </c>
      <c r="G501" s="239">
        <v>50</v>
      </c>
      <c r="H501" s="239" t="s">
        <v>928</v>
      </c>
      <c r="I501" s="239" t="s">
        <v>2484</v>
      </c>
      <c r="J501" s="239" t="s">
        <v>928</v>
      </c>
      <c r="K501" s="239" t="s">
        <v>2398</v>
      </c>
      <c r="L501" s="239">
        <v>381.44</v>
      </c>
      <c r="M501" s="239">
        <v>0</v>
      </c>
      <c r="N501" s="239">
        <v>0</v>
      </c>
      <c r="O501" s="239">
        <v>0</v>
      </c>
      <c r="P501" s="239">
        <v>0</v>
      </c>
      <c r="Q501" s="239">
        <v>0</v>
      </c>
      <c r="R501" s="239">
        <v>0</v>
      </c>
      <c r="S501" s="239">
        <v>0</v>
      </c>
      <c r="T501" s="239">
        <v>0</v>
      </c>
      <c r="U501" s="239">
        <v>0</v>
      </c>
      <c r="V501" s="239">
        <v>0</v>
      </c>
      <c r="W501" s="239">
        <v>0</v>
      </c>
      <c r="X501" s="239">
        <v>0</v>
      </c>
      <c r="Y501" s="239">
        <v>304.89</v>
      </c>
      <c r="Z501" s="239">
        <v>0</v>
      </c>
      <c r="AA501" s="239">
        <v>0</v>
      </c>
      <c r="AB501" s="239">
        <v>76.55</v>
      </c>
      <c r="AC501" s="239">
        <v>0</v>
      </c>
      <c r="AD501" s="239">
        <v>0</v>
      </c>
      <c r="AE501" s="239" t="s">
        <v>720</v>
      </c>
      <c r="AF501" s="239" t="s">
        <v>721</v>
      </c>
      <c r="AG501" s="239">
        <f t="shared" si="36"/>
        <v>0</v>
      </c>
      <c r="AH501" s="239">
        <f t="shared" si="37"/>
        <v>0</v>
      </c>
      <c r="AI501" s="239">
        <f t="shared" si="38"/>
        <v>0</v>
      </c>
      <c r="AJ501" s="239">
        <f t="shared" si="39"/>
        <v>0</v>
      </c>
    </row>
    <row r="502" spans="1:36" x14ac:dyDescent="0.2">
      <c r="A502" s="240" t="str">
        <f t="shared" si="35"/>
        <v>SNCPPZK50050</v>
      </c>
      <c r="B502" s="239" t="s">
        <v>19</v>
      </c>
      <c r="C502" s="239" t="s">
        <v>20</v>
      </c>
      <c r="D502" s="239" t="s">
        <v>2565</v>
      </c>
      <c r="E502" s="239" t="s">
        <v>2529</v>
      </c>
      <c r="F502" s="239" t="s">
        <v>2578</v>
      </c>
      <c r="G502" s="239">
        <v>50</v>
      </c>
      <c r="H502" s="239" t="s">
        <v>928</v>
      </c>
      <c r="I502" s="239" t="s">
        <v>928</v>
      </c>
      <c r="J502" s="239" t="s">
        <v>928</v>
      </c>
      <c r="K502" s="239" t="s">
        <v>2398</v>
      </c>
      <c r="L502" s="239">
        <v>381.44</v>
      </c>
      <c r="M502" s="239">
        <v>0</v>
      </c>
      <c r="N502" s="239">
        <v>0</v>
      </c>
      <c r="O502" s="239">
        <v>0</v>
      </c>
      <c r="P502" s="239">
        <v>0</v>
      </c>
      <c r="Q502" s="239">
        <v>0</v>
      </c>
      <c r="R502" s="239">
        <v>0</v>
      </c>
      <c r="S502" s="239">
        <v>0</v>
      </c>
      <c r="T502" s="239">
        <v>0</v>
      </c>
      <c r="U502" s="239">
        <v>0</v>
      </c>
      <c r="V502" s="239">
        <v>0</v>
      </c>
      <c r="W502" s="239">
        <v>0</v>
      </c>
      <c r="X502" s="239">
        <v>0</v>
      </c>
      <c r="Y502" s="239">
        <v>304.89</v>
      </c>
      <c r="Z502" s="239">
        <v>0</v>
      </c>
      <c r="AA502" s="239">
        <v>0</v>
      </c>
      <c r="AB502" s="239">
        <v>76.55</v>
      </c>
      <c r="AC502" s="239">
        <v>0</v>
      </c>
      <c r="AD502" s="239">
        <v>0</v>
      </c>
      <c r="AE502" s="239" t="s">
        <v>720</v>
      </c>
      <c r="AF502" s="239" t="s">
        <v>721</v>
      </c>
      <c r="AG502" s="239">
        <f t="shared" si="36"/>
        <v>0</v>
      </c>
      <c r="AH502" s="239">
        <f t="shared" si="37"/>
        <v>0</v>
      </c>
      <c r="AI502" s="239">
        <f t="shared" si="38"/>
        <v>0</v>
      </c>
      <c r="AJ502" s="239">
        <f t="shared" si="39"/>
        <v>0</v>
      </c>
    </row>
    <row r="503" spans="1:36" x14ac:dyDescent="0.2">
      <c r="A503" s="240" t="str">
        <f t="shared" si="35"/>
        <v>2SNCPPZK50060</v>
      </c>
      <c r="B503" s="239" t="s">
        <v>19</v>
      </c>
      <c r="C503" s="239" t="s">
        <v>20</v>
      </c>
      <c r="D503" s="239" t="s">
        <v>2565</v>
      </c>
      <c r="E503" s="239" t="s">
        <v>2529</v>
      </c>
      <c r="F503" s="239" t="s">
        <v>2578</v>
      </c>
      <c r="G503" s="239">
        <v>60</v>
      </c>
      <c r="H503" s="239" t="s">
        <v>928</v>
      </c>
      <c r="I503" s="239" t="s">
        <v>2484</v>
      </c>
      <c r="J503" s="239" t="s">
        <v>928</v>
      </c>
      <c r="K503" s="239" t="s">
        <v>2398</v>
      </c>
      <c r="L503" s="239">
        <v>335.33</v>
      </c>
      <c r="M503" s="239">
        <v>0</v>
      </c>
      <c r="N503" s="239">
        <v>0</v>
      </c>
      <c r="O503" s="239">
        <v>0</v>
      </c>
      <c r="P503" s="239">
        <v>0</v>
      </c>
      <c r="Q503" s="239">
        <v>0</v>
      </c>
      <c r="R503" s="239">
        <v>0</v>
      </c>
      <c r="S503" s="239">
        <v>0</v>
      </c>
      <c r="T503" s="239">
        <v>0</v>
      </c>
      <c r="U503" s="239">
        <v>0</v>
      </c>
      <c r="V503" s="239">
        <v>0</v>
      </c>
      <c r="W503" s="239">
        <v>0</v>
      </c>
      <c r="X503" s="239">
        <v>0</v>
      </c>
      <c r="Y503" s="239">
        <v>279.77</v>
      </c>
      <c r="Z503" s="239">
        <v>0</v>
      </c>
      <c r="AA503" s="239">
        <v>0</v>
      </c>
      <c r="AB503" s="239">
        <v>55.56</v>
      </c>
      <c r="AC503" s="239">
        <v>0</v>
      </c>
      <c r="AD503" s="239">
        <v>0</v>
      </c>
      <c r="AE503" s="239" t="s">
        <v>720</v>
      </c>
      <c r="AF503" s="239" t="s">
        <v>721</v>
      </c>
      <c r="AG503" s="239">
        <f t="shared" si="36"/>
        <v>0</v>
      </c>
      <c r="AH503" s="239">
        <f t="shared" si="37"/>
        <v>0</v>
      </c>
      <c r="AI503" s="239">
        <f t="shared" si="38"/>
        <v>0</v>
      </c>
      <c r="AJ503" s="239">
        <f t="shared" si="39"/>
        <v>0</v>
      </c>
    </row>
    <row r="504" spans="1:36" x14ac:dyDescent="0.2">
      <c r="A504" s="240" t="str">
        <f t="shared" si="35"/>
        <v>SNCPPZK50060</v>
      </c>
      <c r="B504" s="239" t="s">
        <v>19</v>
      </c>
      <c r="C504" s="239" t="s">
        <v>20</v>
      </c>
      <c r="D504" s="239" t="s">
        <v>2565</v>
      </c>
      <c r="E504" s="239" t="s">
        <v>2529</v>
      </c>
      <c r="F504" s="239" t="s">
        <v>2578</v>
      </c>
      <c r="G504" s="239">
        <v>60</v>
      </c>
      <c r="H504" s="239" t="s">
        <v>928</v>
      </c>
      <c r="I504" s="239" t="s">
        <v>928</v>
      </c>
      <c r="J504" s="239" t="s">
        <v>928</v>
      </c>
      <c r="K504" s="239" t="s">
        <v>2398</v>
      </c>
      <c r="L504" s="239">
        <v>335.33</v>
      </c>
      <c r="M504" s="239">
        <v>0</v>
      </c>
      <c r="N504" s="239">
        <v>0</v>
      </c>
      <c r="O504" s="239">
        <v>0</v>
      </c>
      <c r="P504" s="239">
        <v>0</v>
      </c>
      <c r="Q504" s="239">
        <v>0</v>
      </c>
      <c r="R504" s="239">
        <v>0</v>
      </c>
      <c r="S504" s="239">
        <v>0</v>
      </c>
      <c r="T504" s="239">
        <v>0</v>
      </c>
      <c r="U504" s="239">
        <v>0</v>
      </c>
      <c r="V504" s="239">
        <v>0</v>
      </c>
      <c r="W504" s="239">
        <v>0</v>
      </c>
      <c r="X504" s="239">
        <v>0</v>
      </c>
      <c r="Y504" s="239">
        <v>279.77</v>
      </c>
      <c r="Z504" s="239">
        <v>0</v>
      </c>
      <c r="AA504" s="239">
        <v>0</v>
      </c>
      <c r="AB504" s="239">
        <v>55.56</v>
      </c>
      <c r="AC504" s="239">
        <v>0</v>
      </c>
      <c r="AD504" s="239">
        <v>0</v>
      </c>
      <c r="AE504" s="239" t="s">
        <v>720</v>
      </c>
      <c r="AF504" s="239" t="s">
        <v>721</v>
      </c>
      <c r="AG504" s="239">
        <f t="shared" si="36"/>
        <v>0</v>
      </c>
      <c r="AH504" s="239">
        <f t="shared" si="37"/>
        <v>0</v>
      </c>
      <c r="AI504" s="239">
        <f t="shared" si="38"/>
        <v>0</v>
      </c>
      <c r="AJ504" s="239">
        <f t="shared" si="39"/>
        <v>0</v>
      </c>
    </row>
    <row r="505" spans="1:36" x14ac:dyDescent="0.2">
      <c r="A505" s="240" t="str">
        <f t="shared" si="35"/>
        <v>2SNCPPZK50070</v>
      </c>
      <c r="B505" s="239" t="s">
        <v>19</v>
      </c>
      <c r="C505" s="239" t="s">
        <v>20</v>
      </c>
      <c r="D505" s="239" t="s">
        <v>2565</v>
      </c>
      <c r="E505" s="239" t="s">
        <v>2529</v>
      </c>
      <c r="F505" s="239" t="s">
        <v>2578</v>
      </c>
      <c r="G505" s="239">
        <v>70</v>
      </c>
      <c r="H505" s="239" t="s">
        <v>928</v>
      </c>
      <c r="I505" s="239" t="s">
        <v>2484</v>
      </c>
      <c r="J505" s="239" t="s">
        <v>928</v>
      </c>
      <c r="K505" s="239" t="s">
        <v>2398</v>
      </c>
      <c r="L505" s="239">
        <v>327.38</v>
      </c>
      <c r="M505" s="239">
        <v>0</v>
      </c>
      <c r="N505" s="239">
        <v>0</v>
      </c>
      <c r="O505" s="239">
        <v>0</v>
      </c>
      <c r="P505" s="239">
        <v>0</v>
      </c>
      <c r="Q505" s="239">
        <v>0</v>
      </c>
      <c r="R505" s="239">
        <v>0</v>
      </c>
      <c r="S505" s="239">
        <v>0</v>
      </c>
      <c r="T505" s="239">
        <v>0</v>
      </c>
      <c r="U505" s="239">
        <v>0</v>
      </c>
      <c r="V505" s="239">
        <v>0</v>
      </c>
      <c r="W505" s="239">
        <v>0</v>
      </c>
      <c r="X505" s="239">
        <v>0</v>
      </c>
      <c r="Y505" s="239">
        <v>270.31</v>
      </c>
      <c r="Z505" s="239">
        <v>0</v>
      </c>
      <c r="AA505" s="239">
        <v>0</v>
      </c>
      <c r="AB505" s="239">
        <v>57.07</v>
      </c>
      <c r="AC505" s="239">
        <v>0</v>
      </c>
      <c r="AD505" s="239">
        <v>0</v>
      </c>
      <c r="AE505" s="239" t="s">
        <v>720</v>
      </c>
      <c r="AF505" s="239" t="s">
        <v>721</v>
      </c>
      <c r="AG505" s="239">
        <f t="shared" si="36"/>
        <v>0</v>
      </c>
      <c r="AH505" s="239">
        <f t="shared" si="37"/>
        <v>0</v>
      </c>
      <c r="AI505" s="239">
        <f t="shared" si="38"/>
        <v>0</v>
      </c>
      <c r="AJ505" s="239">
        <f t="shared" si="39"/>
        <v>0</v>
      </c>
    </row>
    <row r="506" spans="1:36" x14ac:dyDescent="0.2">
      <c r="A506" s="240" t="str">
        <f t="shared" si="35"/>
        <v>SNCPPZK50070</v>
      </c>
      <c r="B506" s="239" t="s">
        <v>19</v>
      </c>
      <c r="C506" s="239" t="s">
        <v>20</v>
      </c>
      <c r="D506" s="239" t="s">
        <v>2565</v>
      </c>
      <c r="E506" s="239" t="s">
        <v>2529</v>
      </c>
      <c r="F506" s="239" t="s">
        <v>2578</v>
      </c>
      <c r="G506" s="239">
        <v>70</v>
      </c>
      <c r="H506" s="239" t="s">
        <v>928</v>
      </c>
      <c r="I506" s="239" t="s">
        <v>928</v>
      </c>
      <c r="J506" s="239" t="s">
        <v>928</v>
      </c>
      <c r="K506" s="239" t="s">
        <v>2398</v>
      </c>
      <c r="L506" s="239">
        <v>327.38</v>
      </c>
      <c r="M506" s="239">
        <v>0</v>
      </c>
      <c r="N506" s="239">
        <v>0</v>
      </c>
      <c r="O506" s="239">
        <v>0</v>
      </c>
      <c r="P506" s="239">
        <v>0</v>
      </c>
      <c r="Q506" s="239">
        <v>0</v>
      </c>
      <c r="R506" s="239">
        <v>0</v>
      </c>
      <c r="S506" s="239">
        <v>0</v>
      </c>
      <c r="T506" s="239">
        <v>0</v>
      </c>
      <c r="U506" s="239">
        <v>0</v>
      </c>
      <c r="V506" s="239">
        <v>0</v>
      </c>
      <c r="W506" s="239">
        <v>0</v>
      </c>
      <c r="X506" s="239">
        <v>0</v>
      </c>
      <c r="Y506" s="239">
        <v>270.31</v>
      </c>
      <c r="Z506" s="239">
        <v>0</v>
      </c>
      <c r="AA506" s="239">
        <v>0</v>
      </c>
      <c r="AB506" s="239">
        <v>57.07</v>
      </c>
      <c r="AC506" s="239">
        <v>0</v>
      </c>
      <c r="AD506" s="239">
        <v>0</v>
      </c>
      <c r="AE506" s="239" t="s">
        <v>720</v>
      </c>
      <c r="AF506" s="239" t="s">
        <v>721</v>
      </c>
      <c r="AG506" s="239">
        <f t="shared" si="36"/>
        <v>0</v>
      </c>
      <c r="AH506" s="239">
        <f t="shared" si="37"/>
        <v>0</v>
      </c>
      <c r="AI506" s="239">
        <f t="shared" si="38"/>
        <v>0</v>
      </c>
      <c r="AJ506" s="239">
        <f t="shared" si="39"/>
        <v>0</v>
      </c>
    </row>
    <row r="507" spans="1:36" x14ac:dyDescent="0.2">
      <c r="A507" s="240" t="str">
        <f t="shared" si="35"/>
        <v>2SNCPPZK50080</v>
      </c>
      <c r="B507" s="239" t="s">
        <v>19</v>
      </c>
      <c r="C507" s="239" t="s">
        <v>20</v>
      </c>
      <c r="D507" s="239" t="s">
        <v>2565</v>
      </c>
      <c r="E507" s="239" t="s">
        <v>2529</v>
      </c>
      <c r="F507" s="239" t="s">
        <v>2578</v>
      </c>
      <c r="G507" s="239">
        <v>80</v>
      </c>
      <c r="H507" s="239" t="s">
        <v>928</v>
      </c>
      <c r="I507" s="239" t="s">
        <v>2484</v>
      </c>
      <c r="J507" s="239" t="s">
        <v>928</v>
      </c>
      <c r="K507" s="239" t="s">
        <v>2398</v>
      </c>
      <c r="L507" s="239">
        <v>342.16</v>
      </c>
      <c r="M507" s="239">
        <v>0</v>
      </c>
      <c r="N507" s="239">
        <v>0</v>
      </c>
      <c r="O507" s="239">
        <v>0</v>
      </c>
      <c r="P507" s="239">
        <v>0</v>
      </c>
      <c r="Q507" s="239">
        <v>0</v>
      </c>
      <c r="R507" s="239">
        <v>0</v>
      </c>
      <c r="S507" s="239">
        <v>0</v>
      </c>
      <c r="T507" s="239">
        <v>0</v>
      </c>
      <c r="U507" s="239">
        <v>0</v>
      </c>
      <c r="V507" s="239">
        <v>0</v>
      </c>
      <c r="W507" s="239">
        <v>0</v>
      </c>
      <c r="X507" s="239">
        <v>0</v>
      </c>
      <c r="Y507" s="239">
        <v>277.39</v>
      </c>
      <c r="Z507" s="239">
        <v>0</v>
      </c>
      <c r="AA507" s="239">
        <v>0</v>
      </c>
      <c r="AB507" s="239">
        <v>64.77</v>
      </c>
      <c r="AC507" s="239">
        <v>0</v>
      </c>
      <c r="AD507" s="239">
        <v>0</v>
      </c>
      <c r="AE507" s="239" t="s">
        <v>720</v>
      </c>
      <c r="AF507" s="239" t="s">
        <v>721</v>
      </c>
      <c r="AG507" s="239">
        <f t="shared" si="36"/>
        <v>0</v>
      </c>
      <c r="AH507" s="239">
        <f t="shared" si="37"/>
        <v>0</v>
      </c>
      <c r="AI507" s="239">
        <f t="shared" si="38"/>
        <v>0</v>
      </c>
      <c r="AJ507" s="239">
        <f t="shared" si="39"/>
        <v>0</v>
      </c>
    </row>
    <row r="508" spans="1:36" x14ac:dyDescent="0.2">
      <c r="A508" s="240" t="str">
        <f t="shared" si="35"/>
        <v>SNCPPZK50080</v>
      </c>
      <c r="B508" s="239" t="s">
        <v>19</v>
      </c>
      <c r="C508" s="239" t="s">
        <v>20</v>
      </c>
      <c r="D508" s="239" t="s">
        <v>2565</v>
      </c>
      <c r="E508" s="239" t="s">
        <v>2529</v>
      </c>
      <c r="F508" s="239" t="s">
        <v>2578</v>
      </c>
      <c r="G508" s="239">
        <v>80</v>
      </c>
      <c r="H508" s="239" t="s">
        <v>928</v>
      </c>
      <c r="I508" s="239" t="s">
        <v>928</v>
      </c>
      <c r="J508" s="239" t="s">
        <v>928</v>
      </c>
      <c r="K508" s="239" t="s">
        <v>2398</v>
      </c>
      <c r="L508" s="239">
        <v>342.16</v>
      </c>
      <c r="M508" s="239">
        <v>0</v>
      </c>
      <c r="N508" s="239">
        <v>0</v>
      </c>
      <c r="O508" s="239">
        <v>0</v>
      </c>
      <c r="P508" s="239">
        <v>0</v>
      </c>
      <c r="Q508" s="239">
        <v>0</v>
      </c>
      <c r="R508" s="239">
        <v>0</v>
      </c>
      <c r="S508" s="239">
        <v>0</v>
      </c>
      <c r="T508" s="239">
        <v>0</v>
      </c>
      <c r="U508" s="239">
        <v>0</v>
      </c>
      <c r="V508" s="239">
        <v>0</v>
      </c>
      <c r="W508" s="239">
        <v>0</v>
      </c>
      <c r="X508" s="239">
        <v>0</v>
      </c>
      <c r="Y508" s="239">
        <v>277.39</v>
      </c>
      <c r="Z508" s="239">
        <v>0</v>
      </c>
      <c r="AA508" s="239">
        <v>0</v>
      </c>
      <c r="AB508" s="239">
        <v>64.77</v>
      </c>
      <c r="AC508" s="239">
        <v>0</v>
      </c>
      <c r="AD508" s="239">
        <v>0</v>
      </c>
      <c r="AE508" s="239" t="s">
        <v>720</v>
      </c>
      <c r="AF508" s="239" t="s">
        <v>721</v>
      </c>
      <c r="AG508" s="239">
        <f t="shared" si="36"/>
        <v>0</v>
      </c>
      <c r="AH508" s="239">
        <f t="shared" si="37"/>
        <v>0</v>
      </c>
      <c r="AI508" s="239">
        <f t="shared" si="38"/>
        <v>0</v>
      </c>
      <c r="AJ508" s="239">
        <f t="shared" si="39"/>
        <v>0</v>
      </c>
    </row>
    <row r="509" spans="1:36" x14ac:dyDescent="0.2">
      <c r="A509" s="240" t="str">
        <f t="shared" si="35"/>
        <v>2SNCPPZK500100</v>
      </c>
      <c r="B509" s="239" t="s">
        <v>19</v>
      </c>
      <c r="C509" s="239" t="s">
        <v>20</v>
      </c>
      <c r="D509" s="239" t="s">
        <v>2565</v>
      </c>
      <c r="E509" s="239" t="s">
        <v>2529</v>
      </c>
      <c r="F509" s="239" t="s">
        <v>2578</v>
      </c>
      <c r="G509" s="239">
        <v>100</v>
      </c>
      <c r="H509" s="239" t="s">
        <v>928</v>
      </c>
      <c r="I509" s="239" t="s">
        <v>2484</v>
      </c>
      <c r="J509" s="239" t="s">
        <v>928</v>
      </c>
      <c r="K509" s="239" t="s">
        <v>2398</v>
      </c>
      <c r="L509" s="239">
        <v>328.95</v>
      </c>
      <c r="M509" s="239">
        <v>0</v>
      </c>
      <c r="N509" s="239">
        <v>0</v>
      </c>
      <c r="O509" s="239">
        <v>0</v>
      </c>
      <c r="P509" s="239">
        <v>0</v>
      </c>
      <c r="Q509" s="239">
        <v>0</v>
      </c>
      <c r="R509" s="239">
        <v>0</v>
      </c>
      <c r="S509" s="239">
        <v>0</v>
      </c>
      <c r="T509" s="239">
        <v>0</v>
      </c>
      <c r="U509" s="239">
        <v>0</v>
      </c>
      <c r="V509" s="239">
        <v>0</v>
      </c>
      <c r="W509" s="239">
        <v>0</v>
      </c>
      <c r="X509" s="239">
        <v>0</v>
      </c>
      <c r="Y509" s="239">
        <v>271.39999999999998</v>
      </c>
      <c r="Z509" s="239">
        <v>0</v>
      </c>
      <c r="AA509" s="239">
        <v>0</v>
      </c>
      <c r="AB509" s="239">
        <v>57.55</v>
      </c>
      <c r="AC509" s="239">
        <v>0</v>
      </c>
      <c r="AD509" s="239">
        <v>0</v>
      </c>
      <c r="AE509" s="239" t="s">
        <v>720</v>
      </c>
      <c r="AF509" s="239" t="s">
        <v>721</v>
      </c>
      <c r="AG509" s="239">
        <f t="shared" si="36"/>
        <v>0</v>
      </c>
      <c r="AH509" s="239">
        <f t="shared" si="37"/>
        <v>0</v>
      </c>
      <c r="AI509" s="239">
        <f t="shared" si="38"/>
        <v>0</v>
      </c>
      <c r="AJ509" s="239">
        <f t="shared" si="39"/>
        <v>0</v>
      </c>
    </row>
    <row r="510" spans="1:36" x14ac:dyDescent="0.2">
      <c r="A510" s="240" t="str">
        <f t="shared" si="35"/>
        <v>SNCPPZK500100</v>
      </c>
      <c r="B510" s="239" t="s">
        <v>19</v>
      </c>
      <c r="C510" s="239" t="s">
        <v>20</v>
      </c>
      <c r="D510" s="239" t="s">
        <v>2565</v>
      </c>
      <c r="E510" s="239" t="s">
        <v>2529</v>
      </c>
      <c r="F510" s="239" t="s">
        <v>2578</v>
      </c>
      <c r="G510" s="239">
        <v>100</v>
      </c>
      <c r="H510" s="239" t="s">
        <v>928</v>
      </c>
      <c r="I510" s="239" t="s">
        <v>928</v>
      </c>
      <c r="J510" s="239" t="s">
        <v>928</v>
      </c>
      <c r="K510" s="239" t="s">
        <v>2398</v>
      </c>
      <c r="L510" s="239">
        <v>328.95</v>
      </c>
      <c r="M510" s="239">
        <v>0</v>
      </c>
      <c r="N510" s="239">
        <v>0</v>
      </c>
      <c r="O510" s="239">
        <v>0</v>
      </c>
      <c r="P510" s="239">
        <v>0</v>
      </c>
      <c r="Q510" s="239">
        <v>0</v>
      </c>
      <c r="R510" s="239">
        <v>0</v>
      </c>
      <c r="S510" s="239">
        <v>0</v>
      </c>
      <c r="T510" s="239">
        <v>0</v>
      </c>
      <c r="U510" s="239">
        <v>0</v>
      </c>
      <c r="V510" s="239">
        <v>0</v>
      </c>
      <c r="W510" s="239">
        <v>0</v>
      </c>
      <c r="X510" s="239">
        <v>0</v>
      </c>
      <c r="Y510" s="239">
        <v>271.39999999999998</v>
      </c>
      <c r="Z510" s="239">
        <v>0</v>
      </c>
      <c r="AA510" s="239">
        <v>0</v>
      </c>
      <c r="AB510" s="239">
        <v>57.55</v>
      </c>
      <c r="AC510" s="239">
        <v>0</v>
      </c>
      <c r="AD510" s="239">
        <v>0</v>
      </c>
      <c r="AE510" s="239" t="s">
        <v>720</v>
      </c>
      <c r="AF510" s="239" t="s">
        <v>721</v>
      </c>
      <c r="AG510" s="239">
        <f t="shared" si="36"/>
        <v>0</v>
      </c>
      <c r="AH510" s="239">
        <f t="shared" si="37"/>
        <v>0</v>
      </c>
      <c r="AI510" s="239">
        <f t="shared" si="38"/>
        <v>0</v>
      </c>
      <c r="AJ510" s="239">
        <f t="shared" si="39"/>
        <v>0</v>
      </c>
    </row>
    <row r="511" spans="1:36" x14ac:dyDescent="0.2">
      <c r="A511" s="240" t="str">
        <f t="shared" si="35"/>
        <v>2SNCPPZK500R60</v>
      </c>
      <c r="B511" s="239" t="s">
        <v>19</v>
      </c>
      <c r="C511" s="239" t="s">
        <v>20</v>
      </c>
      <c r="D511" s="239" t="s">
        <v>2565</v>
      </c>
      <c r="E511" s="239" t="s">
        <v>2529</v>
      </c>
      <c r="F511" s="239" t="s">
        <v>2579</v>
      </c>
      <c r="G511" s="239">
        <v>60</v>
      </c>
      <c r="H511" s="239" t="s">
        <v>928</v>
      </c>
      <c r="I511" s="239" t="s">
        <v>2484</v>
      </c>
      <c r="J511" s="239" t="s">
        <v>928</v>
      </c>
      <c r="K511" s="239" t="s">
        <v>2398</v>
      </c>
      <c r="L511" s="239">
        <v>524.12</v>
      </c>
      <c r="M511" s="239">
        <v>0</v>
      </c>
      <c r="N511" s="239">
        <v>0</v>
      </c>
      <c r="O511" s="239">
        <v>0</v>
      </c>
      <c r="P511" s="239">
        <v>0</v>
      </c>
      <c r="Q511" s="239">
        <v>0</v>
      </c>
      <c r="R511" s="239">
        <v>0</v>
      </c>
      <c r="S511" s="239">
        <v>0</v>
      </c>
      <c r="T511" s="239">
        <v>0</v>
      </c>
      <c r="U511" s="239">
        <v>0</v>
      </c>
      <c r="V511" s="239">
        <v>0</v>
      </c>
      <c r="W511" s="239">
        <v>0</v>
      </c>
      <c r="X511" s="239">
        <v>0</v>
      </c>
      <c r="Y511" s="239">
        <v>436.9</v>
      </c>
      <c r="Z511" s="239">
        <v>0</v>
      </c>
      <c r="AA511" s="239">
        <v>0</v>
      </c>
      <c r="AB511" s="239">
        <v>87.22</v>
      </c>
      <c r="AC511" s="239">
        <v>0</v>
      </c>
      <c r="AD511" s="239">
        <v>0</v>
      </c>
      <c r="AE511" s="239" t="s">
        <v>720</v>
      </c>
      <c r="AF511" s="239" t="s">
        <v>721</v>
      </c>
      <c r="AG511" s="239">
        <f t="shared" si="36"/>
        <v>0</v>
      </c>
      <c r="AH511" s="239">
        <f t="shared" si="37"/>
        <v>0</v>
      </c>
      <c r="AI511" s="239">
        <f t="shared" si="38"/>
        <v>0</v>
      </c>
      <c r="AJ511" s="239">
        <f t="shared" si="39"/>
        <v>0</v>
      </c>
    </row>
    <row r="512" spans="1:36" x14ac:dyDescent="0.2">
      <c r="A512" s="240" t="str">
        <f t="shared" si="35"/>
        <v>SNCPPZK500R60</v>
      </c>
      <c r="B512" s="239" t="s">
        <v>19</v>
      </c>
      <c r="C512" s="239" t="s">
        <v>20</v>
      </c>
      <c r="D512" s="239" t="s">
        <v>2565</v>
      </c>
      <c r="E512" s="239" t="s">
        <v>2529</v>
      </c>
      <c r="F512" s="239" t="s">
        <v>2579</v>
      </c>
      <c r="G512" s="239">
        <v>60</v>
      </c>
      <c r="H512" s="239" t="s">
        <v>928</v>
      </c>
      <c r="I512" s="239" t="s">
        <v>928</v>
      </c>
      <c r="J512" s="239" t="s">
        <v>928</v>
      </c>
      <c r="K512" s="239" t="s">
        <v>2398</v>
      </c>
      <c r="L512" s="239">
        <v>524.12</v>
      </c>
      <c r="M512" s="239">
        <v>0</v>
      </c>
      <c r="N512" s="239">
        <v>0</v>
      </c>
      <c r="O512" s="239">
        <v>0</v>
      </c>
      <c r="P512" s="239">
        <v>0</v>
      </c>
      <c r="Q512" s="239">
        <v>0</v>
      </c>
      <c r="R512" s="239">
        <v>0</v>
      </c>
      <c r="S512" s="239">
        <v>0</v>
      </c>
      <c r="T512" s="239">
        <v>0</v>
      </c>
      <c r="U512" s="239">
        <v>0</v>
      </c>
      <c r="V512" s="239">
        <v>0</v>
      </c>
      <c r="W512" s="239">
        <v>0</v>
      </c>
      <c r="X512" s="239">
        <v>0</v>
      </c>
      <c r="Y512" s="239">
        <v>436.9</v>
      </c>
      <c r="Z512" s="239">
        <v>0</v>
      </c>
      <c r="AA512" s="239">
        <v>0</v>
      </c>
      <c r="AB512" s="239">
        <v>87.22</v>
      </c>
      <c r="AC512" s="239">
        <v>0</v>
      </c>
      <c r="AD512" s="239">
        <v>0</v>
      </c>
      <c r="AE512" s="239" t="s">
        <v>720</v>
      </c>
      <c r="AF512" s="239" t="s">
        <v>721</v>
      </c>
      <c r="AG512" s="239">
        <f t="shared" si="36"/>
        <v>0</v>
      </c>
      <c r="AH512" s="239">
        <f t="shared" si="37"/>
        <v>0</v>
      </c>
      <c r="AI512" s="239">
        <f t="shared" si="38"/>
        <v>0</v>
      </c>
      <c r="AJ512" s="239">
        <f t="shared" si="39"/>
        <v>0</v>
      </c>
    </row>
    <row r="513" spans="1:36" x14ac:dyDescent="0.2">
      <c r="A513" s="240" t="str">
        <f t="shared" si="35"/>
        <v>2SNCPPZK59H960</v>
      </c>
      <c r="B513" s="239" t="s">
        <v>19</v>
      </c>
      <c r="C513" s="239" t="s">
        <v>20</v>
      </c>
      <c r="D513" s="239" t="s">
        <v>2565</v>
      </c>
      <c r="E513" s="239" t="s">
        <v>2529</v>
      </c>
      <c r="F513" s="239" t="s">
        <v>2580</v>
      </c>
      <c r="G513" s="239">
        <v>60</v>
      </c>
      <c r="H513" s="239" t="s">
        <v>928</v>
      </c>
      <c r="I513" s="239" t="s">
        <v>2484</v>
      </c>
      <c r="J513" s="239" t="s">
        <v>928</v>
      </c>
      <c r="K513" s="239" t="s">
        <v>2398</v>
      </c>
      <c r="L513" s="239">
        <v>414.93</v>
      </c>
      <c r="M513" s="239">
        <v>0</v>
      </c>
      <c r="N513" s="239">
        <v>0</v>
      </c>
      <c r="O513" s="239">
        <v>0</v>
      </c>
      <c r="P513" s="239">
        <v>0</v>
      </c>
      <c r="Q513" s="239">
        <v>0</v>
      </c>
      <c r="R513" s="239">
        <v>0</v>
      </c>
      <c r="S513" s="239">
        <v>0</v>
      </c>
      <c r="T513" s="239">
        <v>0</v>
      </c>
      <c r="U513" s="239">
        <v>0</v>
      </c>
      <c r="V513" s="239">
        <v>0</v>
      </c>
      <c r="W513" s="239">
        <v>0</v>
      </c>
      <c r="X513" s="239">
        <v>0</v>
      </c>
      <c r="Y513" s="239">
        <v>320.45999999999998</v>
      </c>
      <c r="Z513" s="239">
        <v>0</v>
      </c>
      <c r="AA513" s="239">
        <v>0</v>
      </c>
      <c r="AB513" s="239">
        <v>94.47</v>
      </c>
      <c r="AC513" s="239">
        <v>0</v>
      </c>
      <c r="AD513" s="239">
        <v>0</v>
      </c>
      <c r="AE513" s="239" t="s">
        <v>720</v>
      </c>
      <c r="AF513" s="239" t="s">
        <v>721</v>
      </c>
      <c r="AG513" s="239">
        <f t="shared" si="36"/>
        <v>0</v>
      </c>
      <c r="AH513" s="239">
        <f t="shared" si="37"/>
        <v>0</v>
      </c>
      <c r="AI513" s="239">
        <f t="shared" si="38"/>
        <v>0</v>
      </c>
      <c r="AJ513" s="239">
        <f t="shared" si="39"/>
        <v>0</v>
      </c>
    </row>
    <row r="514" spans="1:36" x14ac:dyDescent="0.2">
      <c r="A514" s="240" t="str">
        <f t="shared" si="35"/>
        <v>SNCPPZK59H960</v>
      </c>
      <c r="B514" s="239" t="s">
        <v>19</v>
      </c>
      <c r="C514" s="239" t="s">
        <v>20</v>
      </c>
      <c r="D514" s="239" t="s">
        <v>2565</v>
      </c>
      <c r="E514" s="239" t="s">
        <v>2529</v>
      </c>
      <c r="F514" s="239" t="s">
        <v>2580</v>
      </c>
      <c r="G514" s="239">
        <v>60</v>
      </c>
      <c r="H514" s="239" t="s">
        <v>928</v>
      </c>
      <c r="I514" s="239" t="s">
        <v>928</v>
      </c>
      <c r="J514" s="239" t="s">
        <v>928</v>
      </c>
      <c r="K514" s="239" t="s">
        <v>2398</v>
      </c>
      <c r="L514" s="239">
        <v>414.93</v>
      </c>
      <c r="M514" s="239">
        <v>0</v>
      </c>
      <c r="N514" s="239">
        <v>0</v>
      </c>
      <c r="O514" s="239">
        <v>0</v>
      </c>
      <c r="P514" s="239">
        <v>0</v>
      </c>
      <c r="Q514" s="239">
        <v>0</v>
      </c>
      <c r="R514" s="239">
        <v>0</v>
      </c>
      <c r="S514" s="239">
        <v>0</v>
      </c>
      <c r="T514" s="239">
        <v>0</v>
      </c>
      <c r="U514" s="239">
        <v>0</v>
      </c>
      <c r="V514" s="239">
        <v>0</v>
      </c>
      <c r="W514" s="239">
        <v>0</v>
      </c>
      <c r="X514" s="239">
        <v>0</v>
      </c>
      <c r="Y514" s="239">
        <v>320.45999999999998</v>
      </c>
      <c r="Z514" s="239">
        <v>0</v>
      </c>
      <c r="AA514" s="239">
        <v>0</v>
      </c>
      <c r="AB514" s="239">
        <v>94.47</v>
      </c>
      <c r="AC514" s="239">
        <v>0</v>
      </c>
      <c r="AD514" s="239">
        <v>0</v>
      </c>
      <c r="AE514" s="239" t="s">
        <v>720</v>
      </c>
      <c r="AF514" s="239" t="s">
        <v>721</v>
      </c>
      <c r="AG514" s="239">
        <f t="shared" si="36"/>
        <v>0</v>
      </c>
      <c r="AH514" s="239">
        <f t="shared" si="37"/>
        <v>0</v>
      </c>
      <c r="AI514" s="239">
        <f t="shared" si="38"/>
        <v>0</v>
      </c>
      <c r="AJ514" s="239">
        <f t="shared" si="39"/>
        <v>0</v>
      </c>
    </row>
    <row r="515" spans="1:36" x14ac:dyDescent="0.2">
      <c r="A515" s="240" t="str">
        <f t="shared" si="35"/>
        <v>2SNCPPZK93FM70</v>
      </c>
      <c r="B515" s="239" t="s">
        <v>19</v>
      </c>
      <c r="C515" s="239" t="s">
        <v>20</v>
      </c>
      <c r="D515" s="239" t="s">
        <v>2565</v>
      </c>
      <c r="E515" s="239" t="s">
        <v>2529</v>
      </c>
      <c r="F515" s="239" t="s">
        <v>2581</v>
      </c>
      <c r="G515" s="239">
        <v>70</v>
      </c>
      <c r="H515" s="239" t="s">
        <v>928</v>
      </c>
      <c r="I515" s="239" t="s">
        <v>2484</v>
      </c>
      <c r="J515" s="239" t="s">
        <v>928</v>
      </c>
      <c r="K515" s="239" t="s">
        <v>2398</v>
      </c>
      <c r="L515" s="239">
        <v>346.92</v>
      </c>
      <c r="M515" s="239">
        <v>0</v>
      </c>
      <c r="N515" s="239">
        <v>0</v>
      </c>
      <c r="O515" s="239">
        <v>0</v>
      </c>
      <c r="P515" s="239">
        <v>0</v>
      </c>
      <c r="Q515" s="239">
        <v>0</v>
      </c>
      <c r="R515" s="239">
        <v>0</v>
      </c>
      <c r="S515" s="239">
        <v>0</v>
      </c>
      <c r="T515" s="239">
        <v>0</v>
      </c>
      <c r="U515" s="239">
        <v>0</v>
      </c>
      <c r="V515" s="239">
        <v>0</v>
      </c>
      <c r="W515" s="239">
        <v>0</v>
      </c>
      <c r="X515" s="239">
        <v>0</v>
      </c>
      <c r="Y515" s="239">
        <v>285.67</v>
      </c>
      <c r="Z515" s="239">
        <v>0</v>
      </c>
      <c r="AA515" s="239">
        <v>0</v>
      </c>
      <c r="AB515" s="239">
        <v>61.24</v>
      </c>
      <c r="AC515" s="239">
        <v>0</v>
      </c>
      <c r="AD515" s="239">
        <v>0</v>
      </c>
      <c r="AE515" s="239" t="s">
        <v>720</v>
      </c>
      <c r="AF515" s="239" t="s">
        <v>721</v>
      </c>
      <c r="AG515" s="239">
        <f t="shared" si="36"/>
        <v>0</v>
      </c>
      <c r="AH515" s="239">
        <f t="shared" si="37"/>
        <v>0</v>
      </c>
      <c r="AI515" s="239">
        <f t="shared" si="38"/>
        <v>0</v>
      </c>
      <c r="AJ515" s="239">
        <f t="shared" si="39"/>
        <v>0</v>
      </c>
    </row>
    <row r="516" spans="1:36" x14ac:dyDescent="0.2">
      <c r="A516" s="240" t="str">
        <f t="shared" ref="A516:A579" si="40">TRIM(I516&amp;B516&amp;C516&amp;D516&amp;F516&amp;G516)</f>
        <v>SNCPPZK93FM70</v>
      </c>
      <c r="B516" s="239" t="s">
        <v>19</v>
      </c>
      <c r="C516" s="239" t="s">
        <v>20</v>
      </c>
      <c r="D516" s="239" t="s">
        <v>2565</v>
      </c>
      <c r="E516" s="239" t="s">
        <v>2529</v>
      </c>
      <c r="F516" s="239" t="s">
        <v>2581</v>
      </c>
      <c r="G516" s="239">
        <v>70</v>
      </c>
      <c r="H516" s="239" t="s">
        <v>928</v>
      </c>
      <c r="I516" s="239" t="s">
        <v>928</v>
      </c>
      <c r="J516" s="239" t="s">
        <v>928</v>
      </c>
      <c r="K516" s="239" t="s">
        <v>2398</v>
      </c>
      <c r="L516" s="239">
        <v>346.92</v>
      </c>
      <c r="M516" s="239">
        <v>0</v>
      </c>
      <c r="N516" s="239">
        <v>0</v>
      </c>
      <c r="O516" s="239">
        <v>0</v>
      </c>
      <c r="P516" s="239">
        <v>0</v>
      </c>
      <c r="Q516" s="239">
        <v>0</v>
      </c>
      <c r="R516" s="239">
        <v>0</v>
      </c>
      <c r="S516" s="239">
        <v>0</v>
      </c>
      <c r="T516" s="239">
        <v>0</v>
      </c>
      <c r="U516" s="239">
        <v>0</v>
      </c>
      <c r="V516" s="239">
        <v>0</v>
      </c>
      <c r="W516" s="239">
        <v>0</v>
      </c>
      <c r="X516" s="239">
        <v>0</v>
      </c>
      <c r="Y516" s="239">
        <v>285.67</v>
      </c>
      <c r="Z516" s="239">
        <v>0</v>
      </c>
      <c r="AA516" s="239">
        <v>0</v>
      </c>
      <c r="AB516" s="239">
        <v>61.24</v>
      </c>
      <c r="AC516" s="239">
        <v>0</v>
      </c>
      <c r="AD516" s="239">
        <v>0</v>
      </c>
      <c r="AE516" s="239" t="s">
        <v>720</v>
      </c>
      <c r="AF516" s="239" t="s">
        <v>721</v>
      </c>
      <c r="AG516" s="239">
        <f t="shared" si="36"/>
        <v>0</v>
      </c>
      <c r="AH516" s="239">
        <f t="shared" si="37"/>
        <v>0</v>
      </c>
      <c r="AI516" s="239">
        <f t="shared" si="38"/>
        <v>0</v>
      </c>
      <c r="AJ516" s="239">
        <f t="shared" si="39"/>
        <v>0</v>
      </c>
    </row>
    <row r="517" spans="1:36" x14ac:dyDescent="0.2">
      <c r="A517" s="240" t="str">
        <f t="shared" si="40"/>
        <v>2SNCPPZK99S50</v>
      </c>
      <c r="B517" s="239" t="s">
        <v>19</v>
      </c>
      <c r="C517" s="239" t="s">
        <v>20</v>
      </c>
      <c r="D517" s="239" t="s">
        <v>2565</v>
      </c>
      <c r="E517" s="239" t="s">
        <v>2529</v>
      </c>
      <c r="F517" s="239" t="s">
        <v>2582</v>
      </c>
      <c r="G517" s="239">
        <v>50</v>
      </c>
      <c r="H517" s="239" t="s">
        <v>928</v>
      </c>
      <c r="I517" s="239" t="s">
        <v>2484</v>
      </c>
      <c r="J517" s="239" t="s">
        <v>928</v>
      </c>
      <c r="K517" s="239" t="s">
        <v>2398</v>
      </c>
      <c r="L517" s="239">
        <v>315.87</v>
      </c>
      <c r="M517" s="239">
        <v>0</v>
      </c>
      <c r="N517" s="239">
        <v>0</v>
      </c>
      <c r="O517" s="239">
        <v>0</v>
      </c>
      <c r="P517" s="239">
        <v>0</v>
      </c>
      <c r="Q517" s="239">
        <v>0</v>
      </c>
      <c r="R517" s="239">
        <v>0</v>
      </c>
      <c r="S517" s="239">
        <v>0</v>
      </c>
      <c r="T517" s="239">
        <v>0</v>
      </c>
      <c r="U517" s="239">
        <v>0</v>
      </c>
      <c r="V517" s="239">
        <v>0</v>
      </c>
      <c r="W517" s="239">
        <v>0</v>
      </c>
      <c r="X517" s="239">
        <v>0</v>
      </c>
      <c r="Y517" s="239">
        <v>262.47000000000003</v>
      </c>
      <c r="Z517" s="239">
        <v>0</v>
      </c>
      <c r="AA517" s="239">
        <v>0</v>
      </c>
      <c r="AB517" s="239">
        <v>53.4</v>
      </c>
      <c r="AC517" s="239">
        <v>0</v>
      </c>
      <c r="AD517" s="239">
        <v>0</v>
      </c>
      <c r="AE517" s="239" t="s">
        <v>720</v>
      </c>
      <c r="AF517" s="239" t="s">
        <v>721</v>
      </c>
      <c r="AG517" s="239">
        <f t="shared" si="36"/>
        <v>0</v>
      </c>
      <c r="AH517" s="239">
        <f t="shared" si="37"/>
        <v>0</v>
      </c>
      <c r="AI517" s="239">
        <f t="shared" si="38"/>
        <v>0</v>
      </c>
      <c r="AJ517" s="239">
        <f t="shared" si="39"/>
        <v>0</v>
      </c>
    </row>
    <row r="518" spans="1:36" x14ac:dyDescent="0.2">
      <c r="A518" s="240" t="str">
        <f t="shared" si="40"/>
        <v>SNCPPZK99S50</v>
      </c>
      <c r="B518" s="239" t="s">
        <v>19</v>
      </c>
      <c r="C518" s="239" t="s">
        <v>20</v>
      </c>
      <c r="D518" s="239" t="s">
        <v>2565</v>
      </c>
      <c r="E518" s="239" t="s">
        <v>2529</v>
      </c>
      <c r="F518" s="239" t="s">
        <v>2582</v>
      </c>
      <c r="G518" s="239">
        <v>50</v>
      </c>
      <c r="H518" s="239" t="s">
        <v>928</v>
      </c>
      <c r="I518" s="239" t="s">
        <v>928</v>
      </c>
      <c r="J518" s="239" t="s">
        <v>928</v>
      </c>
      <c r="K518" s="239" t="s">
        <v>2398</v>
      </c>
      <c r="L518" s="239">
        <v>315.87</v>
      </c>
      <c r="M518" s="239">
        <v>0</v>
      </c>
      <c r="N518" s="239">
        <v>0</v>
      </c>
      <c r="O518" s="239">
        <v>0</v>
      </c>
      <c r="P518" s="239">
        <v>0</v>
      </c>
      <c r="Q518" s="239">
        <v>0</v>
      </c>
      <c r="R518" s="239">
        <v>0</v>
      </c>
      <c r="S518" s="239">
        <v>0</v>
      </c>
      <c r="T518" s="239">
        <v>0</v>
      </c>
      <c r="U518" s="239">
        <v>0</v>
      </c>
      <c r="V518" s="239">
        <v>0</v>
      </c>
      <c r="W518" s="239">
        <v>0</v>
      </c>
      <c r="X518" s="239">
        <v>0</v>
      </c>
      <c r="Y518" s="239">
        <v>262.47000000000003</v>
      </c>
      <c r="Z518" s="239">
        <v>0</v>
      </c>
      <c r="AA518" s="239">
        <v>0</v>
      </c>
      <c r="AB518" s="239">
        <v>53.4</v>
      </c>
      <c r="AC518" s="239">
        <v>0</v>
      </c>
      <c r="AD518" s="239">
        <v>0</v>
      </c>
      <c r="AE518" s="239" t="s">
        <v>720</v>
      </c>
      <c r="AF518" s="239" t="s">
        <v>721</v>
      </c>
      <c r="AG518" s="239">
        <f t="shared" ref="AG518:AG581" si="41">+O518*M518/100</f>
        <v>0</v>
      </c>
      <c r="AH518" s="239">
        <f t="shared" ref="AH518:AH581" si="42">+P518*M518/100</f>
        <v>0</v>
      </c>
      <c r="AI518" s="239">
        <f t="shared" ref="AI518:AI581" si="43">+AB518*M518/100</f>
        <v>0</v>
      </c>
      <c r="AJ518" s="239">
        <f t="shared" ref="AJ518:AJ581" si="44">+AG518+AH518+AI518</f>
        <v>0</v>
      </c>
    </row>
    <row r="519" spans="1:36" x14ac:dyDescent="0.2">
      <c r="A519" s="240" t="str">
        <f t="shared" si="40"/>
        <v>2SNCPPZK99S60</v>
      </c>
      <c r="B519" s="239" t="s">
        <v>19</v>
      </c>
      <c r="C519" s="239" t="s">
        <v>20</v>
      </c>
      <c r="D519" s="239" t="s">
        <v>2565</v>
      </c>
      <c r="E519" s="239" t="s">
        <v>2529</v>
      </c>
      <c r="F519" s="239" t="s">
        <v>2582</v>
      </c>
      <c r="G519" s="239">
        <v>60</v>
      </c>
      <c r="H519" s="239" t="s">
        <v>928</v>
      </c>
      <c r="I519" s="239" t="s">
        <v>2484</v>
      </c>
      <c r="J519" s="239" t="s">
        <v>928</v>
      </c>
      <c r="K519" s="239" t="s">
        <v>2398</v>
      </c>
      <c r="L519" s="239">
        <v>315.76</v>
      </c>
      <c r="M519" s="239">
        <v>0</v>
      </c>
      <c r="N519" s="239">
        <v>0</v>
      </c>
      <c r="O519" s="239">
        <v>0</v>
      </c>
      <c r="P519" s="239">
        <v>0</v>
      </c>
      <c r="Q519" s="239">
        <v>0</v>
      </c>
      <c r="R519" s="239">
        <v>0</v>
      </c>
      <c r="S519" s="239">
        <v>0</v>
      </c>
      <c r="T519" s="239">
        <v>0</v>
      </c>
      <c r="U519" s="239">
        <v>0</v>
      </c>
      <c r="V519" s="239">
        <v>0</v>
      </c>
      <c r="W519" s="239">
        <v>0</v>
      </c>
      <c r="X519" s="239">
        <v>0</v>
      </c>
      <c r="Y519" s="239">
        <v>263.27</v>
      </c>
      <c r="Z519" s="239">
        <v>0</v>
      </c>
      <c r="AA519" s="239">
        <v>0</v>
      </c>
      <c r="AB519" s="239">
        <v>52.49</v>
      </c>
      <c r="AC519" s="239">
        <v>0</v>
      </c>
      <c r="AD519" s="239">
        <v>0</v>
      </c>
      <c r="AE519" s="239" t="s">
        <v>720</v>
      </c>
      <c r="AF519" s="239" t="s">
        <v>721</v>
      </c>
      <c r="AG519" s="239">
        <f t="shared" si="41"/>
        <v>0</v>
      </c>
      <c r="AH519" s="239">
        <f t="shared" si="42"/>
        <v>0</v>
      </c>
      <c r="AI519" s="239">
        <f t="shared" si="43"/>
        <v>0</v>
      </c>
      <c r="AJ519" s="239">
        <f t="shared" si="44"/>
        <v>0</v>
      </c>
    </row>
    <row r="520" spans="1:36" x14ac:dyDescent="0.2">
      <c r="A520" s="240" t="str">
        <f t="shared" si="40"/>
        <v>SNCPPZK99S60</v>
      </c>
      <c r="B520" s="239" t="s">
        <v>19</v>
      </c>
      <c r="C520" s="239" t="s">
        <v>20</v>
      </c>
      <c r="D520" s="239" t="s">
        <v>2565</v>
      </c>
      <c r="E520" s="239" t="s">
        <v>2529</v>
      </c>
      <c r="F520" s="239" t="s">
        <v>2582</v>
      </c>
      <c r="G520" s="239">
        <v>60</v>
      </c>
      <c r="H520" s="239" t="s">
        <v>928</v>
      </c>
      <c r="I520" s="239" t="s">
        <v>928</v>
      </c>
      <c r="J520" s="239" t="s">
        <v>928</v>
      </c>
      <c r="K520" s="239" t="s">
        <v>2398</v>
      </c>
      <c r="L520" s="239">
        <v>315.76</v>
      </c>
      <c r="M520" s="239">
        <v>0</v>
      </c>
      <c r="N520" s="239">
        <v>0</v>
      </c>
      <c r="O520" s="239">
        <v>0</v>
      </c>
      <c r="P520" s="239">
        <v>0</v>
      </c>
      <c r="Q520" s="239">
        <v>0</v>
      </c>
      <c r="R520" s="239">
        <v>0</v>
      </c>
      <c r="S520" s="239">
        <v>0</v>
      </c>
      <c r="T520" s="239">
        <v>0</v>
      </c>
      <c r="U520" s="239">
        <v>0</v>
      </c>
      <c r="V520" s="239">
        <v>0</v>
      </c>
      <c r="W520" s="239">
        <v>0</v>
      </c>
      <c r="X520" s="239">
        <v>0</v>
      </c>
      <c r="Y520" s="239">
        <v>263.27</v>
      </c>
      <c r="Z520" s="239">
        <v>0</v>
      </c>
      <c r="AA520" s="239">
        <v>0</v>
      </c>
      <c r="AB520" s="239">
        <v>52.49</v>
      </c>
      <c r="AC520" s="239">
        <v>0</v>
      </c>
      <c r="AD520" s="239">
        <v>0</v>
      </c>
      <c r="AE520" s="239" t="s">
        <v>720</v>
      </c>
      <c r="AF520" s="239" t="s">
        <v>721</v>
      </c>
      <c r="AG520" s="239">
        <f t="shared" si="41"/>
        <v>0</v>
      </c>
      <c r="AH520" s="239">
        <f t="shared" si="42"/>
        <v>0</v>
      </c>
      <c r="AI520" s="239">
        <f t="shared" si="43"/>
        <v>0</v>
      </c>
      <c r="AJ520" s="239">
        <f t="shared" si="44"/>
        <v>0</v>
      </c>
    </row>
    <row r="521" spans="1:36" x14ac:dyDescent="0.2">
      <c r="A521" s="240" t="str">
        <f t="shared" si="40"/>
        <v>2SNCPPZK99S70</v>
      </c>
      <c r="B521" s="239" t="s">
        <v>19</v>
      </c>
      <c r="C521" s="239" t="s">
        <v>20</v>
      </c>
      <c r="D521" s="239" t="s">
        <v>2565</v>
      </c>
      <c r="E521" s="239" t="s">
        <v>2529</v>
      </c>
      <c r="F521" s="239" t="s">
        <v>2582</v>
      </c>
      <c r="G521" s="239">
        <v>70</v>
      </c>
      <c r="H521" s="239" t="s">
        <v>928</v>
      </c>
      <c r="I521" s="239" t="s">
        <v>2484</v>
      </c>
      <c r="J521" s="239" t="s">
        <v>928</v>
      </c>
      <c r="K521" s="239" t="s">
        <v>2398</v>
      </c>
      <c r="L521" s="239">
        <v>309.12</v>
      </c>
      <c r="M521" s="239">
        <v>0</v>
      </c>
      <c r="N521" s="239">
        <v>0</v>
      </c>
      <c r="O521" s="239">
        <v>0</v>
      </c>
      <c r="P521" s="239">
        <v>0</v>
      </c>
      <c r="Q521" s="239">
        <v>0</v>
      </c>
      <c r="R521" s="239">
        <v>0</v>
      </c>
      <c r="S521" s="239">
        <v>0</v>
      </c>
      <c r="T521" s="239">
        <v>0</v>
      </c>
      <c r="U521" s="239">
        <v>0</v>
      </c>
      <c r="V521" s="239">
        <v>0</v>
      </c>
      <c r="W521" s="239">
        <v>0</v>
      </c>
      <c r="X521" s="239">
        <v>0</v>
      </c>
      <c r="Y521" s="239">
        <v>259.61</v>
      </c>
      <c r="Z521" s="239">
        <v>0</v>
      </c>
      <c r="AA521" s="239">
        <v>0</v>
      </c>
      <c r="AB521" s="239">
        <v>49.51</v>
      </c>
      <c r="AC521" s="239">
        <v>0</v>
      </c>
      <c r="AD521" s="239">
        <v>0</v>
      </c>
      <c r="AE521" s="239" t="s">
        <v>720</v>
      </c>
      <c r="AF521" s="239" t="s">
        <v>721</v>
      </c>
      <c r="AG521" s="239">
        <f t="shared" si="41"/>
        <v>0</v>
      </c>
      <c r="AH521" s="239">
        <f t="shared" si="42"/>
        <v>0</v>
      </c>
      <c r="AI521" s="239">
        <f t="shared" si="43"/>
        <v>0</v>
      </c>
      <c r="AJ521" s="239">
        <f t="shared" si="44"/>
        <v>0</v>
      </c>
    </row>
    <row r="522" spans="1:36" x14ac:dyDescent="0.2">
      <c r="A522" s="240" t="str">
        <f t="shared" si="40"/>
        <v>SNCPPZK99S70</v>
      </c>
      <c r="B522" s="239" t="s">
        <v>19</v>
      </c>
      <c r="C522" s="239" t="s">
        <v>20</v>
      </c>
      <c r="D522" s="239" t="s">
        <v>2565</v>
      </c>
      <c r="E522" s="239" t="s">
        <v>2529</v>
      </c>
      <c r="F522" s="239" t="s">
        <v>2582</v>
      </c>
      <c r="G522" s="239">
        <v>70</v>
      </c>
      <c r="H522" s="239" t="s">
        <v>928</v>
      </c>
      <c r="I522" s="239" t="s">
        <v>928</v>
      </c>
      <c r="J522" s="239" t="s">
        <v>928</v>
      </c>
      <c r="K522" s="239" t="s">
        <v>2398</v>
      </c>
      <c r="L522" s="239">
        <v>309.12</v>
      </c>
      <c r="M522" s="239">
        <v>0</v>
      </c>
      <c r="N522" s="239">
        <v>0</v>
      </c>
      <c r="O522" s="239">
        <v>0</v>
      </c>
      <c r="P522" s="239">
        <v>0</v>
      </c>
      <c r="Q522" s="239">
        <v>0</v>
      </c>
      <c r="R522" s="239">
        <v>0</v>
      </c>
      <c r="S522" s="239">
        <v>0</v>
      </c>
      <c r="T522" s="239">
        <v>0</v>
      </c>
      <c r="U522" s="239">
        <v>0</v>
      </c>
      <c r="V522" s="239">
        <v>0</v>
      </c>
      <c r="W522" s="239">
        <v>0</v>
      </c>
      <c r="X522" s="239">
        <v>0</v>
      </c>
      <c r="Y522" s="239">
        <v>259.61</v>
      </c>
      <c r="Z522" s="239">
        <v>0</v>
      </c>
      <c r="AA522" s="239">
        <v>0</v>
      </c>
      <c r="AB522" s="239">
        <v>49.51</v>
      </c>
      <c r="AC522" s="239">
        <v>0</v>
      </c>
      <c r="AD522" s="239">
        <v>0</v>
      </c>
      <c r="AE522" s="239" t="s">
        <v>720</v>
      </c>
      <c r="AF522" s="239" t="s">
        <v>721</v>
      </c>
      <c r="AG522" s="239">
        <f t="shared" si="41"/>
        <v>0</v>
      </c>
      <c r="AH522" s="239">
        <f t="shared" si="42"/>
        <v>0</v>
      </c>
      <c r="AI522" s="239">
        <f t="shared" si="43"/>
        <v>0</v>
      </c>
      <c r="AJ522" s="239">
        <f t="shared" si="44"/>
        <v>0</v>
      </c>
    </row>
    <row r="523" spans="1:36" x14ac:dyDescent="0.2">
      <c r="A523" s="240" t="str">
        <f t="shared" si="40"/>
        <v>2SNCPPZK99S80</v>
      </c>
      <c r="B523" s="239" t="s">
        <v>19</v>
      </c>
      <c r="C523" s="239" t="s">
        <v>20</v>
      </c>
      <c r="D523" s="239" t="s">
        <v>2565</v>
      </c>
      <c r="E523" s="239" t="s">
        <v>2529</v>
      </c>
      <c r="F523" s="239" t="s">
        <v>2582</v>
      </c>
      <c r="G523" s="239">
        <v>80</v>
      </c>
      <c r="H523" s="239" t="s">
        <v>928</v>
      </c>
      <c r="I523" s="239" t="s">
        <v>2484</v>
      </c>
      <c r="J523" s="239" t="s">
        <v>928</v>
      </c>
      <c r="K523" s="239" t="s">
        <v>2398</v>
      </c>
      <c r="L523" s="239">
        <v>319.45</v>
      </c>
      <c r="M523" s="239">
        <v>0</v>
      </c>
      <c r="N523" s="239">
        <v>0</v>
      </c>
      <c r="O523" s="239">
        <v>0</v>
      </c>
      <c r="P523" s="239">
        <v>0</v>
      </c>
      <c r="Q523" s="239">
        <v>0</v>
      </c>
      <c r="R523" s="239">
        <v>0</v>
      </c>
      <c r="S523" s="239">
        <v>0</v>
      </c>
      <c r="T523" s="239">
        <v>0</v>
      </c>
      <c r="U523" s="239">
        <v>0</v>
      </c>
      <c r="V523" s="239">
        <v>0</v>
      </c>
      <c r="W523" s="239">
        <v>0</v>
      </c>
      <c r="X523" s="239">
        <v>0</v>
      </c>
      <c r="Y523" s="239">
        <v>268.05</v>
      </c>
      <c r="Z523" s="239">
        <v>0</v>
      </c>
      <c r="AA523" s="239">
        <v>0</v>
      </c>
      <c r="AB523" s="239">
        <v>51.4</v>
      </c>
      <c r="AC523" s="239">
        <v>0</v>
      </c>
      <c r="AD523" s="239">
        <v>0</v>
      </c>
      <c r="AE523" s="239" t="s">
        <v>720</v>
      </c>
      <c r="AF523" s="239" t="s">
        <v>721</v>
      </c>
      <c r="AG523" s="239">
        <f t="shared" si="41"/>
        <v>0</v>
      </c>
      <c r="AH523" s="239">
        <f t="shared" si="42"/>
        <v>0</v>
      </c>
      <c r="AI523" s="239">
        <f t="shared" si="43"/>
        <v>0</v>
      </c>
      <c r="AJ523" s="239">
        <f t="shared" si="44"/>
        <v>0</v>
      </c>
    </row>
    <row r="524" spans="1:36" x14ac:dyDescent="0.2">
      <c r="A524" s="240" t="str">
        <f t="shared" si="40"/>
        <v>SNCPPZK99S80</v>
      </c>
      <c r="B524" s="239" t="s">
        <v>19</v>
      </c>
      <c r="C524" s="239" t="s">
        <v>20</v>
      </c>
      <c r="D524" s="239" t="s">
        <v>2565</v>
      </c>
      <c r="E524" s="239" t="s">
        <v>2529</v>
      </c>
      <c r="F524" s="239" t="s">
        <v>2582</v>
      </c>
      <c r="G524" s="239">
        <v>80</v>
      </c>
      <c r="H524" s="239" t="s">
        <v>928</v>
      </c>
      <c r="I524" s="239" t="s">
        <v>928</v>
      </c>
      <c r="J524" s="239" t="s">
        <v>928</v>
      </c>
      <c r="K524" s="239" t="s">
        <v>2398</v>
      </c>
      <c r="L524" s="239">
        <v>319.45</v>
      </c>
      <c r="M524" s="239">
        <v>0</v>
      </c>
      <c r="N524" s="239">
        <v>0</v>
      </c>
      <c r="O524" s="239">
        <v>0</v>
      </c>
      <c r="P524" s="239">
        <v>0</v>
      </c>
      <c r="Q524" s="239">
        <v>0</v>
      </c>
      <c r="R524" s="239">
        <v>0</v>
      </c>
      <c r="S524" s="239">
        <v>0</v>
      </c>
      <c r="T524" s="239">
        <v>0</v>
      </c>
      <c r="U524" s="239">
        <v>0</v>
      </c>
      <c r="V524" s="239">
        <v>0</v>
      </c>
      <c r="W524" s="239">
        <v>0</v>
      </c>
      <c r="X524" s="239">
        <v>0</v>
      </c>
      <c r="Y524" s="239">
        <v>268.05</v>
      </c>
      <c r="Z524" s="239">
        <v>0</v>
      </c>
      <c r="AA524" s="239">
        <v>0</v>
      </c>
      <c r="AB524" s="239">
        <v>51.4</v>
      </c>
      <c r="AC524" s="239">
        <v>0</v>
      </c>
      <c r="AD524" s="239">
        <v>0</v>
      </c>
      <c r="AE524" s="239" t="s">
        <v>720</v>
      </c>
      <c r="AF524" s="239" t="s">
        <v>721</v>
      </c>
      <c r="AG524" s="239">
        <f t="shared" si="41"/>
        <v>0</v>
      </c>
      <c r="AH524" s="239">
        <f t="shared" si="42"/>
        <v>0</v>
      </c>
      <c r="AI524" s="239">
        <f t="shared" si="43"/>
        <v>0</v>
      </c>
      <c r="AJ524" s="239">
        <f t="shared" si="44"/>
        <v>0</v>
      </c>
    </row>
    <row r="525" spans="1:36" x14ac:dyDescent="0.2">
      <c r="A525" s="240" t="str">
        <f t="shared" si="40"/>
        <v>2SNCPPZK99S100</v>
      </c>
      <c r="B525" s="239" t="s">
        <v>19</v>
      </c>
      <c r="C525" s="239" t="s">
        <v>20</v>
      </c>
      <c r="D525" s="239" t="s">
        <v>2565</v>
      </c>
      <c r="E525" s="239" t="s">
        <v>2529</v>
      </c>
      <c r="F525" s="239" t="s">
        <v>2582</v>
      </c>
      <c r="G525" s="239">
        <v>100</v>
      </c>
      <c r="H525" s="239" t="s">
        <v>928</v>
      </c>
      <c r="I525" s="239" t="s">
        <v>2484</v>
      </c>
      <c r="J525" s="239" t="s">
        <v>928</v>
      </c>
      <c r="K525" s="239" t="s">
        <v>2398</v>
      </c>
      <c r="L525" s="239">
        <v>333.62</v>
      </c>
      <c r="M525" s="239">
        <v>0</v>
      </c>
      <c r="N525" s="239">
        <v>0</v>
      </c>
      <c r="O525" s="239">
        <v>0</v>
      </c>
      <c r="P525" s="239">
        <v>0</v>
      </c>
      <c r="Q525" s="239">
        <v>0</v>
      </c>
      <c r="R525" s="239">
        <v>0</v>
      </c>
      <c r="S525" s="239">
        <v>0</v>
      </c>
      <c r="T525" s="239">
        <v>0</v>
      </c>
      <c r="U525" s="239">
        <v>0</v>
      </c>
      <c r="V525" s="239">
        <v>0</v>
      </c>
      <c r="W525" s="239">
        <v>0</v>
      </c>
      <c r="X525" s="239">
        <v>0</v>
      </c>
      <c r="Y525" s="239">
        <v>269.52999999999997</v>
      </c>
      <c r="Z525" s="239">
        <v>0</v>
      </c>
      <c r="AA525" s="239">
        <v>0</v>
      </c>
      <c r="AB525" s="239">
        <v>64.08</v>
      </c>
      <c r="AC525" s="239">
        <v>0</v>
      </c>
      <c r="AD525" s="239">
        <v>0</v>
      </c>
      <c r="AE525" s="239" t="s">
        <v>720</v>
      </c>
      <c r="AF525" s="239" t="s">
        <v>721</v>
      </c>
      <c r="AG525" s="239">
        <f t="shared" si="41"/>
        <v>0</v>
      </c>
      <c r="AH525" s="239">
        <f t="shared" si="42"/>
        <v>0</v>
      </c>
      <c r="AI525" s="239">
        <f t="shared" si="43"/>
        <v>0</v>
      </c>
      <c r="AJ525" s="239">
        <f t="shared" si="44"/>
        <v>0</v>
      </c>
    </row>
    <row r="526" spans="1:36" x14ac:dyDescent="0.2">
      <c r="A526" s="240" t="str">
        <f t="shared" si="40"/>
        <v>SNCPPZK99S100</v>
      </c>
      <c r="B526" s="239" t="s">
        <v>19</v>
      </c>
      <c r="C526" s="239" t="s">
        <v>20</v>
      </c>
      <c r="D526" s="239" t="s">
        <v>2565</v>
      </c>
      <c r="E526" s="239" t="s">
        <v>2529</v>
      </c>
      <c r="F526" s="239" t="s">
        <v>2582</v>
      </c>
      <c r="G526" s="239">
        <v>100</v>
      </c>
      <c r="H526" s="239" t="s">
        <v>928</v>
      </c>
      <c r="I526" s="239" t="s">
        <v>928</v>
      </c>
      <c r="J526" s="239" t="s">
        <v>928</v>
      </c>
      <c r="K526" s="239" t="s">
        <v>2398</v>
      </c>
      <c r="L526" s="239">
        <v>333.62</v>
      </c>
      <c r="M526" s="239">
        <v>0</v>
      </c>
      <c r="N526" s="239">
        <v>0</v>
      </c>
      <c r="O526" s="239">
        <v>0</v>
      </c>
      <c r="P526" s="239">
        <v>0</v>
      </c>
      <c r="Q526" s="239">
        <v>0</v>
      </c>
      <c r="R526" s="239">
        <v>0</v>
      </c>
      <c r="S526" s="239">
        <v>0</v>
      </c>
      <c r="T526" s="239">
        <v>0</v>
      </c>
      <c r="U526" s="239">
        <v>0</v>
      </c>
      <c r="V526" s="239">
        <v>0</v>
      </c>
      <c r="W526" s="239">
        <v>0</v>
      </c>
      <c r="X526" s="239">
        <v>0</v>
      </c>
      <c r="Y526" s="239">
        <v>269.52999999999997</v>
      </c>
      <c r="Z526" s="239">
        <v>0</v>
      </c>
      <c r="AA526" s="239">
        <v>0</v>
      </c>
      <c r="AB526" s="239">
        <v>64.08</v>
      </c>
      <c r="AC526" s="239">
        <v>0</v>
      </c>
      <c r="AD526" s="239">
        <v>0</v>
      </c>
      <c r="AE526" s="239" t="s">
        <v>720</v>
      </c>
      <c r="AF526" s="239" t="s">
        <v>721</v>
      </c>
      <c r="AG526" s="239">
        <f t="shared" si="41"/>
        <v>0</v>
      </c>
      <c r="AH526" s="239">
        <f t="shared" si="42"/>
        <v>0</v>
      </c>
      <c r="AI526" s="239">
        <f t="shared" si="43"/>
        <v>0</v>
      </c>
      <c r="AJ526" s="239">
        <f t="shared" si="44"/>
        <v>0</v>
      </c>
    </row>
    <row r="527" spans="1:36" x14ac:dyDescent="0.2">
      <c r="A527" s="240" t="str">
        <f t="shared" si="40"/>
        <v>2SNF-FILME12</v>
      </c>
      <c r="B527" s="239" t="s">
        <v>19</v>
      </c>
      <c r="C527" s="239" t="s">
        <v>20</v>
      </c>
      <c r="D527" s="239" t="s">
        <v>2583</v>
      </c>
      <c r="E527" s="239" t="s">
        <v>2584</v>
      </c>
      <c r="F527" s="239" t="s">
        <v>2585</v>
      </c>
      <c r="G527" s="239">
        <v>12</v>
      </c>
      <c r="H527" s="239" t="s">
        <v>928</v>
      </c>
      <c r="I527" s="239" t="s">
        <v>2484</v>
      </c>
      <c r="J527" s="239" t="s">
        <v>928</v>
      </c>
      <c r="K527" s="239" t="s">
        <v>2398</v>
      </c>
      <c r="L527" s="239">
        <v>7188.68</v>
      </c>
      <c r="M527" s="239">
        <v>0</v>
      </c>
      <c r="N527" s="239">
        <v>0</v>
      </c>
      <c r="O527" s="239">
        <v>0</v>
      </c>
      <c r="P527" s="239">
        <v>0</v>
      </c>
      <c r="Q527" s="239">
        <v>0</v>
      </c>
      <c r="R527" s="239">
        <v>0</v>
      </c>
      <c r="S527" s="239">
        <v>0</v>
      </c>
      <c r="T527" s="239">
        <v>0</v>
      </c>
      <c r="U527" s="239">
        <v>0</v>
      </c>
      <c r="V527" s="239">
        <v>0</v>
      </c>
      <c r="W527" s="239">
        <v>0</v>
      </c>
      <c r="X527" s="239">
        <v>0</v>
      </c>
      <c r="Y527" s="239">
        <v>5691.64</v>
      </c>
      <c r="Z527" s="239">
        <v>0</v>
      </c>
      <c r="AA527" s="239">
        <v>0</v>
      </c>
      <c r="AB527" s="239">
        <v>1497.04</v>
      </c>
      <c r="AC527" s="239">
        <v>0</v>
      </c>
      <c r="AD527" s="239">
        <v>0</v>
      </c>
      <c r="AE527" s="239" t="s">
        <v>720</v>
      </c>
      <c r="AF527" s="239" t="s">
        <v>721</v>
      </c>
      <c r="AG527" s="239">
        <f t="shared" si="41"/>
        <v>0</v>
      </c>
      <c r="AH527" s="239">
        <f t="shared" si="42"/>
        <v>0</v>
      </c>
      <c r="AI527" s="239">
        <f t="shared" si="43"/>
        <v>0</v>
      </c>
      <c r="AJ527" s="239">
        <f t="shared" si="44"/>
        <v>0</v>
      </c>
    </row>
    <row r="528" spans="1:36" x14ac:dyDescent="0.2">
      <c r="A528" s="240" t="str">
        <f t="shared" si="40"/>
        <v>SNF-FILME12</v>
      </c>
      <c r="B528" s="239" t="s">
        <v>19</v>
      </c>
      <c r="C528" s="239" t="s">
        <v>20</v>
      </c>
      <c r="D528" s="239" t="s">
        <v>2583</v>
      </c>
      <c r="E528" s="239" t="s">
        <v>2584</v>
      </c>
      <c r="F528" s="239" t="s">
        <v>2585</v>
      </c>
      <c r="G528" s="239">
        <v>12</v>
      </c>
      <c r="H528" s="239" t="s">
        <v>928</v>
      </c>
      <c r="I528" s="239" t="s">
        <v>928</v>
      </c>
      <c r="J528" s="239" t="s">
        <v>928</v>
      </c>
      <c r="K528" s="239" t="s">
        <v>2398</v>
      </c>
      <c r="L528" s="239">
        <v>7188.68</v>
      </c>
      <c r="M528" s="239">
        <v>0</v>
      </c>
      <c r="N528" s="239">
        <v>0</v>
      </c>
      <c r="O528" s="239">
        <v>0</v>
      </c>
      <c r="P528" s="239">
        <v>0</v>
      </c>
      <c r="Q528" s="239">
        <v>0</v>
      </c>
      <c r="R528" s="239">
        <v>0</v>
      </c>
      <c r="S528" s="239">
        <v>0</v>
      </c>
      <c r="T528" s="239">
        <v>0</v>
      </c>
      <c r="U528" s="239">
        <v>0</v>
      </c>
      <c r="V528" s="239">
        <v>0</v>
      </c>
      <c r="W528" s="239">
        <v>0</v>
      </c>
      <c r="X528" s="239">
        <v>0</v>
      </c>
      <c r="Y528" s="239">
        <v>5691.64</v>
      </c>
      <c r="Z528" s="239">
        <v>0</v>
      </c>
      <c r="AA528" s="239">
        <v>0</v>
      </c>
      <c r="AB528" s="239">
        <v>1497.04</v>
      </c>
      <c r="AC528" s="239">
        <v>0</v>
      </c>
      <c r="AD528" s="239">
        <v>0</v>
      </c>
      <c r="AE528" s="239" t="s">
        <v>720</v>
      </c>
      <c r="AF528" s="239" t="s">
        <v>721</v>
      </c>
      <c r="AG528" s="239">
        <f t="shared" si="41"/>
        <v>0</v>
      </c>
      <c r="AH528" s="239">
        <f t="shared" si="42"/>
        <v>0</v>
      </c>
      <c r="AI528" s="239">
        <f t="shared" si="43"/>
        <v>0</v>
      </c>
      <c r="AJ528" s="239">
        <f t="shared" si="44"/>
        <v>0</v>
      </c>
    </row>
    <row r="529" spans="1:36" x14ac:dyDescent="0.2">
      <c r="A529" s="240" t="str">
        <f t="shared" si="40"/>
        <v>2SNF-FILME25</v>
      </c>
      <c r="B529" s="239" t="s">
        <v>19</v>
      </c>
      <c r="C529" s="239" t="s">
        <v>20</v>
      </c>
      <c r="D529" s="239" t="s">
        <v>2583</v>
      </c>
      <c r="E529" s="239" t="s">
        <v>2584</v>
      </c>
      <c r="F529" s="239" t="s">
        <v>2585</v>
      </c>
      <c r="G529" s="239">
        <v>25</v>
      </c>
      <c r="H529" s="239" t="s">
        <v>928</v>
      </c>
      <c r="I529" s="239" t="s">
        <v>2484</v>
      </c>
      <c r="J529" s="239" t="s">
        <v>928</v>
      </c>
      <c r="K529" s="239" t="s">
        <v>2398</v>
      </c>
      <c r="L529" s="239">
        <v>4434.49</v>
      </c>
      <c r="M529" s="239">
        <v>0</v>
      </c>
      <c r="N529" s="239">
        <v>0</v>
      </c>
      <c r="O529" s="239">
        <v>0</v>
      </c>
      <c r="P529" s="239">
        <v>0</v>
      </c>
      <c r="Q529" s="239">
        <v>0</v>
      </c>
      <c r="R529" s="239">
        <v>0</v>
      </c>
      <c r="S529" s="239">
        <v>0</v>
      </c>
      <c r="T529" s="239">
        <v>0</v>
      </c>
      <c r="U529" s="239">
        <v>0</v>
      </c>
      <c r="V529" s="239">
        <v>0</v>
      </c>
      <c r="W529" s="239">
        <v>0</v>
      </c>
      <c r="X529" s="239">
        <v>0</v>
      </c>
      <c r="Y529" s="239">
        <v>3591.82</v>
      </c>
      <c r="Z529" s="239">
        <v>0</v>
      </c>
      <c r="AA529" s="239">
        <v>0</v>
      </c>
      <c r="AB529" s="239">
        <v>842.68</v>
      </c>
      <c r="AC529" s="239">
        <v>0</v>
      </c>
      <c r="AD529" s="239">
        <v>0</v>
      </c>
      <c r="AE529" s="239" t="s">
        <v>720</v>
      </c>
      <c r="AF529" s="239" t="s">
        <v>721</v>
      </c>
      <c r="AG529" s="239">
        <f t="shared" si="41"/>
        <v>0</v>
      </c>
      <c r="AH529" s="239">
        <f t="shared" si="42"/>
        <v>0</v>
      </c>
      <c r="AI529" s="239">
        <f t="shared" si="43"/>
        <v>0</v>
      </c>
      <c r="AJ529" s="239">
        <f t="shared" si="44"/>
        <v>0</v>
      </c>
    </row>
    <row r="530" spans="1:36" x14ac:dyDescent="0.2">
      <c r="A530" s="240" t="str">
        <f t="shared" si="40"/>
        <v>SNF-FILME25</v>
      </c>
      <c r="B530" s="239" t="s">
        <v>19</v>
      </c>
      <c r="C530" s="239" t="s">
        <v>20</v>
      </c>
      <c r="D530" s="239" t="s">
        <v>2583</v>
      </c>
      <c r="E530" s="239" t="s">
        <v>2584</v>
      </c>
      <c r="F530" s="239" t="s">
        <v>2585</v>
      </c>
      <c r="G530" s="239">
        <v>25</v>
      </c>
      <c r="H530" s="239" t="s">
        <v>928</v>
      </c>
      <c r="I530" s="239" t="s">
        <v>928</v>
      </c>
      <c r="J530" s="239" t="s">
        <v>928</v>
      </c>
      <c r="K530" s="239" t="s">
        <v>2398</v>
      </c>
      <c r="L530" s="239">
        <v>4434.49</v>
      </c>
      <c r="M530" s="239">
        <v>0</v>
      </c>
      <c r="N530" s="239">
        <v>0</v>
      </c>
      <c r="O530" s="239">
        <v>0</v>
      </c>
      <c r="P530" s="239">
        <v>0</v>
      </c>
      <c r="Q530" s="239">
        <v>0</v>
      </c>
      <c r="R530" s="239">
        <v>0</v>
      </c>
      <c r="S530" s="239">
        <v>0</v>
      </c>
      <c r="T530" s="239">
        <v>0</v>
      </c>
      <c r="U530" s="239">
        <v>0</v>
      </c>
      <c r="V530" s="239">
        <v>0</v>
      </c>
      <c r="W530" s="239">
        <v>0</v>
      </c>
      <c r="X530" s="239">
        <v>0</v>
      </c>
      <c r="Y530" s="239">
        <v>3591.82</v>
      </c>
      <c r="Z530" s="239">
        <v>0</v>
      </c>
      <c r="AA530" s="239">
        <v>0</v>
      </c>
      <c r="AB530" s="239">
        <v>842.68</v>
      </c>
      <c r="AC530" s="239">
        <v>0</v>
      </c>
      <c r="AD530" s="239">
        <v>0</v>
      </c>
      <c r="AE530" s="239" t="s">
        <v>720</v>
      </c>
      <c r="AF530" s="239" t="s">
        <v>721</v>
      </c>
      <c r="AG530" s="239">
        <f t="shared" si="41"/>
        <v>0</v>
      </c>
      <c r="AH530" s="239">
        <f t="shared" si="42"/>
        <v>0</v>
      </c>
      <c r="AI530" s="239">
        <f t="shared" si="43"/>
        <v>0</v>
      </c>
      <c r="AJ530" s="239">
        <f t="shared" si="44"/>
        <v>0</v>
      </c>
    </row>
    <row r="531" spans="1:36" x14ac:dyDescent="0.2">
      <c r="A531" s="240" t="str">
        <f t="shared" si="40"/>
        <v>2SNF-FILME50</v>
      </c>
      <c r="B531" s="239" t="s">
        <v>19</v>
      </c>
      <c r="C531" s="239" t="s">
        <v>20</v>
      </c>
      <c r="D531" s="239" t="s">
        <v>2583</v>
      </c>
      <c r="E531" s="239" t="s">
        <v>2584</v>
      </c>
      <c r="F531" s="239" t="s">
        <v>2585</v>
      </c>
      <c r="G531" s="239">
        <v>50</v>
      </c>
      <c r="H531" s="239" t="s">
        <v>928</v>
      </c>
      <c r="I531" s="239" t="s">
        <v>2484</v>
      </c>
      <c r="J531" s="239" t="s">
        <v>928</v>
      </c>
      <c r="K531" s="239" t="s">
        <v>2398</v>
      </c>
      <c r="L531" s="239">
        <v>4784.87</v>
      </c>
      <c r="M531" s="239">
        <v>0</v>
      </c>
      <c r="N531" s="239">
        <v>0</v>
      </c>
      <c r="O531" s="239">
        <v>0</v>
      </c>
      <c r="P531" s="239">
        <v>0</v>
      </c>
      <c r="Q531" s="239">
        <v>0</v>
      </c>
      <c r="R531" s="239">
        <v>0</v>
      </c>
      <c r="S531" s="239">
        <v>0</v>
      </c>
      <c r="T531" s="239">
        <v>0</v>
      </c>
      <c r="U531" s="239">
        <v>0</v>
      </c>
      <c r="V531" s="239">
        <v>0</v>
      </c>
      <c r="W531" s="239">
        <v>0</v>
      </c>
      <c r="X531" s="239">
        <v>0</v>
      </c>
      <c r="Y531" s="239">
        <v>4000.49</v>
      </c>
      <c r="Z531" s="239">
        <v>0</v>
      </c>
      <c r="AA531" s="239">
        <v>0</v>
      </c>
      <c r="AB531" s="239">
        <v>784.37</v>
      </c>
      <c r="AC531" s="239">
        <v>0</v>
      </c>
      <c r="AD531" s="239">
        <v>0</v>
      </c>
      <c r="AE531" s="239" t="s">
        <v>20</v>
      </c>
      <c r="AF531" s="239" t="s">
        <v>718</v>
      </c>
      <c r="AG531" s="239">
        <f t="shared" si="41"/>
        <v>0</v>
      </c>
      <c r="AH531" s="239">
        <f t="shared" si="42"/>
        <v>0</v>
      </c>
      <c r="AI531" s="239">
        <f t="shared" si="43"/>
        <v>0</v>
      </c>
      <c r="AJ531" s="239">
        <f t="shared" si="44"/>
        <v>0</v>
      </c>
    </row>
    <row r="532" spans="1:36" x14ac:dyDescent="0.2">
      <c r="A532" s="240" t="str">
        <f t="shared" si="40"/>
        <v>SNF-FILME50</v>
      </c>
      <c r="B532" s="239" t="s">
        <v>19</v>
      </c>
      <c r="C532" s="239" t="s">
        <v>20</v>
      </c>
      <c r="D532" s="239" t="s">
        <v>2583</v>
      </c>
      <c r="E532" s="239" t="s">
        <v>2584</v>
      </c>
      <c r="F532" s="239" t="s">
        <v>2585</v>
      </c>
      <c r="G532" s="239">
        <v>50</v>
      </c>
      <c r="H532" s="239" t="s">
        <v>928</v>
      </c>
      <c r="I532" s="239" t="s">
        <v>928</v>
      </c>
      <c r="J532" s="239" t="s">
        <v>928</v>
      </c>
      <c r="K532" s="239" t="s">
        <v>2398</v>
      </c>
      <c r="L532" s="239">
        <v>4784.87</v>
      </c>
      <c r="M532" s="239">
        <v>0</v>
      </c>
      <c r="N532" s="239">
        <v>0</v>
      </c>
      <c r="O532" s="239">
        <v>0</v>
      </c>
      <c r="P532" s="239">
        <v>0</v>
      </c>
      <c r="Q532" s="239">
        <v>0</v>
      </c>
      <c r="R532" s="239">
        <v>0</v>
      </c>
      <c r="S532" s="239">
        <v>0</v>
      </c>
      <c r="T532" s="239">
        <v>0</v>
      </c>
      <c r="U532" s="239">
        <v>0</v>
      </c>
      <c r="V532" s="239">
        <v>0</v>
      </c>
      <c r="W532" s="239">
        <v>0</v>
      </c>
      <c r="X532" s="239">
        <v>0</v>
      </c>
      <c r="Y532" s="239">
        <v>4000.49</v>
      </c>
      <c r="Z532" s="239">
        <v>0</v>
      </c>
      <c r="AA532" s="239">
        <v>0</v>
      </c>
      <c r="AB532" s="239">
        <v>784.37</v>
      </c>
      <c r="AC532" s="239">
        <v>0</v>
      </c>
      <c r="AD532" s="239">
        <v>0</v>
      </c>
      <c r="AE532" s="239" t="s">
        <v>20</v>
      </c>
      <c r="AF532" s="239" t="s">
        <v>718</v>
      </c>
      <c r="AG532" s="239">
        <f t="shared" si="41"/>
        <v>0</v>
      </c>
      <c r="AH532" s="239">
        <f t="shared" si="42"/>
        <v>0</v>
      </c>
      <c r="AI532" s="239">
        <f t="shared" si="43"/>
        <v>0</v>
      </c>
      <c r="AJ532" s="239">
        <f t="shared" si="44"/>
        <v>0</v>
      </c>
    </row>
    <row r="533" spans="1:36" x14ac:dyDescent="0.2">
      <c r="A533" s="240" t="str">
        <f t="shared" si="40"/>
        <v>2SNF-FILME100</v>
      </c>
      <c r="B533" s="239" t="s">
        <v>19</v>
      </c>
      <c r="C533" s="239" t="s">
        <v>20</v>
      </c>
      <c r="D533" s="239" t="s">
        <v>2583</v>
      </c>
      <c r="E533" s="239" t="s">
        <v>2584</v>
      </c>
      <c r="F533" s="239" t="s">
        <v>2585</v>
      </c>
      <c r="G533" s="239">
        <v>100</v>
      </c>
      <c r="H533" s="239" t="s">
        <v>928</v>
      </c>
      <c r="I533" s="239" t="s">
        <v>2484</v>
      </c>
      <c r="J533" s="239" t="s">
        <v>928</v>
      </c>
      <c r="K533" s="239" t="s">
        <v>2398</v>
      </c>
      <c r="L533" s="239">
        <v>7051.76</v>
      </c>
      <c r="M533" s="239">
        <v>0</v>
      </c>
      <c r="N533" s="239">
        <v>0</v>
      </c>
      <c r="O533" s="239">
        <v>0</v>
      </c>
      <c r="P533" s="239">
        <v>0</v>
      </c>
      <c r="Q533" s="239">
        <v>0</v>
      </c>
      <c r="R533" s="239">
        <v>0</v>
      </c>
      <c r="S533" s="239">
        <v>0</v>
      </c>
      <c r="T533" s="239">
        <v>0</v>
      </c>
      <c r="U533" s="239">
        <v>0</v>
      </c>
      <c r="V533" s="239">
        <v>0</v>
      </c>
      <c r="W533" s="239">
        <v>0</v>
      </c>
      <c r="X533" s="239">
        <v>0</v>
      </c>
      <c r="Y533" s="239">
        <v>5639.45</v>
      </c>
      <c r="Z533" s="239">
        <v>0</v>
      </c>
      <c r="AA533" s="239">
        <v>0</v>
      </c>
      <c r="AB533" s="239">
        <v>1412.31</v>
      </c>
      <c r="AC533" s="239">
        <v>0</v>
      </c>
      <c r="AD533" s="239">
        <v>0</v>
      </c>
      <c r="AE533" s="239" t="s">
        <v>20</v>
      </c>
      <c r="AF533" s="239" t="s">
        <v>718</v>
      </c>
      <c r="AG533" s="239">
        <f t="shared" si="41"/>
        <v>0</v>
      </c>
      <c r="AH533" s="239">
        <f t="shared" si="42"/>
        <v>0</v>
      </c>
      <c r="AI533" s="239">
        <f t="shared" si="43"/>
        <v>0</v>
      </c>
      <c r="AJ533" s="239">
        <f t="shared" si="44"/>
        <v>0</v>
      </c>
    </row>
    <row r="534" spans="1:36" x14ac:dyDescent="0.2">
      <c r="A534" s="240" t="str">
        <f t="shared" si="40"/>
        <v>SNF-FILME100</v>
      </c>
      <c r="B534" s="239" t="s">
        <v>19</v>
      </c>
      <c r="C534" s="239" t="s">
        <v>20</v>
      </c>
      <c r="D534" s="239" t="s">
        <v>2583</v>
      </c>
      <c r="E534" s="239" t="s">
        <v>2584</v>
      </c>
      <c r="F534" s="239" t="s">
        <v>2585</v>
      </c>
      <c r="G534" s="239">
        <v>100</v>
      </c>
      <c r="H534" s="239" t="s">
        <v>928</v>
      </c>
      <c r="I534" s="239" t="s">
        <v>928</v>
      </c>
      <c r="J534" s="239" t="s">
        <v>928</v>
      </c>
      <c r="K534" s="239" t="s">
        <v>2398</v>
      </c>
      <c r="L534" s="239">
        <v>7051.76</v>
      </c>
      <c r="M534" s="239">
        <v>0</v>
      </c>
      <c r="N534" s="239">
        <v>0</v>
      </c>
      <c r="O534" s="239">
        <v>0</v>
      </c>
      <c r="P534" s="239">
        <v>0</v>
      </c>
      <c r="Q534" s="239">
        <v>0</v>
      </c>
      <c r="R534" s="239">
        <v>0</v>
      </c>
      <c r="S534" s="239">
        <v>0</v>
      </c>
      <c r="T534" s="239">
        <v>0</v>
      </c>
      <c r="U534" s="239">
        <v>0</v>
      </c>
      <c r="V534" s="239">
        <v>0</v>
      </c>
      <c r="W534" s="239">
        <v>0</v>
      </c>
      <c r="X534" s="239">
        <v>0</v>
      </c>
      <c r="Y534" s="239">
        <v>5639.45</v>
      </c>
      <c r="Z534" s="239">
        <v>0</v>
      </c>
      <c r="AA534" s="239">
        <v>0</v>
      </c>
      <c r="AB534" s="239">
        <v>1412.31</v>
      </c>
      <c r="AC534" s="239">
        <v>0</v>
      </c>
      <c r="AD534" s="239">
        <v>0</v>
      </c>
      <c r="AE534" s="239" t="s">
        <v>20</v>
      </c>
      <c r="AF534" s="239" t="s">
        <v>718</v>
      </c>
      <c r="AG534" s="239">
        <f t="shared" si="41"/>
        <v>0</v>
      </c>
      <c r="AH534" s="239">
        <f t="shared" si="42"/>
        <v>0</v>
      </c>
      <c r="AI534" s="239">
        <f t="shared" si="43"/>
        <v>0</v>
      </c>
      <c r="AJ534" s="239">
        <f t="shared" si="44"/>
        <v>0</v>
      </c>
    </row>
    <row r="535" spans="1:36" x14ac:dyDescent="0.2">
      <c r="A535" s="240" t="str">
        <f t="shared" si="40"/>
        <v>2SNF-FILMEAM25</v>
      </c>
      <c r="B535" s="239" t="s">
        <v>19</v>
      </c>
      <c r="C535" s="239" t="s">
        <v>20</v>
      </c>
      <c r="D535" s="239" t="s">
        <v>2583</v>
      </c>
      <c r="E535" s="239" t="s">
        <v>2584</v>
      </c>
      <c r="F535" s="239" t="s">
        <v>2586</v>
      </c>
      <c r="G535" s="239">
        <v>25</v>
      </c>
      <c r="H535" s="239" t="s">
        <v>928</v>
      </c>
      <c r="I535" s="239" t="s">
        <v>2484</v>
      </c>
      <c r="J535" s="239" t="s">
        <v>928</v>
      </c>
      <c r="K535" s="239" t="s">
        <v>2398</v>
      </c>
      <c r="L535" s="239">
        <v>6167.94</v>
      </c>
      <c r="M535" s="239">
        <v>0</v>
      </c>
      <c r="N535" s="239">
        <v>0</v>
      </c>
      <c r="O535" s="239">
        <v>0</v>
      </c>
      <c r="P535" s="239">
        <v>0</v>
      </c>
      <c r="Q535" s="239">
        <v>0</v>
      </c>
      <c r="R535" s="239">
        <v>0</v>
      </c>
      <c r="S535" s="239">
        <v>0</v>
      </c>
      <c r="T535" s="239">
        <v>0</v>
      </c>
      <c r="U535" s="239">
        <v>0</v>
      </c>
      <c r="V535" s="239">
        <v>0</v>
      </c>
      <c r="W535" s="239">
        <v>0</v>
      </c>
      <c r="X535" s="239">
        <v>0</v>
      </c>
      <c r="Y535" s="239">
        <v>5362.93</v>
      </c>
      <c r="Z535" s="239">
        <v>0</v>
      </c>
      <c r="AA535" s="239">
        <v>0</v>
      </c>
      <c r="AB535" s="239">
        <v>805.02</v>
      </c>
      <c r="AC535" s="239">
        <v>0</v>
      </c>
      <c r="AD535" s="239">
        <v>0</v>
      </c>
      <c r="AE535" s="239" t="s">
        <v>720</v>
      </c>
      <c r="AF535" s="239" t="s">
        <v>721</v>
      </c>
      <c r="AG535" s="239">
        <f t="shared" si="41"/>
        <v>0</v>
      </c>
      <c r="AH535" s="239">
        <f t="shared" si="42"/>
        <v>0</v>
      </c>
      <c r="AI535" s="239">
        <f t="shared" si="43"/>
        <v>0</v>
      </c>
      <c r="AJ535" s="239">
        <f t="shared" si="44"/>
        <v>0</v>
      </c>
    </row>
    <row r="536" spans="1:36" x14ac:dyDescent="0.2">
      <c r="A536" s="240" t="str">
        <f t="shared" si="40"/>
        <v>SNF-FILMEAM25</v>
      </c>
      <c r="B536" s="239" t="s">
        <v>19</v>
      </c>
      <c r="C536" s="239" t="s">
        <v>20</v>
      </c>
      <c r="D536" s="239" t="s">
        <v>2583</v>
      </c>
      <c r="E536" s="239" t="s">
        <v>2584</v>
      </c>
      <c r="F536" s="239" t="s">
        <v>2586</v>
      </c>
      <c r="G536" s="239">
        <v>25</v>
      </c>
      <c r="H536" s="239" t="s">
        <v>928</v>
      </c>
      <c r="I536" s="239" t="s">
        <v>928</v>
      </c>
      <c r="J536" s="239" t="s">
        <v>928</v>
      </c>
      <c r="K536" s="239" t="s">
        <v>2398</v>
      </c>
      <c r="L536" s="239">
        <v>6167.94</v>
      </c>
      <c r="M536" s="239">
        <v>0</v>
      </c>
      <c r="N536" s="239">
        <v>0</v>
      </c>
      <c r="O536" s="239">
        <v>0</v>
      </c>
      <c r="P536" s="239">
        <v>0</v>
      </c>
      <c r="Q536" s="239">
        <v>0</v>
      </c>
      <c r="R536" s="239">
        <v>0</v>
      </c>
      <c r="S536" s="239">
        <v>0</v>
      </c>
      <c r="T536" s="239">
        <v>0</v>
      </c>
      <c r="U536" s="239">
        <v>0</v>
      </c>
      <c r="V536" s="239">
        <v>0</v>
      </c>
      <c r="W536" s="239">
        <v>0</v>
      </c>
      <c r="X536" s="239">
        <v>0</v>
      </c>
      <c r="Y536" s="239">
        <v>5362.93</v>
      </c>
      <c r="Z536" s="239">
        <v>0</v>
      </c>
      <c r="AA536" s="239">
        <v>0</v>
      </c>
      <c r="AB536" s="239">
        <v>805.02</v>
      </c>
      <c r="AC536" s="239">
        <v>0</v>
      </c>
      <c r="AD536" s="239">
        <v>0</v>
      </c>
      <c r="AE536" s="239" t="s">
        <v>720</v>
      </c>
      <c r="AF536" s="239" t="s">
        <v>721</v>
      </c>
      <c r="AG536" s="239">
        <f t="shared" si="41"/>
        <v>0</v>
      </c>
      <c r="AH536" s="239">
        <f t="shared" si="42"/>
        <v>0</v>
      </c>
      <c r="AI536" s="239">
        <f t="shared" si="43"/>
        <v>0</v>
      </c>
      <c r="AJ536" s="239">
        <f t="shared" si="44"/>
        <v>0</v>
      </c>
    </row>
    <row r="537" spans="1:36" x14ac:dyDescent="0.2">
      <c r="A537" s="240" t="str">
        <f t="shared" si="40"/>
        <v>2SNF-FILMEAM100</v>
      </c>
      <c r="B537" s="239" t="s">
        <v>19</v>
      </c>
      <c r="C537" s="239" t="s">
        <v>20</v>
      </c>
      <c r="D537" s="239" t="s">
        <v>2583</v>
      </c>
      <c r="E537" s="239" t="s">
        <v>2584</v>
      </c>
      <c r="F537" s="239" t="s">
        <v>2586</v>
      </c>
      <c r="G537" s="239">
        <v>100</v>
      </c>
      <c r="H537" s="239" t="s">
        <v>928</v>
      </c>
      <c r="I537" s="239" t="s">
        <v>2484</v>
      </c>
      <c r="J537" s="239" t="s">
        <v>928</v>
      </c>
      <c r="K537" s="239" t="s">
        <v>2398</v>
      </c>
      <c r="L537" s="239">
        <v>10244.49</v>
      </c>
      <c r="M537" s="239">
        <v>0</v>
      </c>
      <c r="N537" s="239">
        <v>0</v>
      </c>
      <c r="O537" s="239">
        <v>0</v>
      </c>
      <c r="P537" s="239">
        <v>0</v>
      </c>
      <c r="Q537" s="239">
        <v>0</v>
      </c>
      <c r="R537" s="239">
        <v>0</v>
      </c>
      <c r="S537" s="239">
        <v>0</v>
      </c>
      <c r="T537" s="239">
        <v>0</v>
      </c>
      <c r="U537" s="239">
        <v>0</v>
      </c>
      <c r="V537" s="239">
        <v>0</v>
      </c>
      <c r="W537" s="239">
        <v>0</v>
      </c>
      <c r="X537" s="239">
        <v>0</v>
      </c>
      <c r="Y537" s="239">
        <v>8606.19</v>
      </c>
      <c r="Z537" s="239">
        <v>0</v>
      </c>
      <c r="AA537" s="239">
        <v>0</v>
      </c>
      <c r="AB537" s="239">
        <v>1638.3</v>
      </c>
      <c r="AC537" s="239">
        <v>0</v>
      </c>
      <c r="AD537" s="239">
        <v>0</v>
      </c>
      <c r="AE537" s="239" t="s">
        <v>720</v>
      </c>
      <c r="AF537" s="239" t="s">
        <v>721</v>
      </c>
      <c r="AG537" s="239">
        <f t="shared" si="41"/>
        <v>0</v>
      </c>
      <c r="AH537" s="239">
        <f t="shared" si="42"/>
        <v>0</v>
      </c>
      <c r="AI537" s="239">
        <f t="shared" si="43"/>
        <v>0</v>
      </c>
      <c r="AJ537" s="239">
        <f t="shared" si="44"/>
        <v>0</v>
      </c>
    </row>
    <row r="538" spans="1:36" x14ac:dyDescent="0.2">
      <c r="A538" s="240" t="str">
        <f t="shared" si="40"/>
        <v>SNF-FILMEAM100</v>
      </c>
      <c r="B538" s="239" t="s">
        <v>19</v>
      </c>
      <c r="C538" s="239" t="s">
        <v>20</v>
      </c>
      <c r="D538" s="239" t="s">
        <v>2583</v>
      </c>
      <c r="E538" s="239" t="s">
        <v>2584</v>
      </c>
      <c r="F538" s="239" t="s">
        <v>2586</v>
      </c>
      <c r="G538" s="239">
        <v>100</v>
      </c>
      <c r="H538" s="239" t="s">
        <v>928</v>
      </c>
      <c r="I538" s="239" t="s">
        <v>928</v>
      </c>
      <c r="J538" s="239" t="s">
        <v>928</v>
      </c>
      <c r="K538" s="239" t="s">
        <v>2398</v>
      </c>
      <c r="L538" s="239">
        <v>10244.49</v>
      </c>
      <c r="M538" s="239">
        <v>0</v>
      </c>
      <c r="N538" s="239">
        <v>0</v>
      </c>
      <c r="O538" s="239">
        <v>0</v>
      </c>
      <c r="P538" s="239">
        <v>0</v>
      </c>
      <c r="Q538" s="239">
        <v>0</v>
      </c>
      <c r="R538" s="239">
        <v>0</v>
      </c>
      <c r="S538" s="239">
        <v>0</v>
      </c>
      <c r="T538" s="239">
        <v>0</v>
      </c>
      <c r="U538" s="239">
        <v>0</v>
      </c>
      <c r="V538" s="239">
        <v>0</v>
      </c>
      <c r="W538" s="239">
        <v>0</v>
      </c>
      <c r="X538" s="239">
        <v>0</v>
      </c>
      <c r="Y538" s="239">
        <v>8606.19</v>
      </c>
      <c r="Z538" s="239">
        <v>0</v>
      </c>
      <c r="AA538" s="239">
        <v>0</v>
      </c>
      <c r="AB538" s="239">
        <v>1638.3</v>
      </c>
      <c r="AC538" s="239">
        <v>0</v>
      </c>
      <c r="AD538" s="239">
        <v>0</v>
      </c>
      <c r="AE538" s="239" t="s">
        <v>720</v>
      </c>
      <c r="AF538" s="239" t="s">
        <v>721</v>
      </c>
      <c r="AG538" s="239">
        <f t="shared" si="41"/>
        <v>0</v>
      </c>
      <c r="AH538" s="239">
        <f t="shared" si="42"/>
        <v>0</v>
      </c>
      <c r="AI538" s="239">
        <f t="shared" si="43"/>
        <v>0</v>
      </c>
      <c r="AJ538" s="239">
        <f t="shared" si="44"/>
        <v>0</v>
      </c>
    </row>
    <row r="539" spans="1:36" x14ac:dyDescent="0.2">
      <c r="A539" s="240" t="str">
        <f t="shared" si="40"/>
        <v>2SNF-FILMER20</v>
      </c>
      <c r="B539" s="239" t="s">
        <v>19</v>
      </c>
      <c r="C539" s="239" t="s">
        <v>20</v>
      </c>
      <c r="D539" s="239" t="s">
        <v>2583</v>
      </c>
      <c r="E539" s="239" t="s">
        <v>2584</v>
      </c>
      <c r="F539" s="239" t="s">
        <v>2587</v>
      </c>
      <c r="G539" s="239">
        <v>20</v>
      </c>
      <c r="H539" s="239" t="s">
        <v>928</v>
      </c>
      <c r="I539" s="239" t="s">
        <v>2484</v>
      </c>
      <c r="J539" s="239" t="s">
        <v>928</v>
      </c>
      <c r="K539" s="239" t="s">
        <v>2398</v>
      </c>
      <c r="L539" s="239">
        <v>4712.5200000000004</v>
      </c>
      <c r="M539" s="239">
        <v>0</v>
      </c>
      <c r="N539" s="239">
        <v>0</v>
      </c>
      <c r="O539" s="239">
        <v>0</v>
      </c>
      <c r="P539" s="239">
        <v>0</v>
      </c>
      <c r="Q539" s="239">
        <v>0</v>
      </c>
      <c r="R539" s="239">
        <v>0</v>
      </c>
      <c r="S539" s="239">
        <v>0</v>
      </c>
      <c r="T539" s="239">
        <v>0</v>
      </c>
      <c r="U539" s="239">
        <v>0</v>
      </c>
      <c r="V539" s="239">
        <v>0</v>
      </c>
      <c r="W539" s="239">
        <v>0</v>
      </c>
      <c r="X539" s="239">
        <v>0</v>
      </c>
      <c r="Y539" s="239">
        <v>3766.27</v>
      </c>
      <c r="Z539" s="239">
        <v>0</v>
      </c>
      <c r="AA539" s="239">
        <v>0</v>
      </c>
      <c r="AB539" s="239">
        <v>946.25</v>
      </c>
      <c r="AC539" s="239">
        <v>0</v>
      </c>
      <c r="AD539" s="239">
        <v>0</v>
      </c>
      <c r="AE539" s="239" t="s">
        <v>720</v>
      </c>
      <c r="AF539" s="239" t="s">
        <v>721</v>
      </c>
      <c r="AG539" s="239">
        <f t="shared" si="41"/>
        <v>0</v>
      </c>
      <c r="AH539" s="239">
        <f t="shared" si="42"/>
        <v>0</v>
      </c>
      <c r="AI539" s="239">
        <f t="shared" si="43"/>
        <v>0</v>
      </c>
      <c r="AJ539" s="239">
        <f t="shared" si="44"/>
        <v>0</v>
      </c>
    </row>
    <row r="540" spans="1:36" x14ac:dyDescent="0.2">
      <c r="A540" s="240" t="str">
        <f t="shared" si="40"/>
        <v>SNF-FILMER20</v>
      </c>
      <c r="B540" s="239" t="s">
        <v>19</v>
      </c>
      <c r="C540" s="239" t="s">
        <v>20</v>
      </c>
      <c r="D540" s="239" t="s">
        <v>2583</v>
      </c>
      <c r="E540" s="239" t="s">
        <v>2584</v>
      </c>
      <c r="F540" s="239" t="s">
        <v>2587</v>
      </c>
      <c r="G540" s="239">
        <v>20</v>
      </c>
      <c r="H540" s="239" t="s">
        <v>928</v>
      </c>
      <c r="I540" s="239" t="s">
        <v>928</v>
      </c>
      <c r="J540" s="239" t="s">
        <v>928</v>
      </c>
      <c r="K540" s="239" t="s">
        <v>2398</v>
      </c>
      <c r="L540" s="239">
        <v>4712.5200000000004</v>
      </c>
      <c r="M540" s="239">
        <v>0</v>
      </c>
      <c r="N540" s="239">
        <v>0</v>
      </c>
      <c r="O540" s="239">
        <v>0</v>
      </c>
      <c r="P540" s="239">
        <v>0</v>
      </c>
      <c r="Q540" s="239">
        <v>0</v>
      </c>
      <c r="R540" s="239">
        <v>0</v>
      </c>
      <c r="S540" s="239">
        <v>0</v>
      </c>
      <c r="T540" s="239">
        <v>0</v>
      </c>
      <c r="U540" s="239">
        <v>0</v>
      </c>
      <c r="V540" s="239">
        <v>0</v>
      </c>
      <c r="W540" s="239">
        <v>0</v>
      </c>
      <c r="X540" s="239">
        <v>0</v>
      </c>
      <c r="Y540" s="239">
        <v>3766.27</v>
      </c>
      <c r="Z540" s="239">
        <v>0</v>
      </c>
      <c r="AA540" s="239">
        <v>0</v>
      </c>
      <c r="AB540" s="239">
        <v>946.25</v>
      </c>
      <c r="AC540" s="239">
        <v>0</v>
      </c>
      <c r="AD540" s="239">
        <v>0</v>
      </c>
      <c r="AE540" s="239" t="s">
        <v>720</v>
      </c>
      <c r="AF540" s="239" t="s">
        <v>721</v>
      </c>
      <c r="AG540" s="239">
        <f t="shared" si="41"/>
        <v>0</v>
      </c>
      <c r="AH540" s="239">
        <f t="shared" si="42"/>
        <v>0</v>
      </c>
      <c r="AI540" s="239">
        <f t="shared" si="43"/>
        <v>0</v>
      </c>
      <c r="AJ540" s="239">
        <f t="shared" si="44"/>
        <v>0</v>
      </c>
    </row>
    <row r="541" spans="1:36" x14ac:dyDescent="0.2">
      <c r="A541" s="240" t="str">
        <f t="shared" si="40"/>
        <v>2SNF-FILMEV225</v>
      </c>
      <c r="B541" s="239" t="s">
        <v>19</v>
      </c>
      <c r="C541" s="239" t="s">
        <v>20</v>
      </c>
      <c r="D541" s="239" t="s">
        <v>2583</v>
      </c>
      <c r="E541" s="239" t="s">
        <v>2584</v>
      </c>
      <c r="F541" s="239" t="s">
        <v>2588</v>
      </c>
      <c r="G541" s="239">
        <v>25</v>
      </c>
      <c r="H541" s="239" t="s">
        <v>928</v>
      </c>
      <c r="I541" s="239" t="s">
        <v>2484</v>
      </c>
      <c r="J541" s="239" t="s">
        <v>928</v>
      </c>
      <c r="K541" s="239" t="s">
        <v>2398</v>
      </c>
      <c r="L541" s="239">
        <v>4956.55</v>
      </c>
      <c r="M541" s="239">
        <v>0</v>
      </c>
      <c r="N541" s="239">
        <v>0</v>
      </c>
      <c r="O541" s="239">
        <v>0</v>
      </c>
      <c r="P541" s="239">
        <v>0</v>
      </c>
      <c r="Q541" s="239">
        <v>0</v>
      </c>
      <c r="R541" s="239">
        <v>0</v>
      </c>
      <c r="S541" s="239">
        <v>0</v>
      </c>
      <c r="T541" s="239">
        <v>0</v>
      </c>
      <c r="U541" s="239">
        <v>0</v>
      </c>
      <c r="V541" s="239">
        <v>0</v>
      </c>
      <c r="W541" s="239">
        <v>0</v>
      </c>
      <c r="X541" s="239">
        <v>0</v>
      </c>
      <c r="Y541" s="239">
        <v>4279.2299999999996</v>
      </c>
      <c r="Z541" s="239">
        <v>0</v>
      </c>
      <c r="AA541" s="239">
        <v>0</v>
      </c>
      <c r="AB541" s="239">
        <v>677.32</v>
      </c>
      <c r="AC541" s="239">
        <v>0</v>
      </c>
      <c r="AD541" s="239">
        <v>0</v>
      </c>
      <c r="AE541" s="239" t="s">
        <v>720</v>
      </c>
      <c r="AF541" s="239" t="s">
        <v>721</v>
      </c>
      <c r="AG541" s="239">
        <f t="shared" si="41"/>
        <v>0</v>
      </c>
      <c r="AH541" s="239">
        <f t="shared" si="42"/>
        <v>0</v>
      </c>
      <c r="AI541" s="239">
        <f t="shared" si="43"/>
        <v>0</v>
      </c>
      <c r="AJ541" s="239">
        <f t="shared" si="44"/>
        <v>0</v>
      </c>
    </row>
    <row r="542" spans="1:36" x14ac:dyDescent="0.2">
      <c r="A542" s="240" t="str">
        <f t="shared" si="40"/>
        <v>SNF-FILMEV225</v>
      </c>
      <c r="B542" s="239" t="s">
        <v>19</v>
      </c>
      <c r="C542" s="239" t="s">
        <v>20</v>
      </c>
      <c r="D542" s="239" t="s">
        <v>2583</v>
      </c>
      <c r="E542" s="239" t="s">
        <v>2584</v>
      </c>
      <c r="F542" s="239" t="s">
        <v>2588</v>
      </c>
      <c r="G542" s="239">
        <v>25</v>
      </c>
      <c r="H542" s="239" t="s">
        <v>928</v>
      </c>
      <c r="I542" s="239" t="s">
        <v>928</v>
      </c>
      <c r="J542" s="239" t="s">
        <v>928</v>
      </c>
      <c r="K542" s="239" t="s">
        <v>2398</v>
      </c>
      <c r="L542" s="239">
        <v>4956.55</v>
      </c>
      <c r="M542" s="239">
        <v>0</v>
      </c>
      <c r="N542" s="239">
        <v>0</v>
      </c>
      <c r="O542" s="239">
        <v>0</v>
      </c>
      <c r="P542" s="239">
        <v>0</v>
      </c>
      <c r="Q542" s="239">
        <v>0</v>
      </c>
      <c r="R542" s="239">
        <v>0</v>
      </c>
      <c r="S542" s="239">
        <v>0</v>
      </c>
      <c r="T542" s="239">
        <v>0</v>
      </c>
      <c r="U542" s="239">
        <v>0</v>
      </c>
      <c r="V542" s="239">
        <v>0</v>
      </c>
      <c r="W542" s="239">
        <v>0</v>
      </c>
      <c r="X542" s="239">
        <v>0</v>
      </c>
      <c r="Y542" s="239">
        <v>4279.2299999999996</v>
      </c>
      <c r="Z542" s="239">
        <v>0</v>
      </c>
      <c r="AA542" s="239">
        <v>0</v>
      </c>
      <c r="AB542" s="239">
        <v>677.32</v>
      </c>
      <c r="AC542" s="239">
        <v>0</v>
      </c>
      <c r="AD542" s="239">
        <v>0</v>
      </c>
      <c r="AE542" s="239" t="s">
        <v>720</v>
      </c>
      <c r="AF542" s="239" t="s">
        <v>721</v>
      </c>
      <c r="AG542" s="239">
        <f t="shared" si="41"/>
        <v>0</v>
      </c>
      <c r="AH542" s="239">
        <f t="shared" si="42"/>
        <v>0</v>
      </c>
      <c r="AI542" s="239">
        <f t="shared" si="43"/>
        <v>0</v>
      </c>
      <c r="AJ542" s="239">
        <f t="shared" si="44"/>
        <v>0</v>
      </c>
    </row>
    <row r="543" spans="1:36" x14ac:dyDescent="0.2">
      <c r="A543" s="240" t="str">
        <f t="shared" si="40"/>
        <v>2SNF-FILMEV250</v>
      </c>
      <c r="B543" s="239" t="s">
        <v>19</v>
      </c>
      <c r="C543" s="239" t="s">
        <v>20</v>
      </c>
      <c r="D543" s="239" t="s">
        <v>2583</v>
      </c>
      <c r="E543" s="239" t="s">
        <v>2584</v>
      </c>
      <c r="F543" s="239" t="s">
        <v>2588</v>
      </c>
      <c r="G543" s="239">
        <v>50</v>
      </c>
      <c r="H543" s="239" t="s">
        <v>928</v>
      </c>
      <c r="I543" s="239" t="s">
        <v>2484</v>
      </c>
      <c r="J543" s="239" t="s">
        <v>928</v>
      </c>
      <c r="K543" s="239" t="s">
        <v>2398</v>
      </c>
      <c r="L543" s="239">
        <v>5120.07</v>
      </c>
      <c r="M543" s="239">
        <v>0</v>
      </c>
      <c r="N543" s="239">
        <v>0</v>
      </c>
      <c r="O543" s="239">
        <v>0</v>
      </c>
      <c r="P543" s="239">
        <v>0</v>
      </c>
      <c r="Q543" s="239">
        <v>0</v>
      </c>
      <c r="R543" s="239">
        <v>0</v>
      </c>
      <c r="S543" s="239">
        <v>0</v>
      </c>
      <c r="T543" s="239">
        <v>0</v>
      </c>
      <c r="U543" s="239">
        <v>0</v>
      </c>
      <c r="V543" s="239">
        <v>0</v>
      </c>
      <c r="W543" s="239">
        <v>0</v>
      </c>
      <c r="X543" s="239">
        <v>0</v>
      </c>
      <c r="Y543" s="239">
        <v>3792.46</v>
      </c>
      <c r="Z543" s="239">
        <v>0</v>
      </c>
      <c r="AA543" s="239">
        <v>0</v>
      </c>
      <c r="AB543" s="239">
        <v>1327.61</v>
      </c>
      <c r="AC543" s="239">
        <v>0</v>
      </c>
      <c r="AD543" s="239">
        <v>0</v>
      </c>
      <c r="AE543" s="239" t="s">
        <v>720</v>
      </c>
      <c r="AF543" s="239" t="s">
        <v>721</v>
      </c>
      <c r="AG543" s="239">
        <f t="shared" si="41"/>
        <v>0</v>
      </c>
      <c r="AH543" s="239">
        <f t="shared" si="42"/>
        <v>0</v>
      </c>
      <c r="AI543" s="239">
        <f t="shared" si="43"/>
        <v>0</v>
      </c>
      <c r="AJ543" s="239">
        <f t="shared" si="44"/>
        <v>0</v>
      </c>
    </row>
    <row r="544" spans="1:36" x14ac:dyDescent="0.2">
      <c r="A544" s="240" t="str">
        <f t="shared" si="40"/>
        <v>SNF-FILMEV250</v>
      </c>
      <c r="B544" s="239" t="s">
        <v>19</v>
      </c>
      <c r="C544" s="239" t="s">
        <v>20</v>
      </c>
      <c r="D544" s="239" t="s">
        <v>2583</v>
      </c>
      <c r="E544" s="239" t="s">
        <v>2584</v>
      </c>
      <c r="F544" s="239" t="s">
        <v>2588</v>
      </c>
      <c r="G544" s="239">
        <v>50</v>
      </c>
      <c r="H544" s="239" t="s">
        <v>928</v>
      </c>
      <c r="I544" s="239" t="s">
        <v>928</v>
      </c>
      <c r="J544" s="239" t="s">
        <v>928</v>
      </c>
      <c r="K544" s="239" t="s">
        <v>2398</v>
      </c>
      <c r="L544" s="239">
        <v>5120.07</v>
      </c>
      <c r="M544" s="239">
        <v>0</v>
      </c>
      <c r="N544" s="239">
        <v>0</v>
      </c>
      <c r="O544" s="239">
        <v>0</v>
      </c>
      <c r="P544" s="239">
        <v>0</v>
      </c>
      <c r="Q544" s="239">
        <v>0</v>
      </c>
      <c r="R544" s="239">
        <v>0</v>
      </c>
      <c r="S544" s="239">
        <v>0</v>
      </c>
      <c r="T544" s="239">
        <v>0</v>
      </c>
      <c r="U544" s="239">
        <v>0</v>
      </c>
      <c r="V544" s="239">
        <v>0</v>
      </c>
      <c r="W544" s="239">
        <v>0</v>
      </c>
      <c r="X544" s="239">
        <v>0</v>
      </c>
      <c r="Y544" s="239">
        <v>3792.46</v>
      </c>
      <c r="Z544" s="239">
        <v>0</v>
      </c>
      <c r="AA544" s="239">
        <v>0</v>
      </c>
      <c r="AB544" s="239">
        <v>1327.61</v>
      </c>
      <c r="AC544" s="239">
        <v>0</v>
      </c>
      <c r="AD544" s="239">
        <v>0</v>
      </c>
      <c r="AE544" s="239" t="s">
        <v>720</v>
      </c>
      <c r="AF544" s="239" t="s">
        <v>721</v>
      </c>
      <c r="AG544" s="239">
        <f t="shared" si="41"/>
        <v>0</v>
      </c>
      <c r="AH544" s="239">
        <f t="shared" si="42"/>
        <v>0</v>
      </c>
      <c r="AI544" s="239">
        <f t="shared" si="43"/>
        <v>0</v>
      </c>
      <c r="AJ544" s="239">
        <f t="shared" si="44"/>
        <v>0</v>
      </c>
    </row>
    <row r="545" spans="1:36" x14ac:dyDescent="0.2">
      <c r="A545" s="240" t="str">
        <f t="shared" si="40"/>
        <v>2SNF-FILMF12</v>
      </c>
      <c r="B545" s="239" t="s">
        <v>19</v>
      </c>
      <c r="C545" s="239" t="s">
        <v>20</v>
      </c>
      <c r="D545" s="239" t="s">
        <v>2583</v>
      </c>
      <c r="E545" s="239" t="s">
        <v>2584</v>
      </c>
      <c r="F545" s="239" t="s">
        <v>2589</v>
      </c>
      <c r="G545" s="239">
        <v>12</v>
      </c>
      <c r="H545" s="239" t="s">
        <v>928</v>
      </c>
      <c r="I545" s="239" t="s">
        <v>2484</v>
      </c>
      <c r="J545" s="239" t="s">
        <v>928</v>
      </c>
      <c r="K545" s="239" t="s">
        <v>2398</v>
      </c>
      <c r="L545" s="239">
        <v>10040.23</v>
      </c>
      <c r="M545" s="239">
        <v>0</v>
      </c>
      <c r="N545" s="239">
        <v>0</v>
      </c>
      <c r="O545" s="239">
        <v>0</v>
      </c>
      <c r="P545" s="239">
        <v>0</v>
      </c>
      <c r="Q545" s="239">
        <v>0</v>
      </c>
      <c r="R545" s="239">
        <v>0</v>
      </c>
      <c r="S545" s="239">
        <v>0</v>
      </c>
      <c r="T545" s="239">
        <v>0</v>
      </c>
      <c r="U545" s="239">
        <v>0</v>
      </c>
      <c r="V545" s="239">
        <v>0</v>
      </c>
      <c r="W545" s="239">
        <v>0</v>
      </c>
      <c r="X545" s="239">
        <v>0</v>
      </c>
      <c r="Y545" s="239">
        <v>7206.19</v>
      </c>
      <c r="Z545" s="239">
        <v>0</v>
      </c>
      <c r="AA545" s="239">
        <v>0</v>
      </c>
      <c r="AB545" s="239">
        <v>2834.04</v>
      </c>
      <c r="AC545" s="239">
        <v>0</v>
      </c>
      <c r="AD545" s="239">
        <v>0</v>
      </c>
      <c r="AE545" s="239" t="s">
        <v>720</v>
      </c>
      <c r="AF545" s="239" t="s">
        <v>721</v>
      </c>
      <c r="AG545" s="239">
        <f t="shared" si="41"/>
        <v>0</v>
      </c>
      <c r="AH545" s="239">
        <f t="shared" si="42"/>
        <v>0</v>
      </c>
      <c r="AI545" s="239">
        <f t="shared" si="43"/>
        <v>0</v>
      </c>
      <c r="AJ545" s="239">
        <f t="shared" si="44"/>
        <v>0</v>
      </c>
    </row>
    <row r="546" spans="1:36" x14ac:dyDescent="0.2">
      <c r="A546" s="240" t="str">
        <f t="shared" si="40"/>
        <v>SNF-FILMF12</v>
      </c>
      <c r="B546" s="239" t="s">
        <v>19</v>
      </c>
      <c r="C546" s="239" t="s">
        <v>20</v>
      </c>
      <c r="D546" s="239" t="s">
        <v>2583</v>
      </c>
      <c r="E546" s="239" t="s">
        <v>2584</v>
      </c>
      <c r="F546" s="239" t="s">
        <v>2589</v>
      </c>
      <c r="G546" s="239">
        <v>12</v>
      </c>
      <c r="H546" s="239" t="s">
        <v>928</v>
      </c>
      <c r="I546" s="239" t="s">
        <v>928</v>
      </c>
      <c r="J546" s="239" t="s">
        <v>928</v>
      </c>
      <c r="K546" s="239" t="s">
        <v>2398</v>
      </c>
      <c r="L546" s="239">
        <v>10040.23</v>
      </c>
      <c r="M546" s="239">
        <v>0</v>
      </c>
      <c r="N546" s="239">
        <v>0</v>
      </c>
      <c r="O546" s="239">
        <v>0</v>
      </c>
      <c r="P546" s="239">
        <v>0</v>
      </c>
      <c r="Q546" s="239">
        <v>0</v>
      </c>
      <c r="R546" s="239">
        <v>0</v>
      </c>
      <c r="S546" s="239">
        <v>0</v>
      </c>
      <c r="T546" s="239">
        <v>0</v>
      </c>
      <c r="U546" s="239">
        <v>0</v>
      </c>
      <c r="V546" s="239">
        <v>0</v>
      </c>
      <c r="W546" s="239">
        <v>0</v>
      </c>
      <c r="X546" s="239">
        <v>0</v>
      </c>
      <c r="Y546" s="239">
        <v>7206.19</v>
      </c>
      <c r="Z546" s="239">
        <v>0</v>
      </c>
      <c r="AA546" s="239">
        <v>0</v>
      </c>
      <c r="AB546" s="239">
        <v>2834.04</v>
      </c>
      <c r="AC546" s="239">
        <v>0</v>
      </c>
      <c r="AD546" s="239">
        <v>0</v>
      </c>
      <c r="AE546" s="239" t="s">
        <v>720</v>
      </c>
      <c r="AF546" s="239" t="s">
        <v>721</v>
      </c>
      <c r="AG546" s="239">
        <f t="shared" si="41"/>
        <v>0</v>
      </c>
      <c r="AH546" s="239">
        <f t="shared" si="42"/>
        <v>0</v>
      </c>
      <c r="AI546" s="239">
        <f t="shared" si="43"/>
        <v>0</v>
      </c>
      <c r="AJ546" s="239">
        <f t="shared" si="44"/>
        <v>0</v>
      </c>
    </row>
    <row r="547" spans="1:36" x14ac:dyDescent="0.2">
      <c r="A547" s="240" t="str">
        <f t="shared" si="40"/>
        <v>2SNF-FILMF25</v>
      </c>
      <c r="B547" s="239" t="s">
        <v>19</v>
      </c>
      <c r="C547" s="239" t="s">
        <v>20</v>
      </c>
      <c r="D547" s="239" t="s">
        <v>2583</v>
      </c>
      <c r="E547" s="239" t="s">
        <v>2584</v>
      </c>
      <c r="F547" s="239" t="s">
        <v>2589</v>
      </c>
      <c r="G547" s="239">
        <v>25</v>
      </c>
      <c r="H547" s="239" t="s">
        <v>928</v>
      </c>
      <c r="I547" s="239" t="s">
        <v>2484</v>
      </c>
      <c r="J547" s="239" t="s">
        <v>928</v>
      </c>
      <c r="K547" s="239" t="s">
        <v>2398</v>
      </c>
      <c r="L547" s="239">
        <v>5995.52</v>
      </c>
      <c r="M547" s="239">
        <v>0</v>
      </c>
      <c r="N547" s="239">
        <v>0</v>
      </c>
      <c r="O547" s="239">
        <v>0</v>
      </c>
      <c r="P547" s="239">
        <v>0</v>
      </c>
      <c r="Q547" s="239">
        <v>0</v>
      </c>
      <c r="R547" s="239">
        <v>0</v>
      </c>
      <c r="S547" s="239">
        <v>0</v>
      </c>
      <c r="T547" s="239">
        <v>0</v>
      </c>
      <c r="U547" s="239">
        <v>0</v>
      </c>
      <c r="V547" s="239">
        <v>0</v>
      </c>
      <c r="W547" s="239">
        <v>0</v>
      </c>
      <c r="X547" s="239">
        <v>0</v>
      </c>
      <c r="Y547" s="239">
        <v>4881.8100000000004</v>
      </c>
      <c r="Z547" s="239">
        <v>0</v>
      </c>
      <c r="AA547" s="239">
        <v>0</v>
      </c>
      <c r="AB547" s="239">
        <v>1113.71</v>
      </c>
      <c r="AC547" s="239">
        <v>0</v>
      </c>
      <c r="AD547" s="239">
        <v>0</v>
      </c>
      <c r="AE547" s="239" t="s">
        <v>720</v>
      </c>
      <c r="AF547" s="239" t="s">
        <v>721</v>
      </c>
      <c r="AG547" s="239">
        <f t="shared" si="41"/>
        <v>0</v>
      </c>
      <c r="AH547" s="239">
        <f t="shared" si="42"/>
        <v>0</v>
      </c>
      <c r="AI547" s="239">
        <f t="shared" si="43"/>
        <v>0</v>
      </c>
      <c r="AJ547" s="239">
        <f t="shared" si="44"/>
        <v>0</v>
      </c>
    </row>
    <row r="548" spans="1:36" x14ac:dyDescent="0.2">
      <c r="A548" s="240" t="str">
        <f t="shared" si="40"/>
        <v>SNF-FILMF25</v>
      </c>
      <c r="B548" s="239" t="s">
        <v>19</v>
      </c>
      <c r="C548" s="239" t="s">
        <v>20</v>
      </c>
      <c r="D548" s="239" t="s">
        <v>2583</v>
      </c>
      <c r="E548" s="239" t="s">
        <v>2584</v>
      </c>
      <c r="F548" s="239" t="s">
        <v>2589</v>
      </c>
      <c r="G548" s="239">
        <v>25</v>
      </c>
      <c r="H548" s="239" t="s">
        <v>928</v>
      </c>
      <c r="I548" s="239" t="s">
        <v>928</v>
      </c>
      <c r="J548" s="239" t="s">
        <v>928</v>
      </c>
      <c r="K548" s="239" t="s">
        <v>2398</v>
      </c>
      <c r="L548" s="239">
        <v>5995.52</v>
      </c>
      <c r="M548" s="239">
        <v>0</v>
      </c>
      <c r="N548" s="239">
        <v>0</v>
      </c>
      <c r="O548" s="239">
        <v>0</v>
      </c>
      <c r="P548" s="239">
        <v>0</v>
      </c>
      <c r="Q548" s="239">
        <v>0</v>
      </c>
      <c r="R548" s="239">
        <v>0</v>
      </c>
      <c r="S548" s="239">
        <v>0</v>
      </c>
      <c r="T548" s="239">
        <v>0</v>
      </c>
      <c r="U548" s="239">
        <v>0</v>
      </c>
      <c r="V548" s="239">
        <v>0</v>
      </c>
      <c r="W548" s="239">
        <v>0</v>
      </c>
      <c r="X548" s="239">
        <v>0</v>
      </c>
      <c r="Y548" s="239">
        <v>4881.8100000000004</v>
      </c>
      <c r="Z548" s="239">
        <v>0</v>
      </c>
      <c r="AA548" s="239">
        <v>0</v>
      </c>
      <c r="AB548" s="239">
        <v>1113.71</v>
      </c>
      <c r="AC548" s="239">
        <v>0</v>
      </c>
      <c r="AD548" s="239">
        <v>0</v>
      </c>
      <c r="AE548" s="239" t="s">
        <v>720</v>
      </c>
      <c r="AF548" s="239" t="s">
        <v>721</v>
      </c>
      <c r="AG548" s="239">
        <f t="shared" si="41"/>
        <v>0</v>
      </c>
      <c r="AH548" s="239">
        <f t="shared" si="42"/>
        <v>0</v>
      </c>
      <c r="AI548" s="239">
        <f t="shared" si="43"/>
        <v>0</v>
      </c>
      <c r="AJ548" s="239">
        <f t="shared" si="44"/>
        <v>0</v>
      </c>
    </row>
    <row r="549" spans="1:36" x14ac:dyDescent="0.2">
      <c r="A549" s="240" t="str">
        <f t="shared" si="40"/>
        <v>2SNF-FILMF50</v>
      </c>
      <c r="B549" s="239" t="s">
        <v>19</v>
      </c>
      <c r="C549" s="239" t="s">
        <v>20</v>
      </c>
      <c r="D549" s="239" t="s">
        <v>2583</v>
      </c>
      <c r="E549" s="239" t="s">
        <v>2584</v>
      </c>
      <c r="F549" s="239" t="s">
        <v>2589</v>
      </c>
      <c r="G549" s="239">
        <v>50</v>
      </c>
      <c r="H549" s="239" t="s">
        <v>928</v>
      </c>
      <c r="I549" s="239" t="s">
        <v>2484</v>
      </c>
      <c r="J549" s="239" t="s">
        <v>928</v>
      </c>
      <c r="K549" s="239" t="s">
        <v>2398</v>
      </c>
      <c r="L549" s="239">
        <v>5196.26</v>
      </c>
      <c r="M549" s="239">
        <v>0</v>
      </c>
      <c r="N549" s="239">
        <v>0</v>
      </c>
      <c r="O549" s="239">
        <v>0</v>
      </c>
      <c r="P549" s="239">
        <v>0</v>
      </c>
      <c r="Q549" s="239">
        <v>0</v>
      </c>
      <c r="R549" s="239">
        <v>0</v>
      </c>
      <c r="S549" s="239">
        <v>0</v>
      </c>
      <c r="T549" s="239">
        <v>0</v>
      </c>
      <c r="U549" s="239">
        <v>0</v>
      </c>
      <c r="V549" s="239">
        <v>0</v>
      </c>
      <c r="W549" s="239">
        <v>0</v>
      </c>
      <c r="X549" s="239">
        <v>0</v>
      </c>
      <c r="Y549" s="239">
        <v>4038.16</v>
      </c>
      <c r="Z549" s="239">
        <v>0</v>
      </c>
      <c r="AA549" s="239">
        <v>0</v>
      </c>
      <c r="AB549" s="239">
        <v>1158.0899999999999</v>
      </c>
      <c r="AC549" s="239">
        <v>0</v>
      </c>
      <c r="AD549" s="239">
        <v>0</v>
      </c>
      <c r="AE549" s="239" t="s">
        <v>720</v>
      </c>
      <c r="AF549" s="239" t="s">
        <v>721</v>
      </c>
      <c r="AG549" s="239">
        <f t="shared" si="41"/>
        <v>0</v>
      </c>
      <c r="AH549" s="239">
        <f t="shared" si="42"/>
        <v>0</v>
      </c>
      <c r="AI549" s="239">
        <f t="shared" si="43"/>
        <v>0</v>
      </c>
      <c r="AJ549" s="239">
        <f t="shared" si="44"/>
        <v>0</v>
      </c>
    </row>
    <row r="550" spans="1:36" x14ac:dyDescent="0.2">
      <c r="A550" s="240" t="str">
        <f t="shared" si="40"/>
        <v>SNF-FILMF50</v>
      </c>
      <c r="B550" s="239" t="s">
        <v>19</v>
      </c>
      <c r="C550" s="239" t="s">
        <v>20</v>
      </c>
      <c r="D550" s="239" t="s">
        <v>2583</v>
      </c>
      <c r="E550" s="239" t="s">
        <v>2584</v>
      </c>
      <c r="F550" s="239" t="s">
        <v>2589</v>
      </c>
      <c r="G550" s="239">
        <v>50</v>
      </c>
      <c r="H550" s="239" t="s">
        <v>928</v>
      </c>
      <c r="I550" s="239" t="s">
        <v>928</v>
      </c>
      <c r="J550" s="239" t="s">
        <v>928</v>
      </c>
      <c r="K550" s="239" t="s">
        <v>2398</v>
      </c>
      <c r="L550" s="239">
        <v>5196.26</v>
      </c>
      <c r="M550" s="239">
        <v>0</v>
      </c>
      <c r="N550" s="239">
        <v>0</v>
      </c>
      <c r="O550" s="239">
        <v>0</v>
      </c>
      <c r="P550" s="239">
        <v>0</v>
      </c>
      <c r="Q550" s="239">
        <v>0</v>
      </c>
      <c r="R550" s="239">
        <v>0</v>
      </c>
      <c r="S550" s="239">
        <v>0</v>
      </c>
      <c r="T550" s="239">
        <v>0</v>
      </c>
      <c r="U550" s="239">
        <v>0</v>
      </c>
      <c r="V550" s="239">
        <v>0</v>
      </c>
      <c r="W550" s="239">
        <v>0</v>
      </c>
      <c r="X550" s="239">
        <v>0</v>
      </c>
      <c r="Y550" s="239">
        <v>4038.16</v>
      </c>
      <c r="Z550" s="239">
        <v>0</v>
      </c>
      <c r="AA550" s="239">
        <v>0</v>
      </c>
      <c r="AB550" s="239">
        <v>1158.0899999999999</v>
      </c>
      <c r="AC550" s="239">
        <v>0</v>
      </c>
      <c r="AD550" s="239">
        <v>0</v>
      </c>
      <c r="AE550" s="239" t="s">
        <v>720</v>
      </c>
      <c r="AF550" s="239" t="s">
        <v>721</v>
      </c>
      <c r="AG550" s="239">
        <f t="shared" si="41"/>
        <v>0</v>
      </c>
      <c r="AH550" s="239">
        <f t="shared" si="42"/>
        <v>0</v>
      </c>
      <c r="AI550" s="239">
        <f t="shared" si="43"/>
        <v>0</v>
      </c>
      <c r="AJ550" s="239">
        <f t="shared" si="44"/>
        <v>0</v>
      </c>
    </row>
    <row r="551" spans="1:36" x14ac:dyDescent="0.2">
      <c r="A551" s="240" t="str">
        <f t="shared" si="40"/>
        <v>2SNF-FILMF100</v>
      </c>
      <c r="B551" s="239" t="s">
        <v>19</v>
      </c>
      <c r="C551" s="239" t="s">
        <v>20</v>
      </c>
      <c r="D551" s="239" t="s">
        <v>2583</v>
      </c>
      <c r="E551" s="239" t="s">
        <v>2584</v>
      </c>
      <c r="F551" s="239" t="s">
        <v>2589</v>
      </c>
      <c r="G551" s="239">
        <v>100</v>
      </c>
      <c r="H551" s="239" t="s">
        <v>928</v>
      </c>
      <c r="I551" s="239" t="s">
        <v>2484</v>
      </c>
      <c r="J551" s="239" t="s">
        <v>928</v>
      </c>
      <c r="K551" s="239" t="s">
        <v>2398</v>
      </c>
      <c r="L551" s="239">
        <v>9521.9599999999991</v>
      </c>
      <c r="M551" s="239">
        <v>0</v>
      </c>
      <c r="N551" s="239">
        <v>0</v>
      </c>
      <c r="O551" s="239">
        <v>0</v>
      </c>
      <c r="P551" s="239">
        <v>0</v>
      </c>
      <c r="Q551" s="239">
        <v>0</v>
      </c>
      <c r="R551" s="239">
        <v>0</v>
      </c>
      <c r="S551" s="239">
        <v>0</v>
      </c>
      <c r="T551" s="239">
        <v>0</v>
      </c>
      <c r="U551" s="239">
        <v>0</v>
      </c>
      <c r="V551" s="239">
        <v>0</v>
      </c>
      <c r="W551" s="239">
        <v>0</v>
      </c>
      <c r="X551" s="239">
        <v>0</v>
      </c>
      <c r="Y551" s="239">
        <v>7064.54</v>
      </c>
      <c r="Z551" s="239">
        <v>0</v>
      </c>
      <c r="AA551" s="239">
        <v>0</v>
      </c>
      <c r="AB551" s="239">
        <v>2457.42</v>
      </c>
      <c r="AC551" s="239">
        <v>0</v>
      </c>
      <c r="AD551" s="239">
        <v>0</v>
      </c>
      <c r="AE551" s="239" t="s">
        <v>720</v>
      </c>
      <c r="AF551" s="239" t="s">
        <v>721</v>
      </c>
      <c r="AG551" s="239">
        <f t="shared" si="41"/>
        <v>0</v>
      </c>
      <c r="AH551" s="239">
        <f t="shared" si="42"/>
        <v>0</v>
      </c>
      <c r="AI551" s="239">
        <f t="shared" si="43"/>
        <v>0</v>
      </c>
      <c r="AJ551" s="239">
        <f t="shared" si="44"/>
        <v>0</v>
      </c>
    </row>
    <row r="552" spans="1:36" x14ac:dyDescent="0.2">
      <c r="A552" s="240" t="str">
        <f t="shared" si="40"/>
        <v>SNF-FILMF100</v>
      </c>
      <c r="B552" s="239" t="s">
        <v>19</v>
      </c>
      <c r="C552" s="239" t="s">
        <v>20</v>
      </c>
      <c r="D552" s="239" t="s">
        <v>2583</v>
      </c>
      <c r="E552" s="239" t="s">
        <v>2584</v>
      </c>
      <c r="F552" s="239" t="s">
        <v>2589</v>
      </c>
      <c r="G552" s="239">
        <v>100</v>
      </c>
      <c r="H552" s="239" t="s">
        <v>928</v>
      </c>
      <c r="I552" s="239" t="s">
        <v>928</v>
      </c>
      <c r="J552" s="239" t="s">
        <v>928</v>
      </c>
      <c r="K552" s="239" t="s">
        <v>2398</v>
      </c>
      <c r="L552" s="239">
        <v>9521.9599999999991</v>
      </c>
      <c r="M552" s="239">
        <v>0</v>
      </c>
      <c r="N552" s="239">
        <v>0</v>
      </c>
      <c r="O552" s="239">
        <v>0</v>
      </c>
      <c r="P552" s="239">
        <v>0</v>
      </c>
      <c r="Q552" s="239">
        <v>0</v>
      </c>
      <c r="R552" s="239">
        <v>0</v>
      </c>
      <c r="S552" s="239">
        <v>0</v>
      </c>
      <c r="T552" s="239">
        <v>0</v>
      </c>
      <c r="U552" s="239">
        <v>0</v>
      </c>
      <c r="V552" s="239">
        <v>0</v>
      </c>
      <c r="W552" s="239">
        <v>0</v>
      </c>
      <c r="X552" s="239">
        <v>0</v>
      </c>
      <c r="Y552" s="239">
        <v>7064.54</v>
      </c>
      <c r="Z552" s="239">
        <v>0</v>
      </c>
      <c r="AA552" s="239">
        <v>0</v>
      </c>
      <c r="AB552" s="239">
        <v>2457.42</v>
      </c>
      <c r="AC552" s="239">
        <v>0</v>
      </c>
      <c r="AD552" s="239">
        <v>0</v>
      </c>
      <c r="AE552" s="239" t="s">
        <v>720</v>
      </c>
      <c r="AF552" s="239" t="s">
        <v>721</v>
      </c>
      <c r="AG552" s="239">
        <f t="shared" si="41"/>
        <v>0</v>
      </c>
      <c r="AH552" s="239">
        <f t="shared" si="42"/>
        <v>0</v>
      </c>
      <c r="AI552" s="239">
        <f t="shared" si="43"/>
        <v>0</v>
      </c>
      <c r="AJ552" s="239">
        <f t="shared" si="44"/>
        <v>0</v>
      </c>
    </row>
    <row r="553" spans="1:36" x14ac:dyDescent="0.2">
      <c r="A553" s="240" t="str">
        <f t="shared" si="40"/>
        <v>2SNF-FILMFR20</v>
      </c>
      <c r="B553" s="239" t="s">
        <v>19</v>
      </c>
      <c r="C553" s="239" t="s">
        <v>20</v>
      </c>
      <c r="D553" s="239" t="s">
        <v>2583</v>
      </c>
      <c r="E553" s="239" t="s">
        <v>2584</v>
      </c>
      <c r="F553" s="239" t="s">
        <v>2590</v>
      </c>
      <c r="G553" s="239">
        <v>20</v>
      </c>
      <c r="H553" s="239" t="s">
        <v>928</v>
      </c>
      <c r="I553" s="239" t="s">
        <v>2484</v>
      </c>
      <c r="J553" s="239" t="s">
        <v>928</v>
      </c>
      <c r="K553" s="239" t="s">
        <v>2398</v>
      </c>
      <c r="L553" s="239">
        <v>5820.22</v>
      </c>
      <c r="M553" s="239">
        <v>0</v>
      </c>
      <c r="N553" s="239">
        <v>0</v>
      </c>
      <c r="O553" s="239">
        <v>0</v>
      </c>
      <c r="P553" s="239">
        <v>0</v>
      </c>
      <c r="Q553" s="239">
        <v>0</v>
      </c>
      <c r="R553" s="239">
        <v>0</v>
      </c>
      <c r="S553" s="239">
        <v>0</v>
      </c>
      <c r="T553" s="239">
        <v>0</v>
      </c>
      <c r="U553" s="239">
        <v>0</v>
      </c>
      <c r="V553" s="239">
        <v>0</v>
      </c>
      <c r="W553" s="239">
        <v>0</v>
      </c>
      <c r="X553" s="239">
        <v>0</v>
      </c>
      <c r="Y553" s="239">
        <v>4351.42</v>
      </c>
      <c r="Z553" s="239">
        <v>0</v>
      </c>
      <c r="AA553" s="239">
        <v>0</v>
      </c>
      <c r="AB553" s="239">
        <v>1468.8</v>
      </c>
      <c r="AC553" s="239">
        <v>0</v>
      </c>
      <c r="AD553" s="239">
        <v>0</v>
      </c>
      <c r="AE553" s="239" t="s">
        <v>720</v>
      </c>
      <c r="AF553" s="239" t="s">
        <v>721</v>
      </c>
      <c r="AG553" s="239">
        <f t="shared" si="41"/>
        <v>0</v>
      </c>
      <c r="AH553" s="239">
        <f t="shared" si="42"/>
        <v>0</v>
      </c>
      <c r="AI553" s="239">
        <f t="shared" si="43"/>
        <v>0</v>
      </c>
      <c r="AJ553" s="239">
        <f t="shared" si="44"/>
        <v>0</v>
      </c>
    </row>
    <row r="554" spans="1:36" x14ac:dyDescent="0.2">
      <c r="A554" s="240" t="str">
        <f t="shared" si="40"/>
        <v>SNF-FILMFR20</v>
      </c>
      <c r="B554" s="239" t="s">
        <v>19</v>
      </c>
      <c r="C554" s="239" t="s">
        <v>20</v>
      </c>
      <c r="D554" s="239" t="s">
        <v>2583</v>
      </c>
      <c r="E554" s="239" t="s">
        <v>2584</v>
      </c>
      <c r="F554" s="239" t="s">
        <v>2590</v>
      </c>
      <c r="G554" s="239">
        <v>20</v>
      </c>
      <c r="H554" s="239" t="s">
        <v>928</v>
      </c>
      <c r="I554" s="239" t="s">
        <v>928</v>
      </c>
      <c r="J554" s="239" t="s">
        <v>928</v>
      </c>
      <c r="K554" s="239" t="s">
        <v>2398</v>
      </c>
      <c r="L554" s="239">
        <v>5820.22</v>
      </c>
      <c r="M554" s="239">
        <v>0</v>
      </c>
      <c r="N554" s="239">
        <v>0</v>
      </c>
      <c r="O554" s="239">
        <v>0</v>
      </c>
      <c r="P554" s="239">
        <v>0</v>
      </c>
      <c r="Q554" s="239">
        <v>0</v>
      </c>
      <c r="R554" s="239">
        <v>0</v>
      </c>
      <c r="S554" s="239">
        <v>0</v>
      </c>
      <c r="T554" s="239">
        <v>0</v>
      </c>
      <c r="U554" s="239">
        <v>0</v>
      </c>
      <c r="V554" s="239">
        <v>0</v>
      </c>
      <c r="W554" s="239">
        <v>0</v>
      </c>
      <c r="X554" s="239">
        <v>0</v>
      </c>
      <c r="Y554" s="239">
        <v>4351.42</v>
      </c>
      <c r="Z554" s="239">
        <v>0</v>
      </c>
      <c r="AA554" s="239">
        <v>0</v>
      </c>
      <c r="AB554" s="239">
        <v>1468.8</v>
      </c>
      <c r="AC554" s="239">
        <v>0</v>
      </c>
      <c r="AD554" s="239">
        <v>0</v>
      </c>
      <c r="AE554" s="239" t="s">
        <v>720</v>
      </c>
      <c r="AF554" s="239" t="s">
        <v>721</v>
      </c>
      <c r="AG554" s="239">
        <f t="shared" si="41"/>
        <v>0</v>
      </c>
      <c r="AH554" s="239">
        <f t="shared" si="42"/>
        <v>0</v>
      </c>
      <c r="AI554" s="239">
        <f t="shared" si="43"/>
        <v>0</v>
      </c>
      <c r="AJ554" s="239">
        <f t="shared" si="44"/>
        <v>0</v>
      </c>
    </row>
    <row r="555" spans="1:36" x14ac:dyDescent="0.2">
      <c r="A555" s="240" t="str">
        <f t="shared" si="40"/>
        <v>2SNF-FILMFR25</v>
      </c>
      <c r="B555" s="239" t="s">
        <v>19</v>
      </c>
      <c r="C555" s="239" t="s">
        <v>20</v>
      </c>
      <c r="D555" s="239" t="s">
        <v>2583</v>
      </c>
      <c r="E555" s="239" t="s">
        <v>2584</v>
      </c>
      <c r="F555" s="239" t="s">
        <v>2590</v>
      </c>
      <c r="G555" s="239">
        <v>25</v>
      </c>
      <c r="H555" s="239" t="s">
        <v>928</v>
      </c>
      <c r="I555" s="239" t="s">
        <v>2484</v>
      </c>
      <c r="J555" s="239" t="s">
        <v>928</v>
      </c>
      <c r="K555" s="239" t="s">
        <v>2398</v>
      </c>
      <c r="L555" s="239">
        <v>5344.24</v>
      </c>
      <c r="M555" s="239">
        <v>0</v>
      </c>
      <c r="N555" s="239">
        <v>0</v>
      </c>
      <c r="O555" s="239">
        <v>0</v>
      </c>
      <c r="P555" s="239">
        <v>0</v>
      </c>
      <c r="Q555" s="239">
        <v>0</v>
      </c>
      <c r="R555" s="239">
        <v>0</v>
      </c>
      <c r="S555" s="239">
        <v>0</v>
      </c>
      <c r="T555" s="239">
        <v>0</v>
      </c>
      <c r="U555" s="239">
        <v>0</v>
      </c>
      <c r="V555" s="239">
        <v>0</v>
      </c>
      <c r="W555" s="239">
        <v>0</v>
      </c>
      <c r="X555" s="239">
        <v>0</v>
      </c>
      <c r="Y555" s="239">
        <v>4157.8999999999996</v>
      </c>
      <c r="Z555" s="239">
        <v>0</v>
      </c>
      <c r="AA555" s="239">
        <v>0</v>
      </c>
      <c r="AB555" s="239">
        <v>1186.3399999999999</v>
      </c>
      <c r="AC555" s="239">
        <v>0</v>
      </c>
      <c r="AD555" s="239">
        <v>0</v>
      </c>
      <c r="AE555" s="239" t="s">
        <v>720</v>
      </c>
      <c r="AF555" s="239" t="s">
        <v>721</v>
      </c>
      <c r="AG555" s="239">
        <f t="shared" si="41"/>
        <v>0</v>
      </c>
      <c r="AH555" s="239">
        <f t="shared" si="42"/>
        <v>0</v>
      </c>
      <c r="AI555" s="239">
        <f t="shared" si="43"/>
        <v>0</v>
      </c>
      <c r="AJ555" s="239">
        <f t="shared" si="44"/>
        <v>0</v>
      </c>
    </row>
    <row r="556" spans="1:36" x14ac:dyDescent="0.2">
      <c r="A556" s="240" t="str">
        <f t="shared" si="40"/>
        <v>8SNF-FILMFR25</v>
      </c>
      <c r="B556" s="239" t="s">
        <v>19</v>
      </c>
      <c r="C556" s="239" t="s">
        <v>20</v>
      </c>
      <c r="D556" s="239" t="s">
        <v>2583</v>
      </c>
      <c r="E556" s="239" t="s">
        <v>2584</v>
      </c>
      <c r="F556" s="239" t="s">
        <v>2590</v>
      </c>
      <c r="G556" s="239">
        <v>25</v>
      </c>
      <c r="H556" s="239" t="s">
        <v>928</v>
      </c>
      <c r="I556" s="239" t="s">
        <v>2494</v>
      </c>
      <c r="J556" s="239" t="s">
        <v>928</v>
      </c>
      <c r="K556" s="239" t="s">
        <v>2398</v>
      </c>
      <c r="L556" s="239">
        <v>6049.71</v>
      </c>
      <c r="M556" s="239">
        <v>0</v>
      </c>
      <c r="N556" s="239">
        <v>0</v>
      </c>
      <c r="O556" s="239">
        <v>0</v>
      </c>
      <c r="P556" s="239">
        <v>0</v>
      </c>
      <c r="Q556" s="239">
        <v>0</v>
      </c>
      <c r="R556" s="239">
        <v>0</v>
      </c>
      <c r="S556" s="239">
        <v>0</v>
      </c>
      <c r="T556" s="239">
        <v>0</v>
      </c>
      <c r="U556" s="239">
        <v>0</v>
      </c>
      <c r="V556" s="239">
        <v>0</v>
      </c>
      <c r="W556" s="239">
        <v>0</v>
      </c>
      <c r="X556" s="239">
        <v>0</v>
      </c>
      <c r="Y556" s="239">
        <v>4863.37</v>
      </c>
      <c r="Z556" s="239">
        <v>0</v>
      </c>
      <c r="AA556" s="239">
        <v>0</v>
      </c>
      <c r="AB556" s="239">
        <v>1186.3399999999999</v>
      </c>
      <c r="AC556" s="239">
        <v>0</v>
      </c>
      <c r="AD556" s="239">
        <v>0</v>
      </c>
      <c r="AE556" s="239" t="s">
        <v>720</v>
      </c>
      <c r="AF556" s="239" t="s">
        <v>721</v>
      </c>
      <c r="AG556" s="239">
        <f t="shared" si="41"/>
        <v>0</v>
      </c>
      <c r="AH556" s="239">
        <f t="shared" si="42"/>
        <v>0</v>
      </c>
      <c r="AI556" s="239">
        <f t="shared" si="43"/>
        <v>0</v>
      </c>
      <c r="AJ556" s="239">
        <f t="shared" si="44"/>
        <v>0</v>
      </c>
    </row>
    <row r="557" spans="1:36" x14ac:dyDescent="0.2">
      <c r="A557" s="240" t="str">
        <f t="shared" si="40"/>
        <v>SNF-FILMFR25</v>
      </c>
      <c r="B557" s="239" t="s">
        <v>19</v>
      </c>
      <c r="C557" s="239" t="s">
        <v>20</v>
      </c>
      <c r="D557" s="239" t="s">
        <v>2583</v>
      </c>
      <c r="E557" s="239" t="s">
        <v>2584</v>
      </c>
      <c r="F557" s="239" t="s">
        <v>2590</v>
      </c>
      <c r="G557" s="239">
        <v>25</v>
      </c>
      <c r="H557" s="239" t="s">
        <v>928</v>
      </c>
      <c r="I557" s="239" t="s">
        <v>928</v>
      </c>
      <c r="J557" s="239" t="s">
        <v>928</v>
      </c>
      <c r="K557" s="239" t="s">
        <v>2398</v>
      </c>
      <c r="L557" s="239">
        <v>5344.24</v>
      </c>
      <c r="M557" s="239">
        <v>0</v>
      </c>
      <c r="N557" s="239">
        <v>0</v>
      </c>
      <c r="O557" s="239">
        <v>0</v>
      </c>
      <c r="P557" s="239">
        <v>0</v>
      </c>
      <c r="Q557" s="239">
        <v>0</v>
      </c>
      <c r="R557" s="239">
        <v>0</v>
      </c>
      <c r="S557" s="239">
        <v>0</v>
      </c>
      <c r="T557" s="239">
        <v>0</v>
      </c>
      <c r="U557" s="239">
        <v>0</v>
      </c>
      <c r="V557" s="239">
        <v>0</v>
      </c>
      <c r="W557" s="239">
        <v>0</v>
      </c>
      <c r="X557" s="239">
        <v>0</v>
      </c>
      <c r="Y557" s="239">
        <v>4157.8999999999996</v>
      </c>
      <c r="Z557" s="239">
        <v>0</v>
      </c>
      <c r="AA557" s="239">
        <v>0</v>
      </c>
      <c r="AB557" s="239">
        <v>1186.3399999999999</v>
      </c>
      <c r="AC557" s="239">
        <v>0</v>
      </c>
      <c r="AD557" s="239">
        <v>0</v>
      </c>
      <c r="AE557" s="239" t="s">
        <v>720</v>
      </c>
      <c r="AF557" s="239" t="s">
        <v>721</v>
      </c>
      <c r="AG557" s="239">
        <f t="shared" si="41"/>
        <v>0</v>
      </c>
      <c r="AH557" s="239">
        <f t="shared" si="42"/>
        <v>0</v>
      </c>
      <c r="AI557" s="239">
        <f t="shared" si="43"/>
        <v>0</v>
      </c>
      <c r="AJ557" s="239">
        <f t="shared" si="44"/>
        <v>0</v>
      </c>
    </row>
    <row r="558" spans="1:36" x14ac:dyDescent="0.2">
      <c r="A558" s="240" t="str">
        <f t="shared" si="40"/>
        <v>2SNF-FILMFR40</v>
      </c>
      <c r="B558" s="239" t="s">
        <v>19</v>
      </c>
      <c r="C558" s="239" t="s">
        <v>20</v>
      </c>
      <c r="D558" s="239" t="s">
        <v>2583</v>
      </c>
      <c r="E558" s="239" t="s">
        <v>2584</v>
      </c>
      <c r="F558" s="239" t="s">
        <v>2590</v>
      </c>
      <c r="G558" s="239">
        <v>40</v>
      </c>
      <c r="H558" s="239" t="s">
        <v>928</v>
      </c>
      <c r="I558" s="239" t="s">
        <v>2484</v>
      </c>
      <c r="J558" s="239" t="s">
        <v>928</v>
      </c>
      <c r="K558" s="239" t="s">
        <v>2398</v>
      </c>
      <c r="L558" s="239">
        <v>5707.91</v>
      </c>
      <c r="M558" s="239">
        <v>0</v>
      </c>
      <c r="N558" s="239">
        <v>0</v>
      </c>
      <c r="O558" s="239">
        <v>0</v>
      </c>
      <c r="P558" s="239">
        <v>0</v>
      </c>
      <c r="Q558" s="239">
        <v>0</v>
      </c>
      <c r="R558" s="239">
        <v>0</v>
      </c>
      <c r="S558" s="239">
        <v>0</v>
      </c>
      <c r="T558" s="239">
        <v>0</v>
      </c>
      <c r="U558" s="239">
        <v>0</v>
      </c>
      <c r="V558" s="239">
        <v>0</v>
      </c>
      <c r="W558" s="239">
        <v>0</v>
      </c>
      <c r="X558" s="239">
        <v>0</v>
      </c>
      <c r="Y558" s="239">
        <v>4288.54</v>
      </c>
      <c r="Z558" s="239">
        <v>0</v>
      </c>
      <c r="AA558" s="239">
        <v>0</v>
      </c>
      <c r="AB558" s="239">
        <v>1419.37</v>
      </c>
      <c r="AC558" s="239">
        <v>0</v>
      </c>
      <c r="AD558" s="239">
        <v>0</v>
      </c>
      <c r="AE558" s="239" t="s">
        <v>720</v>
      </c>
      <c r="AF558" s="239" t="s">
        <v>721</v>
      </c>
      <c r="AG558" s="239">
        <f t="shared" si="41"/>
        <v>0</v>
      </c>
      <c r="AH558" s="239">
        <f t="shared" si="42"/>
        <v>0</v>
      </c>
      <c r="AI558" s="239">
        <f t="shared" si="43"/>
        <v>0</v>
      </c>
      <c r="AJ558" s="239">
        <f t="shared" si="44"/>
        <v>0</v>
      </c>
    </row>
    <row r="559" spans="1:36" x14ac:dyDescent="0.2">
      <c r="A559" s="240" t="str">
        <f t="shared" si="40"/>
        <v>SNF-FILMFR40</v>
      </c>
      <c r="B559" s="239" t="s">
        <v>19</v>
      </c>
      <c r="C559" s="239" t="s">
        <v>20</v>
      </c>
      <c r="D559" s="239" t="s">
        <v>2583</v>
      </c>
      <c r="E559" s="239" t="s">
        <v>2584</v>
      </c>
      <c r="F559" s="239" t="s">
        <v>2590</v>
      </c>
      <c r="G559" s="239">
        <v>40</v>
      </c>
      <c r="H559" s="239" t="s">
        <v>928</v>
      </c>
      <c r="I559" s="239" t="s">
        <v>928</v>
      </c>
      <c r="J559" s="239" t="s">
        <v>928</v>
      </c>
      <c r="K559" s="239" t="s">
        <v>2398</v>
      </c>
      <c r="L559" s="239">
        <v>5707.91</v>
      </c>
      <c r="M559" s="239">
        <v>0</v>
      </c>
      <c r="N559" s="239">
        <v>0</v>
      </c>
      <c r="O559" s="239">
        <v>0</v>
      </c>
      <c r="P559" s="239">
        <v>0</v>
      </c>
      <c r="Q559" s="239">
        <v>0</v>
      </c>
      <c r="R559" s="239">
        <v>0</v>
      </c>
      <c r="S559" s="239">
        <v>0</v>
      </c>
      <c r="T559" s="239">
        <v>0</v>
      </c>
      <c r="U559" s="239">
        <v>0</v>
      </c>
      <c r="V559" s="239">
        <v>0</v>
      </c>
      <c r="W559" s="239">
        <v>0</v>
      </c>
      <c r="X559" s="239">
        <v>0</v>
      </c>
      <c r="Y559" s="239">
        <v>4288.54</v>
      </c>
      <c r="Z559" s="239">
        <v>0</v>
      </c>
      <c r="AA559" s="239">
        <v>0</v>
      </c>
      <c r="AB559" s="239">
        <v>1419.37</v>
      </c>
      <c r="AC559" s="239">
        <v>0</v>
      </c>
      <c r="AD559" s="239">
        <v>0</v>
      </c>
      <c r="AE559" s="239" t="s">
        <v>720</v>
      </c>
      <c r="AF559" s="239" t="s">
        <v>721</v>
      </c>
      <c r="AG559" s="239">
        <f t="shared" si="41"/>
        <v>0</v>
      </c>
      <c r="AH559" s="239">
        <f t="shared" si="42"/>
        <v>0</v>
      </c>
      <c r="AI559" s="239">
        <f t="shared" si="43"/>
        <v>0</v>
      </c>
      <c r="AJ559" s="239">
        <f t="shared" si="44"/>
        <v>0</v>
      </c>
    </row>
    <row r="560" spans="1:36" x14ac:dyDescent="0.2">
      <c r="A560" s="240" t="str">
        <f t="shared" si="40"/>
        <v>2SNF-FILMFV25</v>
      </c>
      <c r="B560" s="239" t="s">
        <v>19</v>
      </c>
      <c r="C560" s="239" t="s">
        <v>20</v>
      </c>
      <c r="D560" s="239" t="s">
        <v>2583</v>
      </c>
      <c r="E560" s="239" t="s">
        <v>2584</v>
      </c>
      <c r="F560" s="239" t="s">
        <v>2591</v>
      </c>
      <c r="G560" s="239">
        <v>25</v>
      </c>
      <c r="H560" s="239" t="s">
        <v>928</v>
      </c>
      <c r="I560" s="239" t="s">
        <v>2484</v>
      </c>
      <c r="J560" s="239" t="s">
        <v>928</v>
      </c>
      <c r="K560" s="239" t="s">
        <v>2398</v>
      </c>
      <c r="L560" s="239">
        <v>6018.71</v>
      </c>
      <c r="M560" s="239">
        <v>0</v>
      </c>
      <c r="N560" s="239">
        <v>0</v>
      </c>
      <c r="O560" s="239">
        <v>0</v>
      </c>
      <c r="P560" s="239">
        <v>0</v>
      </c>
      <c r="Q560" s="239">
        <v>0</v>
      </c>
      <c r="R560" s="239">
        <v>0</v>
      </c>
      <c r="S560" s="239">
        <v>0</v>
      </c>
      <c r="T560" s="239">
        <v>0</v>
      </c>
      <c r="U560" s="239">
        <v>0</v>
      </c>
      <c r="V560" s="239">
        <v>0</v>
      </c>
      <c r="W560" s="239">
        <v>0</v>
      </c>
      <c r="X560" s="239">
        <v>0</v>
      </c>
      <c r="Y560" s="239">
        <v>4568.74</v>
      </c>
      <c r="Z560" s="239">
        <v>0</v>
      </c>
      <c r="AA560" s="239">
        <v>0</v>
      </c>
      <c r="AB560" s="239">
        <v>1449.97</v>
      </c>
      <c r="AC560" s="239">
        <v>0</v>
      </c>
      <c r="AD560" s="239">
        <v>0</v>
      </c>
      <c r="AE560" s="239" t="s">
        <v>720</v>
      </c>
      <c r="AF560" s="239" t="s">
        <v>721</v>
      </c>
      <c r="AG560" s="239">
        <f t="shared" si="41"/>
        <v>0</v>
      </c>
      <c r="AH560" s="239">
        <f t="shared" si="42"/>
        <v>0</v>
      </c>
      <c r="AI560" s="239">
        <f t="shared" si="43"/>
        <v>0</v>
      </c>
      <c r="AJ560" s="239">
        <f t="shared" si="44"/>
        <v>0</v>
      </c>
    </row>
    <row r="561" spans="1:36" x14ac:dyDescent="0.2">
      <c r="A561" s="240" t="str">
        <f t="shared" si="40"/>
        <v>SNF-FILMFV25</v>
      </c>
      <c r="B561" s="239" t="s">
        <v>19</v>
      </c>
      <c r="C561" s="239" t="s">
        <v>20</v>
      </c>
      <c r="D561" s="239" t="s">
        <v>2583</v>
      </c>
      <c r="E561" s="239" t="s">
        <v>2584</v>
      </c>
      <c r="F561" s="239" t="s">
        <v>2591</v>
      </c>
      <c r="G561" s="239">
        <v>25</v>
      </c>
      <c r="H561" s="239" t="s">
        <v>928</v>
      </c>
      <c r="I561" s="239" t="s">
        <v>928</v>
      </c>
      <c r="J561" s="239" t="s">
        <v>928</v>
      </c>
      <c r="K561" s="239" t="s">
        <v>2398</v>
      </c>
      <c r="L561" s="239">
        <v>6018.71</v>
      </c>
      <c r="M561" s="239">
        <v>0</v>
      </c>
      <c r="N561" s="239">
        <v>0</v>
      </c>
      <c r="O561" s="239">
        <v>0</v>
      </c>
      <c r="P561" s="239">
        <v>0</v>
      </c>
      <c r="Q561" s="239">
        <v>0</v>
      </c>
      <c r="R561" s="239">
        <v>0</v>
      </c>
      <c r="S561" s="239">
        <v>0</v>
      </c>
      <c r="T561" s="239">
        <v>0</v>
      </c>
      <c r="U561" s="239">
        <v>0</v>
      </c>
      <c r="V561" s="239">
        <v>0</v>
      </c>
      <c r="W561" s="239">
        <v>0</v>
      </c>
      <c r="X561" s="239">
        <v>0</v>
      </c>
      <c r="Y561" s="239">
        <v>4568.74</v>
      </c>
      <c r="Z561" s="239">
        <v>0</v>
      </c>
      <c r="AA561" s="239">
        <v>0</v>
      </c>
      <c r="AB561" s="239">
        <v>1449.97</v>
      </c>
      <c r="AC561" s="239">
        <v>0</v>
      </c>
      <c r="AD561" s="239">
        <v>0</v>
      </c>
      <c r="AE561" s="239" t="s">
        <v>720</v>
      </c>
      <c r="AF561" s="239" t="s">
        <v>721</v>
      </c>
      <c r="AG561" s="239">
        <f t="shared" si="41"/>
        <v>0</v>
      </c>
      <c r="AH561" s="239">
        <f t="shared" si="42"/>
        <v>0</v>
      </c>
      <c r="AI561" s="239">
        <f t="shared" si="43"/>
        <v>0</v>
      </c>
      <c r="AJ561" s="239">
        <f t="shared" si="44"/>
        <v>0</v>
      </c>
    </row>
    <row r="562" spans="1:36" x14ac:dyDescent="0.2">
      <c r="A562" s="240" t="str">
        <f t="shared" si="40"/>
        <v>2SNF-FILMFV50</v>
      </c>
      <c r="B562" s="239" t="s">
        <v>19</v>
      </c>
      <c r="C562" s="239" t="s">
        <v>20</v>
      </c>
      <c r="D562" s="239" t="s">
        <v>2583</v>
      </c>
      <c r="E562" s="239" t="s">
        <v>2584</v>
      </c>
      <c r="F562" s="239" t="s">
        <v>2591</v>
      </c>
      <c r="G562" s="239">
        <v>50</v>
      </c>
      <c r="H562" s="239" t="s">
        <v>928</v>
      </c>
      <c r="I562" s="239" t="s">
        <v>2484</v>
      </c>
      <c r="J562" s="239" t="s">
        <v>928</v>
      </c>
      <c r="K562" s="239" t="s">
        <v>2398</v>
      </c>
      <c r="L562" s="239">
        <v>6114.38</v>
      </c>
      <c r="M562" s="239">
        <v>0</v>
      </c>
      <c r="N562" s="239">
        <v>0</v>
      </c>
      <c r="O562" s="239">
        <v>0</v>
      </c>
      <c r="P562" s="239">
        <v>0</v>
      </c>
      <c r="Q562" s="239">
        <v>0</v>
      </c>
      <c r="R562" s="239">
        <v>0</v>
      </c>
      <c r="S562" s="239">
        <v>0</v>
      </c>
      <c r="T562" s="239">
        <v>0</v>
      </c>
      <c r="U562" s="239">
        <v>0</v>
      </c>
      <c r="V562" s="239">
        <v>0</v>
      </c>
      <c r="W562" s="239">
        <v>0</v>
      </c>
      <c r="X562" s="239">
        <v>0</v>
      </c>
      <c r="Y562" s="239">
        <v>4606.97</v>
      </c>
      <c r="Z562" s="239">
        <v>0</v>
      </c>
      <c r="AA562" s="239">
        <v>0</v>
      </c>
      <c r="AB562" s="239">
        <v>1507.41</v>
      </c>
      <c r="AC562" s="239">
        <v>0</v>
      </c>
      <c r="AD562" s="239">
        <v>0</v>
      </c>
      <c r="AE562" s="239" t="s">
        <v>720</v>
      </c>
      <c r="AF562" s="239" t="s">
        <v>721</v>
      </c>
      <c r="AG562" s="239">
        <f t="shared" si="41"/>
        <v>0</v>
      </c>
      <c r="AH562" s="239">
        <f t="shared" si="42"/>
        <v>0</v>
      </c>
      <c r="AI562" s="239">
        <f t="shared" si="43"/>
        <v>0</v>
      </c>
      <c r="AJ562" s="239">
        <f t="shared" si="44"/>
        <v>0</v>
      </c>
    </row>
    <row r="563" spans="1:36" x14ac:dyDescent="0.2">
      <c r="A563" s="240" t="str">
        <f t="shared" si="40"/>
        <v>SNF-FILMFV50</v>
      </c>
      <c r="B563" s="239" t="s">
        <v>19</v>
      </c>
      <c r="C563" s="239" t="s">
        <v>20</v>
      </c>
      <c r="D563" s="239" t="s">
        <v>2583</v>
      </c>
      <c r="E563" s="239" t="s">
        <v>2584</v>
      </c>
      <c r="F563" s="239" t="s">
        <v>2591</v>
      </c>
      <c r="G563" s="239">
        <v>50</v>
      </c>
      <c r="H563" s="239" t="s">
        <v>928</v>
      </c>
      <c r="I563" s="239" t="s">
        <v>928</v>
      </c>
      <c r="J563" s="239" t="s">
        <v>928</v>
      </c>
      <c r="K563" s="239" t="s">
        <v>2398</v>
      </c>
      <c r="L563" s="239">
        <v>6114.38</v>
      </c>
      <c r="M563" s="239">
        <v>0</v>
      </c>
      <c r="N563" s="239">
        <v>0</v>
      </c>
      <c r="O563" s="239">
        <v>0</v>
      </c>
      <c r="P563" s="239">
        <v>0</v>
      </c>
      <c r="Q563" s="239">
        <v>0</v>
      </c>
      <c r="R563" s="239">
        <v>0</v>
      </c>
      <c r="S563" s="239">
        <v>0</v>
      </c>
      <c r="T563" s="239">
        <v>0</v>
      </c>
      <c r="U563" s="239">
        <v>0</v>
      </c>
      <c r="V563" s="239">
        <v>0</v>
      </c>
      <c r="W563" s="239">
        <v>0</v>
      </c>
      <c r="X563" s="239">
        <v>0</v>
      </c>
      <c r="Y563" s="239">
        <v>4606.97</v>
      </c>
      <c r="Z563" s="239">
        <v>0</v>
      </c>
      <c r="AA563" s="239">
        <v>0</v>
      </c>
      <c r="AB563" s="239">
        <v>1507.41</v>
      </c>
      <c r="AC563" s="239">
        <v>0</v>
      </c>
      <c r="AD563" s="239">
        <v>0</v>
      </c>
      <c r="AE563" s="239" t="s">
        <v>720</v>
      </c>
      <c r="AF563" s="239" t="s">
        <v>721</v>
      </c>
      <c r="AG563" s="239">
        <f t="shared" si="41"/>
        <v>0</v>
      </c>
      <c r="AH563" s="239">
        <f t="shared" si="42"/>
        <v>0</v>
      </c>
      <c r="AI563" s="239">
        <f t="shared" si="43"/>
        <v>0</v>
      </c>
      <c r="AJ563" s="239">
        <f t="shared" si="44"/>
        <v>0</v>
      </c>
    </row>
    <row r="564" spans="1:36" x14ac:dyDescent="0.2">
      <c r="A564" s="240" t="str">
        <f t="shared" si="40"/>
        <v>2SNF-LHFL25</v>
      </c>
      <c r="B564" s="239" t="s">
        <v>19</v>
      </c>
      <c r="C564" s="239" t="s">
        <v>20</v>
      </c>
      <c r="D564" s="239" t="s">
        <v>2592</v>
      </c>
      <c r="E564" s="239" t="s">
        <v>2584</v>
      </c>
      <c r="F564" s="239" t="s">
        <v>2593</v>
      </c>
      <c r="G564" s="239">
        <v>25</v>
      </c>
      <c r="H564" s="239" t="s">
        <v>928</v>
      </c>
      <c r="I564" s="239" t="s">
        <v>2484</v>
      </c>
      <c r="J564" s="239" t="s">
        <v>928</v>
      </c>
      <c r="K564" s="239" t="s">
        <v>2398</v>
      </c>
      <c r="L564" s="239">
        <v>5707.65</v>
      </c>
      <c r="M564" s="239">
        <v>0</v>
      </c>
      <c r="N564" s="239">
        <v>0</v>
      </c>
      <c r="O564" s="239">
        <v>0</v>
      </c>
      <c r="P564" s="239">
        <v>0</v>
      </c>
      <c r="Q564" s="239">
        <v>0</v>
      </c>
      <c r="R564" s="239">
        <v>0</v>
      </c>
      <c r="S564" s="239">
        <v>0</v>
      </c>
      <c r="T564" s="239">
        <v>0</v>
      </c>
      <c r="U564" s="239">
        <v>0</v>
      </c>
      <c r="V564" s="239">
        <v>0</v>
      </c>
      <c r="W564" s="239">
        <v>0</v>
      </c>
      <c r="X564" s="239">
        <v>0</v>
      </c>
      <c r="Y564" s="239">
        <v>4635.76</v>
      </c>
      <c r="Z564" s="239">
        <v>0</v>
      </c>
      <c r="AA564" s="239">
        <v>0</v>
      </c>
      <c r="AB564" s="239">
        <v>1071.8800000000001</v>
      </c>
      <c r="AC564" s="239">
        <v>0</v>
      </c>
      <c r="AD564" s="239">
        <v>0</v>
      </c>
      <c r="AE564" s="239" t="s">
        <v>720</v>
      </c>
      <c r="AF564" s="239" t="s">
        <v>721</v>
      </c>
      <c r="AG564" s="239">
        <f t="shared" si="41"/>
        <v>0</v>
      </c>
      <c r="AH564" s="239">
        <f t="shared" si="42"/>
        <v>0</v>
      </c>
      <c r="AI564" s="239">
        <f t="shared" si="43"/>
        <v>0</v>
      </c>
      <c r="AJ564" s="239">
        <f t="shared" si="44"/>
        <v>0</v>
      </c>
    </row>
    <row r="565" spans="1:36" x14ac:dyDescent="0.2">
      <c r="A565" s="240" t="str">
        <f t="shared" si="40"/>
        <v>SNF-LHFL25</v>
      </c>
      <c r="B565" s="239" t="s">
        <v>19</v>
      </c>
      <c r="C565" s="239" t="s">
        <v>20</v>
      </c>
      <c r="D565" s="239" t="s">
        <v>2592</v>
      </c>
      <c r="E565" s="239" t="s">
        <v>2584</v>
      </c>
      <c r="F565" s="239" t="s">
        <v>2593</v>
      </c>
      <c r="G565" s="239">
        <v>25</v>
      </c>
      <c r="H565" s="239" t="s">
        <v>928</v>
      </c>
      <c r="I565" s="239" t="s">
        <v>928</v>
      </c>
      <c r="J565" s="239" t="s">
        <v>928</v>
      </c>
      <c r="K565" s="239" t="s">
        <v>2398</v>
      </c>
      <c r="L565" s="239">
        <v>5707.65</v>
      </c>
      <c r="M565" s="239">
        <v>0</v>
      </c>
      <c r="N565" s="239">
        <v>0</v>
      </c>
      <c r="O565" s="239">
        <v>0</v>
      </c>
      <c r="P565" s="239">
        <v>0</v>
      </c>
      <c r="Q565" s="239">
        <v>0</v>
      </c>
      <c r="R565" s="239">
        <v>0</v>
      </c>
      <c r="S565" s="239">
        <v>0</v>
      </c>
      <c r="T565" s="239">
        <v>0</v>
      </c>
      <c r="U565" s="239">
        <v>0</v>
      </c>
      <c r="V565" s="239">
        <v>0</v>
      </c>
      <c r="W565" s="239">
        <v>0</v>
      </c>
      <c r="X565" s="239">
        <v>0</v>
      </c>
      <c r="Y565" s="239">
        <v>4635.76</v>
      </c>
      <c r="Z565" s="239">
        <v>0</v>
      </c>
      <c r="AA565" s="239">
        <v>0</v>
      </c>
      <c r="AB565" s="239">
        <v>1071.8800000000001</v>
      </c>
      <c r="AC565" s="239">
        <v>0</v>
      </c>
      <c r="AD565" s="239">
        <v>0</v>
      </c>
      <c r="AE565" s="239" t="s">
        <v>720</v>
      </c>
      <c r="AF565" s="239" t="s">
        <v>721</v>
      </c>
      <c r="AG565" s="239">
        <f t="shared" si="41"/>
        <v>0</v>
      </c>
      <c r="AH565" s="239">
        <f t="shared" si="42"/>
        <v>0</v>
      </c>
      <c r="AI565" s="239">
        <f t="shared" si="43"/>
        <v>0</v>
      </c>
      <c r="AJ565" s="239">
        <f t="shared" si="44"/>
        <v>0</v>
      </c>
    </row>
    <row r="566" spans="1:36" x14ac:dyDescent="0.2">
      <c r="A566" s="240" t="str">
        <f t="shared" si="40"/>
        <v>8SNF-PCFRP25</v>
      </c>
      <c r="B566" s="239" t="s">
        <v>19</v>
      </c>
      <c r="C566" s="239" t="s">
        <v>20</v>
      </c>
      <c r="D566" s="239" t="s">
        <v>2594</v>
      </c>
      <c r="E566" s="239" t="s">
        <v>2584</v>
      </c>
      <c r="F566" s="239" t="s">
        <v>2595</v>
      </c>
      <c r="G566" s="239">
        <v>25</v>
      </c>
      <c r="H566" s="239" t="s">
        <v>928</v>
      </c>
      <c r="I566" s="239" t="s">
        <v>2494</v>
      </c>
      <c r="J566" s="239" t="s">
        <v>928</v>
      </c>
      <c r="K566" s="239" t="s">
        <v>2398</v>
      </c>
      <c r="L566" s="239">
        <v>6893.66</v>
      </c>
      <c r="M566" s="239">
        <v>0</v>
      </c>
      <c r="N566" s="239">
        <v>0</v>
      </c>
      <c r="O566" s="239">
        <v>0</v>
      </c>
      <c r="P566" s="239">
        <v>0</v>
      </c>
      <c r="Q566" s="239">
        <v>0</v>
      </c>
      <c r="R566" s="239">
        <v>0</v>
      </c>
      <c r="S566" s="239">
        <v>0</v>
      </c>
      <c r="T566" s="239">
        <v>0</v>
      </c>
      <c r="U566" s="239">
        <v>0</v>
      </c>
      <c r="V566" s="239">
        <v>0</v>
      </c>
      <c r="W566" s="239">
        <v>0</v>
      </c>
      <c r="X566" s="239">
        <v>0</v>
      </c>
      <c r="Y566" s="239">
        <v>5707.32</v>
      </c>
      <c r="Z566" s="239">
        <v>0</v>
      </c>
      <c r="AA566" s="239">
        <v>0</v>
      </c>
      <c r="AB566" s="239">
        <v>1186.3399999999999</v>
      </c>
      <c r="AC566" s="239">
        <v>0</v>
      </c>
      <c r="AD566" s="239">
        <v>0</v>
      </c>
      <c r="AE566" s="239" t="s">
        <v>720</v>
      </c>
      <c r="AF566" s="239" t="s">
        <v>721</v>
      </c>
      <c r="AG566" s="239">
        <f t="shared" si="41"/>
        <v>0</v>
      </c>
      <c r="AH566" s="239">
        <f t="shared" si="42"/>
        <v>0</v>
      </c>
      <c r="AI566" s="239">
        <f t="shared" si="43"/>
        <v>0</v>
      </c>
      <c r="AJ566" s="239">
        <f t="shared" si="44"/>
        <v>0</v>
      </c>
    </row>
    <row r="567" spans="1:36" x14ac:dyDescent="0.2">
      <c r="A567" s="240" t="str">
        <f t="shared" si="40"/>
        <v>SNF-PCFRP25</v>
      </c>
      <c r="B567" s="239" t="s">
        <v>19</v>
      </c>
      <c r="C567" s="239" t="s">
        <v>20</v>
      </c>
      <c r="D567" s="239" t="s">
        <v>2594</v>
      </c>
      <c r="E567" s="239" t="s">
        <v>2584</v>
      </c>
      <c r="F567" s="239" t="s">
        <v>2595</v>
      </c>
      <c r="G567" s="239">
        <v>25</v>
      </c>
      <c r="H567" s="239" t="s">
        <v>928</v>
      </c>
      <c r="I567" s="239" t="s">
        <v>928</v>
      </c>
      <c r="J567" s="239" t="s">
        <v>928</v>
      </c>
      <c r="K567" s="239" t="s">
        <v>2398</v>
      </c>
      <c r="L567" s="239">
        <v>6893.66</v>
      </c>
      <c r="M567" s="239">
        <v>0</v>
      </c>
      <c r="N567" s="239">
        <v>0</v>
      </c>
      <c r="O567" s="239">
        <v>0</v>
      </c>
      <c r="P567" s="239">
        <v>0</v>
      </c>
      <c r="Q567" s="239">
        <v>0</v>
      </c>
      <c r="R567" s="239">
        <v>0</v>
      </c>
      <c r="S567" s="239">
        <v>0</v>
      </c>
      <c r="T567" s="239">
        <v>0</v>
      </c>
      <c r="U567" s="239">
        <v>0</v>
      </c>
      <c r="V567" s="239">
        <v>0</v>
      </c>
      <c r="W567" s="239">
        <v>0</v>
      </c>
      <c r="X567" s="239">
        <v>0</v>
      </c>
      <c r="Y567" s="239">
        <v>5707.32</v>
      </c>
      <c r="Z567" s="239">
        <v>0</v>
      </c>
      <c r="AA567" s="239">
        <v>0</v>
      </c>
      <c r="AB567" s="239">
        <v>1186.3399999999999</v>
      </c>
      <c r="AC567" s="239">
        <v>0</v>
      </c>
      <c r="AD567" s="239">
        <v>0</v>
      </c>
      <c r="AE567" s="239" t="s">
        <v>720</v>
      </c>
      <c r="AF567" s="239" t="s">
        <v>721</v>
      </c>
      <c r="AG567" s="239">
        <f t="shared" si="41"/>
        <v>0</v>
      </c>
      <c r="AH567" s="239">
        <f t="shared" si="42"/>
        <v>0</v>
      </c>
      <c r="AI567" s="239">
        <f t="shared" si="43"/>
        <v>0</v>
      </c>
      <c r="AJ567" s="239">
        <f t="shared" si="44"/>
        <v>0</v>
      </c>
    </row>
    <row r="568" spans="1:36" x14ac:dyDescent="0.2">
      <c r="A568" s="240" t="str">
        <f t="shared" si="40"/>
        <v>9SNMCLMCPET12</v>
      </c>
      <c r="B568" s="239" t="s">
        <v>19</v>
      </c>
      <c r="C568" s="239" t="s">
        <v>20</v>
      </c>
      <c r="D568" s="239" t="s">
        <v>2596</v>
      </c>
      <c r="E568" s="239" t="s">
        <v>2597</v>
      </c>
      <c r="F568" s="239" t="s">
        <v>2598</v>
      </c>
      <c r="G568" s="239">
        <v>12</v>
      </c>
      <c r="H568" s="239" t="s">
        <v>928</v>
      </c>
      <c r="I568" s="239" t="s">
        <v>2475</v>
      </c>
      <c r="J568" s="239" t="s">
        <v>928</v>
      </c>
      <c r="K568" s="239" t="s">
        <v>2398</v>
      </c>
      <c r="L568" s="239">
        <v>15</v>
      </c>
      <c r="M568" s="239">
        <v>98</v>
      </c>
      <c r="N568" s="239">
        <v>0</v>
      </c>
      <c r="O568" s="239">
        <v>0</v>
      </c>
      <c r="P568" s="239">
        <v>0</v>
      </c>
      <c r="Q568" s="239">
        <v>15</v>
      </c>
      <c r="R568" s="239">
        <v>0</v>
      </c>
      <c r="S568" s="239">
        <v>0</v>
      </c>
      <c r="T568" s="239">
        <v>0</v>
      </c>
      <c r="U568" s="239">
        <v>0</v>
      </c>
      <c r="V568" s="239">
        <v>0</v>
      </c>
      <c r="W568" s="239">
        <v>0</v>
      </c>
      <c r="X568" s="239">
        <v>0</v>
      </c>
      <c r="Y568" s="239">
        <v>0</v>
      </c>
      <c r="Z568" s="239">
        <v>0</v>
      </c>
      <c r="AA568" s="239">
        <v>0</v>
      </c>
      <c r="AB568" s="239">
        <v>0</v>
      </c>
      <c r="AC568" s="239">
        <v>0</v>
      </c>
      <c r="AD568" s="239">
        <v>1</v>
      </c>
      <c r="AE568" s="239" t="s">
        <v>720</v>
      </c>
      <c r="AF568" s="239" t="s">
        <v>721</v>
      </c>
      <c r="AG568" s="239">
        <f t="shared" si="41"/>
        <v>0</v>
      </c>
      <c r="AH568" s="239">
        <f t="shared" si="42"/>
        <v>0</v>
      </c>
      <c r="AI568" s="239">
        <f t="shared" si="43"/>
        <v>0</v>
      </c>
      <c r="AJ568" s="239">
        <f t="shared" si="44"/>
        <v>0</v>
      </c>
    </row>
    <row r="569" spans="1:36" x14ac:dyDescent="0.2">
      <c r="A569" s="240" t="str">
        <f t="shared" si="40"/>
        <v>SNMCLMCPET12</v>
      </c>
      <c r="B569" s="239" t="s">
        <v>19</v>
      </c>
      <c r="C569" s="239" t="s">
        <v>20</v>
      </c>
      <c r="D569" s="239" t="s">
        <v>2596</v>
      </c>
      <c r="E569" s="239" t="s">
        <v>2597</v>
      </c>
      <c r="F569" s="239" t="s">
        <v>2598</v>
      </c>
      <c r="G569" s="239">
        <v>12</v>
      </c>
      <c r="H569" s="239" t="s">
        <v>928</v>
      </c>
      <c r="I569" s="239" t="s">
        <v>928</v>
      </c>
      <c r="J569" s="239" t="s">
        <v>928</v>
      </c>
      <c r="K569" s="239" t="s">
        <v>2398</v>
      </c>
      <c r="L569" s="239">
        <v>15</v>
      </c>
      <c r="M569" s="239">
        <v>98</v>
      </c>
      <c r="N569" s="239">
        <v>0</v>
      </c>
      <c r="O569" s="239">
        <v>0</v>
      </c>
      <c r="P569" s="239">
        <v>0</v>
      </c>
      <c r="Q569" s="239">
        <v>15</v>
      </c>
      <c r="R569" s="239">
        <v>0</v>
      </c>
      <c r="S569" s="239">
        <v>0</v>
      </c>
      <c r="T569" s="239">
        <v>0</v>
      </c>
      <c r="U569" s="239">
        <v>0</v>
      </c>
      <c r="V569" s="239">
        <v>0</v>
      </c>
      <c r="W569" s="239">
        <v>0</v>
      </c>
      <c r="X569" s="239">
        <v>0</v>
      </c>
      <c r="Y569" s="239">
        <v>0</v>
      </c>
      <c r="Z569" s="239">
        <v>0</v>
      </c>
      <c r="AA569" s="239">
        <v>0</v>
      </c>
      <c r="AB569" s="239">
        <v>0</v>
      </c>
      <c r="AC569" s="239">
        <v>0</v>
      </c>
      <c r="AD569" s="239">
        <v>1</v>
      </c>
      <c r="AE569" s="239" t="s">
        <v>720</v>
      </c>
      <c r="AF569" s="239" t="s">
        <v>721</v>
      </c>
      <c r="AG569" s="239">
        <f t="shared" si="41"/>
        <v>0</v>
      </c>
      <c r="AH569" s="239">
        <f t="shared" si="42"/>
        <v>0</v>
      </c>
      <c r="AI569" s="239">
        <f t="shared" si="43"/>
        <v>0</v>
      </c>
      <c r="AJ569" s="239">
        <f t="shared" si="44"/>
        <v>0</v>
      </c>
    </row>
    <row r="570" spans="1:36" x14ac:dyDescent="0.2">
      <c r="A570" s="240" t="str">
        <f t="shared" si="40"/>
        <v>3SNMCLBDMSV50</v>
      </c>
      <c r="B570" s="239" t="s">
        <v>19</v>
      </c>
      <c r="C570" s="239" t="s">
        <v>20</v>
      </c>
      <c r="D570" s="239" t="s">
        <v>165</v>
      </c>
      <c r="E570" s="239" t="s">
        <v>723</v>
      </c>
      <c r="F570" s="239" t="s">
        <v>166</v>
      </c>
      <c r="G570" s="239">
        <v>50</v>
      </c>
      <c r="H570" s="239" t="s">
        <v>928</v>
      </c>
      <c r="I570" s="239" t="s">
        <v>2471</v>
      </c>
      <c r="J570" s="239" t="s">
        <v>928</v>
      </c>
      <c r="K570" s="239" t="s">
        <v>2398</v>
      </c>
      <c r="L570" s="239">
        <v>87.110529999999997</v>
      </c>
      <c r="M570" s="239">
        <v>97.3</v>
      </c>
      <c r="N570" s="239">
        <v>0</v>
      </c>
      <c r="O570" s="239">
        <v>0</v>
      </c>
      <c r="P570" s="239">
        <v>5.6863400000000004</v>
      </c>
      <c r="Q570" s="239">
        <v>0</v>
      </c>
      <c r="R570" s="239">
        <v>0</v>
      </c>
      <c r="S570" s="239">
        <v>0</v>
      </c>
      <c r="T570" s="239">
        <v>5.6425700000000001</v>
      </c>
      <c r="U570" s="239">
        <v>3.3846500000000002</v>
      </c>
      <c r="V570" s="239">
        <v>0.95235999999999998</v>
      </c>
      <c r="W570" s="239">
        <v>10.71871</v>
      </c>
      <c r="X570" s="239">
        <v>0</v>
      </c>
      <c r="Y570" s="239">
        <v>0</v>
      </c>
      <c r="Z570" s="239">
        <v>30.269600000000001</v>
      </c>
      <c r="AA570" s="239">
        <v>19.74597</v>
      </c>
      <c r="AB570" s="239">
        <v>10.710330000000001</v>
      </c>
      <c r="AC570" s="239">
        <v>0</v>
      </c>
      <c r="AD570" s="239">
        <v>1</v>
      </c>
      <c r="AE570" s="239" t="s">
        <v>20</v>
      </c>
      <c r="AF570" s="239" t="s">
        <v>718</v>
      </c>
      <c r="AG570" s="239">
        <f t="shared" si="41"/>
        <v>0</v>
      </c>
      <c r="AH570" s="239">
        <f t="shared" si="42"/>
        <v>5.5328088200000005</v>
      </c>
      <c r="AI570" s="239">
        <f t="shared" si="43"/>
        <v>10.42115109</v>
      </c>
      <c r="AJ570" s="239">
        <f t="shared" si="44"/>
        <v>15.953959910000002</v>
      </c>
    </row>
    <row r="571" spans="1:36" x14ac:dyDescent="0.2">
      <c r="A571" s="240" t="str">
        <f t="shared" si="40"/>
        <v>32SNMCLBDMSV50</v>
      </c>
      <c r="B571" s="239" t="s">
        <v>19</v>
      </c>
      <c r="C571" s="239" t="s">
        <v>20</v>
      </c>
      <c r="D571" s="239" t="s">
        <v>165</v>
      </c>
      <c r="E571" s="239" t="s">
        <v>723</v>
      </c>
      <c r="F571" s="239" t="s">
        <v>166</v>
      </c>
      <c r="G571" s="239">
        <v>50</v>
      </c>
      <c r="H571" s="239" t="s">
        <v>928</v>
      </c>
      <c r="I571" s="239" t="s">
        <v>2599</v>
      </c>
      <c r="J571" s="239" t="s">
        <v>928</v>
      </c>
      <c r="K571" s="239" t="s">
        <v>2398</v>
      </c>
      <c r="L571" s="239">
        <v>15.95396</v>
      </c>
      <c r="M571" s="239">
        <v>100</v>
      </c>
      <c r="N571" s="239">
        <v>0</v>
      </c>
      <c r="O571" s="239">
        <v>0</v>
      </c>
      <c r="P571" s="239">
        <v>0</v>
      </c>
      <c r="Q571" s="239">
        <v>0</v>
      </c>
      <c r="R571" s="239">
        <v>0</v>
      </c>
      <c r="S571" s="239">
        <v>0</v>
      </c>
      <c r="T571" s="239">
        <v>0.63588</v>
      </c>
      <c r="U571" s="239">
        <v>0</v>
      </c>
      <c r="V571" s="239">
        <v>1.65991</v>
      </c>
      <c r="W571" s="239">
        <v>3.2370199999999998</v>
      </c>
      <c r="X571" s="239">
        <v>0</v>
      </c>
      <c r="Y571" s="239">
        <v>0</v>
      </c>
      <c r="Z571" s="239">
        <v>7.3829599999999997</v>
      </c>
      <c r="AA571" s="239">
        <v>3.0381900000000002</v>
      </c>
      <c r="AB571" s="239">
        <v>0</v>
      </c>
      <c r="AC571" s="239">
        <v>0</v>
      </c>
      <c r="AD571" s="239">
        <v>1</v>
      </c>
      <c r="AE571" s="239" t="s">
        <v>20</v>
      </c>
      <c r="AF571" s="239" t="s">
        <v>718</v>
      </c>
      <c r="AG571" s="239">
        <f t="shared" si="41"/>
        <v>0</v>
      </c>
      <c r="AH571" s="239">
        <f t="shared" si="42"/>
        <v>0</v>
      </c>
      <c r="AI571" s="239">
        <f t="shared" si="43"/>
        <v>0</v>
      </c>
      <c r="AJ571" s="239">
        <f t="shared" si="44"/>
        <v>0</v>
      </c>
    </row>
    <row r="572" spans="1:36" x14ac:dyDescent="0.2">
      <c r="A572" s="240" t="str">
        <f t="shared" si="40"/>
        <v>32SNMCLBEYK50</v>
      </c>
      <c r="B572" s="239" t="s">
        <v>19</v>
      </c>
      <c r="C572" s="239" t="s">
        <v>20</v>
      </c>
      <c r="D572" s="239" t="s">
        <v>165</v>
      </c>
      <c r="E572" s="239" t="s">
        <v>723</v>
      </c>
      <c r="F572" s="239" t="s">
        <v>169</v>
      </c>
      <c r="G572" s="239">
        <v>50</v>
      </c>
      <c r="H572" s="239" t="s">
        <v>928</v>
      </c>
      <c r="I572" s="239" t="s">
        <v>2599</v>
      </c>
      <c r="J572" s="239" t="s">
        <v>928</v>
      </c>
      <c r="K572" s="239" t="s">
        <v>2398</v>
      </c>
      <c r="L572" s="239">
        <v>10.67408</v>
      </c>
      <c r="M572" s="239">
        <v>100</v>
      </c>
      <c r="N572" s="239">
        <v>0</v>
      </c>
      <c r="O572" s="239">
        <v>0</v>
      </c>
      <c r="P572" s="239">
        <v>0</v>
      </c>
      <c r="Q572" s="239">
        <v>0</v>
      </c>
      <c r="R572" s="239">
        <v>0</v>
      </c>
      <c r="S572" s="239">
        <v>0</v>
      </c>
      <c r="T572" s="239">
        <v>0.43015999999999999</v>
      </c>
      <c r="U572" s="239">
        <v>0</v>
      </c>
      <c r="V572" s="239">
        <v>0.97194000000000003</v>
      </c>
      <c r="W572" s="239">
        <v>2.21007</v>
      </c>
      <c r="X572" s="239">
        <v>0</v>
      </c>
      <c r="Y572" s="239">
        <v>0</v>
      </c>
      <c r="Z572" s="239">
        <v>5.0028100000000002</v>
      </c>
      <c r="AA572" s="239">
        <v>2.0590999999999999</v>
      </c>
      <c r="AB572" s="239">
        <v>0</v>
      </c>
      <c r="AC572" s="239">
        <v>0</v>
      </c>
      <c r="AD572" s="239">
        <v>1</v>
      </c>
      <c r="AE572" s="239" t="s">
        <v>20</v>
      </c>
      <c r="AF572" s="239" t="s">
        <v>718</v>
      </c>
      <c r="AG572" s="239">
        <f t="shared" si="41"/>
        <v>0</v>
      </c>
      <c r="AH572" s="239">
        <f t="shared" si="42"/>
        <v>0</v>
      </c>
      <c r="AI572" s="239">
        <f t="shared" si="43"/>
        <v>0</v>
      </c>
      <c r="AJ572" s="239">
        <f t="shared" si="44"/>
        <v>0</v>
      </c>
    </row>
    <row r="573" spans="1:36" x14ac:dyDescent="0.2">
      <c r="A573" s="240" t="str">
        <f t="shared" si="40"/>
        <v>33SSNMCLBEYK50</v>
      </c>
      <c r="B573" s="239" t="s">
        <v>19</v>
      </c>
      <c r="C573" s="239" t="s">
        <v>20</v>
      </c>
      <c r="D573" s="239" t="s">
        <v>165</v>
      </c>
      <c r="E573" s="239" t="s">
        <v>723</v>
      </c>
      <c r="F573" s="239" t="s">
        <v>169</v>
      </c>
      <c r="G573" s="239">
        <v>50</v>
      </c>
      <c r="H573" s="239" t="s">
        <v>928</v>
      </c>
      <c r="I573" s="239" t="s">
        <v>158</v>
      </c>
      <c r="J573" s="239" t="s">
        <v>928</v>
      </c>
      <c r="K573" s="239" t="s">
        <v>2398</v>
      </c>
      <c r="L573" s="239">
        <v>69.774450000000002</v>
      </c>
      <c r="M573" s="239">
        <v>97</v>
      </c>
      <c r="N573" s="239">
        <v>0</v>
      </c>
      <c r="O573" s="239">
        <v>0</v>
      </c>
      <c r="P573" s="239">
        <v>3.7238899999999999</v>
      </c>
      <c r="Q573" s="239">
        <v>0</v>
      </c>
      <c r="R573" s="239">
        <v>0</v>
      </c>
      <c r="S573" s="239">
        <v>0</v>
      </c>
      <c r="T573" s="239">
        <v>4.4120100000000004</v>
      </c>
      <c r="U573" s="239">
        <v>0.94718000000000002</v>
      </c>
      <c r="V573" s="239">
        <v>0.90744000000000002</v>
      </c>
      <c r="W573" s="239">
        <v>9.7926500000000001</v>
      </c>
      <c r="X573" s="239">
        <v>0</v>
      </c>
      <c r="Y573" s="239">
        <v>0</v>
      </c>
      <c r="Z573" s="239">
        <v>24.796980000000001</v>
      </c>
      <c r="AA573" s="239">
        <v>17.913979999999999</v>
      </c>
      <c r="AB573" s="239">
        <v>7.2803199999999997</v>
      </c>
      <c r="AC573" s="239">
        <v>0</v>
      </c>
      <c r="AD573" s="239">
        <v>1</v>
      </c>
      <c r="AE573" s="239" t="s">
        <v>20</v>
      </c>
      <c r="AF573" s="239" t="s">
        <v>718</v>
      </c>
      <c r="AG573" s="239">
        <f t="shared" si="41"/>
        <v>0</v>
      </c>
      <c r="AH573" s="239">
        <f t="shared" si="42"/>
        <v>3.6121733000000003</v>
      </c>
      <c r="AI573" s="239">
        <f t="shared" si="43"/>
        <v>7.0619103999999995</v>
      </c>
      <c r="AJ573" s="239">
        <f t="shared" si="44"/>
        <v>10.674083700000001</v>
      </c>
    </row>
    <row r="574" spans="1:36" x14ac:dyDescent="0.2">
      <c r="A574" s="240" t="str">
        <f t="shared" si="40"/>
        <v>3SNMCLBMSNEYK25</v>
      </c>
      <c r="B574" s="239" t="s">
        <v>19</v>
      </c>
      <c r="C574" s="239" t="s">
        <v>20</v>
      </c>
      <c r="D574" s="239" t="s">
        <v>165</v>
      </c>
      <c r="E574" s="239" t="s">
        <v>723</v>
      </c>
      <c r="F574" s="239" t="s">
        <v>180</v>
      </c>
      <c r="G574" s="239">
        <v>25</v>
      </c>
      <c r="H574" s="239" t="s">
        <v>928</v>
      </c>
      <c r="I574" s="239" t="s">
        <v>2471</v>
      </c>
      <c r="J574" s="239" t="s">
        <v>928</v>
      </c>
      <c r="K574" s="239" t="s">
        <v>2398</v>
      </c>
      <c r="L574" s="239">
        <v>141.36103</v>
      </c>
      <c r="M574" s="239">
        <v>93.5</v>
      </c>
      <c r="N574" s="239">
        <v>0</v>
      </c>
      <c r="O574" s="239">
        <v>64.331549999999993</v>
      </c>
      <c r="P574" s="239">
        <v>3.9315600000000002</v>
      </c>
      <c r="Q574" s="239">
        <v>0</v>
      </c>
      <c r="R574" s="239">
        <v>0</v>
      </c>
      <c r="S574" s="239">
        <v>0</v>
      </c>
      <c r="T574" s="239">
        <v>4.5720799999999997</v>
      </c>
      <c r="U574" s="239">
        <v>1.7653399999999999</v>
      </c>
      <c r="V574" s="239">
        <v>0.93340000000000001</v>
      </c>
      <c r="W574" s="239">
        <v>10.36769</v>
      </c>
      <c r="X574" s="239">
        <v>0</v>
      </c>
      <c r="Y574" s="239">
        <v>0</v>
      </c>
      <c r="Z574" s="239">
        <v>28.72972</v>
      </c>
      <c r="AA574" s="239">
        <v>19.066649999999999</v>
      </c>
      <c r="AB574" s="239">
        <v>7.6630399999999996</v>
      </c>
      <c r="AC574" s="239">
        <v>0</v>
      </c>
      <c r="AD574" s="239">
        <v>1</v>
      </c>
      <c r="AE574" s="239" t="s">
        <v>20</v>
      </c>
      <c r="AF574" s="239" t="s">
        <v>718</v>
      </c>
      <c r="AG574" s="239">
        <f t="shared" si="41"/>
        <v>60.149999249999993</v>
      </c>
      <c r="AH574" s="239">
        <f t="shared" si="42"/>
        <v>3.6760086000000003</v>
      </c>
      <c r="AI574" s="239">
        <f t="shared" si="43"/>
        <v>7.1649424000000002</v>
      </c>
      <c r="AJ574" s="239">
        <f t="shared" si="44"/>
        <v>70.990950249999997</v>
      </c>
    </row>
    <row r="575" spans="1:36" x14ac:dyDescent="0.2">
      <c r="A575" s="240" t="str">
        <f t="shared" si="40"/>
        <v>32SNMCLBMSNEYK25</v>
      </c>
      <c r="B575" s="239" t="s">
        <v>19</v>
      </c>
      <c r="C575" s="239" t="s">
        <v>20</v>
      </c>
      <c r="D575" s="239" t="s">
        <v>165</v>
      </c>
      <c r="E575" s="239" t="s">
        <v>723</v>
      </c>
      <c r="F575" s="239" t="s">
        <v>180</v>
      </c>
      <c r="G575" s="239">
        <v>25</v>
      </c>
      <c r="H575" s="239" t="s">
        <v>928</v>
      </c>
      <c r="I575" s="239" t="s">
        <v>2599</v>
      </c>
      <c r="J575" s="239" t="s">
        <v>928</v>
      </c>
      <c r="K575" s="239" t="s">
        <v>2398</v>
      </c>
      <c r="L575" s="239">
        <v>10.840949999999999</v>
      </c>
      <c r="M575" s="239">
        <v>100</v>
      </c>
      <c r="N575" s="239">
        <v>0</v>
      </c>
      <c r="O575" s="239">
        <v>0</v>
      </c>
      <c r="P575" s="239">
        <v>0</v>
      </c>
      <c r="Q575" s="239">
        <v>0</v>
      </c>
      <c r="R575" s="239">
        <v>0</v>
      </c>
      <c r="S575" s="239">
        <v>0</v>
      </c>
      <c r="T575" s="239">
        <v>0.43951000000000001</v>
      </c>
      <c r="U575" s="239">
        <v>0</v>
      </c>
      <c r="V575" s="239">
        <v>0.99394000000000005</v>
      </c>
      <c r="W575" s="239">
        <v>2.2425600000000001</v>
      </c>
      <c r="X575" s="239">
        <v>0</v>
      </c>
      <c r="Y575" s="239">
        <v>0</v>
      </c>
      <c r="Z575" s="239">
        <v>5.07578</v>
      </c>
      <c r="AA575" s="239">
        <v>2.0891600000000001</v>
      </c>
      <c r="AB575" s="239">
        <v>0</v>
      </c>
      <c r="AC575" s="239">
        <v>0</v>
      </c>
      <c r="AD575" s="239">
        <v>1</v>
      </c>
      <c r="AE575" s="239" t="s">
        <v>20</v>
      </c>
      <c r="AF575" s="239" t="s">
        <v>718</v>
      </c>
      <c r="AG575" s="239">
        <f t="shared" si="41"/>
        <v>0</v>
      </c>
      <c r="AH575" s="239">
        <f t="shared" si="42"/>
        <v>0</v>
      </c>
      <c r="AI575" s="239">
        <f t="shared" si="43"/>
        <v>0</v>
      </c>
      <c r="AJ575" s="239">
        <f t="shared" si="44"/>
        <v>0</v>
      </c>
    </row>
    <row r="576" spans="1:36" x14ac:dyDescent="0.2">
      <c r="A576" s="240" t="str">
        <f t="shared" si="40"/>
        <v>32SNMCLBMSNEYK50</v>
      </c>
      <c r="B576" s="239" t="s">
        <v>19</v>
      </c>
      <c r="C576" s="239" t="s">
        <v>20</v>
      </c>
      <c r="D576" s="239" t="s">
        <v>165</v>
      </c>
      <c r="E576" s="239" t="s">
        <v>723</v>
      </c>
      <c r="F576" s="239" t="s">
        <v>180</v>
      </c>
      <c r="G576" s="239">
        <v>50</v>
      </c>
      <c r="H576" s="239" t="s">
        <v>928</v>
      </c>
      <c r="I576" s="239" t="s">
        <v>2599</v>
      </c>
      <c r="J576" s="239" t="s">
        <v>928</v>
      </c>
      <c r="K576" s="239" t="s">
        <v>2398</v>
      </c>
      <c r="L576" s="239">
        <v>10.911960000000001</v>
      </c>
      <c r="M576" s="239">
        <v>100</v>
      </c>
      <c r="N576" s="239">
        <v>0</v>
      </c>
      <c r="O576" s="239">
        <v>0</v>
      </c>
      <c r="P576" s="239">
        <v>0</v>
      </c>
      <c r="Q576" s="239">
        <v>0</v>
      </c>
      <c r="R576" s="239">
        <v>0</v>
      </c>
      <c r="S576" s="239">
        <v>0</v>
      </c>
      <c r="T576" s="239">
        <v>0.43951000000000001</v>
      </c>
      <c r="U576" s="239">
        <v>0</v>
      </c>
      <c r="V576" s="239">
        <v>0.99394000000000005</v>
      </c>
      <c r="W576" s="239">
        <v>2.2599</v>
      </c>
      <c r="X576" s="239">
        <v>0</v>
      </c>
      <c r="Y576" s="239">
        <v>0</v>
      </c>
      <c r="Z576" s="239">
        <v>5.11442</v>
      </c>
      <c r="AA576" s="239">
        <v>2.10419</v>
      </c>
      <c r="AB576" s="239">
        <v>0</v>
      </c>
      <c r="AC576" s="239">
        <v>0</v>
      </c>
      <c r="AD576" s="239">
        <v>1</v>
      </c>
      <c r="AE576" s="239" t="s">
        <v>20</v>
      </c>
      <c r="AF576" s="239" t="s">
        <v>718</v>
      </c>
      <c r="AG576" s="239">
        <f t="shared" si="41"/>
        <v>0</v>
      </c>
      <c r="AH576" s="239">
        <f t="shared" si="42"/>
        <v>0</v>
      </c>
      <c r="AI576" s="239">
        <f t="shared" si="43"/>
        <v>0</v>
      </c>
      <c r="AJ576" s="239">
        <f t="shared" si="44"/>
        <v>0</v>
      </c>
    </row>
    <row r="577" spans="1:36" x14ac:dyDescent="0.2">
      <c r="A577" s="240" t="str">
        <f t="shared" si="40"/>
        <v>33SSNMCLBMSNEYK50</v>
      </c>
      <c r="B577" s="239" t="s">
        <v>19</v>
      </c>
      <c r="C577" s="239" t="s">
        <v>20</v>
      </c>
      <c r="D577" s="239" t="s">
        <v>165</v>
      </c>
      <c r="E577" s="239" t="s">
        <v>723</v>
      </c>
      <c r="F577" s="239" t="s">
        <v>180</v>
      </c>
      <c r="G577" s="239">
        <v>50</v>
      </c>
      <c r="H577" s="239" t="s">
        <v>928</v>
      </c>
      <c r="I577" s="239" t="s">
        <v>158</v>
      </c>
      <c r="J577" s="239" t="s">
        <v>928</v>
      </c>
      <c r="K577" s="239" t="s">
        <v>2398</v>
      </c>
      <c r="L577" s="239">
        <v>169.66202000000001</v>
      </c>
      <c r="M577" s="239">
        <v>97</v>
      </c>
      <c r="N577" s="239">
        <v>0</v>
      </c>
      <c r="O577" s="239">
        <v>98.278350000000003</v>
      </c>
      <c r="P577" s="239">
        <v>3.8075700000000001</v>
      </c>
      <c r="Q577" s="239">
        <v>0</v>
      </c>
      <c r="R577" s="239">
        <v>0</v>
      </c>
      <c r="S577" s="239">
        <v>0</v>
      </c>
      <c r="T577" s="239">
        <v>4.4120100000000004</v>
      </c>
      <c r="U577" s="239">
        <v>1.42127</v>
      </c>
      <c r="V577" s="239">
        <v>0.91144000000000003</v>
      </c>
      <c r="W577" s="239">
        <v>9.8776600000000006</v>
      </c>
      <c r="X577" s="239">
        <v>0</v>
      </c>
      <c r="Y577" s="239">
        <v>0</v>
      </c>
      <c r="Z577" s="239">
        <v>25.42201</v>
      </c>
      <c r="AA577" s="239">
        <v>18.089839999999999</v>
      </c>
      <c r="AB577" s="239">
        <v>7.4418699999999998</v>
      </c>
      <c r="AC577" s="239">
        <v>0</v>
      </c>
      <c r="AD577" s="239">
        <v>1</v>
      </c>
      <c r="AE577" s="239" t="s">
        <v>20</v>
      </c>
      <c r="AF577" s="239" t="s">
        <v>718</v>
      </c>
      <c r="AG577" s="239">
        <f t="shared" si="41"/>
        <v>95.3299995</v>
      </c>
      <c r="AH577" s="239">
        <f t="shared" si="42"/>
        <v>3.6933429000000002</v>
      </c>
      <c r="AI577" s="239">
        <f t="shared" si="43"/>
        <v>7.2186139000000002</v>
      </c>
      <c r="AJ577" s="239">
        <f t="shared" si="44"/>
        <v>106.2419563</v>
      </c>
    </row>
    <row r="578" spans="1:36" x14ac:dyDescent="0.2">
      <c r="A578" s="240" t="str">
        <f t="shared" si="40"/>
        <v>3SNMCLBNGKVB50</v>
      </c>
      <c r="B578" s="239" t="s">
        <v>19</v>
      </c>
      <c r="C578" s="239" t="s">
        <v>20</v>
      </c>
      <c r="D578" s="239" t="s">
        <v>165</v>
      </c>
      <c r="E578" s="239" t="s">
        <v>723</v>
      </c>
      <c r="F578" s="239" t="s">
        <v>185</v>
      </c>
      <c r="G578" s="239">
        <v>50</v>
      </c>
      <c r="H578" s="239" t="s">
        <v>928</v>
      </c>
      <c r="I578" s="239" t="s">
        <v>2471</v>
      </c>
      <c r="J578" s="239" t="s">
        <v>928</v>
      </c>
      <c r="K578" s="239" t="s">
        <v>2398</v>
      </c>
      <c r="L578" s="239">
        <v>179.69919999999999</v>
      </c>
      <c r="M578" s="239">
        <v>96.5</v>
      </c>
      <c r="N578" s="239">
        <v>0</v>
      </c>
      <c r="O578" s="239">
        <v>101.34715</v>
      </c>
      <c r="P578" s="239">
        <v>4.1661200000000003</v>
      </c>
      <c r="Q578" s="239">
        <v>0</v>
      </c>
      <c r="R578" s="239">
        <v>0</v>
      </c>
      <c r="S578" s="239">
        <v>0</v>
      </c>
      <c r="T578" s="239">
        <v>5.69259</v>
      </c>
      <c r="U578" s="239">
        <v>1.9973799999999999</v>
      </c>
      <c r="V578" s="239">
        <v>0.91942000000000002</v>
      </c>
      <c r="W578" s="239">
        <v>10.15367</v>
      </c>
      <c r="X578" s="239">
        <v>0</v>
      </c>
      <c r="Y578" s="239">
        <v>0</v>
      </c>
      <c r="Z578" s="239">
        <v>28.583259999999999</v>
      </c>
      <c r="AA578" s="239">
        <v>18.68966</v>
      </c>
      <c r="AB578" s="239">
        <v>8.1499500000000005</v>
      </c>
      <c r="AC578" s="239">
        <v>0</v>
      </c>
      <c r="AD578" s="239">
        <v>1</v>
      </c>
      <c r="AE578" s="239" t="s">
        <v>20</v>
      </c>
      <c r="AF578" s="239" t="s">
        <v>718</v>
      </c>
      <c r="AG578" s="239">
        <f t="shared" si="41"/>
        <v>97.799999750000012</v>
      </c>
      <c r="AH578" s="239">
        <f t="shared" si="42"/>
        <v>4.0203058</v>
      </c>
      <c r="AI578" s="239">
        <f t="shared" si="43"/>
        <v>7.86470175</v>
      </c>
      <c r="AJ578" s="239">
        <f t="shared" si="44"/>
        <v>109.68500730000001</v>
      </c>
    </row>
    <row r="579" spans="1:36" x14ac:dyDescent="0.2">
      <c r="A579" s="240" t="str">
        <f t="shared" si="40"/>
        <v>32SNMCLBNGKVB50</v>
      </c>
      <c r="B579" s="239" t="s">
        <v>19</v>
      </c>
      <c r="C579" s="239" t="s">
        <v>20</v>
      </c>
      <c r="D579" s="239" t="s">
        <v>165</v>
      </c>
      <c r="E579" s="239" t="s">
        <v>723</v>
      </c>
      <c r="F579" s="239" t="s">
        <v>185</v>
      </c>
      <c r="G579" s="239">
        <v>50</v>
      </c>
      <c r="H579" s="239" t="s">
        <v>928</v>
      </c>
      <c r="I579" s="239" t="s">
        <v>2599</v>
      </c>
      <c r="J579" s="239" t="s">
        <v>928</v>
      </c>
      <c r="K579" s="239" t="s">
        <v>2398</v>
      </c>
      <c r="L579" s="239">
        <v>11.885009999999999</v>
      </c>
      <c r="M579" s="239">
        <v>100</v>
      </c>
      <c r="N579" s="239">
        <v>0</v>
      </c>
      <c r="O579" s="239">
        <v>0</v>
      </c>
      <c r="P579" s="239">
        <v>0</v>
      </c>
      <c r="Q579" s="239">
        <v>0</v>
      </c>
      <c r="R579" s="239">
        <v>0</v>
      </c>
      <c r="S579" s="239">
        <v>0</v>
      </c>
      <c r="T579" s="239">
        <v>0.47691</v>
      </c>
      <c r="U579" s="239">
        <v>0</v>
      </c>
      <c r="V579" s="239">
        <v>1.0799399999999999</v>
      </c>
      <c r="W579" s="239">
        <v>2.46346</v>
      </c>
      <c r="X579" s="239">
        <v>0</v>
      </c>
      <c r="Y579" s="239">
        <v>0</v>
      </c>
      <c r="Z579" s="239">
        <v>5.5715599999999998</v>
      </c>
      <c r="AA579" s="239">
        <v>2.2931400000000002</v>
      </c>
      <c r="AB579" s="239">
        <v>0</v>
      </c>
      <c r="AC579" s="239">
        <v>0</v>
      </c>
      <c r="AD579" s="239">
        <v>1</v>
      </c>
      <c r="AE579" s="239" t="s">
        <v>20</v>
      </c>
      <c r="AF579" s="239" t="s">
        <v>718</v>
      </c>
      <c r="AG579" s="239">
        <f t="shared" si="41"/>
        <v>0</v>
      </c>
      <c r="AH579" s="239">
        <f t="shared" si="42"/>
        <v>0</v>
      </c>
      <c r="AI579" s="239">
        <f t="shared" si="43"/>
        <v>0</v>
      </c>
      <c r="AJ579" s="239">
        <f t="shared" si="44"/>
        <v>0</v>
      </c>
    </row>
    <row r="580" spans="1:36" x14ac:dyDescent="0.2">
      <c r="A580" s="240" t="str">
        <f t="shared" ref="A580:A644" si="45">TRIM(I580&amp;B580&amp;C580&amp;D580&amp;F580&amp;G580)</f>
        <v>3SNMCLBSCB25</v>
      </c>
      <c r="B580" s="239" t="s">
        <v>19</v>
      </c>
      <c r="C580" s="239" t="s">
        <v>20</v>
      </c>
      <c r="D580" s="239" t="s">
        <v>165</v>
      </c>
      <c r="E580" s="239" t="s">
        <v>723</v>
      </c>
      <c r="F580" s="239" t="s">
        <v>190</v>
      </c>
      <c r="G580" s="239">
        <v>25</v>
      </c>
      <c r="H580" s="239" t="s">
        <v>928</v>
      </c>
      <c r="I580" s="239" t="s">
        <v>2471</v>
      </c>
      <c r="J580" s="239" t="s">
        <v>928</v>
      </c>
      <c r="K580" s="239" t="s">
        <v>2398</v>
      </c>
      <c r="L580" s="239">
        <v>231.00873000000001</v>
      </c>
      <c r="M580" s="239">
        <v>91.5</v>
      </c>
      <c r="N580" s="239">
        <v>0</v>
      </c>
      <c r="O580" s="239">
        <v>0</v>
      </c>
      <c r="P580" s="239">
        <v>4.1910499999999997</v>
      </c>
      <c r="Q580" s="239">
        <v>0</v>
      </c>
      <c r="R580" s="239">
        <v>0</v>
      </c>
      <c r="S580" s="239">
        <v>0</v>
      </c>
      <c r="T580" s="239">
        <v>30.15372</v>
      </c>
      <c r="U580" s="239">
        <v>1.1902299999999999</v>
      </c>
      <c r="V580" s="239">
        <v>2.4957099999999999</v>
      </c>
      <c r="W580" s="239">
        <v>35.259340000000002</v>
      </c>
      <c r="X580" s="239">
        <v>0</v>
      </c>
      <c r="Y580" s="239">
        <v>0</v>
      </c>
      <c r="Z580" s="239">
        <v>85.200040000000001</v>
      </c>
      <c r="AA580" s="239">
        <v>64.329179999999994</v>
      </c>
      <c r="AB580" s="239">
        <v>8.1894600000000004</v>
      </c>
      <c r="AC580" s="239">
        <v>0</v>
      </c>
      <c r="AD580" s="239">
        <v>1</v>
      </c>
      <c r="AE580" s="239" t="s">
        <v>20</v>
      </c>
      <c r="AF580" s="239" t="s">
        <v>718</v>
      </c>
      <c r="AG580" s="239">
        <f t="shared" si="41"/>
        <v>0</v>
      </c>
      <c r="AH580" s="239">
        <f t="shared" si="42"/>
        <v>3.8348107499999999</v>
      </c>
      <c r="AI580" s="239">
        <f t="shared" si="43"/>
        <v>7.4933559000000001</v>
      </c>
      <c r="AJ580" s="239">
        <f t="shared" si="44"/>
        <v>11.32816665</v>
      </c>
    </row>
    <row r="581" spans="1:36" x14ac:dyDescent="0.2">
      <c r="A581" s="240" t="str">
        <f t="shared" si="45"/>
        <v>32SNMCLBSCB25</v>
      </c>
      <c r="B581" s="239" t="s">
        <v>19</v>
      </c>
      <c r="C581" s="239" t="s">
        <v>20</v>
      </c>
      <c r="D581" s="239" t="s">
        <v>165</v>
      </c>
      <c r="E581" s="239" t="s">
        <v>723</v>
      </c>
      <c r="F581" s="239" t="s">
        <v>190</v>
      </c>
      <c r="G581" s="239">
        <v>25</v>
      </c>
      <c r="H581" s="239" t="s">
        <v>928</v>
      </c>
      <c r="I581" s="239" t="s">
        <v>2599</v>
      </c>
      <c r="J581" s="239" t="s">
        <v>928</v>
      </c>
      <c r="K581" s="239" t="s">
        <v>2398</v>
      </c>
      <c r="L581" s="239">
        <v>11.32817</v>
      </c>
      <c r="M581" s="239">
        <v>100</v>
      </c>
      <c r="N581" s="239">
        <v>0</v>
      </c>
      <c r="O581" s="239">
        <v>0</v>
      </c>
      <c r="P581" s="239">
        <v>0</v>
      </c>
      <c r="Q581" s="239">
        <v>0</v>
      </c>
      <c r="R581" s="239">
        <v>0</v>
      </c>
      <c r="S581" s="239">
        <v>0</v>
      </c>
      <c r="T581" s="239">
        <v>0.45634000000000002</v>
      </c>
      <c r="U581" s="239">
        <v>0</v>
      </c>
      <c r="V581" s="239">
        <v>1.0319400000000001</v>
      </c>
      <c r="W581" s="239">
        <v>2.34653</v>
      </c>
      <c r="X581" s="239">
        <v>0</v>
      </c>
      <c r="Y581" s="239">
        <v>0</v>
      </c>
      <c r="Z581" s="239">
        <v>5.3097200000000004</v>
      </c>
      <c r="AA581" s="239">
        <v>2.18364</v>
      </c>
      <c r="AB581" s="239">
        <v>0</v>
      </c>
      <c r="AC581" s="239">
        <v>0</v>
      </c>
      <c r="AD581" s="239">
        <v>1</v>
      </c>
      <c r="AE581" s="239" t="s">
        <v>20</v>
      </c>
      <c r="AF581" s="239" t="s">
        <v>718</v>
      </c>
      <c r="AG581" s="239">
        <f t="shared" si="41"/>
        <v>0</v>
      </c>
      <c r="AH581" s="239">
        <f t="shared" si="42"/>
        <v>0</v>
      </c>
      <c r="AI581" s="239">
        <f t="shared" si="43"/>
        <v>0</v>
      </c>
      <c r="AJ581" s="239">
        <f t="shared" si="44"/>
        <v>0</v>
      </c>
    </row>
    <row r="582" spans="1:36" x14ac:dyDescent="0.2">
      <c r="A582" s="240" t="str">
        <f t="shared" si="45"/>
        <v>32SNMCLBTEKKFV50</v>
      </c>
      <c r="B582" s="239" t="s">
        <v>19</v>
      </c>
      <c r="C582" s="239" t="s">
        <v>20</v>
      </c>
      <c r="D582" s="239" t="s">
        <v>165</v>
      </c>
      <c r="E582" s="239" t="s">
        <v>723</v>
      </c>
      <c r="F582" s="239" t="s">
        <v>192</v>
      </c>
      <c r="G582" s="239">
        <v>50</v>
      </c>
      <c r="H582" s="239" t="s">
        <v>928</v>
      </c>
      <c r="I582" s="239" t="s">
        <v>2599</v>
      </c>
      <c r="J582" s="239" t="s">
        <v>928</v>
      </c>
      <c r="K582" s="239" t="s">
        <v>2398</v>
      </c>
      <c r="L582" s="239">
        <v>12.07699</v>
      </c>
      <c r="M582" s="239">
        <v>100</v>
      </c>
      <c r="N582" s="239">
        <v>0</v>
      </c>
      <c r="O582" s="239">
        <v>0</v>
      </c>
      <c r="P582" s="239">
        <v>0</v>
      </c>
      <c r="Q582" s="239">
        <v>0</v>
      </c>
      <c r="R582" s="239">
        <v>0</v>
      </c>
      <c r="S582" s="239">
        <v>0</v>
      </c>
      <c r="T582" s="239">
        <v>0.49</v>
      </c>
      <c r="U582" s="239">
        <v>0</v>
      </c>
      <c r="V582" s="239">
        <v>1.1059399999999999</v>
      </c>
      <c r="W582" s="239">
        <v>2.4983</v>
      </c>
      <c r="X582" s="239">
        <v>0</v>
      </c>
      <c r="Y582" s="239">
        <v>0</v>
      </c>
      <c r="Z582" s="239">
        <v>5.6552600000000002</v>
      </c>
      <c r="AA582" s="239">
        <v>2.3274900000000001</v>
      </c>
      <c r="AB582" s="239">
        <v>0</v>
      </c>
      <c r="AC582" s="239">
        <v>0</v>
      </c>
      <c r="AD582" s="239">
        <v>1</v>
      </c>
      <c r="AE582" s="239" t="s">
        <v>20</v>
      </c>
      <c r="AF582" s="239" t="s">
        <v>718</v>
      </c>
      <c r="AG582" s="239">
        <f t="shared" ref="AG582:AG645" si="46">+O582*M582/100</f>
        <v>0</v>
      </c>
      <c r="AH582" s="239">
        <f t="shared" ref="AH582:AH645" si="47">+P582*M582/100</f>
        <v>0</v>
      </c>
      <c r="AI582" s="239">
        <f t="shared" ref="AI582:AI645" si="48">+AB582*M582/100</f>
        <v>0</v>
      </c>
      <c r="AJ582" s="239">
        <f t="shared" ref="AJ582:AJ645" si="49">+AG582+AH582+AI582</f>
        <v>0</v>
      </c>
    </row>
    <row r="583" spans="1:36" x14ac:dyDescent="0.2">
      <c r="A583" s="240" t="str">
        <f t="shared" si="45"/>
        <v>33SSNMCLBTEKKFV50</v>
      </c>
      <c r="B583" s="239" t="s">
        <v>19</v>
      </c>
      <c r="C583" s="239" t="s">
        <v>20</v>
      </c>
      <c r="D583" s="239" t="s">
        <v>165</v>
      </c>
      <c r="E583" s="239" t="s">
        <v>723</v>
      </c>
      <c r="F583" s="239" t="s">
        <v>192</v>
      </c>
      <c r="G583" s="239">
        <v>50</v>
      </c>
      <c r="H583" s="239" t="s">
        <v>928</v>
      </c>
      <c r="I583" s="239" t="s">
        <v>158</v>
      </c>
      <c r="J583" s="239" t="s">
        <v>928</v>
      </c>
      <c r="K583" s="239" t="s">
        <v>2398</v>
      </c>
      <c r="L583" s="239">
        <v>197.98217</v>
      </c>
      <c r="M583" s="239">
        <v>98</v>
      </c>
      <c r="N583" s="239">
        <v>0</v>
      </c>
      <c r="O583" s="239">
        <v>120.61224</v>
      </c>
      <c r="P583" s="239">
        <v>4.1778000000000004</v>
      </c>
      <c r="Q583" s="239">
        <v>0</v>
      </c>
      <c r="R583" s="239">
        <v>0</v>
      </c>
      <c r="S583" s="239">
        <v>0</v>
      </c>
      <c r="T583" s="239">
        <v>5.6025499999999999</v>
      </c>
      <c r="U583" s="239">
        <v>1.8163499999999999</v>
      </c>
      <c r="V583" s="239">
        <v>0.91144000000000003</v>
      </c>
      <c r="W583" s="239">
        <v>10.02566</v>
      </c>
      <c r="X583" s="239">
        <v>0</v>
      </c>
      <c r="Y583" s="239">
        <v>0</v>
      </c>
      <c r="Z583" s="239">
        <v>28.235679999999999</v>
      </c>
      <c r="AA583" s="239">
        <v>18.454789999999999</v>
      </c>
      <c r="AB583" s="239">
        <v>8.1456599999999995</v>
      </c>
      <c r="AC583" s="239">
        <v>0</v>
      </c>
      <c r="AD583" s="239">
        <v>1</v>
      </c>
      <c r="AE583" s="239" t="s">
        <v>20</v>
      </c>
      <c r="AF583" s="239" t="s">
        <v>718</v>
      </c>
      <c r="AG583" s="239">
        <f t="shared" si="46"/>
        <v>118.19999519999999</v>
      </c>
      <c r="AH583" s="239">
        <f t="shared" si="47"/>
        <v>4.0942440000000007</v>
      </c>
      <c r="AI583" s="239">
        <f t="shared" si="48"/>
        <v>7.9827468000000001</v>
      </c>
      <c r="AJ583" s="239">
        <f t="shared" si="49"/>
        <v>130.27698599999999</v>
      </c>
    </row>
    <row r="584" spans="1:36" x14ac:dyDescent="0.2">
      <c r="A584" s="240" t="str">
        <f t="shared" si="45"/>
        <v>32SNMCLBTEKV0V50</v>
      </c>
      <c r="B584" s="239" t="s">
        <v>19</v>
      </c>
      <c r="C584" s="239" t="s">
        <v>20</v>
      </c>
      <c r="D584" s="239" t="s">
        <v>165</v>
      </c>
      <c r="E584" s="239" t="s">
        <v>723</v>
      </c>
      <c r="F584" s="239" t="s">
        <v>195</v>
      </c>
      <c r="G584" s="239">
        <v>50</v>
      </c>
      <c r="H584" s="239" t="s">
        <v>928</v>
      </c>
      <c r="I584" s="239" t="s">
        <v>2599</v>
      </c>
      <c r="J584" s="239" t="s">
        <v>928</v>
      </c>
      <c r="K584" s="239" t="s">
        <v>2398</v>
      </c>
      <c r="L584" s="239">
        <v>12.07699</v>
      </c>
      <c r="M584" s="239">
        <v>100</v>
      </c>
      <c r="N584" s="239">
        <v>0</v>
      </c>
      <c r="O584" s="239">
        <v>0</v>
      </c>
      <c r="P584" s="239">
        <v>0</v>
      </c>
      <c r="Q584" s="239">
        <v>0</v>
      </c>
      <c r="R584" s="239">
        <v>0</v>
      </c>
      <c r="S584" s="239">
        <v>0</v>
      </c>
      <c r="T584" s="239">
        <v>0.49</v>
      </c>
      <c r="U584" s="239">
        <v>0</v>
      </c>
      <c r="V584" s="239">
        <v>1.1059399999999999</v>
      </c>
      <c r="W584" s="239">
        <v>2.4983</v>
      </c>
      <c r="X584" s="239">
        <v>0</v>
      </c>
      <c r="Y584" s="239">
        <v>0</v>
      </c>
      <c r="Z584" s="239">
        <v>5.6552600000000002</v>
      </c>
      <c r="AA584" s="239">
        <v>2.3274900000000001</v>
      </c>
      <c r="AB584" s="239">
        <v>0</v>
      </c>
      <c r="AC584" s="239">
        <v>0</v>
      </c>
      <c r="AD584" s="239">
        <v>1</v>
      </c>
      <c r="AE584" s="239" t="s">
        <v>20</v>
      </c>
      <c r="AF584" s="239" t="s">
        <v>718</v>
      </c>
      <c r="AG584" s="239">
        <f t="shared" si="46"/>
        <v>0</v>
      </c>
      <c r="AH584" s="239">
        <f t="shared" si="47"/>
        <v>0</v>
      </c>
      <c r="AI584" s="239">
        <f t="shared" si="48"/>
        <v>0</v>
      </c>
      <c r="AJ584" s="239">
        <f t="shared" si="49"/>
        <v>0</v>
      </c>
    </row>
    <row r="585" spans="1:36" x14ac:dyDescent="0.2">
      <c r="A585" s="240" t="str">
        <f t="shared" si="45"/>
        <v>33SSNMCLBTEKV0V50</v>
      </c>
      <c r="B585" s="239" t="s">
        <v>19</v>
      </c>
      <c r="C585" s="239" t="s">
        <v>20</v>
      </c>
      <c r="D585" s="239" t="s">
        <v>165</v>
      </c>
      <c r="E585" s="239" t="s">
        <v>723</v>
      </c>
      <c r="F585" s="239" t="s">
        <v>195</v>
      </c>
      <c r="G585" s="239">
        <v>50</v>
      </c>
      <c r="H585" s="239" t="s">
        <v>928</v>
      </c>
      <c r="I585" s="239" t="s">
        <v>158</v>
      </c>
      <c r="J585" s="239" t="s">
        <v>928</v>
      </c>
      <c r="K585" s="239" t="s">
        <v>2398</v>
      </c>
      <c r="L585" s="239">
        <v>197.98217</v>
      </c>
      <c r="M585" s="239">
        <v>98</v>
      </c>
      <c r="N585" s="239">
        <v>0</v>
      </c>
      <c r="O585" s="239">
        <v>120.61224</v>
      </c>
      <c r="P585" s="239">
        <v>4.1778000000000004</v>
      </c>
      <c r="Q585" s="239">
        <v>0</v>
      </c>
      <c r="R585" s="239">
        <v>0</v>
      </c>
      <c r="S585" s="239">
        <v>0</v>
      </c>
      <c r="T585" s="239">
        <v>5.6025499999999999</v>
      </c>
      <c r="U585" s="239">
        <v>1.8163499999999999</v>
      </c>
      <c r="V585" s="239">
        <v>0.91144000000000003</v>
      </c>
      <c r="W585" s="239">
        <v>10.02566</v>
      </c>
      <c r="X585" s="239">
        <v>0</v>
      </c>
      <c r="Y585" s="239">
        <v>0</v>
      </c>
      <c r="Z585" s="239">
        <v>28.235679999999999</v>
      </c>
      <c r="AA585" s="239">
        <v>18.454789999999999</v>
      </c>
      <c r="AB585" s="239">
        <v>8.1456599999999995</v>
      </c>
      <c r="AC585" s="239">
        <v>0</v>
      </c>
      <c r="AD585" s="239">
        <v>1</v>
      </c>
      <c r="AE585" s="239" t="s">
        <v>20</v>
      </c>
      <c r="AF585" s="239" t="s">
        <v>718</v>
      </c>
      <c r="AG585" s="239">
        <f t="shared" si="46"/>
        <v>118.19999519999999</v>
      </c>
      <c r="AH585" s="239">
        <f t="shared" si="47"/>
        <v>4.0942440000000007</v>
      </c>
      <c r="AI585" s="239">
        <f t="shared" si="48"/>
        <v>7.9827468000000001</v>
      </c>
      <c r="AJ585" s="239">
        <f t="shared" si="49"/>
        <v>130.27698599999999</v>
      </c>
    </row>
    <row r="586" spans="1:36" x14ac:dyDescent="0.2">
      <c r="A586" s="240" t="str">
        <f t="shared" si="45"/>
        <v>32SNMCLBTETKFV50</v>
      </c>
      <c r="B586" s="239" t="s">
        <v>19</v>
      </c>
      <c r="C586" s="239" t="s">
        <v>20</v>
      </c>
      <c r="D586" s="239" t="s">
        <v>165</v>
      </c>
      <c r="E586" s="239" t="s">
        <v>723</v>
      </c>
      <c r="F586" s="239" t="s">
        <v>197</v>
      </c>
      <c r="G586" s="239">
        <v>50</v>
      </c>
      <c r="H586" s="239" t="s">
        <v>928</v>
      </c>
      <c r="I586" s="239" t="s">
        <v>2599</v>
      </c>
      <c r="J586" s="239" t="s">
        <v>928</v>
      </c>
      <c r="K586" s="239" t="s">
        <v>2398</v>
      </c>
      <c r="L586" s="239">
        <v>11.885009999999999</v>
      </c>
      <c r="M586" s="239">
        <v>100</v>
      </c>
      <c r="N586" s="239">
        <v>0</v>
      </c>
      <c r="O586" s="239">
        <v>0</v>
      </c>
      <c r="P586" s="239">
        <v>0</v>
      </c>
      <c r="Q586" s="239">
        <v>0</v>
      </c>
      <c r="R586" s="239">
        <v>0</v>
      </c>
      <c r="S586" s="239">
        <v>0</v>
      </c>
      <c r="T586" s="239">
        <v>0.47691</v>
      </c>
      <c r="U586" s="239">
        <v>0</v>
      </c>
      <c r="V586" s="239">
        <v>1.0799399999999999</v>
      </c>
      <c r="W586" s="239">
        <v>2.46346</v>
      </c>
      <c r="X586" s="239">
        <v>0</v>
      </c>
      <c r="Y586" s="239">
        <v>0</v>
      </c>
      <c r="Z586" s="239">
        <v>5.5715599999999998</v>
      </c>
      <c r="AA586" s="239">
        <v>2.2931400000000002</v>
      </c>
      <c r="AB586" s="239">
        <v>0</v>
      </c>
      <c r="AC586" s="239">
        <v>0</v>
      </c>
      <c r="AD586" s="239">
        <v>1</v>
      </c>
      <c r="AE586" s="239" t="s">
        <v>20</v>
      </c>
      <c r="AF586" s="239" t="s">
        <v>718</v>
      </c>
      <c r="AG586" s="239">
        <f t="shared" si="46"/>
        <v>0</v>
      </c>
      <c r="AH586" s="239">
        <f t="shared" si="47"/>
        <v>0</v>
      </c>
      <c r="AI586" s="239">
        <f t="shared" si="48"/>
        <v>0</v>
      </c>
      <c r="AJ586" s="239">
        <f t="shared" si="49"/>
        <v>0</v>
      </c>
    </row>
    <row r="587" spans="1:36" x14ac:dyDescent="0.2">
      <c r="A587" s="240" t="str">
        <f t="shared" si="45"/>
        <v>33SSNMCLBTETKFV50</v>
      </c>
      <c r="B587" s="239" t="s">
        <v>19</v>
      </c>
      <c r="C587" s="239" t="s">
        <v>20</v>
      </c>
      <c r="D587" s="239" t="s">
        <v>165</v>
      </c>
      <c r="E587" s="239" t="s">
        <v>723</v>
      </c>
      <c r="F587" s="239" t="s">
        <v>197</v>
      </c>
      <c r="G587" s="239">
        <v>50</v>
      </c>
      <c r="H587" s="239" t="s">
        <v>928</v>
      </c>
      <c r="I587" s="239" t="s">
        <v>158</v>
      </c>
      <c r="J587" s="239" t="s">
        <v>928</v>
      </c>
      <c r="K587" s="239" t="s">
        <v>2398</v>
      </c>
      <c r="L587" s="239">
        <v>167.89809</v>
      </c>
      <c r="M587" s="239">
        <v>97</v>
      </c>
      <c r="N587" s="239">
        <v>0</v>
      </c>
      <c r="O587" s="239">
        <v>90.175259999999994</v>
      </c>
      <c r="P587" s="239">
        <v>4.1446500000000004</v>
      </c>
      <c r="Q587" s="239">
        <v>0</v>
      </c>
      <c r="R587" s="239">
        <v>0</v>
      </c>
      <c r="S587" s="239">
        <v>0</v>
      </c>
      <c r="T587" s="239">
        <v>5.67258</v>
      </c>
      <c r="U587" s="239">
        <v>1.8163499999999999</v>
      </c>
      <c r="V587" s="239">
        <v>0.91642999999999997</v>
      </c>
      <c r="W587" s="239">
        <v>10.087669999999999</v>
      </c>
      <c r="X587" s="239">
        <v>0</v>
      </c>
      <c r="Y587" s="239">
        <v>0</v>
      </c>
      <c r="Z587" s="239">
        <v>28.321280000000002</v>
      </c>
      <c r="AA587" s="239">
        <v>18.655930000000001</v>
      </c>
      <c r="AB587" s="239">
        <v>8.1079399999999993</v>
      </c>
      <c r="AC587" s="239">
        <v>0</v>
      </c>
      <c r="AD587" s="239">
        <v>1</v>
      </c>
      <c r="AE587" s="239" t="s">
        <v>20</v>
      </c>
      <c r="AF587" s="239" t="s">
        <v>718</v>
      </c>
      <c r="AG587" s="239">
        <f t="shared" si="46"/>
        <v>87.470002199999996</v>
      </c>
      <c r="AH587" s="239">
        <f t="shared" si="47"/>
        <v>4.0203105000000008</v>
      </c>
      <c r="AI587" s="239">
        <f t="shared" si="48"/>
        <v>7.8647017999999989</v>
      </c>
      <c r="AJ587" s="239">
        <f t="shared" si="49"/>
        <v>99.35501450000001</v>
      </c>
    </row>
    <row r="588" spans="1:36" x14ac:dyDescent="0.2">
      <c r="A588" s="240" t="str">
        <f t="shared" si="45"/>
        <v>3SNMCLBTETV0V50</v>
      </c>
      <c r="B588" s="239" t="s">
        <v>19</v>
      </c>
      <c r="C588" s="239" t="s">
        <v>20</v>
      </c>
      <c r="D588" s="239" t="s">
        <v>165</v>
      </c>
      <c r="E588" s="239" t="s">
        <v>723</v>
      </c>
      <c r="F588" s="239" t="s">
        <v>200</v>
      </c>
      <c r="G588" s="239">
        <v>50</v>
      </c>
      <c r="H588" s="239" t="s">
        <v>928</v>
      </c>
      <c r="I588" s="239" t="s">
        <v>2471</v>
      </c>
      <c r="J588" s="239" t="s">
        <v>928</v>
      </c>
      <c r="K588" s="239" t="s">
        <v>2398</v>
      </c>
      <c r="L588" s="239">
        <v>167.89809</v>
      </c>
      <c r="M588" s="239">
        <v>97</v>
      </c>
      <c r="N588" s="239">
        <v>0</v>
      </c>
      <c r="O588" s="239">
        <v>90.175259999999994</v>
      </c>
      <c r="P588" s="239">
        <v>4.1446500000000004</v>
      </c>
      <c r="Q588" s="239">
        <v>0</v>
      </c>
      <c r="R588" s="239">
        <v>0</v>
      </c>
      <c r="S588" s="239">
        <v>0</v>
      </c>
      <c r="T588" s="239">
        <v>5.67258</v>
      </c>
      <c r="U588" s="239">
        <v>1.8163499999999999</v>
      </c>
      <c r="V588" s="239">
        <v>0.91642999999999997</v>
      </c>
      <c r="W588" s="239">
        <v>10.087669999999999</v>
      </c>
      <c r="X588" s="239">
        <v>0</v>
      </c>
      <c r="Y588" s="239">
        <v>0</v>
      </c>
      <c r="Z588" s="239">
        <v>28.321280000000002</v>
      </c>
      <c r="AA588" s="239">
        <v>18.655930000000001</v>
      </c>
      <c r="AB588" s="239">
        <v>8.1079399999999993</v>
      </c>
      <c r="AC588" s="239">
        <v>0</v>
      </c>
      <c r="AD588" s="239">
        <v>1</v>
      </c>
      <c r="AE588" s="239" t="s">
        <v>20</v>
      </c>
      <c r="AF588" s="239" t="s">
        <v>718</v>
      </c>
      <c r="AG588" s="239">
        <f t="shared" si="46"/>
        <v>87.470002199999996</v>
      </c>
      <c r="AH588" s="239">
        <f t="shared" si="47"/>
        <v>4.0203105000000008</v>
      </c>
      <c r="AI588" s="239">
        <f t="shared" si="48"/>
        <v>7.8647017999999989</v>
      </c>
      <c r="AJ588" s="239">
        <f t="shared" si="49"/>
        <v>99.35501450000001</v>
      </c>
    </row>
    <row r="589" spans="1:36" x14ac:dyDescent="0.2">
      <c r="A589" s="240" t="str">
        <f t="shared" si="45"/>
        <v>32SNMCLBTETV0V50</v>
      </c>
      <c r="B589" s="239" t="s">
        <v>19</v>
      </c>
      <c r="C589" s="239" t="s">
        <v>20</v>
      </c>
      <c r="D589" s="239" t="s">
        <v>165</v>
      </c>
      <c r="E589" s="239" t="s">
        <v>723</v>
      </c>
      <c r="F589" s="239" t="s">
        <v>200</v>
      </c>
      <c r="G589" s="239">
        <v>50</v>
      </c>
      <c r="H589" s="239" t="s">
        <v>928</v>
      </c>
      <c r="I589" s="239" t="s">
        <v>2599</v>
      </c>
      <c r="J589" s="239" t="s">
        <v>928</v>
      </c>
      <c r="K589" s="239" t="s">
        <v>2398</v>
      </c>
      <c r="L589" s="239">
        <v>11.885009999999999</v>
      </c>
      <c r="M589" s="239">
        <v>100</v>
      </c>
      <c r="N589" s="239">
        <v>0</v>
      </c>
      <c r="O589" s="239">
        <v>0</v>
      </c>
      <c r="P589" s="239">
        <v>0</v>
      </c>
      <c r="Q589" s="239">
        <v>0</v>
      </c>
      <c r="R589" s="239">
        <v>0</v>
      </c>
      <c r="S589" s="239">
        <v>0</v>
      </c>
      <c r="T589" s="239">
        <v>0.47691</v>
      </c>
      <c r="U589" s="239">
        <v>0</v>
      </c>
      <c r="V589" s="239">
        <v>1.0799399999999999</v>
      </c>
      <c r="W589" s="239">
        <v>2.46346</v>
      </c>
      <c r="X589" s="239">
        <v>0</v>
      </c>
      <c r="Y589" s="239">
        <v>0</v>
      </c>
      <c r="Z589" s="239">
        <v>5.5715599999999998</v>
      </c>
      <c r="AA589" s="239">
        <v>2.2931400000000002</v>
      </c>
      <c r="AB589" s="239">
        <v>0</v>
      </c>
      <c r="AC589" s="239">
        <v>0</v>
      </c>
      <c r="AD589" s="239">
        <v>1</v>
      </c>
      <c r="AE589" s="239" t="s">
        <v>20</v>
      </c>
      <c r="AF589" s="239" t="s">
        <v>718</v>
      </c>
      <c r="AG589" s="239">
        <f t="shared" si="46"/>
        <v>0</v>
      </c>
      <c r="AH589" s="239">
        <f t="shared" si="47"/>
        <v>0</v>
      </c>
      <c r="AI589" s="239">
        <f t="shared" si="48"/>
        <v>0</v>
      </c>
      <c r="AJ589" s="239">
        <f t="shared" si="49"/>
        <v>0</v>
      </c>
    </row>
    <row r="590" spans="1:36" x14ac:dyDescent="0.2">
      <c r="A590" s="240" t="str">
        <f t="shared" si="45"/>
        <v>3SNMCLBWCB50</v>
      </c>
      <c r="B590" s="239" t="s">
        <v>19</v>
      </c>
      <c r="C590" s="239" t="s">
        <v>20</v>
      </c>
      <c r="D590" s="239" t="s">
        <v>165</v>
      </c>
      <c r="E590" s="239" t="s">
        <v>723</v>
      </c>
      <c r="F590" s="239" t="s">
        <v>202</v>
      </c>
      <c r="G590" s="239">
        <v>50</v>
      </c>
      <c r="H590" s="239" t="s">
        <v>928</v>
      </c>
      <c r="I590" s="239" t="s">
        <v>2471</v>
      </c>
      <c r="J590" s="239" t="s">
        <v>928</v>
      </c>
      <c r="K590" s="239" t="s">
        <v>2398</v>
      </c>
      <c r="L590" s="239">
        <v>230.56206</v>
      </c>
      <c r="M590" s="239">
        <v>92</v>
      </c>
      <c r="N590" s="239">
        <v>0</v>
      </c>
      <c r="O590" s="239">
        <v>0</v>
      </c>
      <c r="P590" s="239">
        <v>4.4727899999999998</v>
      </c>
      <c r="Q590" s="239">
        <v>0</v>
      </c>
      <c r="R590" s="239">
        <v>0</v>
      </c>
      <c r="S590" s="239">
        <v>0</v>
      </c>
      <c r="T590" s="239">
        <v>30.904060000000001</v>
      </c>
      <c r="U590" s="239">
        <v>0.99319000000000002</v>
      </c>
      <c r="V590" s="239">
        <v>2.47675</v>
      </c>
      <c r="W590" s="239">
        <v>34.958320000000001</v>
      </c>
      <c r="X590" s="239">
        <v>0</v>
      </c>
      <c r="Y590" s="239">
        <v>0</v>
      </c>
      <c r="Z590" s="239">
        <v>84.465680000000006</v>
      </c>
      <c r="AA590" s="239">
        <v>63.782359999999997</v>
      </c>
      <c r="AB590" s="239">
        <v>8.5089100000000002</v>
      </c>
      <c r="AC590" s="239">
        <v>0</v>
      </c>
      <c r="AD590" s="239">
        <v>1</v>
      </c>
      <c r="AE590" s="239" t="s">
        <v>20</v>
      </c>
      <c r="AF590" s="239" t="s">
        <v>718</v>
      </c>
      <c r="AG590" s="239">
        <f t="shared" si="46"/>
        <v>0</v>
      </c>
      <c r="AH590" s="239">
        <f t="shared" si="47"/>
        <v>4.1149667999999995</v>
      </c>
      <c r="AI590" s="239">
        <f t="shared" si="48"/>
        <v>7.8281972</v>
      </c>
      <c r="AJ590" s="239">
        <f t="shared" si="49"/>
        <v>11.943163999999999</v>
      </c>
    </row>
    <row r="591" spans="1:36" x14ac:dyDescent="0.2">
      <c r="A591" s="240" t="str">
        <f t="shared" si="45"/>
        <v>32SNMCLBWCB50</v>
      </c>
      <c r="B591" s="239" t="s">
        <v>19</v>
      </c>
      <c r="C591" s="239" t="s">
        <v>20</v>
      </c>
      <c r="D591" s="239" t="s">
        <v>165</v>
      </c>
      <c r="E591" s="239" t="s">
        <v>723</v>
      </c>
      <c r="F591" s="239" t="s">
        <v>202</v>
      </c>
      <c r="G591" s="239">
        <v>50</v>
      </c>
      <c r="H591" s="239" t="s">
        <v>928</v>
      </c>
      <c r="I591" s="239" t="s">
        <v>2599</v>
      </c>
      <c r="J591" s="239" t="s">
        <v>928</v>
      </c>
      <c r="K591" s="239" t="s">
        <v>2398</v>
      </c>
      <c r="L591" s="239">
        <v>11.943160000000001</v>
      </c>
      <c r="M591" s="239">
        <v>100</v>
      </c>
      <c r="N591" s="239">
        <v>0</v>
      </c>
      <c r="O591" s="239">
        <v>0</v>
      </c>
      <c r="P591" s="239">
        <v>0</v>
      </c>
      <c r="Q591" s="239">
        <v>0</v>
      </c>
      <c r="R591" s="239">
        <v>0</v>
      </c>
      <c r="S591" s="239">
        <v>0</v>
      </c>
      <c r="T591" s="239">
        <v>0.51244999999999996</v>
      </c>
      <c r="U591" s="239">
        <v>0</v>
      </c>
      <c r="V591" s="239">
        <v>1.1599299999999999</v>
      </c>
      <c r="W591" s="239">
        <v>2.44258</v>
      </c>
      <c r="X591" s="239">
        <v>0</v>
      </c>
      <c r="Y591" s="239">
        <v>0</v>
      </c>
      <c r="Z591" s="239">
        <v>5.5457999999999998</v>
      </c>
      <c r="AA591" s="239">
        <v>2.2824</v>
      </c>
      <c r="AB591" s="239">
        <v>0</v>
      </c>
      <c r="AC591" s="239">
        <v>0</v>
      </c>
      <c r="AD591" s="239">
        <v>1</v>
      </c>
      <c r="AE591" s="239" t="s">
        <v>20</v>
      </c>
      <c r="AF591" s="239" t="s">
        <v>718</v>
      </c>
      <c r="AG591" s="239">
        <f t="shared" si="46"/>
        <v>0</v>
      </c>
      <c r="AH591" s="239">
        <f t="shared" si="47"/>
        <v>0</v>
      </c>
      <c r="AI591" s="239">
        <f t="shared" si="48"/>
        <v>0</v>
      </c>
      <c r="AJ591" s="239">
        <f t="shared" si="49"/>
        <v>0</v>
      </c>
    </row>
    <row r="592" spans="1:36" x14ac:dyDescent="0.2">
      <c r="A592" s="240" t="str">
        <f t="shared" si="45"/>
        <v>3MSNMCP220320</v>
      </c>
      <c r="B592" s="239" t="s">
        <v>19</v>
      </c>
      <c r="C592" s="239" t="s">
        <v>20</v>
      </c>
      <c r="D592" s="239" t="s">
        <v>2600</v>
      </c>
      <c r="E592" s="239" t="s">
        <v>2601</v>
      </c>
      <c r="F592" s="239" t="s">
        <v>2602</v>
      </c>
      <c r="G592" s="239">
        <v>20</v>
      </c>
      <c r="H592" s="239" t="s">
        <v>928</v>
      </c>
      <c r="I592" s="239" t="s">
        <v>2417</v>
      </c>
      <c r="J592" s="239" t="s">
        <v>928</v>
      </c>
      <c r="K592" s="239" t="s">
        <v>2398</v>
      </c>
      <c r="L592" s="239">
        <v>4539.6537699999999</v>
      </c>
      <c r="M592" s="239">
        <v>91</v>
      </c>
      <c r="N592" s="239">
        <v>0</v>
      </c>
      <c r="O592" s="239">
        <v>2714.37473</v>
      </c>
      <c r="P592" s="239">
        <v>0</v>
      </c>
      <c r="Q592" s="239">
        <v>0</v>
      </c>
      <c r="R592" s="239">
        <v>0</v>
      </c>
      <c r="S592" s="239">
        <v>0</v>
      </c>
      <c r="T592" s="239">
        <v>103.71661</v>
      </c>
      <c r="U592" s="239">
        <v>84.626440000000002</v>
      </c>
      <c r="V592" s="239">
        <v>126.00161</v>
      </c>
      <c r="W592" s="239">
        <v>163.6037</v>
      </c>
      <c r="X592" s="239">
        <v>88.132900000000006</v>
      </c>
      <c r="Y592" s="239">
        <v>0</v>
      </c>
      <c r="Z592" s="239">
        <v>478.25803999999999</v>
      </c>
      <c r="AA592" s="239">
        <v>237.79666</v>
      </c>
      <c r="AB592" s="239">
        <v>0</v>
      </c>
      <c r="AC592" s="239">
        <v>543.14308000000005</v>
      </c>
      <c r="AD592" s="239">
        <v>1</v>
      </c>
      <c r="AE592" s="239" t="s">
        <v>20</v>
      </c>
      <c r="AF592" s="239" t="s">
        <v>718</v>
      </c>
      <c r="AG592" s="239">
        <f t="shared" si="46"/>
        <v>2470.0810043000001</v>
      </c>
      <c r="AH592" s="239">
        <f t="shared" si="47"/>
        <v>0</v>
      </c>
      <c r="AI592" s="239">
        <f t="shared" si="48"/>
        <v>0</v>
      </c>
      <c r="AJ592" s="239">
        <f t="shared" si="49"/>
        <v>2470.0810043000001</v>
      </c>
    </row>
    <row r="593" spans="1:36" x14ac:dyDescent="0.2">
      <c r="A593" s="240" t="str">
        <f t="shared" si="45"/>
        <v>SNMCP220320</v>
      </c>
      <c r="B593" s="239" t="s">
        <v>19</v>
      </c>
      <c r="C593" s="239" t="s">
        <v>20</v>
      </c>
      <c r="D593" s="239" t="s">
        <v>2600</v>
      </c>
      <c r="E593" s="239" t="s">
        <v>2601</v>
      </c>
      <c r="F593" s="239" t="s">
        <v>2602</v>
      </c>
      <c r="G593" s="239">
        <v>20</v>
      </c>
      <c r="H593" s="239" t="s">
        <v>928</v>
      </c>
      <c r="I593" s="239" t="s">
        <v>928</v>
      </c>
      <c r="J593" s="239" t="s">
        <v>928</v>
      </c>
      <c r="K593" s="239" t="s">
        <v>2398</v>
      </c>
      <c r="L593" s="239">
        <v>4539.6535700000004</v>
      </c>
      <c r="M593" s="239">
        <v>91</v>
      </c>
      <c r="N593" s="239">
        <v>0</v>
      </c>
      <c r="O593" s="239">
        <v>2714.3746900000001</v>
      </c>
      <c r="P593" s="239">
        <v>0</v>
      </c>
      <c r="Q593" s="239">
        <v>0</v>
      </c>
      <c r="R593" s="239">
        <v>0</v>
      </c>
      <c r="S593" s="239">
        <v>0</v>
      </c>
      <c r="T593" s="239">
        <v>103.71659</v>
      </c>
      <c r="U593" s="239">
        <v>84.626279999999994</v>
      </c>
      <c r="V593" s="239">
        <v>126.00127999999999</v>
      </c>
      <c r="W593" s="239">
        <v>163.60381000000001</v>
      </c>
      <c r="X593" s="239">
        <v>88.132900000000006</v>
      </c>
      <c r="Y593" s="239">
        <v>0</v>
      </c>
      <c r="Z593" s="239">
        <v>478.25803000000002</v>
      </c>
      <c r="AA593" s="239">
        <v>237.79678999999999</v>
      </c>
      <c r="AB593" s="239">
        <v>0</v>
      </c>
      <c r="AC593" s="239">
        <v>543.14319999999998</v>
      </c>
      <c r="AD593" s="239">
        <v>1</v>
      </c>
      <c r="AE593" s="239" t="s">
        <v>20</v>
      </c>
      <c r="AF593" s="239" t="s">
        <v>718</v>
      </c>
      <c r="AG593" s="239">
        <f t="shared" si="46"/>
        <v>2470.0809678999999</v>
      </c>
      <c r="AH593" s="239">
        <f t="shared" si="47"/>
        <v>0</v>
      </c>
      <c r="AI593" s="239">
        <f t="shared" si="48"/>
        <v>0</v>
      </c>
      <c r="AJ593" s="239">
        <f t="shared" si="49"/>
        <v>2470.0809678999999</v>
      </c>
    </row>
    <row r="594" spans="1:36" x14ac:dyDescent="0.2">
      <c r="A594" s="240" t="str">
        <f t="shared" si="45"/>
        <v>3MSNMCP220325</v>
      </c>
      <c r="B594" s="239" t="s">
        <v>19</v>
      </c>
      <c r="C594" s="239" t="s">
        <v>20</v>
      </c>
      <c r="D594" s="239" t="s">
        <v>2600</v>
      </c>
      <c r="E594" s="239" t="s">
        <v>2601</v>
      </c>
      <c r="F594" s="239" t="s">
        <v>2602</v>
      </c>
      <c r="G594" s="239">
        <v>25</v>
      </c>
      <c r="H594" s="239" t="s">
        <v>928</v>
      </c>
      <c r="I594" s="239" t="s">
        <v>2417</v>
      </c>
      <c r="J594" s="239" t="s">
        <v>928</v>
      </c>
      <c r="K594" s="239" t="s">
        <v>2398</v>
      </c>
      <c r="L594" s="239">
        <v>4922.8343999999997</v>
      </c>
      <c r="M594" s="239">
        <v>91</v>
      </c>
      <c r="N594" s="239">
        <v>0</v>
      </c>
      <c r="O594" s="239">
        <v>3017.3505500000001</v>
      </c>
      <c r="P594" s="239">
        <v>0</v>
      </c>
      <c r="Q594" s="239">
        <v>0</v>
      </c>
      <c r="R594" s="239">
        <v>0</v>
      </c>
      <c r="S594" s="239">
        <v>0</v>
      </c>
      <c r="T594" s="239">
        <v>101.75969000000001</v>
      </c>
      <c r="U594" s="239">
        <v>144.48417000000001</v>
      </c>
      <c r="V594" s="239">
        <v>122.00156</v>
      </c>
      <c r="W594" s="239">
        <v>167.61141000000001</v>
      </c>
      <c r="X594" s="239">
        <v>111.86944</v>
      </c>
      <c r="Y594" s="239">
        <v>0</v>
      </c>
      <c r="Z594" s="239">
        <v>516.04142000000002</v>
      </c>
      <c r="AA594" s="239">
        <v>248.09089</v>
      </c>
      <c r="AB594" s="239">
        <v>0</v>
      </c>
      <c r="AC594" s="239">
        <v>493.62527</v>
      </c>
      <c r="AD594" s="239">
        <v>1</v>
      </c>
      <c r="AE594" s="239" t="s">
        <v>20</v>
      </c>
      <c r="AF594" s="239" t="s">
        <v>718</v>
      </c>
      <c r="AG594" s="239">
        <f t="shared" si="46"/>
        <v>2745.7890004999999</v>
      </c>
      <c r="AH594" s="239">
        <f t="shared" si="47"/>
        <v>0</v>
      </c>
      <c r="AI594" s="239">
        <f t="shared" si="48"/>
        <v>0</v>
      </c>
      <c r="AJ594" s="239">
        <f t="shared" si="49"/>
        <v>2745.7890004999999</v>
      </c>
    </row>
    <row r="595" spans="1:36" x14ac:dyDescent="0.2">
      <c r="A595" s="240" t="str">
        <f t="shared" si="45"/>
        <v>3RSNMCP220325</v>
      </c>
      <c r="B595" s="239" t="s">
        <v>19</v>
      </c>
      <c r="C595" s="239" t="s">
        <v>20</v>
      </c>
      <c r="D595" s="239" t="s">
        <v>2600</v>
      </c>
      <c r="E595" s="239" t="s">
        <v>2601</v>
      </c>
      <c r="F595" s="239" t="s">
        <v>2602</v>
      </c>
      <c r="G595" s="239">
        <v>25</v>
      </c>
      <c r="H595" s="239" t="s">
        <v>928</v>
      </c>
      <c r="I595" s="239" t="s">
        <v>86</v>
      </c>
      <c r="J595" s="239" t="s">
        <v>928</v>
      </c>
      <c r="K595" s="239" t="s">
        <v>2398</v>
      </c>
      <c r="L595" s="239">
        <v>5015.6916199999996</v>
      </c>
      <c r="M595" s="239">
        <v>91</v>
      </c>
      <c r="N595" s="239">
        <v>0</v>
      </c>
      <c r="O595" s="239">
        <v>3017.3505500000001</v>
      </c>
      <c r="P595" s="239">
        <v>0</v>
      </c>
      <c r="Q595" s="239">
        <v>0</v>
      </c>
      <c r="R595" s="239">
        <v>0</v>
      </c>
      <c r="S595" s="239">
        <v>0</v>
      </c>
      <c r="T595" s="239">
        <v>100.78124</v>
      </c>
      <c r="U595" s="239">
        <v>142.42010999999999</v>
      </c>
      <c r="V595" s="239">
        <v>118.00151</v>
      </c>
      <c r="W595" s="239">
        <v>154.96888999999999</v>
      </c>
      <c r="X595" s="239">
        <v>111.86944</v>
      </c>
      <c r="Y595" s="239">
        <v>0</v>
      </c>
      <c r="Z595" s="239">
        <v>652.26044999999999</v>
      </c>
      <c r="AA595" s="239">
        <v>224.41416000000001</v>
      </c>
      <c r="AB595" s="239">
        <v>0</v>
      </c>
      <c r="AC595" s="239">
        <v>493.62527</v>
      </c>
      <c r="AD595" s="239">
        <v>1</v>
      </c>
      <c r="AE595" s="239" t="s">
        <v>20</v>
      </c>
      <c r="AF595" s="239" t="s">
        <v>718</v>
      </c>
      <c r="AG595" s="239">
        <f t="shared" si="46"/>
        <v>2745.7890004999999</v>
      </c>
      <c r="AH595" s="239">
        <f t="shared" si="47"/>
        <v>0</v>
      </c>
      <c r="AI595" s="239">
        <f t="shared" si="48"/>
        <v>0</v>
      </c>
      <c r="AJ595" s="239">
        <f t="shared" si="49"/>
        <v>2745.7890004999999</v>
      </c>
    </row>
    <row r="596" spans="1:36" x14ac:dyDescent="0.2">
      <c r="A596" s="240" t="str">
        <f t="shared" si="45"/>
        <v>SNMCP220325</v>
      </c>
      <c r="B596" s="239" t="s">
        <v>19</v>
      </c>
      <c r="C596" s="239" t="s">
        <v>20</v>
      </c>
      <c r="D596" s="239" t="s">
        <v>2600</v>
      </c>
      <c r="E596" s="239" t="s">
        <v>2601</v>
      </c>
      <c r="F596" s="239" t="s">
        <v>2602</v>
      </c>
      <c r="G596" s="239">
        <v>25</v>
      </c>
      <c r="H596" s="239" t="s">
        <v>928</v>
      </c>
      <c r="I596" s="239" t="s">
        <v>928</v>
      </c>
      <c r="J596" s="239" t="s">
        <v>928</v>
      </c>
      <c r="K596" s="239" t="s">
        <v>2398</v>
      </c>
      <c r="L596" s="239">
        <v>4968.9764800000003</v>
      </c>
      <c r="M596" s="239">
        <v>91</v>
      </c>
      <c r="N596" s="239">
        <v>0</v>
      </c>
      <c r="O596" s="239">
        <v>3017.3505399999999</v>
      </c>
      <c r="P596" s="239">
        <v>0</v>
      </c>
      <c r="Q596" s="239">
        <v>0</v>
      </c>
      <c r="R596" s="239">
        <v>0</v>
      </c>
      <c r="S596" s="239">
        <v>0</v>
      </c>
      <c r="T596" s="239">
        <v>101.27341</v>
      </c>
      <c r="U596" s="239">
        <v>143.45854</v>
      </c>
      <c r="V596" s="239">
        <v>120.01403999999999</v>
      </c>
      <c r="W596" s="239">
        <v>161.32919000000001</v>
      </c>
      <c r="X596" s="239">
        <v>111.86915</v>
      </c>
      <c r="Y596" s="239">
        <v>0</v>
      </c>
      <c r="Z596" s="239">
        <v>583.73069999999996</v>
      </c>
      <c r="AA596" s="239">
        <v>236.32556</v>
      </c>
      <c r="AB596" s="239">
        <v>0</v>
      </c>
      <c r="AC596" s="239">
        <v>493.62535000000003</v>
      </c>
      <c r="AD596" s="239">
        <v>1</v>
      </c>
      <c r="AE596" s="239" t="s">
        <v>20</v>
      </c>
      <c r="AF596" s="239" t="s">
        <v>718</v>
      </c>
      <c r="AG596" s="239">
        <f t="shared" si="46"/>
        <v>2745.7889913999998</v>
      </c>
      <c r="AH596" s="239">
        <f t="shared" si="47"/>
        <v>0</v>
      </c>
      <c r="AI596" s="239">
        <f t="shared" si="48"/>
        <v>0</v>
      </c>
      <c r="AJ596" s="239">
        <f t="shared" si="49"/>
        <v>2745.7889913999998</v>
      </c>
    </row>
    <row r="597" spans="1:36" x14ac:dyDescent="0.2">
      <c r="A597" s="240" t="str">
        <f t="shared" si="45"/>
        <v>3MSNMCP270320</v>
      </c>
      <c r="B597" s="239" t="s">
        <v>19</v>
      </c>
      <c r="C597" s="239" t="s">
        <v>20</v>
      </c>
      <c r="D597" s="239" t="s">
        <v>2600</v>
      </c>
      <c r="E597" s="239" t="s">
        <v>2601</v>
      </c>
      <c r="F597" s="239" t="s">
        <v>2603</v>
      </c>
      <c r="G597" s="239">
        <v>20</v>
      </c>
      <c r="H597" s="239" t="s">
        <v>928</v>
      </c>
      <c r="I597" s="239" t="s">
        <v>2417</v>
      </c>
      <c r="J597" s="239" t="s">
        <v>928</v>
      </c>
      <c r="K597" s="239" t="s">
        <v>2398</v>
      </c>
      <c r="L597" s="239">
        <v>4133.02117</v>
      </c>
      <c r="M597" s="239">
        <v>92</v>
      </c>
      <c r="N597" s="239">
        <v>0</v>
      </c>
      <c r="O597" s="239">
        <v>2423.9804300000001</v>
      </c>
      <c r="P597" s="239">
        <v>0</v>
      </c>
      <c r="Q597" s="239">
        <v>0</v>
      </c>
      <c r="R597" s="239">
        <v>0</v>
      </c>
      <c r="S597" s="239">
        <v>0</v>
      </c>
      <c r="T597" s="239">
        <v>95.888940000000005</v>
      </c>
      <c r="U597" s="239">
        <v>138.29199</v>
      </c>
      <c r="V597" s="239">
        <v>116.00148</v>
      </c>
      <c r="W597" s="239">
        <v>142.27475000000001</v>
      </c>
      <c r="X597" s="239">
        <v>87.174930000000003</v>
      </c>
      <c r="Y597" s="239">
        <v>0</v>
      </c>
      <c r="Z597" s="239">
        <v>486.21244000000002</v>
      </c>
      <c r="AA597" s="239">
        <v>215.14936</v>
      </c>
      <c r="AB597" s="239">
        <v>0</v>
      </c>
      <c r="AC597" s="239">
        <v>428.04685000000001</v>
      </c>
      <c r="AD597" s="239">
        <v>1</v>
      </c>
      <c r="AE597" s="239" t="s">
        <v>20</v>
      </c>
      <c r="AF597" s="239" t="s">
        <v>718</v>
      </c>
      <c r="AG597" s="239">
        <f t="shared" si="46"/>
        <v>2230.0619956</v>
      </c>
      <c r="AH597" s="239">
        <f t="shared" si="47"/>
        <v>0</v>
      </c>
      <c r="AI597" s="239">
        <f t="shared" si="48"/>
        <v>0</v>
      </c>
      <c r="AJ597" s="239">
        <f t="shared" si="49"/>
        <v>2230.0619956</v>
      </c>
    </row>
    <row r="598" spans="1:36" x14ac:dyDescent="0.2">
      <c r="A598" s="240" t="str">
        <f t="shared" si="45"/>
        <v>SNMCP270320</v>
      </c>
      <c r="B598" s="239" t="s">
        <v>19</v>
      </c>
      <c r="C598" s="239" t="s">
        <v>20</v>
      </c>
      <c r="D598" s="239" t="s">
        <v>2600</v>
      </c>
      <c r="E598" s="239" t="s">
        <v>2601</v>
      </c>
      <c r="F598" s="239" t="s">
        <v>2603</v>
      </c>
      <c r="G598" s="239">
        <v>20</v>
      </c>
      <c r="H598" s="239" t="s">
        <v>928</v>
      </c>
      <c r="I598" s="239" t="s">
        <v>928</v>
      </c>
      <c r="J598" s="239" t="s">
        <v>928</v>
      </c>
      <c r="K598" s="239" t="s">
        <v>2398</v>
      </c>
      <c r="L598" s="239">
        <v>4133.0214100000003</v>
      </c>
      <c r="M598" s="239">
        <v>92</v>
      </c>
      <c r="N598" s="239">
        <v>0</v>
      </c>
      <c r="O598" s="239">
        <v>2423.98054</v>
      </c>
      <c r="P598" s="239">
        <v>0</v>
      </c>
      <c r="Q598" s="239">
        <v>0</v>
      </c>
      <c r="R598" s="239">
        <v>0</v>
      </c>
      <c r="S598" s="239">
        <v>0</v>
      </c>
      <c r="T598" s="239">
        <v>95.88888</v>
      </c>
      <c r="U598" s="239">
        <v>138.29211000000001</v>
      </c>
      <c r="V598" s="239">
        <v>116.00153</v>
      </c>
      <c r="W598" s="239">
        <v>142.27473000000001</v>
      </c>
      <c r="X598" s="239">
        <v>87.174880000000002</v>
      </c>
      <c r="Y598" s="239">
        <v>0</v>
      </c>
      <c r="Z598" s="239">
        <v>486.21248000000003</v>
      </c>
      <c r="AA598" s="239">
        <v>215.14932999999999</v>
      </c>
      <c r="AB598" s="239">
        <v>0</v>
      </c>
      <c r="AC598" s="239">
        <v>428.04692999999997</v>
      </c>
      <c r="AD598" s="239">
        <v>1</v>
      </c>
      <c r="AE598" s="239" t="s">
        <v>20</v>
      </c>
      <c r="AF598" s="239" t="s">
        <v>718</v>
      </c>
      <c r="AG598" s="239">
        <f t="shared" si="46"/>
        <v>2230.0620967999998</v>
      </c>
      <c r="AH598" s="239">
        <f t="shared" si="47"/>
        <v>0</v>
      </c>
      <c r="AI598" s="239">
        <f t="shared" si="48"/>
        <v>0</v>
      </c>
      <c r="AJ598" s="239">
        <f t="shared" si="49"/>
        <v>2230.0620967999998</v>
      </c>
    </row>
    <row r="599" spans="1:36" x14ac:dyDescent="0.2">
      <c r="A599" s="240" t="str">
        <f t="shared" si="45"/>
        <v>3KSNMCP270325</v>
      </c>
      <c r="B599" s="239" t="s">
        <v>19</v>
      </c>
      <c r="C599" s="239" t="s">
        <v>20</v>
      </c>
      <c r="D599" s="239" t="s">
        <v>2600</v>
      </c>
      <c r="E599" s="239" t="s">
        <v>2601</v>
      </c>
      <c r="F599" s="239" t="s">
        <v>2603</v>
      </c>
      <c r="G599" s="239">
        <v>25</v>
      </c>
      <c r="H599" s="239" t="s">
        <v>928</v>
      </c>
      <c r="I599" s="239" t="s">
        <v>2604</v>
      </c>
      <c r="J599" s="239" t="s">
        <v>928</v>
      </c>
      <c r="K599" s="239" t="s">
        <v>2398</v>
      </c>
      <c r="L599" s="239">
        <v>6871.7721799999999</v>
      </c>
      <c r="M599" s="239">
        <v>93.2</v>
      </c>
      <c r="N599" s="239">
        <v>0</v>
      </c>
      <c r="O599" s="239">
        <v>5003.3583699999999</v>
      </c>
      <c r="P599" s="239">
        <v>0</v>
      </c>
      <c r="Q599" s="239">
        <v>0</v>
      </c>
      <c r="R599" s="239">
        <v>0</v>
      </c>
      <c r="S599" s="239">
        <v>0</v>
      </c>
      <c r="T599" s="239">
        <v>94.910480000000007</v>
      </c>
      <c r="U599" s="239">
        <v>141.38808</v>
      </c>
      <c r="V599" s="239">
        <v>116.00148</v>
      </c>
      <c r="W599" s="239">
        <v>174.51893000000001</v>
      </c>
      <c r="X599" s="239">
        <v>443.2321</v>
      </c>
      <c r="Y599" s="239">
        <v>0</v>
      </c>
      <c r="Z599" s="239">
        <v>650.27184999999997</v>
      </c>
      <c r="AA599" s="239">
        <v>248.09089</v>
      </c>
      <c r="AB599" s="239">
        <v>0</v>
      </c>
      <c r="AC599" s="239">
        <v>0</v>
      </c>
      <c r="AD599" s="239">
        <v>1</v>
      </c>
      <c r="AE599" s="239" t="s">
        <v>20</v>
      </c>
      <c r="AF599" s="239" t="s">
        <v>718</v>
      </c>
      <c r="AG599" s="239">
        <f t="shared" si="46"/>
        <v>4663.1300008400003</v>
      </c>
      <c r="AH599" s="239">
        <f t="shared" si="47"/>
        <v>0</v>
      </c>
      <c r="AI599" s="239">
        <f t="shared" si="48"/>
        <v>0</v>
      </c>
      <c r="AJ599" s="239">
        <f t="shared" si="49"/>
        <v>4663.1300008400003</v>
      </c>
    </row>
    <row r="600" spans="1:36" x14ac:dyDescent="0.2">
      <c r="A600" s="240" t="str">
        <f t="shared" si="45"/>
        <v>3MSNMCP270325</v>
      </c>
      <c r="B600" s="239" t="s">
        <v>19</v>
      </c>
      <c r="C600" s="239" t="s">
        <v>20</v>
      </c>
      <c r="D600" s="239" t="s">
        <v>2600</v>
      </c>
      <c r="E600" s="239" t="s">
        <v>2601</v>
      </c>
      <c r="F600" s="239" t="s">
        <v>2603</v>
      </c>
      <c r="G600" s="239">
        <v>25</v>
      </c>
      <c r="H600" s="239" t="s">
        <v>928</v>
      </c>
      <c r="I600" s="239" t="s">
        <v>2417</v>
      </c>
      <c r="J600" s="239" t="s">
        <v>928</v>
      </c>
      <c r="K600" s="239" t="s">
        <v>2398</v>
      </c>
      <c r="L600" s="239">
        <v>4729.6813899999997</v>
      </c>
      <c r="M600" s="239">
        <v>93.2</v>
      </c>
      <c r="N600" s="239">
        <v>0</v>
      </c>
      <c r="O600" s="239">
        <v>2920.9828299999999</v>
      </c>
      <c r="P600" s="239">
        <v>0</v>
      </c>
      <c r="Q600" s="239">
        <v>0</v>
      </c>
      <c r="R600" s="239">
        <v>0</v>
      </c>
      <c r="S600" s="239">
        <v>0</v>
      </c>
      <c r="T600" s="239">
        <v>94.910480000000007</v>
      </c>
      <c r="U600" s="239">
        <v>141.38808</v>
      </c>
      <c r="V600" s="239">
        <v>114.00145999999999</v>
      </c>
      <c r="W600" s="239">
        <v>149.51947999999999</v>
      </c>
      <c r="X600" s="239">
        <v>109.22874</v>
      </c>
      <c r="Y600" s="239">
        <v>0</v>
      </c>
      <c r="Z600" s="239">
        <v>476.26943999999997</v>
      </c>
      <c r="AA600" s="239">
        <v>223.38473999999999</v>
      </c>
      <c r="AB600" s="239">
        <v>0</v>
      </c>
      <c r="AC600" s="239">
        <v>499.99614000000003</v>
      </c>
      <c r="AD600" s="239">
        <v>1</v>
      </c>
      <c r="AE600" s="239" t="s">
        <v>20</v>
      </c>
      <c r="AF600" s="239" t="s">
        <v>718</v>
      </c>
      <c r="AG600" s="239">
        <f t="shared" si="46"/>
        <v>2722.3559975599997</v>
      </c>
      <c r="AH600" s="239">
        <f t="shared" si="47"/>
        <v>0</v>
      </c>
      <c r="AI600" s="239">
        <f t="shared" si="48"/>
        <v>0</v>
      </c>
      <c r="AJ600" s="239">
        <f t="shared" si="49"/>
        <v>2722.3559975599997</v>
      </c>
    </row>
    <row r="601" spans="1:36" x14ac:dyDescent="0.2">
      <c r="A601" s="240" t="str">
        <f t="shared" si="45"/>
        <v>3RSNMCP270325</v>
      </c>
      <c r="B601" s="239" t="s">
        <v>19</v>
      </c>
      <c r="C601" s="239" t="s">
        <v>20</v>
      </c>
      <c r="D601" s="239" t="s">
        <v>2600</v>
      </c>
      <c r="E601" s="239" t="s">
        <v>2601</v>
      </c>
      <c r="F601" s="239" t="s">
        <v>2603</v>
      </c>
      <c r="G601" s="239">
        <v>25</v>
      </c>
      <c r="H601" s="239" t="s">
        <v>928</v>
      </c>
      <c r="I601" s="239" t="s">
        <v>86</v>
      </c>
      <c r="J601" s="239" t="s">
        <v>928</v>
      </c>
      <c r="K601" s="239" t="s">
        <v>2398</v>
      </c>
      <c r="L601" s="239">
        <v>4855.1662999999999</v>
      </c>
      <c r="M601" s="239">
        <v>93.2</v>
      </c>
      <c r="N601" s="239">
        <v>0</v>
      </c>
      <c r="O601" s="239">
        <v>2920.9828299999999</v>
      </c>
      <c r="P601" s="239">
        <v>0</v>
      </c>
      <c r="Q601" s="239">
        <v>0</v>
      </c>
      <c r="R601" s="239">
        <v>0</v>
      </c>
      <c r="S601" s="239">
        <v>0</v>
      </c>
      <c r="T601" s="239">
        <v>94.910480000000007</v>
      </c>
      <c r="U601" s="239">
        <v>141.38808</v>
      </c>
      <c r="V601" s="239">
        <v>114.00145999999999</v>
      </c>
      <c r="W601" s="239">
        <v>146.16694000000001</v>
      </c>
      <c r="X601" s="239">
        <v>109.22874</v>
      </c>
      <c r="Y601" s="239">
        <v>0</v>
      </c>
      <c r="Z601" s="239">
        <v>617.45996000000002</v>
      </c>
      <c r="AA601" s="239">
        <v>211.03166999999999</v>
      </c>
      <c r="AB601" s="239">
        <v>0</v>
      </c>
      <c r="AC601" s="239">
        <v>499.99614000000003</v>
      </c>
      <c r="AD601" s="239">
        <v>1</v>
      </c>
      <c r="AE601" s="239" t="s">
        <v>20</v>
      </c>
      <c r="AF601" s="239" t="s">
        <v>718</v>
      </c>
      <c r="AG601" s="239">
        <f t="shared" si="46"/>
        <v>2722.3559975599997</v>
      </c>
      <c r="AH601" s="239">
        <f t="shared" si="47"/>
        <v>0</v>
      </c>
      <c r="AI601" s="239">
        <f t="shared" si="48"/>
        <v>0</v>
      </c>
      <c r="AJ601" s="239">
        <f t="shared" si="49"/>
        <v>2722.3559975599997</v>
      </c>
    </row>
    <row r="602" spans="1:36" x14ac:dyDescent="0.2">
      <c r="A602" s="240" t="str">
        <f t="shared" si="45"/>
        <v>3SSNMCP270325</v>
      </c>
      <c r="B602" s="239" t="s">
        <v>19</v>
      </c>
      <c r="C602" s="239" t="s">
        <v>20</v>
      </c>
      <c r="D602" s="239" t="s">
        <v>2600</v>
      </c>
      <c r="E602" s="239" t="s">
        <v>2601</v>
      </c>
      <c r="F602" s="239" t="s">
        <v>2603</v>
      </c>
      <c r="G602" s="239">
        <v>25</v>
      </c>
      <c r="H602" s="239" t="s">
        <v>928</v>
      </c>
      <c r="I602" s="239" t="s">
        <v>2605</v>
      </c>
      <c r="J602" s="239" t="s">
        <v>928</v>
      </c>
      <c r="K602" s="239" t="s">
        <v>2398</v>
      </c>
      <c r="L602" s="239">
        <v>4963.0461400000004</v>
      </c>
      <c r="M602" s="239">
        <v>93.2</v>
      </c>
      <c r="N602" s="239">
        <v>0</v>
      </c>
      <c r="O602" s="239">
        <v>2920.9828299999999</v>
      </c>
      <c r="P602" s="239">
        <v>0</v>
      </c>
      <c r="Q602" s="239">
        <v>0</v>
      </c>
      <c r="R602" s="239">
        <v>0</v>
      </c>
      <c r="S602" s="239">
        <v>0</v>
      </c>
      <c r="T602" s="239">
        <v>94.910480000000007</v>
      </c>
      <c r="U602" s="239">
        <v>141.38808</v>
      </c>
      <c r="V602" s="239">
        <v>116.00148</v>
      </c>
      <c r="W602" s="239">
        <v>176.13962000000001</v>
      </c>
      <c r="X602" s="239">
        <v>109.22874</v>
      </c>
      <c r="Y602" s="239">
        <v>0</v>
      </c>
      <c r="Z602" s="239">
        <v>654.24904000000004</v>
      </c>
      <c r="AA602" s="239">
        <v>250.14973000000001</v>
      </c>
      <c r="AB602" s="239">
        <v>0</v>
      </c>
      <c r="AC602" s="239">
        <v>499.99614000000003</v>
      </c>
      <c r="AD602" s="239">
        <v>1</v>
      </c>
      <c r="AE602" s="239" t="s">
        <v>20</v>
      </c>
      <c r="AF602" s="239" t="s">
        <v>718</v>
      </c>
      <c r="AG602" s="239">
        <f t="shared" si="46"/>
        <v>2722.3559975599997</v>
      </c>
      <c r="AH602" s="239">
        <f t="shared" si="47"/>
        <v>0</v>
      </c>
      <c r="AI602" s="239">
        <f t="shared" si="48"/>
        <v>0</v>
      </c>
      <c r="AJ602" s="239">
        <f t="shared" si="49"/>
        <v>2722.3559975599997</v>
      </c>
    </row>
    <row r="603" spans="1:36" x14ac:dyDescent="0.2">
      <c r="A603" s="240" t="str">
        <f t="shared" si="45"/>
        <v>SNMCP270325</v>
      </c>
      <c r="B603" s="239" t="s">
        <v>19</v>
      </c>
      <c r="C603" s="239" t="s">
        <v>20</v>
      </c>
      <c r="D603" s="239" t="s">
        <v>2600</v>
      </c>
      <c r="E603" s="239" t="s">
        <v>2601</v>
      </c>
      <c r="F603" s="239" t="s">
        <v>2603</v>
      </c>
      <c r="G603" s="239">
        <v>25</v>
      </c>
      <c r="H603" s="239" t="s">
        <v>928</v>
      </c>
      <c r="I603" s="239" t="s">
        <v>928</v>
      </c>
      <c r="J603" s="239" t="s">
        <v>928</v>
      </c>
      <c r="K603" s="239" t="s">
        <v>2398</v>
      </c>
      <c r="L603" s="239">
        <v>5294.9118099999996</v>
      </c>
      <c r="M603" s="239">
        <v>93.2</v>
      </c>
      <c r="N603" s="239">
        <v>0</v>
      </c>
      <c r="O603" s="239">
        <v>3411.9164700000001</v>
      </c>
      <c r="P603" s="239">
        <v>0</v>
      </c>
      <c r="Q603" s="239">
        <v>0</v>
      </c>
      <c r="R603" s="239">
        <v>0</v>
      </c>
      <c r="S603" s="239">
        <v>0</v>
      </c>
      <c r="T603" s="239">
        <v>94.910449999999997</v>
      </c>
      <c r="U603" s="239">
        <v>141.38810000000001</v>
      </c>
      <c r="V603" s="239">
        <v>114.54066</v>
      </c>
      <c r="W603" s="239">
        <v>154.91636</v>
      </c>
      <c r="X603" s="239">
        <v>187.97216</v>
      </c>
      <c r="Y603" s="239">
        <v>0</v>
      </c>
      <c r="Z603" s="239">
        <v>582.18395999999996</v>
      </c>
      <c r="AA603" s="239">
        <v>224.96462</v>
      </c>
      <c r="AB603" s="239">
        <v>0</v>
      </c>
      <c r="AC603" s="239">
        <v>382.11903000000001</v>
      </c>
      <c r="AD603" s="239">
        <v>1</v>
      </c>
      <c r="AE603" s="239" t="s">
        <v>20</v>
      </c>
      <c r="AF603" s="239" t="s">
        <v>718</v>
      </c>
      <c r="AG603" s="239">
        <f t="shared" si="46"/>
        <v>3179.9061500400003</v>
      </c>
      <c r="AH603" s="239">
        <f t="shared" si="47"/>
        <v>0</v>
      </c>
      <c r="AI603" s="239">
        <f t="shared" si="48"/>
        <v>0</v>
      </c>
      <c r="AJ603" s="239">
        <f t="shared" si="49"/>
        <v>3179.9061500400003</v>
      </c>
    </row>
    <row r="604" spans="1:36" x14ac:dyDescent="0.2">
      <c r="A604" s="240" t="str">
        <f t="shared" si="45"/>
        <v>3ASNMCP270330</v>
      </c>
      <c r="B604" s="239" t="s">
        <v>19</v>
      </c>
      <c r="C604" s="239" t="s">
        <v>20</v>
      </c>
      <c r="D604" s="239" t="s">
        <v>2600</v>
      </c>
      <c r="E604" s="239" t="s">
        <v>2601</v>
      </c>
      <c r="F604" s="239" t="s">
        <v>2603</v>
      </c>
      <c r="G604" s="239">
        <v>30</v>
      </c>
      <c r="H604" s="239" t="s">
        <v>928</v>
      </c>
      <c r="I604" s="239" t="s">
        <v>2401</v>
      </c>
      <c r="J604" s="239" t="s">
        <v>928</v>
      </c>
      <c r="K604" s="239" t="s">
        <v>2398</v>
      </c>
      <c r="L604" s="239">
        <v>6564.3920900000003</v>
      </c>
      <c r="M604" s="239">
        <v>93</v>
      </c>
      <c r="N604" s="239">
        <v>0</v>
      </c>
      <c r="O604" s="239">
        <v>4040.6806499999998</v>
      </c>
      <c r="P604" s="239">
        <v>0</v>
      </c>
      <c r="Q604" s="239">
        <v>0</v>
      </c>
      <c r="R604" s="239">
        <v>0</v>
      </c>
      <c r="S604" s="239">
        <v>0</v>
      </c>
      <c r="T604" s="239">
        <v>155.57491999999999</v>
      </c>
      <c r="U604" s="239">
        <v>148.61228</v>
      </c>
      <c r="V604" s="239">
        <v>130.00165999999999</v>
      </c>
      <c r="W604" s="239">
        <v>231.9813</v>
      </c>
      <c r="X604" s="239">
        <v>132.68971999999999</v>
      </c>
      <c r="Y604" s="239">
        <v>0</v>
      </c>
      <c r="Z604" s="239">
        <v>738.7645</v>
      </c>
      <c r="AA604" s="239">
        <v>322.20931999999999</v>
      </c>
      <c r="AB604" s="239">
        <v>0</v>
      </c>
      <c r="AC604" s="239">
        <v>663.87774000000002</v>
      </c>
      <c r="AD604" s="239">
        <v>1</v>
      </c>
      <c r="AE604" s="239" t="s">
        <v>20</v>
      </c>
      <c r="AF604" s="239" t="s">
        <v>718</v>
      </c>
      <c r="AG604" s="239">
        <f t="shared" si="46"/>
        <v>3757.8330044999998</v>
      </c>
      <c r="AH604" s="239">
        <f t="shared" si="47"/>
        <v>0</v>
      </c>
      <c r="AI604" s="239">
        <f t="shared" si="48"/>
        <v>0</v>
      </c>
      <c r="AJ604" s="239">
        <f t="shared" si="49"/>
        <v>3757.8330044999998</v>
      </c>
    </row>
    <row r="605" spans="1:36" x14ac:dyDescent="0.2">
      <c r="A605" s="240" t="str">
        <f t="shared" si="45"/>
        <v>3SSNMCP270330</v>
      </c>
      <c r="B605" s="239" t="s">
        <v>19</v>
      </c>
      <c r="C605" s="239" t="s">
        <v>20</v>
      </c>
      <c r="D605" s="239" t="s">
        <v>2600</v>
      </c>
      <c r="E605" s="239" t="s">
        <v>2601</v>
      </c>
      <c r="F605" s="239" t="s">
        <v>2603</v>
      </c>
      <c r="G605" s="239">
        <v>30</v>
      </c>
      <c r="H605" s="239" t="s">
        <v>928</v>
      </c>
      <c r="I605" s="239" t="s">
        <v>2605</v>
      </c>
      <c r="J605" s="239" t="s">
        <v>928</v>
      </c>
      <c r="K605" s="239" t="s">
        <v>2398</v>
      </c>
      <c r="L605" s="239">
        <v>6752.1064900000001</v>
      </c>
      <c r="M605" s="239">
        <v>90</v>
      </c>
      <c r="N605" s="239">
        <v>0</v>
      </c>
      <c r="O605" s="239">
        <v>4175.37</v>
      </c>
      <c r="P605" s="239">
        <v>0</v>
      </c>
      <c r="Q605" s="239">
        <v>0</v>
      </c>
      <c r="R605" s="239">
        <v>0</v>
      </c>
      <c r="S605" s="239">
        <v>0</v>
      </c>
      <c r="T605" s="239">
        <v>97.845860000000002</v>
      </c>
      <c r="U605" s="239">
        <v>148.61228</v>
      </c>
      <c r="V605" s="239">
        <v>120.00154000000001</v>
      </c>
      <c r="W605" s="239">
        <v>239.36311000000001</v>
      </c>
      <c r="X605" s="239">
        <v>137.11270999999999</v>
      </c>
      <c r="Y605" s="239">
        <v>0</v>
      </c>
      <c r="Z605" s="239">
        <v>816.31985999999995</v>
      </c>
      <c r="AA605" s="239">
        <v>331.47413</v>
      </c>
      <c r="AB605" s="239">
        <v>0</v>
      </c>
      <c r="AC605" s="239">
        <v>686.00699999999995</v>
      </c>
      <c r="AD605" s="239">
        <v>1</v>
      </c>
      <c r="AE605" s="239" t="s">
        <v>20</v>
      </c>
      <c r="AF605" s="239" t="s">
        <v>718</v>
      </c>
      <c r="AG605" s="239">
        <f t="shared" si="46"/>
        <v>3757.8330000000001</v>
      </c>
      <c r="AH605" s="239">
        <f t="shared" si="47"/>
        <v>0</v>
      </c>
      <c r="AI605" s="239">
        <f t="shared" si="48"/>
        <v>0</v>
      </c>
      <c r="AJ605" s="239">
        <f t="shared" si="49"/>
        <v>3757.8330000000001</v>
      </c>
    </row>
    <row r="606" spans="1:36" x14ac:dyDescent="0.2">
      <c r="A606" s="240" t="str">
        <f t="shared" si="45"/>
        <v>SNMCP270330</v>
      </c>
      <c r="B606" s="239" t="s">
        <v>19</v>
      </c>
      <c r="C606" s="239" t="s">
        <v>20</v>
      </c>
      <c r="D606" s="239" t="s">
        <v>2600</v>
      </c>
      <c r="E606" s="239" t="s">
        <v>2601</v>
      </c>
      <c r="F606" s="239" t="s">
        <v>2603</v>
      </c>
      <c r="G606" s="239">
        <v>30</v>
      </c>
      <c r="H606" s="239" t="s">
        <v>928</v>
      </c>
      <c r="I606" s="239" t="s">
        <v>928</v>
      </c>
      <c r="J606" s="239" t="s">
        <v>928</v>
      </c>
      <c r="K606" s="239" t="s">
        <v>2398</v>
      </c>
      <c r="L606" s="239">
        <v>6581.5540499999997</v>
      </c>
      <c r="M606" s="239">
        <v>92.63158</v>
      </c>
      <c r="N606" s="239">
        <v>0</v>
      </c>
      <c r="O606" s="239">
        <v>4052.9955399999999</v>
      </c>
      <c r="P606" s="239">
        <v>0</v>
      </c>
      <c r="Q606" s="239">
        <v>0</v>
      </c>
      <c r="R606" s="239">
        <v>0</v>
      </c>
      <c r="S606" s="239">
        <v>0</v>
      </c>
      <c r="T606" s="239">
        <v>150.29659000000001</v>
      </c>
      <c r="U606" s="239">
        <v>148.61252999999999</v>
      </c>
      <c r="V606" s="239">
        <v>129.08698000000001</v>
      </c>
      <c r="W606" s="239">
        <v>232.65619000000001</v>
      </c>
      <c r="X606" s="239">
        <v>133.09379000000001</v>
      </c>
      <c r="Y606" s="239">
        <v>0</v>
      </c>
      <c r="Z606" s="239">
        <v>745.85478999999998</v>
      </c>
      <c r="AA606" s="239">
        <v>323.05655000000002</v>
      </c>
      <c r="AB606" s="239">
        <v>0</v>
      </c>
      <c r="AC606" s="239">
        <v>665.90108999999995</v>
      </c>
      <c r="AD606" s="239">
        <v>1</v>
      </c>
      <c r="AE606" s="239" t="s">
        <v>20</v>
      </c>
      <c r="AF606" s="239" t="s">
        <v>718</v>
      </c>
      <c r="AG606" s="239">
        <f t="shared" si="46"/>
        <v>3754.3538060315318</v>
      </c>
      <c r="AH606" s="239">
        <f t="shared" si="47"/>
        <v>0</v>
      </c>
      <c r="AI606" s="239">
        <f t="shared" si="48"/>
        <v>0</v>
      </c>
      <c r="AJ606" s="239">
        <f t="shared" si="49"/>
        <v>3754.3538060315318</v>
      </c>
    </row>
    <row r="607" spans="1:36" x14ac:dyDescent="0.2">
      <c r="A607" s="240" t="str">
        <f t="shared" si="45"/>
        <v>3RSNMCP270340</v>
      </c>
      <c r="B607" s="239" t="s">
        <v>19</v>
      </c>
      <c r="C607" s="239" t="s">
        <v>20</v>
      </c>
      <c r="D607" s="239" t="s">
        <v>2600</v>
      </c>
      <c r="E607" s="239" t="s">
        <v>2601</v>
      </c>
      <c r="F607" s="239" t="s">
        <v>2603</v>
      </c>
      <c r="G607" s="239">
        <v>40</v>
      </c>
      <c r="H607" s="239" t="s">
        <v>928</v>
      </c>
      <c r="I607" s="239" t="s">
        <v>86</v>
      </c>
      <c r="J607" s="239" t="s">
        <v>928</v>
      </c>
      <c r="K607" s="239" t="s">
        <v>2398</v>
      </c>
      <c r="L607" s="239">
        <v>8333.2120500000001</v>
      </c>
      <c r="M607" s="239">
        <v>90</v>
      </c>
      <c r="N607" s="239">
        <v>0</v>
      </c>
      <c r="O607" s="239">
        <v>5268.5877799999998</v>
      </c>
      <c r="P607" s="239">
        <v>0</v>
      </c>
      <c r="Q607" s="239">
        <v>0</v>
      </c>
      <c r="R607" s="239">
        <v>0</v>
      </c>
      <c r="S607" s="239">
        <v>0</v>
      </c>
      <c r="T607" s="239">
        <v>105.67353</v>
      </c>
      <c r="U607" s="239">
        <v>167.18881999999999</v>
      </c>
      <c r="V607" s="239">
        <v>251.00321</v>
      </c>
      <c r="W607" s="239">
        <v>238.97200000000001</v>
      </c>
      <c r="X607" s="239">
        <v>185.11327</v>
      </c>
      <c r="Y607" s="239">
        <v>0</v>
      </c>
      <c r="Z607" s="239">
        <v>900.83531000000005</v>
      </c>
      <c r="AA607" s="239">
        <v>331.47413</v>
      </c>
      <c r="AB607" s="239">
        <v>0</v>
      </c>
      <c r="AC607" s="239">
        <v>884.36400000000003</v>
      </c>
      <c r="AD607" s="239">
        <v>1</v>
      </c>
      <c r="AE607" s="239" t="s">
        <v>20</v>
      </c>
      <c r="AF607" s="239" t="s">
        <v>718</v>
      </c>
      <c r="AG607" s="239">
        <f t="shared" si="46"/>
        <v>4741.729002</v>
      </c>
      <c r="AH607" s="239">
        <f t="shared" si="47"/>
        <v>0</v>
      </c>
      <c r="AI607" s="239">
        <f t="shared" si="48"/>
        <v>0</v>
      </c>
      <c r="AJ607" s="239">
        <f t="shared" si="49"/>
        <v>4741.729002</v>
      </c>
    </row>
    <row r="608" spans="1:36" x14ac:dyDescent="0.2">
      <c r="A608" s="240" t="str">
        <f t="shared" si="45"/>
        <v>SNMCP270340</v>
      </c>
      <c r="B608" s="239" t="s">
        <v>19</v>
      </c>
      <c r="C608" s="239" t="s">
        <v>20</v>
      </c>
      <c r="D608" s="239" t="s">
        <v>2600</v>
      </c>
      <c r="E608" s="239" t="s">
        <v>2601</v>
      </c>
      <c r="F608" s="239" t="s">
        <v>2603</v>
      </c>
      <c r="G608" s="239">
        <v>40</v>
      </c>
      <c r="H608" s="239" t="s">
        <v>928</v>
      </c>
      <c r="I608" s="239" t="s">
        <v>928</v>
      </c>
      <c r="J608" s="239" t="s">
        <v>928</v>
      </c>
      <c r="K608" s="239" t="s">
        <v>2398</v>
      </c>
      <c r="L608" s="239">
        <v>8333.21378</v>
      </c>
      <c r="M608" s="239">
        <v>90</v>
      </c>
      <c r="N608" s="239">
        <v>0</v>
      </c>
      <c r="O608" s="239">
        <v>5268.5883100000001</v>
      </c>
      <c r="P608" s="239">
        <v>0</v>
      </c>
      <c r="Q608" s="239">
        <v>0</v>
      </c>
      <c r="R608" s="239">
        <v>0</v>
      </c>
      <c r="S608" s="239">
        <v>0</v>
      </c>
      <c r="T608" s="239">
        <v>105.67358</v>
      </c>
      <c r="U608" s="239">
        <v>167.18834000000001</v>
      </c>
      <c r="V608" s="239">
        <v>251.00290000000001</v>
      </c>
      <c r="W608" s="239">
        <v>238.97244000000001</v>
      </c>
      <c r="X608" s="239">
        <v>185.11474999999999</v>
      </c>
      <c r="Y608" s="239">
        <v>0</v>
      </c>
      <c r="Z608" s="239">
        <v>900.83528999999999</v>
      </c>
      <c r="AA608" s="239">
        <v>331.47496000000001</v>
      </c>
      <c r="AB608" s="239">
        <v>0</v>
      </c>
      <c r="AC608" s="239">
        <v>884.36320999999998</v>
      </c>
      <c r="AD608" s="239">
        <v>1</v>
      </c>
      <c r="AE608" s="239" t="s">
        <v>20</v>
      </c>
      <c r="AF608" s="239" t="s">
        <v>718</v>
      </c>
      <c r="AG608" s="239">
        <f t="shared" si="46"/>
        <v>4741.7294790000005</v>
      </c>
      <c r="AH608" s="239">
        <f t="shared" si="47"/>
        <v>0</v>
      </c>
      <c r="AI608" s="239">
        <f t="shared" si="48"/>
        <v>0</v>
      </c>
      <c r="AJ608" s="239">
        <f t="shared" si="49"/>
        <v>4741.7294790000005</v>
      </c>
    </row>
    <row r="609" spans="1:36" x14ac:dyDescent="0.2">
      <c r="A609" s="240" t="str">
        <f t="shared" si="45"/>
        <v>3RSNMCP2803EZ25</v>
      </c>
      <c r="B609" s="239" t="s">
        <v>19</v>
      </c>
      <c r="C609" s="239" t="s">
        <v>20</v>
      </c>
      <c r="D609" s="239" t="s">
        <v>2600</v>
      </c>
      <c r="E609" s="239" t="s">
        <v>2601</v>
      </c>
      <c r="F609" s="239" t="s">
        <v>2606</v>
      </c>
      <c r="G609" s="239">
        <v>25</v>
      </c>
      <c r="H609" s="239" t="s">
        <v>928</v>
      </c>
      <c r="I609" s="239" t="s">
        <v>86</v>
      </c>
      <c r="J609" s="239" t="s">
        <v>928</v>
      </c>
      <c r="K609" s="239" t="s">
        <v>2398</v>
      </c>
      <c r="L609" s="239">
        <v>5601.0421100000003</v>
      </c>
      <c r="M609" s="239">
        <v>92</v>
      </c>
      <c r="N609" s="239">
        <v>0</v>
      </c>
      <c r="O609" s="239">
        <v>3708.82935</v>
      </c>
      <c r="P609" s="239">
        <v>0</v>
      </c>
      <c r="Q609" s="239">
        <v>0</v>
      </c>
      <c r="R609" s="239">
        <v>0</v>
      </c>
      <c r="S609" s="239">
        <v>0</v>
      </c>
      <c r="T609" s="239">
        <v>96.867400000000004</v>
      </c>
      <c r="U609" s="239">
        <v>141.38808</v>
      </c>
      <c r="V609" s="239">
        <v>115.00147</v>
      </c>
      <c r="W609" s="239">
        <v>147.54900000000001</v>
      </c>
      <c r="X609" s="239">
        <v>110.65346</v>
      </c>
      <c r="Y609" s="239">
        <v>0</v>
      </c>
      <c r="Z609" s="239">
        <v>625.41435999999999</v>
      </c>
      <c r="AA609" s="239">
        <v>213.09050999999999</v>
      </c>
      <c r="AB609" s="239">
        <v>0</v>
      </c>
      <c r="AC609" s="239">
        <v>442.24847999999997</v>
      </c>
      <c r="AD609" s="239">
        <v>1</v>
      </c>
      <c r="AE609" s="239" t="s">
        <v>20</v>
      </c>
      <c r="AF609" s="239" t="s">
        <v>718</v>
      </c>
      <c r="AG609" s="239">
        <f t="shared" si="46"/>
        <v>3412.1230019999998</v>
      </c>
      <c r="AH609" s="239">
        <f t="shared" si="47"/>
        <v>0</v>
      </c>
      <c r="AI609" s="239">
        <f t="shared" si="48"/>
        <v>0</v>
      </c>
      <c r="AJ609" s="239">
        <f t="shared" si="49"/>
        <v>3412.1230019999998</v>
      </c>
    </row>
    <row r="610" spans="1:36" x14ac:dyDescent="0.2">
      <c r="A610" s="240" t="str">
        <f t="shared" si="45"/>
        <v>SNMCP2803EZ25</v>
      </c>
      <c r="B610" s="239" t="s">
        <v>19</v>
      </c>
      <c r="C610" s="239" t="s">
        <v>20</v>
      </c>
      <c r="D610" s="239" t="s">
        <v>2600</v>
      </c>
      <c r="E610" s="239" t="s">
        <v>2601</v>
      </c>
      <c r="F610" s="239" t="s">
        <v>2606</v>
      </c>
      <c r="G610" s="239">
        <v>25</v>
      </c>
      <c r="H610" s="239" t="s">
        <v>928</v>
      </c>
      <c r="I610" s="239" t="s">
        <v>928</v>
      </c>
      <c r="J610" s="239" t="s">
        <v>928</v>
      </c>
      <c r="K610" s="239" t="s">
        <v>2398</v>
      </c>
      <c r="L610" s="239">
        <v>5601.0421699999997</v>
      </c>
      <c r="M610" s="239">
        <v>92</v>
      </c>
      <c r="N610" s="239">
        <v>0</v>
      </c>
      <c r="O610" s="239">
        <v>3708.82935</v>
      </c>
      <c r="P610" s="239">
        <v>0</v>
      </c>
      <c r="Q610" s="239">
        <v>0</v>
      </c>
      <c r="R610" s="239">
        <v>0</v>
      </c>
      <c r="S610" s="239">
        <v>0</v>
      </c>
      <c r="T610" s="239">
        <v>96.867360000000005</v>
      </c>
      <c r="U610" s="239">
        <v>141.38813999999999</v>
      </c>
      <c r="V610" s="239">
        <v>115.00152</v>
      </c>
      <c r="W610" s="239">
        <v>147.54906</v>
      </c>
      <c r="X610" s="239">
        <v>110.65344</v>
      </c>
      <c r="Y610" s="239">
        <v>0</v>
      </c>
      <c r="Z610" s="239">
        <v>625.41435999999999</v>
      </c>
      <c r="AA610" s="239">
        <v>213.09048999999999</v>
      </c>
      <c r="AB610" s="239">
        <v>0</v>
      </c>
      <c r="AC610" s="239">
        <v>442.24844999999999</v>
      </c>
      <c r="AD610" s="239">
        <v>1</v>
      </c>
      <c r="AE610" s="239" t="s">
        <v>20</v>
      </c>
      <c r="AF610" s="239" t="s">
        <v>718</v>
      </c>
      <c r="AG610" s="239">
        <f t="shared" si="46"/>
        <v>3412.1230019999998</v>
      </c>
      <c r="AH610" s="239">
        <f t="shared" si="47"/>
        <v>0</v>
      </c>
      <c r="AI610" s="239">
        <f t="shared" si="48"/>
        <v>0</v>
      </c>
      <c r="AJ610" s="239">
        <f t="shared" si="49"/>
        <v>3412.1230019999998</v>
      </c>
    </row>
    <row r="611" spans="1:36" x14ac:dyDescent="0.2">
      <c r="A611" s="240" t="str">
        <f t="shared" si="45"/>
        <v>3SNMLBMNGKBF38</v>
      </c>
      <c r="B611" s="239" t="s">
        <v>19</v>
      </c>
      <c r="C611" s="239" t="s">
        <v>20</v>
      </c>
      <c r="D611" s="239" t="s">
        <v>205</v>
      </c>
      <c r="E611" s="239" t="s">
        <v>724</v>
      </c>
      <c r="F611" s="239" t="s">
        <v>211</v>
      </c>
      <c r="G611" s="239">
        <v>38</v>
      </c>
      <c r="H611" s="239" t="s">
        <v>928</v>
      </c>
      <c r="I611" s="239" t="s">
        <v>2471</v>
      </c>
      <c r="J611" s="239" t="s">
        <v>928</v>
      </c>
      <c r="K611" s="239" t="s">
        <v>2398</v>
      </c>
      <c r="L611" s="239">
        <v>111.58889000000001</v>
      </c>
      <c r="M611" s="239">
        <v>97.2</v>
      </c>
      <c r="N611" s="239">
        <v>0</v>
      </c>
      <c r="O611" s="239">
        <v>88.683130000000006</v>
      </c>
      <c r="P611" s="239">
        <v>4.2094100000000001</v>
      </c>
      <c r="Q611" s="239">
        <v>0</v>
      </c>
      <c r="R611" s="239">
        <v>0</v>
      </c>
      <c r="S611" s="239">
        <v>0</v>
      </c>
      <c r="T611" s="239">
        <v>0</v>
      </c>
      <c r="U611" s="239">
        <v>1.7713399999999999</v>
      </c>
      <c r="V611" s="239">
        <v>0.30248000000000003</v>
      </c>
      <c r="W611" s="239">
        <v>0.36502000000000001</v>
      </c>
      <c r="X611" s="239">
        <v>0</v>
      </c>
      <c r="Y611" s="239">
        <v>0</v>
      </c>
      <c r="Z611" s="239">
        <v>7.01457</v>
      </c>
      <c r="AA611" s="239">
        <v>0.92864000000000002</v>
      </c>
      <c r="AB611" s="239">
        <v>8.3142999999999994</v>
      </c>
      <c r="AC611" s="239">
        <v>0</v>
      </c>
      <c r="AD611" s="239">
        <v>1</v>
      </c>
      <c r="AE611" s="239" t="s">
        <v>20</v>
      </c>
      <c r="AF611" s="239" t="s">
        <v>718</v>
      </c>
      <c r="AG611" s="239">
        <f t="shared" si="46"/>
        <v>86.200002360000013</v>
      </c>
      <c r="AH611" s="239">
        <f t="shared" si="47"/>
        <v>4.0915465199999996</v>
      </c>
      <c r="AI611" s="239">
        <f t="shared" si="48"/>
        <v>8.081499599999999</v>
      </c>
      <c r="AJ611" s="239">
        <f t="shared" si="49"/>
        <v>98.373048480000008</v>
      </c>
    </row>
    <row r="612" spans="1:36" x14ac:dyDescent="0.2">
      <c r="A612" s="240" t="str">
        <f t="shared" si="45"/>
        <v>32SNMLBMNGKBF38</v>
      </c>
      <c r="B612" s="239" t="s">
        <v>19</v>
      </c>
      <c r="C612" s="239" t="s">
        <v>20</v>
      </c>
      <c r="D612" s="239" t="s">
        <v>205</v>
      </c>
      <c r="E612" s="239" t="s">
        <v>724</v>
      </c>
      <c r="F612" s="239" t="s">
        <v>211</v>
      </c>
      <c r="G612" s="239">
        <v>38</v>
      </c>
      <c r="H612" s="239" t="s">
        <v>928</v>
      </c>
      <c r="I612" s="239" t="s">
        <v>2599</v>
      </c>
      <c r="J612" s="239" t="s">
        <v>928</v>
      </c>
      <c r="K612" s="239" t="s">
        <v>2398</v>
      </c>
      <c r="L612" s="239">
        <v>12.17305</v>
      </c>
      <c r="M612" s="239">
        <v>100</v>
      </c>
      <c r="N612" s="239">
        <v>0</v>
      </c>
      <c r="O612" s="239">
        <v>0</v>
      </c>
      <c r="P612" s="239">
        <v>0</v>
      </c>
      <c r="Q612" s="239">
        <v>0</v>
      </c>
      <c r="R612" s="239">
        <v>0</v>
      </c>
      <c r="S612" s="239">
        <v>0</v>
      </c>
      <c r="T612" s="239">
        <v>0.47691</v>
      </c>
      <c r="U612" s="239">
        <v>0</v>
      </c>
      <c r="V612" s="239">
        <v>1.0799399999999999</v>
      </c>
      <c r="W612" s="239">
        <v>2.5347</v>
      </c>
      <c r="X612" s="239">
        <v>0</v>
      </c>
      <c r="Y612" s="239">
        <v>0</v>
      </c>
      <c r="Z612" s="239">
        <v>5.7260900000000001</v>
      </c>
      <c r="AA612" s="239">
        <v>2.35541</v>
      </c>
      <c r="AB612" s="239">
        <v>0</v>
      </c>
      <c r="AC612" s="239">
        <v>0</v>
      </c>
      <c r="AD612" s="239">
        <v>1</v>
      </c>
      <c r="AE612" s="239" t="s">
        <v>20</v>
      </c>
      <c r="AF612" s="239" t="s">
        <v>718</v>
      </c>
      <c r="AG612" s="239">
        <f t="shared" si="46"/>
        <v>0</v>
      </c>
      <c r="AH612" s="239">
        <f t="shared" si="47"/>
        <v>0</v>
      </c>
      <c r="AI612" s="239">
        <f t="shared" si="48"/>
        <v>0</v>
      </c>
      <c r="AJ612" s="239">
        <f t="shared" si="49"/>
        <v>0</v>
      </c>
    </row>
    <row r="613" spans="1:36" x14ac:dyDescent="0.2">
      <c r="A613" s="240" t="str">
        <f t="shared" si="45"/>
        <v>3SNMLBMNGKBF50</v>
      </c>
      <c r="B613" s="239" t="s">
        <v>19</v>
      </c>
      <c r="C613" s="239" t="s">
        <v>20</v>
      </c>
      <c r="D613" s="239" t="s">
        <v>205</v>
      </c>
      <c r="E613" s="239" t="s">
        <v>724</v>
      </c>
      <c r="F613" s="239" t="s">
        <v>211</v>
      </c>
      <c r="G613" s="239">
        <v>50</v>
      </c>
      <c r="H613" s="239" t="s">
        <v>928</v>
      </c>
      <c r="I613" s="239" t="s">
        <v>2471</v>
      </c>
      <c r="J613" s="239" t="s">
        <v>928</v>
      </c>
      <c r="K613" s="239" t="s">
        <v>2398</v>
      </c>
      <c r="L613" s="239">
        <v>102.86445999999999</v>
      </c>
      <c r="M613" s="239">
        <v>98</v>
      </c>
      <c r="N613" s="239">
        <v>0</v>
      </c>
      <c r="O613" s="239">
        <v>82.653059999999996</v>
      </c>
      <c r="P613" s="239">
        <v>3.52475</v>
      </c>
      <c r="Q613" s="239">
        <v>0</v>
      </c>
      <c r="R613" s="239">
        <v>0</v>
      </c>
      <c r="S613" s="239">
        <v>0</v>
      </c>
      <c r="T613" s="239">
        <v>0</v>
      </c>
      <c r="U613" s="239">
        <v>1.6123099999999999</v>
      </c>
      <c r="V613" s="239">
        <v>0.30248000000000003</v>
      </c>
      <c r="W613" s="239">
        <v>0.34601999999999999</v>
      </c>
      <c r="X613" s="239">
        <v>0</v>
      </c>
      <c r="Y613" s="239">
        <v>0</v>
      </c>
      <c r="Z613" s="239">
        <v>6.6525499999999997</v>
      </c>
      <c r="AA613" s="239">
        <v>0.88046000000000002</v>
      </c>
      <c r="AB613" s="239">
        <v>6.89283</v>
      </c>
      <c r="AC613" s="239">
        <v>0</v>
      </c>
      <c r="AD613" s="239">
        <v>1</v>
      </c>
      <c r="AE613" s="239" t="s">
        <v>20</v>
      </c>
      <c r="AF613" s="239" t="s">
        <v>718</v>
      </c>
      <c r="AG613" s="239">
        <f t="shared" si="46"/>
        <v>80.9999988</v>
      </c>
      <c r="AH613" s="239">
        <f t="shared" si="47"/>
        <v>3.4542549999999999</v>
      </c>
      <c r="AI613" s="239">
        <f t="shared" si="48"/>
        <v>6.7549733999999999</v>
      </c>
      <c r="AJ613" s="239">
        <f t="shared" si="49"/>
        <v>91.209227200000001</v>
      </c>
    </row>
    <row r="614" spans="1:36" x14ac:dyDescent="0.2">
      <c r="A614" s="240" t="str">
        <f t="shared" si="45"/>
        <v>32SNMLBMNGKBF50</v>
      </c>
      <c r="B614" s="239" t="s">
        <v>19</v>
      </c>
      <c r="C614" s="239" t="s">
        <v>20</v>
      </c>
      <c r="D614" s="239" t="s">
        <v>205</v>
      </c>
      <c r="E614" s="239" t="s">
        <v>724</v>
      </c>
      <c r="F614" s="239" t="s">
        <v>211</v>
      </c>
      <c r="G614" s="239">
        <v>50</v>
      </c>
      <c r="H614" s="239" t="s">
        <v>928</v>
      </c>
      <c r="I614" s="239" t="s">
        <v>2599</v>
      </c>
      <c r="J614" s="239" t="s">
        <v>928</v>
      </c>
      <c r="K614" s="239" t="s">
        <v>2398</v>
      </c>
      <c r="L614" s="239">
        <v>10.20923</v>
      </c>
      <c r="M614" s="239">
        <v>100</v>
      </c>
      <c r="N614" s="239">
        <v>0</v>
      </c>
      <c r="O614" s="239">
        <v>0</v>
      </c>
      <c r="P614" s="239">
        <v>0</v>
      </c>
      <c r="Q614" s="239">
        <v>0</v>
      </c>
      <c r="R614" s="239">
        <v>0</v>
      </c>
      <c r="S614" s="239">
        <v>0</v>
      </c>
      <c r="T614" s="239">
        <v>0.40958</v>
      </c>
      <c r="U614" s="239">
        <v>0</v>
      </c>
      <c r="V614" s="239">
        <v>0.92795000000000005</v>
      </c>
      <c r="W614" s="239">
        <v>2.11673</v>
      </c>
      <c r="X614" s="239">
        <v>0</v>
      </c>
      <c r="Y614" s="239">
        <v>0</v>
      </c>
      <c r="Z614" s="239">
        <v>4.7860500000000004</v>
      </c>
      <c r="AA614" s="239">
        <v>1.96892</v>
      </c>
      <c r="AB614" s="239">
        <v>0</v>
      </c>
      <c r="AC614" s="239">
        <v>0</v>
      </c>
      <c r="AD614" s="239">
        <v>1</v>
      </c>
      <c r="AE614" s="239" t="s">
        <v>20</v>
      </c>
      <c r="AF614" s="239" t="s">
        <v>718</v>
      </c>
      <c r="AG614" s="239">
        <f t="shared" si="46"/>
        <v>0</v>
      </c>
      <c r="AH614" s="239">
        <f t="shared" si="47"/>
        <v>0</v>
      </c>
      <c r="AI614" s="239">
        <f t="shared" si="48"/>
        <v>0</v>
      </c>
      <c r="AJ614" s="239">
        <f t="shared" si="49"/>
        <v>0</v>
      </c>
    </row>
    <row r="615" spans="1:36" x14ac:dyDescent="0.2">
      <c r="A615" s="240" t="str">
        <f t="shared" si="45"/>
        <v>3SNMLBMNGKBF75</v>
      </c>
      <c r="B615" s="239" t="s">
        <v>19</v>
      </c>
      <c r="C615" s="239" t="s">
        <v>20</v>
      </c>
      <c r="D615" s="239" t="s">
        <v>205</v>
      </c>
      <c r="E615" s="239" t="s">
        <v>724</v>
      </c>
      <c r="F615" s="239" t="s">
        <v>211</v>
      </c>
      <c r="G615" s="239">
        <v>75</v>
      </c>
      <c r="H615" s="239" t="s">
        <v>928</v>
      </c>
      <c r="I615" s="239" t="s">
        <v>2471</v>
      </c>
      <c r="J615" s="239" t="s">
        <v>928</v>
      </c>
      <c r="K615" s="239" t="s">
        <v>2398</v>
      </c>
      <c r="L615" s="239">
        <v>160.04256000000001</v>
      </c>
      <c r="M615" s="239">
        <v>97</v>
      </c>
      <c r="N615" s="239">
        <v>0</v>
      </c>
      <c r="O615" s="239">
        <v>110.92784</v>
      </c>
      <c r="P615" s="239">
        <v>9.9871099999999995</v>
      </c>
      <c r="Q615" s="239">
        <v>0</v>
      </c>
      <c r="R615" s="239">
        <v>0</v>
      </c>
      <c r="S615" s="239">
        <v>0</v>
      </c>
      <c r="T615" s="239">
        <v>0</v>
      </c>
      <c r="U615" s="239">
        <v>3.37365</v>
      </c>
      <c r="V615" s="239">
        <v>0.30248000000000003</v>
      </c>
      <c r="W615" s="239">
        <v>0.76605000000000001</v>
      </c>
      <c r="X615" s="239">
        <v>0</v>
      </c>
      <c r="Y615" s="239">
        <v>0</v>
      </c>
      <c r="Z615" s="239">
        <v>14.69233</v>
      </c>
      <c r="AA615" s="239">
        <v>1.9560500000000001</v>
      </c>
      <c r="AB615" s="239">
        <v>18.037050000000001</v>
      </c>
      <c r="AC615" s="239">
        <v>0</v>
      </c>
      <c r="AD615" s="239">
        <v>1</v>
      </c>
      <c r="AE615" s="239" t="s">
        <v>19</v>
      </c>
      <c r="AF615" s="239" t="s">
        <v>718</v>
      </c>
      <c r="AG615" s="239">
        <f t="shared" si="46"/>
        <v>107.60000480000001</v>
      </c>
      <c r="AH615" s="239">
        <f t="shared" si="47"/>
        <v>9.6874966999999987</v>
      </c>
      <c r="AI615" s="239">
        <f t="shared" si="48"/>
        <v>17.495938500000001</v>
      </c>
      <c r="AJ615" s="239">
        <f t="shared" si="49"/>
        <v>134.78344000000001</v>
      </c>
    </row>
    <row r="616" spans="1:36" x14ac:dyDescent="0.2">
      <c r="A616" s="240" t="str">
        <f t="shared" si="45"/>
        <v>32SNMLBMNGKBF75</v>
      </c>
      <c r="B616" s="239" t="s">
        <v>19</v>
      </c>
      <c r="C616" s="239" t="s">
        <v>20</v>
      </c>
      <c r="D616" s="239" t="s">
        <v>205</v>
      </c>
      <c r="E616" s="239" t="s">
        <v>724</v>
      </c>
      <c r="F616" s="239" t="s">
        <v>211</v>
      </c>
      <c r="G616" s="239">
        <v>75</v>
      </c>
      <c r="H616" s="239" t="s">
        <v>928</v>
      </c>
      <c r="I616" s="239" t="s">
        <v>2599</v>
      </c>
      <c r="J616" s="239" t="s">
        <v>928</v>
      </c>
      <c r="K616" s="239" t="s">
        <v>2398</v>
      </c>
      <c r="L616" s="239">
        <v>27.183440000000001</v>
      </c>
      <c r="M616" s="239">
        <v>100</v>
      </c>
      <c r="N616" s="239">
        <v>0</v>
      </c>
      <c r="O616" s="239">
        <v>0</v>
      </c>
      <c r="P616" s="239">
        <v>0</v>
      </c>
      <c r="Q616" s="239">
        <v>0</v>
      </c>
      <c r="R616" s="239">
        <v>0</v>
      </c>
      <c r="S616" s="239">
        <v>0</v>
      </c>
      <c r="T616" s="239">
        <v>1.12215</v>
      </c>
      <c r="U616" s="239">
        <v>0</v>
      </c>
      <c r="V616" s="239">
        <v>3.1758199999999999</v>
      </c>
      <c r="W616" s="239">
        <v>5.3895299999999997</v>
      </c>
      <c r="X616" s="239">
        <v>0</v>
      </c>
      <c r="Y616" s="239">
        <v>0</v>
      </c>
      <c r="Z616" s="239">
        <v>12.3965</v>
      </c>
      <c r="AA616" s="239">
        <v>5.0994400000000004</v>
      </c>
      <c r="AB616" s="239">
        <v>0</v>
      </c>
      <c r="AC616" s="239">
        <v>0</v>
      </c>
      <c r="AD616" s="239">
        <v>1</v>
      </c>
      <c r="AE616" s="239" t="s">
        <v>19</v>
      </c>
      <c r="AF616" s="239" t="s">
        <v>718</v>
      </c>
      <c r="AG616" s="239">
        <f t="shared" si="46"/>
        <v>0</v>
      </c>
      <c r="AH616" s="239">
        <f t="shared" si="47"/>
        <v>0</v>
      </c>
      <c r="AI616" s="239">
        <f t="shared" si="48"/>
        <v>0</v>
      </c>
      <c r="AJ616" s="239">
        <f t="shared" si="49"/>
        <v>0</v>
      </c>
    </row>
    <row r="617" spans="1:36" x14ac:dyDescent="0.2">
      <c r="A617" s="240" t="str">
        <f t="shared" si="45"/>
        <v>3SNMLBMNGKKBF25</v>
      </c>
      <c r="B617" s="239" t="s">
        <v>19</v>
      </c>
      <c r="C617" s="239" t="s">
        <v>20</v>
      </c>
      <c r="D617" s="239" t="s">
        <v>205</v>
      </c>
      <c r="E617" s="239" t="s">
        <v>724</v>
      </c>
      <c r="F617" s="239" t="s">
        <v>212</v>
      </c>
      <c r="G617" s="239">
        <v>25</v>
      </c>
      <c r="H617" s="239" t="s">
        <v>928</v>
      </c>
      <c r="I617" s="239" t="s">
        <v>2471</v>
      </c>
      <c r="J617" s="239" t="s">
        <v>928</v>
      </c>
      <c r="K617" s="239" t="s">
        <v>2398</v>
      </c>
      <c r="L617" s="239">
        <v>92.544809999999998</v>
      </c>
      <c r="M617" s="239">
        <v>96</v>
      </c>
      <c r="N617" s="239">
        <v>0</v>
      </c>
      <c r="O617" s="239">
        <v>68.90625</v>
      </c>
      <c r="P617" s="239">
        <v>4.3607800000000001</v>
      </c>
      <c r="Q617" s="239">
        <v>0</v>
      </c>
      <c r="R617" s="239">
        <v>0</v>
      </c>
      <c r="S617" s="239">
        <v>0</v>
      </c>
      <c r="T617" s="239">
        <v>0</v>
      </c>
      <c r="U617" s="239">
        <v>1.5903</v>
      </c>
      <c r="V617" s="239">
        <v>0.30248000000000003</v>
      </c>
      <c r="W617" s="239">
        <v>0.38602999999999998</v>
      </c>
      <c r="X617" s="239">
        <v>0</v>
      </c>
      <c r="Y617" s="239">
        <v>0</v>
      </c>
      <c r="Z617" s="239">
        <v>7.4302200000000003</v>
      </c>
      <c r="AA617" s="239">
        <v>0.98284000000000005</v>
      </c>
      <c r="AB617" s="239">
        <v>8.5859100000000002</v>
      </c>
      <c r="AC617" s="239">
        <v>0</v>
      </c>
      <c r="AD617" s="239">
        <v>1</v>
      </c>
      <c r="AE617" s="239" t="s">
        <v>19</v>
      </c>
      <c r="AF617" s="239" t="s">
        <v>718</v>
      </c>
      <c r="AG617" s="239">
        <f t="shared" si="46"/>
        <v>66.150000000000006</v>
      </c>
      <c r="AH617" s="239">
        <f t="shared" si="47"/>
        <v>4.1863488000000002</v>
      </c>
      <c r="AI617" s="239">
        <f t="shared" si="48"/>
        <v>8.2424736000000003</v>
      </c>
      <c r="AJ617" s="239">
        <f t="shared" si="49"/>
        <v>78.578822400000007</v>
      </c>
    </row>
    <row r="618" spans="1:36" x14ac:dyDescent="0.2">
      <c r="A618" s="240" t="str">
        <f t="shared" si="45"/>
        <v>32SNMLBMNGKKBF25</v>
      </c>
      <c r="B618" s="239" t="s">
        <v>19</v>
      </c>
      <c r="C618" s="239" t="s">
        <v>20</v>
      </c>
      <c r="D618" s="239" t="s">
        <v>205</v>
      </c>
      <c r="E618" s="239" t="s">
        <v>724</v>
      </c>
      <c r="F618" s="239" t="s">
        <v>212</v>
      </c>
      <c r="G618" s="239">
        <v>25</v>
      </c>
      <c r="H618" s="239" t="s">
        <v>928</v>
      </c>
      <c r="I618" s="239" t="s">
        <v>2599</v>
      </c>
      <c r="J618" s="239" t="s">
        <v>928</v>
      </c>
      <c r="K618" s="239" t="s">
        <v>2398</v>
      </c>
      <c r="L618" s="239">
        <v>12.42882</v>
      </c>
      <c r="M618" s="239">
        <v>100</v>
      </c>
      <c r="N618" s="239">
        <v>0</v>
      </c>
      <c r="O618" s="239">
        <v>0</v>
      </c>
      <c r="P618" s="239">
        <v>0</v>
      </c>
      <c r="Q618" s="239">
        <v>0</v>
      </c>
      <c r="R618" s="239">
        <v>0</v>
      </c>
      <c r="S618" s="239">
        <v>0</v>
      </c>
      <c r="T618" s="239">
        <v>0.49187999999999998</v>
      </c>
      <c r="U618" s="239">
        <v>0</v>
      </c>
      <c r="V618" s="239">
        <v>1.1119399999999999</v>
      </c>
      <c r="W618" s="239">
        <v>2.5825300000000002</v>
      </c>
      <c r="X618" s="239">
        <v>0</v>
      </c>
      <c r="Y618" s="239">
        <v>0</v>
      </c>
      <c r="Z618" s="239">
        <v>5.8398300000000001</v>
      </c>
      <c r="AA618" s="239">
        <v>2.4026399999999999</v>
      </c>
      <c r="AB618" s="239">
        <v>0</v>
      </c>
      <c r="AC618" s="239">
        <v>0</v>
      </c>
      <c r="AD618" s="239">
        <v>1</v>
      </c>
      <c r="AE618" s="239" t="s">
        <v>19</v>
      </c>
      <c r="AF618" s="239" t="s">
        <v>718</v>
      </c>
      <c r="AG618" s="239">
        <f t="shared" si="46"/>
        <v>0</v>
      </c>
      <c r="AH618" s="239">
        <f t="shared" si="47"/>
        <v>0</v>
      </c>
      <c r="AI618" s="239">
        <f t="shared" si="48"/>
        <v>0</v>
      </c>
      <c r="AJ618" s="239">
        <f t="shared" si="49"/>
        <v>0</v>
      </c>
    </row>
    <row r="619" spans="1:36" x14ac:dyDescent="0.2">
      <c r="A619" s="240" t="str">
        <f t="shared" si="45"/>
        <v>3SNMLBMNGKKBF50</v>
      </c>
      <c r="B619" s="239" t="s">
        <v>19</v>
      </c>
      <c r="C619" s="239" t="s">
        <v>20</v>
      </c>
      <c r="D619" s="239" t="s">
        <v>205</v>
      </c>
      <c r="E619" s="239" t="s">
        <v>724</v>
      </c>
      <c r="F619" s="239" t="s">
        <v>212</v>
      </c>
      <c r="G619" s="239">
        <v>50</v>
      </c>
      <c r="H619" s="239" t="s">
        <v>928</v>
      </c>
      <c r="I619" s="239" t="s">
        <v>2471</v>
      </c>
      <c r="J619" s="239" t="s">
        <v>928</v>
      </c>
      <c r="K619" s="239" t="s">
        <v>2398</v>
      </c>
      <c r="L619" s="239">
        <v>127.78404999999999</v>
      </c>
      <c r="M619" s="239">
        <v>99</v>
      </c>
      <c r="N619" s="239">
        <v>0</v>
      </c>
      <c r="O619" s="239">
        <v>106.42424</v>
      </c>
      <c r="P619" s="239">
        <v>3.7131400000000001</v>
      </c>
      <c r="Q619" s="239">
        <v>0</v>
      </c>
      <c r="R619" s="239">
        <v>0</v>
      </c>
      <c r="S619" s="239">
        <v>0</v>
      </c>
      <c r="T619" s="239">
        <v>0</v>
      </c>
      <c r="U619" s="239">
        <v>1.5872999999999999</v>
      </c>
      <c r="V619" s="239">
        <v>0.30248000000000003</v>
      </c>
      <c r="W619" s="239">
        <v>0.37402000000000002</v>
      </c>
      <c r="X619" s="239">
        <v>0</v>
      </c>
      <c r="Y619" s="239">
        <v>0</v>
      </c>
      <c r="Z619" s="239">
        <v>7.1940299999999997</v>
      </c>
      <c r="AA619" s="239">
        <v>0.95152999999999999</v>
      </c>
      <c r="AB619" s="239">
        <v>7.2373099999999999</v>
      </c>
      <c r="AC619" s="239">
        <v>0</v>
      </c>
      <c r="AD619" s="239">
        <v>1</v>
      </c>
      <c r="AE619" s="239" t="s">
        <v>19</v>
      </c>
      <c r="AF619" s="239" t="s">
        <v>718</v>
      </c>
      <c r="AG619" s="239">
        <f t="shared" si="46"/>
        <v>105.3599976</v>
      </c>
      <c r="AH619" s="239">
        <f t="shared" si="47"/>
        <v>3.6760086000000003</v>
      </c>
      <c r="AI619" s="239">
        <f t="shared" si="48"/>
        <v>7.1649368999999998</v>
      </c>
      <c r="AJ619" s="239">
        <f t="shared" si="49"/>
        <v>116.2009431</v>
      </c>
    </row>
    <row r="620" spans="1:36" x14ac:dyDescent="0.2">
      <c r="A620" s="240" t="str">
        <f t="shared" si="45"/>
        <v>32SNMLBMNGKKBF50</v>
      </c>
      <c r="B620" s="239" t="s">
        <v>19</v>
      </c>
      <c r="C620" s="239" t="s">
        <v>20</v>
      </c>
      <c r="D620" s="239" t="s">
        <v>205</v>
      </c>
      <c r="E620" s="239" t="s">
        <v>724</v>
      </c>
      <c r="F620" s="239" t="s">
        <v>212</v>
      </c>
      <c r="G620" s="239">
        <v>50</v>
      </c>
      <c r="H620" s="239" t="s">
        <v>928</v>
      </c>
      <c r="I620" s="239" t="s">
        <v>2599</v>
      </c>
      <c r="J620" s="239" t="s">
        <v>928</v>
      </c>
      <c r="K620" s="239" t="s">
        <v>2398</v>
      </c>
      <c r="L620" s="239">
        <v>10.840949999999999</v>
      </c>
      <c r="M620" s="239">
        <v>100</v>
      </c>
      <c r="N620" s="239">
        <v>0</v>
      </c>
      <c r="O620" s="239">
        <v>0</v>
      </c>
      <c r="P620" s="239">
        <v>0</v>
      </c>
      <c r="Q620" s="239">
        <v>0</v>
      </c>
      <c r="R620" s="239">
        <v>0</v>
      </c>
      <c r="S620" s="239">
        <v>0</v>
      </c>
      <c r="T620" s="239">
        <v>0.43951000000000001</v>
      </c>
      <c r="U620" s="239">
        <v>0</v>
      </c>
      <c r="V620" s="239">
        <v>0.99394000000000005</v>
      </c>
      <c r="W620" s="239">
        <v>2.2425600000000001</v>
      </c>
      <c r="X620" s="239">
        <v>0</v>
      </c>
      <c r="Y620" s="239">
        <v>0</v>
      </c>
      <c r="Z620" s="239">
        <v>5.07578</v>
      </c>
      <c r="AA620" s="239">
        <v>2.0891600000000001</v>
      </c>
      <c r="AB620" s="239">
        <v>0</v>
      </c>
      <c r="AC620" s="239">
        <v>0</v>
      </c>
      <c r="AD620" s="239">
        <v>1</v>
      </c>
      <c r="AE620" s="239" t="s">
        <v>19</v>
      </c>
      <c r="AF620" s="239" t="s">
        <v>718</v>
      </c>
      <c r="AG620" s="239">
        <f t="shared" si="46"/>
        <v>0</v>
      </c>
      <c r="AH620" s="239">
        <f t="shared" si="47"/>
        <v>0</v>
      </c>
      <c r="AI620" s="239">
        <f t="shared" si="48"/>
        <v>0</v>
      </c>
      <c r="AJ620" s="239">
        <f t="shared" si="49"/>
        <v>0</v>
      </c>
    </row>
    <row r="621" spans="1:36" x14ac:dyDescent="0.2">
      <c r="A621" s="240" t="str">
        <f t="shared" si="45"/>
        <v>3SNMLBMNGTBF25</v>
      </c>
      <c r="B621" s="239" t="s">
        <v>19</v>
      </c>
      <c r="C621" s="239" t="s">
        <v>20</v>
      </c>
      <c r="D621" s="239" t="s">
        <v>205</v>
      </c>
      <c r="E621" s="239" t="s">
        <v>724</v>
      </c>
      <c r="F621" s="239" t="s">
        <v>216</v>
      </c>
      <c r="G621" s="239">
        <v>25</v>
      </c>
      <c r="H621" s="239" t="s">
        <v>928</v>
      </c>
      <c r="I621" s="239" t="s">
        <v>2471</v>
      </c>
      <c r="J621" s="239" t="s">
        <v>928</v>
      </c>
      <c r="K621" s="239" t="s">
        <v>2398</v>
      </c>
      <c r="L621" s="239">
        <v>24.442430000000002</v>
      </c>
      <c r="M621" s="239">
        <v>97.5</v>
      </c>
      <c r="N621" s="239">
        <v>0</v>
      </c>
      <c r="O621" s="239">
        <v>0</v>
      </c>
      <c r="P621" s="239">
        <v>4.2197199999999997</v>
      </c>
      <c r="Q621" s="239">
        <v>0</v>
      </c>
      <c r="R621" s="239">
        <v>0</v>
      </c>
      <c r="S621" s="239">
        <v>0</v>
      </c>
      <c r="T621" s="239">
        <v>0</v>
      </c>
      <c r="U621" s="239">
        <v>1.5823</v>
      </c>
      <c r="V621" s="239">
        <v>0.30248000000000003</v>
      </c>
      <c r="W621" s="239">
        <v>0.43902999999999998</v>
      </c>
      <c r="X621" s="239">
        <v>0</v>
      </c>
      <c r="Y621" s="239">
        <v>0</v>
      </c>
      <c r="Z621" s="239">
        <v>8.4554399999999994</v>
      </c>
      <c r="AA621" s="239">
        <v>1.1129199999999999</v>
      </c>
      <c r="AB621" s="239">
        <v>8.3305399999999992</v>
      </c>
      <c r="AC621" s="239">
        <v>0</v>
      </c>
      <c r="AD621" s="239">
        <v>1</v>
      </c>
      <c r="AE621" s="239" t="s">
        <v>19</v>
      </c>
      <c r="AF621" s="239" t="s">
        <v>718</v>
      </c>
      <c r="AG621" s="239">
        <f t="shared" si="46"/>
        <v>0</v>
      </c>
      <c r="AH621" s="239">
        <f t="shared" si="47"/>
        <v>4.1142269999999996</v>
      </c>
      <c r="AI621" s="239">
        <f t="shared" si="48"/>
        <v>8.1222764999999999</v>
      </c>
      <c r="AJ621" s="239">
        <f t="shared" si="49"/>
        <v>12.2365035</v>
      </c>
    </row>
    <row r="622" spans="1:36" x14ac:dyDescent="0.2">
      <c r="A622" s="240" t="str">
        <f t="shared" si="45"/>
        <v>32SNMLBMNGTBF25</v>
      </c>
      <c r="B622" s="239" t="s">
        <v>19</v>
      </c>
      <c r="C622" s="239" t="s">
        <v>20</v>
      </c>
      <c r="D622" s="239" t="s">
        <v>205</v>
      </c>
      <c r="E622" s="239" t="s">
        <v>724</v>
      </c>
      <c r="F622" s="239" t="s">
        <v>216</v>
      </c>
      <c r="G622" s="239">
        <v>25</v>
      </c>
      <c r="H622" s="239" t="s">
        <v>928</v>
      </c>
      <c r="I622" s="239" t="s">
        <v>2599</v>
      </c>
      <c r="J622" s="239" t="s">
        <v>928</v>
      </c>
      <c r="K622" s="239" t="s">
        <v>2398</v>
      </c>
      <c r="L622" s="239">
        <v>12.236499999999999</v>
      </c>
      <c r="M622" s="239">
        <v>100</v>
      </c>
      <c r="N622" s="239">
        <v>0</v>
      </c>
      <c r="O622" s="239">
        <v>0</v>
      </c>
      <c r="P622" s="239">
        <v>0</v>
      </c>
      <c r="Q622" s="239">
        <v>0</v>
      </c>
      <c r="R622" s="239">
        <v>0</v>
      </c>
      <c r="S622" s="239">
        <v>0</v>
      </c>
      <c r="T622" s="239">
        <v>0.48065000000000002</v>
      </c>
      <c r="U622" s="239">
        <v>0</v>
      </c>
      <c r="V622" s="239">
        <v>1.0879399999999999</v>
      </c>
      <c r="W622" s="239">
        <v>2.5456300000000001</v>
      </c>
      <c r="X622" s="239">
        <v>0</v>
      </c>
      <c r="Y622" s="239">
        <v>0</v>
      </c>
      <c r="Z622" s="239">
        <v>5.7539899999999999</v>
      </c>
      <c r="AA622" s="239">
        <v>2.36829</v>
      </c>
      <c r="AB622" s="239">
        <v>0</v>
      </c>
      <c r="AC622" s="239">
        <v>0</v>
      </c>
      <c r="AD622" s="239">
        <v>1</v>
      </c>
      <c r="AE622" s="239" t="s">
        <v>19</v>
      </c>
      <c r="AF622" s="239" t="s">
        <v>718</v>
      </c>
      <c r="AG622" s="239">
        <f t="shared" si="46"/>
        <v>0</v>
      </c>
      <c r="AH622" s="239">
        <f t="shared" si="47"/>
        <v>0</v>
      </c>
      <c r="AI622" s="239">
        <f t="shared" si="48"/>
        <v>0</v>
      </c>
      <c r="AJ622" s="239">
        <f t="shared" si="49"/>
        <v>0</v>
      </c>
    </row>
    <row r="623" spans="1:36" x14ac:dyDescent="0.2">
      <c r="A623" s="240" t="str">
        <f t="shared" si="45"/>
        <v>3SNMLBMNGTBF50</v>
      </c>
      <c r="B623" s="239" t="s">
        <v>19</v>
      </c>
      <c r="C623" s="239" t="s">
        <v>20</v>
      </c>
      <c r="D623" s="239" t="s">
        <v>205</v>
      </c>
      <c r="E623" s="239" t="s">
        <v>724</v>
      </c>
      <c r="F623" s="239" t="s">
        <v>216</v>
      </c>
      <c r="G623" s="239">
        <v>50</v>
      </c>
      <c r="H623" s="239" t="s">
        <v>928</v>
      </c>
      <c r="I623" s="239" t="s">
        <v>2471</v>
      </c>
      <c r="J623" s="239" t="s">
        <v>928</v>
      </c>
      <c r="K623" s="239" t="s">
        <v>2398</v>
      </c>
      <c r="L623" s="239">
        <v>21.56814</v>
      </c>
      <c r="M623" s="239">
        <v>99</v>
      </c>
      <c r="N623" s="239">
        <v>0</v>
      </c>
      <c r="O623" s="239">
        <v>0</v>
      </c>
      <c r="P623" s="239">
        <v>4.26966</v>
      </c>
      <c r="Q623" s="239">
        <v>0</v>
      </c>
      <c r="R623" s="239">
        <v>0</v>
      </c>
      <c r="S623" s="239">
        <v>0</v>
      </c>
      <c r="T623" s="239">
        <v>0</v>
      </c>
      <c r="U623" s="239">
        <v>0.99119000000000002</v>
      </c>
      <c r="V623" s="239">
        <v>0.30248000000000003</v>
      </c>
      <c r="W623" s="239">
        <v>0.34601999999999999</v>
      </c>
      <c r="X623" s="239">
        <v>0</v>
      </c>
      <c r="Y623" s="239">
        <v>0</v>
      </c>
      <c r="Z623" s="239">
        <v>6.65977</v>
      </c>
      <c r="AA623" s="239">
        <v>0.87926000000000004</v>
      </c>
      <c r="AB623" s="239">
        <v>8.1197599999999994</v>
      </c>
      <c r="AC623" s="239">
        <v>0</v>
      </c>
      <c r="AD623" s="239">
        <v>1</v>
      </c>
      <c r="AE623" s="239" t="s">
        <v>19</v>
      </c>
      <c r="AF623" s="239" t="s">
        <v>718</v>
      </c>
      <c r="AG623" s="239">
        <f t="shared" si="46"/>
        <v>0</v>
      </c>
      <c r="AH623" s="239">
        <f t="shared" si="47"/>
        <v>4.2269633999999998</v>
      </c>
      <c r="AI623" s="239">
        <f t="shared" si="48"/>
        <v>8.0385624</v>
      </c>
      <c r="AJ623" s="239">
        <f t="shared" si="49"/>
        <v>12.265525799999999</v>
      </c>
    </row>
    <row r="624" spans="1:36" x14ac:dyDescent="0.2">
      <c r="A624" s="240" t="str">
        <f t="shared" si="45"/>
        <v>32SNMLBMNGTBF50</v>
      </c>
      <c r="B624" s="239" t="s">
        <v>19</v>
      </c>
      <c r="C624" s="239" t="s">
        <v>20</v>
      </c>
      <c r="D624" s="239" t="s">
        <v>205</v>
      </c>
      <c r="E624" s="239" t="s">
        <v>724</v>
      </c>
      <c r="F624" s="239" t="s">
        <v>216</v>
      </c>
      <c r="G624" s="239">
        <v>50</v>
      </c>
      <c r="H624" s="239" t="s">
        <v>928</v>
      </c>
      <c r="I624" s="239" t="s">
        <v>2599</v>
      </c>
      <c r="J624" s="239" t="s">
        <v>928</v>
      </c>
      <c r="K624" s="239" t="s">
        <v>2398</v>
      </c>
      <c r="L624" s="239">
        <v>12.26553</v>
      </c>
      <c r="M624" s="239">
        <v>100</v>
      </c>
      <c r="N624" s="239">
        <v>0</v>
      </c>
      <c r="O624" s="239">
        <v>0</v>
      </c>
      <c r="P624" s="239">
        <v>0</v>
      </c>
      <c r="Q624" s="239">
        <v>0</v>
      </c>
      <c r="R624" s="239">
        <v>0</v>
      </c>
      <c r="S624" s="239">
        <v>0</v>
      </c>
      <c r="T624" s="239">
        <v>0.52741000000000005</v>
      </c>
      <c r="U624" s="239">
        <v>0</v>
      </c>
      <c r="V624" s="239">
        <v>1.1919299999999999</v>
      </c>
      <c r="W624" s="239">
        <v>2.5076299999999998</v>
      </c>
      <c r="X624" s="239">
        <v>0</v>
      </c>
      <c r="Y624" s="239">
        <v>0</v>
      </c>
      <c r="Z624" s="239">
        <v>5.69604</v>
      </c>
      <c r="AA624" s="239">
        <v>2.3425199999999999</v>
      </c>
      <c r="AB624" s="239">
        <v>0</v>
      </c>
      <c r="AC624" s="239">
        <v>0</v>
      </c>
      <c r="AD624" s="239">
        <v>1</v>
      </c>
      <c r="AE624" s="239" t="s">
        <v>19</v>
      </c>
      <c r="AF624" s="239" t="s">
        <v>718</v>
      </c>
      <c r="AG624" s="239">
        <f t="shared" si="46"/>
        <v>0</v>
      </c>
      <c r="AH624" s="239">
        <f t="shared" si="47"/>
        <v>0</v>
      </c>
      <c r="AI624" s="239">
        <f t="shared" si="48"/>
        <v>0</v>
      </c>
      <c r="AJ624" s="239">
        <f t="shared" si="49"/>
        <v>0</v>
      </c>
    </row>
    <row r="625" spans="1:36" x14ac:dyDescent="0.2">
      <c r="A625" s="240" t="str">
        <f t="shared" si="45"/>
        <v>3SNMLBMNNGKBF25</v>
      </c>
      <c r="B625" s="239" t="s">
        <v>19</v>
      </c>
      <c r="C625" s="239" t="s">
        <v>20</v>
      </c>
      <c r="D625" s="239" t="s">
        <v>205</v>
      </c>
      <c r="E625" s="239" t="s">
        <v>724</v>
      </c>
      <c r="F625" s="239" t="s">
        <v>218</v>
      </c>
      <c r="G625" s="239">
        <v>25</v>
      </c>
      <c r="H625" s="239" t="s">
        <v>928</v>
      </c>
      <c r="I625" s="239" t="s">
        <v>2471</v>
      </c>
      <c r="J625" s="239" t="s">
        <v>928</v>
      </c>
      <c r="K625" s="239" t="s">
        <v>2398</v>
      </c>
      <c r="L625" s="239">
        <v>20.107030000000002</v>
      </c>
      <c r="M625" s="239">
        <v>98.3</v>
      </c>
      <c r="N625" s="239">
        <v>0</v>
      </c>
      <c r="O625" s="239">
        <v>0</v>
      </c>
      <c r="P625" s="239">
        <v>3.5068100000000002</v>
      </c>
      <c r="Q625" s="239">
        <v>0</v>
      </c>
      <c r="R625" s="239">
        <v>0</v>
      </c>
      <c r="S625" s="239">
        <v>0</v>
      </c>
      <c r="T625" s="239">
        <v>0</v>
      </c>
      <c r="U625" s="239">
        <v>1.6933199999999999</v>
      </c>
      <c r="V625" s="239">
        <v>0.30248000000000003</v>
      </c>
      <c r="W625" s="239">
        <v>0.32901999999999998</v>
      </c>
      <c r="X625" s="239">
        <v>0</v>
      </c>
      <c r="Y625" s="239">
        <v>0</v>
      </c>
      <c r="Z625" s="239">
        <v>6.3338400000000004</v>
      </c>
      <c r="AA625" s="239">
        <v>0.83831</v>
      </c>
      <c r="AB625" s="239">
        <v>7.1032500000000001</v>
      </c>
      <c r="AC625" s="239">
        <v>0</v>
      </c>
      <c r="AD625" s="239">
        <v>1</v>
      </c>
      <c r="AE625" s="239" t="s">
        <v>19</v>
      </c>
      <c r="AF625" s="239" t="s">
        <v>718</v>
      </c>
      <c r="AG625" s="239">
        <f t="shared" si="46"/>
        <v>0</v>
      </c>
      <c r="AH625" s="239">
        <f t="shared" si="47"/>
        <v>3.44719423</v>
      </c>
      <c r="AI625" s="239">
        <f t="shared" si="48"/>
        <v>6.9824947499999999</v>
      </c>
      <c r="AJ625" s="239">
        <f t="shared" si="49"/>
        <v>10.42968898</v>
      </c>
    </row>
    <row r="626" spans="1:36" x14ac:dyDescent="0.2">
      <c r="A626" s="240" t="str">
        <f t="shared" si="45"/>
        <v>32SNMLBMNNGKBF25</v>
      </c>
      <c r="B626" s="239" t="s">
        <v>19</v>
      </c>
      <c r="C626" s="239" t="s">
        <v>20</v>
      </c>
      <c r="D626" s="239" t="s">
        <v>205</v>
      </c>
      <c r="E626" s="239" t="s">
        <v>724</v>
      </c>
      <c r="F626" s="239" t="s">
        <v>218</v>
      </c>
      <c r="G626" s="239">
        <v>25</v>
      </c>
      <c r="H626" s="239" t="s">
        <v>928</v>
      </c>
      <c r="I626" s="239" t="s">
        <v>2599</v>
      </c>
      <c r="J626" s="239" t="s">
        <v>928</v>
      </c>
      <c r="K626" s="239" t="s">
        <v>2398</v>
      </c>
      <c r="L626" s="239">
        <v>10.429690000000001</v>
      </c>
      <c r="M626" s="239">
        <v>100</v>
      </c>
      <c r="N626" s="239">
        <v>0</v>
      </c>
      <c r="O626" s="239">
        <v>0</v>
      </c>
      <c r="P626" s="239">
        <v>0</v>
      </c>
      <c r="Q626" s="239">
        <v>0</v>
      </c>
      <c r="R626" s="239">
        <v>0</v>
      </c>
      <c r="S626" s="239">
        <v>0</v>
      </c>
      <c r="T626" s="239">
        <v>0.41707</v>
      </c>
      <c r="U626" s="239">
        <v>0</v>
      </c>
      <c r="V626" s="239">
        <v>0.82994999999999997</v>
      </c>
      <c r="W626" s="239">
        <v>2.20018</v>
      </c>
      <c r="X626" s="239">
        <v>0</v>
      </c>
      <c r="Y626" s="239">
        <v>0</v>
      </c>
      <c r="Z626" s="239">
        <v>4.9470099999999997</v>
      </c>
      <c r="AA626" s="239">
        <v>2.0354800000000002</v>
      </c>
      <c r="AB626" s="239">
        <v>0</v>
      </c>
      <c r="AC626" s="239">
        <v>0</v>
      </c>
      <c r="AD626" s="239">
        <v>1</v>
      </c>
      <c r="AE626" s="239" t="s">
        <v>19</v>
      </c>
      <c r="AF626" s="239" t="s">
        <v>718</v>
      </c>
      <c r="AG626" s="239">
        <f t="shared" si="46"/>
        <v>0</v>
      </c>
      <c r="AH626" s="239">
        <f t="shared" si="47"/>
        <v>0</v>
      </c>
      <c r="AI626" s="239">
        <f t="shared" si="48"/>
        <v>0</v>
      </c>
      <c r="AJ626" s="239">
        <f t="shared" si="49"/>
        <v>0</v>
      </c>
    </row>
    <row r="627" spans="1:36" x14ac:dyDescent="0.2">
      <c r="A627" s="240" t="str">
        <f t="shared" si="45"/>
        <v>3SNMLBMNNGKBF50</v>
      </c>
      <c r="B627" s="239" t="s">
        <v>19</v>
      </c>
      <c r="C627" s="239" t="s">
        <v>20</v>
      </c>
      <c r="D627" s="239" t="s">
        <v>205</v>
      </c>
      <c r="E627" s="239" t="s">
        <v>724</v>
      </c>
      <c r="F627" s="239" t="s">
        <v>218</v>
      </c>
      <c r="G627" s="239">
        <v>50</v>
      </c>
      <c r="H627" s="239" t="s">
        <v>928</v>
      </c>
      <c r="I627" s="239" t="s">
        <v>2471</v>
      </c>
      <c r="J627" s="239" t="s">
        <v>928</v>
      </c>
      <c r="K627" s="239" t="s">
        <v>2398</v>
      </c>
      <c r="L627" s="239">
        <v>22.876529999999999</v>
      </c>
      <c r="M627" s="239">
        <v>99</v>
      </c>
      <c r="N627" s="239">
        <v>0</v>
      </c>
      <c r="O627" s="239">
        <v>0</v>
      </c>
      <c r="P627" s="239">
        <v>4.15665</v>
      </c>
      <c r="Q627" s="239">
        <v>0</v>
      </c>
      <c r="R627" s="239">
        <v>0</v>
      </c>
      <c r="S627" s="239">
        <v>0</v>
      </c>
      <c r="T627" s="239">
        <v>0</v>
      </c>
      <c r="U627" s="239">
        <v>1.8163499999999999</v>
      </c>
      <c r="V627" s="239">
        <v>0.30248000000000003</v>
      </c>
      <c r="W627" s="239">
        <v>0.37302000000000002</v>
      </c>
      <c r="X627" s="239">
        <v>0</v>
      </c>
      <c r="Y627" s="239">
        <v>0</v>
      </c>
      <c r="Z627" s="239">
        <v>7.1764999999999999</v>
      </c>
      <c r="AA627" s="239">
        <v>0.94911999999999996</v>
      </c>
      <c r="AB627" s="239">
        <v>8.1024100000000008</v>
      </c>
      <c r="AC627" s="239">
        <v>0</v>
      </c>
      <c r="AD627" s="239">
        <v>1</v>
      </c>
      <c r="AE627" s="239" t="s">
        <v>19</v>
      </c>
      <c r="AF627" s="239" t="s">
        <v>718</v>
      </c>
      <c r="AG627" s="239">
        <f t="shared" si="46"/>
        <v>0</v>
      </c>
      <c r="AH627" s="239">
        <f t="shared" si="47"/>
        <v>4.1150834999999999</v>
      </c>
      <c r="AI627" s="239">
        <f t="shared" si="48"/>
        <v>8.0213859000000003</v>
      </c>
      <c r="AJ627" s="239">
        <f t="shared" si="49"/>
        <v>12.136469399999999</v>
      </c>
    </row>
    <row r="628" spans="1:36" x14ac:dyDescent="0.2">
      <c r="A628" s="240" t="str">
        <f t="shared" si="45"/>
        <v>32SNMLBMNNGKBF50</v>
      </c>
      <c r="B628" s="239" t="s">
        <v>19</v>
      </c>
      <c r="C628" s="239" t="s">
        <v>20</v>
      </c>
      <c r="D628" s="239" t="s">
        <v>205</v>
      </c>
      <c r="E628" s="239" t="s">
        <v>724</v>
      </c>
      <c r="F628" s="239" t="s">
        <v>218</v>
      </c>
      <c r="G628" s="239">
        <v>50</v>
      </c>
      <c r="H628" s="239" t="s">
        <v>928</v>
      </c>
      <c r="I628" s="239" t="s">
        <v>2599</v>
      </c>
      <c r="J628" s="239" t="s">
        <v>928</v>
      </c>
      <c r="K628" s="239" t="s">
        <v>2398</v>
      </c>
      <c r="L628" s="239">
        <v>12.136469999999999</v>
      </c>
      <c r="M628" s="239">
        <v>100</v>
      </c>
      <c r="N628" s="239">
        <v>0</v>
      </c>
      <c r="O628" s="239">
        <v>0</v>
      </c>
      <c r="P628" s="239">
        <v>0</v>
      </c>
      <c r="Q628" s="239">
        <v>0</v>
      </c>
      <c r="R628" s="239">
        <v>0</v>
      </c>
      <c r="S628" s="239">
        <v>0</v>
      </c>
      <c r="T628" s="239">
        <v>0.49187999999999998</v>
      </c>
      <c r="U628" s="239">
        <v>0</v>
      </c>
      <c r="V628" s="239">
        <v>1.1119399999999999</v>
      </c>
      <c r="W628" s="239">
        <v>2.51126</v>
      </c>
      <c r="X628" s="239">
        <v>0</v>
      </c>
      <c r="Y628" s="239">
        <v>0</v>
      </c>
      <c r="Z628" s="239">
        <v>5.68316</v>
      </c>
      <c r="AA628" s="239">
        <v>2.3382299999999998</v>
      </c>
      <c r="AB628" s="239">
        <v>0</v>
      </c>
      <c r="AC628" s="239">
        <v>0</v>
      </c>
      <c r="AD628" s="239">
        <v>1</v>
      </c>
      <c r="AE628" s="239" t="s">
        <v>19</v>
      </c>
      <c r="AF628" s="239" t="s">
        <v>718</v>
      </c>
      <c r="AG628" s="239">
        <f t="shared" si="46"/>
        <v>0</v>
      </c>
      <c r="AH628" s="239">
        <f t="shared" si="47"/>
        <v>0</v>
      </c>
      <c r="AI628" s="239">
        <f t="shared" si="48"/>
        <v>0</v>
      </c>
      <c r="AJ628" s="239">
        <f t="shared" si="49"/>
        <v>0</v>
      </c>
    </row>
    <row r="629" spans="1:36" x14ac:dyDescent="0.2">
      <c r="A629" s="240" t="str">
        <f t="shared" si="45"/>
        <v>3SNMLBMNQR66F25</v>
      </c>
      <c r="B629" s="239" t="s">
        <v>19</v>
      </c>
      <c r="C629" s="239" t="s">
        <v>20</v>
      </c>
      <c r="D629" s="239" t="s">
        <v>205</v>
      </c>
      <c r="E629" s="239" t="s">
        <v>724</v>
      </c>
      <c r="F629" s="239" t="s">
        <v>221</v>
      </c>
      <c r="G629" s="239">
        <v>25</v>
      </c>
      <c r="H629" s="239" t="s">
        <v>928</v>
      </c>
      <c r="I629" s="239" t="s">
        <v>2471</v>
      </c>
      <c r="J629" s="239" t="s">
        <v>928</v>
      </c>
      <c r="K629" s="239" t="s">
        <v>2398</v>
      </c>
      <c r="L629" s="239">
        <v>14.95675</v>
      </c>
      <c r="M629" s="239">
        <v>98</v>
      </c>
      <c r="N629" s="239">
        <v>0</v>
      </c>
      <c r="O629" s="239">
        <v>0</v>
      </c>
      <c r="P629" s="239">
        <v>2.4493100000000001</v>
      </c>
      <c r="Q629" s="239">
        <v>0</v>
      </c>
      <c r="R629" s="239">
        <v>0</v>
      </c>
      <c r="S629" s="239">
        <v>0</v>
      </c>
      <c r="T629" s="239">
        <v>0</v>
      </c>
      <c r="U629" s="239">
        <v>0.98119000000000001</v>
      </c>
      <c r="V629" s="239">
        <v>0.30248000000000003</v>
      </c>
      <c r="W629" s="239">
        <v>0.27101999999999998</v>
      </c>
      <c r="X629" s="239">
        <v>0</v>
      </c>
      <c r="Y629" s="239">
        <v>0</v>
      </c>
      <c r="Z629" s="239">
        <v>5.2219899999999999</v>
      </c>
      <c r="AA629" s="239">
        <v>0.68654000000000004</v>
      </c>
      <c r="AB629" s="239">
        <v>5.0442200000000001</v>
      </c>
      <c r="AC629" s="239">
        <v>0</v>
      </c>
      <c r="AD629" s="239">
        <v>1</v>
      </c>
      <c r="AE629" s="239" t="s">
        <v>19</v>
      </c>
      <c r="AF629" s="239" t="s">
        <v>718</v>
      </c>
      <c r="AG629" s="239">
        <f t="shared" si="46"/>
        <v>0</v>
      </c>
      <c r="AH629" s="239">
        <f t="shared" si="47"/>
        <v>2.4003238000000002</v>
      </c>
      <c r="AI629" s="239">
        <f t="shared" si="48"/>
        <v>4.9433356000000002</v>
      </c>
      <c r="AJ629" s="239">
        <f t="shared" si="49"/>
        <v>7.3436593999999999</v>
      </c>
    </row>
    <row r="630" spans="1:36" x14ac:dyDescent="0.2">
      <c r="A630" s="240" t="str">
        <f t="shared" si="45"/>
        <v>32SNMLBMNQR66F25</v>
      </c>
      <c r="B630" s="239" t="s">
        <v>19</v>
      </c>
      <c r="C630" s="239" t="s">
        <v>20</v>
      </c>
      <c r="D630" s="239" t="s">
        <v>205</v>
      </c>
      <c r="E630" s="239" t="s">
        <v>724</v>
      </c>
      <c r="F630" s="239" t="s">
        <v>221</v>
      </c>
      <c r="G630" s="239">
        <v>25</v>
      </c>
      <c r="H630" s="239" t="s">
        <v>928</v>
      </c>
      <c r="I630" s="239" t="s">
        <v>2599</v>
      </c>
      <c r="J630" s="239" t="s">
        <v>928</v>
      </c>
      <c r="K630" s="239" t="s">
        <v>2398</v>
      </c>
      <c r="L630" s="239">
        <v>7.3436599999999999</v>
      </c>
      <c r="M630" s="239">
        <v>100</v>
      </c>
      <c r="N630" s="239">
        <v>0</v>
      </c>
      <c r="O630" s="239">
        <v>0</v>
      </c>
      <c r="P630" s="239">
        <v>0</v>
      </c>
      <c r="Q630" s="239">
        <v>0</v>
      </c>
      <c r="R630" s="239">
        <v>0</v>
      </c>
      <c r="S630" s="239">
        <v>0</v>
      </c>
      <c r="T630" s="239">
        <v>0.32729000000000003</v>
      </c>
      <c r="U630" s="239">
        <v>0</v>
      </c>
      <c r="V630" s="239">
        <v>0.50597000000000003</v>
      </c>
      <c r="W630" s="239">
        <v>1.5670599999999999</v>
      </c>
      <c r="X630" s="239">
        <v>0</v>
      </c>
      <c r="Y630" s="239">
        <v>0</v>
      </c>
      <c r="Z630" s="239">
        <v>3.5026099999999998</v>
      </c>
      <c r="AA630" s="239">
        <v>1.4407300000000001</v>
      </c>
      <c r="AB630" s="239">
        <v>0</v>
      </c>
      <c r="AC630" s="239">
        <v>0</v>
      </c>
      <c r="AD630" s="239">
        <v>1</v>
      </c>
      <c r="AE630" s="239" t="s">
        <v>19</v>
      </c>
      <c r="AF630" s="239" t="s">
        <v>718</v>
      </c>
      <c r="AG630" s="239">
        <f t="shared" si="46"/>
        <v>0</v>
      </c>
      <c r="AH630" s="239">
        <f t="shared" si="47"/>
        <v>0</v>
      </c>
      <c r="AI630" s="239">
        <f t="shared" si="48"/>
        <v>0</v>
      </c>
      <c r="AJ630" s="239">
        <f t="shared" si="49"/>
        <v>0</v>
      </c>
    </row>
    <row r="631" spans="1:36" x14ac:dyDescent="0.2">
      <c r="A631" s="240" t="str">
        <f t="shared" si="45"/>
        <v>3SNMLBMSF25</v>
      </c>
      <c r="B631" s="239" t="s">
        <v>19</v>
      </c>
      <c r="C631" s="239" t="s">
        <v>20</v>
      </c>
      <c r="D631" s="239" t="s">
        <v>205</v>
      </c>
      <c r="E631" s="239" t="s">
        <v>724</v>
      </c>
      <c r="F631" s="239" t="s">
        <v>230</v>
      </c>
      <c r="G631" s="239">
        <v>25</v>
      </c>
      <c r="H631" s="239" t="s">
        <v>928</v>
      </c>
      <c r="I631" s="239" t="s">
        <v>2471</v>
      </c>
      <c r="J631" s="239" t="s">
        <v>928</v>
      </c>
      <c r="K631" s="239" t="s">
        <v>2398</v>
      </c>
      <c r="L631" s="239">
        <v>28.98798</v>
      </c>
      <c r="M631" s="239">
        <v>97</v>
      </c>
      <c r="N631" s="239">
        <v>0</v>
      </c>
      <c r="O631" s="239">
        <v>0</v>
      </c>
      <c r="P631" s="239">
        <v>4.2086899999999998</v>
      </c>
      <c r="Q631" s="239">
        <v>0</v>
      </c>
      <c r="R631" s="239">
        <v>0</v>
      </c>
      <c r="S631" s="239">
        <v>0</v>
      </c>
      <c r="T631" s="239">
        <v>0</v>
      </c>
      <c r="U631" s="239">
        <v>3.0315799999999999</v>
      </c>
      <c r="V631" s="239">
        <v>0.30248000000000003</v>
      </c>
      <c r="W631" s="239">
        <v>0.57804</v>
      </c>
      <c r="X631" s="239">
        <v>0</v>
      </c>
      <c r="Y631" s="239">
        <v>0</v>
      </c>
      <c r="Z631" s="239">
        <v>11.10614</v>
      </c>
      <c r="AA631" s="239">
        <v>1.4694499999999999</v>
      </c>
      <c r="AB631" s="239">
        <v>8.2916000000000007</v>
      </c>
      <c r="AC631" s="239">
        <v>0</v>
      </c>
      <c r="AD631" s="239">
        <v>1</v>
      </c>
      <c r="AE631" s="239" t="s">
        <v>19</v>
      </c>
      <c r="AF631" s="239" t="s">
        <v>718</v>
      </c>
      <c r="AG631" s="239">
        <f t="shared" si="46"/>
        <v>0</v>
      </c>
      <c r="AH631" s="239">
        <f t="shared" si="47"/>
        <v>4.0824293000000003</v>
      </c>
      <c r="AI631" s="239">
        <f t="shared" si="48"/>
        <v>8.0428519999999999</v>
      </c>
      <c r="AJ631" s="239">
        <f t="shared" si="49"/>
        <v>12.125281300000001</v>
      </c>
    </row>
    <row r="632" spans="1:36" x14ac:dyDescent="0.2">
      <c r="A632" s="240" t="str">
        <f t="shared" si="45"/>
        <v>32SNMLBMSF25</v>
      </c>
      <c r="B632" s="239" t="s">
        <v>19</v>
      </c>
      <c r="C632" s="239" t="s">
        <v>20</v>
      </c>
      <c r="D632" s="239" t="s">
        <v>205</v>
      </c>
      <c r="E632" s="239" t="s">
        <v>724</v>
      </c>
      <c r="F632" s="239" t="s">
        <v>230</v>
      </c>
      <c r="G632" s="239">
        <v>25</v>
      </c>
      <c r="H632" s="239" t="s">
        <v>928</v>
      </c>
      <c r="I632" s="239" t="s">
        <v>2599</v>
      </c>
      <c r="J632" s="239" t="s">
        <v>928</v>
      </c>
      <c r="K632" s="239" t="s">
        <v>2398</v>
      </c>
      <c r="L632" s="239">
        <v>12.12528</v>
      </c>
      <c r="M632" s="239">
        <v>100</v>
      </c>
      <c r="N632" s="239">
        <v>0</v>
      </c>
      <c r="O632" s="239">
        <v>0</v>
      </c>
      <c r="P632" s="239">
        <v>0</v>
      </c>
      <c r="Q632" s="239">
        <v>0</v>
      </c>
      <c r="R632" s="239">
        <v>0</v>
      </c>
      <c r="S632" s="239">
        <v>0</v>
      </c>
      <c r="T632" s="239">
        <v>0.47877999999999998</v>
      </c>
      <c r="U632" s="239">
        <v>0</v>
      </c>
      <c r="V632" s="239">
        <v>1.0819399999999999</v>
      </c>
      <c r="W632" s="239">
        <v>2.5217100000000001</v>
      </c>
      <c r="X632" s="239">
        <v>0</v>
      </c>
      <c r="Y632" s="239">
        <v>0</v>
      </c>
      <c r="Z632" s="239">
        <v>5.6981799999999998</v>
      </c>
      <c r="AA632" s="239">
        <v>2.3446699999999998</v>
      </c>
      <c r="AB632" s="239">
        <v>0</v>
      </c>
      <c r="AC632" s="239">
        <v>0</v>
      </c>
      <c r="AD632" s="239">
        <v>1</v>
      </c>
      <c r="AE632" s="239" t="s">
        <v>19</v>
      </c>
      <c r="AF632" s="239" t="s">
        <v>718</v>
      </c>
      <c r="AG632" s="239">
        <f t="shared" si="46"/>
        <v>0</v>
      </c>
      <c r="AH632" s="239">
        <f t="shared" si="47"/>
        <v>0</v>
      </c>
      <c r="AI632" s="239">
        <f t="shared" si="48"/>
        <v>0</v>
      </c>
      <c r="AJ632" s="239">
        <f t="shared" si="49"/>
        <v>0</v>
      </c>
    </row>
    <row r="633" spans="1:36" x14ac:dyDescent="0.2">
      <c r="A633" s="240" t="str">
        <f t="shared" si="45"/>
        <v>3HSNMLBMSF25</v>
      </c>
      <c r="B633" s="239" t="s">
        <v>19</v>
      </c>
      <c r="C633" s="239" t="s">
        <v>20</v>
      </c>
      <c r="D633" s="239" t="s">
        <v>205</v>
      </c>
      <c r="E633" s="239" t="s">
        <v>724</v>
      </c>
      <c r="F633" s="239" t="s">
        <v>230</v>
      </c>
      <c r="G633" s="239">
        <v>25</v>
      </c>
      <c r="H633" s="239" t="s">
        <v>928</v>
      </c>
      <c r="I633" s="239" t="s">
        <v>96</v>
      </c>
      <c r="J633" s="239" t="s">
        <v>928</v>
      </c>
      <c r="K633" s="239" t="s">
        <v>2398</v>
      </c>
      <c r="L633" s="239">
        <v>37.397269999999999</v>
      </c>
      <c r="M633" s="239">
        <v>81</v>
      </c>
      <c r="N633" s="239">
        <v>0</v>
      </c>
      <c r="O633" s="239">
        <v>0</v>
      </c>
      <c r="P633" s="239">
        <v>5.0400400000000003</v>
      </c>
      <c r="Q633" s="239">
        <v>0</v>
      </c>
      <c r="R633" s="239">
        <v>0</v>
      </c>
      <c r="S633" s="239">
        <v>0</v>
      </c>
      <c r="T633" s="239">
        <v>0</v>
      </c>
      <c r="U633" s="239">
        <v>5.6330799999999996</v>
      </c>
      <c r="V633" s="239">
        <v>0.30248000000000003</v>
      </c>
      <c r="W633" s="239">
        <v>0.73004999999999998</v>
      </c>
      <c r="X633" s="239">
        <v>0</v>
      </c>
      <c r="Y633" s="239">
        <v>0</v>
      </c>
      <c r="Z633" s="239">
        <v>13.86515</v>
      </c>
      <c r="AA633" s="239">
        <v>1.89703</v>
      </c>
      <c r="AB633" s="239">
        <v>9.9294399999999996</v>
      </c>
      <c r="AC633" s="239">
        <v>0</v>
      </c>
      <c r="AD633" s="239">
        <v>1</v>
      </c>
      <c r="AE633" s="239" t="s">
        <v>19</v>
      </c>
      <c r="AF633" s="239" t="s">
        <v>718</v>
      </c>
      <c r="AG633" s="239">
        <f t="shared" si="46"/>
        <v>0</v>
      </c>
      <c r="AH633" s="239">
        <f t="shared" si="47"/>
        <v>4.0824324000000001</v>
      </c>
      <c r="AI633" s="239">
        <f t="shared" si="48"/>
        <v>8.0428464000000002</v>
      </c>
      <c r="AJ633" s="239">
        <f t="shared" si="49"/>
        <v>12.1252788</v>
      </c>
    </row>
    <row r="634" spans="1:36" x14ac:dyDescent="0.2">
      <c r="A634" s="240" t="str">
        <f t="shared" si="45"/>
        <v>3SNMLBMSF38</v>
      </c>
      <c r="B634" s="239" t="s">
        <v>19</v>
      </c>
      <c r="C634" s="239" t="s">
        <v>20</v>
      </c>
      <c r="D634" s="239" t="s">
        <v>205</v>
      </c>
      <c r="E634" s="239" t="s">
        <v>724</v>
      </c>
      <c r="F634" s="239" t="s">
        <v>230</v>
      </c>
      <c r="G634" s="239">
        <v>38</v>
      </c>
      <c r="H634" s="239" t="s">
        <v>928</v>
      </c>
      <c r="I634" s="239" t="s">
        <v>2471</v>
      </c>
      <c r="J634" s="239" t="s">
        <v>928</v>
      </c>
      <c r="K634" s="239" t="s">
        <v>2398</v>
      </c>
      <c r="L634" s="239">
        <v>35.066510000000001</v>
      </c>
      <c r="M634" s="239">
        <v>80</v>
      </c>
      <c r="N634" s="239">
        <v>0</v>
      </c>
      <c r="O634" s="239">
        <v>0</v>
      </c>
      <c r="P634" s="239">
        <v>5.2329400000000001</v>
      </c>
      <c r="Q634" s="239">
        <v>0</v>
      </c>
      <c r="R634" s="239">
        <v>0</v>
      </c>
      <c r="S634" s="239">
        <v>0</v>
      </c>
      <c r="T634" s="239">
        <v>0</v>
      </c>
      <c r="U634" s="239">
        <v>2.49648</v>
      </c>
      <c r="V634" s="239">
        <v>0.30248000000000003</v>
      </c>
      <c r="W634" s="239">
        <v>0.73404999999999998</v>
      </c>
      <c r="X634" s="239">
        <v>0</v>
      </c>
      <c r="Y634" s="239">
        <v>0</v>
      </c>
      <c r="Z634" s="239">
        <v>14.13537</v>
      </c>
      <c r="AA634" s="239">
        <v>1.8621000000000001</v>
      </c>
      <c r="AB634" s="239">
        <v>10.303089999999999</v>
      </c>
      <c r="AC634" s="239">
        <v>0</v>
      </c>
      <c r="AD634" s="239">
        <v>1</v>
      </c>
      <c r="AE634" s="239" t="s">
        <v>19</v>
      </c>
      <c r="AF634" s="239" t="s">
        <v>718</v>
      </c>
      <c r="AG634" s="239">
        <f t="shared" si="46"/>
        <v>0</v>
      </c>
      <c r="AH634" s="239">
        <f t="shared" si="47"/>
        <v>4.1863520000000003</v>
      </c>
      <c r="AI634" s="239">
        <f t="shared" si="48"/>
        <v>8.2424719999999994</v>
      </c>
      <c r="AJ634" s="239">
        <f t="shared" si="49"/>
        <v>12.428823999999999</v>
      </c>
    </row>
    <row r="635" spans="1:36" x14ac:dyDescent="0.2">
      <c r="A635" s="240" t="str">
        <f t="shared" si="45"/>
        <v>32SNMLBMSF38</v>
      </c>
      <c r="B635" s="239" t="s">
        <v>19</v>
      </c>
      <c r="C635" s="239" t="s">
        <v>20</v>
      </c>
      <c r="D635" s="239" t="s">
        <v>205</v>
      </c>
      <c r="E635" s="239" t="s">
        <v>724</v>
      </c>
      <c r="F635" s="239" t="s">
        <v>230</v>
      </c>
      <c r="G635" s="239">
        <v>38</v>
      </c>
      <c r="H635" s="239" t="s">
        <v>928</v>
      </c>
      <c r="I635" s="239" t="s">
        <v>2599</v>
      </c>
      <c r="J635" s="239" t="s">
        <v>928</v>
      </c>
      <c r="K635" s="239" t="s">
        <v>2398</v>
      </c>
      <c r="L635" s="239">
        <v>12.42882</v>
      </c>
      <c r="M635" s="239">
        <v>100</v>
      </c>
      <c r="N635" s="239">
        <v>0</v>
      </c>
      <c r="O635" s="239">
        <v>0</v>
      </c>
      <c r="P635" s="239">
        <v>0</v>
      </c>
      <c r="Q635" s="239">
        <v>0</v>
      </c>
      <c r="R635" s="239">
        <v>0</v>
      </c>
      <c r="S635" s="239">
        <v>0</v>
      </c>
      <c r="T635" s="239">
        <v>0.49187999999999998</v>
      </c>
      <c r="U635" s="239">
        <v>0</v>
      </c>
      <c r="V635" s="239">
        <v>1.1119399999999999</v>
      </c>
      <c r="W635" s="239">
        <v>2.5825300000000002</v>
      </c>
      <c r="X635" s="239">
        <v>0</v>
      </c>
      <c r="Y635" s="239">
        <v>0</v>
      </c>
      <c r="Z635" s="239">
        <v>5.8398300000000001</v>
      </c>
      <c r="AA635" s="239">
        <v>2.4026399999999999</v>
      </c>
      <c r="AB635" s="239">
        <v>0</v>
      </c>
      <c r="AC635" s="239">
        <v>0</v>
      </c>
      <c r="AD635" s="239">
        <v>1</v>
      </c>
      <c r="AE635" s="239" t="s">
        <v>19</v>
      </c>
      <c r="AF635" s="239" t="s">
        <v>718</v>
      </c>
      <c r="AG635" s="239">
        <f t="shared" si="46"/>
        <v>0</v>
      </c>
      <c r="AH635" s="239">
        <f t="shared" si="47"/>
        <v>0</v>
      </c>
      <c r="AI635" s="239">
        <f t="shared" si="48"/>
        <v>0</v>
      </c>
      <c r="AJ635" s="239">
        <f t="shared" si="49"/>
        <v>0</v>
      </c>
    </row>
    <row r="636" spans="1:36" x14ac:dyDescent="0.2">
      <c r="A636" s="240" t="str">
        <f t="shared" si="45"/>
        <v>3SNMLBMTSF50</v>
      </c>
      <c r="B636" s="239" t="s">
        <v>19</v>
      </c>
      <c r="C636" s="239" t="s">
        <v>20</v>
      </c>
      <c r="D636" s="239" t="s">
        <v>205</v>
      </c>
      <c r="E636" s="239" t="s">
        <v>724</v>
      </c>
      <c r="F636" s="239" t="s">
        <v>242</v>
      </c>
      <c r="G636" s="239">
        <v>50</v>
      </c>
      <c r="H636" s="239" t="s">
        <v>928</v>
      </c>
      <c r="I636" s="239" t="s">
        <v>2471</v>
      </c>
      <c r="J636" s="239" t="s">
        <v>928</v>
      </c>
      <c r="K636" s="239" t="s">
        <v>2398</v>
      </c>
      <c r="L636" s="239">
        <v>33.78546</v>
      </c>
      <c r="M636" s="239">
        <v>95</v>
      </c>
      <c r="N636" s="239">
        <v>0</v>
      </c>
      <c r="O636" s="239">
        <v>0</v>
      </c>
      <c r="P636" s="239">
        <v>7.13124</v>
      </c>
      <c r="Q636" s="239">
        <v>0</v>
      </c>
      <c r="R636" s="239">
        <v>0</v>
      </c>
      <c r="S636" s="239">
        <v>0</v>
      </c>
      <c r="T636" s="239">
        <v>0</v>
      </c>
      <c r="U636" s="239">
        <v>1.70933</v>
      </c>
      <c r="V636" s="239">
        <v>0.30248000000000003</v>
      </c>
      <c r="W636" s="239">
        <v>0.50202999999999998</v>
      </c>
      <c r="X636" s="239">
        <v>0</v>
      </c>
      <c r="Y636" s="239">
        <v>0</v>
      </c>
      <c r="Z636" s="239">
        <v>9.6982800000000005</v>
      </c>
      <c r="AA636" s="239">
        <v>1.2695000000000001</v>
      </c>
      <c r="AB636" s="239">
        <v>13.172599999999999</v>
      </c>
      <c r="AC636" s="239">
        <v>0</v>
      </c>
      <c r="AD636" s="239">
        <v>1</v>
      </c>
      <c r="AE636" s="239" t="s">
        <v>19</v>
      </c>
      <c r="AF636" s="239" t="s">
        <v>718</v>
      </c>
      <c r="AG636" s="239">
        <f t="shared" si="46"/>
        <v>0</v>
      </c>
      <c r="AH636" s="239">
        <f t="shared" si="47"/>
        <v>6.7746779999999998</v>
      </c>
      <c r="AI636" s="239">
        <f t="shared" si="48"/>
        <v>12.513969999999999</v>
      </c>
      <c r="AJ636" s="239">
        <f t="shared" si="49"/>
        <v>19.288647999999998</v>
      </c>
    </row>
    <row r="637" spans="1:36" x14ac:dyDescent="0.2">
      <c r="A637" s="240" t="str">
        <f t="shared" si="45"/>
        <v>32SNMLBMTSF50</v>
      </c>
      <c r="B637" s="239" t="s">
        <v>19</v>
      </c>
      <c r="C637" s="239" t="s">
        <v>20</v>
      </c>
      <c r="D637" s="239" t="s">
        <v>205</v>
      </c>
      <c r="E637" s="239" t="s">
        <v>724</v>
      </c>
      <c r="F637" s="239" t="s">
        <v>242</v>
      </c>
      <c r="G637" s="239">
        <v>50</v>
      </c>
      <c r="H637" s="239" t="s">
        <v>928</v>
      </c>
      <c r="I637" s="239" t="s">
        <v>2599</v>
      </c>
      <c r="J637" s="239" t="s">
        <v>928</v>
      </c>
      <c r="K637" s="239" t="s">
        <v>2398</v>
      </c>
      <c r="L637" s="239">
        <v>19.288650000000001</v>
      </c>
      <c r="M637" s="239">
        <v>100</v>
      </c>
      <c r="N637" s="239">
        <v>0</v>
      </c>
      <c r="O637" s="239">
        <v>0</v>
      </c>
      <c r="P637" s="239">
        <v>0</v>
      </c>
      <c r="Q637" s="239">
        <v>0</v>
      </c>
      <c r="R637" s="239">
        <v>0</v>
      </c>
      <c r="S637" s="239">
        <v>0</v>
      </c>
      <c r="T637" s="239">
        <v>0.75931999999999999</v>
      </c>
      <c r="U637" s="239">
        <v>0</v>
      </c>
      <c r="V637" s="239">
        <v>2.14588</v>
      </c>
      <c r="W637" s="239">
        <v>3.8694799999999998</v>
      </c>
      <c r="X637" s="239">
        <v>0</v>
      </c>
      <c r="Y637" s="239">
        <v>0</v>
      </c>
      <c r="Z637" s="239">
        <v>8.86599</v>
      </c>
      <c r="AA637" s="239">
        <v>3.64798</v>
      </c>
      <c r="AB637" s="239">
        <v>0</v>
      </c>
      <c r="AC637" s="239">
        <v>0</v>
      </c>
      <c r="AD637" s="239">
        <v>1</v>
      </c>
      <c r="AE637" s="239" t="s">
        <v>19</v>
      </c>
      <c r="AF637" s="239" t="s">
        <v>718</v>
      </c>
      <c r="AG637" s="239">
        <f t="shared" si="46"/>
        <v>0</v>
      </c>
      <c r="AH637" s="239">
        <f t="shared" si="47"/>
        <v>0</v>
      </c>
      <c r="AI637" s="239">
        <f t="shared" si="48"/>
        <v>0</v>
      </c>
      <c r="AJ637" s="239">
        <f t="shared" si="49"/>
        <v>0</v>
      </c>
    </row>
    <row r="638" spans="1:36" x14ac:dyDescent="0.2">
      <c r="A638" s="240" t="str">
        <f t="shared" si="45"/>
        <v>3SNMLBMTSF75</v>
      </c>
      <c r="B638" s="239" t="s">
        <v>19</v>
      </c>
      <c r="C638" s="239" t="s">
        <v>20</v>
      </c>
      <c r="D638" s="239" t="s">
        <v>205</v>
      </c>
      <c r="E638" s="239" t="s">
        <v>724</v>
      </c>
      <c r="F638" s="239" t="s">
        <v>242</v>
      </c>
      <c r="G638" s="239">
        <v>75</v>
      </c>
      <c r="H638" s="239" t="s">
        <v>928</v>
      </c>
      <c r="I638" s="239" t="s">
        <v>2471</v>
      </c>
      <c r="J638" s="239" t="s">
        <v>928</v>
      </c>
      <c r="K638" s="239" t="s">
        <v>2398</v>
      </c>
      <c r="L638" s="239">
        <v>95.988489999999999</v>
      </c>
      <c r="M638" s="239">
        <v>86</v>
      </c>
      <c r="N638" s="239">
        <v>0</v>
      </c>
      <c r="O638" s="239">
        <v>0</v>
      </c>
      <c r="P638" s="239">
        <v>19.609629999999999</v>
      </c>
      <c r="Q638" s="239">
        <v>0</v>
      </c>
      <c r="R638" s="239">
        <v>0</v>
      </c>
      <c r="S638" s="239">
        <v>0</v>
      </c>
      <c r="T638" s="239">
        <v>0</v>
      </c>
      <c r="U638" s="239">
        <v>6.2872000000000003</v>
      </c>
      <c r="V638" s="239">
        <v>0.30248000000000003</v>
      </c>
      <c r="W638" s="239">
        <v>1.5321</v>
      </c>
      <c r="X638" s="239">
        <v>0</v>
      </c>
      <c r="Y638" s="239">
        <v>0</v>
      </c>
      <c r="Z638" s="239">
        <v>29.37435</v>
      </c>
      <c r="AA638" s="239">
        <v>3.9325700000000001</v>
      </c>
      <c r="AB638" s="239">
        <v>34.950159999999997</v>
      </c>
      <c r="AC638" s="239">
        <v>0</v>
      </c>
      <c r="AD638" s="239">
        <v>1</v>
      </c>
      <c r="AE638" s="239" t="s">
        <v>19</v>
      </c>
      <c r="AF638" s="239" t="s">
        <v>718</v>
      </c>
      <c r="AG638" s="239">
        <f t="shared" si="46"/>
        <v>0</v>
      </c>
      <c r="AH638" s="239">
        <f t="shared" si="47"/>
        <v>16.864281800000001</v>
      </c>
      <c r="AI638" s="239">
        <f t="shared" si="48"/>
        <v>30.057137599999997</v>
      </c>
      <c r="AJ638" s="239">
        <f t="shared" si="49"/>
        <v>46.921419399999998</v>
      </c>
    </row>
    <row r="639" spans="1:36" x14ac:dyDescent="0.2">
      <c r="A639" s="240" t="str">
        <f t="shared" si="45"/>
        <v>32SNMLBMTSF75</v>
      </c>
      <c r="B639" s="239" t="s">
        <v>19</v>
      </c>
      <c r="C639" s="239" t="s">
        <v>20</v>
      </c>
      <c r="D639" s="239" t="s">
        <v>205</v>
      </c>
      <c r="E639" s="239" t="s">
        <v>724</v>
      </c>
      <c r="F639" s="239" t="s">
        <v>242</v>
      </c>
      <c r="G639" s="239">
        <v>75</v>
      </c>
      <c r="H639" s="239" t="s">
        <v>928</v>
      </c>
      <c r="I639" s="239" t="s">
        <v>2599</v>
      </c>
      <c r="J639" s="239" t="s">
        <v>928</v>
      </c>
      <c r="K639" s="239" t="s">
        <v>2398</v>
      </c>
      <c r="L639" s="239">
        <v>46.921419999999998</v>
      </c>
      <c r="M639" s="239">
        <v>100</v>
      </c>
      <c r="N639" s="239">
        <v>0</v>
      </c>
      <c r="O639" s="239">
        <v>0</v>
      </c>
      <c r="P639" s="239">
        <v>0</v>
      </c>
      <c r="Q639" s="239">
        <v>0</v>
      </c>
      <c r="R639" s="239">
        <v>0</v>
      </c>
      <c r="S639" s="239">
        <v>0</v>
      </c>
      <c r="T639" s="239">
        <v>1.6084099999999999</v>
      </c>
      <c r="U639" s="239">
        <v>0</v>
      </c>
      <c r="V639" s="239">
        <v>6.06365</v>
      </c>
      <c r="W639" s="239">
        <v>9.1922200000000007</v>
      </c>
      <c r="X639" s="239">
        <v>0</v>
      </c>
      <c r="Y639" s="239">
        <v>0</v>
      </c>
      <c r="Z639" s="239">
        <v>21.29683</v>
      </c>
      <c r="AA639" s="239">
        <v>8.7603100000000005</v>
      </c>
      <c r="AB639" s="239">
        <v>0</v>
      </c>
      <c r="AC639" s="239">
        <v>0</v>
      </c>
      <c r="AD639" s="239">
        <v>1</v>
      </c>
      <c r="AE639" s="239" t="s">
        <v>19</v>
      </c>
      <c r="AF639" s="239" t="s">
        <v>718</v>
      </c>
      <c r="AG639" s="239">
        <f t="shared" si="46"/>
        <v>0</v>
      </c>
      <c r="AH639" s="239">
        <f t="shared" si="47"/>
        <v>0</v>
      </c>
      <c r="AI639" s="239">
        <f t="shared" si="48"/>
        <v>0</v>
      </c>
      <c r="AJ639" s="239">
        <f t="shared" si="49"/>
        <v>0</v>
      </c>
    </row>
    <row r="640" spans="1:36" x14ac:dyDescent="0.2">
      <c r="A640" s="240" t="str">
        <f>TRIM(I640&amp;B640&amp;C640&amp;D640&amp;F640&amp;G640)</f>
        <v>7CSNMOPMS3315</v>
      </c>
      <c r="B640" s="239" t="s">
        <v>19</v>
      </c>
      <c r="C640" s="239" t="s">
        <v>20</v>
      </c>
      <c r="D640" s="239" t="s">
        <v>2607</v>
      </c>
      <c r="E640" s="239" t="s">
        <v>2608</v>
      </c>
      <c r="F640" s="239" t="s">
        <v>2609</v>
      </c>
      <c r="G640" s="239">
        <v>15</v>
      </c>
      <c r="H640" s="239" t="s">
        <v>928</v>
      </c>
      <c r="I640" s="239" t="s">
        <v>2610</v>
      </c>
      <c r="J640" s="239" t="s">
        <v>928</v>
      </c>
      <c r="K640" s="239" t="s">
        <v>2398</v>
      </c>
      <c r="L640" s="239">
        <v>7795</v>
      </c>
      <c r="M640" s="239">
        <v>100</v>
      </c>
      <c r="N640" s="239">
        <v>0</v>
      </c>
      <c r="O640" s="239">
        <v>7795</v>
      </c>
      <c r="P640" s="239">
        <v>0</v>
      </c>
      <c r="Q640" s="239">
        <v>0</v>
      </c>
      <c r="R640" s="239">
        <v>0</v>
      </c>
      <c r="S640" s="239">
        <v>0</v>
      </c>
      <c r="T640" s="239">
        <v>0</v>
      </c>
      <c r="U640" s="239">
        <v>0</v>
      </c>
      <c r="V640" s="239">
        <v>0</v>
      </c>
      <c r="W640" s="239">
        <v>0</v>
      </c>
      <c r="X640" s="239">
        <v>0</v>
      </c>
      <c r="Y640" s="239">
        <v>0</v>
      </c>
      <c r="Z640" s="239">
        <v>0</v>
      </c>
      <c r="AA640" s="239">
        <v>0</v>
      </c>
      <c r="AB640" s="239">
        <v>0</v>
      </c>
      <c r="AC640" s="239">
        <v>0</v>
      </c>
      <c r="AD640" s="239">
        <v>1</v>
      </c>
      <c r="AE640" s="239" t="s">
        <v>19</v>
      </c>
      <c r="AF640" s="239" t="s">
        <v>718</v>
      </c>
      <c r="AG640" s="239">
        <f t="shared" si="46"/>
        <v>7795</v>
      </c>
      <c r="AH640" s="239">
        <f t="shared" si="47"/>
        <v>0</v>
      </c>
      <c r="AI640" s="239">
        <f t="shared" si="48"/>
        <v>0</v>
      </c>
      <c r="AJ640" s="239">
        <f t="shared" si="49"/>
        <v>7795</v>
      </c>
    </row>
    <row r="641" spans="1:36" x14ac:dyDescent="0.2">
      <c r="A641" s="240" t="str">
        <f t="shared" si="45"/>
        <v>SNMOPMS3315</v>
      </c>
      <c r="B641" s="239" t="s">
        <v>19</v>
      </c>
      <c r="C641" s="239" t="s">
        <v>20</v>
      </c>
      <c r="D641" s="239" t="s">
        <v>2607</v>
      </c>
      <c r="E641" s="239" t="s">
        <v>2608</v>
      </c>
      <c r="F641" s="239" t="s">
        <v>2609</v>
      </c>
      <c r="G641" s="239">
        <v>15</v>
      </c>
      <c r="H641" s="239" t="s">
        <v>928</v>
      </c>
      <c r="I641" s="239" t="s">
        <v>928</v>
      </c>
      <c r="J641" s="239" t="s">
        <v>928</v>
      </c>
      <c r="K641" s="239" t="s">
        <v>2398</v>
      </c>
      <c r="L641" s="239">
        <v>7795.0000899999995</v>
      </c>
      <c r="M641" s="239">
        <v>100</v>
      </c>
      <c r="N641" s="239">
        <v>0</v>
      </c>
      <c r="O641" s="239">
        <v>7795.0000899999995</v>
      </c>
      <c r="P641" s="239">
        <v>0</v>
      </c>
      <c r="Q641" s="239">
        <v>0</v>
      </c>
      <c r="R641" s="239">
        <v>0</v>
      </c>
      <c r="S641" s="239">
        <v>0</v>
      </c>
      <c r="T641" s="239">
        <v>0</v>
      </c>
      <c r="U641" s="239">
        <v>0</v>
      </c>
      <c r="V641" s="239">
        <v>0</v>
      </c>
      <c r="W641" s="239">
        <v>0</v>
      </c>
      <c r="X641" s="239">
        <v>0</v>
      </c>
      <c r="Y641" s="239">
        <v>0</v>
      </c>
      <c r="Z641" s="239">
        <v>0</v>
      </c>
      <c r="AA641" s="239">
        <v>0</v>
      </c>
      <c r="AB641" s="239">
        <v>0</v>
      </c>
      <c r="AC641" s="239">
        <v>0</v>
      </c>
      <c r="AD641" s="239">
        <v>1</v>
      </c>
      <c r="AE641" s="239" t="s">
        <v>20</v>
      </c>
      <c r="AF641" s="239" t="s">
        <v>718</v>
      </c>
      <c r="AG641" s="239">
        <f t="shared" si="46"/>
        <v>7795.0000899999995</v>
      </c>
      <c r="AH641" s="239">
        <f t="shared" si="47"/>
        <v>0</v>
      </c>
      <c r="AI641" s="239">
        <f t="shared" si="48"/>
        <v>0</v>
      </c>
      <c r="AJ641" s="239">
        <f t="shared" si="49"/>
        <v>7795.0000899999995</v>
      </c>
    </row>
    <row r="642" spans="1:36" x14ac:dyDescent="0.2">
      <c r="A642" s="240" t="str">
        <f t="shared" si="45"/>
        <v>8ASNMPET101812</v>
      </c>
      <c r="B642" s="239" t="s">
        <v>19</v>
      </c>
      <c r="C642" s="239" t="s">
        <v>20</v>
      </c>
      <c r="D642" s="239" t="s">
        <v>2611</v>
      </c>
      <c r="E642" s="239" t="s">
        <v>2612</v>
      </c>
      <c r="F642" s="239" t="s">
        <v>2613</v>
      </c>
      <c r="G642" s="239">
        <v>12</v>
      </c>
      <c r="H642" s="239" t="s">
        <v>928</v>
      </c>
      <c r="I642" s="239" t="s">
        <v>2614</v>
      </c>
      <c r="J642" s="239" t="s">
        <v>928</v>
      </c>
      <c r="K642" s="239" t="s">
        <v>2398</v>
      </c>
      <c r="L642" s="239">
        <v>5084.58</v>
      </c>
      <c r="M642" s="239">
        <v>100</v>
      </c>
      <c r="N642" s="239">
        <v>0</v>
      </c>
      <c r="O642" s="239">
        <v>4877.88</v>
      </c>
      <c r="P642" s="239">
        <v>0</v>
      </c>
      <c r="Q642" s="239">
        <v>206.7</v>
      </c>
      <c r="R642" s="239">
        <v>0</v>
      </c>
      <c r="S642" s="239">
        <v>0</v>
      </c>
      <c r="T642" s="239">
        <v>0</v>
      </c>
      <c r="U642" s="239">
        <v>0</v>
      </c>
      <c r="V642" s="239">
        <v>0</v>
      </c>
      <c r="W642" s="239">
        <v>0</v>
      </c>
      <c r="X642" s="239">
        <v>0</v>
      </c>
      <c r="Y642" s="239">
        <v>0</v>
      </c>
      <c r="Z642" s="239">
        <v>0</v>
      </c>
      <c r="AA642" s="239">
        <v>0</v>
      </c>
      <c r="AB642" s="239">
        <v>0</v>
      </c>
      <c r="AC642" s="239">
        <v>0</v>
      </c>
      <c r="AD642" s="239">
        <v>1</v>
      </c>
      <c r="AE642" s="239" t="s">
        <v>20</v>
      </c>
      <c r="AF642" s="239" t="s">
        <v>718</v>
      </c>
      <c r="AG642" s="239">
        <f t="shared" si="46"/>
        <v>4877.88</v>
      </c>
      <c r="AH642" s="239">
        <f t="shared" si="47"/>
        <v>0</v>
      </c>
      <c r="AI642" s="239">
        <f t="shared" si="48"/>
        <v>0</v>
      </c>
      <c r="AJ642" s="239">
        <f t="shared" si="49"/>
        <v>4877.88</v>
      </c>
    </row>
    <row r="643" spans="1:36" x14ac:dyDescent="0.2">
      <c r="A643" s="240" t="str">
        <f t="shared" si="45"/>
        <v>SNMPET101812</v>
      </c>
      <c r="B643" s="239" t="s">
        <v>19</v>
      </c>
      <c r="C643" s="239" t="s">
        <v>20</v>
      </c>
      <c r="D643" s="239" t="s">
        <v>2611</v>
      </c>
      <c r="E643" s="239" t="s">
        <v>2612</v>
      </c>
      <c r="F643" s="239" t="s">
        <v>2613</v>
      </c>
      <c r="G643" s="239">
        <v>12</v>
      </c>
      <c r="H643" s="239" t="s">
        <v>928</v>
      </c>
      <c r="I643" s="239" t="s">
        <v>928</v>
      </c>
      <c r="J643" s="239" t="s">
        <v>928</v>
      </c>
      <c r="K643" s="239" t="s">
        <v>2398</v>
      </c>
      <c r="L643" s="239">
        <v>5084.58</v>
      </c>
      <c r="M643" s="239">
        <v>100</v>
      </c>
      <c r="N643" s="239">
        <v>0</v>
      </c>
      <c r="O643" s="239">
        <v>4877.88</v>
      </c>
      <c r="P643" s="239">
        <v>0</v>
      </c>
      <c r="Q643" s="239">
        <v>206.7</v>
      </c>
      <c r="R643" s="239">
        <v>0</v>
      </c>
      <c r="S643" s="239">
        <v>0</v>
      </c>
      <c r="T643" s="239">
        <v>0</v>
      </c>
      <c r="U643" s="239">
        <v>0</v>
      </c>
      <c r="V643" s="239">
        <v>0</v>
      </c>
      <c r="W643" s="239">
        <v>0</v>
      </c>
      <c r="X643" s="239">
        <v>0</v>
      </c>
      <c r="Y643" s="239">
        <v>0</v>
      </c>
      <c r="Z643" s="239">
        <v>0</v>
      </c>
      <c r="AA643" s="239">
        <v>0</v>
      </c>
      <c r="AB643" s="239">
        <v>0</v>
      </c>
      <c r="AC643" s="239">
        <v>0</v>
      </c>
      <c r="AD643" s="239">
        <v>1</v>
      </c>
      <c r="AE643" s="239" t="s">
        <v>20</v>
      </c>
      <c r="AF643" s="239" t="s">
        <v>718</v>
      </c>
      <c r="AG643" s="239">
        <f t="shared" si="46"/>
        <v>4877.88</v>
      </c>
      <c r="AH643" s="239">
        <f t="shared" si="47"/>
        <v>0</v>
      </c>
      <c r="AI643" s="239">
        <f t="shared" si="48"/>
        <v>0</v>
      </c>
      <c r="AJ643" s="239">
        <f t="shared" si="49"/>
        <v>4877.88</v>
      </c>
    </row>
    <row r="644" spans="1:36" x14ac:dyDescent="0.2">
      <c r="A644" s="240" t="str">
        <f t="shared" si="45"/>
        <v>3A5SNMPET120012</v>
      </c>
      <c r="B644" s="239" t="s">
        <v>19</v>
      </c>
      <c r="C644" s="239" t="s">
        <v>20</v>
      </c>
      <c r="D644" s="239" t="s">
        <v>2611</v>
      </c>
      <c r="E644" s="239" t="s">
        <v>2612</v>
      </c>
      <c r="F644" s="239" t="s">
        <v>2615</v>
      </c>
      <c r="G644" s="239">
        <v>12</v>
      </c>
      <c r="H644" s="239" t="s">
        <v>928</v>
      </c>
      <c r="I644" s="239" t="s">
        <v>2456</v>
      </c>
      <c r="J644" s="239" t="s">
        <v>928</v>
      </c>
      <c r="K644" s="239" t="s">
        <v>2398</v>
      </c>
      <c r="L644" s="239">
        <v>8852.9820299999992</v>
      </c>
      <c r="M644" s="239">
        <v>84.95</v>
      </c>
      <c r="N644" s="239">
        <v>0</v>
      </c>
      <c r="O644" s="239">
        <v>6886.4037699999999</v>
      </c>
      <c r="P644" s="239">
        <v>0</v>
      </c>
      <c r="Q644" s="239">
        <v>0</v>
      </c>
      <c r="R644" s="239">
        <v>0</v>
      </c>
      <c r="S644" s="239">
        <v>0</v>
      </c>
      <c r="T644" s="239">
        <v>91.002390000000005</v>
      </c>
      <c r="U644" s="239">
        <v>243.54145</v>
      </c>
      <c r="V644" s="239">
        <v>224.99574999999999</v>
      </c>
      <c r="W644" s="239">
        <v>194.07961</v>
      </c>
      <c r="X644" s="239">
        <v>0</v>
      </c>
      <c r="Y644" s="239">
        <v>0</v>
      </c>
      <c r="Z644" s="239">
        <v>936.02949000000001</v>
      </c>
      <c r="AA644" s="239">
        <v>276.92957000000001</v>
      </c>
      <c r="AB644" s="239">
        <v>0</v>
      </c>
      <c r="AC644" s="239">
        <v>0</v>
      </c>
      <c r="AD644" s="239">
        <v>1</v>
      </c>
      <c r="AE644" s="239" t="s">
        <v>20</v>
      </c>
      <c r="AF644" s="239" t="s">
        <v>718</v>
      </c>
      <c r="AG644" s="239">
        <f t="shared" si="46"/>
        <v>5850.0000026150001</v>
      </c>
      <c r="AH644" s="239">
        <f t="shared" si="47"/>
        <v>0</v>
      </c>
      <c r="AI644" s="239">
        <f t="shared" si="48"/>
        <v>0</v>
      </c>
      <c r="AJ644" s="239">
        <f t="shared" si="49"/>
        <v>5850.0000026150001</v>
      </c>
    </row>
    <row r="645" spans="1:36" x14ac:dyDescent="0.2">
      <c r="A645" s="240" t="str">
        <f t="shared" ref="A645:A710" si="50">TRIM(I645&amp;B645&amp;C645&amp;D645&amp;F645&amp;G645)</f>
        <v>SNMPET120012</v>
      </c>
      <c r="B645" s="239" t="s">
        <v>19</v>
      </c>
      <c r="C645" s="239" t="s">
        <v>20</v>
      </c>
      <c r="D645" s="239" t="s">
        <v>2611</v>
      </c>
      <c r="E645" s="239" t="s">
        <v>2612</v>
      </c>
      <c r="F645" s="239" t="s">
        <v>2615</v>
      </c>
      <c r="G645" s="239">
        <v>12</v>
      </c>
      <c r="H645" s="239" t="s">
        <v>928</v>
      </c>
      <c r="I645" s="239" t="s">
        <v>928</v>
      </c>
      <c r="J645" s="239" t="s">
        <v>928</v>
      </c>
      <c r="K645" s="239" t="s">
        <v>2398</v>
      </c>
      <c r="L645" s="239">
        <v>8852.9802999999993</v>
      </c>
      <c r="M645" s="239">
        <v>84.95</v>
      </c>
      <c r="N645" s="239">
        <v>0</v>
      </c>
      <c r="O645" s="239">
        <v>6886.40445</v>
      </c>
      <c r="P645" s="239">
        <v>0</v>
      </c>
      <c r="Q645" s="239">
        <v>0</v>
      </c>
      <c r="R645" s="239">
        <v>0</v>
      </c>
      <c r="S645" s="239">
        <v>0</v>
      </c>
      <c r="T645" s="239">
        <v>91.001509999999996</v>
      </c>
      <c r="U645" s="239">
        <v>243.5401</v>
      </c>
      <c r="V645" s="239">
        <v>224.99459999999999</v>
      </c>
      <c r="W645" s="239">
        <v>194.08262999999999</v>
      </c>
      <c r="X645" s="239">
        <v>0</v>
      </c>
      <c r="Y645" s="239">
        <v>0</v>
      </c>
      <c r="Z645" s="239">
        <v>936.02995999999996</v>
      </c>
      <c r="AA645" s="239">
        <v>276.92705000000001</v>
      </c>
      <c r="AB645" s="239">
        <v>0</v>
      </c>
      <c r="AC645" s="239">
        <v>0</v>
      </c>
      <c r="AD645" s="239">
        <v>1</v>
      </c>
      <c r="AE645" s="239" t="s">
        <v>20</v>
      </c>
      <c r="AF645" s="239" t="s">
        <v>718</v>
      </c>
      <c r="AG645" s="239">
        <f t="shared" si="46"/>
        <v>5850.0005802750002</v>
      </c>
      <c r="AH645" s="239">
        <f t="shared" si="47"/>
        <v>0</v>
      </c>
      <c r="AI645" s="239">
        <f t="shared" si="48"/>
        <v>0</v>
      </c>
      <c r="AJ645" s="239">
        <f t="shared" si="49"/>
        <v>5850.0005802750002</v>
      </c>
    </row>
    <row r="646" spans="1:36" x14ac:dyDescent="0.2">
      <c r="A646" s="240" t="str">
        <f t="shared" si="50"/>
        <v>3A5SNMPET130012</v>
      </c>
      <c r="B646" s="239" t="s">
        <v>19</v>
      </c>
      <c r="C646" s="239" t="s">
        <v>20</v>
      </c>
      <c r="D646" s="239" t="s">
        <v>2611</v>
      </c>
      <c r="E646" s="239" t="s">
        <v>2612</v>
      </c>
      <c r="F646" s="239" t="s">
        <v>2616</v>
      </c>
      <c r="G646" s="239">
        <v>12</v>
      </c>
      <c r="H646" s="239" t="s">
        <v>928</v>
      </c>
      <c r="I646" s="239" t="s">
        <v>2456</v>
      </c>
      <c r="J646" s="239" t="s">
        <v>928</v>
      </c>
      <c r="K646" s="239" t="s">
        <v>2398</v>
      </c>
      <c r="L646" s="239">
        <v>6074.37158</v>
      </c>
      <c r="M646" s="239">
        <v>93.5</v>
      </c>
      <c r="N646" s="239">
        <v>0</v>
      </c>
      <c r="O646" s="239">
        <v>4064.17112</v>
      </c>
      <c r="P646" s="239">
        <v>0</v>
      </c>
      <c r="Q646" s="239">
        <v>0</v>
      </c>
      <c r="R646" s="239">
        <v>0</v>
      </c>
      <c r="S646" s="239">
        <v>0</v>
      </c>
      <c r="T646" s="239">
        <v>91.002390000000005</v>
      </c>
      <c r="U646" s="239">
        <v>231.15798000000001</v>
      </c>
      <c r="V646" s="239">
        <v>223.99576999999999</v>
      </c>
      <c r="W646" s="239">
        <v>193.69403</v>
      </c>
      <c r="X646" s="239">
        <v>0</v>
      </c>
      <c r="Y646" s="239">
        <v>0</v>
      </c>
      <c r="Z646" s="239">
        <v>992.55532000000005</v>
      </c>
      <c r="AA646" s="239">
        <v>277.79496999999998</v>
      </c>
      <c r="AB646" s="239">
        <v>0</v>
      </c>
      <c r="AC646" s="239">
        <v>0</v>
      </c>
      <c r="AD646" s="239">
        <v>1</v>
      </c>
      <c r="AE646" s="239" t="s">
        <v>20</v>
      </c>
      <c r="AF646" s="239" t="s">
        <v>718</v>
      </c>
      <c r="AG646" s="239">
        <f t="shared" ref="AG646:AG709" si="51">+O646*M646/100</f>
        <v>3799.9999972000001</v>
      </c>
      <c r="AH646" s="239">
        <f t="shared" ref="AH646:AH709" si="52">+P646*M646/100</f>
        <v>0</v>
      </c>
      <c r="AI646" s="239">
        <f t="shared" ref="AI646:AI709" si="53">+AB646*M646/100</f>
        <v>0</v>
      </c>
      <c r="AJ646" s="239">
        <f t="shared" ref="AJ646:AJ709" si="54">+AG646+AH646+AI646</f>
        <v>3799.9999972000001</v>
      </c>
    </row>
    <row r="647" spans="1:36" x14ac:dyDescent="0.2">
      <c r="A647" s="240" t="str">
        <f t="shared" si="50"/>
        <v>SNMPET130012</v>
      </c>
      <c r="B647" s="239" t="s">
        <v>19</v>
      </c>
      <c r="C647" s="239" t="s">
        <v>20</v>
      </c>
      <c r="D647" s="239" t="s">
        <v>2611</v>
      </c>
      <c r="E647" s="239" t="s">
        <v>2612</v>
      </c>
      <c r="F647" s="239" t="s">
        <v>2616</v>
      </c>
      <c r="G647" s="239">
        <v>12</v>
      </c>
      <c r="H647" s="239" t="s">
        <v>928</v>
      </c>
      <c r="I647" s="239" t="s">
        <v>928</v>
      </c>
      <c r="J647" s="239" t="s">
        <v>928</v>
      </c>
      <c r="K647" s="239" t="s">
        <v>2398</v>
      </c>
      <c r="L647" s="239">
        <v>6074.3753399999996</v>
      </c>
      <c r="M647" s="239">
        <v>93.5</v>
      </c>
      <c r="N647" s="239">
        <v>0</v>
      </c>
      <c r="O647" s="239">
        <v>4064.1736900000001</v>
      </c>
      <c r="P647" s="239">
        <v>0</v>
      </c>
      <c r="Q647" s="239">
        <v>0</v>
      </c>
      <c r="R647" s="239">
        <v>0</v>
      </c>
      <c r="S647" s="239">
        <v>0</v>
      </c>
      <c r="T647" s="239">
        <v>91.003720000000001</v>
      </c>
      <c r="U647" s="239">
        <v>231.15799999999999</v>
      </c>
      <c r="V647" s="239">
        <v>223.99671000000001</v>
      </c>
      <c r="W647" s="239">
        <v>193.69238999999999</v>
      </c>
      <c r="X647" s="239">
        <v>0</v>
      </c>
      <c r="Y647" s="239">
        <v>0</v>
      </c>
      <c r="Z647" s="239">
        <v>992.55508999999995</v>
      </c>
      <c r="AA647" s="239">
        <v>277.79574000000002</v>
      </c>
      <c r="AB647" s="239">
        <v>0</v>
      </c>
      <c r="AC647" s="239">
        <v>0</v>
      </c>
      <c r="AD647" s="239">
        <v>1</v>
      </c>
      <c r="AE647" s="239" t="s">
        <v>20</v>
      </c>
      <c r="AF647" s="239" t="s">
        <v>718</v>
      </c>
      <c r="AG647" s="239">
        <f t="shared" si="51"/>
        <v>3800.0024001500001</v>
      </c>
      <c r="AH647" s="239">
        <f t="shared" si="52"/>
        <v>0</v>
      </c>
      <c r="AI647" s="239">
        <f t="shared" si="53"/>
        <v>0</v>
      </c>
      <c r="AJ647" s="239">
        <f t="shared" si="54"/>
        <v>3800.0024001500001</v>
      </c>
    </row>
    <row r="648" spans="1:36" x14ac:dyDescent="0.2">
      <c r="A648" s="240" t="str">
        <f t="shared" si="50"/>
        <v>3A5SNMPET131012</v>
      </c>
      <c r="B648" s="239" t="s">
        <v>19</v>
      </c>
      <c r="C648" s="239" t="s">
        <v>20</v>
      </c>
      <c r="D648" s="239" t="s">
        <v>2611</v>
      </c>
      <c r="E648" s="239" t="s">
        <v>2612</v>
      </c>
      <c r="F648" s="239" t="s">
        <v>2617</v>
      </c>
      <c r="G648" s="239">
        <v>12</v>
      </c>
      <c r="H648" s="239" t="s">
        <v>928</v>
      </c>
      <c r="I648" s="239" t="s">
        <v>2456</v>
      </c>
      <c r="J648" s="239" t="s">
        <v>928</v>
      </c>
      <c r="K648" s="239" t="s">
        <v>2398</v>
      </c>
      <c r="L648" s="239">
        <v>6063.1920499999997</v>
      </c>
      <c r="M648" s="239">
        <v>93.5</v>
      </c>
      <c r="N648" s="239">
        <v>0</v>
      </c>
      <c r="O648" s="239">
        <v>4037.43316</v>
      </c>
      <c r="P648" s="239">
        <v>0</v>
      </c>
      <c r="Q648" s="239">
        <v>0</v>
      </c>
      <c r="R648" s="239">
        <v>0</v>
      </c>
      <c r="S648" s="239">
        <v>0</v>
      </c>
      <c r="T648" s="239">
        <v>89.002330000000001</v>
      </c>
      <c r="U648" s="239">
        <v>237.34970999999999</v>
      </c>
      <c r="V648" s="239">
        <v>218.99585999999999</v>
      </c>
      <c r="W648" s="239">
        <v>192.32076000000001</v>
      </c>
      <c r="X648" s="239">
        <v>0</v>
      </c>
      <c r="Y648" s="239">
        <v>0</v>
      </c>
      <c r="Z648" s="239">
        <v>1005.9682299999999</v>
      </c>
      <c r="AA648" s="239">
        <v>282.12200000000001</v>
      </c>
      <c r="AB648" s="239">
        <v>0</v>
      </c>
      <c r="AC648" s="239">
        <v>0</v>
      </c>
      <c r="AD648" s="239">
        <v>1</v>
      </c>
      <c r="AE648" s="239" t="s">
        <v>20</v>
      </c>
      <c r="AF648" s="239" t="s">
        <v>718</v>
      </c>
      <c r="AG648" s="239">
        <f t="shared" si="51"/>
        <v>3775.0000046</v>
      </c>
      <c r="AH648" s="239">
        <f t="shared" si="52"/>
        <v>0</v>
      </c>
      <c r="AI648" s="239">
        <f t="shared" si="53"/>
        <v>0</v>
      </c>
      <c r="AJ648" s="239">
        <f t="shared" si="54"/>
        <v>3775.0000046</v>
      </c>
    </row>
    <row r="649" spans="1:36" x14ac:dyDescent="0.2">
      <c r="A649" s="240" t="str">
        <f t="shared" si="50"/>
        <v>3C5SNMPET131012</v>
      </c>
      <c r="B649" s="239" t="s">
        <v>19</v>
      </c>
      <c r="C649" s="239" t="s">
        <v>20</v>
      </c>
      <c r="D649" s="239" t="s">
        <v>2611</v>
      </c>
      <c r="E649" s="239" t="s">
        <v>2612</v>
      </c>
      <c r="F649" s="239" t="s">
        <v>2617</v>
      </c>
      <c r="G649" s="239">
        <v>12</v>
      </c>
      <c r="H649" s="239" t="s">
        <v>928</v>
      </c>
      <c r="I649" s="239" t="s">
        <v>2461</v>
      </c>
      <c r="J649" s="239" t="s">
        <v>928</v>
      </c>
      <c r="K649" s="239" t="s">
        <v>2398</v>
      </c>
      <c r="L649" s="239">
        <v>5952.3863799999999</v>
      </c>
      <c r="M649" s="239">
        <v>93.5</v>
      </c>
      <c r="N649" s="239">
        <v>0</v>
      </c>
      <c r="O649" s="239">
        <v>4037.43316</v>
      </c>
      <c r="P649" s="239">
        <v>0</v>
      </c>
      <c r="Q649" s="239">
        <v>0</v>
      </c>
      <c r="R649" s="239">
        <v>0</v>
      </c>
      <c r="S649" s="239">
        <v>0</v>
      </c>
      <c r="T649" s="239">
        <v>89.002330000000001</v>
      </c>
      <c r="U649" s="239">
        <v>227.03016</v>
      </c>
      <c r="V649" s="239">
        <v>218.99585999999999</v>
      </c>
      <c r="W649" s="239">
        <v>188.26003</v>
      </c>
      <c r="X649" s="239">
        <v>0</v>
      </c>
      <c r="Y649" s="239">
        <v>0</v>
      </c>
      <c r="Z649" s="239">
        <v>921.65850999999998</v>
      </c>
      <c r="AA649" s="239">
        <v>270.00632999999999</v>
      </c>
      <c r="AB649" s="239">
        <v>0</v>
      </c>
      <c r="AC649" s="239">
        <v>0</v>
      </c>
      <c r="AD649" s="239">
        <v>1</v>
      </c>
      <c r="AE649" s="239" t="s">
        <v>20</v>
      </c>
      <c r="AF649" s="239" t="s">
        <v>718</v>
      </c>
      <c r="AG649" s="239">
        <f t="shared" si="51"/>
        <v>3775.0000046</v>
      </c>
      <c r="AH649" s="239">
        <f t="shared" si="52"/>
        <v>0</v>
      </c>
      <c r="AI649" s="239">
        <f t="shared" si="53"/>
        <v>0</v>
      </c>
      <c r="AJ649" s="239">
        <f t="shared" si="54"/>
        <v>3775.0000046</v>
      </c>
    </row>
    <row r="650" spans="1:36" x14ac:dyDescent="0.2">
      <c r="A650" s="240" t="str">
        <f t="shared" si="50"/>
        <v>7ASNMPET131012</v>
      </c>
      <c r="B650" s="239" t="s">
        <v>19</v>
      </c>
      <c r="C650" s="239" t="s">
        <v>20</v>
      </c>
      <c r="D650" s="239" t="s">
        <v>2611</v>
      </c>
      <c r="E650" s="239" t="s">
        <v>2612</v>
      </c>
      <c r="F650" s="239" t="s">
        <v>2617</v>
      </c>
      <c r="G650" s="239">
        <v>12</v>
      </c>
      <c r="H650" s="239" t="s">
        <v>928</v>
      </c>
      <c r="I650" s="239" t="s">
        <v>2618</v>
      </c>
      <c r="J650" s="239" t="s">
        <v>928</v>
      </c>
      <c r="K650" s="239" t="s">
        <v>2398</v>
      </c>
      <c r="L650" s="239">
        <v>4877.88</v>
      </c>
      <c r="M650" s="239">
        <v>100</v>
      </c>
      <c r="N650" s="239">
        <v>0</v>
      </c>
      <c r="O650" s="239">
        <v>4877.88</v>
      </c>
      <c r="P650" s="239">
        <v>0</v>
      </c>
      <c r="Q650" s="239">
        <v>0</v>
      </c>
      <c r="R650" s="239">
        <v>0</v>
      </c>
      <c r="S650" s="239">
        <v>0</v>
      </c>
      <c r="T650" s="239">
        <v>0</v>
      </c>
      <c r="U650" s="239">
        <v>0</v>
      </c>
      <c r="V650" s="239">
        <v>0</v>
      </c>
      <c r="W650" s="239">
        <v>0</v>
      </c>
      <c r="X650" s="239">
        <v>0</v>
      </c>
      <c r="Y650" s="239">
        <v>0</v>
      </c>
      <c r="Z650" s="239">
        <v>0</v>
      </c>
      <c r="AA650" s="239">
        <v>0</v>
      </c>
      <c r="AB650" s="239">
        <v>0</v>
      </c>
      <c r="AC650" s="239">
        <v>0</v>
      </c>
      <c r="AD650" s="239">
        <v>1</v>
      </c>
      <c r="AE650" s="239" t="s">
        <v>20</v>
      </c>
      <c r="AF650" s="239" t="s">
        <v>718</v>
      </c>
      <c r="AG650" s="239">
        <f t="shared" si="51"/>
        <v>4877.88</v>
      </c>
      <c r="AH650" s="239">
        <f t="shared" si="52"/>
        <v>0</v>
      </c>
      <c r="AI650" s="239">
        <f t="shared" si="53"/>
        <v>0</v>
      </c>
      <c r="AJ650" s="239">
        <f t="shared" si="54"/>
        <v>4877.88</v>
      </c>
    </row>
    <row r="651" spans="1:36" x14ac:dyDescent="0.2">
      <c r="A651" s="240" t="str">
        <f t="shared" si="50"/>
        <v>SNMPET131012</v>
      </c>
      <c r="B651" s="239" t="s">
        <v>19</v>
      </c>
      <c r="C651" s="239" t="s">
        <v>20</v>
      </c>
      <c r="D651" s="239" t="s">
        <v>2611</v>
      </c>
      <c r="E651" s="239" t="s">
        <v>2612</v>
      </c>
      <c r="F651" s="239" t="s">
        <v>2617</v>
      </c>
      <c r="G651" s="239">
        <v>12</v>
      </c>
      <c r="H651" s="239" t="s">
        <v>928</v>
      </c>
      <c r="I651" s="239" t="s">
        <v>928</v>
      </c>
      <c r="J651" s="239" t="s">
        <v>928</v>
      </c>
      <c r="K651" s="239" t="s">
        <v>2398</v>
      </c>
      <c r="L651" s="239">
        <v>5062.5123199999998</v>
      </c>
      <c r="M651" s="239">
        <v>93.565659999999994</v>
      </c>
      <c r="N651" s="239">
        <v>0</v>
      </c>
      <c r="O651" s="239">
        <v>4742.2809100000004</v>
      </c>
      <c r="P651" s="239">
        <v>0</v>
      </c>
      <c r="Q651" s="239">
        <v>0</v>
      </c>
      <c r="R651" s="239">
        <v>0</v>
      </c>
      <c r="S651" s="239">
        <v>0</v>
      </c>
      <c r="T651" s="239">
        <v>14.35999</v>
      </c>
      <c r="U651" s="239">
        <v>37.679020000000001</v>
      </c>
      <c r="V651" s="239">
        <v>35.333170000000003</v>
      </c>
      <c r="W651" s="239">
        <v>30.787120000000002</v>
      </c>
      <c r="X651" s="239">
        <v>0</v>
      </c>
      <c r="Y651" s="239">
        <v>0</v>
      </c>
      <c r="Z651" s="239">
        <v>157.27654000000001</v>
      </c>
      <c r="AA651" s="239">
        <v>44.795569999999998</v>
      </c>
      <c r="AB651" s="239">
        <v>0</v>
      </c>
      <c r="AC651" s="239">
        <v>0</v>
      </c>
      <c r="AD651" s="239">
        <v>1</v>
      </c>
      <c r="AE651" s="239" t="s">
        <v>20</v>
      </c>
      <c r="AF651" s="239" t="s">
        <v>718</v>
      </c>
      <c r="AG651" s="239">
        <f t="shared" si="51"/>
        <v>4437.1464324955059</v>
      </c>
      <c r="AH651" s="239">
        <f t="shared" si="52"/>
        <v>0</v>
      </c>
      <c r="AI651" s="239">
        <f t="shared" si="53"/>
        <v>0</v>
      </c>
      <c r="AJ651" s="239">
        <f t="shared" si="54"/>
        <v>4437.1464324955059</v>
      </c>
    </row>
    <row r="652" spans="1:36" x14ac:dyDescent="0.2">
      <c r="A652" s="240" t="str">
        <f t="shared" si="50"/>
        <v>3A5SNMPET1310F12</v>
      </c>
      <c r="B652" s="239" t="s">
        <v>19</v>
      </c>
      <c r="C652" s="239" t="s">
        <v>20</v>
      </c>
      <c r="D652" s="239" t="s">
        <v>2611</v>
      </c>
      <c r="E652" s="239" t="s">
        <v>2612</v>
      </c>
      <c r="F652" s="239" t="s">
        <v>2619</v>
      </c>
      <c r="G652" s="239">
        <v>12</v>
      </c>
      <c r="H652" s="239" t="s">
        <v>928</v>
      </c>
      <c r="I652" s="239" t="s">
        <v>2456</v>
      </c>
      <c r="J652" s="239" t="s">
        <v>928</v>
      </c>
      <c r="K652" s="239" t="s">
        <v>2398</v>
      </c>
      <c r="L652" s="239">
        <v>6063.1920499999997</v>
      </c>
      <c r="M652" s="239">
        <v>93.5</v>
      </c>
      <c r="N652" s="239">
        <v>0</v>
      </c>
      <c r="O652" s="239">
        <v>4037.43316</v>
      </c>
      <c r="P652" s="239">
        <v>0</v>
      </c>
      <c r="Q652" s="239">
        <v>0</v>
      </c>
      <c r="R652" s="239">
        <v>0</v>
      </c>
      <c r="S652" s="239">
        <v>0</v>
      </c>
      <c r="T652" s="239">
        <v>89.002330000000001</v>
      </c>
      <c r="U652" s="239">
        <v>237.34970999999999</v>
      </c>
      <c r="V652" s="239">
        <v>218.99585999999999</v>
      </c>
      <c r="W652" s="239">
        <v>192.32076000000001</v>
      </c>
      <c r="X652" s="239">
        <v>0</v>
      </c>
      <c r="Y652" s="239">
        <v>0</v>
      </c>
      <c r="Z652" s="239">
        <v>1005.9682299999999</v>
      </c>
      <c r="AA652" s="239">
        <v>282.12200000000001</v>
      </c>
      <c r="AB652" s="239">
        <v>0</v>
      </c>
      <c r="AC652" s="239">
        <v>0</v>
      </c>
      <c r="AD652" s="239">
        <v>1</v>
      </c>
      <c r="AE652" s="239" t="s">
        <v>20</v>
      </c>
      <c r="AF652" s="239" t="s">
        <v>718</v>
      </c>
      <c r="AG652" s="239">
        <f t="shared" si="51"/>
        <v>3775.0000046</v>
      </c>
      <c r="AH652" s="239">
        <f t="shared" si="52"/>
        <v>0</v>
      </c>
      <c r="AI652" s="239">
        <f t="shared" si="53"/>
        <v>0</v>
      </c>
      <c r="AJ652" s="239">
        <f t="shared" si="54"/>
        <v>3775.0000046</v>
      </c>
    </row>
    <row r="653" spans="1:36" x14ac:dyDescent="0.2">
      <c r="A653" s="240" t="str">
        <f t="shared" si="50"/>
        <v>SNMPET1310F12</v>
      </c>
      <c r="B653" s="239" t="s">
        <v>19</v>
      </c>
      <c r="C653" s="239" t="s">
        <v>20</v>
      </c>
      <c r="D653" s="239" t="s">
        <v>2611</v>
      </c>
      <c r="E653" s="239" t="s">
        <v>2612</v>
      </c>
      <c r="F653" s="239" t="s">
        <v>2619</v>
      </c>
      <c r="G653" s="239">
        <v>12</v>
      </c>
      <c r="H653" s="239" t="s">
        <v>928</v>
      </c>
      <c r="I653" s="239" t="s">
        <v>928</v>
      </c>
      <c r="J653" s="239" t="s">
        <v>928</v>
      </c>
      <c r="K653" s="239" t="s">
        <v>2398</v>
      </c>
      <c r="L653" s="239">
        <v>6063.1916300000003</v>
      </c>
      <c r="M653" s="239">
        <v>93.5</v>
      </c>
      <c r="N653" s="239">
        <v>0</v>
      </c>
      <c r="O653" s="239">
        <v>4037.4330599999998</v>
      </c>
      <c r="P653" s="239">
        <v>0</v>
      </c>
      <c r="Q653" s="239">
        <v>0</v>
      </c>
      <c r="R653" s="239">
        <v>0</v>
      </c>
      <c r="S653" s="239">
        <v>0</v>
      </c>
      <c r="T653" s="239">
        <v>89.002210000000005</v>
      </c>
      <c r="U653" s="239">
        <v>237.34958</v>
      </c>
      <c r="V653" s="239">
        <v>218.99600000000001</v>
      </c>
      <c r="W653" s="239">
        <v>192.32078000000001</v>
      </c>
      <c r="X653" s="239">
        <v>0</v>
      </c>
      <c r="Y653" s="239">
        <v>0</v>
      </c>
      <c r="Z653" s="239">
        <v>1005.96811</v>
      </c>
      <c r="AA653" s="239">
        <v>282.12189000000001</v>
      </c>
      <c r="AB653" s="239">
        <v>0</v>
      </c>
      <c r="AC653" s="239">
        <v>0</v>
      </c>
      <c r="AD653" s="239">
        <v>1</v>
      </c>
      <c r="AE653" s="239" t="s">
        <v>20</v>
      </c>
      <c r="AF653" s="239" t="s">
        <v>718</v>
      </c>
      <c r="AG653" s="239">
        <f t="shared" si="51"/>
        <v>3774.9999111000002</v>
      </c>
      <c r="AH653" s="239">
        <f t="shared" si="52"/>
        <v>0</v>
      </c>
      <c r="AI653" s="239">
        <f t="shared" si="53"/>
        <v>0</v>
      </c>
      <c r="AJ653" s="239">
        <f t="shared" si="54"/>
        <v>3774.9999111000002</v>
      </c>
    </row>
    <row r="654" spans="1:36" x14ac:dyDescent="0.2">
      <c r="A654" s="240" t="str">
        <f t="shared" si="50"/>
        <v>3A5SNMPET1310M12</v>
      </c>
      <c r="B654" s="239" t="s">
        <v>19</v>
      </c>
      <c r="C654" s="239" t="s">
        <v>20</v>
      </c>
      <c r="D654" s="239" t="s">
        <v>2611</v>
      </c>
      <c r="E654" s="239" t="s">
        <v>2612</v>
      </c>
      <c r="F654" s="239" t="s">
        <v>2620</v>
      </c>
      <c r="G654" s="239">
        <v>12</v>
      </c>
      <c r="H654" s="239" t="s">
        <v>928</v>
      </c>
      <c r="I654" s="239" t="s">
        <v>2456</v>
      </c>
      <c r="J654" s="239" t="s">
        <v>928</v>
      </c>
      <c r="K654" s="239" t="s">
        <v>2398</v>
      </c>
      <c r="L654" s="239">
        <v>6063.1920499999997</v>
      </c>
      <c r="M654" s="239">
        <v>93.5</v>
      </c>
      <c r="N654" s="239">
        <v>0</v>
      </c>
      <c r="O654" s="239">
        <v>4037.43316</v>
      </c>
      <c r="P654" s="239">
        <v>0</v>
      </c>
      <c r="Q654" s="239">
        <v>0</v>
      </c>
      <c r="R654" s="239">
        <v>0</v>
      </c>
      <c r="S654" s="239">
        <v>0</v>
      </c>
      <c r="T654" s="239">
        <v>89.002330000000001</v>
      </c>
      <c r="U654" s="239">
        <v>237.34970999999999</v>
      </c>
      <c r="V654" s="239">
        <v>218.99585999999999</v>
      </c>
      <c r="W654" s="239">
        <v>192.32076000000001</v>
      </c>
      <c r="X654" s="239">
        <v>0</v>
      </c>
      <c r="Y654" s="239">
        <v>0</v>
      </c>
      <c r="Z654" s="239">
        <v>1005.9682299999999</v>
      </c>
      <c r="AA654" s="239">
        <v>282.12200000000001</v>
      </c>
      <c r="AB654" s="239">
        <v>0</v>
      </c>
      <c r="AC654" s="239">
        <v>0</v>
      </c>
      <c r="AD654" s="239">
        <v>1</v>
      </c>
      <c r="AE654" s="239" t="s">
        <v>20</v>
      </c>
      <c r="AF654" s="239" t="s">
        <v>718</v>
      </c>
      <c r="AG654" s="239">
        <f t="shared" si="51"/>
        <v>3775.0000046</v>
      </c>
      <c r="AH654" s="239">
        <f t="shared" si="52"/>
        <v>0</v>
      </c>
      <c r="AI654" s="239">
        <f t="shared" si="53"/>
        <v>0</v>
      </c>
      <c r="AJ654" s="239">
        <f t="shared" si="54"/>
        <v>3775.0000046</v>
      </c>
    </row>
    <row r="655" spans="1:36" x14ac:dyDescent="0.2">
      <c r="A655" s="240" t="str">
        <f t="shared" si="50"/>
        <v>3C5SNMPET1310M12</v>
      </c>
      <c r="B655" s="239" t="s">
        <v>19</v>
      </c>
      <c r="C655" s="239" t="s">
        <v>20</v>
      </c>
      <c r="D655" s="239" t="s">
        <v>2611</v>
      </c>
      <c r="E655" s="239" t="s">
        <v>2612</v>
      </c>
      <c r="F655" s="239" t="s">
        <v>2620</v>
      </c>
      <c r="G655" s="239">
        <v>12</v>
      </c>
      <c r="H655" s="239" t="s">
        <v>928</v>
      </c>
      <c r="I655" s="239" t="s">
        <v>2461</v>
      </c>
      <c r="J655" s="239" t="s">
        <v>928</v>
      </c>
      <c r="K655" s="239" t="s">
        <v>2398</v>
      </c>
      <c r="L655" s="239">
        <v>5952.3863799999999</v>
      </c>
      <c r="M655" s="239">
        <v>93.5</v>
      </c>
      <c r="N655" s="239">
        <v>0</v>
      </c>
      <c r="O655" s="239">
        <v>4037.43316</v>
      </c>
      <c r="P655" s="239">
        <v>0</v>
      </c>
      <c r="Q655" s="239">
        <v>0</v>
      </c>
      <c r="R655" s="239">
        <v>0</v>
      </c>
      <c r="S655" s="239">
        <v>0</v>
      </c>
      <c r="T655" s="239">
        <v>89.002330000000001</v>
      </c>
      <c r="U655" s="239">
        <v>227.03016</v>
      </c>
      <c r="V655" s="239">
        <v>218.99585999999999</v>
      </c>
      <c r="W655" s="239">
        <v>188.26003</v>
      </c>
      <c r="X655" s="239">
        <v>0</v>
      </c>
      <c r="Y655" s="239">
        <v>0</v>
      </c>
      <c r="Z655" s="239">
        <v>921.65850999999998</v>
      </c>
      <c r="AA655" s="239">
        <v>270.00632999999999</v>
      </c>
      <c r="AB655" s="239">
        <v>0</v>
      </c>
      <c r="AC655" s="239">
        <v>0</v>
      </c>
      <c r="AD655" s="239">
        <v>1</v>
      </c>
      <c r="AE655" s="239" t="s">
        <v>20</v>
      </c>
      <c r="AF655" s="239" t="s">
        <v>718</v>
      </c>
      <c r="AG655" s="239">
        <f t="shared" si="51"/>
        <v>3775.0000046</v>
      </c>
      <c r="AH655" s="239">
        <f t="shared" si="52"/>
        <v>0</v>
      </c>
      <c r="AI655" s="239">
        <f t="shared" si="53"/>
        <v>0</v>
      </c>
      <c r="AJ655" s="239">
        <f t="shared" si="54"/>
        <v>3775.0000046</v>
      </c>
    </row>
    <row r="656" spans="1:36" x14ac:dyDescent="0.2">
      <c r="A656" s="240" t="str">
        <f t="shared" si="50"/>
        <v>SNMPET1310M12</v>
      </c>
      <c r="B656" s="239" t="s">
        <v>19</v>
      </c>
      <c r="C656" s="239" t="s">
        <v>20</v>
      </c>
      <c r="D656" s="239" t="s">
        <v>2611</v>
      </c>
      <c r="E656" s="239" t="s">
        <v>2612</v>
      </c>
      <c r="F656" s="239" t="s">
        <v>2620</v>
      </c>
      <c r="G656" s="239">
        <v>12</v>
      </c>
      <c r="H656" s="239" t="s">
        <v>928</v>
      </c>
      <c r="I656" s="239" t="s">
        <v>928</v>
      </c>
      <c r="J656" s="239" t="s">
        <v>928</v>
      </c>
      <c r="K656" s="239" t="s">
        <v>2398</v>
      </c>
      <c r="L656" s="239">
        <v>6026.6020699999999</v>
      </c>
      <c r="M656" s="239">
        <v>93.5</v>
      </c>
      <c r="N656" s="239">
        <v>0</v>
      </c>
      <c r="O656" s="239">
        <v>4037.4327199999998</v>
      </c>
      <c r="P656" s="239">
        <v>0</v>
      </c>
      <c r="Q656" s="239">
        <v>0</v>
      </c>
      <c r="R656" s="239">
        <v>0</v>
      </c>
      <c r="S656" s="239">
        <v>0</v>
      </c>
      <c r="T656" s="239">
        <v>89.002570000000006</v>
      </c>
      <c r="U656" s="239">
        <v>233.94224</v>
      </c>
      <c r="V656" s="239">
        <v>218.99598</v>
      </c>
      <c r="W656" s="239">
        <v>190.97946999999999</v>
      </c>
      <c r="X656" s="239">
        <v>0</v>
      </c>
      <c r="Y656" s="239">
        <v>0</v>
      </c>
      <c r="Z656" s="239">
        <v>978.12761</v>
      </c>
      <c r="AA656" s="239">
        <v>278.12148000000002</v>
      </c>
      <c r="AB656" s="239">
        <v>0</v>
      </c>
      <c r="AC656" s="239">
        <v>0</v>
      </c>
      <c r="AD656" s="239">
        <v>1</v>
      </c>
      <c r="AE656" s="239" t="s">
        <v>20</v>
      </c>
      <c r="AF656" s="239" t="s">
        <v>718</v>
      </c>
      <c r="AG656" s="239">
        <f t="shared" si="51"/>
        <v>3774.9995931999997</v>
      </c>
      <c r="AH656" s="239">
        <f t="shared" si="52"/>
        <v>0</v>
      </c>
      <c r="AI656" s="239">
        <f t="shared" si="53"/>
        <v>0</v>
      </c>
      <c r="AJ656" s="239">
        <f t="shared" si="54"/>
        <v>3774.9995931999997</v>
      </c>
    </row>
    <row r="657" spans="1:36" x14ac:dyDescent="0.2">
      <c r="A657" s="240" t="str">
        <f t="shared" si="50"/>
        <v>3A5SNMPET136012</v>
      </c>
      <c r="B657" s="239" t="s">
        <v>19</v>
      </c>
      <c r="C657" s="239" t="s">
        <v>20</v>
      </c>
      <c r="D657" s="239" t="s">
        <v>2611</v>
      </c>
      <c r="E657" s="239" t="s">
        <v>2612</v>
      </c>
      <c r="F657" s="239" t="s">
        <v>2621</v>
      </c>
      <c r="G657" s="239">
        <v>12</v>
      </c>
      <c r="H657" s="239" t="s">
        <v>928</v>
      </c>
      <c r="I657" s="239" t="s">
        <v>2456</v>
      </c>
      <c r="J657" s="239" t="s">
        <v>928</v>
      </c>
      <c r="K657" s="239" t="s">
        <v>2398</v>
      </c>
      <c r="L657" s="239">
        <v>6063.1920499999997</v>
      </c>
      <c r="M657" s="239">
        <v>93.5</v>
      </c>
      <c r="N657" s="239">
        <v>0</v>
      </c>
      <c r="O657" s="239">
        <v>4037.43316</v>
      </c>
      <c r="P657" s="239">
        <v>0</v>
      </c>
      <c r="Q657" s="239">
        <v>0</v>
      </c>
      <c r="R657" s="239">
        <v>0</v>
      </c>
      <c r="S657" s="239">
        <v>0</v>
      </c>
      <c r="T657" s="239">
        <v>89.002330000000001</v>
      </c>
      <c r="U657" s="239">
        <v>237.34970999999999</v>
      </c>
      <c r="V657" s="239">
        <v>218.99585999999999</v>
      </c>
      <c r="W657" s="239">
        <v>192.32076000000001</v>
      </c>
      <c r="X657" s="239">
        <v>0</v>
      </c>
      <c r="Y657" s="239">
        <v>0</v>
      </c>
      <c r="Z657" s="239">
        <v>1005.9682299999999</v>
      </c>
      <c r="AA657" s="239">
        <v>282.12200000000001</v>
      </c>
      <c r="AB657" s="239">
        <v>0</v>
      </c>
      <c r="AC657" s="239">
        <v>0</v>
      </c>
      <c r="AD657" s="239">
        <v>1</v>
      </c>
      <c r="AE657" s="239" t="s">
        <v>20</v>
      </c>
      <c r="AF657" s="239" t="s">
        <v>718</v>
      </c>
      <c r="AG657" s="239">
        <f t="shared" si="51"/>
        <v>3775.0000046</v>
      </c>
      <c r="AH657" s="239">
        <f t="shared" si="52"/>
        <v>0</v>
      </c>
      <c r="AI657" s="239">
        <f t="shared" si="53"/>
        <v>0</v>
      </c>
      <c r="AJ657" s="239">
        <f t="shared" si="54"/>
        <v>3775.0000046</v>
      </c>
    </row>
    <row r="658" spans="1:36" x14ac:dyDescent="0.2">
      <c r="A658" s="240" t="str">
        <f t="shared" si="50"/>
        <v>3C5SNMPET136012</v>
      </c>
      <c r="B658" s="239" t="s">
        <v>19</v>
      </c>
      <c r="C658" s="239" t="s">
        <v>20</v>
      </c>
      <c r="D658" s="239" t="s">
        <v>2611</v>
      </c>
      <c r="E658" s="239" t="s">
        <v>2612</v>
      </c>
      <c r="F658" s="239" t="s">
        <v>2621</v>
      </c>
      <c r="G658" s="239">
        <v>12</v>
      </c>
      <c r="H658" s="239" t="s">
        <v>928</v>
      </c>
      <c r="I658" s="239" t="s">
        <v>2461</v>
      </c>
      <c r="J658" s="239" t="s">
        <v>928</v>
      </c>
      <c r="K658" s="239" t="s">
        <v>2398</v>
      </c>
      <c r="L658" s="239">
        <v>5952.3863799999999</v>
      </c>
      <c r="M658" s="239">
        <v>93.5</v>
      </c>
      <c r="N658" s="239">
        <v>0</v>
      </c>
      <c r="O658" s="239">
        <v>4037.43316</v>
      </c>
      <c r="P658" s="239">
        <v>0</v>
      </c>
      <c r="Q658" s="239">
        <v>0</v>
      </c>
      <c r="R658" s="239">
        <v>0</v>
      </c>
      <c r="S658" s="239">
        <v>0</v>
      </c>
      <c r="T658" s="239">
        <v>89.002330000000001</v>
      </c>
      <c r="U658" s="239">
        <v>227.03016</v>
      </c>
      <c r="V658" s="239">
        <v>218.99585999999999</v>
      </c>
      <c r="W658" s="239">
        <v>188.26003</v>
      </c>
      <c r="X658" s="239">
        <v>0</v>
      </c>
      <c r="Y658" s="239">
        <v>0</v>
      </c>
      <c r="Z658" s="239">
        <v>921.65850999999998</v>
      </c>
      <c r="AA658" s="239">
        <v>270.00632999999999</v>
      </c>
      <c r="AB658" s="239">
        <v>0</v>
      </c>
      <c r="AC658" s="239">
        <v>0</v>
      </c>
      <c r="AD658" s="239">
        <v>1</v>
      </c>
      <c r="AE658" s="239" t="s">
        <v>20</v>
      </c>
      <c r="AF658" s="239" t="s">
        <v>718</v>
      </c>
      <c r="AG658" s="239">
        <f t="shared" si="51"/>
        <v>3775.0000046</v>
      </c>
      <c r="AH658" s="239">
        <f t="shared" si="52"/>
        <v>0</v>
      </c>
      <c r="AI658" s="239">
        <f t="shared" si="53"/>
        <v>0</v>
      </c>
      <c r="AJ658" s="239">
        <f t="shared" si="54"/>
        <v>3775.0000046</v>
      </c>
    </row>
    <row r="659" spans="1:36" x14ac:dyDescent="0.2">
      <c r="A659" s="240" t="str">
        <f t="shared" si="50"/>
        <v>SNMPET136012</v>
      </c>
      <c r="B659" s="239" t="s">
        <v>19</v>
      </c>
      <c r="C659" s="239" t="s">
        <v>20</v>
      </c>
      <c r="D659" s="239" t="s">
        <v>2611</v>
      </c>
      <c r="E659" s="239" t="s">
        <v>2612</v>
      </c>
      <c r="F659" s="239" t="s">
        <v>2621</v>
      </c>
      <c r="G659" s="239">
        <v>12</v>
      </c>
      <c r="H659" s="239" t="s">
        <v>928</v>
      </c>
      <c r="I659" s="239" t="s">
        <v>928</v>
      </c>
      <c r="J659" s="239" t="s">
        <v>928</v>
      </c>
      <c r="K659" s="239" t="s">
        <v>2398</v>
      </c>
      <c r="L659" s="239">
        <v>5978.1375799999996</v>
      </c>
      <c r="M659" s="239">
        <v>93.5</v>
      </c>
      <c r="N659" s="239">
        <v>0</v>
      </c>
      <c r="O659" s="239">
        <v>4037.4326900000001</v>
      </c>
      <c r="P659" s="239">
        <v>0</v>
      </c>
      <c r="Q659" s="239">
        <v>0</v>
      </c>
      <c r="R659" s="239">
        <v>0</v>
      </c>
      <c r="S659" s="239">
        <v>0</v>
      </c>
      <c r="T659" s="239">
        <v>89.002579999999995</v>
      </c>
      <c r="U659" s="239">
        <v>229.428</v>
      </c>
      <c r="V659" s="239">
        <v>218.99598</v>
      </c>
      <c r="W659" s="239">
        <v>189.20375000000001</v>
      </c>
      <c r="X659" s="239">
        <v>0</v>
      </c>
      <c r="Y659" s="239">
        <v>0</v>
      </c>
      <c r="Z659" s="239">
        <v>941.25224000000003</v>
      </c>
      <c r="AA659" s="239">
        <v>272.82234</v>
      </c>
      <c r="AB659" s="239">
        <v>0</v>
      </c>
      <c r="AC659" s="239">
        <v>0</v>
      </c>
      <c r="AD659" s="239">
        <v>1</v>
      </c>
      <c r="AE659" s="239" t="s">
        <v>20</v>
      </c>
      <c r="AF659" s="239" t="s">
        <v>718</v>
      </c>
      <c r="AG659" s="239">
        <f t="shared" si="51"/>
        <v>3774.9995651500003</v>
      </c>
      <c r="AH659" s="239">
        <f t="shared" si="52"/>
        <v>0</v>
      </c>
      <c r="AI659" s="239">
        <f t="shared" si="53"/>
        <v>0</v>
      </c>
      <c r="AJ659" s="239">
        <f t="shared" si="54"/>
        <v>3774.9995651500003</v>
      </c>
    </row>
    <row r="660" spans="1:36" x14ac:dyDescent="0.2">
      <c r="A660" s="240" t="str">
        <f t="shared" si="50"/>
        <v>7ASNMPET151012</v>
      </c>
      <c r="B660" s="239" t="s">
        <v>19</v>
      </c>
      <c r="C660" s="239" t="s">
        <v>20</v>
      </c>
      <c r="D660" s="239" t="s">
        <v>2611</v>
      </c>
      <c r="E660" s="239" t="s">
        <v>2612</v>
      </c>
      <c r="F660" s="239" t="s">
        <v>2622</v>
      </c>
      <c r="G660" s="239">
        <v>12</v>
      </c>
      <c r="H660" s="239" t="s">
        <v>928</v>
      </c>
      <c r="I660" s="239" t="s">
        <v>2618</v>
      </c>
      <c r="J660" s="239" t="s">
        <v>928</v>
      </c>
      <c r="K660" s="239" t="s">
        <v>2398</v>
      </c>
      <c r="L660" s="239">
        <v>4877.88</v>
      </c>
      <c r="M660" s="239">
        <v>100</v>
      </c>
      <c r="N660" s="239">
        <v>0</v>
      </c>
      <c r="O660" s="239">
        <v>4877.88</v>
      </c>
      <c r="P660" s="239">
        <v>0</v>
      </c>
      <c r="Q660" s="239">
        <v>0</v>
      </c>
      <c r="R660" s="239">
        <v>0</v>
      </c>
      <c r="S660" s="239">
        <v>0</v>
      </c>
      <c r="T660" s="239">
        <v>0</v>
      </c>
      <c r="U660" s="239">
        <v>0</v>
      </c>
      <c r="V660" s="239">
        <v>0</v>
      </c>
      <c r="W660" s="239">
        <v>0</v>
      </c>
      <c r="X660" s="239">
        <v>0</v>
      </c>
      <c r="Y660" s="239">
        <v>0</v>
      </c>
      <c r="Z660" s="239">
        <v>0</v>
      </c>
      <c r="AA660" s="239">
        <v>0</v>
      </c>
      <c r="AB660" s="239">
        <v>0</v>
      </c>
      <c r="AC660" s="239">
        <v>0</v>
      </c>
      <c r="AD660" s="239">
        <v>1</v>
      </c>
      <c r="AE660" s="239" t="s">
        <v>20</v>
      </c>
      <c r="AF660" s="239" t="s">
        <v>718</v>
      </c>
      <c r="AG660" s="239">
        <f t="shared" si="51"/>
        <v>4877.88</v>
      </c>
      <c r="AH660" s="239">
        <f t="shared" si="52"/>
        <v>0</v>
      </c>
      <c r="AI660" s="239">
        <f t="shared" si="53"/>
        <v>0</v>
      </c>
      <c r="AJ660" s="239">
        <f t="shared" si="54"/>
        <v>4877.88</v>
      </c>
    </row>
    <row r="661" spans="1:36" x14ac:dyDescent="0.2">
      <c r="A661" s="240" t="str">
        <f t="shared" si="50"/>
        <v>SNMPET151012</v>
      </c>
      <c r="B661" s="239" t="s">
        <v>19</v>
      </c>
      <c r="C661" s="239" t="s">
        <v>20</v>
      </c>
      <c r="D661" s="239" t="s">
        <v>2611</v>
      </c>
      <c r="E661" s="239" t="s">
        <v>2612</v>
      </c>
      <c r="F661" s="239" t="s">
        <v>2622</v>
      </c>
      <c r="G661" s="239">
        <v>12</v>
      </c>
      <c r="H661" s="239" t="s">
        <v>928</v>
      </c>
      <c r="I661" s="239" t="s">
        <v>928</v>
      </c>
      <c r="J661" s="239" t="s">
        <v>928</v>
      </c>
      <c r="K661" s="239" t="s">
        <v>2398</v>
      </c>
      <c r="L661" s="239">
        <v>4877.8797800000002</v>
      </c>
      <c r="M661" s="239">
        <v>100</v>
      </c>
      <c r="N661" s="239">
        <v>0</v>
      </c>
      <c r="O661" s="239">
        <v>4877.8797800000002</v>
      </c>
      <c r="P661" s="239">
        <v>0</v>
      </c>
      <c r="Q661" s="239">
        <v>0</v>
      </c>
      <c r="R661" s="239">
        <v>0</v>
      </c>
      <c r="S661" s="239">
        <v>0</v>
      </c>
      <c r="T661" s="239">
        <v>0</v>
      </c>
      <c r="U661" s="239">
        <v>0</v>
      </c>
      <c r="V661" s="239">
        <v>0</v>
      </c>
      <c r="W661" s="239">
        <v>0</v>
      </c>
      <c r="X661" s="239">
        <v>0</v>
      </c>
      <c r="Y661" s="239">
        <v>0</v>
      </c>
      <c r="Z661" s="239">
        <v>0</v>
      </c>
      <c r="AA661" s="239">
        <v>0</v>
      </c>
      <c r="AB661" s="239">
        <v>0</v>
      </c>
      <c r="AC661" s="239">
        <v>0</v>
      </c>
      <c r="AD661" s="239">
        <v>1</v>
      </c>
      <c r="AE661" s="239" t="s">
        <v>20</v>
      </c>
      <c r="AF661" s="239" t="s">
        <v>718</v>
      </c>
      <c r="AG661" s="239">
        <f t="shared" si="51"/>
        <v>4877.8797800000002</v>
      </c>
      <c r="AH661" s="239">
        <f t="shared" si="52"/>
        <v>0</v>
      </c>
      <c r="AI661" s="239">
        <f t="shared" si="53"/>
        <v>0</v>
      </c>
      <c r="AJ661" s="239">
        <f t="shared" si="54"/>
        <v>4877.8797800000002</v>
      </c>
    </row>
    <row r="662" spans="1:36" x14ac:dyDescent="0.2">
      <c r="A662" s="240" t="str">
        <f t="shared" si="50"/>
        <v>3A5SNMPET151912</v>
      </c>
      <c r="B662" s="239" t="s">
        <v>19</v>
      </c>
      <c r="C662" s="239" t="s">
        <v>20</v>
      </c>
      <c r="D662" s="239" t="s">
        <v>2611</v>
      </c>
      <c r="E662" s="239" t="s">
        <v>2612</v>
      </c>
      <c r="F662" s="239" t="s">
        <v>2623</v>
      </c>
      <c r="G662" s="239">
        <v>12</v>
      </c>
      <c r="H662" s="239" t="s">
        <v>928</v>
      </c>
      <c r="I662" s="239" t="s">
        <v>2456</v>
      </c>
      <c r="J662" s="239" t="s">
        <v>928</v>
      </c>
      <c r="K662" s="239" t="s">
        <v>2398</v>
      </c>
      <c r="L662" s="239">
        <v>5319.9201999999996</v>
      </c>
      <c r="M662" s="239">
        <v>93.5</v>
      </c>
      <c r="N662" s="239">
        <v>0</v>
      </c>
      <c r="O662" s="239">
        <v>3581.0053499999999</v>
      </c>
      <c r="P662" s="239">
        <v>0</v>
      </c>
      <c r="Q662" s="239">
        <v>0</v>
      </c>
      <c r="R662" s="239">
        <v>0</v>
      </c>
      <c r="S662" s="239">
        <v>0</v>
      </c>
      <c r="T662" s="239">
        <v>83.002179999999996</v>
      </c>
      <c r="U662" s="239">
        <v>215.67865</v>
      </c>
      <c r="V662" s="239">
        <v>202.99616</v>
      </c>
      <c r="W662" s="239">
        <v>169.07248000000001</v>
      </c>
      <c r="X662" s="239">
        <v>0</v>
      </c>
      <c r="Y662" s="239">
        <v>0</v>
      </c>
      <c r="Z662" s="239">
        <v>825.85200999999995</v>
      </c>
      <c r="AA662" s="239">
        <v>242.31336999999999</v>
      </c>
      <c r="AB662" s="239">
        <v>0</v>
      </c>
      <c r="AC662" s="239">
        <v>0</v>
      </c>
      <c r="AD662" s="239">
        <v>1</v>
      </c>
      <c r="AE662" s="239" t="s">
        <v>20</v>
      </c>
      <c r="AF662" s="239" t="s">
        <v>718</v>
      </c>
      <c r="AG662" s="239">
        <f t="shared" si="51"/>
        <v>3348.2400022499996</v>
      </c>
      <c r="AH662" s="239">
        <f t="shared" si="52"/>
        <v>0</v>
      </c>
      <c r="AI662" s="239">
        <f t="shared" si="53"/>
        <v>0</v>
      </c>
      <c r="AJ662" s="239">
        <f t="shared" si="54"/>
        <v>3348.2400022499996</v>
      </c>
    </row>
    <row r="663" spans="1:36" x14ac:dyDescent="0.2">
      <c r="A663" s="240" t="str">
        <f t="shared" si="50"/>
        <v>SNMPET151912</v>
      </c>
      <c r="B663" s="239" t="s">
        <v>19</v>
      </c>
      <c r="C663" s="239" t="s">
        <v>20</v>
      </c>
      <c r="D663" s="239" t="s">
        <v>2611</v>
      </c>
      <c r="E663" s="239" t="s">
        <v>2612</v>
      </c>
      <c r="F663" s="239" t="s">
        <v>2623</v>
      </c>
      <c r="G663" s="239">
        <v>12</v>
      </c>
      <c r="H663" s="239" t="s">
        <v>928</v>
      </c>
      <c r="I663" s="239" t="s">
        <v>928</v>
      </c>
      <c r="J663" s="239" t="s">
        <v>928</v>
      </c>
      <c r="K663" s="239" t="s">
        <v>2398</v>
      </c>
      <c r="L663" s="239">
        <v>5319.9198999999999</v>
      </c>
      <c r="M663" s="239">
        <v>93.5</v>
      </c>
      <c r="N663" s="239">
        <v>0</v>
      </c>
      <c r="O663" s="239">
        <v>3581.00803</v>
      </c>
      <c r="P663" s="239">
        <v>0</v>
      </c>
      <c r="Q663" s="239">
        <v>0</v>
      </c>
      <c r="R663" s="239">
        <v>0</v>
      </c>
      <c r="S663" s="239">
        <v>0</v>
      </c>
      <c r="T663" s="239">
        <v>83.001670000000004</v>
      </c>
      <c r="U663" s="239">
        <v>215.6772</v>
      </c>
      <c r="V663" s="239">
        <v>202.99506</v>
      </c>
      <c r="W663" s="239">
        <v>169.07740999999999</v>
      </c>
      <c r="X663" s="239">
        <v>0</v>
      </c>
      <c r="Y663" s="239">
        <v>0</v>
      </c>
      <c r="Z663" s="239">
        <v>825.84937000000002</v>
      </c>
      <c r="AA663" s="239">
        <v>242.31116</v>
      </c>
      <c r="AB663" s="239">
        <v>0</v>
      </c>
      <c r="AC663" s="239">
        <v>0</v>
      </c>
      <c r="AD663" s="239">
        <v>1</v>
      </c>
      <c r="AE663" s="239" t="s">
        <v>20</v>
      </c>
      <c r="AF663" s="239" t="s">
        <v>718</v>
      </c>
      <c r="AG663" s="239">
        <f t="shared" si="51"/>
        <v>3348.2425080500002</v>
      </c>
      <c r="AH663" s="239">
        <f t="shared" si="52"/>
        <v>0</v>
      </c>
      <c r="AI663" s="239">
        <f t="shared" si="53"/>
        <v>0</v>
      </c>
      <c r="AJ663" s="239">
        <f t="shared" si="54"/>
        <v>3348.2425080500002</v>
      </c>
    </row>
    <row r="664" spans="1:36" x14ac:dyDescent="0.2">
      <c r="A664" s="240" t="str">
        <f t="shared" si="50"/>
        <v>7FSNMPETPFR101012</v>
      </c>
      <c r="B664" s="239" t="s">
        <v>19</v>
      </c>
      <c r="C664" s="239" t="s">
        <v>20</v>
      </c>
      <c r="D664" s="239" t="s">
        <v>2611</v>
      </c>
      <c r="E664" s="239" t="s">
        <v>2612</v>
      </c>
      <c r="F664" s="239" t="s">
        <v>2624</v>
      </c>
      <c r="G664" s="239">
        <v>12</v>
      </c>
      <c r="H664" s="239" t="s">
        <v>928</v>
      </c>
      <c r="I664" s="239" t="s">
        <v>2448</v>
      </c>
      <c r="J664" s="239" t="s">
        <v>928</v>
      </c>
      <c r="K664" s="239" t="s">
        <v>2398</v>
      </c>
      <c r="L664" s="239">
        <v>3465.12</v>
      </c>
      <c r="M664" s="239">
        <v>100</v>
      </c>
      <c r="N664" s="239">
        <v>0</v>
      </c>
      <c r="O664" s="239">
        <v>3465.12</v>
      </c>
      <c r="P664" s="239">
        <v>0</v>
      </c>
      <c r="Q664" s="239">
        <v>0</v>
      </c>
      <c r="R664" s="239">
        <v>0</v>
      </c>
      <c r="S664" s="239">
        <v>0</v>
      </c>
      <c r="T664" s="239">
        <v>0</v>
      </c>
      <c r="U664" s="239">
        <v>0</v>
      </c>
      <c r="V664" s="239">
        <v>0</v>
      </c>
      <c r="W664" s="239">
        <v>0</v>
      </c>
      <c r="X664" s="239">
        <v>0</v>
      </c>
      <c r="Y664" s="239">
        <v>0</v>
      </c>
      <c r="Z664" s="239">
        <v>0</v>
      </c>
      <c r="AA664" s="239">
        <v>0</v>
      </c>
      <c r="AB664" s="239">
        <v>0</v>
      </c>
      <c r="AC664" s="239">
        <v>0</v>
      </c>
      <c r="AD664" s="239">
        <v>1</v>
      </c>
      <c r="AE664" s="239" t="s">
        <v>20</v>
      </c>
      <c r="AF664" s="239" t="s">
        <v>718</v>
      </c>
      <c r="AG664" s="239">
        <f t="shared" si="51"/>
        <v>3465.12</v>
      </c>
      <c r="AH664" s="239">
        <f t="shared" si="52"/>
        <v>0</v>
      </c>
      <c r="AI664" s="239">
        <f t="shared" si="53"/>
        <v>0</v>
      </c>
      <c r="AJ664" s="239">
        <f t="shared" si="54"/>
        <v>3465.12</v>
      </c>
    </row>
    <row r="665" spans="1:36" x14ac:dyDescent="0.2">
      <c r="A665" s="240" t="str">
        <f t="shared" si="50"/>
        <v>SNMPETPFR101012</v>
      </c>
      <c r="B665" s="239" t="s">
        <v>19</v>
      </c>
      <c r="C665" s="239" t="s">
        <v>20</v>
      </c>
      <c r="D665" s="239" t="s">
        <v>2611</v>
      </c>
      <c r="E665" s="239" t="s">
        <v>2612</v>
      </c>
      <c r="F665" s="239" t="s">
        <v>2624</v>
      </c>
      <c r="G665" s="239">
        <v>12</v>
      </c>
      <c r="H665" s="239" t="s">
        <v>928</v>
      </c>
      <c r="I665" s="239" t="s">
        <v>928</v>
      </c>
      <c r="J665" s="239" t="s">
        <v>928</v>
      </c>
      <c r="K665" s="239" t="s">
        <v>2398</v>
      </c>
      <c r="L665" s="239">
        <v>3465.1204499999999</v>
      </c>
      <c r="M665" s="239">
        <v>100</v>
      </c>
      <c r="N665" s="239">
        <v>0</v>
      </c>
      <c r="O665" s="239">
        <v>3465.1204499999999</v>
      </c>
      <c r="P665" s="239">
        <v>0</v>
      </c>
      <c r="Q665" s="239">
        <v>0</v>
      </c>
      <c r="R665" s="239">
        <v>0</v>
      </c>
      <c r="S665" s="239">
        <v>0</v>
      </c>
      <c r="T665" s="239">
        <v>0</v>
      </c>
      <c r="U665" s="239">
        <v>0</v>
      </c>
      <c r="V665" s="239">
        <v>0</v>
      </c>
      <c r="W665" s="239">
        <v>0</v>
      </c>
      <c r="X665" s="239">
        <v>0</v>
      </c>
      <c r="Y665" s="239">
        <v>0</v>
      </c>
      <c r="Z665" s="239">
        <v>0</v>
      </c>
      <c r="AA665" s="239">
        <v>0</v>
      </c>
      <c r="AB665" s="239">
        <v>0</v>
      </c>
      <c r="AC665" s="239">
        <v>0</v>
      </c>
      <c r="AD665" s="239">
        <v>1</v>
      </c>
      <c r="AE665" s="239" t="s">
        <v>20</v>
      </c>
      <c r="AF665" s="239" t="s">
        <v>718</v>
      </c>
      <c r="AG665" s="239">
        <f t="shared" si="51"/>
        <v>3465.1204499999999</v>
      </c>
      <c r="AH665" s="239">
        <f t="shared" si="52"/>
        <v>0</v>
      </c>
      <c r="AI665" s="239">
        <f t="shared" si="53"/>
        <v>0</v>
      </c>
      <c r="AJ665" s="239">
        <f t="shared" si="54"/>
        <v>3465.1204499999999</v>
      </c>
    </row>
    <row r="666" spans="1:36" x14ac:dyDescent="0.2">
      <c r="A666" s="240" t="str">
        <f t="shared" si="50"/>
        <v>3ASNMPETVM101025</v>
      </c>
      <c r="B666" s="239" t="s">
        <v>19</v>
      </c>
      <c r="C666" s="239" t="s">
        <v>20</v>
      </c>
      <c r="D666" s="239" t="s">
        <v>2611</v>
      </c>
      <c r="E666" s="239" t="s">
        <v>2612</v>
      </c>
      <c r="F666" s="239" t="s">
        <v>2625</v>
      </c>
      <c r="G666" s="239">
        <v>25</v>
      </c>
      <c r="H666" s="239" t="s">
        <v>928</v>
      </c>
      <c r="I666" s="239" t="s">
        <v>2401</v>
      </c>
      <c r="J666" s="239" t="s">
        <v>928</v>
      </c>
      <c r="K666" s="239" t="s">
        <v>2398</v>
      </c>
      <c r="L666" s="239">
        <v>13103.906129999999</v>
      </c>
      <c r="M666" s="239">
        <v>92</v>
      </c>
      <c r="N666" s="239">
        <v>0</v>
      </c>
      <c r="O666" s="239">
        <v>8426.6304299999993</v>
      </c>
      <c r="P666" s="239">
        <v>0</v>
      </c>
      <c r="Q666" s="239">
        <v>0</v>
      </c>
      <c r="R666" s="239">
        <v>0</v>
      </c>
      <c r="S666" s="239">
        <v>0</v>
      </c>
      <c r="T666" s="239">
        <v>272.00713000000002</v>
      </c>
      <c r="U666" s="239">
        <v>237.34970999999999</v>
      </c>
      <c r="V666" s="239">
        <v>384.99272000000002</v>
      </c>
      <c r="W666" s="239">
        <v>809.15765999999996</v>
      </c>
      <c r="X666" s="239">
        <v>0</v>
      </c>
      <c r="Y666" s="239">
        <v>0</v>
      </c>
      <c r="Z666" s="239">
        <v>2069.4203600000001</v>
      </c>
      <c r="AA666" s="239">
        <v>904.34811999999999</v>
      </c>
      <c r="AB666" s="239">
        <v>0</v>
      </c>
      <c r="AC666" s="239">
        <v>0</v>
      </c>
      <c r="AD666" s="239">
        <v>1</v>
      </c>
      <c r="AE666" s="239" t="s">
        <v>20</v>
      </c>
      <c r="AF666" s="239" t="s">
        <v>718</v>
      </c>
      <c r="AG666" s="239">
        <f t="shared" si="51"/>
        <v>7752.4999955999992</v>
      </c>
      <c r="AH666" s="239">
        <f t="shared" si="52"/>
        <v>0</v>
      </c>
      <c r="AI666" s="239">
        <f t="shared" si="53"/>
        <v>0</v>
      </c>
      <c r="AJ666" s="239">
        <f t="shared" si="54"/>
        <v>7752.4999955999992</v>
      </c>
    </row>
    <row r="667" spans="1:36" x14ac:dyDescent="0.2">
      <c r="A667" s="240" t="str">
        <f t="shared" si="50"/>
        <v>SNMPETVM101025</v>
      </c>
      <c r="B667" s="239" t="s">
        <v>19</v>
      </c>
      <c r="C667" s="239" t="s">
        <v>20</v>
      </c>
      <c r="D667" s="239" t="s">
        <v>2611</v>
      </c>
      <c r="E667" s="239" t="s">
        <v>2612</v>
      </c>
      <c r="F667" s="239" t="s">
        <v>2625</v>
      </c>
      <c r="G667" s="239">
        <v>25</v>
      </c>
      <c r="H667" s="239" t="s">
        <v>928</v>
      </c>
      <c r="I667" s="239" t="s">
        <v>928</v>
      </c>
      <c r="J667" s="239" t="s">
        <v>928</v>
      </c>
      <c r="K667" s="239" t="s">
        <v>2398</v>
      </c>
      <c r="L667" s="239">
        <v>13103.9051</v>
      </c>
      <c r="M667" s="239">
        <v>92</v>
      </c>
      <c r="N667" s="239">
        <v>0</v>
      </c>
      <c r="O667" s="239">
        <v>8426.6309000000001</v>
      </c>
      <c r="P667" s="239">
        <v>0</v>
      </c>
      <c r="Q667" s="239">
        <v>0</v>
      </c>
      <c r="R667" s="239">
        <v>0</v>
      </c>
      <c r="S667" s="239">
        <v>0</v>
      </c>
      <c r="T667" s="239">
        <v>272.00668000000002</v>
      </c>
      <c r="U667" s="239">
        <v>237.35002</v>
      </c>
      <c r="V667" s="239">
        <v>384.99284999999998</v>
      </c>
      <c r="W667" s="239">
        <v>809.15641000000005</v>
      </c>
      <c r="X667" s="239">
        <v>0</v>
      </c>
      <c r="Y667" s="239">
        <v>0</v>
      </c>
      <c r="Z667" s="239">
        <v>2069.4201200000002</v>
      </c>
      <c r="AA667" s="239">
        <v>904.34811999999999</v>
      </c>
      <c r="AB667" s="239">
        <v>0</v>
      </c>
      <c r="AC667" s="239">
        <v>0</v>
      </c>
      <c r="AD667" s="239">
        <v>1</v>
      </c>
      <c r="AE667" s="239" t="s">
        <v>20</v>
      </c>
      <c r="AF667" s="239" t="s">
        <v>718</v>
      </c>
      <c r="AG667" s="239">
        <f t="shared" si="51"/>
        <v>7752.5004280000003</v>
      </c>
      <c r="AH667" s="239">
        <f t="shared" si="52"/>
        <v>0</v>
      </c>
      <c r="AI667" s="239">
        <f t="shared" si="53"/>
        <v>0</v>
      </c>
      <c r="AJ667" s="239">
        <f t="shared" si="54"/>
        <v>7752.5004280000003</v>
      </c>
    </row>
    <row r="668" spans="1:36" x14ac:dyDescent="0.2">
      <c r="A668" s="240" t="str">
        <f t="shared" si="50"/>
        <v>6603SNOPPY33315</v>
      </c>
      <c r="B668" s="239" t="s">
        <v>19</v>
      </c>
      <c r="C668" s="239" t="s">
        <v>20</v>
      </c>
      <c r="D668" s="239" t="s">
        <v>2626</v>
      </c>
      <c r="E668" s="239" t="s">
        <v>2627</v>
      </c>
      <c r="F668" s="239" t="s">
        <v>2628</v>
      </c>
      <c r="G668" s="239">
        <v>15</v>
      </c>
      <c r="H668" s="239" t="s">
        <v>928</v>
      </c>
      <c r="I668" s="239" t="s">
        <v>2629</v>
      </c>
      <c r="J668" s="239" t="s">
        <v>928</v>
      </c>
      <c r="K668" s="239" t="s">
        <v>2398</v>
      </c>
      <c r="L668" s="239">
        <v>4160.24</v>
      </c>
      <c r="M668" s="239">
        <v>100</v>
      </c>
      <c r="N668" s="239">
        <v>0</v>
      </c>
      <c r="O668" s="239">
        <v>4160.24</v>
      </c>
      <c r="P668" s="239">
        <v>0</v>
      </c>
      <c r="Q668" s="239">
        <v>0</v>
      </c>
      <c r="R668" s="239">
        <v>0</v>
      </c>
      <c r="S668" s="239">
        <v>0</v>
      </c>
      <c r="T668" s="239">
        <v>0</v>
      </c>
      <c r="U668" s="239">
        <v>0</v>
      </c>
      <c r="V668" s="239">
        <v>0</v>
      </c>
      <c r="W668" s="239">
        <v>0</v>
      </c>
      <c r="X668" s="239">
        <v>0</v>
      </c>
      <c r="Y668" s="239">
        <v>0</v>
      </c>
      <c r="Z668" s="239">
        <v>0</v>
      </c>
      <c r="AA668" s="239">
        <v>0</v>
      </c>
      <c r="AB668" s="239">
        <v>0</v>
      </c>
      <c r="AC668" s="239">
        <v>0</v>
      </c>
      <c r="AD668" s="239">
        <v>0</v>
      </c>
      <c r="AE668" s="239" t="s">
        <v>20</v>
      </c>
      <c r="AF668" s="239" t="s">
        <v>718</v>
      </c>
      <c r="AG668" s="239">
        <f t="shared" si="51"/>
        <v>4160.24</v>
      </c>
      <c r="AH668" s="239">
        <f t="shared" si="52"/>
        <v>0</v>
      </c>
      <c r="AI668" s="239">
        <f t="shared" si="53"/>
        <v>0</v>
      </c>
      <c r="AJ668" s="239">
        <f t="shared" si="54"/>
        <v>4160.24</v>
      </c>
    </row>
    <row r="669" spans="1:36" x14ac:dyDescent="0.2">
      <c r="A669" s="240" t="str">
        <f t="shared" si="50"/>
        <v>SNOPPY33315</v>
      </c>
      <c r="B669" s="239" t="s">
        <v>19</v>
      </c>
      <c r="C669" s="239" t="s">
        <v>20</v>
      </c>
      <c r="D669" s="239" t="s">
        <v>2626</v>
      </c>
      <c r="E669" s="239" t="s">
        <v>2627</v>
      </c>
      <c r="F669" s="239" t="s">
        <v>2628</v>
      </c>
      <c r="G669" s="239">
        <v>15</v>
      </c>
      <c r="H669" s="239" t="s">
        <v>928</v>
      </c>
      <c r="I669" s="239" t="s">
        <v>928</v>
      </c>
      <c r="J669" s="239" t="s">
        <v>928</v>
      </c>
      <c r="K669" s="239" t="s">
        <v>2398</v>
      </c>
      <c r="L669" s="239">
        <v>4160.24</v>
      </c>
      <c r="M669" s="239">
        <v>100</v>
      </c>
      <c r="N669" s="239">
        <v>0</v>
      </c>
      <c r="O669" s="239">
        <v>4160.24</v>
      </c>
      <c r="P669" s="239">
        <v>0</v>
      </c>
      <c r="Q669" s="239">
        <v>0</v>
      </c>
      <c r="R669" s="239">
        <v>0</v>
      </c>
      <c r="S669" s="239">
        <v>0</v>
      </c>
      <c r="T669" s="239">
        <v>0</v>
      </c>
      <c r="U669" s="239">
        <v>0</v>
      </c>
      <c r="V669" s="239">
        <v>0</v>
      </c>
      <c r="W669" s="239">
        <v>0</v>
      </c>
      <c r="X669" s="239">
        <v>0</v>
      </c>
      <c r="Y669" s="239">
        <v>0</v>
      </c>
      <c r="Z669" s="239">
        <v>0</v>
      </c>
      <c r="AA669" s="239">
        <v>0</v>
      </c>
      <c r="AB669" s="239">
        <v>0</v>
      </c>
      <c r="AC669" s="239">
        <v>0</v>
      </c>
      <c r="AD669" s="239">
        <v>0</v>
      </c>
      <c r="AE669" s="239" t="s">
        <v>20</v>
      </c>
      <c r="AF669" s="239" t="s">
        <v>718</v>
      </c>
      <c r="AG669" s="239">
        <f t="shared" si="51"/>
        <v>4160.24</v>
      </c>
      <c r="AH669" s="239">
        <f t="shared" si="52"/>
        <v>0</v>
      </c>
      <c r="AI669" s="239">
        <f t="shared" si="53"/>
        <v>0</v>
      </c>
      <c r="AJ669" s="239">
        <f t="shared" si="54"/>
        <v>4160.24</v>
      </c>
    </row>
    <row r="670" spans="1:36" x14ac:dyDescent="0.2">
      <c r="A670" s="240" t="str">
        <f t="shared" si="50"/>
        <v>6603SNOPPYT4925</v>
      </c>
      <c r="B670" s="239" t="s">
        <v>19</v>
      </c>
      <c r="C670" s="239" t="s">
        <v>20</v>
      </c>
      <c r="D670" s="239" t="s">
        <v>2626</v>
      </c>
      <c r="E670" s="239" t="s">
        <v>2627</v>
      </c>
      <c r="F670" s="239" t="s">
        <v>2630</v>
      </c>
      <c r="G670" s="239">
        <v>25</v>
      </c>
      <c r="H670" s="239" t="s">
        <v>928</v>
      </c>
      <c r="I670" s="239" t="s">
        <v>2629</v>
      </c>
      <c r="J670" s="239" t="s">
        <v>928</v>
      </c>
      <c r="K670" s="239" t="s">
        <v>2398</v>
      </c>
      <c r="L670" s="239">
        <v>6716.73</v>
      </c>
      <c r="M670" s="239">
        <v>100</v>
      </c>
      <c r="N670" s="239">
        <v>0</v>
      </c>
      <c r="O670" s="239">
        <v>6716.73</v>
      </c>
      <c r="P670" s="239">
        <v>0</v>
      </c>
      <c r="Q670" s="239">
        <v>0</v>
      </c>
      <c r="R670" s="239">
        <v>0</v>
      </c>
      <c r="S670" s="239">
        <v>0</v>
      </c>
      <c r="T670" s="239">
        <v>0</v>
      </c>
      <c r="U670" s="239">
        <v>0</v>
      </c>
      <c r="V670" s="239">
        <v>0</v>
      </c>
      <c r="W670" s="239">
        <v>0</v>
      </c>
      <c r="X670" s="239">
        <v>0</v>
      </c>
      <c r="Y670" s="239">
        <v>0</v>
      </c>
      <c r="Z670" s="239">
        <v>0</v>
      </c>
      <c r="AA670" s="239">
        <v>0</v>
      </c>
      <c r="AB670" s="239">
        <v>0</v>
      </c>
      <c r="AC670" s="239">
        <v>0</v>
      </c>
      <c r="AD670" s="239">
        <v>0</v>
      </c>
      <c r="AE670" s="239" t="s">
        <v>20</v>
      </c>
      <c r="AF670" s="239" t="s">
        <v>718</v>
      </c>
      <c r="AG670" s="239">
        <f t="shared" si="51"/>
        <v>6716.73</v>
      </c>
      <c r="AH670" s="239">
        <f t="shared" si="52"/>
        <v>0</v>
      </c>
      <c r="AI670" s="239">
        <f t="shared" si="53"/>
        <v>0</v>
      </c>
      <c r="AJ670" s="239">
        <f t="shared" si="54"/>
        <v>6716.73</v>
      </c>
    </row>
    <row r="671" spans="1:36" x14ac:dyDescent="0.2">
      <c r="A671" s="240" t="str">
        <f t="shared" si="50"/>
        <v>SNOPPYT4925</v>
      </c>
      <c r="B671" s="239" t="s">
        <v>19</v>
      </c>
      <c r="C671" s="239" t="s">
        <v>20</v>
      </c>
      <c r="D671" s="239" t="s">
        <v>2626</v>
      </c>
      <c r="E671" s="239" t="s">
        <v>2627</v>
      </c>
      <c r="F671" s="239" t="s">
        <v>2630</v>
      </c>
      <c r="G671" s="239">
        <v>25</v>
      </c>
      <c r="H671" s="239" t="s">
        <v>928</v>
      </c>
      <c r="I671" s="239" t="s">
        <v>928</v>
      </c>
      <c r="J671" s="239" t="s">
        <v>928</v>
      </c>
      <c r="K671" s="239" t="s">
        <v>2398</v>
      </c>
      <c r="L671" s="239">
        <v>6716.73</v>
      </c>
      <c r="M671" s="239">
        <v>100</v>
      </c>
      <c r="N671" s="239">
        <v>0</v>
      </c>
      <c r="O671" s="239">
        <v>6716.73</v>
      </c>
      <c r="P671" s="239">
        <v>0</v>
      </c>
      <c r="Q671" s="239">
        <v>0</v>
      </c>
      <c r="R671" s="239">
        <v>0</v>
      </c>
      <c r="S671" s="239">
        <v>0</v>
      </c>
      <c r="T671" s="239">
        <v>0</v>
      </c>
      <c r="U671" s="239">
        <v>0</v>
      </c>
      <c r="V671" s="239">
        <v>0</v>
      </c>
      <c r="W671" s="239">
        <v>0</v>
      </c>
      <c r="X671" s="239">
        <v>0</v>
      </c>
      <c r="Y671" s="239">
        <v>0</v>
      </c>
      <c r="Z671" s="239">
        <v>0</v>
      </c>
      <c r="AA671" s="239">
        <v>0</v>
      </c>
      <c r="AB671" s="239">
        <v>0</v>
      </c>
      <c r="AC671" s="239">
        <v>0</v>
      </c>
      <c r="AD671" s="239">
        <v>0</v>
      </c>
      <c r="AE671" s="239" t="s">
        <v>20</v>
      </c>
      <c r="AF671" s="239" t="s">
        <v>718</v>
      </c>
      <c r="AG671" s="239">
        <f t="shared" si="51"/>
        <v>6716.73</v>
      </c>
      <c r="AH671" s="239">
        <f t="shared" si="52"/>
        <v>0</v>
      </c>
      <c r="AI671" s="239">
        <f t="shared" si="53"/>
        <v>0</v>
      </c>
      <c r="AJ671" s="239">
        <f t="shared" si="54"/>
        <v>6716.73</v>
      </c>
    </row>
    <row r="672" spans="1:36" x14ac:dyDescent="0.2">
      <c r="A672" s="240" t="str">
        <f t="shared" si="50"/>
        <v>6360SNPETF86516</v>
      </c>
      <c r="B672" s="239" t="s">
        <v>19</v>
      </c>
      <c r="C672" s="239" t="s">
        <v>20</v>
      </c>
      <c r="D672" s="239" t="s">
        <v>2631</v>
      </c>
      <c r="E672" s="239" t="s">
        <v>2632</v>
      </c>
      <c r="F672" s="239" t="s">
        <v>2633</v>
      </c>
      <c r="G672" s="239">
        <v>16</v>
      </c>
      <c r="H672" s="239" t="s">
        <v>928</v>
      </c>
      <c r="I672" s="239" t="s">
        <v>2634</v>
      </c>
      <c r="J672" s="239" t="s">
        <v>928</v>
      </c>
      <c r="K672" s="239" t="s">
        <v>2398</v>
      </c>
      <c r="L672" s="239">
        <v>12543.55</v>
      </c>
      <c r="M672" s="239">
        <v>100</v>
      </c>
      <c r="N672" s="239">
        <v>0</v>
      </c>
      <c r="O672" s="239">
        <v>12543.55</v>
      </c>
      <c r="P672" s="239">
        <v>0</v>
      </c>
      <c r="Q672" s="239">
        <v>0</v>
      </c>
      <c r="R672" s="239">
        <v>0</v>
      </c>
      <c r="S672" s="239">
        <v>0</v>
      </c>
      <c r="T672" s="239">
        <v>0</v>
      </c>
      <c r="U672" s="239">
        <v>0</v>
      </c>
      <c r="V672" s="239">
        <v>0</v>
      </c>
      <c r="W672" s="239">
        <v>0</v>
      </c>
      <c r="X672" s="239">
        <v>0</v>
      </c>
      <c r="Y672" s="239">
        <v>0</v>
      </c>
      <c r="Z672" s="239">
        <v>0</v>
      </c>
      <c r="AA672" s="239">
        <v>0</v>
      </c>
      <c r="AB672" s="239">
        <v>0</v>
      </c>
      <c r="AC672" s="239">
        <v>0</v>
      </c>
      <c r="AD672" s="239">
        <v>0</v>
      </c>
      <c r="AE672" s="239" t="s">
        <v>20</v>
      </c>
      <c r="AF672" s="239" t="s">
        <v>718</v>
      </c>
      <c r="AG672" s="239">
        <f t="shared" si="51"/>
        <v>12543.55</v>
      </c>
      <c r="AH672" s="239">
        <f t="shared" si="52"/>
        <v>0</v>
      </c>
      <c r="AI672" s="239">
        <f t="shared" si="53"/>
        <v>0</v>
      </c>
      <c r="AJ672" s="239">
        <f t="shared" si="54"/>
        <v>12543.55</v>
      </c>
    </row>
    <row r="673" spans="1:36" x14ac:dyDescent="0.2">
      <c r="A673" s="240" t="str">
        <f t="shared" si="50"/>
        <v>SNPETF86516</v>
      </c>
      <c r="B673" s="239" t="s">
        <v>19</v>
      </c>
      <c r="C673" s="239" t="s">
        <v>20</v>
      </c>
      <c r="D673" s="239" t="s">
        <v>2631</v>
      </c>
      <c r="E673" s="239" t="s">
        <v>2632</v>
      </c>
      <c r="F673" s="239" t="s">
        <v>2633</v>
      </c>
      <c r="G673" s="239">
        <v>16</v>
      </c>
      <c r="H673" s="239" t="s">
        <v>928</v>
      </c>
      <c r="I673" s="239" t="s">
        <v>928</v>
      </c>
      <c r="J673" s="239" t="s">
        <v>928</v>
      </c>
      <c r="K673" s="239" t="s">
        <v>2398</v>
      </c>
      <c r="L673" s="239">
        <v>12543.55</v>
      </c>
      <c r="M673" s="239">
        <v>100</v>
      </c>
      <c r="N673" s="239">
        <v>0</v>
      </c>
      <c r="O673" s="239">
        <v>12543.55</v>
      </c>
      <c r="P673" s="239">
        <v>0</v>
      </c>
      <c r="Q673" s="239">
        <v>0</v>
      </c>
      <c r="R673" s="239">
        <v>0</v>
      </c>
      <c r="S673" s="239">
        <v>0</v>
      </c>
      <c r="T673" s="239">
        <v>0</v>
      </c>
      <c r="U673" s="239">
        <v>0</v>
      </c>
      <c r="V673" s="239">
        <v>0</v>
      </c>
      <c r="W673" s="239">
        <v>0</v>
      </c>
      <c r="X673" s="239">
        <v>0</v>
      </c>
      <c r="Y673" s="239">
        <v>0</v>
      </c>
      <c r="Z673" s="239">
        <v>0</v>
      </c>
      <c r="AA673" s="239">
        <v>0</v>
      </c>
      <c r="AB673" s="239">
        <v>0</v>
      </c>
      <c r="AC673" s="239">
        <v>0</v>
      </c>
      <c r="AD673" s="239">
        <v>0</v>
      </c>
      <c r="AE673" s="239" t="s">
        <v>20</v>
      </c>
      <c r="AF673" s="239" t="s">
        <v>718</v>
      </c>
      <c r="AG673" s="239">
        <f t="shared" si="51"/>
        <v>12543.55</v>
      </c>
      <c r="AH673" s="239">
        <f t="shared" si="52"/>
        <v>0</v>
      </c>
      <c r="AI673" s="239">
        <f t="shared" si="53"/>
        <v>0</v>
      </c>
      <c r="AJ673" s="239">
        <f t="shared" si="54"/>
        <v>12543.55</v>
      </c>
    </row>
    <row r="674" spans="1:36" x14ac:dyDescent="0.2">
      <c r="A674" s="240" t="str">
        <f t="shared" si="50"/>
        <v>6370SNPETP6012</v>
      </c>
      <c r="B674" s="239" t="s">
        <v>19</v>
      </c>
      <c r="C674" s="239" t="s">
        <v>20</v>
      </c>
      <c r="D674" s="239" t="s">
        <v>2631</v>
      </c>
      <c r="E674" s="239" t="s">
        <v>2632</v>
      </c>
      <c r="F674" s="239" t="s">
        <v>2635</v>
      </c>
      <c r="G674" s="239">
        <v>12</v>
      </c>
      <c r="H674" s="239" t="s">
        <v>928</v>
      </c>
      <c r="I674" s="239" t="s">
        <v>2636</v>
      </c>
      <c r="J674" s="239" t="s">
        <v>928</v>
      </c>
      <c r="K674" s="239" t="s">
        <v>2398</v>
      </c>
      <c r="L674" s="239">
        <v>2888.07</v>
      </c>
      <c r="M674" s="239">
        <v>100</v>
      </c>
      <c r="N674" s="239">
        <v>0</v>
      </c>
      <c r="O674" s="239">
        <v>2888.07</v>
      </c>
      <c r="P674" s="239">
        <v>0</v>
      </c>
      <c r="Q674" s="239">
        <v>0</v>
      </c>
      <c r="R674" s="239">
        <v>0</v>
      </c>
      <c r="S674" s="239">
        <v>0</v>
      </c>
      <c r="T674" s="239">
        <v>0</v>
      </c>
      <c r="U674" s="239">
        <v>0</v>
      </c>
      <c r="V674" s="239">
        <v>0</v>
      </c>
      <c r="W674" s="239">
        <v>0</v>
      </c>
      <c r="X674" s="239">
        <v>0</v>
      </c>
      <c r="Y674" s="239">
        <v>0</v>
      </c>
      <c r="Z674" s="239">
        <v>0</v>
      </c>
      <c r="AA674" s="239">
        <v>0</v>
      </c>
      <c r="AB674" s="239">
        <v>0</v>
      </c>
      <c r="AC674" s="239">
        <v>0</v>
      </c>
      <c r="AD674" s="239">
        <v>0</v>
      </c>
      <c r="AE674" s="239" t="s">
        <v>20</v>
      </c>
      <c r="AF674" s="239" t="s">
        <v>718</v>
      </c>
      <c r="AG674" s="239">
        <f t="shared" si="51"/>
        <v>2888.07</v>
      </c>
      <c r="AH674" s="239">
        <f t="shared" si="52"/>
        <v>0</v>
      </c>
      <c r="AI674" s="239">
        <f t="shared" si="53"/>
        <v>0</v>
      </c>
      <c r="AJ674" s="239">
        <f t="shared" si="54"/>
        <v>2888.07</v>
      </c>
    </row>
    <row r="675" spans="1:36" x14ac:dyDescent="0.2">
      <c r="A675" s="240" t="str">
        <f t="shared" si="50"/>
        <v>6371SNPETP6012</v>
      </c>
      <c r="B675" s="239" t="s">
        <v>19</v>
      </c>
      <c r="C675" s="239" t="s">
        <v>20</v>
      </c>
      <c r="D675" s="239" t="s">
        <v>2631</v>
      </c>
      <c r="E675" s="239" t="s">
        <v>2632</v>
      </c>
      <c r="F675" s="239" t="s">
        <v>2635</v>
      </c>
      <c r="G675" s="239">
        <v>12</v>
      </c>
      <c r="H675" s="239" t="s">
        <v>928</v>
      </c>
      <c r="I675" s="239" t="s">
        <v>2637</v>
      </c>
      <c r="J675" s="239" t="s">
        <v>928</v>
      </c>
      <c r="K675" s="239" t="s">
        <v>2398</v>
      </c>
      <c r="L675" s="239">
        <v>3190.44</v>
      </c>
      <c r="M675" s="239">
        <v>100</v>
      </c>
      <c r="N675" s="239">
        <v>0</v>
      </c>
      <c r="O675" s="239">
        <v>3190.44</v>
      </c>
      <c r="P675" s="239">
        <v>0</v>
      </c>
      <c r="Q675" s="239">
        <v>0</v>
      </c>
      <c r="R675" s="239">
        <v>0</v>
      </c>
      <c r="S675" s="239">
        <v>0</v>
      </c>
      <c r="T675" s="239">
        <v>0</v>
      </c>
      <c r="U675" s="239">
        <v>0</v>
      </c>
      <c r="V675" s="239">
        <v>0</v>
      </c>
      <c r="W675" s="239">
        <v>0</v>
      </c>
      <c r="X675" s="239">
        <v>0</v>
      </c>
      <c r="Y675" s="239">
        <v>0</v>
      </c>
      <c r="Z675" s="239">
        <v>0</v>
      </c>
      <c r="AA675" s="239">
        <v>0</v>
      </c>
      <c r="AB675" s="239">
        <v>0</v>
      </c>
      <c r="AC675" s="239">
        <v>0</v>
      </c>
      <c r="AD675" s="239">
        <v>0</v>
      </c>
      <c r="AE675" s="239" t="s">
        <v>19</v>
      </c>
      <c r="AF675" s="239" t="s">
        <v>718</v>
      </c>
      <c r="AG675" s="239">
        <f t="shared" si="51"/>
        <v>3190.44</v>
      </c>
      <c r="AH675" s="239">
        <f t="shared" si="52"/>
        <v>0</v>
      </c>
      <c r="AI675" s="239">
        <f t="shared" si="53"/>
        <v>0</v>
      </c>
      <c r="AJ675" s="239">
        <f t="shared" si="54"/>
        <v>3190.44</v>
      </c>
    </row>
    <row r="676" spans="1:36" x14ac:dyDescent="0.2">
      <c r="A676" s="240" t="str">
        <f t="shared" si="50"/>
        <v>6372SNPETP6012</v>
      </c>
      <c r="B676" s="239" t="s">
        <v>19</v>
      </c>
      <c r="C676" s="239" t="s">
        <v>20</v>
      </c>
      <c r="D676" s="239" t="s">
        <v>2631</v>
      </c>
      <c r="E676" s="239" t="s">
        <v>2632</v>
      </c>
      <c r="F676" s="239" t="s">
        <v>2635</v>
      </c>
      <c r="G676" s="239">
        <v>12</v>
      </c>
      <c r="H676" s="239" t="s">
        <v>928</v>
      </c>
      <c r="I676" s="239" t="s">
        <v>2638</v>
      </c>
      <c r="J676" s="239" t="s">
        <v>928</v>
      </c>
      <c r="K676" s="239" t="s">
        <v>2398</v>
      </c>
      <c r="L676" s="239">
        <v>3190.44</v>
      </c>
      <c r="M676" s="239">
        <v>100</v>
      </c>
      <c r="N676" s="239">
        <v>0</v>
      </c>
      <c r="O676" s="239">
        <v>3190.44</v>
      </c>
      <c r="P676" s="239">
        <v>0</v>
      </c>
      <c r="Q676" s="239">
        <v>0</v>
      </c>
      <c r="R676" s="239">
        <v>0</v>
      </c>
      <c r="S676" s="239">
        <v>0</v>
      </c>
      <c r="T676" s="239">
        <v>0</v>
      </c>
      <c r="U676" s="239">
        <v>0</v>
      </c>
      <c r="V676" s="239">
        <v>0</v>
      </c>
      <c r="W676" s="239">
        <v>0</v>
      </c>
      <c r="X676" s="239">
        <v>0</v>
      </c>
      <c r="Y676" s="239">
        <v>0</v>
      </c>
      <c r="Z676" s="239">
        <v>0</v>
      </c>
      <c r="AA676" s="239">
        <v>0</v>
      </c>
      <c r="AB676" s="239">
        <v>0</v>
      </c>
      <c r="AC676" s="239">
        <v>0</v>
      </c>
      <c r="AD676" s="239">
        <v>0</v>
      </c>
      <c r="AE676" s="239" t="s">
        <v>19</v>
      </c>
      <c r="AF676" s="239" t="s">
        <v>718</v>
      </c>
      <c r="AG676" s="239">
        <f t="shared" si="51"/>
        <v>3190.44</v>
      </c>
      <c r="AH676" s="239">
        <f t="shared" si="52"/>
        <v>0</v>
      </c>
      <c r="AI676" s="239">
        <f t="shared" si="53"/>
        <v>0</v>
      </c>
      <c r="AJ676" s="239">
        <f t="shared" si="54"/>
        <v>3190.44</v>
      </c>
    </row>
    <row r="677" spans="1:36" x14ac:dyDescent="0.2">
      <c r="A677" s="240" t="str">
        <f t="shared" si="50"/>
        <v>6376SNPETP6012</v>
      </c>
      <c r="B677" s="239" t="s">
        <v>19</v>
      </c>
      <c r="C677" s="239" t="s">
        <v>20</v>
      </c>
      <c r="D677" s="239" t="s">
        <v>2631</v>
      </c>
      <c r="E677" s="239" t="s">
        <v>2632</v>
      </c>
      <c r="F677" s="239" t="s">
        <v>2635</v>
      </c>
      <c r="G677" s="239">
        <v>12</v>
      </c>
      <c r="H677" s="239" t="s">
        <v>928</v>
      </c>
      <c r="I677" s="239" t="s">
        <v>2639</v>
      </c>
      <c r="J677" s="239" t="s">
        <v>928</v>
      </c>
      <c r="K677" s="239" t="s">
        <v>2398</v>
      </c>
      <c r="L677" s="239">
        <v>2778</v>
      </c>
      <c r="M677" s="239">
        <v>100</v>
      </c>
      <c r="N677" s="239">
        <v>0</v>
      </c>
      <c r="O677" s="239">
        <v>2778</v>
      </c>
      <c r="P677" s="239">
        <v>0</v>
      </c>
      <c r="Q677" s="239">
        <v>0</v>
      </c>
      <c r="R677" s="239">
        <v>0</v>
      </c>
      <c r="S677" s="239">
        <v>0</v>
      </c>
      <c r="T677" s="239">
        <v>0</v>
      </c>
      <c r="U677" s="239">
        <v>0</v>
      </c>
      <c r="V677" s="239">
        <v>0</v>
      </c>
      <c r="W677" s="239">
        <v>0</v>
      </c>
      <c r="X677" s="239">
        <v>0</v>
      </c>
      <c r="Y677" s="239">
        <v>0</v>
      </c>
      <c r="Z677" s="239">
        <v>0</v>
      </c>
      <c r="AA677" s="239">
        <v>0</v>
      </c>
      <c r="AB677" s="239">
        <v>0</v>
      </c>
      <c r="AC677" s="239">
        <v>0</v>
      </c>
      <c r="AD677" s="239">
        <v>0</v>
      </c>
      <c r="AE677" s="239" t="s">
        <v>19</v>
      </c>
      <c r="AF677" s="239" t="s">
        <v>718</v>
      </c>
      <c r="AG677" s="239">
        <f t="shared" si="51"/>
        <v>2778</v>
      </c>
      <c r="AH677" s="239">
        <f t="shared" si="52"/>
        <v>0</v>
      </c>
      <c r="AI677" s="239">
        <f t="shared" si="53"/>
        <v>0</v>
      </c>
      <c r="AJ677" s="239">
        <f t="shared" si="54"/>
        <v>2778</v>
      </c>
    </row>
    <row r="678" spans="1:36" x14ac:dyDescent="0.2">
      <c r="A678" s="240" t="str">
        <f t="shared" si="50"/>
        <v>6377SNPETP6012</v>
      </c>
      <c r="B678" s="239" t="s">
        <v>19</v>
      </c>
      <c r="C678" s="239" t="s">
        <v>20</v>
      </c>
      <c r="D678" s="239" t="s">
        <v>2631</v>
      </c>
      <c r="E678" s="239" t="s">
        <v>2632</v>
      </c>
      <c r="F678" s="239" t="s">
        <v>2635</v>
      </c>
      <c r="G678" s="239">
        <v>12</v>
      </c>
      <c r="H678" s="239" t="s">
        <v>928</v>
      </c>
      <c r="I678" s="239" t="s">
        <v>2640</v>
      </c>
      <c r="J678" s="239" t="s">
        <v>928</v>
      </c>
      <c r="K678" s="239" t="s">
        <v>2398</v>
      </c>
      <c r="L678" s="239">
        <v>2778</v>
      </c>
      <c r="M678" s="239">
        <v>100</v>
      </c>
      <c r="N678" s="239">
        <v>0</v>
      </c>
      <c r="O678" s="239">
        <v>2778</v>
      </c>
      <c r="P678" s="239">
        <v>0</v>
      </c>
      <c r="Q678" s="239">
        <v>0</v>
      </c>
      <c r="R678" s="239">
        <v>0</v>
      </c>
      <c r="S678" s="239">
        <v>0</v>
      </c>
      <c r="T678" s="239">
        <v>0</v>
      </c>
      <c r="U678" s="239">
        <v>0</v>
      </c>
      <c r="V678" s="239">
        <v>0</v>
      </c>
      <c r="W678" s="239">
        <v>0</v>
      </c>
      <c r="X678" s="239">
        <v>0</v>
      </c>
      <c r="Y678" s="239">
        <v>0</v>
      </c>
      <c r="Z678" s="239">
        <v>0</v>
      </c>
      <c r="AA678" s="239">
        <v>0</v>
      </c>
      <c r="AB678" s="239">
        <v>0</v>
      </c>
      <c r="AC678" s="239">
        <v>0</v>
      </c>
      <c r="AD678" s="239">
        <v>0</v>
      </c>
      <c r="AE678" s="239" t="s">
        <v>19</v>
      </c>
      <c r="AF678" s="239" t="s">
        <v>718</v>
      </c>
      <c r="AG678" s="239">
        <f t="shared" si="51"/>
        <v>2778</v>
      </c>
      <c r="AH678" s="239">
        <f t="shared" si="52"/>
        <v>0</v>
      </c>
      <c r="AI678" s="239">
        <f t="shared" si="53"/>
        <v>0</v>
      </c>
      <c r="AJ678" s="239">
        <f t="shared" si="54"/>
        <v>2778</v>
      </c>
    </row>
    <row r="679" spans="1:36" x14ac:dyDescent="0.2">
      <c r="A679" s="240" t="str">
        <f t="shared" si="50"/>
        <v>6378SNPETP6012</v>
      </c>
      <c r="B679" s="239" t="s">
        <v>19</v>
      </c>
      <c r="C679" s="239" t="s">
        <v>20</v>
      </c>
      <c r="D679" s="239" t="s">
        <v>2631</v>
      </c>
      <c r="E679" s="239" t="s">
        <v>2632</v>
      </c>
      <c r="F679" s="239" t="s">
        <v>2635</v>
      </c>
      <c r="G679" s="239">
        <v>12</v>
      </c>
      <c r="H679" s="239" t="s">
        <v>928</v>
      </c>
      <c r="I679" s="239" t="s">
        <v>2641</v>
      </c>
      <c r="J679" s="239" t="s">
        <v>928</v>
      </c>
      <c r="K679" s="239" t="s">
        <v>2398</v>
      </c>
      <c r="L679" s="239">
        <v>2870.4</v>
      </c>
      <c r="M679" s="239">
        <v>100</v>
      </c>
      <c r="N679" s="239">
        <v>0</v>
      </c>
      <c r="O679" s="239">
        <v>2870.4</v>
      </c>
      <c r="P679" s="239">
        <v>0</v>
      </c>
      <c r="Q679" s="239">
        <v>0</v>
      </c>
      <c r="R679" s="239">
        <v>0</v>
      </c>
      <c r="S679" s="239">
        <v>0</v>
      </c>
      <c r="T679" s="239">
        <v>0</v>
      </c>
      <c r="U679" s="239">
        <v>0</v>
      </c>
      <c r="V679" s="239">
        <v>0</v>
      </c>
      <c r="W679" s="239">
        <v>0</v>
      </c>
      <c r="X679" s="239">
        <v>0</v>
      </c>
      <c r="Y679" s="239">
        <v>0</v>
      </c>
      <c r="Z679" s="239">
        <v>0</v>
      </c>
      <c r="AA679" s="239">
        <v>0</v>
      </c>
      <c r="AB679" s="239">
        <v>0</v>
      </c>
      <c r="AC679" s="239">
        <v>0</v>
      </c>
      <c r="AD679" s="239">
        <v>0</v>
      </c>
      <c r="AE679" s="239" t="s">
        <v>19</v>
      </c>
      <c r="AF679" s="239" t="s">
        <v>718</v>
      </c>
      <c r="AG679" s="239">
        <f t="shared" si="51"/>
        <v>2870.4</v>
      </c>
      <c r="AH679" s="239">
        <f t="shared" si="52"/>
        <v>0</v>
      </c>
      <c r="AI679" s="239">
        <f t="shared" si="53"/>
        <v>0</v>
      </c>
      <c r="AJ679" s="239">
        <f t="shared" si="54"/>
        <v>2870.4</v>
      </c>
    </row>
    <row r="680" spans="1:36" x14ac:dyDescent="0.2">
      <c r="A680" s="240" t="str">
        <f t="shared" si="50"/>
        <v>SNPETP6012</v>
      </c>
      <c r="B680" s="239" t="s">
        <v>19</v>
      </c>
      <c r="C680" s="239" t="s">
        <v>20</v>
      </c>
      <c r="D680" s="239" t="s">
        <v>2631</v>
      </c>
      <c r="E680" s="239" t="s">
        <v>2632</v>
      </c>
      <c r="F680" s="239" t="s">
        <v>2635</v>
      </c>
      <c r="G680" s="239">
        <v>12</v>
      </c>
      <c r="H680" s="239" t="s">
        <v>928</v>
      </c>
      <c r="I680" s="239" t="s">
        <v>928</v>
      </c>
      <c r="J680" s="239" t="s">
        <v>928</v>
      </c>
      <c r="K680" s="239" t="s">
        <v>2398</v>
      </c>
      <c r="L680" s="239">
        <v>2872.29</v>
      </c>
      <c r="M680" s="239">
        <v>100</v>
      </c>
      <c r="N680" s="239">
        <v>0</v>
      </c>
      <c r="O680" s="239">
        <v>2872.29</v>
      </c>
      <c r="P680" s="239">
        <v>0</v>
      </c>
      <c r="Q680" s="239">
        <v>0</v>
      </c>
      <c r="R680" s="239">
        <v>0</v>
      </c>
      <c r="S680" s="239">
        <v>0</v>
      </c>
      <c r="T680" s="239">
        <v>0</v>
      </c>
      <c r="U680" s="239">
        <v>0</v>
      </c>
      <c r="V680" s="239">
        <v>0</v>
      </c>
      <c r="W680" s="239">
        <v>0</v>
      </c>
      <c r="X680" s="239">
        <v>0</v>
      </c>
      <c r="Y680" s="239">
        <v>0</v>
      </c>
      <c r="Z680" s="239">
        <v>0</v>
      </c>
      <c r="AA680" s="239">
        <v>0</v>
      </c>
      <c r="AB680" s="239">
        <v>0</v>
      </c>
      <c r="AC680" s="239">
        <v>0</v>
      </c>
      <c r="AD680" s="239">
        <v>0</v>
      </c>
      <c r="AE680" s="239" t="s">
        <v>19</v>
      </c>
      <c r="AF680" s="239" t="s">
        <v>718</v>
      </c>
      <c r="AG680" s="239">
        <f t="shared" si="51"/>
        <v>2872.29</v>
      </c>
      <c r="AH680" s="239">
        <f t="shared" si="52"/>
        <v>0</v>
      </c>
      <c r="AI680" s="239">
        <f t="shared" si="53"/>
        <v>0</v>
      </c>
      <c r="AJ680" s="239">
        <f t="shared" si="54"/>
        <v>2872.29</v>
      </c>
    </row>
    <row r="681" spans="1:36" x14ac:dyDescent="0.2">
      <c r="A681" s="240" t="str">
        <f t="shared" si="50"/>
        <v>6360SNPETP6016</v>
      </c>
      <c r="B681" s="239" t="s">
        <v>19</v>
      </c>
      <c r="C681" s="239" t="s">
        <v>20</v>
      </c>
      <c r="D681" s="239" t="s">
        <v>2631</v>
      </c>
      <c r="E681" s="239" t="s">
        <v>2632</v>
      </c>
      <c r="F681" s="239" t="s">
        <v>2635</v>
      </c>
      <c r="G681" s="239">
        <v>16</v>
      </c>
      <c r="H681" s="239" t="s">
        <v>928</v>
      </c>
      <c r="I681" s="239" t="s">
        <v>2634</v>
      </c>
      <c r="J681" s="239" t="s">
        <v>928</v>
      </c>
      <c r="K681" s="239" t="s">
        <v>2398</v>
      </c>
      <c r="L681" s="239">
        <v>4882.6400000000003</v>
      </c>
      <c r="M681" s="239">
        <v>100</v>
      </c>
      <c r="N681" s="239">
        <v>0</v>
      </c>
      <c r="O681" s="239">
        <v>4882.6400000000003</v>
      </c>
      <c r="P681" s="239">
        <v>0</v>
      </c>
      <c r="Q681" s="239">
        <v>0</v>
      </c>
      <c r="R681" s="239">
        <v>0</v>
      </c>
      <c r="S681" s="239">
        <v>0</v>
      </c>
      <c r="T681" s="239">
        <v>0</v>
      </c>
      <c r="U681" s="239">
        <v>0</v>
      </c>
      <c r="V681" s="239">
        <v>0</v>
      </c>
      <c r="W681" s="239">
        <v>0</v>
      </c>
      <c r="X681" s="239">
        <v>0</v>
      </c>
      <c r="Y681" s="239">
        <v>0</v>
      </c>
      <c r="Z681" s="239">
        <v>0</v>
      </c>
      <c r="AA681" s="239">
        <v>0</v>
      </c>
      <c r="AB681" s="239">
        <v>0</v>
      </c>
      <c r="AC681" s="239">
        <v>0</v>
      </c>
      <c r="AD681" s="239">
        <v>0</v>
      </c>
      <c r="AE681" s="239" t="s">
        <v>19</v>
      </c>
      <c r="AF681" s="239" t="s">
        <v>718</v>
      </c>
      <c r="AG681" s="239">
        <f t="shared" si="51"/>
        <v>4882.6400000000003</v>
      </c>
      <c r="AH681" s="239">
        <f t="shared" si="52"/>
        <v>0</v>
      </c>
      <c r="AI681" s="239">
        <f t="shared" si="53"/>
        <v>0</v>
      </c>
      <c r="AJ681" s="239">
        <f t="shared" si="54"/>
        <v>4882.6400000000003</v>
      </c>
    </row>
    <row r="682" spans="1:36" x14ac:dyDescent="0.2">
      <c r="A682" s="240" t="str">
        <f t="shared" si="50"/>
        <v>SNPETP6016</v>
      </c>
      <c r="B682" s="239" t="s">
        <v>19</v>
      </c>
      <c r="C682" s="239" t="s">
        <v>20</v>
      </c>
      <c r="D682" s="239" t="s">
        <v>2631</v>
      </c>
      <c r="E682" s="239" t="s">
        <v>2632</v>
      </c>
      <c r="F682" s="239" t="s">
        <v>2635</v>
      </c>
      <c r="G682" s="239">
        <v>16</v>
      </c>
      <c r="H682" s="239" t="s">
        <v>928</v>
      </c>
      <c r="I682" s="239" t="s">
        <v>928</v>
      </c>
      <c r="J682" s="239" t="s">
        <v>928</v>
      </c>
      <c r="K682" s="239" t="s">
        <v>2398</v>
      </c>
      <c r="L682" s="239">
        <v>4882.6400000000003</v>
      </c>
      <c r="M682" s="239">
        <v>100</v>
      </c>
      <c r="N682" s="239">
        <v>0</v>
      </c>
      <c r="O682" s="239">
        <v>4882.6400000000003</v>
      </c>
      <c r="P682" s="239">
        <v>0</v>
      </c>
      <c r="Q682" s="239">
        <v>0</v>
      </c>
      <c r="R682" s="239">
        <v>0</v>
      </c>
      <c r="S682" s="239">
        <v>0</v>
      </c>
      <c r="T682" s="239">
        <v>0</v>
      </c>
      <c r="U682" s="239">
        <v>0</v>
      </c>
      <c r="V682" s="239">
        <v>0</v>
      </c>
      <c r="W682" s="239">
        <v>0</v>
      </c>
      <c r="X682" s="239">
        <v>0</v>
      </c>
      <c r="Y682" s="239">
        <v>0</v>
      </c>
      <c r="Z682" s="239">
        <v>0</v>
      </c>
      <c r="AA682" s="239">
        <v>0</v>
      </c>
      <c r="AB682" s="239">
        <v>0</v>
      </c>
      <c r="AC682" s="239">
        <v>0</v>
      </c>
      <c r="AD682" s="239">
        <v>0</v>
      </c>
      <c r="AE682" s="239" t="s">
        <v>19</v>
      </c>
      <c r="AF682" s="239" t="s">
        <v>718</v>
      </c>
      <c r="AG682" s="239">
        <f t="shared" si="51"/>
        <v>4882.6400000000003</v>
      </c>
      <c r="AH682" s="239">
        <f t="shared" si="52"/>
        <v>0</v>
      </c>
      <c r="AI682" s="239">
        <f t="shared" si="53"/>
        <v>0</v>
      </c>
      <c r="AJ682" s="239">
        <f t="shared" si="54"/>
        <v>4882.6400000000003</v>
      </c>
    </row>
    <row r="683" spans="1:36" x14ac:dyDescent="0.2">
      <c r="A683" s="240" t="str">
        <f t="shared" si="50"/>
        <v>6371SNPETP60C12</v>
      </c>
      <c r="B683" s="239" t="s">
        <v>19</v>
      </c>
      <c r="C683" s="239" t="s">
        <v>20</v>
      </c>
      <c r="D683" s="239" t="s">
        <v>2631</v>
      </c>
      <c r="E683" s="239" t="s">
        <v>2632</v>
      </c>
      <c r="F683" s="239" t="s">
        <v>2642</v>
      </c>
      <c r="G683" s="239">
        <v>12</v>
      </c>
      <c r="H683" s="239" t="s">
        <v>928</v>
      </c>
      <c r="I683" s="239" t="s">
        <v>2637</v>
      </c>
      <c r="J683" s="239" t="s">
        <v>928</v>
      </c>
      <c r="K683" s="239" t="s">
        <v>2398</v>
      </c>
      <c r="L683" s="239">
        <v>3190.44</v>
      </c>
      <c r="M683" s="239">
        <v>100</v>
      </c>
      <c r="N683" s="239">
        <v>0</v>
      </c>
      <c r="O683" s="239">
        <v>3190.44</v>
      </c>
      <c r="P683" s="239">
        <v>0</v>
      </c>
      <c r="Q683" s="239">
        <v>0</v>
      </c>
      <c r="R683" s="239">
        <v>0</v>
      </c>
      <c r="S683" s="239">
        <v>0</v>
      </c>
      <c r="T683" s="239">
        <v>0</v>
      </c>
      <c r="U683" s="239">
        <v>0</v>
      </c>
      <c r="V683" s="239">
        <v>0</v>
      </c>
      <c r="W683" s="239">
        <v>0</v>
      </c>
      <c r="X683" s="239">
        <v>0</v>
      </c>
      <c r="Y683" s="239">
        <v>0</v>
      </c>
      <c r="Z683" s="239">
        <v>0</v>
      </c>
      <c r="AA683" s="239">
        <v>0</v>
      </c>
      <c r="AB683" s="239">
        <v>0</v>
      </c>
      <c r="AC683" s="239">
        <v>0</v>
      </c>
      <c r="AD683" s="239">
        <v>0</v>
      </c>
      <c r="AE683" s="239" t="s">
        <v>19</v>
      </c>
      <c r="AF683" s="239" t="s">
        <v>718</v>
      </c>
      <c r="AG683" s="239">
        <f t="shared" si="51"/>
        <v>3190.44</v>
      </c>
      <c r="AH683" s="239">
        <f t="shared" si="52"/>
        <v>0</v>
      </c>
      <c r="AI683" s="239">
        <f t="shared" si="53"/>
        <v>0</v>
      </c>
      <c r="AJ683" s="239">
        <f t="shared" si="54"/>
        <v>3190.44</v>
      </c>
    </row>
    <row r="684" spans="1:36" x14ac:dyDescent="0.2">
      <c r="A684" s="240" t="str">
        <f t="shared" si="50"/>
        <v>SNPETP60C12</v>
      </c>
      <c r="B684" s="239" t="s">
        <v>19</v>
      </c>
      <c r="C684" s="239" t="s">
        <v>20</v>
      </c>
      <c r="D684" s="239" t="s">
        <v>2631</v>
      </c>
      <c r="E684" s="239" t="s">
        <v>2632</v>
      </c>
      <c r="F684" s="239" t="s">
        <v>2642</v>
      </c>
      <c r="G684" s="239">
        <v>12</v>
      </c>
      <c r="H684" s="239" t="s">
        <v>928</v>
      </c>
      <c r="I684" s="239" t="s">
        <v>928</v>
      </c>
      <c r="J684" s="239" t="s">
        <v>928</v>
      </c>
      <c r="K684" s="239" t="s">
        <v>2398</v>
      </c>
      <c r="L684" s="239">
        <v>3190.44</v>
      </c>
      <c r="M684" s="239">
        <v>100</v>
      </c>
      <c r="N684" s="239">
        <v>0</v>
      </c>
      <c r="O684" s="239">
        <v>3190.44</v>
      </c>
      <c r="P684" s="239">
        <v>0</v>
      </c>
      <c r="Q684" s="239">
        <v>0</v>
      </c>
      <c r="R684" s="239">
        <v>0</v>
      </c>
      <c r="S684" s="239">
        <v>0</v>
      </c>
      <c r="T684" s="239">
        <v>0</v>
      </c>
      <c r="U684" s="239">
        <v>0</v>
      </c>
      <c r="V684" s="239">
        <v>0</v>
      </c>
      <c r="W684" s="239">
        <v>0</v>
      </c>
      <c r="X684" s="239">
        <v>0</v>
      </c>
      <c r="Y684" s="239">
        <v>0</v>
      </c>
      <c r="Z684" s="239">
        <v>0</v>
      </c>
      <c r="AA684" s="239">
        <v>0</v>
      </c>
      <c r="AB684" s="239">
        <v>0</v>
      </c>
      <c r="AC684" s="239">
        <v>0</v>
      </c>
      <c r="AD684" s="239">
        <v>0</v>
      </c>
      <c r="AE684" s="239" t="s">
        <v>19</v>
      </c>
      <c r="AF684" s="239" t="s">
        <v>718</v>
      </c>
      <c r="AG684" s="239">
        <f t="shared" si="51"/>
        <v>3190.44</v>
      </c>
      <c r="AH684" s="239">
        <f t="shared" si="52"/>
        <v>0</v>
      </c>
      <c r="AI684" s="239">
        <f t="shared" si="53"/>
        <v>0</v>
      </c>
      <c r="AJ684" s="239">
        <f t="shared" si="54"/>
        <v>3190.44</v>
      </c>
    </row>
    <row r="685" spans="1:36" x14ac:dyDescent="0.2">
      <c r="A685" s="240" t="str">
        <f t="shared" si="50"/>
        <v>6370SNPETP60D12</v>
      </c>
      <c r="B685" s="239" t="s">
        <v>19</v>
      </c>
      <c r="C685" s="239" t="s">
        <v>20</v>
      </c>
      <c r="D685" s="239" t="s">
        <v>2631</v>
      </c>
      <c r="E685" s="239" t="s">
        <v>2632</v>
      </c>
      <c r="F685" s="239" t="s">
        <v>2643</v>
      </c>
      <c r="G685" s="239">
        <v>12</v>
      </c>
      <c r="H685" s="239" t="s">
        <v>928</v>
      </c>
      <c r="I685" s="239" t="s">
        <v>2636</v>
      </c>
      <c r="J685" s="239" t="s">
        <v>928</v>
      </c>
      <c r="K685" s="239" t="s">
        <v>2398</v>
      </c>
      <c r="L685" s="239">
        <v>2862</v>
      </c>
      <c r="M685" s="239">
        <v>100</v>
      </c>
      <c r="N685" s="239">
        <v>0</v>
      </c>
      <c r="O685" s="239">
        <v>2862</v>
      </c>
      <c r="P685" s="239">
        <v>0</v>
      </c>
      <c r="Q685" s="239">
        <v>0</v>
      </c>
      <c r="R685" s="239">
        <v>0</v>
      </c>
      <c r="S685" s="239">
        <v>0</v>
      </c>
      <c r="T685" s="239">
        <v>0</v>
      </c>
      <c r="U685" s="239">
        <v>0</v>
      </c>
      <c r="V685" s="239">
        <v>0</v>
      </c>
      <c r="W685" s="239">
        <v>0</v>
      </c>
      <c r="X685" s="239">
        <v>0</v>
      </c>
      <c r="Y685" s="239">
        <v>0</v>
      </c>
      <c r="Z685" s="239">
        <v>0</v>
      </c>
      <c r="AA685" s="239">
        <v>0</v>
      </c>
      <c r="AB685" s="239">
        <v>0</v>
      </c>
      <c r="AC685" s="239">
        <v>0</v>
      </c>
      <c r="AD685" s="239">
        <v>0</v>
      </c>
      <c r="AE685" s="239" t="s">
        <v>19</v>
      </c>
      <c r="AF685" s="239" t="s">
        <v>718</v>
      </c>
      <c r="AG685" s="239">
        <f t="shared" si="51"/>
        <v>2862</v>
      </c>
      <c r="AH685" s="239">
        <f t="shared" si="52"/>
        <v>0</v>
      </c>
      <c r="AI685" s="239">
        <f t="shared" si="53"/>
        <v>0</v>
      </c>
      <c r="AJ685" s="239">
        <f t="shared" si="54"/>
        <v>2862</v>
      </c>
    </row>
    <row r="686" spans="1:36" x14ac:dyDescent="0.2">
      <c r="A686" s="240" t="str">
        <f t="shared" si="50"/>
        <v>SNPETP60D12</v>
      </c>
      <c r="B686" s="239" t="s">
        <v>19</v>
      </c>
      <c r="C686" s="239" t="s">
        <v>20</v>
      </c>
      <c r="D686" s="239" t="s">
        <v>2631</v>
      </c>
      <c r="E686" s="239" t="s">
        <v>2632</v>
      </c>
      <c r="F686" s="239" t="s">
        <v>2643</v>
      </c>
      <c r="G686" s="239">
        <v>12</v>
      </c>
      <c r="H686" s="239" t="s">
        <v>928</v>
      </c>
      <c r="I686" s="239" t="s">
        <v>928</v>
      </c>
      <c r="J686" s="239" t="s">
        <v>928</v>
      </c>
      <c r="K686" s="239" t="s">
        <v>2398</v>
      </c>
      <c r="L686" s="239">
        <v>2862</v>
      </c>
      <c r="M686" s="239">
        <v>100</v>
      </c>
      <c r="N686" s="239">
        <v>0</v>
      </c>
      <c r="O686" s="239">
        <v>2862</v>
      </c>
      <c r="P686" s="239">
        <v>0</v>
      </c>
      <c r="Q686" s="239">
        <v>0</v>
      </c>
      <c r="R686" s="239">
        <v>0</v>
      </c>
      <c r="S686" s="239">
        <v>0</v>
      </c>
      <c r="T686" s="239">
        <v>0</v>
      </c>
      <c r="U686" s="239">
        <v>0</v>
      </c>
      <c r="V686" s="239">
        <v>0</v>
      </c>
      <c r="W686" s="239">
        <v>0</v>
      </c>
      <c r="X686" s="239">
        <v>0</v>
      </c>
      <c r="Y686" s="239">
        <v>0</v>
      </c>
      <c r="Z686" s="239">
        <v>0</v>
      </c>
      <c r="AA686" s="239">
        <v>0</v>
      </c>
      <c r="AB686" s="239">
        <v>0</v>
      </c>
      <c r="AC686" s="239">
        <v>0</v>
      </c>
      <c r="AD686" s="239">
        <v>0</v>
      </c>
      <c r="AE686" s="239" t="s">
        <v>19</v>
      </c>
      <c r="AF686" s="239" t="s">
        <v>718</v>
      </c>
      <c r="AG686" s="239">
        <f t="shared" si="51"/>
        <v>2862</v>
      </c>
      <c r="AH686" s="239">
        <f t="shared" si="52"/>
        <v>0</v>
      </c>
      <c r="AI686" s="239">
        <f t="shared" si="53"/>
        <v>0</v>
      </c>
      <c r="AJ686" s="239">
        <f t="shared" si="54"/>
        <v>2862</v>
      </c>
    </row>
    <row r="687" spans="1:36" x14ac:dyDescent="0.2">
      <c r="A687" s="240" t="str">
        <f t="shared" si="50"/>
        <v>6260SNPETP60K12</v>
      </c>
      <c r="B687" s="239" t="s">
        <v>19</v>
      </c>
      <c r="C687" s="239" t="s">
        <v>20</v>
      </c>
      <c r="D687" s="239" t="s">
        <v>2631</v>
      </c>
      <c r="E687" s="239" t="s">
        <v>2632</v>
      </c>
      <c r="F687" s="239" t="s">
        <v>2644</v>
      </c>
      <c r="G687" s="239">
        <v>12</v>
      </c>
      <c r="H687" s="239" t="s">
        <v>928</v>
      </c>
      <c r="I687" s="239" t="s">
        <v>2645</v>
      </c>
      <c r="J687" s="239" t="s">
        <v>928</v>
      </c>
      <c r="K687" s="239" t="s">
        <v>2398</v>
      </c>
      <c r="L687" s="239">
        <v>3213.84</v>
      </c>
      <c r="M687" s="239">
        <v>100</v>
      </c>
      <c r="N687" s="239">
        <v>0</v>
      </c>
      <c r="O687" s="239">
        <v>3213.84</v>
      </c>
      <c r="P687" s="239">
        <v>0</v>
      </c>
      <c r="Q687" s="239">
        <v>0</v>
      </c>
      <c r="R687" s="239">
        <v>0</v>
      </c>
      <c r="S687" s="239">
        <v>0</v>
      </c>
      <c r="T687" s="239">
        <v>0</v>
      </c>
      <c r="U687" s="239">
        <v>0</v>
      </c>
      <c r="V687" s="239">
        <v>0</v>
      </c>
      <c r="W687" s="239">
        <v>0</v>
      </c>
      <c r="X687" s="239">
        <v>0</v>
      </c>
      <c r="Y687" s="239">
        <v>0</v>
      </c>
      <c r="Z687" s="239">
        <v>0</v>
      </c>
      <c r="AA687" s="239">
        <v>0</v>
      </c>
      <c r="AB687" s="239">
        <v>0</v>
      </c>
      <c r="AC687" s="239">
        <v>0</v>
      </c>
      <c r="AD687" s="239">
        <v>0</v>
      </c>
      <c r="AE687" s="239" t="s">
        <v>19</v>
      </c>
      <c r="AF687" s="239" t="s">
        <v>718</v>
      </c>
      <c r="AG687" s="239">
        <f t="shared" si="51"/>
        <v>3213.84</v>
      </c>
      <c r="AH687" s="239">
        <f t="shared" si="52"/>
        <v>0</v>
      </c>
      <c r="AI687" s="239">
        <f t="shared" si="53"/>
        <v>0</v>
      </c>
      <c r="AJ687" s="239">
        <f t="shared" si="54"/>
        <v>3213.84</v>
      </c>
    </row>
    <row r="688" spans="1:36" x14ac:dyDescent="0.2">
      <c r="A688" s="240" t="str">
        <f t="shared" ref="A688" si="55">TRIM(I688&amp;B688&amp;C688&amp;D688&amp;F688&amp;G688)</f>
        <v>SNPETP60K12</v>
      </c>
      <c r="B688" s="239" t="s">
        <v>19</v>
      </c>
      <c r="C688" s="239" t="s">
        <v>20</v>
      </c>
      <c r="D688" s="239" t="s">
        <v>2631</v>
      </c>
      <c r="E688" s="239" t="s">
        <v>2632</v>
      </c>
      <c r="F688" s="239" t="s">
        <v>2644</v>
      </c>
      <c r="G688" s="239">
        <v>12</v>
      </c>
      <c r="H688" s="239" t="s">
        <v>928</v>
      </c>
      <c r="I688" s="239" t="s">
        <v>928</v>
      </c>
      <c r="J688" s="239" t="s">
        <v>928</v>
      </c>
      <c r="K688" s="239" t="s">
        <v>2398</v>
      </c>
      <c r="L688" s="239">
        <v>3213.84</v>
      </c>
      <c r="M688" s="239">
        <v>100</v>
      </c>
      <c r="N688" s="239">
        <v>0</v>
      </c>
      <c r="O688" s="239">
        <v>3213.84</v>
      </c>
      <c r="P688" s="239">
        <v>0</v>
      </c>
      <c r="Q688" s="239">
        <v>0</v>
      </c>
      <c r="R688" s="239">
        <v>0</v>
      </c>
      <c r="S688" s="239">
        <v>0</v>
      </c>
      <c r="T688" s="239">
        <v>0</v>
      </c>
      <c r="U688" s="239">
        <v>0</v>
      </c>
      <c r="V688" s="239">
        <v>0</v>
      </c>
      <c r="W688" s="239">
        <v>0</v>
      </c>
      <c r="X688" s="239">
        <v>0</v>
      </c>
      <c r="Y688" s="239">
        <v>0</v>
      </c>
      <c r="Z688" s="239">
        <v>0</v>
      </c>
      <c r="AA688" s="239">
        <v>0</v>
      </c>
      <c r="AB688" s="239">
        <v>0</v>
      </c>
      <c r="AC688" s="239">
        <v>0</v>
      </c>
      <c r="AD688" s="239">
        <v>0</v>
      </c>
      <c r="AE688" s="239" t="s">
        <v>19</v>
      </c>
      <c r="AF688" s="239" t="s">
        <v>718</v>
      </c>
      <c r="AG688" s="239">
        <f t="shared" si="51"/>
        <v>3213.84</v>
      </c>
      <c r="AH688" s="239">
        <f t="shared" si="52"/>
        <v>0</v>
      </c>
      <c r="AI688" s="239">
        <f t="shared" si="53"/>
        <v>0</v>
      </c>
      <c r="AJ688" s="239">
        <f t="shared" si="54"/>
        <v>3213.84</v>
      </c>
    </row>
    <row r="689" spans="1:36" x14ac:dyDescent="0.2">
      <c r="A689" s="240" t="str">
        <f t="shared" si="50"/>
        <v>6371SNPETP60M12</v>
      </c>
      <c r="B689" s="239" t="s">
        <v>19</v>
      </c>
      <c r="C689" s="239" t="s">
        <v>20</v>
      </c>
      <c r="D689" s="239" t="s">
        <v>2631</v>
      </c>
      <c r="E689" s="239" t="s">
        <v>2632</v>
      </c>
      <c r="F689" s="239" t="s">
        <v>2646</v>
      </c>
      <c r="G689" s="239">
        <v>12</v>
      </c>
      <c r="H689" s="239" t="s">
        <v>928</v>
      </c>
      <c r="I689" s="239" t="s">
        <v>2637</v>
      </c>
      <c r="J689" s="239" t="s">
        <v>928</v>
      </c>
      <c r="K689" s="239" t="s">
        <v>2398</v>
      </c>
      <c r="L689" s="239">
        <v>2494.08</v>
      </c>
      <c r="M689" s="239">
        <v>100</v>
      </c>
      <c r="N689" s="239">
        <v>0</v>
      </c>
      <c r="O689" s="239">
        <v>2494.08</v>
      </c>
      <c r="P689" s="239">
        <v>0</v>
      </c>
      <c r="Q689" s="239">
        <v>0</v>
      </c>
      <c r="R689" s="239">
        <v>0</v>
      </c>
      <c r="S689" s="239">
        <v>0</v>
      </c>
      <c r="T689" s="239">
        <v>0</v>
      </c>
      <c r="U689" s="239">
        <v>0</v>
      </c>
      <c r="V689" s="239">
        <v>0</v>
      </c>
      <c r="W689" s="239">
        <v>0</v>
      </c>
      <c r="X689" s="239">
        <v>0</v>
      </c>
      <c r="Y689" s="239">
        <v>0</v>
      </c>
      <c r="Z689" s="239">
        <v>0</v>
      </c>
      <c r="AA689" s="239">
        <v>0</v>
      </c>
      <c r="AB689" s="239">
        <v>0</v>
      </c>
      <c r="AC689" s="239">
        <v>0</v>
      </c>
      <c r="AD689" s="239">
        <v>0</v>
      </c>
      <c r="AE689" s="239" t="s">
        <v>19</v>
      </c>
      <c r="AF689" s="239" t="s">
        <v>718</v>
      </c>
      <c r="AG689" s="239">
        <f t="shared" si="51"/>
        <v>2494.08</v>
      </c>
      <c r="AH689" s="239">
        <f t="shared" si="52"/>
        <v>0</v>
      </c>
      <c r="AI689" s="239">
        <f t="shared" si="53"/>
        <v>0</v>
      </c>
      <c r="AJ689" s="239">
        <f t="shared" si="54"/>
        <v>2494.08</v>
      </c>
    </row>
    <row r="690" spans="1:36" x14ac:dyDescent="0.2">
      <c r="A690" s="240" t="str">
        <f t="shared" si="50"/>
        <v>SNPETP60M12</v>
      </c>
      <c r="B690" s="239" t="s">
        <v>19</v>
      </c>
      <c r="C690" s="239" t="s">
        <v>20</v>
      </c>
      <c r="D690" s="239" t="s">
        <v>2631</v>
      </c>
      <c r="E690" s="239" t="s">
        <v>2632</v>
      </c>
      <c r="F690" s="239" t="s">
        <v>2646</v>
      </c>
      <c r="G690" s="239">
        <v>12</v>
      </c>
      <c r="H690" s="239" t="s">
        <v>928</v>
      </c>
      <c r="I690" s="239" t="s">
        <v>928</v>
      </c>
      <c r="J690" s="239" t="s">
        <v>928</v>
      </c>
      <c r="K690" s="239" t="s">
        <v>2398</v>
      </c>
      <c r="L690" s="239">
        <v>2494.08</v>
      </c>
      <c r="M690" s="239">
        <v>100</v>
      </c>
      <c r="N690" s="239">
        <v>0</v>
      </c>
      <c r="O690" s="239">
        <v>2494.08</v>
      </c>
      <c r="P690" s="239">
        <v>0</v>
      </c>
      <c r="Q690" s="239">
        <v>0</v>
      </c>
      <c r="R690" s="239">
        <v>0</v>
      </c>
      <c r="S690" s="239">
        <v>0</v>
      </c>
      <c r="T690" s="239">
        <v>0</v>
      </c>
      <c r="U690" s="239">
        <v>0</v>
      </c>
      <c r="V690" s="239">
        <v>0</v>
      </c>
      <c r="W690" s="239">
        <v>0</v>
      </c>
      <c r="X690" s="239">
        <v>0</v>
      </c>
      <c r="Y690" s="239">
        <v>0</v>
      </c>
      <c r="Z690" s="239">
        <v>0</v>
      </c>
      <c r="AA690" s="239">
        <v>0</v>
      </c>
      <c r="AB690" s="239">
        <v>0</v>
      </c>
      <c r="AC690" s="239">
        <v>0</v>
      </c>
      <c r="AD690" s="239">
        <v>0</v>
      </c>
      <c r="AE690" s="239" t="s">
        <v>19</v>
      </c>
      <c r="AF690" s="239" t="s">
        <v>718</v>
      </c>
      <c r="AG690" s="239">
        <f t="shared" si="51"/>
        <v>2494.08</v>
      </c>
      <c r="AH690" s="239">
        <f t="shared" si="52"/>
        <v>0</v>
      </c>
      <c r="AI690" s="239">
        <f t="shared" si="53"/>
        <v>0</v>
      </c>
      <c r="AJ690" s="239">
        <f t="shared" si="54"/>
        <v>2494.08</v>
      </c>
    </row>
    <row r="691" spans="1:36" x14ac:dyDescent="0.2">
      <c r="A691" s="240" t="str">
        <f t="shared" si="50"/>
        <v>6370SNPETP60P12</v>
      </c>
      <c r="B691" s="239" t="s">
        <v>19</v>
      </c>
      <c r="C691" s="239" t="s">
        <v>20</v>
      </c>
      <c r="D691" s="239" t="s">
        <v>2631</v>
      </c>
      <c r="E691" s="239" t="s">
        <v>2632</v>
      </c>
      <c r="F691" s="239" t="s">
        <v>2647</v>
      </c>
      <c r="G691" s="239">
        <v>12</v>
      </c>
      <c r="H691" s="239" t="s">
        <v>928</v>
      </c>
      <c r="I691" s="239" t="s">
        <v>2636</v>
      </c>
      <c r="J691" s="239" t="s">
        <v>928</v>
      </c>
      <c r="K691" s="239" t="s">
        <v>2398</v>
      </c>
      <c r="L691" s="239">
        <v>2904</v>
      </c>
      <c r="M691" s="239">
        <v>100</v>
      </c>
      <c r="N691" s="239">
        <v>0</v>
      </c>
      <c r="O691" s="239">
        <v>2904</v>
      </c>
      <c r="P691" s="239">
        <v>0</v>
      </c>
      <c r="Q691" s="239">
        <v>0</v>
      </c>
      <c r="R691" s="239">
        <v>0</v>
      </c>
      <c r="S691" s="239">
        <v>0</v>
      </c>
      <c r="T691" s="239">
        <v>0</v>
      </c>
      <c r="U691" s="239">
        <v>0</v>
      </c>
      <c r="V691" s="239">
        <v>0</v>
      </c>
      <c r="W691" s="239">
        <v>0</v>
      </c>
      <c r="X691" s="239">
        <v>0</v>
      </c>
      <c r="Y691" s="239">
        <v>0</v>
      </c>
      <c r="Z691" s="239">
        <v>0</v>
      </c>
      <c r="AA691" s="239">
        <v>0</v>
      </c>
      <c r="AB691" s="239">
        <v>0</v>
      </c>
      <c r="AC691" s="239">
        <v>0</v>
      </c>
      <c r="AD691" s="239">
        <v>0</v>
      </c>
      <c r="AE691" s="239" t="s">
        <v>19</v>
      </c>
      <c r="AF691" s="239" t="s">
        <v>718</v>
      </c>
      <c r="AG691" s="239">
        <f t="shared" si="51"/>
        <v>2904</v>
      </c>
      <c r="AH691" s="239">
        <f t="shared" si="52"/>
        <v>0</v>
      </c>
      <c r="AI691" s="239">
        <f t="shared" si="53"/>
        <v>0</v>
      </c>
      <c r="AJ691" s="239">
        <f t="shared" si="54"/>
        <v>2904</v>
      </c>
    </row>
    <row r="692" spans="1:36" x14ac:dyDescent="0.2">
      <c r="A692" s="240" t="str">
        <f t="shared" si="50"/>
        <v>6372SNPETP60P12</v>
      </c>
      <c r="B692" s="239" t="s">
        <v>19</v>
      </c>
      <c r="C692" s="239" t="s">
        <v>20</v>
      </c>
      <c r="D692" s="239" t="s">
        <v>2631</v>
      </c>
      <c r="E692" s="239" t="s">
        <v>2632</v>
      </c>
      <c r="F692" s="239" t="s">
        <v>2647</v>
      </c>
      <c r="G692" s="239">
        <v>12</v>
      </c>
      <c r="H692" s="239" t="s">
        <v>928</v>
      </c>
      <c r="I692" s="239" t="s">
        <v>2638</v>
      </c>
      <c r="J692" s="239" t="s">
        <v>928</v>
      </c>
      <c r="K692" s="239" t="s">
        <v>2398</v>
      </c>
      <c r="L692" s="239">
        <v>2904</v>
      </c>
      <c r="M692" s="239">
        <v>100</v>
      </c>
      <c r="N692" s="239">
        <v>0</v>
      </c>
      <c r="O692" s="239">
        <v>2904</v>
      </c>
      <c r="P692" s="239">
        <v>0</v>
      </c>
      <c r="Q692" s="239">
        <v>0</v>
      </c>
      <c r="R692" s="239">
        <v>0</v>
      </c>
      <c r="S692" s="239">
        <v>0</v>
      </c>
      <c r="T692" s="239">
        <v>0</v>
      </c>
      <c r="U692" s="239">
        <v>0</v>
      </c>
      <c r="V692" s="239">
        <v>0</v>
      </c>
      <c r="W692" s="239">
        <v>0</v>
      </c>
      <c r="X692" s="239">
        <v>0</v>
      </c>
      <c r="Y692" s="239">
        <v>0</v>
      </c>
      <c r="Z692" s="239">
        <v>0</v>
      </c>
      <c r="AA692" s="239">
        <v>0</v>
      </c>
      <c r="AB692" s="239">
        <v>0</v>
      </c>
      <c r="AC692" s="239">
        <v>0</v>
      </c>
      <c r="AD692" s="239">
        <v>0</v>
      </c>
      <c r="AE692" s="239" t="s">
        <v>19</v>
      </c>
      <c r="AF692" s="239" t="s">
        <v>718</v>
      </c>
      <c r="AG692" s="239">
        <f t="shared" si="51"/>
        <v>2904</v>
      </c>
      <c r="AH692" s="239">
        <f t="shared" si="52"/>
        <v>0</v>
      </c>
      <c r="AI692" s="239">
        <f t="shared" si="53"/>
        <v>0</v>
      </c>
      <c r="AJ692" s="239">
        <f t="shared" si="54"/>
        <v>2904</v>
      </c>
    </row>
    <row r="693" spans="1:36" x14ac:dyDescent="0.2">
      <c r="A693" s="240" t="str">
        <f t="shared" si="50"/>
        <v>SNPETP60P12</v>
      </c>
      <c r="B693" s="239" t="s">
        <v>19</v>
      </c>
      <c r="C693" s="239" t="s">
        <v>20</v>
      </c>
      <c r="D693" s="239" t="s">
        <v>2631</v>
      </c>
      <c r="E693" s="239" t="s">
        <v>2632</v>
      </c>
      <c r="F693" s="239" t="s">
        <v>2647</v>
      </c>
      <c r="G693" s="239">
        <v>12</v>
      </c>
      <c r="H693" s="239" t="s">
        <v>928</v>
      </c>
      <c r="I693" s="239" t="s">
        <v>928</v>
      </c>
      <c r="J693" s="239" t="s">
        <v>928</v>
      </c>
      <c r="K693" s="239" t="s">
        <v>2398</v>
      </c>
      <c r="L693" s="239">
        <v>2904</v>
      </c>
      <c r="M693" s="239">
        <v>100</v>
      </c>
      <c r="N693" s="239">
        <v>0</v>
      </c>
      <c r="O693" s="239">
        <v>2904</v>
      </c>
      <c r="P693" s="239">
        <v>0</v>
      </c>
      <c r="Q693" s="239">
        <v>0</v>
      </c>
      <c r="R693" s="239">
        <v>0</v>
      </c>
      <c r="S693" s="239">
        <v>0</v>
      </c>
      <c r="T693" s="239">
        <v>0</v>
      </c>
      <c r="U693" s="239">
        <v>0</v>
      </c>
      <c r="V693" s="239">
        <v>0</v>
      </c>
      <c r="W693" s="239">
        <v>0</v>
      </c>
      <c r="X693" s="239">
        <v>0</v>
      </c>
      <c r="Y693" s="239">
        <v>0</v>
      </c>
      <c r="Z693" s="239">
        <v>0</v>
      </c>
      <c r="AA693" s="239">
        <v>0</v>
      </c>
      <c r="AB693" s="239">
        <v>0</v>
      </c>
      <c r="AC693" s="239">
        <v>0</v>
      </c>
      <c r="AD693" s="239">
        <v>0</v>
      </c>
      <c r="AE693" s="239" t="s">
        <v>19</v>
      </c>
      <c r="AF693" s="239" t="s">
        <v>718</v>
      </c>
      <c r="AG693" s="239">
        <f t="shared" si="51"/>
        <v>2904</v>
      </c>
      <c r="AH693" s="239">
        <f t="shared" si="52"/>
        <v>0</v>
      </c>
      <c r="AI693" s="239">
        <f t="shared" si="53"/>
        <v>0</v>
      </c>
      <c r="AJ693" s="239">
        <f t="shared" si="54"/>
        <v>2904</v>
      </c>
    </row>
    <row r="694" spans="1:36" x14ac:dyDescent="0.2">
      <c r="A694" s="240" t="str">
        <f t="shared" si="50"/>
        <v>6260SNPETP60T12</v>
      </c>
      <c r="B694" s="239" t="s">
        <v>19</v>
      </c>
      <c r="C694" s="239" t="s">
        <v>20</v>
      </c>
      <c r="D694" s="239" t="s">
        <v>2631</v>
      </c>
      <c r="E694" s="239" t="s">
        <v>2632</v>
      </c>
      <c r="F694" s="239" t="s">
        <v>2648</v>
      </c>
      <c r="G694" s="239">
        <v>12</v>
      </c>
      <c r="H694" s="239" t="s">
        <v>928</v>
      </c>
      <c r="I694" s="239" t="s">
        <v>2645</v>
      </c>
      <c r="J694" s="239" t="s">
        <v>928</v>
      </c>
      <c r="K694" s="239" t="s">
        <v>2398</v>
      </c>
      <c r="L694" s="239">
        <v>3213.84</v>
      </c>
      <c r="M694" s="239">
        <v>100</v>
      </c>
      <c r="N694" s="239">
        <v>0</v>
      </c>
      <c r="O694" s="239">
        <v>3213.84</v>
      </c>
      <c r="P694" s="239">
        <v>0</v>
      </c>
      <c r="Q694" s="239">
        <v>0</v>
      </c>
      <c r="R694" s="239">
        <v>0</v>
      </c>
      <c r="S694" s="239">
        <v>0</v>
      </c>
      <c r="T694" s="239">
        <v>0</v>
      </c>
      <c r="U694" s="239">
        <v>0</v>
      </c>
      <c r="V694" s="239">
        <v>0</v>
      </c>
      <c r="W694" s="239">
        <v>0</v>
      </c>
      <c r="X694" s="239">
        <v>0</v>
      </c>
      <c r="Y694" s="239">
        <v>0</v>
      </c>
      <c r="Z694" s="239">
        <v>0</v>
      </c>
      <c r="AA694" s="239">
        <v>0</v>
      </c>
      <c r="AB694" s="239">
        <v>0</v>
      </c>
      <c r="AC694" s="239">
        <v>0</v>
      </c>
      <c r="AD694" s="239">
        <v>0</v>
      </c>
      <c r="AE694" s="239" t="s">
        <v>19</v>
      </c>
      <c r="AF694" s="239" t="s">
        <v>718</v>
      </c>
      <c r="AG694" s="239">
        <f t="shared" si="51"/>
        <v>3213.84</v>
      </c>
      <c r="AH694" s="239">
        <f t="shared" si="52"/>
        <v>0</v>
      </c>
      <c r="AI694" s="239">
        <f t="shared" si="53"/>
        <v>0</v>
      </c>
      <c r="AJ694" s="239">
        <f t="shared" si="54"/>
        <v>3213.84</v>
      </c>
    </row>
    <row r="695" spans="1:36" x14ac:dyDescent="0.2">
      <c r="A695" s="240" t="str">
        <f t="shared" si="50"/>
        <v>SNPETP60T12</v>
      </c>
      <c r="B695" s="239" t="s">
        <v>19</v>
      </c>
      <c r="C695" s="239" t="s">
        <v>20</v>
      </c>
      <c r="D695" s="239" t="s">
        <v>2631</v>
      </c>
      <c r="E695" s="239" t="s">
        <v>2632</v>
      </c>
      <c r="F695" s="239" t="s">
        <v>2648</v>
      </c>
      <c r="G695" s="239">
        <v>12</v>
      </c>
      <c r="H695" s="239" t="s">
        <v>928</v>
      </c>
      <c r="I695" s="239" t="s">
        <v>928</v>
      </c>
      <c r="J695" s="239" t="s">
        <v>928</v>
      </c>
      <c r="K695" s="239" t="s">
        <v>2398</v>
      </c>
      <c r="L695" s="239">
        <v>3213.84</v>
      </c>
      <c r="M695" s="239">
        <v>100</v>
      </c>
      <c r="N695" s="239">
        <v>0</v>
      </c>
      <c r="O695" s="239">
        <v>3213.84</v>
      </c>
      <c r="P695" s="239">
        <v>0</v>
      </c>
      <c r="Q695" s="239">
        <v>0</v>
      </c>
      <c r="R695" s="239">
        <v>0</v>
      </c>
      <c r="S695" s="239">
        <v>0</v>
      </c>
      <c r="T695" s="239">
        <v>0</v>
      </c>
      <c r="U695" s="239">
        <v>0</v>
      </c>
      <c r="V695" s="239">
        <v>0</v>
      </c>
      <c r="W695" s="239">
        <v>0</v>
      </c>
      <c r="X695" s="239">
        <v>0</v>
      </c>
      <c r="Y695" s="239">
        <v>0</v>
      </c>
      <c r="Z695" s="239">
        <v>0</v>
      </c>
      <c r="AA695" s="239">
        <v>0</v>
      </c>
      <c r="AB695" s="239">
        <v>0</v>
      </c>
      <c r="AC695" s="239">
        <v>0</v>
      </c>
      <c r="AD695" s="239">
        <v>0</v>
      </c>
      <c r="AE695" s="239" t="s">
        <v>19</v>
      </c>
      <c r="AF695" s="239" t="s">
        <v>718</v>
      </c>
      <c r="AG695" s="239">
        <f t="shared" si="51"/>
        <v>3213.84</v>
      </c>
      <c r="AH695" s="239">
        <f t="shared" si="52"/>
        <v>0</v>
      </c>
      <c r="AI695" s="239">
        <f t="shared" si="53"/>
        <v>0</v>
      </c>
      <c r="AJ695" s="239">
        <f t="shared" si="54"/>
        <v>3213.84</v>
      </c>
    </row>
    <row r="696" spans="1:36" x14ac:dyDescent="0.2">
      <c r="A696" s="240" t="str">
        <f t="shared" si="50"/>
        <v>6370SNPETP60W12</v>
      </c>
      <c r="B696" s="239" t="s">
        <v>19</v>
      </c>
      <c r="C696" s="239" t="s">
        <v>20</v>
      </c>
      <c r="D696" s="239" t="s">
        <v>2631</v>
      </c>
      <c r="E696" s="239" t="s">
        <v>2632</v>
      </c>
      <c r="F696" s="239" t="s">
        <v>2649</v>
      </c>
      <c r="G696" s="239">
        <v>12</v>
      </c>
      <c r="H696" s="239" t="s">
        <v>928</v>
      </c>
      <c r="I696" s="239" t="s">
        <v>2636</v>
      </c>
      <c r="J696" s="239" t="s">
        <v>928</v>
      </c>
      <c r="K696" s="239" t="s">
        <v>2398</v>
      </c>
      <c r="L696" s="239">
        <v>3150.12</v>
      </c>
      <c r="M696" s="239">
        <v>100</v>
      </c>
      <c r="N696" s="239">
        <v>0</v>
      </c>
      <c r="O696" s="239">
        <v>3150.12</v>
      </c>
      <c r="P696" s="239">
        <v>0</v>
      </c>
      <c r="Q696" s="239">
        <v>0</v>
      </c>
      <c r="R696" s="239">
        <v>0</v>
      </c>
      <c r="S696" s="239">
        <v>0</v>
      </c>
      <c r="T696" s="239">
        <v>0</v>
      </c>
      <c r="U696" s="239">
        <v>0</v>
      </c>
      <c r="V696" s="239">
        <v>0</v>
      </c>
      <c r="W696" s="239">
        <v>0</v>
      </c>
      <c r="X696" s="239">
        <v>0</v>
      </c>
      <c r="Y696" s="239">
        <v>0</v>
      </c>
      <c r="Z696" s="239">
        <v>0</v>
      </c>
      <c r="AA696" s="239">
        <v>0</v>
      </c>
      <c r="AB696" s="239">
        <v>0</v>
      </c>
      <c r="AC696" s="239">
        <v>0</v>
      </c>
      <c r="AD696" s="239">
        <v>0</v>
      </c>
      <c r="AE696" s="239" t="s">
        <v>19</v>
      </c>
      <c r="AF696" s="239" t="s">
        <v>718</v>
      </c>
      <c r="AG696" s="239">
        <f t="shared" si="51"/>
        <v>3150.12</v>
      </c>
      <c r="AH696" s="239">
        <f t="shared" si="52"/>
        <v>0</v>
      </c>
      <c r="AI696" s="239">
        <f t="shared" si="53"/>
        <v>0</v>
      </c>
      <c r="AJ696" s="239">
        <f t="shared" si="54"/>
        <v>3150.12</v>
      </c>
    </row>
    <row r="697" spans="1:36" x14ac:dyDescent="0.2">
      <c r="A697" s="240" t="str">
        <f t="shared" si="50"/>
        <v>SNPETP60W12</v>
      </c>
      <c r="B697" s="239" t="s">
        <v>19</v>
      </c>
      <c r="C697" s="239" t="s">
        <v>20</v>
      </c>
      <c r="D697" s="239" t="s">
        <v>2631</v>
      </c>
      <c r="E697" s="239" t="s">
        <v>2632</v>
      </c>
      <c r="F697" s="239" t="s">
        <v>2649</v>
      </c>
      <c r="G697" s="239">
        <v>12</v>
      </c>
      <c r="H697" s="239" t="s">
        <v>928</v>
      </c>
      <c r="I697" s="239" t="s">
        <v>928</v>
      </c>
      <c r="J697" s="239" t="s">
        <v>928</v>
      </c>
      <c r="K697" s="239" t="s">
        <v>2398</v>
      </c>
      <c r="L697" s="239">
        <v>3150.12</v>
      </c>
      <c r="M697" s="239">
        <v>100</v>
      </c>
      <c r="N697" s="239">
        <v>0</v>
      </c>
      <c r="O697" s="239">
        <v>3150.12</v>
      </c>
      <c r="P697" s="239">
        <v>0</v>
      </c>
      <c r="Q697" s="239">
        <v>0</v>
      </c>
      <c r="R697" s="239">
        <v>0</v>
      </c>
      <c r="S697" s="239">
        <v>0</v>
      </c>
      <c r="T697" s="239">
        <v>0</v>
      </c>
      <c r="U697" s="239">
        <v>0</v>
      </c>
      <c r="V697" s="239">
        <v>0</v>
      </c>
      <c r="W697" s="239">
        <v>0</v>
      </c>
      <c r="X697" s="239">
        <v>0</v>
      </c>
      <c r="Y697" s="239">
        <v>0</v>
      </c>
      <c r="Z697" s="239">
        <v>0</v>
      </c>
      <c r="AA697" s="239">
        <v>0</v>
      </c>
      <c r="AB697" s="239">
        <v>0</v>
      </c>
      <c r="AC697" s="239">
        <v>0</v>
      </c>
      <c r="AD697" s="239">
        <v>0</v>
      </c>
      <c r="AE697" s="239" t="s">
        <v>19</v>
      </c>
      <c r="AF697" s="239" t="s">
        <v>718</v>
      </c>
      <c r="AG697" s="239">
        <f t="shared" si="51"/>
        <v>3150.12</v>
      </c>
      <c r="AH697" s="239">
        <f t="shared" si="52"/>
        <v>0</v>
      </c>
      <c r="AI697" s="239">
        <f t="shared" si="53"/>
        <v>0</v>
      </c>
      <c r="AJ697" s="239">
        <f t="shared" si="54"/>
        <v>3150.12</v>
      </c>
    </row>
    <row r="698" spans="1:36" x14ac:dyDescent="0.2">
      <c r="A698" s="240" t="str">
        <f t="shared" si="50"/>
        <v>3SNTTPB2T0100</v>
      </c>
      <c r="B698" s="239" t="s">
        <v>19</v>
      </c>
      <c r="C698" s="239" t="s">
        <v>20</v>
      </c>
      <c r="D698" s="239" t="s">
        <v>256</v>
      </c>
      <c r="E698" s="239" t="s">
        <v>2650</v>
      </c>
      <c r="F698" s="239" t="s">
        <v>257</v>
      </c>
      <c r="G698" s="239">
        <v>100</v>
      </c>
      <c r="H698" s="239" t="s">
        <v>928</v>
      </c>
      <c r="I698" s="239" t="s">
        <v>2471</v>
      </c>
      <c r="J698" s="239" t="s">
        <v>928</v>
      </c>
      <c r="K698" s="239" t="s">
        <v>2398</v>
      </c>
      <c r="L698" s="239">
        <v>360.69110000000001</v>
      </c>
      <c r="M698" s="239">
        <v>82</v>
      </c>
      <c r="N698" s="239">
        <v>0</v>
      </c>
      <c r="O698" s="239">
        <v>120.53659</v>
      </c>
      <c r="P698" s="239">
        <v>0</v>
      </c>
      <c r="Q698" s="239">
        <v>0</v>
      </c>
      <c r="R698" s="239">
        <v>0</v>
      </c>
      <c r="S698" s="239">
        <v>0</v>
      </c>
      <c r="T698" s="239">
        <v>35.051900000000003</v>
      </c>
      <c r="U698" s="239">
        <v>12.381</v>
      </c>
      <c r="V698" s="239">
        <v>2.8130799999999998</v>
      </c>
      <c r="W698" s="239">
        <v>43.327039999999997</v>
      </c>
      <c r="X698" s="239">
        <v>0</v>
      </c>
      <c r="Y698" s="239">
        <v>0</v>
      </c>
      <c r="Z698" s="239">
        <v>103.54367999999999</v>
      </c>
      <c r="AA698" s="239">
        <v>43.03781</v>
      </c>
      <c r="AB698" s="239">
        <v>0</v>
      </c>
      <c r="AC698" s="239">
        <v>0</v>
      </c>
      <c r="AD698" s="239">
        <v>1</v>
      </c>
      <c r="AE698" s="239" t="s">
        <v>19</v>
      </c>
      <c r="AF698" s="239" t="s">
        <v>718</v>
      </c>
      <c r="AG698" s="239">
        <f t="shared" si="51"/>
        <v>98.840003799999991</v>
      </c>
      <c r="AH698" s="239">
        <f t="shared" si="52"/>
        <v>0</v>
      </c>
      <c r="AI698" s="239">
        <f t="shared" si="53"/>
        <v>0</v>
      </c>
      <c r="AJ698" s="239">
        <f t="shared" si="54"/>
        <v>98.840003799999991</v>
      </c>
    </row>
    <row r="699" spans="1:36" x14ac:dyDescent="0.2">
      <c r="A699" s="240" t="str">
        <f t="shared" si="50"/>
        <v>3SNTTPB2T0125</v>
      </c>
      <c r="B699" s="239" t="s">
        <v>19</v>
      </c>
      <c r="C699" s="239" t="s">
        <v>20</v>
      </c>
      <c r="D699" s="239" t="s">
        <v>256</v>
      </c>
      <c r="E699" s="239" t="s">
        <v>2650</v>
      </c>
      <c r="F699" s="239" t="s">
        <v>257</v>
      </c>
      <c r="G699" s="239">
        <v>125</v>
      </c>
      <c r="H699" s="239" t="s">
        <v>928</v>
      </c>
      <c r="I699" s="239" t="s">
        <v>2471</v>
      </c>
      <c r="J699" s="239" t="s">
        <v>928</v>
      </c>
      <c r="K699" s="239" t="s">
        <v>2398</v>
      </c>
      <c r="L699" s="239">
        <v>365.30678999999998</v>
      </c>
      <c r="M699" s="239">
        <v>83.7</v>
      </c>
      <c r="N699" s="239">
        <v>0</v>
      </c>
      <c r="O699" s="239">
        <v>147.61051</v>
      </c>
      <c r="P699" s="239">
        <v>0</v>
      </c>
      <c r="Q699" s="239">
        <v>0</v>
      </c>
      <c r="R699" s="239">
        <v>0</v>
      </c>
      <c r="S699" s="239">
        <v>0</v>
      </c>
      <c r="T699" s="239">
        <v>32.027769999999997</v>
      </c>
      <c r="U699" s="239">
        <v>12.381</v>
      </c>
      <c r="V699" s="239">
        <v>2.5147699999999999</v>
      </c>
      <c r="W699" s="239">
        <v>38.780949999999997</v>
      </c>
      <c r="X699" s="239">
        <v>0</v>
      </c>
      <c r="Y699" s="239">
        <v>0</v>
      </c>
      <c r="Z699" s="239">
        <v>93.451880000000003</v>
      </c>
      <c r="AA699" s="239">
        <v>38.539909999999999</v>
      </c>
      <c r="AB699" s="239">
        <v>0</v>
      </c>
      <c r="AC699" s="239">
        <v>0</v>
      </c>
      <c r="AD699" s="239">
        <v>1</v>
      </c>
      <c r="AE699" s="239" t="s">
        <v>19</v>
      </c>
      <c r="AF699" s="239" t="s">
        <v>718</v>
      </c>
      <c r="AG699" s="239">
        <f t="shared" si="51"/>
        <v>123.54999687000002</v>
      </c>
      <c r="AH699" s="239">
        <f t="shared" si="52"/>
        <v>0</v>
      </c>
      <c r="AI699" s="239">
        <f t="shared" si="53"/>
        <v>0</v>
      </c>
      <c r="AJ699" s="239">
        <f t="shared" si="54"/>
        <v>123.54999687000002</v>
      </c>
    </row>
    <row r="700" spans="1:36" x14ac:dyDescent="0.2">
      <c r="A700" s="240" t="str">
        <f t="shared" si="50"/>
        <v>3SNTTPB2T0188</v>
      </c>
      <c r="B700" s="239" t="s">
        <v>19</v>
      </c>
      <c r="C700" s="239" t="s">
        <v>20</v>
      </c>
      <c r="D700" s="239" t="s">
        <v>256</v>
      </c>
      <c r="E700" s="239" t="s">
        <v>2650</v>
      </c>
      <c r="F700" s="239" t="s">
        <v>257</v>
      </c>
      <c r="G700" s="239">
        <v>188</v>
      </c>
      <c r="H700" s="239" t="s">
        <v>928</v>
      </c>
      <c r="I700" s="239" t="s">
        <v>2471</v>
      </c>
      <c r="J700" s="239" t="s">
        <v>928</v>
      </c>
      <c r="K700" s="239" t="s">
        <v>2398</v>
      </c>
      <c r="L700" s="239">
        <v>494.85912999999999</v>
      </c>
      <c r="M700" s="239">
        <v>82</v>
      </c>
      <c r="N700" s="239">
        <v>0</v>
      </c>
      <c r="O700" s="239">
        <v>226.60975999999999</v>
      </c>
      <c r="P700" s="239">
        <v>0</v>
      </c>
      <c r="Q700" s="239">
        <v>0</v>
      </c>
      <c r="R700" s="239">
        <v>0</v>
      </c>
      <c r="S700" s="239">
        <v>0</v>
      </c>
      <c r="T700" s="239">
        <v>33.564790000000002</v>
      </c>
      <c r="U700" s="239">
        <v>12.381</v>
      </c>
      <c r="V700" s="239">
        <v>3.2271700000000001</v>
      </c>
      <c r="W700" s="239">
        <v>49.764780000000002</v>
      </c>
      <c r="X700" s="239">
        <v>0</v>
      </c>
      <c r="Y700" s="239">
        <v>0</v>
      </c>
      <c r="Z700" s="239">
        <v>119.85429999999999</v>
      </c>
      <c r="AA700" s="239">
        <v>49.457329999999999</v>
      </c>
      <c r="AB700" s="239">
        <v>0</v>
      </c>
      <c r="AC700" s="239">
        <v>0</v>
      </c>
      <c r="AD700" s="239">
        <v>1</v>
      </c>
      <c r="AE700" s="239" t="s">
        <v>19</v>
      </c>
      <c r="AF700" s="239" t="s">
        <v>718</v>
      </c>
      <c r="AG700" s="239">
        <f t="shared" si="51"/>
        <v>185.8200032</v>
      </c>
      <c r="AH700" s="239">
        <f t="shared" si="52"/>
        <v>0</v>
      </c>
      <c r="AI700" s="239">
        <f t="shared" si="53"/>
        <v>0</v>
      </c>
      <c r="AJ700" s="239">
        <f t="shared" si="54"/>
        <v>185.8200032</v>
      </c>
    </row>
    <row r="701" spans="1:36" x14ac:dyDescent="0.2">
      <c r="A701" s="240" t="str">
        <f t="shared" si="50"/>
        <v>6240SNXLXP35P12</v>
      </c>
      <c r="B701" s="239" t="s">
        <v>19</v>
      </c>
      <c r="C701" s="239" t="s">
        <v>20</v>
      </c>
      <c r="D701" s="239" t="s">
        <v>2651</v>
      </c>
      <c r="E701" s="239" t="s">
        <v>2652</v>
      </c>
      <c r="F701" s="239" t="s">
        <v>2653</v>
      </c>
      <c r="G701" s="239">
        <v>12</v>
      </c>
      <c r="H701" s="239" t="s">
        <v>928</v>
      </c>
      <c r="I701" s="239" t="s">
        <v>2654</v>
      </c>
      <c r="J701" s="239" t="s">
        <v>928</v>
      </c>
      <c r="K701" s="239" t="s">
        <v>2398</v>
      </c>
      <c r="L701" s="239">
        <v>2774.52</v>
      </c>
      <c r="M701" s="239">
        <v>100</v>
      </c>
      <c r="N701" s="239">
        <v>0</v>
      </c>
      <c r="O701" s="239">
        <v>2774.52</v>
      </c>
      <c r="P701" s="239">
        <v>0</v>
      </c>
      <c r="Q701" s="239">
        <v>0</v>
      </c>
      <c r="R701" s="239">
        <v>0</v>
      </c>
      <c r="S701" s="239">
        <v>0</v>
      </c>
      <c r="T701" s="239">
        <v>0</v>
      </c>
      <c r="U701" s="239">
        <v>0</v>
      </c>
      <c r="V701" s="239">
        <v>0</v>
      </c>
      <c r="W701" s="239">
        <v>0</v>
      </c>
      <c r="X701" s="239">
        <v>0</v>
      </c>
      <c r="Y701" s="239">
        <v>0</v>
      </c>
      <c r="Z701" s="239">
        <v>0</v>
      </c>
      <c r="AA701" s="239">
        <v>0</v>
      </c>
      <c r="AB701" s="239">
        <v>0</v>
      </c>
      <c r="AC701" s="239">
        <v>0</v>
      </c>
      <c r="AD701" s="239">
        <v>0</v>
      </c>
      <c r="AE701" s="239" t="s">
        <v>720</v>
      </c>
      <c r="AF701" s="239" t="s">
        <v>721</v>
      </c>
      <c r="AG701" s="239">
        <f t="shared" si="51"/>
        <v>2774.52</v>
      </c>
      <c r="AH701" s="239">
        <f t="shared" si="52"/>
        <v>0</v>
      </c>
      <c r="AI701" s="239">
        <f t="shared" si="53"/>
        <v>0</v>
      </c>
      <c r="AJ701" s="239">
        <f t="shared" si="54"/>
        <v>2774.52</v>
      </c>
    </row>
    <row r="702" spans="1:36" x14ac:dyDescent="0.2">
      <c r="A702" s="240" t="str">
        <f t="shared" si="50"/>
        <v>SNXLXP35P12</v>
      </c>
      <c r="B702" s="239" t="s">
        <v>19</v>
      </c>
      <c r="C702" s="239" t="s">
        <v>20</v>
      </c>
      <c r="D702" s="239" t="s">
        <v>2651</v>
      </c>
      <c r="E702" s="239" t="s">
        <v>2652</v>
      </c>
      <c r="F702" s="239" t="s">
        <v>2653</v>
      </c>
      <c r="G702" s="239">
        <v>12</v>
      </c>
      <c r="H702" s="239" t="s">
        <v>928</v>
      </c>
      <c r="I702" s="239" t="s">
        <v>928</v>
      </c>
      <c r="J702" s="239" t="s">
        <v>928</v>
      </c>
      <c r="K702" s="239" t="s">
        <v>2398</v>
      </c>
      <c r="L702" s="239">
        <v>2774.52</v>
      </c>
      <c r="M702" s="239">
        <v>100</v>
      </c>
      <c r="N702" s="239">
        <v>0</v>
      </c>
      <c r="O702" s="239">
        <v>2774.52</v>
      </c>
      <c r="P702" s="239">
        <v>0</v>
      </c>
      <c r="Q702" s="239">
        <v>0</v>
      </c>
      <c r="R702" s="239">
        <v>0</v>
      </c>
      <c r="S702" s="239">
        <v>0</v>
      </c>
      <c r="T702" s="239">
        <v>0</v>
      </c>
      <c r="U702" s="239">
        <v>0</v>
      </c>
      <c r="V702" s="239">
        <v>0</v>
      </c>
      <c r="W702" s="239">
        <v>0</v>
      </c>
      <c r="X702" s="239">
        <v>0</v>
      </c>
      <c r="Y702" s="239">
        <v>0</v>
      </c>
      <c r="Z702" s="239">
        <v>0</v>
      </c>
      <c r="AA702" s="239">
        <v>0</v>
      </c>
      <c r="AB702" s="239">
        <v>0</v>
      </c>
      <c r="AC702" s="239">
        <v>0</v>
      </c>
      <c r="AD702" s="239">
        <v>0</v>
      </c>
      <c r="AE702" s="239" t="s">
        <v>720</v>
      </c>
      <c r="AF702" s="239" t="s">
        <v>721</v>
      </c>
      <c r="AG702" s="239">
        <f t="shared" si="51"/>
        <v>2774.52</v>
      </c>
      <c r="AH702" s="239">
        <f t="shared" si="52"/>
        <v>0</v>
      </c>
      <c r="AI702" s="239">
        <f t="shared" si="53"/>
        <v>0</v>
      </c>
      <c r="AJ702" s="239">
        <f t="shared" si="54"/>
        <v>2774.52</v>
      </c>
    </row>
    <row r="703" spans="1:36" x14ac:dyDescent="0.2">
      <c r="A703" s="240" t="str">
        <f t="shared" si="50"/>
        <v>6240SNXLXP3716</v>
      </c>
      <c r="B703" s="239" t="s">
        <v>19</v>
      </c>
      <c r="C703" s="239" t="s">
        <v>20</v>
      </c>
      <c r="D703" s="239" t="s">
        <v>2651</v>
      </c>
      <c r="E703" s="239" t="s">
        <v>2652</v>
      </c>
      <c r="F703" s="239" t="s">
        <v>2655</v>
      </c>
      <c r="G703" s="239">
        <v>16</v>
      </c>
      <c r="H703" s="239" t="s">
        <v>928</v>
      </c>
      <c r="I703" s="239" t="s">
        <v>2654</v>
      </c>
      <c r="J703" s="239" t="s">
        <v>928</v>
      </c>
      <c r="K703" s="239" t="s">
        <v>2398</v>
      </c>
      <c r="L703" s="239">
        <v>4261.6000000000004</v>
      </c>
      <c r="M703" s="239">
        <v>100</v>
      </c>
      <c r="N703" s="239">
        <v>0</v>
      </c>
      <c r="O703" s="239">
        <v>4261.6000000000004</v>
      </c>
      <c r="P703" s="239">
        <v>0</v>
      </c>
      <c r="Q703" s="239">
        <v>0</v>
      </c>
      <c r="R703" s="239">
        <v>0</v>
      </c>
      <c r="S703" s="239">
        <v>0</v>
      </c>
      <c r="T703" s="239">
        <v>0</v>
      </c>
      <c r="U703" s="239">
        <v>0</v>
      </c>
      <c r="V703" s="239">
        <v>0</v>
      </c>
      <c r="W703" s="239">
        <v>0</v>
      </c>
      <c r="X703" s="239">
        <v>0</v>
      </c>
      <c r="Y703" s="239">
        <v>0</v>
      </c>
      <c r="Z703" s="239">
        <v>0</v>
      </c>
      <c r="AA703" s="239">
        <v>0</v>
      </c>
      <c r="AB703" s="239">
        <v>0</v>
      </c>
      <c r="AC703" s="239">
        <v>0</v>
      </c>
      <c r="AD703" s="239">
        <v>0</v>
      </c>
      <c r="AE703" s="239" t="s">
        <v>720</v>
      </c>
      <c r="AF703" s="239" t="s">
        <v>721</v>
      </c>
      <c r="AG703" s="239">
        <f t="shared" si="51"/>
        <v>4261.6000000000004</v>
      </c>
      <c r="AH703" s="239">
        <f t="shared" si="52"/>
        <v>0</v>
      </c>
      <c r="AI703" s="239">
        <f t="shared" si="53"/>
        <v>0</v>
      </c>
      <c r="AJ703" s="239">
        <f t="shared" si="54"/>
        <v>4261.6000000000004</v>
      </c>
    </row>
    <row r="704" spans="1:36" x14ac:dyDescent="0.2">
      <c r="A704" s="240" t="str">
        <f t="shared" si="50"/>
        <v>SNXLXP3716</v>
      </c>
      <c r="B704" s="239" t="s">
        <v>19</v>
      </c>
      <c r="C704" s="239" t="s">
        <v>20</v>
      </c>
      <c r="D704" s="239" t="s">
        <v>2651</v>
      </c>
      <c r="E704" s="239" t="s">
        <v>2652</v>
      </c>
      <c r="F704" s="239" t="s">
        <v>2655</v>
      </c>
      <c r="G704" s="239">
        <v>16</v>
      </c>
      <c r="H704" s="239" t="s">
        <v>928</v>
      </c>
      <c r="I704" s="239" t="s">
        <v>928</v>
      </c>
      <c r="J704" s="239" t="s">
        <v>928</v>
      </c>
      <c r="K704" s="239" t="s">
        <v>2398</v>
      </c>
      <c r="L704" s="239">
        <v>4261.6000000000004</v>
      </c>
      <c r="M704" s="239">
        <v>100</v>
      </c>
      <c r="N704" s="239">
        <v>0</v>
      </c>
      <c r="O704" s="239">
        <v>4261.6000000000004</v>
      </c>
      <c r="P704" s="239">
        <v>0</v>
      </c>
      <c r="Q704" s="239">
        <v>0</v>
      </c>
      <c r="R704" s="239">
        <v>0</v>
      </c>
      <c r="S704" s="239">
        <v>0</v>
      </c>
      <c r="T704" s="239">
        <v>0</v>
      </c>
      <c r="U704" s="239">
        <v>0</v>
      </c>
      <c r="V704" s="239">
        <v>0</v>
      </c>
      <c r="W704" s="239">
        <v>0</v>
      </c>
      <c r="X704" s="239">
        <v>0</v>
      </c>
      <c r="Y704" s="239">
        <v>0</v>
      </c>
      <c r="Z704" s="239">
        <v>0</v>
      </c>
      <c r="AA704" s="239">
        <v>0</v>
      </c>
      <c r="AB704" s="239">
        <v>0</v>
      </c>
      <c r="AC704" s="239">
        <v>0</v>
      </c>
      <c r="AD704" s="239">
        <v>0</v>
      </c>
      <c r="AE704" s="239" t="s">
        <v>720</v>
      </c>
      <c r="AF704" s="239" t="s">
        <v>721</v>
      </c>
      <c r="AG704" s="239">
        <f t="shared" si="51"/>
        <v>4261.6000000000004</v>
      </c>
      <c r="AH704" s="239">
        <f t="shared" si="52"/>
        <v>0</v>
      </c>
      <c r="AI704" s="239">
        <f t="shared" si="53"/>
        <v>0</v>
      </c>
      <c r="AJ704" s="239">
        <f t="shared" si="54"/>
        <v>4261.6000000000004</v>
      </c>
    </row>
    <row r="705" spans="1:36" x14ac:dyDescent="0.2">
      <c r="A705" s="240" t="str">
        <f t="shared" si="50"/>
        <v>6240SNXLXP37C16</v>
      </c>
      <c r="B705" s="239" t="s">
        <v>19</v>
      </c>
      <c r="C705" s="239" t="s">
        <v>20</v>
      </c>
      <c r="D705" s="239" t="s">
        <v>2651</v>
      </c>
      <c r="E705" s="239" t="s">
        <v>2652</v>
      </c>
      <c r="F705" s="239" t="s">
        <v>2656</v>
      </c>
      <c r="G705" s="239">
        <v>16</v>
      </c>
      <c r="H705" s="239" t="s">
        <v>928</v>
      </c>
      <c r="I705" s="239" t="s">
        <v>2654</v>
      </c>
      <c r="J705" s="239" t="s">
        <v>928</v>
      </c>
      <c r="K705" s="239" t="s">
        <v>2398</v>
      </c>
      <c r="L705" s="239">
        <v>4261.6000000000004</v>
      </c>
      <c r="M705" s="239">
        <v>100</v>
      </c>
      <c r="N705" s="239">
        <v>0</v>
      </c>
      <c r="O705" s="239">
        <v>4261.6000000000004</v>
      </c>
      <c r="P705" s="239">
        <v>0</v>
      </c>
      <c r="Q705" s="239">
        <v>0</v>
      </c>
      <c r="R705" s="239">
        <v>0</v>
      </c>
      <c r="S705" s="239">
        <v>0</v>
      </c>
      <c r="T705" s="239">
        <v>0</v>
      </c>
      <c r="U705" s="239">
        <v>0</v>
      </c>
      <c r="V705" s="239">
        <v>0</v>
      </c>
      <c r="W705" s="239">
        <v>0</v>
      </c>
      <c r="X705" s="239">
        <v>0</v>
      </c>
      <c r="Y705" s="239">
        <v>0</v>
      </c>
      <c r="Z705" s="239">
        <v>0</v>
      </c>
      <c r="AA705" s="239">
        <v>0</v>
      </c>
      <c r="AB705" s="239">
        <v>0</v>
      </c>
      <c r="AC705" s="239">
        <v>0</v>
      </c>
      <c r="AD705" s="239">
        <v>0</v>
      </c>
      <c r="AE705" s="239" t="s">
        <v>720</v>
      </c>
      <c r="AF705" s="239" t="s">
        <v>721</v>
      </c>
      <c r="AG705" s="239">
        <f t="shared" si="51"/>
        <v>4261.6000000000004</v>
      </c>
      <c r="AH705" s="239">
        <f t="shared" si="52"/>
        <v>0</v>
      </c>
      <c r="AI705" s="239">
        <f t="shared" si="53"/>
        <v>0</v>
      </c>
      <c r="AJ705" s="239">
        <f t="shared" si="54"/>
        <v>4261.6000000000004</v>
      </c>
    </row>
    <row r="706" spans="1:36" x14ac:dyDescent="0.2">
      <c r="A706" s="240" t="str">
        <f t="shared" si="50"/>
        <v>SNXLXP37C16</v>
      </c>
      <c r="B706" s="239" t="s">
        <v>19</v>
      </c>
      <c r="C706" s="239" t="s">
        <v>20</v>
      </c>
      <c r="D706" s="239" t="s">
        <v>2651</v>
      </c>
      <c r="E706" s="239" t="s">
        <v>2652</v>
      </c>
      <c r="F706" s="239" t="s">
        <v>2656</v>
      </c>
      <c r="G706" s="239">
        <v>16</v>
      </c>
      <c r="H706" s="239" t="s">
        <v>928</v>
      </c>
      <c r="I706" s="239" t="s">
        <v>928</v>
      </c>
      <c r="J706" s="239" t="s">
        <v>928</v>
      </c>
      <c r="K706" s="239" t="s">
        <v>2398</v>
      </c>
      <c r="L706" s="239">
        <v>4261.6000000000004</v>
      </c>
      <c r="M706" s="239">
        <v>100</v>
      </c>
      <c r="N706" s="239">
        <v>0</v>
      </c>
      <c r="O706" s="239">
        <v>4261.6000000000004</v>
      </c>
      <c r="P706" s="239">
        <v>0</v>
      </c>
      <c r="Q706" s="239">
        <v>0</v>
      </c>
      <c r="R706" s="239">
        <v>0</v>
      </c>
      <c r="S706" s="239">
        <v>0</v>
      </c>
      <c r="T706" s="239">
        <v>0</v>
      </c>
      <c r="U706" s="239">
        <v>0</v>
      </c>
      <c r="V706" s="239">
        <v>0</v>
      </c>
      <c r="W706" s="239">
        <v>0</v>
      </c>
      <c r="X706" s="239">
        <v>0</v>
      </c>
      <c r="Y706" s="239">
        <v>0</v>
      </c>
      <c r="Z706" s="239">
        <v>0</v>
      </c>
      <c r="AA706" s="239">
        <v>0</v>
      </c>
      <c r="AB706" s="239">
        <v>0</v>
      </c>
      <c r="AC706" s="239">
        <v>0</v>
      </c>
      <c r="AD706" s="239">
        <v>0</v>
      </c>
      <c r="AE706" s="239" t="s">
        <v>720</v>
      </c>
      <c r="AF706" s="239" t="s">
        <v>721</v>
      </c>
      <c r="AG706" s="239">
        <f t="shared" si="51"/>
        <v>4261.6000000000004</v>
      </c>
      <c r="AH706" s="239">
        <f t="shared" si="52"/>
        <v>0</v>
      </c>
      <c r="AI706" s="239">
        <f t="shared" si="53"/>
        <v>0</v>
      </c>
      <c r="AJ706" s="239">
        <f t="shared" si="54"/>
        <v>4261.6000000000004</v>
      </c>
    </row>
    <row r="707" spans="1:36" x14ac:dyDescent="0.2">
      <c r="A707" s="240" t="str">
        <f t="shared" si="50"/>
        <v>6240SNXLXP5516</v>
      </c>
      <c r="B707" s="239" t="s">
        <v>19</v>
      </c>
      <c r="C707" s="239" t="s">
        <v>20</v>
      </c>
      <c r="D707" s="239" t="s">
        <v>2651</v>
      </c>
      <c r="E707" s="239" t="s">
        <v>2652</v>
      </c>
      <c r="F707" s="239" t="s">
        <v>2657</v>
      </c>
      <c r="G707" s="239">
        <v>16</v>
      </c>
      <c r="H707" s="239" t="s">
        <v>928</v>
      </c>
      <c r="I707" s="239" t="s">
        <v>2654</v>
      </c>
      <c r="J707" s="239" t="s">
        <v>928</v>
      </c>
      <c r="K707" s="239" t="s">
        <v>2398</v>
      </c>
      <c r="L707" s="239">
        <v>4944.8</v>
      </c>
      <c r="M707" s="239">
        <v>100</v>
      </c>
      <c r="N707" s="239">
        <v>0</v>
      </c>
      <c r="O707" s="239">
        <v>4944.8</v>
      </c>
      <c r="P707" s="239">
        <v>0</v>
      </c>
      <c r="Q707" s="239">
        <v>0</v>
      </c>
      <c r="R707" s="239">
        <v>0</v>
      </c>
      <c r="S707" s="239">
        <v>0</v>
      </c>
      <c r="T707" s="239">
        <v>0</v>
      </c>
      <c r="U707" s="239">
        <v>0</v>
      </c>
      <c r="V707" s="239">
        <v>0</v>
      </c>
      <c r="W707" s="239">
        <v>0</v>
      </c>
      <c r="X707" s="239">
        <v>0</v>
      </c>
      <c r="Y707" s="239">
        <v>0</v>
      </c>
      <c r="Z707" s="239">
        <v>0</v>
      </c>
      <c r="AA707" s="239">
        <v>0</v>
      </c>
      <c r="AB707" s="239">
        <v>0</v>
      </c>
      <c r="AC707" s="239">
        <v>0</v>
      </c>
      <c r="AD707" s="239">
        <v>0</v>
      </c>
      <c r="AE707" s="239" t="s">
        <v>720</v>
      </c>
      <c r="AF707" s="239" t="s">
        <v>721</v>
      </c>
      <c r="AG707" s="239">
        <f t="shared" si="51"/>
        <v>4944.8</v>
      </c>
      <c r="AH707" s="239">
        <f t="shared" si="52"/>
        <v>0</v>
      </c>
      <c r="AI707" s="239">
        <f t="shared" si="53"/>
        <v>0</v>
      </c>
      <c r="AJ707" s="239">
        <f t="shared" si="54"/>
        <v>4944.8</v>
      </c>
    </row>
    <row r="708" spans="1:36" x14ac:dyDescent="0.2">
      <c r="A708" s="240" t="str">
        <f t="shared" ref="A708" si="56">TRIM(I708&amp;B708&amp;C708&amp;D708&amp;F708&amp;G708)</f>
        <v>SNXLXP5516</v>
      </c>
      <c r="B708" s="239" t="s">
        <v>19</v>
      </c>
      <c r="C708" s="239" t="s">
        <v>20</v>
      </c>
      <c r="D708" s="239" t="s">
        <v>2651</v>
      </c>
      <c r="E708" s="239" t="s">
        <v>2652</v>
      </c>
      <c r="F708" s="239" t="s">
        <v>2657</v>
      </c>
      <c r="G708" s="239">
        <v>16</v>
      </c>
      <c r="H708" s="239" t="s">
        <v>928</v>
      </c>
      <c r="I708" s="239" t="s">
        <v>928</v>
      </c>
      <c r="J708" s="239" t="s">
        <v>928</v>
      </c>
      <c r="K708" s="239" t="s">
        <v>2398</v>
      </c>
      <c r="L708" s="239">
        <v>4944.8</v>
      </c>
      <c r="M708" s="239">
        <v>100</v>
      </c>
      <c r="N708" s="239">
        <v>0</v>
      </c>
      <c r="O708" s="239">
        <v>4944.8</v>
      </c>
      <c r="P708" s="239">
        <v>0</v>
      </c>
      <c r="Q708" s="239">
        <v>0</v>
      </c>
      <c r="R708" s="239">
        <v>0</v>
      </c>
      <c r="S708" s="239">
        <v>0</v>
      </c>
      <c r="T708" s="239">
        <v>0</v>
      </c>
      <c r="U708" s="239">
        <v>0</v>
      </c>
      <c r="V708" s="239">
        <v>0</v>
      </c>
      <c r="W708" s="239">
        <v>0</v>
      </c>
      <c r="X708" s="239">
        <v>0</v>
      </c>
      <c r="Y708" s="239">
        <v>0</v>
      </c>
      <c r="Z708" s="239">
        <v>0</v>
      </c>
      <c r="AA708" s="239">
        <v>0</v>
      </c>
      <c r="AB708" s="239">
        <v>0</v>
      </c>
      <c r="AC708" s="239">
        <v>0</v>
      </c>
      <c r="AD708" s="239">
        <v>0</v>
      </c>
      <c r="AE708" s="239" t="s">
        <v>720</v>
      </c>
      <c r="AF708" s="239" t="s">
        <v>721</v>
      </c>
      <c r="AG708" s="239">
        <f t="shared" si="51"/>
        <v>4944.8</v>
      </c>
      <c r="AH708" s="239">
        <f t="shared" si="52"/>
        <v>0</v>
      </c>
      <c r="AI708" s="239">
        <f t="shared" si="53"/>
        <v>0</v>
      </c>
      <c r="AJ708" s="239">
        <f t="shared" si="54"/>
        <v>4944.8</v>
      </c>
    </row>
    <row r="709" spans="1:36" x14ac:dyDescent="0.2">
      <c r="A709" s="240" t="str">
        <f t="shared" si="50"/>
        <v>3ASYA1HG612</v>
      </c>
      <c r="B709" s="239" t="s">
        <v>19</v>
      </c>
      <c r="C709" s="239" t="s">
        <v>28</v>
      </c>
      <c r="D709" s="239" t="s">
        <v>2394</v>
      </c>
      <c r="E709" s="239" t="s">
        <v>2395</v>
      </c>
      <c r="F709" s="239" t="s">
        <v>2658</v>
      </c>
      <c r="G709" s="239">
        <v>12</v>
      </c>
      <c r="H709" s="239" t="s">
        <v>928</v>
      </c>
      <c r="I709" s="239" t="s">
        <v>2401</v>
      </c>
      <c r="J709" s="239" t="s">
        <v>928</v>
      </c>
      <c r="K709" s="239" t="s">
        <v>2398</v>
      </c>
      <c r="L709" s="239">
        <v>4590.3053</v>
      </c>
      <c r="M709" s="239">
        <v>91.7</v>
      </c>
      <c r="N709" s="239">
        <v>0</v>
      </c>
      <c r="O709" s="239">
        <v>3244.2748099999999</v>
      </c>
      <c r="P709" s="239">
        <v>0</v>
      </c>
      <c r="Q709" s="239">
        <v>0</v>
      </c>
      <c r="R709" s="239">
        <v>0</v>
      </c>
      <c r="S709" s="239">
        <v>0</v>
      </c>
      <c r="T709" s="239">
        <v>18.000530000000001</v>
      </c>
      <c r="U709" s="239">
        <v>278.63812000000001</v>
      </c>
      <c r="V709" s="239">
        <v>91.005849999999995</v>
      </c>
      <c r="W709" s="239">
        <v>135.26728</v>
      </c>
      <c r="X709" s="239">
        <v>0</v>
      </c>
      <c r="Y709" s="239">
        <v>0</v>
      </c>
      <c r="Z709" s="239">
        <v>572.07033999999999</v>
      </c>
      <c r="AA709" s="239">
        <v>251.04837000000001</v>
      </c>
      <c r="AB709" s="239">
        <v>0</v>
      </c>
      <c r="AC709" s="239">
        <v>0</v>
      </c>
      <c r="AD709" s="239">
        <v>1</v>
      </c>
      <c r="AE709" s="239" t="s">
        <v>720</v>
      </c>
      <c r="AF709" s="239" t="s">
        <v>721</v>
      </c>
      <c r="AG709" s="239">
        <f t="shared" si="51"/>
        <v>2975.00000077</v>
      </c>
      <c r="AH709" s="239">
        <f t="shared" si="52"/>
        <v>0</v>
      </c>
      <c r="AI709" s="239">
        <f t="shared" si="53"/>
        <v>0</v>
      </c>
      <c r="AJ709" s="239">
        <f t="shared" si="54"/>
        <v>2975.00000077</v>
      </c>
    </row>
    <row r="710" spans="1:36" x14ac:dyDescent="0.2">
      <c r="A710" s="240" t="str">
        <f t="shared" si="50"/>
        <v>SYA1HG612</v>
      </c>
      <c r="B710" s="239" t="s">
        <v>19</v>
      </c>
      <c r="C710" s="239" t="s">
        <v>28</v>
      </c>
      <c r="D710" s="239" t="s">
        <v>2394</v>
      </c>
      <c r="E710" s="239" t="s">
        <v>2395</v>
      </c>
      <c r="F710" s="239" t="s">
        <v>2658</v>
      </c>
      <c r="G710" s="239">
        <v>12</v>
      </c>
      <c r="H710" s="239" t="s">
        <v>928</v>
      </c>
      <c r="I710" s="239" t="s">
        <v>928</v>
      </c>
      <c r="J710" s="239" t="s">
        <v>928</v>
      </c>
      <c r="K710" s="239" t="s">
        <v>2398</v>
      </c>
      <c r="L710" s="239">
        <v>4590.3051599999999</v>
      </c>
      <c r="M710" s="239">
        <v>91.7</v>
      </c>
      <c r="N710" s="239">
        <v>0</v>
      </c>
      <c r="O710" s="239">
        <v>3244.2746999999999</v>
      </c>
      <c r="P710" s="239">
        <v>0</v>
      </c>
      <c r="Q710" s="239">
        <v>0</v>
      </c>
      <c r="R710" s="239">
        <v>0</v>
      </c>
      <c r="S710" s="239">
        <v>0</v>
      </c>
      <c r="T710" s="239">
        <v>18.00048</v>
      </c>
      <c r="U710" s="239">
        <v>278.63810999999998</v>
      </c>
      <c r="V710" s="239">
        <v>91.005809999999997</v>
      </c>
      <c r="W710" s="239">
        <v>135.26732999999999</v>
      </c>
      <c r="X710" s="239">
        <v>0</v>
      </c>
      <c r="Y710" s="239">
        <v>0</v>
      </c>
      <c r="Z710" s="239">
        <v>572.07033000000001</v>
      </c>
      <c r="AA710" s="239">
        <v>251.04839999999999</v>
      </c>
      <c r="AB710" s="239">
        <v>0</v>
      </c>
      <c r="AC710" s="239">
        <v>0</v>
      </c>
      <c r="AD710" s="239">
        <v>1</v>
      </c>
      <c r="AE710" s="239" t="s">
        <v>720</v>
      </c>
      <c r="AF710" s="239" t="s">
        <v>721</v>
      </c>
      <c r="AG710" s="239">
        <f t="shared" ref="AG710:AG773" si="57">+O710*M710/100</f>
        <v>2974.9998999000004</v>
      </c>
      <c r="AH710" s="239">
        <f t="shared" ref="AH710:AH773" si="58">+P710*M710/100</f>
        <v>0</v>
      </c>
      <c r="AI710" s="239">
        <f t="shared" ref="AI710:AI773" si="59">+AB710*M710/100</f>
        <v>0</v>
      </c>
      <c r="AJ710" s="239">
        <f t="shared" ref="AJ710:AJ773" si="60">+AG710+AH710+AI710</f>
        <v>2974.9998999000004</v>
      </c>
    </row>
    <row r="711" spans="1:36" x14ac:dyDescent="0.2">
      <c r="A711" s="240" t="str">
        <f t="shared" ref="A711:A774" si="61">TRIM(I711&amp;B711&amp;C711&amp;D711&amp;F711&amp;G711)</f>
        <v>3ASYA1C31HGCX12</v>
      </c>
      <c r="B711" s="239" t="s">
        <v>19</v>
      </c>
      <c r="C711" s="239" t="s">
        <v>28</v>
      </c>
      <c r="D711" s="239" t="s">
        <v>2406</v>
      </c>
      <c r="E711" s="239" t="s">
        <v>2407</v>
      </c>
      <c r="F711" s="239" t="s">
        <v>2659</v>
      </c>
      <c r="G711" s="239">
        <v>12</v>
      </c>
      <c r="H711" s="239" t="s">
        <v>928</v>
      </c>
      <c r="I711" s="239" t="s">
        <v>2401</v>
      </c>
      <c r="J711" s="239" t="s">
        <v>928</v>
      </c>
      <c r="K711" s="239" t="s">
        <v>2398</v>
      </c>
      <c r="L711" s="239">
        <v>6312.0826299999999</v>
      </c>
      <c r="M711" s="239">
        <v>89.5</v>
      </c>
      <c r="N711" s="239">
        <v>0</v>
      </c>
      <c r="O711" s="239">
        <v>3324.0223500000002</v>
      </c>
      <c r="P711" s="239">
        <v>0</v>
      </c>
      <c r="Q711" s="239">
        <v>0</v>
      </c>
      <c r="R711" s="239">
        <v>0</v>
      </c>
      <c r="S711" s="239">
        <v>0</v>
      </c>
      <c r="T711" s="239">
        <v>821.08279000000005</v>
      </c>
      <c r="U711" s="239">
        <v>329.22411</v>
      </c>
      <c r="V711" s="239">
        <v>105.65772</v>
      </c>
      <c r="W711" s="239">
        <v>305.69308999999998</v>
      </c>
      <c r="X711" s="239">
        <v>0</v>
      </c>
      <c r="Y711" s="239">
        <v>0</v>
      </c>
      <c r="Z711" s="239">
        <v>1011.93968</v>
      </c>
      <c r="AA711" s="239">
        <v>414.46289000000002</v>
      </c>
      <c r="AB711" s="239">
        <v>0</v>
      </c>
      <c r="AC711" s="239">
        <v>0</v>
      </c>
      <c r="AD711" s="239">
        <v>1</v>
      </c>
      <c r="AE711" s="239" t="s">
        <v>720</v>
      </c>
      <c r="AF711" s="239" t="s">
        <v>721</v>
      </c>
      <c r="AG711" s="239">
        <f t="shared" si="57"/>
        <v>2975.0000032500002</v>
      </c>
      <c r="AH711" s="239">
        <f t="shared" si="58"/>
        <v>0</v>
      </c>
      <c r="AI711" s="239">
        <f t="shared" si="59"/>
        <v>0</v>
      </c>
      <c r="AJ711" s="239">
        <f t="shared" si="60"/>
        <v>2975.0000032500002</v>
      </c>
    </row>
    <row r="712" spans="1:36" x14ac:dyDescent="0.2">
      <c r="A712" s="240" t="str">
        <f t="shared" si="61"/>
        <v>SYA1C31HGCX12</v>
      </c>
      <c r="B712" s="239" t="s">
        <v>19</v>
      </c>
      <c r="C712" s="239" t="s">
        <v>28</v>
      </c>
      <c r="D712" s="239" t="s">
        <v>2406</v>
      </c>
      <c r="E712" s="239" t="s">
        <v>2407</v>
      </c>
      <c r="F712" s="239" t="s">
        <v>2659</v>
      </c>
      <c r="G712" s="239">
        <v>12</v>
      </c>
      <c r="H712" s="239" t="s">
        <v>928</v>
      </c>
      <c r="I712" s="239" t="s">
        <v>928</v>
      </c>
      <c r="J712" s="239" t="s">
        <v>928</v>
      </c>
      <c r="K712" s="239" t="s">
        <v>2398</v>
      </c>
      <c r="L712" s="239">
        <v>6312.0820599999997</v>
      </c>
      <c r="M712" s="239">
        <v>89.5</v>
      </c>
      <c r="N712" s="239">
        <v>0</v>
      </c>
      <c r="O712" s="239">
        <v>3324.0224699999999</v>
      </c>
      <c r="P712" s="239">
        <v>0</v>
      </c>
      <c r="Q712" s="239">
        <v>0</v>
      </c>
      <c r="R712" s="239">
        <v>0</v>
      </c>
      <c r="S712" s="239">
        <v>0</v>
      </c>
      <c r="T712" s="239">
        <v>821.08275000000003</v>
      </c>
      <c r="U712" s="239">
        <v>329.22327999999999</v>
      </c>
      <c r="V712" s="239">
        <v>105.65761999999999</v>
      </c>
      <c r="W712" s="239">
        <v>305.69326000000001</v>
      </c>
      <c r="X712" s="239">
        <v>0</v>
      </c>
      <c r="Y712" s="239">
        <v>0</v>
      </c>
      <c r="Z712" s="239">
        <v>1011.93995</v>
      </c>
      <c r="AA712" s="239">
        <v>414.46273000000002</v>
      </c>
      <c r="AB712" s="239">
        <v>0</v>
      </c>
      <c r="AC712" s="239">
        <v>0</v>
      </c>
      <c r="AD712" s="239">
        <v>1</v>
      </c>
      <c r="AE712" s="239" t="s">
        <v>720</v>
      </c>
      <c r="AF712" s="239" t="s">
        <v>721</v>
      </c>
      <c r="AG712" s="239">
        <f t="shared" si="57"/>
        <v>2975.0001106499999</v>
      </c>
      <c r="AH712" s="239">
        <f t="shared" si="58"/>
        <v>0</v>
      </c>
      <c r="AI712" s="239">
        <f t="shared" si="59"/>
        <v>0</v>
      </c>
      <c r="AJ712" s="239">
        <f t="shared" si="60"/>
        <v>2975.0001106499999</v>
      </c>
    </row>
    <row r="713" spans="1:36" x14ac:dyDescent="0.2">
      <c r="A713" s="240" t="str">
        <f t="shared" si="61"/>
        <v>33SYA1CCXR12</v>
      </c>
      <c r="B713" s="239" t="s">
        <v>19</v>
      </c>
      <c r="C713" s="239" t="s">
        <v>28</v>
      </c>
      <c r="D713" s="239" t="s">
        <v>2406</v>
      </c>
      <c r="E713" s="239" t="s">
        <v>2407</v>
      </c>
      <c r="F713" s="239" t="s">
        <v>2411</v>
      </c>
      <c r="G713" s="239">
        <v>12</v>
      </c>
      <c r="H713" s="239" t="s">
        <v>928</v>
      </c>
      <c r="I713" s="239" t="s">
        <v>2412</v>
      </c>
      <c r="J713" s="239" t="s">
        <v>928</v>
      </c>
      <c r="K713" s="239" t="s">
        <v>2398</v>
      </c>
      <c r="L713" s="239">
        <v>2888.6428299999998</v>
      </c>
      <c r="M713" s="239">
        <v>100</v>
      </c>
      <c r="N713" s="239">
        <v>0</v>
      </c>
      <c r="O713" s="239">
        <v>0</v>
      </c>
      <c r="P713" s="239">
        <v>0</v>
      </c>
      <c r="Q713" s="239">
        <v>0</v>
      </c>
      <c r="R713" s="239">
        <v>0</v>
      </c>
      <c r="S713" s="239">
        <v>0</v>
      </c>
      <c r="T713" s="239">
        <v>1190.00503</v>
      </c>
      <c r="U713" s="239">
        <v>0</v>
      </c>
      <c r="V713" s="239">
        <v>17.50057</v>
      </c>
      <c r="W713" s="239">
        <v>414.99567999999999</v>
      </c>
      <c r="X713" s="239">
        <v>0</v>
      </c>
      <c r="Y713" s="239">
        <v>0</v>
      </c>
      <c r="Z713" s="239">
        <v>895.62738999999999</v>
      </c>
      <c r="AA713" s="239">
        <v>370.51416</v>
      </c>
      <c r="AB713" s="239">
        <v>0</v>
      </c>
      <c r="AC713" s="239">
        <v>0</v>
      </c>
      <c r="AD713" s="239">
        <v>1</v>
      </c>
      <c r="AE713" s="239" t="s">
        <v>720</v>
      </c>
      <c r="AF713" s="239" t="s">
        <v>721</v>
      </c>
      <c r="AG713" s="239">
        <f t="shared" si="57"/>
        <v>0</v>
      </c>
      <c r="AH713" s="239">
        <f t="shared" si="58"/>
        <v>0</v>
      </c>
      <c r="AI713" s="239">
        <f t="shared" si="59"/>
        <v>0</v>
      </c>
      <c r="AJ713" s="239">
        <f t="shared" si="60"/>
        <v>0</v>
      </c>
    </row>
    <row r="714" spans="1:36" x14ac:dyDescent="0.2">
      <c r="A714" s="240" t="str">
        <f t="shared" si="61"/>
        <v>3M35SYA1CCXR12</v>
      </c>
      <c r="B714" s="239" t="s">
        <v>19</v>
      </c>
      <c r="C714" s="239" t="s">
        <v>28</v>
      </c>
      <c r="D714" s="239" t="s">
        <v>2406</v>
      </c>
      <c r="E714" s="239" t="s">
        <v>2407</v>
      </c>
      <c r="F714" s="239" t="s">
        <v>2411</v>
      </c>
      <c r="G714" s="239">
        <v>12</v>
      </c>
      <c r="H714" s="239" t="s">
        <v>928</v>
      </c>
      <c r="I714" s="239" t="s">
        <v>2413</v>
      </c>
      <c r="J714" s="239" t="s">
        <v>928</v>
      </c>
      <c r="K714" s="239" t="s">
        <v>2398</v>
      </c>
      <c r="L714" s="239">
        <v>7529.2762300000004</v>
      </c>
      <c r="M714" s="239">
        <v>88</v>
      </c>
      <c r="N714" s="239">
        <v>0</v>
      </c>
      <c r="O714" s="239">
        <v>2900</v>
      </c>
      <c r="P714" s="239">
        <v>1843.75145</v>
      </c>
      <c r="Q714" s="239">
        <v>0</v>
      </c>
      <c r="R714" s="239">
        <v>0</v>
      </c>
      <c r="S714" s="239">
        <v>0</v>
      </c>
      <c r="T714" s="239">
        <v>18.000170000000001</v>
      </c>
      <c r="U714" s="239">
        <v>229.11520999999999</v>
      </c>
      <c r="V714" s="239">
        <v>89.004279999999994</v>
      </c>
      <c r="W714" s="239">
        <v>134.55769000000001</v>
      </c>
      <c r="X714" s="239">
        <v>0</v>
      </c>
      <c r="Y714" s="239">
        <v>0</v>
      </c>
      <c r="Z714" s="239">
        <v>617.38541999999995</v>
      </c>
      <c r="AA714" s="239">
        <v>258.66478999999998</v>
      </c>
      <c r="AB714" s="239">
        <v>1438.7972199999999</v>
      </c>
      <c r="AC714" s="239">
        <v>0</v>
      </c>
      <c r="AD714" s="239">
        <v>1</v>
      </c>
      <c r="AE714" s="239" t="s">
        <v>720</v>
      </c>
      <c r="AF714" s="239" t="s">
        <v>721</v>
      </c>
      <c r="AG714" s="239">
        <f t="shared" si="57"/>
        <v>2552</v>
      </c>
      <c r="AH714" s="239">
        <f t="shared" si="58"/>
        <v>1622.501276</v>
      </c>
      <c r="AI714" s="239">
        <f t="shared" si="59"/>
        <v>1266.1415536</v>
      </c>
      <c r="AJ714" s="239">
        <f t="shared" si="60"/>
        <v>5440.6428295999995</v>
      </c>
    </row>
    <row r="715" spans="1:36" x14ac:dyDescent="0.2">
      <c r="A715" s="240" t="str">
        <f t="shared" si="61"/>
        <v>3FSYA1CEGC112</v>
      </c>
      <c r="B715" s="239" t="s">
        <v>19</v>
      </c>
      <c r="C715" s="239" t="s">
        <v>28</v>
      </c>
      <c r="D715" s="239" t="s">
        <v>2406</v>
      </c>
      <c r="E715" s="239" t="s">
        <v>2407</v>
      </c>
      <c r="F715" s="239" t="s">
        <v>2415</v>
      </c>
      <c r="G715" s="239">
        <v>12</v>
      </c>
      <c r="H715" s="239" t="s">
        <v>928</v>
      </c>
      <c r="I715" s="239" t="s">
        <v>2416</v>
      </c>
      <c r="J715" s="239" t="s">
        <v>928</v>
      </c>
      <c r="K715" s="239" t="s">
        <v>2398</v>
      </c>
      <c r="L715" s="239">
        <v>8200.9252799999995</v>
      </c>
      <c r="M715" s="239">
        <v>88</v>
      </c>
      <c r="N715" s="239">
        <v>0</v>
      </c>
      <c r="O715" s="239">
        <v>4318.1818199999998</v>
      </c>
      <c r="P715" s="239">
        <v>0</v>
      </c>
      <c r="Q715" s="239">
        <v>0</v>
      </c>
      <c r="R715" s="239">
        <v>0</v>
      </c>
      <c r="S715" s="239">
        <v>0</v>
      </c>
      <c r="T715" s="239">
        <v>1577.40777</v>
      </c>
      <c r="U715" s="239">
        <v>326.12795999999997</v>
      </c>
      <c r="V715" s="239">
        <v>101.65752000000001</v>
      </c>
      <c r="W715" s="239">
        <v>322.31828000000002</v>
      </c>
      <c r="X715" s="239">
        <v>0</v>
      </c>
      <c r="Y715" s="239">
        <v>0</v>
      </c>
      <c r="Z715" s="239">
        <v>1098.82339</v>
      </c>
      <c r="AA715" s="239">
        <v>456.40854000000002</v>
      </c>
      <c r="AB715" s="239">
        <v>0</v>
      </c>
      <c r="AC715" s="239">
        <v>0</v>
      </c>
      <c r="AD715" s="239">
        <v>1</v>
      </c>
      <c r="AE715" s="239" t="s">
        <v>720</v>
      </c>
      <c r="AF715" s="239" t="s">
        <v>721</v>
      </c>
      <c r="AG715" s="239">
        <f t="shared" si="57"/>
        <v>3800.0000015999999</v>
      </c>
      <c r="AH715" s="239">
        <f t="shared" si="58"/>
        <v>0</v>
      </c>
      <c r="AI715" s="239">
        <f t="shared" si="59"/>
        <v>0</v>
      </c>
      <c r="AJ715" s="239">
        <f t="shared" si="60"/>
        <v>3800.0000015999999</v>
      </c>
    </row>
    <row r="716" spans="1:36" x14ac:dyDescent="0.2">
      <c r="A716" s="240" t="str">
        <f t="shared" si="61"/>
        <v>3MSYA1CEGC112</v>
      </c>
      <c r="B716" s="239" t="s">
        <v>19</v>
      </c>
      <c r="C716" s="239" t="s">
        <v>28</v>
      </c>
      <c r="D716" s="239" t="s">
        <v>2406</v>
      </c>
      <c r="E716" s="239" t="s">
        <v>2407</v>
      </c>
      <c r="F716" s="239" t="s">
        <v>2415</v>
      </c>
      <c r="G716" s="239">
        <v>12</v>
      </c>
      <c r="H716" s="239" t="s">
        <v>928</v>
      </c>
      <c r="I716" s="239" t="s">
        <v>2417</v>
      </c>
      <c r="J716" s="239" t="s">
        <v>928</v>
      </c>
      <c r="K716" s="239" t="s">
        <v>2398</v>
      </c>
      <c r="L716" s="239">
        <v>6611.0026500000004</v>
      </c>
      <c r="M716" s="239">
        <v>88</v>
      </c>
      <c r="N716" s="239">
        <v>0</v>
      </c>
      <c r="O716" s="239">
        <v>2900</v>
      </c>
      <c r="P716" s="239">
        <v>0</v>
      </c>
      <c r="Q716" s="239">
        <v>0</v>
      </c>
      <c r="R716" s="239">
        <v>0</v>
      </c>
      <c r="S716" s="239">
        <v>0</v>
      </c>
      <c r="T716" s="239">
        <v>1567.76819</v>
      </c>
      <c r="U716" s="239">
        <v>324.06385999999998</v>
      </c>
      <c r="V716" s="239">
        <v>102.65757000000001</v>
      </c>
      <c r="W716" s="239">
        <v>303.32819000000001</v>
      </c>
      <c r="X716" s="239">
        <v>0</v>
      </c>
      <c r="Y716" s="239">
        <v>0</v>
      </c>
      <c r="Z716" s="239">
        <v>1001.71806</v>
      </c>
      <c r="AA716" s="239">
        <v>411.46678000000003</v>
      </c>
      <c r="AB716" s="239">
        <v>0</v>
      </c>
      <c r="AC716" s="239">
        <v>0</v>
      </c>
      <c r="AD716" s="239">
        <v>1</v>
      </c>
      <c r="AE716" s="239" t="s">
        <v>720</v>
      </c>
      <c r="AF716" s="239" t="s">
        <v>721</v>
      </c>
      <c r="AG716" s="239">
        <f t="shared" si="57"/>
        <v>2552</v>
      </c>
      <c r="AH716" s="239">
        <f t="shared" si="58"/>
        <v>0</v>
      </c>
      <c r="AI716" s="239">
        <f t="shared" si="59"/>
        <v>0</v>
      </c>
      <c r="AJ716" s="239">
        <f t="shared" si="60"/>
        <v>2552</v>
      </c>
    </row>
    <row r="717" spans="1:36" x14ac:dyDescent="0.2">
      <c r="A717" s="240" t="str">
        <f t="shared" si="61"/>
        <v>SYA1CEGC112</v>
      </c>
      <c r="B717" s="239" t="s">
        <v>19</v>
      </c>
      <c r="C717" s="239" t="s">
        <v>28</v>
      </c>
      <c r="D717" s="239" t="s">
        <v>2406</v>
      </c>
      <c r="E717" s="239" t="s">
        <v>2407</v>
      </c>
      <c r="F717" s="239" t="s">
        <v>2415</v>
      </c>
      <c r="G717" s="239">
        <v>12</v>
      </c>
      <c r="H717" s="239" t="s">
        <v>928</v>
      </c>
      <c r="I717" s="239" t="s">
        <v>928</v>
      </c>
      <c r="J717" s="239" t="s">
        <v>928</v>
      </c>
      <c r="K717" s="239" t="s">
        <v>2398</v>
      </c>
      <c r="L717" s="239">
        <v>7276.4318000000003</v>
      </c>
      <c r="M717" s="239">
        <v>88</v>
      </c>
      <c r="N717" s="239">
        <v>0</v>
      </c>
      <c r="O717" s="239">
        <v>3493.5511999999999</v>
      </c>
      <c r="P717" s="239">
        <v>0</v>
      </c>
      <c r="Q717" s="239">
        <v>0</v>
      </c>
      <c r="R717" s="239">
        <v>0</v>
      </c>
      <c r="S717" s="239">
        <v>0</v>
      </c>
      <c r="T717" s="239">
        <v>1571.8028999999999</v>
      </c>
      <c r="U717" s="239">
        <v>324.92777000000001</v>
      </c>
      <c r="V717" s="239">
        <v>102.23876</v>
      </c>
      <c r="W717" s="239">
        <v>311.27607999999998</v>
      </c>
      <c r="X717" s="239">
        <v>0</v>
      </c>
      <c r="Y717" s="239">
        <v>0</v>
      </c>
      <c r="Z717" s="239">
        <v>1042.35889</v>
      </c>
      <c r="AA717" s="239">
        <v>430.27620000000002</v>
      </c>
      <c r="AB717" s="239">
        <v>0</v>
      </c>
      <c r="AC717" s="239">
        <v>0</v>
      </c>
      <c r="AD717" s="239">
        <v>1</v>
      </c>
      <c r="AE717" s="239" t="s">
        <v>720</v>
      </c>
      <c r="AF717" s="239" t="s">
        <v>721</v>
      </c>
      <c r="AG717" s="239">
        <f t="shared" si="57"/>
        <v>3074.3250559999997</v>
      </c>
      <c r="AH717" s="239">
        <f t="shared" si="58"/>
        <v>0</v>
      </c>
      <c r="AI717" s="239">
        <f t="shared" si="59"/>
        <v>0</v>
      </c>
      <c r="AJ717" s="239">
        <f t="shared" si="60"/>
        <v>3074.3250559999997</v>
      </c>
    </row>
    <row r="718" spans="1:36" x14ac:dyDescent="0.2">
      <c r="A718" s="240" t="str">
        <f t="shared" si="61"/>
        <v>3ASYA1CHGCR12</v>
      </c>
      <c r="B718" s="239" t="s">
        <v>19</v>
      </c>
      <c r="C718" s="239" t="s">
        <v>28</v>
      </c>
      <c r="D718" s="239" t="s">
        <v>2406</v>
      </c>
      <c r="E718" s="239" t="s">
        <v>2407</v>
      </c>
      <c r="F718" s="239" t="s">
        <v>2421</v>
      </c>
      <c r="G718" s="239">
        <v>12</v>
      </c>
      <c r="H718" s="239" t="s">
        <v>928</v>
      </c>
      <c r="I718" s="239" t="s">
        <v>2401</v>
      </c>
      <c r="J718" s="239" t="s">
        <v>928</v>
      </c>
      <c r="K718" s="239" t="s">
        <v>2398</v>
      </c>
      <c r="L718" s="239">
        <v>6105.1383699999997</v>
      </c>
      <c r="M718" s="239">
        <v>90.5</v>
      </c>
      <c r="N718" s="239">
        <v>0</v>
      </c>
      <c r="O718" s="239">
        <v>3287.2928200000001</v>
      </c>
      <c r="P718" s="239">
        <v>0</v>
      </c>
      <c r="Q718" s="239">
        <v>0</v>
      </c>
      <c r="R718" s="239">
        <v>0</v>
      </c>
      <c r="S718" s="239">
        <v>0</v>
      </c>
      <c r="T718" s="239">
        <v>755.72396000000003</v>
      </c>
      <c r="U718" s="239">
        <v>324.06385999999998</v>
      </c>
      <c r="V718" s="239">
        <v>100.65748000000001</v>
      </c>
      <c r="W718" s="239">
        <v>309.44366000000002</v>
      </c>
      <c r="X718" s="239">
        <v>0</v>
      </c>
      <c r="Y718" s="239">
        <v>0</v>
      </c>
      <c r="Z718" s="239">
        <v>943.45487000000003</v>
      </c>
      <c r="AA718" s="239">
        <v>384.50171999999998</v>
      </c>
      <c r="AB718" s="239">
        <v>0</v>
      </c>
      <c r="AC718" s="239">
        <v>0</v>
      </c>
      <c r="AD718" s="239">
        <v>1</v>
      </c>
      <c r="AE718" s="239" t="s">
        <v>720</v>
      </c>
      <c r="AF718" s="239" t="s">
        <v>721</v>
      </c>
      <c r="AG718" s="239">
        <f t="shared" si="57"/>
        <v>2975.0000021000001</v>
      </c>
      <c r="AH718" s="239">
        <f t="shared" si="58"/>
        <v>0</v>
      </c>
      <c r="AI718" s="239">
        <f t="shared" si="59"/>
        <v>0</v>
      </c>
      <c r="AJ718" s="239">
        <f t="shared" si="60"/>
        <v>2975.0000021000001</v>
      </c>
    </row>
    <row r="719" spans="1:36" x14ac:dyDescent="0.2">
      <c r="A719" s="240" t="str">
        <f t="shared" si="61"/>
        <v>3BSYA1CHGCR12</v>
      </c>
      <c r="B719" s="239" t="s">
        <v>19</v>
      </c>
      <c r="C719" s="239" t="s">
        <v>28</v>
      </c>
      <c r="D719" s="239" t="s">
        <v>2406</v>
      </c>
      <c r="E719" s="239" t="s">
        <v>2407</v>
      </c>
      <c r="F719" s="239" t="s">
        <v>2421</v>
      </c>
      <c r="G719" s="239">
        <v>12</v>
      </c>
      <c r="H719" s="239" t="s">
        <v>928</v>
      </c>
      <c r="I719" s="239" t="s">
        <v>2422</v>
      </c>
      <c r="J719" s="239" t="s">
        <v>928</v>
      </c>
      <c r="K719" s="239" t="s">
        <v>2398</v>
      </c>
      <c r="L719" s="239">
        <v>5512.5875500000002</v>
      </c>
      <c r="M719" s="239">
        <v>90.5</v>
      </c>
      <c r="N719" s="239">
        <v>0</v>
      </c>
      <c r="O719" s="239">
        <v>2784.5303899999999</v>
      </c>
      <c r="P719" s="239">
        <v>0</v>
      </c>
      <c r="Q719" s="239">
        <v>0</v>
      </c>
      <c r="R719" s="239">
        <v>0</v>
      </c>
      <c r="S719" s="239">
        <v>0</v>
      </c>
      <c r="T719" s="239">
        <v>755.72396000000003</v>
      </c>
      <c r="U719" s="239">
        <v>234.27547000000001</v>
      </c>
      <c r="V719" s="239">
        <v>100.65748000000001</v>
      </c>
      <c r="W719" s="239">
        <v>309.44366000000002</v>
      </c>
      <c r="X719" s="239">
        <v>0</v>
      </c>
      <c r="Y719" s="239">
        <v>0</v>
      </c>
      <c r="Z719" s="239">
        <v>943.45487000000003</v>
      </c>
      <c r="AA719" s="239">
        <v>384.50171999999998</v>
      </c>
      <c r="AB719" s="239">
        <v>0</v>
      </c>
      <c r="AC719" s="239">
        <v>0</v>
      </c>
      <c r="AD719" s="239">
        <v>1</v>
      </c>
      <c r="AE719" s="239" t="s">
        <v>19</v>
      </c>
      <c r="AF719" s="239" t="s">
        <v>725</v>
      </c>
      <c r="AG719" s="239">
        <f t="shared" si="57"/>
        <v>2520.0000029499997</v>
      </c>
      <c r="AH719" s="239">
        <f t="shared" si="58"/>
        <v>0</v>
      </c>
      <c r="AI719" s="239">
        <f t="shared" si="59"/>
        <v>0</v>
      </c>
      <c r="AJ719" s="239">
        <f t="shared" si="60"/>
        <v>2520.0000029499997</v>
      </c>
    </row>
    <row r="720" spans="1:36" x14ac:dyDescent="0.2">
      <c r="A720" s="240" t="str">
        <f t="shared" si="61"/>
        <v>3GSYA1CHGCR12</v>
      </c>
      <c r="B720" s="239" t="s">
        <v>19</v>
      </c>
      <c r="C720" s="239" t="s">
        <v>28</v>
      </c>
      <c r="D720" s="239" t="s">
        <v>2406</v>
      </c>
      <c r="E720" s="239" t="s">
        <v>2407</v>
      </c>
      <c r="F720" s="239" t="s">
        <v>2421</v>
      </c>
      <c r="G720" s="239">
        <v>12</v>
      </c>
      <c r="H720" s="239" t="s">
        <v>928</v>
      </c>
      <c r="I720" s="239" t="s">
        <v>2402</v>
      </c>
      <c r="J720" s="239" t="s">
        <v>928</v>
      </c>
      <c r="K720" s="239" t="s">
        <v>2398</v>
      </c>
      <c r="L720" s="239">
        <v>7020.2543900000001</v>
      </c>
      <c r="M720" s="239">
        <v>90.5</v>
      </c>
      <c r="N720" s="239">
        <v>0</v>
      </c>
      <c r="O720" s="239">
        <v>4202.4088400000001</v>
      </c>
      <c r="P720" s="239">
        <v>0</v>
      </c>
      <c r="Q720" s="239">
        <v>0</v>
      </c>
      <c r="R720" s="239">
        <v>0</v>
      </c>
      <c r="S720" s="239">
        <v>0</v>
      </c>
      <c r="T720" s="239">
        <v>755.72396000000003</v>
      </c>
      <c r="U720" s="239">
        <v>324.06385999999998</v>
      </c>
      <c r="V720" s="239">
        <v>100.65748000000001</v>
      </c>
      <c r="W720" s="239">
        <v>309.44366000000002</v>
      </c>
      <c r="X720" s="239">
        <v>0</v>
      </c>
      <c r="Y720" s="239">
        <v>0</v>
      </c>
      <c r="Z720" s="239">
        <v>943.45487000000003</v>
      </c>
      <c r="AA720" s="239">
        <v>384.50171999999998</v>
      </c>
      <c r="AB720" s="239">
        <v>0</v>
      </c>
      <c r="AC720" s="239">
        <v>0</v>
      </c>
      <c r="AD720" s="239">
        <v>1</v>
      </c>
      <c r="AE720" s="239" t="s">
        <v>19</v>
      </c>
      <c r="AF720" s="239" t="s">
        <v>725</v>
      </c>
      <c r="AG720" s="239">
        <f t="shared" si="57"/>
        <v>3803.1800002</v>
      </c>
      <c r="AH720" s="239">
        <f t="shared" si="58"/>
        <v>0</v>
      </c>
      <c r="AI720" s="239">
        <f t="shared" si="59"/>
        <v>0</v>
      </c>
      <c r="AJ720" s="239">
        <f t="shared" si="60"/>
        <v>3803.1800002</v>
      </c>
    </row>
    <row r="721" spans="1:36" x14ac:dyDescent="0.2">
      <c r="A721" s="240" t="str">
        <f t="shared" si="61"/>
        <v>SYA1CHGCR12</v>
      </c>
      <c r="B721" s="239" t="s">
        <v>19</v>
      </c>
      <c r="C721" s="239" t="s">
        <v>28</v>
      </c>
      <c r="D721" s="239" t="s">
        <v>2406</v>
      </c>
      <c r="E721" s="239" t="s">
        <v>2407</v>
      </c>
      <c r="F721" s="239" t="s">
        <v>2421</v>
      </c>
      <c r="G721" s="239">
        <v>12</v>
      </c>
      <c r="H721" s="239" t="s">
        <v>928</v>
      </c>
      <c r="I721" s="239" t="s">
        <v>928</v>
      </c>
      <c r="J721" s="239" t="s">
        <v>928</v>
      </c>
      <c r="K721" s="239" t="s">
        <v>2398</v>
      </c>
      <c r="L721" s="239">
        <v>5614.7008599999999</v>
      </c>
      <c r="M721" s="239">
        <v>90.5</v>
      </c>
      <c r="N721" s="239">
        <v>0</v>
      </c>
      <c r="O721" s="239">
        <v>2876.2382600000001</v>
      </c>
      <c r="P721" s="239">
        <v>0</v>
      </c>
      <c r="Q721" s="239">
        <v>0</v>
      </c>
      <c r="R721" s="239">
        <v>0</v>
      </c>
      <c r="S721" s="239">
        <v>0</v>
      </c>
      <c r="T721" s="239">
        <v>755.72384999999997</v>
      </c>
      <c r="U721" s="239">
        <v>244.68116000000001</v>
      </c>
      <c r="V721" s="239">
        <v>100.6575</v>
      </c>
      <c r="W721" s="239">
        <v>309.44367999999997</v>
      </c>
      <c r="X721" s="239">
        <v>0</v>
      </c>
      <c r="Y721" s="239">
        <v>0</v>
      </c>
      <c r="Z721" s="239">
        <v>943.45477000000005</v>
      </c>
      <c r="AA721" s="239">
        <v>384.50164000000001</v>
      </c>
      <c r="AB721" s="239">
        <v>0</v>
      </c>
      <c r="AC721" s="239">
        <v>0</v>
      </c>
      <c r="AD721" s="239">
        <v>1</v>
      </c>
      <c r="AE721" s="239" t="s">
        <v>19</v>
      </c>
      <c r="AF721" s="239" t="s">
        <v>725</v>
      </c>
      <c r="AG721" s="239">
        <f t="shared" si="57"/>
        <v>2602.9956253</v>
      </c>
      <c r="AH721" s="239">
        <f t="shared" si="58"/>
        <v>0</v>
      </c>
      <c r="AI721" s="239">
        <f t="shared" si="59"/>
        <v>0</v>
      </c>
      <c r="AJ721" s="239">
        <f t="shared" si="60"/>
        <v>2602.9956253</v>
      </c>
    </row>
    <row r="722" spans="1:36" x14ac:dyDescent="0.2">
      <c r="A722" s="240" t="str">
        <f t="shared" si="61"/>
        <v>3MSYA1CHGCX12</v>
      </c>
      <c r="B722" s="239" t="s">
        <v>19</v>
      </c>
      <c r="C722" s="239" t="s">
        <v>28</v>
      </c>
      <c r="D722" s="239" t="s">
        <v>2406</v>
      </c>
      <c r="E722" s="239" t="s">
        <v>2407</v>
      </c>
      <c r="F722" s="239" t="s">
        <v>2424</v>
      </c>
      <c r="G722" s="239">
        <v>12</v>
      </c>
      <c r="H722" s="239" t="s">
        <v>928</v>
      </c>
      <c r="I722" s="239" t="s">
        <v>2417</v>
      </c>
      <c r="J722" s="239" t="s">
        <v>928</v>
      </c>
      <c r="K722" s="239" t="s">
        <v>2398</v>
      </c>
      <c r="L722" s="239">
        <v>5839.4569300000003</v>
      </c>
      <c r="M722" s="239">
        <v>89.5</v>
      </c>
      <c r="N722" s="239">
        <v>0</v>
      </c>
      <c r="O722" s="239">
        <v>2851.3966500000001</v>
      </c>
      <c r="P722" s="239">
        <v>0</v>
      </c>
      <c r="Q722" s="239">
        <v>0</v>
      </c>
      <c r="R722" s="239">
        <v>0</v>
      </c>
      <c r="S722" s="239">
        <v>0</v>
      </c>
      <c r="T722" s="239">
        <v>821.08279000000005</v>
      </c>
      <c r="U722" s="239">
        <v>329.22411</v>
      </c>
      <c r="V722" s="239">
        <v>105.65772</v>
      </c>
      <c r="W722" s="239">
        <v>305.69308999999998</v>
      </c>
      <c r="X722" s="239">
        <v>0</v>
      </c>
      <c r="Y722" s="239">
        <v>0</v>
      </c>
      <c r="Z722" s="239">
        <v>1011.93968</v>
      </c>
      <c r="AA722" s="239">
        <v>414.46289000000002</v>
      </c>
      <c r="AB722" s="239">
        <v>0</v>
      </c>
      <c r="AC722" s="239">
        <v>0</v>
      </c>
      <c r="AD722" s="239">
        <v>1</v>
      </c>
      <c r="AE722" s="239" t="s">
        <v>19</v>
      </c>
      <c r="AF722" s="239" t="s">
        <v>725</v>
      </c>
      <c r="AG722" s="239">
        <f t="shared" si="57"/>
        <v>2552.0000017500001</v>
      </c>
      <c r="AH722" s="239">
        <f t="shared" si="58"/>
        <v>0</v>
      </c>
      <c r="AI722" s="239">
        <f t="shared" si="59"/>
        <v>0</v>
      </c>
      <c r="AJ722" s="239">
        <f t="shared" si="60"/>
        <v>2552.0000017500001</v>
      </c>
    </row>
    <row r="723" spans="1:36" x14ac:dyDescent="0.2">
      <c r="A723" s="240" t="str">
        <f t="shared" si="61"/>
        <v>SYA1CHGCX12</v>
      </c>
      <c r="B723" s="239" t="s">
        <v>19</v>
      </c>
      <c r="C723" s="239" t="s">
        <v>28</v>
      </c>
      <c r="D723" s="239" t="s">
        <v>2406</v>
      </c>
      <c r="E723" s="239" t="s">
        <v>2407</v>
      </c>
      <c r="F723" s="239" t="s">
        <v>2424</v>
      </c>
      <c r="G723" s="239">
        <v>12</v>
      </c>
      <c r="H723" s="239" t="s">
        <v>928</v>
      </c>
      <c r="I723" s="239" t="s">
        <v>928</v>
      </c>
      <c r="J723" s="239" t="s">
        <v>928</v>
      </c>
      <c r="K723" s="239" t="s">
        <v>2398</v>
      </c>
      <c r="L723" s="239">
        <v>5839.4586600000002</v>
      </c>
      <c r="M723" s="239">
        <v>89.5</v>
      </c>
      <c r="N723" s="239">
        <v>0</v>
      </c>
      <c r="O723" s="239">
        <v>2851.3971200000001</v>
      </c>
      <c r="P723" s="239">
        <v>0</v>
      </c>
      <c r="Q723" s="239">
        <v>0</v>
      </c>
      <c r="R723" s="239">
        <v>0</v>
      </c>
      <c r="S723" s="239">
        <v>0</v>
      </c>
      <c r="T723" s="239">
        <v>821.08303000000001</v>
      </c>
      <c r="U723" s="239">
        <v>329.22458999999998</v>
      </c>
      <c r="V723" s="239">
        <v>105.65774</v>
      </c>
      <c r="W723" s="239">
        <v>305.69324999999998</v>
      </c>
      <c r="X723" s="239">
        <v>0</v>
      </c>
      <c r="Y723" s="239">
        <v>0</v>
      </c>
      <c r="Z723" s="239">
        <v>1011.93952</v>
      </c>
      <c r="AA723" s="239">
        <v>414.46341000000001</v>
      </c>
      <c r="AB723" s="239">
        <v>0</v>
      </c>
      <c r="AC723" s="239">
        <v>0</v>
      </c>
      <c r="AD723" s="239">
        <v>1</v>
      </c>
      <c r="AE723" s="239" t="s">
        <v>19</v>
      </c>
      <c r="AF723" s="239" t="s">
        <v>725</v>
      </c>
      <c r="AG723" s="239">
        <f t="shared" si="57"/>
        <v>2552.0004223999999</v>
      </c>
      <c r="AH723" s="239">
        <f t="shared" si="58"/>
        <v>0</v>
      </c>
      <c r="AI723" s="239">
        <f t="shared" si="59"/>
        <v>0</v>
      </c>
      <c r="AJ723" s="239">
        <f t="shared" si="60"/>
        <v>2552.0004223999999</v>
      </c>
    </row>
    <row r="724" spans="1:36" x14ac:dyDescent="0.2">
      <c r="A724" s="240" t="str">
        <f t="shared" si="61"/>
        <v>3ASYA1CHGCX612</v>
      </c>
      <c r="B724" s="239" t="s">
        <v>19</v>
      </c>
      <c r="C724" s="239" t="s">
        <v>28</v>
      </c>
      <c r="D724" s="239" t="s">
        <v>2406</v>
      </c>
      <c r="E724" s="239" t="s">
        <v>2407</v>
      </c>
      <c r="F724" s="239" t="s">
        <v>2660</v>
      </c>
      <c r="G724" s="239">
        <v>12</v>
      </c>
      <c r="H724" s="239" t="s">
        <v>928</v>
      </c>
      <c r="I724" s="239" t="s">
        <v>2401</v>
      </c>
      <c r="J724" s="239" t="s">
        <v>928</v>
      </c>
      <c r="K724" s="239" t="s">
        <v>2398</v>
      </c>
      <c r="L724" s="239">
        <v>6142.0975200000003</v>
      </c>
      <c r="M724" s="239">
        <v>89.5</v>
      </c>
      <c r="N724" s="239">
        <v>0</v>
      </c>
      <c r="O724" s="239">
        <v>3324.0223500000002</v>
      </c>
      <c r="P724" s="239">
        <v>0</v>
      </c>
      <c r="Q724" s="239">
        <v>0</v>
      </c>
      <c r="R724" s="239">
        <v>0</v>
      </c>
      <c r="S724" s="239">
        <v>0</v>
      </c>
      <c r="T724" s="239">
        <v>821.08279000000005</v>
      </c>
      <c r="U724" s="239">
        <v>269.36518000000001</v>
      </c>
      <c r="V724" s="239">
        <v>105.65772</v>
      </c>
      <c r="W724" s="239">
        <v>303.58762999999999</v>
      </c>
      <c r="X724" s="239">
        <v>0</v>
      </c>
      <c r="Y724" s="239">
        <v>0</v>
      </c>
      <c r="Z724" s="239">
        <v>917.90084000000002</v>
      </c>
      <c r="AA724" s="239">
        <v>400.48101000000003</v>
      </c>
      <c r="AB724" s="239">
        <v>0</v>
      </c>
      <c r="AC724" s="239">
        <v>0</v>
      </c>
      <c r="AD724" s="239">
        <v>1</v>
      </c>
      <c r="AE724" s="239" t="s">
        <v>19</v>
      </c>
      <c r="AF724" s="239" t="s">
        <v>725</v>
      </c>
      <c r="AG724" s="239">
        <f t="shared" si="57"/>
        <v>2975.0000032500002</v>
      </c>
      <c r="AH724" s="239">
        <f t="shared" si="58"/>
        <v>0</v>
      </c>
      <c r="AI724" s="239">
        <f t="shared" si="59"/>
        <v>0</v>
      </c>
      <c r="AJ724" s="239">
        <f t="shared" si="60"/>
        <v>2975.0000032500002</v>
      </c>
    </row>
    <row r="725" spans="1:36" x14ac:dyDescent="0.2">
      <c r="A725" s="240" t="str">
        <f t="shared" si="61"/>
        <v>3MSYA1CHGCX612</v>
      </c>
      <c r="B725" s="239" t="s">
        <v>19</v>
      </c>
      <c r="C725" s="239" t="s">
        <v>28</v>
      </c>
      <c r="D725" s="239" t="s">
        <v>2406</v>
      </c>
      <c r="E725" s="239" t="s">
        <v>2407</v>
      </c>
      <c r="F725" s="239" t="s">
        <v>2660</v>
      </c>
      <c r="G725" s="239">
        <v>12</v>
      </c>
      <c r="H725" s="239" t="s">
        <v>928</v>
      </c>
      <c r="I725" s="239" t="s">
        <v>2417</v>
      </c>
      <c r="J725" s="239" t="s">
        <v>928</v>
      </c>
      <c r="K725" s="239" t="s">
        <v>2398</v>
      </c>
      <c r="L725" s="239">
        <v>5669.4718199999998</v>
      </c>
      <c r="M725" s="239">
        <v>89.5</v>
      </c>
      <c r="N725" s="239">
        <v>0</v>
      </c>
      <c r="O725" s="239">
        <v>2851.3966500000001</v>
      </c>
      <c r="P725" s="239">
        <v>0</v>
      </c>
      <c r="Q725" s="239">
        <v>0</v>
      </c>
      <c r="R725" s="239">
        <v>0</v>
      </c>
      <c r="S725" s="239">
        <v>0</v>
      </c>
      <c r="T725" s="239">
        <v>821.08279000000005</v>
      </c>
      <c r="U725" s="239">
        <v>269.36518000000001</v>
      </c>
      <c r="V725" s="239">
        <v>105.65772</v>
      </c>
      <c r="W725" s="239">
        <v>303.58762999999999</v>
      </c>
      <c r="X725" s="239">
        <v>0</v>
      </c>
      <c r="Y725" s="239">
        <v>0</v>
      </c>
      <c r="Z725" s="239">
        <v>917.90084000000002</v>
      </c>
      <c r="AA725" s="239">
        <v>400.48101000000003</v>
      </c>
      <c r="AB725" s="239">
        <v>0</v>
      </c>
      <c r="AC725" s="239">
        <v>0</v>
      </c>
      <c r="AD725" s="239">
        <v>1</v>
      </c>
      <c r="AE725" s="239" t="s">
        <v>19</v>
      </c>
      <c r="AF725" s="239" t="s">
        <v>725</v>
      </c>
      <c r="AG725" s="239">
        <f t="shared" si="57"/>
        <v>2552.0000017500001</v>
      </c>
      <c r="AH725" s="239">
        <f t="shared" si="58"/>
        <v>0</v>
      </c>
      <c r="AI725" s="239">
        <f t="shared" si="59"/>
        <v>0</v>
      </c>
      <c r="AJ725" s="239">
        <f t="shared" si="60"/>
        <v>2552.0000017500001</v>
      </c>
    </row>
    <row r="726" spans="1:36" x14ac:dyDescent="0.2">
      <c r="A726" s="240" t="str">
        <f t="shared" si="61"/>
        <v>SYA1CHGCX612</v>
      </c>
      <c r="B726" s="239" t="s">
        <v>19</v>
      </c>
      <c r="C726" s="239" t="s">
        <v>28</v>
      </c>
      <c r="D726" s="239" t="s">
        <v>2406</v>
      </c>
      <c r="E726" s="239" t="s">
        <v>2407</v>
      </c>
      <c r="F726" s="239" t="s">
        <v>2660</v>
      </c>
      <c r="G726" s="239">
        <v>12</v>
      </c>
      <c r="H726" s="239" t="s">
        <v>928</v>
      </c>
      <c r="I726" s="239" t="s">
        <v>928</v>
      </c>
      <c r="J726" s="239" t="s">
        <v>928</v>
      </c>
      <c r="K726" s="239" t="s">
        <v>2398</v>
      </c>
      <c r="L726" s="239">
        <v>6110.1477199999999</v>
      </c>
      <c r="M726" s="239">
        <v>89.5</v>
      </c>
      <c r="N726" s="239">
        <v>0</v>
      </c>
      <c r="O726" s="239">
        <v>3292.0726</v>
      </c>
      <c r="P726" s="239">
        <v>0</v>
      </c>
      <c r="Q726" s="239">
        <v>0</v>
      </c>
      <c r="R726" s="239">
        <v>0</v>
      </c>
      <c r="S726" s="239">
        <v>0</v>
      </c>
      <c r="T726" s="239">
        <v>821.08281999999997</v>
      </c>
      <c r="U726" s="239">
        <v>269.36527999999998</v>
      </c>
      <c r="V726" s="239">
        <v>105.65767</v>
      </c>
      <c r="W726" s="239">
        <v>303.58762000000002</v>
      </c>
      <c r="X726" s="239">
        <v>0</v>
      </c>
      <c r="Y726" s="239">
        <v>0</v>
      </c>
      <c r="Z726" s="239">
        <v>917.90084999999999</v>
      </c>
      <c r="AA726" s="239">
        <v>400.48088000000001</v>
      </c>
      <c r="AB726" s="239">
        <v>0</v>
      </c>
      <c r="AC726" s="239">
        <v>0</v>
      </c>
      <c r="AD726" s="239">
        <v>1</v>
      </c>
      <c r="AE726" s="239" t="s">
        <v>19</v>
      </c>
      <c r="AF726" s="239" t="s">
        <v>725</v>
      </c>
      <c r="AG726" s="239">
        <f t="shared" si="57"/>
        <v>2946.4049770000001</v>
      </c>
      <c r="AH726" s="239">
        <f t="shared" si="58"/>
        <v>0</v>
      </c>
      <c r="AI726" s="239">
        <f t="shared" si="59"/>
        <v>0</v>
      </c>
      <c r="AJ726" s="239">
        <f t="shared" si="60"/>
        <v>2946.4049770000001</v>
      </c>
    </row>
    <row r="727" spans="1:36" x14ac:dyDescent="0.2">
      <c r="A727" s="240" t="str">
        <f t="shared" si="61"/>
        <v>3ISYA1CSBR212</v>
      </c>
      <c r="B727" s="239" t="s">
        <v>19</v>
      </c>
      <c r="C727" s="239" t="s">
        <v>28</v>
      </c>
      <c r="D727" s="239" t="s">
        <v>2406</v>
      </c>
      <c r="E727" s="239" t="s">
        <v>2407</v>
      </c>
      <c r="F727" s="239" t="s">
        <v>2432</v>
      </c>
      <c r="G727" s="239">
        <v>12</v>
      </c>
      <c r="H727" s="239" t="s">
        <v>928</v>
      </c>
      <c r="I727" s="239" t="s">
        <v>2433</v>
      </c>
      <c r="J727" s="239" t="s">
        <v>928</v>
      </c>
      <c r="K727" s="239" t="s">
        <v>2398</v>
      </c>
      <c r="L727" s="239">
        <v>8818.6234000000004</v>
      </c>
      <c r="M727" s="239">
        <v>88</v>
      </c>
      <c r="N727" s="239">
        <v>0</v>
      </c>
      <c r="O727" s="239">
        <v>0</v>
      </c>
      <c r="P727" s="239">
        <v>3491.81709</v>
      </c>
      <c r="Q727" s="239">
        <v>3863.63636</v>
      </c>
      <c r="R727" s="239">
        <v>0</v>
      </c>
      <c r="S727" s="239">
        <v>0</v>
      </c>
      <c r="T727" s="239">
        <v>0</v>
      </c>
      <c r="U727" s="239">
        <v>233.24341999999999</v>
      </c>
      <c r="V727" s="239">
        <v>0</v>
      </c>
      <c r="W727" s="239">
        <v>27.093119999999999</v>
      </c>
      <c r="X727" s="239">
        <v>0</v>
      </c>
      <c r="Y727" s="239">
        <v>0</v>
      </c>
      <c r="Z727" s="239">
        <v>254.51815999999999</v>
      </c>
      <c r="AA727" s="239">
        <v>116.84858</v>
      </c>
      <c r="AB727" s="239">
        <v>831.46667000000002</v>
      </c>
      <c r="AC727" s="239">
        <v>0</v>
      </c>
      <c r="AD727" s="239">
        <v>1</v>
      </c>
      <c r="AE727" s="239" t="s">
        <v>19</v>
      </c>
      <c r="AF727" s="239" t="s">
        <v>725</v>
      </c>
      <c r="AG727" s="239">
        <f t="shared" si="57"/>
        <v>0</v>
      </c>
      <c r="AH727" s="239">
        <f t="shared" si="58"/>
        <v>3072.7990392000002</v>
      </c>
      <c r="AI727" s="239">
        <f t="shared" si="59"/>
        <v>731.69066959999998</v>
      </c>
      <c r="AJ727" s="239">
        <f t="shared" si="60"/>
        <v>3804.4897088000002</v>
      </c>
    </row>
    <row r="728" spans="1:36" x14ac:dyDescent="0.2">
      <c r="A728" s="240" t="str">
        <f t="shared" si="61"/>
        <v>SYA1CSBR212</v>
      </c>
      <c r="B728" s="239" t="s">
        <v>19</v>
      </c>
      <c r="C728" s="239" t="s">
        <v>28</v>
      </c>
      <c r="D728" s="239" t="s">
        <v>2406</v>
      </c>
      <c r="E728" s="239" t="s">
        <v>2407</v>
      </c>
      <c r="F728" s="239" t="s">
        <v>2432</v>
      </c>
      <c r="G728" s="239">
        <v>12</v>
      </c>
      <c r="H728" s="239" t="s">
        <v>928</v>
      </c>
      <c r="I728" s="239" t="s">
        <v>928</v>
      </c>
      <c r="J728" s="239" t="s">
        <v>928</v>
      </c>
      <c r="K728" s="239" t="s">
        <v>2398</v>
      </c>
      <c r="L728" s="239">
        <v>8818.6231900000002</v>
      </c>
      <c r="M728" s="239">
        <v>88</v>
      </c>
      <c r="N728" s="239">
        <v>0</v>
      </c>
      <c r="O728" s="239">
        <v>0</v>
      </c>
      <c r="P728" s="239">
        <v>3491.81612</v>
      </c>
      <c r="Q728" s="239">
        <v>3863.6367799999998</v>
      </c>
      <c r="R728" s="239">
        <v>0</v>
      </c>
      <c r="S728" s="239">
        <v>0</v>
      </c>
      <c r="T728" s="239">
        <v>0</v>
      </c>
      <c r="U728" s="239">
        <v>233.24275</v>
      </c>
      <c r="V728" s="239">
        <v>0</v>
      </c>
      <c r="W728" s="239">
        <v>27.092390000000002</v>
      </c>
      <c r="X728" s="239">
        <v>0</v>
      </c>
      <c r="Y728" s="239">
        <v>0</v>
      </c>
      <c r="Z728" s="239">
        <v>254.51992999999999</v>
      </c>
      <c r="AA728" s="239">
        <v>116.84783</v>
      </c>
      <c r="AB728" s="239">
        <v>831.46739000000002</v>
      </c>
      <c r="AC728" s="239">
        <v>0</v>
      </c>
      <c r="AD728" s="239">
        <v>1</v>
      </c>
      <c r="AE728" s="239" t="s">
        <v>19</v>
      </c>
      <c r="AF728" s="239" t="s">
        <v>725</v>
      </c>
      <c r="AG728" s="239">
        <f t="shared" si="57"/>
        <v>0</v>
      </c>
      <c r="AH728" s="239">
        <f t="shared" si="58"/>
        <v>3072.7981855999997</v>
      </c>
      <c r="AI728" s="239">
        <f t="shared" si="59"/>
        <v>731.69130319999999</v>
      </c>
      <c r="AJ728" s="239">
        <f t="shared" si="60"/>
        <v>3804.4894887999999</v>
      </c>
    </row>
    <row r="729" spans="1:36" x14ac:dyDescent="0.2">
      <c r="A729" s="240" t="str">
        <f t="shared" si="61"/>
        <v>33SYA1CSBR2-T12</v>
      </c>
      <c r="B729" s="239" t="s">
        <v>19</v>
      </c>
      <c r="C729" s="239" t="s">
        <v>28</v>
      </c>
      <c r="D729" s="239" t="s">
        <v>2406</v>
      </c>
      <c r="E729" s="239" t="s">
        <v>2407</v>
      </c>
      <c r="F729" s="239" t="s">
        <v>2661</v>
      </c>
      <c r="G729" s="239">
        <v>12</v>
      </c>
      <c r="H729" s="239" t="s">
        <v>928</v>
      </c>
      <c r="I729" s="239" t="s">
        <v>2412</v>
      </c>
      <c r="J729" s="239" t="s">
        <v>928</v>
      </c>
      <c r="K729" s="239" t="s">
        <v>2398</v>
      </c>
      <c r="L729" s="239">
        <v>3222.7494000000002</v>
      </c>
      <c r="M729" s="239">
        <v>100</v>
      </c>
      <c r="N729" s="239">
        <v>0</v>
      </c>
      <c r="O729" s="239">
        <v>0</v>
      </c>
      <c r="P729" s="239">
        <v>0</v>
      </c>
      <c r="Q729" s="239">
        <v>0</v>
      </c>
      <c r="R729" s="239">
        <v>0</v>
      </c>
      <c r="S729" s="239">
        <v>0</v>
      </c>
      <c r="T729" s="239">
        <v>1460.0061800000001</v>
      </c>
      <c r="U729" s="239">
        <v>0</v>
      </c>
      <c r="V729" s="239">
        <v>18.500610000000002</v>
      </c>
      <c r="W729" s="239">
        <v>430.49552</v>
      </c>
      <c r="X729" s="239">
        <v>0</v>
      </c>
      <c r="Y729" s="239">
        <v>0</v>
      </c>
      <c r="Z729" s="239">
        <v>929.53554999999994</v>
      </c>
      <c r="AA729" s="239">
        <v>384.21154000000001</v>
      </c>
      <c r="AB729" s="239">
        <v>0</v>
      </c>
      <c r="AC729" s="239">
        <v>0</v>
      </c>
      <c r="AD729" s="239">
        <v>1</v>
      </c>
      <c r="AE729" s="239" t="s">
        <v>19</v>
      </c>
      <c r="AF729" s="239" t="s">
        <v>725</v>
      </c>
      <c r="AG729" s="239">
        <f t="shared" si="57"/>
        <v>0</v>
      </c>
      <c r="AH729" s="239">
        <f t="shared" si="58"/>
        <v>0</v>
      </c>
      <c r="AI729" s="239">
        <f t="shared" si="59"/>
        <v>0</v>
      </c>
      <c r="AJ729" s="239">
        <f t="shared" si="60"/>
        <v>0</v>
      </c>
    </row>
    <row r="730" spans="1:36" x14ac:dyDescent="0.2">
      <c r="A730" s="240" t="str">
        <f t="shared" si="61"/>
        <v>3M55SYA1CSBR2-T12</v>
      </c>
      <c r="B730" s="239" t="s">
        <v>19</v>
      </c>
      <c r="C730" s="239" t="s">
        <v>28</v>
      </c>
      <c r="D730" s="239" t="s">
        <v>2406</v>
      </c>
      <c r="E730" s="239" t="s">
        <v>2407</v>
      </c>
      <c r="F730" s="239" t="s">
        <v>2661</v>
      </c>
      <c r="G730" s="239">
        <v>12</v>
      </c>
      <c r="H730" s="239" t="s">
        <v>928</v>
      </c>
      <c r="I730" s="239" t="s">
        <v>2414</v>
      </c>
      <c r="J730" s="239" t="s">
        <v>928</v>
      </c>
      <c r="K730" s="239" t="s">
        <v>2398</v>
      </c>
      <c r="L730" s="239">
        <v>8398.2314100000003</v>
      </c>
      <c r="M730" s="239">
        <v>88</v>
      </c>
      <c r="N730" s="239">
        <v>0</v>
      </c>
      <c r="O730" s="239">
        <v>2900</v>
      </c>
      <c r="P730" s="239">
        <v>2169.3208100000002</v>
      </c>
      <c r="Q730" s="239">
        <v>0</v>
      </c>
      <c r="R730" s="239">
        <v>0</v>
      </c>
      <c r="S730" s="239">
        <v>0</v>
      </c>
      <c r="T730" s="239">
        <v>30.00028</v>
      </c>
      <c r="U730" s="239">
        <v>231.17930999999999</v>
      </c>
      <c r="V730" s="239">
        <v>210.01008999999999</v>
      </c>
      <c r="W730" s="239">
        <v>169.61384000000001</v>
      </c>
      <c r="X730" s="239">
        <v>0</v>
      </c>
      <c r="Y730" s="239">
        <v>0</v>
      </c>
      <c r="Z730" s="239">
        <v>903.59058000000005</v>
      </c>
      <c r="AA730" s="239">
        <v>291.62207999999998</v>
      </c>
      <c r="AB730" s="239">
        <v>1492.8944200000001</v>
      </c>
      <c r="AC730" s="239">
        <v>0</v>
      </c>
      <c r="AD730" s="239">
        <v>1</v>
      </c>
      <c r="AE730" s="239" t="s">
        <v>19</v>
      </c>
      <c r="AF730" s="239" t="s">
        <v>725</v>
      </c>
      <c r="AG730" s="239">
        <f t="shared" si="57"/>
        <v>2552</v>
      </c>
      <c r="AH730" s="239">
        <f t="shared" si="58"/>
        <v>1909.0023128</v>
      </c>
      <c r="AI730" s="239">
        <f t="shared" si="59"/>
        <v>1313.7470896000002</v>
      </c>
      <c r="AJ730" s="239">
        <f t="shared" si="60"/>
        <v>5774.7494024000007</v>
      </c>
    </row>
    <row r="731" spans="1:36" x14ac:dyDescent="0.2">
      <c r="A731" s="240" t="str">
        <f t="shared" si="61"/>
        <v>SYA1CSBR2-T12</v>
      </c>
      <c r="B731" s="239" t="s">
        <v>19</v>
      </c>
      <c r="C731" s="239" t="s">
        <v>28</v>
      </c>
      <c r="D731" s="239" t="s">
        <v>2406</v>
      </c>
      <c r="E731" s="239" t="s">
        <v>2407</v>
      </c>
      <c r="F731" s="239" t="s">
        <v>2661</v>
      </c>
      <c r="G731" s="239">
        <v>12</v>
      </c>
      <c r="H731" s="239" t="s">
        <v>928</v>
      </c>
      <c r="I731" s="239" t="s">
        <v>928</v>
      </c>
      <c r="J731" s="239" t="s">
        <v>928</v>
      </c>
      <c r="K731" s="239" t="s">
        <v>2398</v>
      </c>
      <c r="L731" s="239">
        <v>8398.2319200000002</v>
      </c>
      <c r="M731" s="239">
        <v>88</v>
      </c>
      <c r="N731" s="239">
        <v>0</v>
      </c>
      <c r="O731" s="239">
        <v>2900</v>
      </c>
      <c r="P731" s="239">
        <v>2169.3208</v>
      </c>
      <c r="Q731" s="239">
        <v>0</v>
      </c>
      <c r="R731" s="239">
        <v>0</v>
      </c>
      <c r="S731" s="239">
        <v>0</v>
      </c>
      <c r="T731" s="239">
        <v>30.000399999999999</v>
      </c>
      <c r="U731" s="239">
        <v>231.17957000000001</v>
      </c>
      <c r="V731" s="239">
        <v>210.0102</v>
      </c>
      <c r="W731" s="239">
        <v>169.61392000000001</v>
      </c>
      <c r="X731" s="239">
        <v>0</v>
      </c>
      <c r="Y731" s="239">
        <v>0</v>
      </c>
      <c r="Z731" s="239">
        <v>903.59050000000002</v>
      </c>
      <c r="AA731" s="239">
        <v>291.62173000000001</v>
      </c>
      <c r="AB731" s="239">
        <v>1492.8948</v>
      </c>
      <c r="AC731" s="239">
        <v>0</v>
      </c>
      <c r="AD731" s="239">
        <v>1</v>
      </c>
      <c r="AE731" s="239" t="s">
        <v>19</v>
      </c>
      <c r="AF731" s="239" t="s">
        <v>725</v>
      </c>
      <c r="AG731" s="239">
        <f t="shared" si="57"/>
        <v>2552</v>
      </c>
      <c r="AH731" s="239">
        <f t="shared" si="58"/>
        <v>1909.0023040000001</v>
      </c>
      <c r="AI731" s="239">
        <f t="shared" si="59"/>
        <v>1313.7474239999999</v>
      </c>
      <c r="AJ731" s="239">
        <f t="shared" si="60"/>
        <v>5774.7497279999998</v>
      </c>
    </row>
    <row r="732" spans="1:36" x14ac:dyDescent="0.2">
      <c r="A732" s="240" t="str">
        <f t="shared" si="61"/>
        <v>33SYA1CSBR2A12</v>
      </c>
      <c r="B732" s="239" t="s">
        <v>19</v>
      </c>
      <c r="C732" s="239" t="s">
        <v>28</v>
      </c>
      <c r="D732" s="239" t="s">
        <v>2406</v>
      </c>
      <c r="E732" s="239" t="s">
        <v>2407</v>
      </c>
      <c r="F732" s="239" t="s">
        <v>2434</v>
      </c>
      <c r="G732" s="239">
        <v>12</v>
      </c>
      <c r="H732" s="239" t="s">
        <v>928</v>
      </c>
      <c r="I732" s="239" t="s">
        <v>2412</v>
      </c>
      <c r="J732" s="239" t="s">
        <v>928</v>
      </c>
      <c r="K732" s="239" t="s">
        <v>2398</v>
      </c>
      <c r="L732" s="239">
        <v>3222.7494000000002</v>
      </c>
      <c r="M732" s="239">
        <v>100</v>
      </c>
      <c r="N732" s="239">
        <v>0</v>
      </c>
      <c r="O732" s="239">
        <v>0</v>
      </c>
      <c r="P732" s="239">
        <v>0</v>
      </c>
      <c r="Q732" s="239">
        <v>0</v>
      </c>
      <c r="R732" s="239">
        <v>0</v>
      </c>
      <c r="S732" s="239">
        <v>0</v>
      </c>
      <c r="T732" s="239">
        <v>1460.0061800000001</v>
      </c>
      <c r="U732" s="239">
        <v>0</v>
      </c>
      <c r="V732" s="239">
        <v>18.500610000000002</v>
      </c>
      <c r="W732" s="239">
        <v>430.49552</v>
      </c>
      <c r="X732" s="239">
        <v>0</v>
      </c>
      <c r="Y732" s="239">
        <v>0</v>
      </c>
      <c r="Z732" s="239">
        <v>929.53554999999994</v>
      </c>
      <c r="AA732" s="239">
        <v>384.21154000000001</v>
      </c>
      <c r="AB732" s="239">
        <v>0</v>
      </c>
      <c r="AC732" s="239">
        <v>0</v>
      </c>
      <c r="AD732" s="239">
        <v>1</v>
      </c>
      <c r="AE732" s="239" t="s">
        <v>19</v>
      </c>
      <c r="AF732" s="239" t="s">
        <v>725</v>
      </c>
      <c r="AG732" s="239">
        <f t="shared" si="57"/>
        <v>0</v>
      </c>
      <c r="AH732" s="239">
        <f t="shared" si="58"/>
        <v>0</v>
      </c>
      <c r="AI732" s="239">
        <f t="shared" si="59"/>
        <v>0</v>
      </c>
      <c r="AJ732" s="239">
        <f t="shared" si="60"/>
        <v>0</v>
      </c>
    </row>
    <row r="733" spans="1:36" x14ac:dyDescent="0.2">
      <c r="A733" s="240" t="str">
        <f t="shared" si="61"/>
        <v>3M55SYA1CSBR2A12</v>
      </c>
      <c r="B733" s="239" t="s">
        <v>19</v>
      </c>
      <c r="C733" s="239" t="s">
        <v>28</v>
      </c>
      <c r="D733" s="239" t="s">
        <v>2406</v>
      </c>
      <c r="E733" s="239" t="s">
        <v>2407</v>
      </c>
      <c r="F733" s="239" t="s">
        <v>2434</v>
      </c>
      <c r="G733" s="239">
        <v>12</v>
      </c>
      <c r="H733" s="239" t="s">
        <v>928</v>
      </c>
      <c r="I733" s="239" t="s">
        <v>2414</v>
      </c>
      <c r="J733" s="239" t="s">
        <v>928</v>
      </c>
      <c r="K733" s="239" t="s">
        <v>2398</v>
      </c>
      <c r="L733" s="239">
        <v>8398.2314100000003</v>
      </c>
      <c r="M733" s="239">
        <v>88</v>
      </c>
      <c r="N733" s="239">
        <v>0</v>
      </c>
      <c r="O733" s="239">
        <v>2900</v>
      </c>
      <c r="P733" s="239">
        <v>2169.3208100000002</v>
      </c>
      <c r="Q733" s="239">
        <v>0</v>
      </c>
      <c r="R733" s="239">
        <v>0</v>
      </c>
      <c r="S733" s="239">
        <v>0</v>
      </c>
      <c r="T733" s="239">
        <v>30.00028</v>
      </c>
      <c r="U733" s="239">
        <v>231.17930999999999</v>
      </c>
      <c r="V733" s="239">
        <v>210.01008999999999</v>
      </c>
      <c r="W733" s="239">
        <v>169.61384000000001</v>
      </c>
      <c r="X733" s="239">
        <v>0</v>
      </c>
      <c r="Y733" s="239">
        <v>0</v>
      </c>
      <c r="Z733" s="239">
        <v>903.59058000000005</v>
      </c>
      <c r="AA733" s="239">
        <v>291.62207999999998</v>
      </c>
      <c r="AB733" s="239">
        <v>1492.8944200000001</v>
      </c>
      <c r="AC733" s="239">
        <v>0</v>
      </c>
      <c r="AD733" s="239">
        <v>1</v>
      </c>
      <c r="AE733" s="239" t="s">
        <v>19</v>
      </c>
      <c r="AF733" s="239" t="s">
        <v>725</v>
      </c>
      <c r="AG733" s="239">
        <f t="shared" si="57"/>
        <v>2552</v>
      </c>
      <c r="AH733" s="239">
        <f t="shared" si="58"/>
        <v>1909.0023128</v>
      </c>
      <c r="AI733" s="239">
        <f t="shared" si="59"/>
        <v>1313.7470896000002</v>
      </c>
      <c r="AJ733" s="239">
        <f t="shared" si="60"/>
        <v>5774.7494024000007</v>
      </c>
    </row>
    <row r="734" spans="1:36" x14ac:dyDescent="0.2">
      <c r="A734" s="240" t="str">
        <f t="shared" si="61"/>
        <v>SYA1CSBR2A12</v>
      </c>
      <c r="B734" s="239" t="s">
        <v>19</v>
      </c>
      <c r="C734" s="239" t="s">
        <v>28</v>
      </c>
      <c r="D734" s="239" t="s">
        <v>2406</v>
      </c>
      <c r="E734" s="239" t="s">
        <v>2407</v>
      </c>
      <c r="F734" s="239" t="s">
        <v>2434</v>
      </c>
      <c r="G734" s="239">
        <v>12</v>
      </c>
      <c r="H734" s="239" t="s">
        <v>928</v>
      </c>
      <c r="I734" s="239" t="s">
        <v>928</v>
      </c>
      <c r="J734" s="239" t="s">
        <v>928</v>
      </c>
      <c r="K734" s="239" t="s">
        <v>2398</v>
      </c>
      <c r="L734" s="239">
        <v>8398.2311300000001</v>
      </c>
      <c r="M734" s="239">
        <v>88</v>
      </c>
      <c r="N734" s="239">
        <v>0</v>
      </c>
      <c r="O734" s="239">
        <v>2900</v>
      </c>
      <c r="P734" s="239">
        <v>2169.3207499999999</v>
      </c>
      <c r="Q734" s="239">
        <v>0</v>
      </c>
      <c r="R734" s="239">
        <v>0</v>
      </c>
      <c r="S734" s="239">
        <v>0</v>
      </c>
      <c r="T734" s="239">
        <v>30.000129999999999</v>
      </c>
      <c r="U734" s="239">
        <v>231.17954</v>
      </c>
      <c r="V734" s="239">
        <v>210.01005000000001</v>
      </c>
      <c r="W734" s="239">
        <v>169.61386999999999</v>
      </c>
      <c r="X734" s="239">
        <v>0</v>
      </c>
      <c r="Y734" s="239">
        <v>0</v>
      </c>
      <c r="Z734" s="239">
        <v>903.59046999999998</v>
      </c>
      <c r="AA734" s="239">
        <v>291.62180999999998</v>
      </c>
      <c r="AB734" s="239">
        <v>1492.8945100000001</v>
      </c>
      <c r="AC734" s="239">
        <v>0</v>
      </c>
      <c r="AD734" s="239">
        <v>1</v>
      </c>
      <c r="AE734" s="239" t="s">
        <v>19</v>
      </c>
      <c r="AF734" s="239" t="s">
        <v>725</v>
      </c>
      <c r="AG734" s="239">
        <f t="shared" si="57"/>
        <v>2552</v>
      </c>
      <c r="AH734" s="239">
        <f t="shared" si="58"/>
        <v>1909.00226</v>
      </c>
      <c r="AI734" s="239">
        <f t="shared" si="59"/>
        <v>1313.7471688000003</v>
      </c>
      <c r="AJ734" s="239">
        <f t="shared" si="60"/>
        <v>5774.7494288000007</v>
      </c>
    </row>
    <row r="735" spans="1:36" x14ac:dyDescent="0.2">
      <c r="A735" s="240" t="str">
        <f t="shared" si="61"/>
        <v>33SYA1CSBR2A612</v>
      </c>
      <c r="B735" s="239" t="s">
        <v>19</v>
      </c>
      <c r="C735" s="239" t="s">
        <v>28</v>
      </c>
      <c r="D735" s="239" t="s">
        <v>2406</v>
      </c>
      <c r="E735" s="239" t="s">
        <v>2407</v>
      </c>
      <c r="F735" s="239" t="s">
        <v>2662</v>
      </c>
      <c r="G735" s="239">
        <v>12</v>
      </c>
      <c r="H735" s="239" t="s">
        <v>928</v>
      </c>
      <c r="I735" s="239" t="s">
        <v>2412</v>
      </c>
      <c r="J735" s="239" t="s">
        <v>928</v>
      </c>
      <c r="K735" s="239" t="s">
        <v>2398</v>
      </c>
      <c r="L735" s="239">
        <v>3222.7494000000002</v>
      </c>
      <c r="M735" s="239">
        <v>100</v>
      </c>
      <c r="N735" s="239">
        <v>0</v>
      </c>
      <c r="O735" s="239">
        <v>0</v>
      </c>
      <c r="P735" s="239">
        <v>0</v>
      </c>
      <c r="Q735" s="239">
        <v>0</v>
      </c>
      <c r="R735" s="239">
        <v>0</v>
      </c>
      <c r="S735" s="239">
        <v>0</v>
      </c>
      <c r="T735" s="239">
        <v>1460.0061800000001</v>
      </c>
      <c r="U735" s="239">
        <v>0</v>
      </c>
      <c r="V735" s="239">
        <v>18.500610000000002</v>
      </c>
      <c r="W735" s="239">
        <v>430.49552</v>
      </c>
      <c r="X735" s="239">
        <v>0</v>
      </c>
      <c r="Y735" s="239">
        <v>0</v>
      </c>
      <c r="Z735" s="239">
        <v>929.53554999999994</v>
      </c>
      <c r="AA735" s="239">
        <v>384.21154000000001</v>
      </c>
      <c r="AB735" s="239">
        <v>0</v>
      </c>
      <c r="AC735" s="239">
        <v>0</v>
      </c>
      <c r="AD735" s="239">
        <v>1</v>
      </c>
      <c r="AE735" s="239" t="s">
        <v>19</v>
      </c>
      <c r="AF735" s="239" t="s">
        <v>725</v>
      </c>
      <c r="AG735" s="239">
        <f t="shared" si="57"/>
        <v>0</v>
      </c>
      <c r="AH735" s="239">
        <f t="shared" si="58"/>
        <v>0</v>
      </c>
      <c r="AI735" s="239">
        <f t="shared" si="59"/>
        <v>0</v>
      </c>
      <c r="AJ735" s="239">
        <f t="shared" si="60"/>
        <v>0</v>
      </c>
    </row>
    <row r="736" spans="1:36" x14ac:dyDescent="0.2">
      <c r="A736" s="240" t="str">
        <f t="shared" si="61"/>
        <v>3M55SYA1CSBR2A612</v>
      </c>
      <c r="B736" s="239" t="s">
        <v>19</v>
      </c>
      <c r="C736" s="239" t="s">
        <v>28</v>
      </c>
      <c r="D736" s="239" t="s">
        <v>2406</v>
      </c>
      <c r="E736" s="239" t="s">
        <v>2407</v>
      </c>
      <c r="F736" s="239" t="s">
        <v>2662</v>
      </c>
      <c r="G736" s="239">
        <v>12</v>
      </c>
      <c r="H736" s="239" t="s">
        <v>928</v>
      </c>
      <c r="I736" s="239" t="s">
        <v>2414</v>
      </c>
      <c r="J736" s="239" t="s">
        <v>928</v>
      </c>
      <c r="K736" s="239" t="s">
        <v>2398</v>
      </c>
      <c r="L736" s="239">
        <v>8440.5454900000004</v>
      </c>
      <c r="M736" s="239">
        <v>88</v>
      </c>
      <c r="N736" s="239">
        <v>0</v>
      </c>
      <c r="O736" s="239">
        <v>2900</v>
      </c>
      <c r="P736" s="239">
        <v>2169.3208100000002</v>
      </c>
      <c r="Q736" s="239">
        <v>0</v>
      </c>
      <c r="R736" s="239">
        <v>0</v>
      </c>
      <c r="S736" s="239">
        <v>0</v>
      </c>
      <c r="T736" s="239">
        <v>30.00028</v>
      </c>
      <c r="U736" s="239">
        <v>273.49338999999998</v>
      </c>
      <c r="V736" s="239">
        <v>210.01008999999999</v>
      </c>
      <c r="W736" s="239">
        <v>169.61384000000001</v>
      </c>
      <c r="X736" s="239">
        <v>0</v>
      </c>
      <c r="Y736" s="239">
        <v>0</v>
      </c>
      <c r="Z736" s="239">
        <v>903.59058000000005</v>
      </c>
      <c r="AA736" s="239">
        <v>291.62207999999998</v>
      </c>
      <c r="AB736" s="239">
        <v>1492.8944200000001</v>
      </c>
      <c r="AC736" s="239">
        <v>0</v>
      </c>
      <c r="AD736" s="239">
        <v>1</v>
      </c>
      <c r="AE736" s="239" t="s">
        <v>19</v>
      </c>
      <c r="AF736" s="239" t="s">
        <v>725</v>
      </c>
      <c r="AG736" s="239">
        <f t="shared" si="57"/>
        <v>2552</v>
      </c>
      <c r="AH736" s="239">
        <f t="shared" si="58"/>
        <v>1909.0023128</v>
      </c>
      <c r="AI736" s="239">
        <f t="shared" si="59"/>
        <v>1313.7470896000002</v>
      </c>
      <c r="AJ736" s="239">
        <f t="shared" si="60"/>
        <v>5774.7494024000007</v>
      </c>
    </row>
    <row r="737" spans="1:36" x14ac:dyDescent="0.2">
      <c r="A737" s="240" t="str">
        <f t="shared" si="61"/>
        <v>SYA1CSBR2A612</v>
      </c>
      <c r="B737" s="239" t="s">
        <v>19</v>
      </c>
      <c r="C737" s="239" t="s">
        <v>28</v>
      </c>
      <c r="D737" s="239" t="s">
        <v>2406</v>
      </c>
      <c r="E737" s="239" t="s">
        <v>2407</v>
      </c>
      <c r="F737" s="239" t="s">
        <v>2662</v>
      </c>
      <c r="G737" s="239">
        <v>12</v>
      </c>
      <c r="H737" s="239" t="s">
        <v>928</v>
      </c>
      <c r="I737" s="239" t="s">
        <v>928</v>
      </c>
      <c r="J737" s="239" t="s">
        <v>928</v>
      </c>
      <c r="K737" s="239" t="s">
        <v>2398</v>
      </c>
      <c r="L737" s="239">
        <v>8440.5453400000006</v>
      </c>
      <c r="M737" s="239">
        <v>88</v>
      </c>
      <c r="N737" s="239">
        <v>0</v>
      </c>
      <c r="O737" s="239">
        <v>2900</v>
      </c>
      <c r="P737" s="239">
        <v>2169.3209200000001</v>
      </c>
      <c r="Q737" s="239">
        <v>0</v>
      </c>
      <c r="R737" s="239">
        <v>0</v>
      </c>
      <c r="S737" s="239">
        <v>0</v>
      </c>
      <c r="T737" s="239">
        <v>30.000240000000002</v>
      </c>
      <c r="U737" s="239">
        <v>273.49340999999998</v>
      </c>
      <c r="V737" s="239">
        <v>210.00993</v>
      </c>
      <c r="W737" s="239">
        <v>169.6138</v>
      </c>
      <c r="X737" s="239">
        <v>0</v>
      </c>
      <c r="Y737" s="239">
        <v>0</v>
      </c>
      <c r="Z737" s="239">
        <v>903.59060999999997</v>
      </c>
      <c r="AA737" s="239">
        <v>291.62216000000001</v>
      </c>
      <c r="AB737" s="239">
        <v>1492.89427</v>
      </c>
      <c r="AC737" s="239">
        <v>0</v>
      </c>
      <c r="AD737" s="239">
        <v>1</v>
      </c>
      <c r="AE737" s="239" t="s">
        <v>19</v>
      </c>
      <c r="AF737" s="239" t="s">
        <v>725</v>
      </c>
      <c r="AG737" s="239">
        <f t="shared" si="57"/>
        <v>2552</v>
      </c>
      <c r="AH737" s="239">
        <f t="shared" si="58"/>
        <v>1909.0024096000002</v>
      </c>
      <c r="AI737" s="239">
        <f t="shared" si="59"/>
        <v>1313.7469576000001</v>
      </c>
      <c r="AJ737" s="239">
        <f t="shared" si="60"/>
        <v>5774.7493672000001</v>
      </c>
    </row>
    <row r="738" spans="1:36" x14ac:dyDescent="0.2">
      <c r="A738" s="240" t="str">
        <f t="shared" si="61"/>
        <v>33SYA1CSBR2AT12</v>
      </c>
      <c r="B738" s="239" t="s">
        <v>19</v>
      </c>
      <c r="C738" s="239" t="s">
        <v>28</v>
      </c>
      <c r="D738" s="239" t="s">
        <v>2406</v>
      </c>
      <c r="E738" s="239" t="s">
        <v>2407</v>
      </c>
      <c r="F738" s="239" t="s">
        <v>2663</v>
      </c>
      <c r="G738" s="239">
        <v>12</v>
      </c>
      <c r="H738" s="239" t="s">
        <v>928</v>
      </c>
      <c r="I738" s="239" t="s">
        <v>2412</v>
      </c>
      <c r="J738" s="239" t="s">
        <v>928</v>
      </c>
      <c r="K738" s="239" t="s">
        <v>2398</v>
      </c>
      <c r="L738" s="239">
        <v>3222.7494000000002</v>
      </c>
      <c r="M738" s="239">
        <v>100</v>
      </c>
      <c r="N738" s="239">
        <v>0</v>
      </c>
      <c r="O738" s="239">
        <v>0</v>
      </c>
      <c r="P738" s="239">
        <v>0</v>
      </c>
      <c r="Q738" s="239">
        <v>0</v>
      </c>
      <c r="R738" s="239">
        <v>0</v>
      </c>
      <c r="S738" s="239">
        <v>0</v>
      </c>
      <c r="T738" s="239">
        <v>1460.0061800000001</v>
      </c>
      <c r="U738" s="239">
        <v>0</v>
      </c>
      <c r="V738" s="239">
        <v>18.500610000000002</v>
      </c>
      <c r="W738" s="239">
        <v>430.49552</v>
      </c>
      <c r="X738" s="239">
        <v>0</v>
      </c>
      <c r="Y738" s="239">
        <v>0</v>
      </c>
      <c r="Z738" s="239">
        <v>929.53554999999994</v>
      </c>
      <c r="AA738" s="239">
        <v>384.21154000000001</v>
      </c>
      <c r="AB738" s="239">
        <v>0</v>
      </c>
      <c r="AC738" s="239">
        <v>0</v>
      </c>
      <c r="AD738" s="239">
        <v>1</v>
      </c>
      <c r="AE738" s="239" t="s">
        <v>19</v>
      </c>
      <c r="AF738" s="239" t="s">
        <v>725</v>
      </c>
      <c r="AG738" s="239">
        <f t="shared" si="57"/>
        <v>0</v>
      </c>
      <c r="AH738" s="239">
        <f t="shared" si="58"/>
        <v>0</v>
      </c>
      <c r="AI738" s="239">
        <f t="shared" si="59"/>
        <v>0</v>
      </c>
      <c r="AJ738" s="239">
        <f t="shared" si="60"/>
        <v>0</v>
      </c>
    </row>
    <row r="739" spans="1:36" x14ac:dyDescent="0.2">
      <c r="A739" s="240" t="str">
        <f t="shared" si="61"/>
        <v>3M55SYA1CSBR2AT12</v>
      </c>
      <c r="B739" s="239" t="s">
        <v>19</v>
      </c>
      <c r="C739" s="239" t="s">
        <v>28</v>
      </c>
      <c r="D739" s="239" t="s">
        <v>2406</v>
      </c>
      <c r="E739" s="239" t="s">
        <v>2407</v>
      </c>
      <c r="F739" s="239" t="s">
        <v>2663</v>
      </c>
      <c r="G739" s="239">
        <v>12</v>
      </c>
      <c r="H739" s="239" t="s">
        <v>928</v>
      </c>
      <c r="I739" s="239" t="s">
        <v>2414</v>
      </c>
      <c r="J739" s="239" t="s">
        <v>928</v>
      </c>
      <c r="K739" s="239" t="s">
        <v>2398</v>
      </c>
      <c r="L739" s="239">
        <v>8398.2314100000003</v>
      </c>
      <c r="M739" s="239">
        <v>88</v>
      </c>
      <c r="N739" s="239">
        <v>0</v>
      </c>
      <c r="O739" s="239">
        <v>2900</v>
      </c>
      <c r="P739" s="239">
        <v>2169.3208100000002</v>
      </c>
      <c r="Q739" s="239">
        <v>0</v>
      </c>
      <c r="R739" s="239">
        <v>0</v>
      </c>
      <c r="S739" s="239">
        <v>0</v>
      </c>
      <c r="T739" s="239">
        <v>30.00028</v>
      </c>
      <c r="U739" s="239">
        <v>231.17930999999999</v>
      </c>
      <c r="V739" s="239">
        <v>210.01008999999999</v>
      </c>
      <c r="W739" s="239">
        <v>169.61384000000001</v>
      </c>
      <c r="X739" s="239">
        <v>0</v>
      </c>
      <c r="Y739" s="239">
        <v>0</v>
      </c>
      <c r="Z739" s="239">
        <v>903.59058000000005</v>
      </c>
      <c r="AA739" s="239">
        <v>291.62207999999998</v>
      </c>
      <c r="AB739" s="239">
        <v>1492.8944200000001</v>
      </c>
      <c r="AC739" s="239">
        <v>0</v>
      </c>
      <c r="AD739" s="239">
        <v>1</v>
      </c>
      <c r="AE739" s="239" t="s">
        <v>19</v>
      </c>
      <c r="AF739" s="239" t="s">
        <v>725</v>
      </c>
      <c r="AG739" s="239">
        <f t="shared" si="57"/>
        <v>2552</v>
      </c>
      <c r="AH739" s="239">
        <f t="shared" si="58"/>
        <v>1909.0023128</v>
      </c>
      <c r="AI739" s="239">
        <f t="shared" si="59"/>
        <v>1313.7470896000002</v>
      </c>
      <c r="AJ739" s="239">
        <f t="shared" si="60"/>
        <v>5774.7494024000007</v>
      </c>
    </row>
    <row r="740" spans="1:36" x14ac:dyDescent="0.2">
      <c r="A740" s="240" t="str">
        <f t="shared" si="61"/>
        <v>SYA1CSBR2AT12</v>
      </c>
      <c r="B740" s="239" t="s">
        <v>19</v>
      </c>
      <c r="C740" s="239" t="s">
        <v>28</v>
      </c>
      <c r="D740" s="239" t="s">
        <v>2406</v>
      </c>
      <c r="E740" s="239" t="s">
        <v>2407</v>
      </c>
      <c r="F740" s="239" t="s">
        <v>2663</v>
      </c>
      <c r="G740" s="239">
        <v>12</v>
      </c>
      <c r="H740" s="239" t="s">
        <v>928</v>
      </c>
      <c r="I740" s="239" t="s">
        <v>928</v>
      </c>
      <c r="J740" s="239" t="s">
        <v>928</v>
      </c>
      <c r="K740" s="239" t="s">
        <v>2398</v>
      </c>
      <c r="L740" s="239">
        <v>8398.2313099999992</v>
      </c>
      <c r="M740" s="239">
        <v>88</v>
      </c>
      <c r="N740" s="239">
        <v>0</v>
      </c>
      <c r="O740" s="239">
        <v>2900</v>
      </c>
      <c r="P740" s="239">
        <v>2169.3207600000001</v>
      </c>
      <c r="Q740" s="239">
        <v>0</v>
      </c>
      <c r="R740" s="239">
        <v>0</v>
      </c>
      <c r="S740" s="239">
        <v>0</v>
      </c>
      <c r="T740" s="239">
        <v>30.000330000000002</v>
      </c>
      <c r="U740" s="239">
        <v>231.17923999999999</v>
      </c>
      <c r="V740" s="239">
        <v>210.01012</v>
      </c>
      <c r="W740" s="239">
        <v>169.61394000000001</v>
      </c>
      <c r="X740" s="239">
        <v>0</v>
      </c>
      <c r="Y740" s="239">
        <v>0</v>
      </c>
      <c r="Z740" s="239">
        <v>903.59059999999999</v>
      </c>
      <c r="AA740" s="239">
        <v>291.62194</v>
      </c>
      <c r="AB740" s="239">
        <v>1492.89438</v>
      </c>
      <c r="AC740" s="239">
        <v>0</v>
      </c>
      <c r="AD740" s="239">
        <v>1</v>
      </c>
      <c r="AE740" s="239" t="s">
        <v>19</v>
      </c>
      <c r="AF740" s="239" t="s">
        <v>725</v>
      </c>
      <c r="AG740" s="239">
        <f t="shared" si="57"/>
        <v>2552</v>
      </c>
      <c r="AH740" s="239">
        <f t="shared" si="58"/>
        <v>1909.0022687999999</v>
      </c>
      <c r="AI740" s="239">
        <f t="shared" si="59"/>
        <v>1313.7470543999998</v>
      </c>
      <c r="AJ740" s="239">
        <f t="shared" si="60"/>
        <v>5774.7493231999997</v>
      </c>
    </row>
    <row r="741" spans="1:36" x14ac:dyDescent="0.2">
      <c r="A741" s="240" t="str">
        <f t="shared" si="61"/>
        <v>3SYCERASY0950</v>
      </c>
      <c r="B741" s="239" t="s">
        <v>19</v>
      </c>
      <c r="C741" s="239" t="s">
        <v>28</v>
      </c>
      <c r="D741" s="239" t="s">
        <v>21</v>
      </c>
      <c r="E741" s="239" t="s">
        <v>719</v>
      </c>
      <c r="F741" s="239" t="s">
        <v>102</v>
      </c>
      <c r="G741" s="239">
        <v>50</v>
      </c>
      <c r="H741" s="239" t="s">
        <v>928</v>
      </c>
      <c r="I741" s="239" t="s">
        <v>2471</v>
      </c>
      <c r="J741" s="239" t="s">
        <v>928</v>
      </c>
      <c r="K741" s="239" t="s">
        <v>2398</v>
      </c>
      <c r="L741" s="239">
        <v>45.856000000000002</v>
      </c>
      <c r="M741" s="239">
        <v>94</v>
      </c>
      <c r="N741" s="239">
        <v>0</v>
      </c>
      <c r="O741" s="239">
        <v>0</v>
      </c>
      <c r="P741" s="239">
        <v>0</v>
      </c>
      <c r="Q741" s="239">
        <v>0</v>
      </c>
      <c r="R741" s="239">
        <v>0</v>
      </c>
      <c r="S741" s="239">
        <v>0</v>
      </c>
      <c r="T741" s="239">
        <v>22.00029</v>
      </c>
      <c r="U741" s="239">
        <v>4.7675799999999997</v>
      </c>
      <c r="V741" s="239">
        <v>0.84113000000000004</v>
      </c>
      <c r="W741" s="239">
        <v>3.20587</v>
      </c>
      <c r="X741" s="239">
        <v>0</v>
      </c>
      <c r="Y741" s="239">
        <v>0</v>
      </c>
      <c r="Z741" s="239">
        <v>10.497680000000001</v>
      </c>
      <c r="AA741" s="239">
        <v>4.54345</v>
      </c>
      <c r="AB741" s="239">
        <v>0</v>
      </c>
      <c r="AC741" s="239">
        <v>0</v>
      </c>
      <c r="AD741" s="239">
        <v>1</v>
      </c>
      <c r="AE741" s="239" t="s">
        <v>19</v>
      </c>
      <c r="AF741" s="239" t="s">
        <v>725</v>
      </c>
      <c r="AG741" s="239">
        <f t="shared" si="57"/>
        <v>0</v>
      </c>
      <c r="AH741" s="239">
        <f t="shared" si="58"/>
        <v>0</v>
      </c>
      <c r="AI741" s="239">
        <f t="shared" si="59"/>
        <v>0</v>
      </c>
      <c r="AJ741" s="239">
        <f t="shared" si="60"/>
        <v>0</v>
      </c>
    </row>
    <row r="742" spans="1:36" x14ac:dyDescent="0.2">
      <c r="A742" s="240" t="str">
        <f t="shared" si="61"/>
        <v>2SYCF10746170</v>
      </c>
      <c r="B742" s="239" t="s">
        <v>19</v>
      </c>
      <c r="C742" s="239" t="s">
        <v>28</v>
      </c>
      <c r="D742" s="239" t="s">
        <v>2481</v>
      </c>
      <c r="E742" s="239" t="s">
        <v>2482</v>
      </c>
      <c r="F742" s="239" t="s">
        <v>2498</v>
      </c>
      <c r="G742" s="239">
        <v>70</v>
      </c>
      <c r="H742" s="239" t="s">
        <v>928</v>
      </c>
      <c r="I742" s="239" t="s">
        <v>2484</v>
      </c>
      <c r="J742" s="239" t="s">
        <v>928</v>
      </c>
      <c r="K742" s="239" t="s">
        <v>2398</v>
      </c>
      <c r="L742" s="239">
        <v>511.03</v>
      </c>
      <c r="M742" s="239">
        <v>0</v>
      </c>
      <c r="N742" s="239">
        <v>0</v>
      </c>
      <c r="O742" s="239">
        <v>0</v>
      </c>
      <c r="P742" s="239">
        <v>0</v>
      </c>
      <c r="Q742" s="239">
        <v>0</v>
      </c>
      <c r="R742" s="239">
        <v>0</v>
      </c>
      <c r="S742" s="239">
        <v>0</v>
      </c>
      <c r="T742" s="239">
        <v>0</v>
      </c>
      <c r="U742" s="239">
        <v>0</v>
      </c>
      <c r="V742" s="239">
        <v>0</v>
      </c>
      <c r="W742" s="239">
        <v>0</v>
      </c>
      <c r="X742" s="239">
        <v>0</v>
      </c>
      <c r="Y742" s="239">
        <v>406.28</v>
      </c>
      <c r="Z742" s="239">
        <v>0</v>
      </c>
      <c r="AA742" s="239">
        <v>0</v>
      </c>
      <c r="AB742" s="239">
        <v>104.75</v>
      </c>
      <c r="AC742" s="239">
        <v>0</v>
      </c>
      <c r="AD742" s="239">
        <v>0</v>
      </c>
      <c r="AE742" s="239" t="s">
        <v>19</v>
      </c>
      <c r="AF742" s="239" t="s">
        <v>725</v>
      </c>
      <c r="AG742" s="239">
        <f t="shared" si="57"/>
        <v>0</v>
      </c>
      <c r="AH742" s="239">
        <f t="shared" si="58"/>
        <v>0</v>
      </c>
      <c r="AI742" s="239">
        <f t="shared" si="59"/>
        <v>0</v>
      </c>
      <c r="AJ742" s="239">
        <f t="shared" si="60"/>
        <v>0</v>
      </c>
    </row>
    <row r="743" spans="1:36" x14ac:dyDescent="0.2">
      <c r="A743" s="240" t="str">
        <f t="shared" si="61"/>
        <v>SYCF10746170</v>
      </c>
      <c r="B743" s="239" t="s">
        <v>19</v>
      </c>
      <c r="C743" s="239" t="s">
        <v>28</v>
      </c>
      <c r="D743" s="239" t="s">
        <v>2481</v>
      </c>
      <c r="E743" s="239" t="s">
        <v>2482</v>
      </c>
      <c r="F743" s="239" t="s">
        <v>2498</v>
      </c>
      <c r="G743" s="239">
        <v>70</v>
      </c>
      <c r="H743" s="239" t="s">
        <v>928</v>
      </c>
      <c r="I743" s="239" t="s">
        <v>928</v>
      </c>
      <c r="J743" s="239" t="s">
        <v>928</v>
      </c>
      <c r="K743" s="239" t="s">
        <v>2398</v>
      </c>
      <c r="L743" s="239">
        <v>511.03</v>
      </c>
      <c r="M743" s="239">
        <v>0</v>
      </c>
      <c r="N743" s="239">
        <v>0</v>
      </c>
      <c r="O743" s="239">
        <v>0</v>
      </c>
      <c r="P743" s="239">
        <v>0</v>
      </c>
      <c r="Q743" s="239">
        <v>0</v>
      </c>
      <c r="R743" s="239">
        <v>0</v>
      </c>
      <c r="S743" s="239">
        <v>0</v>
      </c>
      <c r="T743" s="239">
        <v>0</v>
      </c>
      <c r="U743" s="239">
        <v>0</v>
      </c>
      <c r="V743" s="239">
        <v>0</v>
      </c>
      <c r="W743" s="239">
        <v>0</v>
      </c>
      <c r="X743" s="239">
        <v>0</v>
      </c>
      <c r="Y743" s="239">
        <v>406.28</v>
      </c>
      <c r="Z743" s="239">
        <v>0</v>
      </c>
      <c r="AA743" s="239">
        <v>0</v>
      </c>
      <c r="AB743" s="239">
        <v>104.75</v>
      </c>
      <c r="AC743" s="239">
        <v>0</v>
      </c>
      <c r="AD743" s="239">
        <v>0</v>
      </c>
      <c r="AE743" s="239" t="s">
        <v>19</v>
      </c>
      <c r="AF743" s="239" t="s">
        <v>725</v>
      </c>
      <c r="AG743" s="239">
        <f t="shared" si="57"/>
        <v>0</v>
      </c>
      <c r="AH743" s="239">
        <f t="shared" si="58"/>
        <v>0</v>
      </c>
      <c r="AI743" s="239">
        <f t="shared" si="59"/>
        <v>0</v>
      </c>
      <c r="AJ743" s="239">
        <f t="shared" si="60"/>
        <v>0</v>
      </c>
    </row>
    <row r="744" spans="1:36" x14ac:dyDescent="0.2">
      <c r="A744" s="240" t="str">
        <f t="shared" si="61"/>
        <v>2SYCF10757150</v>
      </c>
      <c r="B744" s="239" t="s">
        <v>19</v>
      </c>
      <c r="C744" s="239" t="s">
        <v>28</v>
      </c>
      <c r="D744" s="239" t="s">
        <v>2481</v>
      </c>
      <c r="E744" s="239" t="s">
        <v>2482</v>
      </c>
      <c r="F744" s="239" t="s">
        <v>2503</v>
      </c>
      <c r="G744" s="239">
        <v>50</v>
      </c>
      <c r="H744" s="239" t="s">
        <v>928</v>
      </c>
      <c r="I744" s="239" t="s">
        <v>2484</v>
      </c>
      <c r="J744" s="239" t="s">
        <v>928</v>
      </c>
      <c r="K744" s="239" t="s">
        <v>2398</v>
      </c>
      <c r="L744" s="239">
        <v>444.41</v>
      </c>
      <c r="M744" s="239">
        <v>0</v>
      </c>
      <c r="N744" s="239">
        <v>0</v>
      </c>
      <c r="O744" s="239">
        <v>0</v>
      </c>
      <c r="P744" s="239">
        <v>0</v>
      </c>
      <c r="Q744" s="239">
        <v>0</v>
      </c>
      <c r="R744" s="239">
        <v>0</v>
      </c>
      <c r="S744" s="239">
        <v>0</v>
      </c>
      <c r="T744" s="239">
        <v>0</v>
      </c>
      <c r="U744" s="239">
        <v>0</v>
      </c>
      <c r="V744" s="239">
        <v>0</v>
      </c>
      <c r="W744" s="239">
        <v>0</v>
      </c>
      <c r="X744" s="239">
        <v>0</v>
      </c>
      <c r="Y744" s="239">
        <v>342.86</v>
      </c>
      <c r="Z744" s="239">
        <v>0</v>
      </c>
      <c r="AA744" s="239">
        <v>0</v>
      </c>
      <c r="AB744" s="239">
        <v>101.55</v>
      </c>
      <c r="AC744" s="239">
        <v>0</v>
      </c>
      <c r="AD744" s="239">
        <v>0</v>
      </c>
      <c r="AE744" s="239" t="s">
        <v>19</v>
      </c>
      <c r="AF744" s="239" t="s">
        <v>725</v>
      </c>
      <c r="AG744" s="239">
        <f t="shared" si="57"/>
        <v>0</v>
      </c>
      <c r="AH744" s="239">
        <f t="shared" si="58"/>
        <v>0</v>
      </c>
      <c r="AI744" s="239">
        <f t="shared" si="59"/>
        <v>0</v>
      </c>
      <c r="AJ744" s="239">
        <f t="shared" si="60"/>
        <v>0</v>
      </c>
    </row>
    <row r="745" spans="1:36" x14ac:dyDescent="0.2">
      <c r="A745" s="240" t="str">
        <f t="shared" si="61"/>
        <v>SYCF10757150</v>
      </c>
      <c r="B745" s="239" t="s">
        <v>19</v>
      </c>
      <c r="C745" s="239" t="s">
        <v>28</v>
      </c>
      <c r="D745" s="239" t="s">
        <v>2481</v>
      </c>
      <c r="E745" s="239" t="s">
        <v>2482</v>
      </c>
      <c r="F745" s="239" t="s">
        <v>2503</v>
      </c>
      <c r="G745" s="239">
        <v>50</v>
      </c>
      <c r="H745" s="239" t="s">
        <v>928</v>
      </c>
      <c r="I745" s="239" t="s">
        <v>928</v>
      </c>
      <c r="J745" s="239" t="s">
        <v>928</v>
      </c>
      <c r="K745" s="239" t="s">
        <v>2398</v>
      </c>
      <c r="L745" s="239">
        <v>444.41</v>
      </c>
      <c r="M745" s="239">
        <v>0</v>
      </c>
      <c r="N745" s="239">
        <v>0</v>
      </c>
      <c r="O745" s="239">
        <v>0</v>
      </c>
      <c r="P745" s="239">
        <v>0</v>
      </c>
      <c r="Q745" s="239">
        <v>0</v>
      </c>
      <c r="R745" s="239">
        <v>0</v>
      </c>
      <c r="S745" s="239">
        <v>0</v>
      </c>
      <c r="T745" s="239">
        <v>0</v>
      </c>
      <c r="U745" s="239">
        <v>0</v>
      </c>
      <c r="V745" s="239">
        <v>0</v>
      </c>
      <c r="W745" s="239">
        <v>0</v>
      </c>
      <c r="X745" s="239">
        <v>0</v>
      </c>
      <c r="Y745" s="239">
        <v>342.86</v>
      </c>
      <c r="Z745" s="239">
        <v>0</v>
      </c>
      <c r="AA745" s="239">
        <v>0</v>
      </c>
      <c r="AB745" s="239">
        <v>101.55</v>
      </c>
      <c r="AC745" s="239">
        <v>0</v>
      </c>
      <c r="AD745" s="239">
        <v>0</v>
      </c>
      <c r="AE745" s="239" t="s">
        <v>19</v>
      </c>
      <c r="AF745" s="239" t="s">
        <v>725</v>
      </c>
      <c r="AG745" s="239">
        <f t="shared" si="57"/>
        <v>0</v>
      </c>
      <c r="AH745" s="239">
        <f t="shared" si="58"/>
        <v>0</v>
      </c>
      <c r="AI745" s="239">
        <f t="shared" si="59"/>
        <v>0</v>
      </c>
      <c r="AJ745" s="239">
        <f t="shared" si="60"/>
        <v>0</v>
      </c>
    </row>
    <row r="746" spans="1:36" x14ac:dyDescent="0.2">
      <c r="A746" s="240" t="str">
        <f t="shared" si="61"/>
        <v>2SYCF107726Y50</v>
      </c>
      <c r="B746" s="239" t="s">
        <v>19</v>
      </c>
      <c r="C746" s="239" t="s">
        <v>28</v>
      </c>
      <c r="D746" s="239" t="s">
        <v>2481</v>
      </c>
      <c r="E746" s="239" t="s">
        <v>2482</v>
      </c>
      <c r="F746" s="239" t="s">
        <v>2510</v>
      </c>
      <c r="G746" s="239">
        <v>50</v>
      </c>
      <c r="H746" s="239" t="s">
        <v>928</v>
      </c>
      <c r="I746" s="239" t="s">
        <v>2484</v>
      </c>
      <c r="J746" s="239" t="s">
        <v>928</v>
      </c>
      <c r="K746" s="239" t="s">
        <v>2398</v>
      </c>
      <c r="L746" s="239">
        <v>525.09</v>
      </c>
      <c r="M746" s="239">
        <v>0</v>
      </c>
      <c r="N746" s="239">
        <v>0</v>
      </c>
      <c r="O746" s="239">
        <v>0</v>
      </c>
      <c r="P746" s="239">
        <v>0</v>
      </c>
      <c r="Q746" s="239">
        <v>0</v>
      </c>
      <c r="R746" s="239">
        <v>0</v>
      </c>
      <c r="S746" s="239">
        <v>0</v>
      </c>
      <c r="T746" s="239">
        <v>0</v>
      </c>
      <c r="U746" s="239">
        <v>0</v>
      </c>
      <c r="V746" s="239">
        <v>0</v>
      </c>
      <c r="W746" s="239">
        <v>0</v>
      </c>
      <c r="X746" s="239">
        <v>0</v>
      </c>
      <c r="Y746" s="239">
        <v>417.9</v>
      </c>
      <c r="Z746" s="239">
        <v>0</v>
      </c>
      <c r="AA746" s="239">
        <v>0</v>
      </c>
      <c r="AB746" s="239">
        <v>107.18</v>
      </c>
      <c r="AC746" s="239">
        <v>0</v>
      </c>
      <c r="AD746" s="239">
        <v>0</v>
      </c>
      <c r="AE746" s="239" t="s">
        <v>19</v>
      </c>
      <c r="AF746" s="239" t="s">
        <v>725</v>
      </c>
      <c r="AG746" s="239">
        <f t="shared" si="57"/>
        <v>0</v>
      </c>
      <c r="AH746" s="239">
        <f t="shared" si="58"/>
        <v>0</v>
      </c>
      <c r="AI746" s="239">
        <f t="shared" si="59"/>
        <v>0</v>
      </c>
      <c r="AJ746" s="239">
        <f t="shared" si="60"/>
        <v>0</v>
      </c>
    </row>
    <row r="747" spans="1:36" x14ac:dyDescent="0.2">
      <c r="A747" s="240" t="str">
        <f t="shared" si="61"/>
        <v>SYCF107726Y50</v>
      </c>
      <c r="B747" s="239" t="s">
        <v>19</v>
      </c>
      <c r="C747" s="239" t="s">
        <v>28</v>
      </c>
      <c r="D747" s="239" t="s">
        <v>2481</v>
      </c>
      <c r="E747" s="239" t="s">
        <v>2482</v>
      </c>
      <c r="F747" s="239" t="s">
        <v>2510</v>
      </c>
      <c r="G747" s="239">
        <v>50</v>
      </c>
      <c r="H747" s="239" t="s">
        <v>928</v>
      </c>
      <c r="I747" s="239" t="s">
        <v>928</v>
      </c>
      <c r="J747" s="239" t="s">
        <v>928</v>
      </c>
      <c r="K747" s="239" t="s">
        <v>2398</v>
      </c>
      <c r="L747" s="239">
        <v>525.09</v>
      </c>
      <c r="M747" s="239">
        <v>0</v>
      </c>
      <c r="N747" s="239">
        <v>0</v>
      </c>
      <c r="O747" s="239">
        <v>0</v>
      </c>
      <c r="P747" s="239">
        <v>0</v>
      </c>
      <c r="Q747" s="239">
        <v>0</v>
      </c>
      <c r="R747" s="239">
        <v>0</v>
      </c>
      <c r="S747" s="239">
        <v>0</v>
      </c>
      <c r="T747" s="239">
        <v>0</v>
      </c>
      <c r="U747" s="239">
        <v>0</v>
      </c>
      <c r="V747" s="239">
        <v>0</v>
      </c>
      <c r="W747" s="239">
        <v>0</v>
      </c>
      <c r="X747" s="239">
        <v>0</v>
      </c>
      <c r="Y747" s="239">
        <v>417.9</v>
      </c>
      <c r="Z747" s="239">
        <v>0</v>
      </c>
      <c r="AA747" s="239">
        <v>0</v>
      </c>
      <c r="AB747" s="239">
        <v>107.18</v>
      </c>
      <c r="AC747" s="239">
        <v>0</v>
      </c>
      <c r="AD747" s="239">
        <v>0</v>
      </c>
      <c r="AE747" s="239" t="s">
        <v>20</v>
      </c>
      <c r="AF747" s="239" t="s">
        <v>718</v>
      </c>
      <c r="AG747" s="239">
        <f t="shared" si="57"/>
        <v>0</v>
      </c>
      <c r="AH747" s="239">
        <f t="shared" si="58"/>
        <v>0</v>
      </c>
      <c r="AI747" s="239">
        <f t="shared" si="59"/>
        <v>0</v>
      </c>
      <c r="AJ747" s="239">
        <f t="shared" si="60"/>
        <v>0</v>
      </c>
    </row>
    <row r="748" spans="1:36" x14ac:dyDescent="0.2">
      <c r="A748" s="240" t="str">
        <f t="shared" si="61"/>
        <v>2SYCF107832CH30</v>
      </c>
      <c r="B748" s="239" t="s">
        <v>19</v>
      </c>
      <c r="C748" s="239" t="s">
        <v>28</v>
      </c>
      <c r="D748" s="239" t="s">
        <v>2481</v>
      </c>
      <c r="E748" s="239" t="s">
        <v>2482</v>
      </c>
      <c r="F748" s="239" t="s">
        <v>2664</v>
      </c>
      <c r="G748" s="239">
        <v>30</v>
      </c>
      <c r="H748" s="239" t="s">
        <v>928</v>
      </c>
      <c r="I748" s="239" t="s">
        <v>2484</v>
      </c>
      <c r="J748" s="239" t="s">
        <v>928</v>
      </c>
      <c r="K748" s="239" t="s">
        <v>2398</v>
      </c>
      <c r="L748" s="239">
        <v>564.20000000000005</v>
      </c>
      <c r="M748" s="239">
        <v>0</v>
      </c>
      <c r="N748" s="239">
        <v>0</v>
      </c>
      <c r="O748" s="239">
        <v>0</v>
      </c>
      <c r="P748" s="239">
        <v>0</v>
      </c>
      <c r="Q748" s="239">
        <v>0</v>
      </c>
      <c r="R748" s="239">
        <v>0</v>
      </c>
      <c r="S748" s="239">
        <v>0</v>
      </c>
      <c r="T748" s="239">
        <v>0</v>
      </c>
      <c r="U748" s="239">
        <v>0</v>
      </c>
      <c r="V748" s="239">
        <v>0</v>
      </c>
      <c r="W748" s="239">
        <v>0</v>
      </c>
      <c r="X748" s="239">
        <v>0</v>
      </c>
      <c r="Y748" s="239">
        <v>470.23</v>
      </c>
      <c r="Z748" s="239">
        <v>0</v>
      </c>
      <c r="AA748" s="239">
        <v>0</v>
      </c>
      <c r="AB748" s="239">
        <v>93.97</v>
      </c>
      <c r="AC748" s="239">
        <v>0</v>
      </c>
      <c r="AD748" s="239">
        <v>0</v>
      </c>
      <c r="AE748" s="239" t="s">
        <v>20</v>
      </c>
      <c r="AF748" s="239" t="s">
        <v>718</v>
      </c>
      <c r="AG748" s="239">
        <f t="shared" si="57"/>
        <v>0</v>
      </c>
      <c r="AH748" s="239">
        <f t="shared" si="58"/>
        <v>0</v>
      </c>
      <c r="AI748" s="239">
        <f t="shared" si="59"/>
        <v>0</v>
      </c>
      <c r="AJ748" s="239">
        <f t="shared" si="60"/>
        <v>0</v>
      </c>
    </row>
    <row r="749" spans="1:36" x14ac:dyDescent="0.2">
      <c r="A749" s="240" t="str">
        <f t="shared" si="61"/>
        <v>SYCF107832CH30</v>
      </c>
      <c r="B749" s="239" t="s">
        <v>19</v>
      </c>
      <c r="C749" s="239" t="s">
        <v>28</v>
      </c>
      <c r="D749" s="239" t="s">
        <v>2481</v>
      </c>
      <c r="E749" s="239" t="s">
        <v>2482</v>
      </c>
      <c r="F749" s="239" t="s">
        <v>2664</v>
      </c>
      <c r="G749" s="239">
        <v>30</v>
      </c>
      <c r="H749" s="239" t="s">
        <v>928</v>
      </c>
      <c r="I749" s="239" t="s">
        <v>928</v>
      </c>
      <c r="J749" s="239" t="s">
        <v>928</v>
      </c>
      <c r="K749" s="239" t="s">
        <v>2398</v>
      </c>
      <c r="L749" s="239">
        <v>564.20000000000005</v>
      </c>
      <c r="M749" s="239">
        <v>0</v>
      </c>
      <c r="N749" s="239">
        <v>0</v>
      </c>
      <c r="O749" s="239">
        <v>0</v>
      </c>
      <c r="P749" s="239">
        <v>0</v>
      </c>
      <c r="Q749" s="239">
        <v>0</v>
      </c>
      <c r="R749" s="239">
        <v>0</v>
      </c>
      <c r="S749" s="239">
        <v>0</v>
      </c>
      <c r="T749" s="239">
        <v>0</v>
      </c>
      <c r="U749" s="239">
        <v>0</v>
      </c>
      <c r="V749" s="239">
        <v>0</v>
      </c>
      <c r="W749" s="239">
        <v>0</v>
      </c>
      <c r="X749" s="239">
        <v>0</v>
      </c>
      <c r="Y749" s="239">
        <v>470.23</v>
      </c>
      <c r="Z749" s="239">
        <v>0</v>
      </c>
      <c r="AA749" s="239">
        <v>0</v>
      </c>
      <c r="AB749" s="239">
        <v>93.97</v>
      </c>
      <c r="AC749" s="239">
        <v>0</v>
      </c>
      <c r="AD749" s="239">
        <v>0</v>
      </c>
      <c r="AE749" s="239" t="s">
        <v>20</v>
      </c>
      <c r="AF749" s="239" t="s">
        <v>718</v>
      </c>
      <c r="AG749" s="239">
        <f t="shared" si="57"/>
        <v>0</v>
      </c>
      <c r="AH749" s="239">
        <f t="shared" si="58"/>
        <v>0</v>
      </c>
      <c r="AI749" s="239">
        <f t="shared" si="59"/>
        <v>0</v>
      </c>
      <c r="AJ749" s="239">
        <f t="shared" si="60"/>
        <v>0</v>
      </c>
    </row>
    <row r="750" spans="1:36" x14ac:dyDescent="0.2">
      <c r="A750" s="240" t="str">
        <f t="shared" si="61"/>
        <v>2SYCF107832C_30</v>
      </c>
      <c r="B750" s="239" t="s">
        <v>19</v>
      </c>
      <c r="C750" s="239" t="s">
        <v>28</v>
      </c>
      <c r="D750" s="239" t="s">
        <v>2481</v>
      </c>
      <c r="E750" s="239" t="s">
        <v>2482</v>
      </c>
      <c r="F750" s="239" t="s">
        <v>2513</v>
      </c>
      <c r="G750" s="239">
        <v>30</v>
      </c>
      <c r="H750" s="239" t="s">
        <v>928</v>
      </c>
      <c r="I750" s="239" t="s">
        <v>2484</v>
      </c>
      <c r="J750" s="239" t="s">
        <v>928</v>
      </c>
      <c r="K750" s="239" t="s">
        <v>2398</v>
      </c>
      <c r="L750" s="239">
        <v>513.12</v>
      </c>
      <c r="M750" s="239">
        <v>0</v>
      </c>
      <c r="N750" s="239">
        <v>0</v>
      </c>
      <c r="O750" s="239">
        <v>0</v>
      </c>
      <c r="P750" s="239">
        <v>0</v>
      </c>
      <c r="Q750" s="239">
        <v>0</v>
      </c>
      <c r="R750" s="239">
        <v>0</v>
      </c>
      <c r="S750" s="239">
        <v>0</v>
      </c>
      <c r="T750" s="239">
        <v>0</v>
      </c>
      <c r="U750" s="239">
        <v>0</v>
      </c>
      <c r="V750" s="239">
        <v>0</v>
      </c>
      <c r="W750" s="239">
        <v>0</v>
      </c>
      <c r="X750" s="239">
        <v>0</v>
      </c>
      <c r="Y750" s="239">
        <v>437.56</v>
      </c>
      <c r="Z750" s="239">
        <v>0</v>
      </c>
      <c r="AA750" s="239">
        <v>0</v>
      </c>
      <c r="AB750" s="239">
        <v>75.56</v>
      </c>
      <c r="AC750" s="239">
        <v>0</v>
      </c>
      <c r="AD750" s="239">
        <v>0</v>
      </c>
      <c r="AE750" s="239" t="s">
        <v>20</v>
      </c>
      <c r="AF750" s="239" t="s">
        <v>718</v>
      </c>
      <c r="AG750" s="239">
        <f t="shared" si="57"/>
        <v>0</v>
      </c>
      <c r="AH750" s="239">
        <f t="shared" si="58"/>
        <v>0</v>
      </c>
      <c r="AI750" s="239">
        <f t="shared" si="59"/>
        <v>0</v>
      </c>
      <c r="AJ750" s="239">
        <f t="shared" si="60"/>
        <v>0</v>
      </c>
    </row>
    <row r="751" spans="1:36" x14ac:dyDescent="0.2">
      <c r="A751" s="240" t="str">
        <f t="shared" si="61"/>
        <v>SYCF107832C_30</v>
      </c>
      <c r="B751" s="239" t="s">
        <v>19</v>
      </c>
      <c r="C751" s="239" t="s">
        <v>28</v>
      </c>
      <c r="D751" s="239" t="s">
        <v>2481</v>
      </c>
      <c r="E751" s="239" t="s">
        <v>2482</v>
      </c>
      <c r="F751" s="239" t="s">
        <v>2513</v>
      </c>
      <c r="G751" s="239">
        <v>30</v>
      </c>
      <c r="H751" s="239" t="s">
        <v>928</v>
      </c>
      <c r="I751" s="239" t="s">
        <v>928</v>
      </c>
      <c r="J751" s="239" t="s">
        <v>928</v>
      </c>
      <c r="K751" s="239" t="s">
        <v>2398</v>
      </c>
      <c r="L751" s="239">
        <v>513.12</v>
      </c>
      <c r="M751" s="239">
        <v>0</v>
      </c>
      <c r="N751" s="239">
        <v>0</v>
      </c>
      <c r="O751" s="239">
        <v>0</v>
      </c>
      <c r="P751" s="239">
        <v>0</v>
      </c>
      <c r="Q751" s="239">
        <v>0</v>
      </c>
      <c r="R751" s="239">
        <v>0</v>
      </c>
      <c r="S751" s="239">
        <v>0</v>
      </c>
      <c r="T751" s="239">
        <v>0</v>
      </c>
      <c r="U751" s="239">
        <v>0</v>
      </c>
      <c r="V751" s="239">
        <v>0</v>
      </c>
      <c r="W751" s="239">
        <v>0</v>
      </c>
      <c r="X751" s="239">
        <v>0</v>
      </c>
      <c r="Y751" s="239">
        <v>437.56</v>
      </c>
      <c r="Z751" s="239">
        <v>0</v>
      </c>
      <c r="AA751" s="239">
        <v>0</v>
      </c>
      <c r="AB751" s="239">
        <v>75.56</v>
      </c>
      <c r="AC751" s="239">
        <v>0</v>
      </c>
      <c r="AD751" s="239">
        <v>0</v>
      </c>
      <c r="AE751" s="239" t="s">
        <v>19</v>
      </c>
      <c r="AF751" s="239" t="s">
        <v>725</v>
      </c>
      <c r="AG751" s="239">
        <f t="shared" si="57"/>
        <v>0</v>
      </c>
      <c r="AH751" s="239">
        <f t="shared" si="58"/>
        <v>0</v>
      </c>
      <c r="AI751" s="239">
        <f t="shared" si="59"/>
        <v>0</v>
      </c>
      <c r="AJ751" s="239">
        <f t="shared" si="60"/>
        <v>0</v>
      </c>
    </row>
    <row r="752" spans="1:36" x14ac:dyDescent="0.2">
      <c r="A752" s="240" t="str">
        <f t="shared" si="61"/>
        <v>2SYCF107E4275</v>
      </c>
      <c r="B752" s="239" t="s">
        <v>19</v>
      </c>
      <c r="C752" s="239" t="s">
        <v>28</v>
      </c>
      <c r="D752" s="239" t="s">
        <v>2481</v>
      </c>
      <c r="E752" s="239" t="s">
        <v>2482</v>
      </c>
      <c r="F752" s="239" t="s">
        <v>2515</v>
      </c>
      <c r="G752" s="239">
        <v>75</v>
      </c>
      <c r="H752" s="239" t="s">
        <v>928</v>
      </c>
      <c r="I752" s="239" t="s">
        <v>2484</v>
      </c>
      <c r="J752" s="239" t="s">
        <v>928</v>
      </c>
      <c r="K752" s="239" t="s">
        <v>2398</v>
      </c>
      <c r="L752" s="239">
        <v>685.07</v>
      </c>
      <c r="M752" s="239">
        <v>0</v>
      </c>
      <c r="N752" s="239">
        <v>0</v>
      </c>
      <c r="O752" s="239">
        <v>0</v>
      </c>
      <c r="P752" s="239">
        <v>0</v>
      </c>
      <c r="Q752" s="239">
        <v>0</v>
      </c>
      <c r="R752" s="239">
        <v>0</v>
      </c>
      <c r="S752" s="239">
        <v>0</v>
      </c>
      <c r="T752" s="239">
        <v>0</v>
      </c>
      <c r="U752" s="239">
        <v>0</v>
      </c>
      <c r="V752" s="239">
        <v>0</v>
      </c>
      <c r="W752" s="239">
        <v>0</v>
      </c>
      <c r="X752" s="239">
        <v>0</v>
      </c>
      <c r="Y752" s="239">
        <v>489.15</v>
      </c>
      <c r="Z752" s="239">
        <v>0</v>
      </c>
      <c r="AA752" s="239">
        <v>0</v>
      </c>
      <c r="AB752" s="239">
        <v>195.92</v>
      </c>
      <c r="AC752" s="239">
        <v>0</v>
      </c>
      <c r="AD752" s="239">
        <v>0</v>
      </c>
      <c r="AE752" s="239" t="s">
        <v>19</v>
      </c>
      <c r="AF752" s="239" t="s">
        <v>725</v>
      </c>
      <c r="AG752" s="239">
        <f t="shared" si="57"/>
        <v>0</v>
      </c>
      <c r="AH752" s="239">
        <f t="shared" si="58"/>
        <v>0</v>
      </c>
      <c r="AI752" s="239">
        <f t="shared" si="59"/>
        <v>0</v>
      </c>
      <c r="AJ752" s="239">
        <f t="shared" si="60"/>
        <v>0</v>
      </c>
    </row>
    <row r="753" spans="1:36" x14ac:dyDescent="0.2">
      <c r="A753" s="240" t="str">
        <f t="shared" si="61"/>
        <v>SYCF107E4275</v>
      </c>
      <c r="B753" s="239" t="s">
        <v>19</v>
      </c>
      <c r="C753" s="239" t="s">
        <v>28</v>
      </c>
      <c r="D753" s="239" t="s">
        <v>2481</v>
      </c>
      <c r="E753" s="239" t="s">
        <v>2482</v>
      </c>
      <c r="F753" s="239" t="s">
        <v>2515</v>
      </c>
      <c r="G753" s="239">
        <v>75</v>
      </c>
      <c r="H753" s="239" t="s">
        <v>928</v>
      </c>
      <c r="I753" s="239" t="s">
        <v>928</v>
      </c>
      <c r="J753" s="239" t="s">
        <v>928</v>
      </c>
      <c r="K753" s="239" t="s">
        <v>2398</v>
      </c>
      <c r="L753" s="239">
        <v>685.07</v>
      </c>
      <c r="M753" s="239">
        <v>0</v>
      </c>
      <c r="N753" s="239">
        <v>0</v>
      </c>
      <c r="O753" s="239">
        <v>0</v>
      </c>
      <c r="P753" s="239">
        <v>0</v>
      </c>
      <c r="Q753" s="239">
        <v>0</v>
      </c>
      <c r="R753" s="239">
        <v>0</v>
      </c>
      <c r="S753" s="239">
        <v>0</v>
      </c>
      <c r="T753" s="239">
        <v>0</v>
      </c>
      <c r="U753" s="239">
        <v>0</v>
      </c>
      <c r="V753" s="239">
        <v>0</v>
      </c>
      <c r="W753" s="239">
        <v>0</v>
      </c>
      <c r="X753" s="239">
        <v>0</v>
      </c>
      <c r="Y753" s="239">
        <v>489.15</v>
      </c>
      <c r="Z753" s="239">
        <v>0</v>
      </c>
      <c r="AA753" s="239">
        <v>0</v>
      </c>
      <c r="AB753" s="239">
        <v>195.92</v>
      </c>
      <c r="AC753" s="239">
        <v>0</v>
      </c>
      <c r="AD753" s="239">
        <v>0</v>
      </c>
      <c r="AE753" s="239" t="s">
        <v>19</v>
      </c>
      <c r="AF753" s="239" t="s">
        <v>725</v>
      </c>
      <c r="AG753" s="239">
        <f t="shared" si="57"/>
        <v>0</v>
      </c>
      <c r="AH753" s="239">
        <f t="shared" si="58"/>
        <v>0</v>
      </c>
      <c r="AI753" s="239">
        <f t="shared" si="59"/>
        <v>0</v>
      </c>
      <c r="AJ753" s="239">
        <f t="shared" si="60"/>
        <v>0</v>
      </c>
    </row>
    <row r="754" spans="1:36" x14ac:dyDescent="0.2">
      <c r="A754" s="240" t="str">
        <f t="shared" si="61"/>
        <v>2SYCF107H5230</v>
      </c>
      <c r="B754" s="239" t="s">
        <v>19</v>
      </c>
      <c r="C754" s="239" t="s">
        <v>28</v>
      </c>
      <c r="D754" s="239" t="s">
        <v>2481</v>
      </c>
      <c r="E754" s="239" t="s">
        <v>2482</v>
      </c>
      <c r="F754" s="239" t="s">
        <v>2516</v>
      </c>
      <c r="G754" s="239">
        <v>30</v>
      </c>
      <c r="H754" s="239" t="s">
        <v>928</v>
      </c>
      <c r="I754" s="239" t="s">
        <v>2484</v>
      </c>
      <c r="J754" s="239" t="s">
        <v>928</v>
      </c>
      <c r="K754" s="239" t="s">
        <v>2398</v>
      </c>
      <c r="L754" s="239">
        <v>528.03</v>
      </c>
      <c r="M754" s="239">
        <v>0</v>
      </c>
      <c r="N754" s="239">
        <v>0</v>
      </c>
      <c r="O754" s="239">
        <v>0</v>
      </c>
      <c r="P754" s="239">
        <v>0</v>
      </c>
      <c r="Q754" s="239">
        <v>0</v>
      </c>
      <c r="R754" s="239">
        <v>0</v>
      </c>
      <c r="S754" s="239">
        <v>0</v>
      </c>
      <c r="T754" s="239">
        <v>0</v>
      </c>
      <c r="U754" s="239">
        <v>0</v>
      </c>
      <c r="V754" s="239">
        <v>0</v>
      </c>
      <c r="W754" s="239">
        <v>0</v>
      </c>
      <c r="X754" s="239">
        <v>0</v>
      </c>
      <c r="Y754" s="239">
        <v>352.33</v>
      </c>
      <c r="Z754" s="239">
        <v>0</v>
      </c>
      <c r="AA754" s="239">
        <v>0</v>
      </c>
      <c r="AB754" s="239">
        <v>175.7</v>
      </c>
      <c r="AC754" s="239">
        <v>0</v>
      </c>
      <c r="AD754" s="239">
        <v>0</v>
      </c>
      <c r="AE754" s="239" t="s">
        <v>19</v>
      </c>
      <c r="AF754" s="239" t="s">
        <v>725</v>
      </c>
      <c r="AG754" s="239">
        <f t="shared" si="57"/>
        <v>0</v>
      </c>
      <c r="AH754" s="239">
        <f t="shared" si="58"/>
        <v>0</v>
      </c>
      <c r="AI754" s="239">
        <f t="shared" si="59"/>
        <v>0</v>
      </c>
      <c r="AJ754" s="239">
        <f t="shared" si="60"/>
        <v>0</v>
      </c>
    </row>
    <row r="755" spans="1:36" x14ac:dyDescent="0.2">
      <c r="A755" s="240" t="str">
        <f t="shared" si="61"/>
        <v>8SYCF107H5230</v>
      </c>
      <c r="B755" s="239" t="s">
        <v>19</v>
      </c>
      <c r="C755" s="239" t="s">
        <v>28</v>
      </c>
      <c r="D755" s="239" t="s">
        <v>2481</v>
      </c>
      <c r="E755" s="239" t="s">
        <v>2482</v>
      </c>
      <c r="F755" s="239" t="s">
        <v>2516</v>
      </c>
      <c r="G755" s="239">
        <v>30</v>
      </c>
      <c r="H755" s="239" t="s">
        <v>928</v>
      </c>
      <c r="I755" s="239" t="s">
        <v>2494</v>
      </c>
      <c r="J755" s="239" t="s">
        <v>928</v>
      </c>
      <c r="K755" s="239" t="s">
        <v>2398</v>
      </c>
      <c r="L755" s="239">
        <v>939.99</v>
      </c>
      <c r="M755" s="239">
        <v>0</v>
      </c>
      <c r="N755" s="239">
        <v>0</v>
      </c>
      <c r="O755" s="239">
        <v>0</v>
      </c>
      <c r="P755" s="239">
        <v>0</v>
      </c>
      <c r="Q755" s="239">
        <v>323.29000000000002</v>
      </c>
      <c r="R755" s="239">
        <v>0</v>
      </c>
      <c r="S755" s="239">
        <v>0</v>
      </c>
      <c r="T755" s="239">
        <v>0</v>
      </c>
      <c r="U755" s="239">
        <v>89.32</v>
      </c>
      <c r="V755" s="239">
        <v>0</v>
      </c>
      <c r="W755" s="239">
        <v>0</v>
      </c>
      <c r="X755" s="239">
        <v>0</v>
      </c>
      <c r="Y755" s="239">
        <v>351.68</v>
      </c>
      <c r="Z755" s="239">
        <v>0</v>
      </c>
      <c r="AA755" s="239">
        <v>0</v>
      </c>
      <c r="AB755" s="239">
        <v>175.7</v>
      </c>
      <c r="AC755" s="239">
        <v>0</v>
      </c>
      <c r="AD755" s="239">
        <v>0</v>
      </c>
      <c r="AE755" s="239" t="s">
        <v>19</v>
      </c>
      <c r="AF755" s="239" t="s">
        <v>725</v>
      </c>
      <c r="AG755" s="239">
        <f t="shared" si="57"/>
        <v>0</v>
      </c>
      <c r="AH755" s="239">
        <f t="shared" si="58"/>
        <v>0</v>
      </c>
      <c r="AI755" s="239">
        <f t="shared" si="59"/>
        <v>0</v>
      </c>
      <c r="AJ755" s="239">
        <f t="shared" si="60"/>
        <v>0</v>
      </c>
    </row>
    <row r="756" spans="1:36" x14ac:dyDescent="0.2">
      <c r="A756" s="240" t="str">
        <f t="shared" si="61"/>
        <v>SYCF107H5230</v>
      </c>
      <c r="B756" s="239" t="s">
        <v>19</v>
      </c>
      <c r="C756" s="239" t="s">
        <v>28</v>
      </c>
      <c r="D756" s="239" t="s">
        <v>2481</v>
      </c>
      <c r="E756" s="239" t="s">
        <v>2482</v>
      </c>
      <c r="F756" s="239" t="s">
        <v>2516</v>
      </c>
      <c r="G756" s="239">
        <v>30</v>
      </c>
      <c r="H756" s="239" t="s">
        <v>928</v>
      </c>
      <c r="I756" s="239" t="s">
        <v>928</v>
      </c>
      <c r="J756" s="239" t="s">
        <v>928</v>
      </c>
      <c r="K756" s="239" t="s">
        <v>2398</v>
      </c>
      <c r="L756" s="239">
        <v>528.03</v>
      </c>
      <c r="M756" s="239">
        <v>0</v>
      </c>
      <c r="N756" s="239">
        <v>0</v>
      </c>
      <c r="O756" s="239">
        <v>0</v>
      </c>
      <c r="P756" s="239">
        <v>0</v>
      </c>
      <c r="Q756" s="239">
        <v>0</v>
      </c>
      <c r="R756" s="239">
        <v>0</v>
      </c>
      <c r="S756" s="239">
        <v>0</v>
      </c>
      <c r="T756" s="239">
        <v>0</v>
      </c>
      <c r="U756" s="239">
        <v>0</v>
      </c>
      <c r="V756" s="239">
        <v>0</v>
      </c>
      <c r="W756" s="239">
        <v>0</v>
      </c>
      <c r="X756" s="239">
        <v>0</v>
      </c>
      <c r="Y756" s="239">
        <v>352.33</v>
      </c>
      <c r="Z756" s="239">
        <v>0</v>
      </c>
      <c r="AA756" s="239">
        <v>0</v>
      </c>
      <c r="AB756" s="239">
        <v>175.7</v>
      </c>
      <c r="AC756" s="239">
        <v>0</v>
      </c>
      <c r="AD756" s="239">
        <v>0</v>
      </c>
      <c r="AE756" s="239" t="s">
        <v>19</v>
      </c>
      <c r="AF756" s="239" t="s">
        <v>725</v>
      </c>
      <c r="AG756" s="239">
        <f t="shared" si="57"/>
        <v>0</v>
      </c>
      <c r="AH756" s="239">
        <f t="shared" si="58"/>
        <v>0</v>
      </c>
      <c r="AI756" s="239">
        <f t="shared" si="59"/>
        <v>0</v>
      </c>
      <c r="AJ756" s="239">
        <f t="shared" si="60"/>
        <v>0</v>
      </c>
    </row>
    <row r="757" spans="1:36" x14ac:dyDescent="0.2">
      <c r="A757" s="240" t="str">
        <f t="shared" si="61"/>
        <v>2SYCF10R307K40</v>
      </c>
      <c r="B757" s="239" t="s">
        <v>19</v>
      </c>
      <c r="C757" s="239" t="s">
        <v>28</v>
      </c>
      <c r="D757" s="239" t="s">
        <v>2481</v>
      </c>
      <c r="E757" s="239" t="s">
        <v>2482</v>
      </c>
      <c r="F757" s="239" t="s">
        <v>2526</v>
      </c>
      <c r="G757" s="239">
        <v>40</v>
      </c>
      <c r="H757" s="239" t="s">
        <v>928</v>
      </c>
      <c r="I757" s="239" t="s">
        <v>2484</v>
      </c>
      <c r="J757" s="239" t="s">
        <v>928</v>
      </c>
      <c r="K757" s="239" t="s">
        <v>2398</v>
      </c>
      <c r="L757" s="239">
        <v>1064.8599999999999</v>
      </c>
      <c r="M757" s="239">
        <v>0</v>
      </c>
      <c r="N757" s="239">
        <v>0</v>
      </c>
      <c r="O757" s="239">
        <v>0</v>
      </c>
      <c r="P757" s="239">
        <v>0</v>
      </c>
      <c r="Q757" s="239">
        <v>0</v>
      </c>
      <c r="R757" s="239">
        <v>0</v>
      </c>
      <c r="S757" s="239">
        <v>0</v>
      </c>
      <c r="T757" s="239">
        <v>0</v>
      </c>
      <c r="U757" s="239">
        <v>0</v>
      </c>
      <c r="V757" s="239">
        <v>0</v>
      </c>
      <c r="W757" s="239">
        <v>0</v>
      </c>
      <c r="X757" s="239">
        <v>0</v>
      </c>
      <c r="Y757" s="239">
        <v>881.39</v>
      </c>
      <c r="Z757" s="239">
        <v>0</v>
      </c>
      <c r="AA757" s="239">
        <v>0</v>
      </c>
      <c r="AB757" s="239">
        <v>183.47</v>
      </c>
      <c r="AC757" s="239">
        <v>0</v>
      </c>
      <c r="AD757" s="239">
        <v>0</v>
      </c>
      <c r="AE757" s="239" t="s">
        <v>19</v>
      </c>
      <c r="AF757" s="239" t="s">
        <v>725</v>
      </c>
      <c r="AG757" s="239">
        <f t="shared" si="57"/>
        <v>0</v>
      </c>
      <c r="AH757" s="239">
        <f t="shared" si="58"/>
        <v>0</v>
      </c>
      <c r="AI757" s="239">
        <f t="shared" si="59"/>
        <v>0</v>
      </c>
      <c r="AJ757" s="239">
        <f t="shared" si="60"/>
        <v>0</v>
      </c>
    </row>
    <row r="758" spans="1:36" x14ac:dyDescent="0.2">
      <c r="A758" s="240" t="str">
        <f t="shared" si="61"/>
        <v>SYCF10R307K40</v>
      </c>
      <c r="B758" s="239" t="s">
        <v>19</v>
      </c>
      <c r="C758" s="239" t="s">
        <v>28</v>
      </c>
      <c r="D758" s="239" t="s">
        <v>2481</v>
      </c>
      <c r="E758" s="239" t="s">
        <v>2482</v>
      </c>
      <c r="F758" s="239" t="s">
        <v>2526</v>
      </c>
      <c r="G758" s="239">
        <v>40</v>
      </c>
      <c r="H758" s="239" t="s">
        <v>928</v>
      </c>
      <c r="I758" s="239" t="s">
        <v>928</v>
      </c>
      <c r="J758" s="239" t="s">
        <v>928</v>
      </c>
      <c r="K758" s="239" t="s">
        <v>2398</v>
      </c>
      <c r="L758" s="239">
        <v>1064.8599999999999</v>
      </c>
      <c r="M758" s="239">
        <v>0</v>
      </c>
      <c r="N758" s="239">
        <v>0</v>
      </c>
      <c r="O758" s="239">
        <v>0</v>
      </c>
      <c r="P758" s="239">
        <v>0</v>
      </c>
      <c r="Q758" s="239">
        <v>0</v>
      </c>
      <c r="R758" s="239">
        <v>0</v>
      </c>
      <c r="S758" s="239">
        <v>0</v>
      </c>
      <c r="T758" s="239">
        <v>0</v>
      </c>
      <c r="U758" s="239">
        <v>0</v>
      </c>
      <c r="V758" s="239">
        <v>0</v>
      </c>
      <c r="W758" s="239">
        <v>0</v>
      </c>
      <c r="X758" s="239">
        <v>0</v>
      </c>
      <c r="Y758" s="239">
        <v>881.39</v>
      </c>
      <c r="Z758" s="239">
        <v>0</v>
      </c>
      <c r="AA758" s="239">
        <v>0</v>
      </c>
      <c r="AB758" s="239">
        <v>183.47</v>
      </c>
      <c r="AC758" s="239">
        <v>0</v>
      </c>
      <c r="AD758" s="239">
        <v>0</v>
      </c>
      <c r="AE758" s="239" t="s">
        <v>19</v>
      </c>
      <c r="AF758" s="239" t="s">
        <v>725</v>
      </c>
      <c r="AG758" s="239">
        <f t="shared" si="57"/>
        <v>0</v>
      </c>
      <c r="AH758" s="239">
        <f t="shared" si="58"/>
        <v>0</v>
      </c>
      <c r="AI758" s="239">
        <f t="shared" si="59"/>
        <v>0</v>
      </c>
      <c r="AJ758" s="239">
        <f t="shared" si="60"/>
        <v>0</v>
      </c>
    </row>
    <row r="759" spans="1:36" x14ac:dyDescent="0.2">
      <c r="A759" s="240" t="str">
        <f t="shared" si="61"/>
        <v>2SYCF10R405CZ30</v>
      </c>
      <c r="B759" s="239" t="s">
        <v>19</v>
      </c>
      <c r="C759" s="239" t="s">
        <v>28</v>
      </c>
      <c r="D759" s="239" t="s">
        <v>2481</v>
      </c>
      <c r="E759" s="239" t="s">
        <v>2482</v>
      </c>
      <c r="F759" s="239" t="s">
        <v>2665</v>
      </c>
      <c r="G759" s="239">
        <v>30</v>
      </c>
      <c r="H759" s="239" t="s">
        <v>928</v>
      </c>
      <c r="I759" s="239" t="s">
        <v>2484</v>
      </c>
      <c r="J759" s="239" t="s">
        <v>928</v>
      </c>
      <c r="K759" s="239" t="s">
        <v>2398</v>
      </c>
      <c r="L759" s="239">
        <v>837.83</v>
      </c>
      <c r="M759" s="239">
        <v>0</v>
      </c>
      <c r="N759" s="239">
        <v>0</v>
      </c>
      <c r="O759" s="239">
        <v>0</v>
      </c>
      <c r="P759" s="239">
        <v>0</v>
      </c>
      <c r="Q759" s="239">
        <v>0</v>
      </c>
      <c r="R759" s="239">
        <v>0</v>
      </c>
      <c r="S759" s="239">
        <v>0</v>
      </c>
      <c r="T759" s="239">
        <v>0</v>
      </c>
      <c r="U759" s="239">
        <v>0</v>
      </c>
      <c r="V759" s="239">
        <v>0</v>
      </c>
      <c r="W759" s="239">
        <v>0</v>
      </c>
      <c r="X759" s="239">
        <v>0</v>
      </c>
      <c r="Y759" s="239">
        <v>655.98</v>
      </c>
      <c r="Z759" s="239">
        <v>0</v>
      </c>
      <c r="AA759" s="239">
        <v>0</v>
      </c>
      <c r="AB759" s="239">
        <v>181.85</v>
      </c>
      <c r="AC759" s="239">
        <v>0</v>
      </c>
      <c r="AD759" s="239">
        <v>0</v>
      </c>
      <c r="AE759" s="239" t="s">
        <v>19</v>
      </c>
      <c r="AF759" s="239" t="s">
        <v>718</v>
      </c>
      <c r="AG759" s="239">
        <f t="shared" si="57"/>
        <v>0</v>
      </c>
      <c r="AH759" s="239">
        <f t="shared" si="58"/>
        <v>0</v>
      </c>
      <c r="AI759" s="239">
        <f t="shared" si="59"/>
        <v>0</v>
      </c>
      <c r="AJ759" s="239">
        <f t="shared" si="60"/>
        <v>0</v>
      </c>
    </row>
    <row r="760" spans="1:36" x14ac:dyDescent="0.2">
      <c r="A760" s="240" t="str">
        <f t="shared" si="61"/>
        <v>SYCF10R405CZ30</v>
      </c>
      <c r="B760" s="239" t="s">
        <v>19</v>
      </c>
      <c r="C760" s="239" t="s">
        <v>28</v>
      </c>
      <c r="D760" s="239" t="s">
        <v>2481</v>
      </c>
      <c r="E760" s="239" t="s">
        <v>2482</v>
      </c>
      <c r="F760" s="239" t="s">
        <v>2665</v>
      </c>
      <c r="G760" s="239">
        <v>30</v>
      </c>
      <c r="H760" s="239" t="s">
        <v>928</v>
      </c>
      <c r="I760" s="239" t="s">
        <v>928</v>
      </c>
      <c r="J760" s="239" t="s">
        <v>928</v>
      </c>
      <c r="K760" s="239" t="s">
        <v>2398</v>
      </c>
      <c r="L760" s="239">
        <v>837.83</v>
      </c>
      <c r="M760" s="239">
        <v>0</v>
      </c>
      <c r="N760" s="239">
        <v>0</v>
      </c>
      <c r="O760" s="239">
        <v>0</v>
      </c>
      <c r="P760" s="239">
        <v>0</v>
      </c>
      <c r="Q760" s="239">
        <v>0</v>
      </c>
      <c r="R760" s="239">
        <v>0</v>
      </c>
      <c r="S760" s="239">
        <v>0</v>
      </c>
      <c r="T760" s="239">
        <v>0</v>
      </c>
      <c r="U760" s="239">
        <v>0</v>
      </c>
      <c r="V760" s="239">
        <v>0</v>
      </c>
      <c r="W760" s="239">
        <v>0</v>
      </c>
      <c r="X760" s="239">
        <v>0</v>
      </c>
      <c r="Y760" s="239">
        <v>655.98</v>
      </c>
      <c r="Z760" s="239">
        <v>0</v>
      </c>
      <c r="AA760" s="239">
        <v>0</v>
      </c>
      <c r="AB760" s="239">
        <v>181.85</v>
      </c>
      <c r="AC760" s="239">
        <v>0</v>
      </c>
      <c r="AD760" s="239">
        <v>0</v>
      </c>
      <c r="AE760" s="239" t="s">
        <v>19</v>
      </c>
      <c r="AF760" s="239" t="s">
        <v>718</v>
      </c>
      <c r="AG760" s="239">
        <f t="shared" si="57"/>
        <v>0</v>
      </c>
      <c r="AH760" s="239">
        <f t="shared" si="58"/>
        <v>0</v>
      </c>
      <c r="AI760" s="239">
        <f t="shared" si="59"/>
        <v>0</v>
      </c>
      <c r="AJ760" s="239">
        <f t="shared" si="60"/>
        <v>0</v>
      </c>
    </row>
    <row r="761" spans="1:36" x14ac:dyDescent="0.2">
      <c r="A761" s="240" t="str">
        <f t="shared" si="61"/>
        <v>2SYCF100P9501A30</v>
      </c>
      <c r="B761" s="239" t="s">
        <v>19</v>
      </c>
      <c r="C761" s="239" t="s">
        <v>28</v>
      </c>
      <c r="D761" s="239" t="s">
        <v>2537</v>
      </c>
      <c r="E761" s="239" t="s">
        <v>2538</v>
      </c>
      <c r="F761" s="239" t="s">
        <v>2539</v>
      </c>
      <c r="G761" s="239">
        <v>30</v>
      </c>
      <c r="H761" s="239" t="s">
        <v>928</v>
      </c>
      <c r="I761" s="239" t="s">
        <v>2484</v>
      </c>
      <c r="J761" s="239" t="s">
        <v>928</v>
      </c>
      <c r="K761" s="239" t="s">
        <v>2398</v>
      </c>
      <c r="L761" s="239">
        <v>537.19000000000005</v>
      </c>
      <c r="M761" s="239">
        <v>0</v>
      </c>
      <c r="N761" s="239">
        <v>0</v>
      </c>
      <c r="O761" s="239">
        <v>0</v>
      </c>
      <c r="P761" s="239">
        <v>0</v>
      </c>
      <c r="Q761" s="239">
        <v>0</v>
      </c>
      <c r="R761" s="239">
        <v>0</v>
      </c>
      <c r="S761" s="239">
        <v>0</v>
      </c>
      <c r="T761" s="239">
        <v>0</v>
      </c>
      <c r="U761" s="239">
        <v>0</v>
      </c>
      <c r="V761" s="239">
        <v>0</v>
      </c>
      <c r="W761" s="239">
        <v>0</v>
      </c>
      <c r="X761" s="239">
        <v>0</v>
      </c>
      <c r="Y761" s="239">
        <v>392.8</v>
      </c>
      <c r="Z761" s="239">
        <v>0</v>
      </c>
      <c r="AA761" s="239">
        <v>0</v>
      </c>
      <c r="AB761" s="239">
        <v>144.38999999999999</v>
      </c>
      <c r="AC761" s="239">
        <v>0</v>
      </c>
      <c r="AD761" s="239">
        <v>0</v>
      </c>
      <c r="AE761" s="239" t="s">
        <v>19</v>
      </c>
      <c r="AF761" s="239" t="s">
        <v>718</v>
      </c>
      <c r="AG761" s="239">
        <f t="shared" si="57"/>
        <v>0</v>
      </c>
      <c r="AH761" s="239">
        <f t="shared" si="58"/>
        <v>0</v>
      </c>
      <c r="AI761" s="239">
        <f t="shared" si="59"/>
        <v>0</v>
      </c>
      <c r="AJ761" s="239">
        <f t="shared" si="60"/>
        <v>0</v>
      </c>
    </row>
    <row r="762" spans="1:36" x14ac:dyDescent="0.2">
      <c r="A762" s="240" t="str">
        <f t="shared" si="61"/>
        <v>SYCF100P9501A30</v>
      </c>
      <c r="B762" s="239" t="s">
        <v>19</v>
      </c>
      <c r="C762" s="239" t="s">
        <v>28</v>
      </c>
      <c r="D762" s="239" t="s">
        <v>2537</v>
      </c>
      <c r="E762" s="239" t="s">
        <v>2538</v>
      </c>
      <c r="F762" s="239" t="s">
        <v>2539</v>
      </c>
      <c r="G762" s="239">
        <v>30</v>
      </c>
      <c r="H762" s="239" t="s">
        <v>928</v>
      </c>
      <c r="I762" s="239" t="s">
        <v>928</v>
      </c>
      <c r="J762" s="239" t="s">
        <v>928</v>
      </c>
      <c r="K762" s="239" t="s">
        <v>2398</v>
      </c>
      <c r="L762" s="239">
        <v>537.19000000000005</v>
      </c>
      <c r="M762" s="239">
        <v>0</v>
      </c>
      <c r="N762" s="239">
        <v>0</v>
      </c>
      <c r="O762" s="239">
        <v>0</v>
      </c>
      <c r="P762" s="239">
        <v>0</v>
      </c>
      <c r="Q762" s="239">
        <v>0</v>
      </c>
      <c r="R762" s="239">
        <v>0</v>
      </c>
      <c r="S762" s="239">
        <v>0</v>
      </c>
      <c r="T762" s="239">
        <v>0</v>
      </c>
      <c r="U762" s="239">
        <v>0</v>
      </c>
      <c r="V762" s="239">
        <v>0</v>
      </c>
      <c r="W762" s="239">
        <v>0</v>
      </c>
      <c r="X762" s="239">
        <v>0</v>
      </c>
      <c r="Y762" s="239">
        <v>392.8</v>
      </c>
      <c r="Z762" s="239">
        <v>0</v>
      </c>
      <c r="AA762" s="239">
        <v>0</v>
      </c>
      <c r="AB762" s="239">
        <v>144.38999999999999</v>
      </c>
      <c r="AC762" s="239">
        <v>0</v>
      </c>
      <c r="AD762" s="239">
        <v>0</v>
      </c>
      <c r="AE762" s="239" t="s">
        <v>19</v>
      </c>
      <c r="AF762" s="239" t="s">
        <v>718</v>
      </c>
      <c r="AG762" s="239">
        <f t="shared" si="57"/>
        <v>0</v>
      </c>
      <c r="AH762" s="239">
        <f t="shared" si="58"/>
        <v>0</v>
      </c>
      <c r="AI762" s="239">
        <f t="shared" si="59"/>
        <v>0</v>
      </c>
      <c r="AJ762" s="239">
        <f t="shared" si="60"/>
        <v>0</v>
      </c>
    </row>
    <row r="763" spans="1:36" x14ac:dyDescent="0.2">
      <c r="A763" s="240" t="str">
        <f t="shared" si="61"/>
        <v>2SYCF100P9501A50</v>
      </c>
      <c r="B763" s="239" t="s">
        <v>19</v>
      </c>
      <c r="C763" s="239" t="s">
        <v>28</v>
      </c>
      <c r="D763" s="239" t="s">
        <v>2537</v>
      </c>
      <c r="E763" s="239" t="s">
        <v>2538</v>
      </c>
      <c r="F763" s="239" t="s">
        <v>2539</v>
      </c>
      <c r="G763" s="239">
        <v>50</v>
      </c>
      <c r="H763" s="239" t="s">
        <v>928</v>
      </c>
      <c r="I763" s="239" t="s">
        <v>2484</v>
      </c>
      <c r="J763" s="239" t="s">
        <v>928</v>
      </c>
      <c r="K763" s="239" t="s">
        <v>2398</v>
      </c>
      <c r="L763" s="239">
        <v>427.93</v>
      </c>
      <c r="M763" s="239">
        <v>0</v>
      </c>
      <c r="N763" s="239">
        <v>0</v>
      </c>
      <c r="O763" s="239">
        <v>0</v>
      </c>
      <c r="P763" s="239">
        <v>0</v>
      </c>
      <c r="Q763" s="239">
        <v>0</v>
      </c>
      <c r="R763" s="239">
        <v>0</v>
      </c>
      <c r="S763" s="239">
        <v>0</v>
      </c>
      <c r="T763" s="239">
        <v>0</v>
      </c>
      <c r="U763" s="239">
        <v>0</v>
      </c>
      <c r="V763" s="239">
        <v>0</v>
      </c>
      <c r="W763" s="239">
        <v>0</v>
      </c>
      <c r="X763" s="239">
        <v>0</v>
      </c>
      <c r="Y763" s="239">
        <v>355.01</v>
      </c>
      <c r="Z763" s="239">
        <v>0</v>
      </c>
      <c r="AA763" s="239">
        <v>0</v>
      </c>
      <c r="AB763" s="239">
        <v>72.92</v>
      </c>
      <c r="AC763" s="239">
        <v>0</v>
      </c>
      <c r="AD763" s="239">
        <v>0</v>
      </c>
      <c r="AE763" s="239" t="s">
        <v>19</v>
      </c>
      <c r="AF763" s="239" t="s">
        <v>718</v>
      </c>
      <c r="AG763" s="239">
        <f t="shared" si="57"/>
        <v>0</v>
      </c>
      <c r="AH763" s="239">
        <f t="shared" si="58"/>
        <v>0</v>
      </c>
      <c r="AI763" s="239">
        <f t="shared" si="59"/>
        <v>0</v>
      </c>
      <c r="AJ763" s="239">
        <f t="shared" si="60"/>
        <v>0</v>
      </c>
    </row>
    <row r="764" spans="1:36" x14ac:dyDescent="0.2">
      <c r="A764" s="240" t="str">
        <f t="shared" si="61"/>
        <v>SYCF100P9501A50</v>
      </c>
      <c r="B764" s="239" t="s">
        <v>19</v>
      </c>
      <c r="C764" s="239" t="s">
        <v>28</v>
      </c>
      <c r="D764" s="239" t="s">
        <v>2537</v>
      </c>
      <c r="E764" s="239" t="s">
        <v>2538</v>
      </c>
      <c r="F764" s="239" t="s">
        <v>2539</v>
      </c>
      <c r="G764" s="239">
        <v>50</v>
      </c>
      <c r="H764" s="239" t="s">
        <v>928</v>
      </c>
      <c r="I764" s="239" t="s">
        <v>928</v>
      </c>
      <c r="J764" s="239" t="s">
        <v>928</v>
      </c>
      <c r="K764" s="239" t="s">
        <v>2398</v>
      </c>
      <c r="L764" s="239">
        <v>427.93</v>
      </c>
      <c r="M764" s="239">
        <v>0</v>
      </c>
      <c r="N764" s="239">
        <v>0</v>
      </c>
      <c r="O764" s="239">
        <v>0</v>
      </c>
      <c r="P764" s="239">
        <v>0</v>
      </c>
      <c r="Q764" s="239">
        <v>0</v>
      </c>
      <c r="R764" s="239">
        <v>0</v>
      </c>
      <c r="S764" s="239">
        <v>0</v>
      </c>
      <c r="T764" s="239">
        <v>0</v>
      </c>
      <c r="U764" s="239">
        <v>0</v>
      </c>
      <c r="V764" s="239">
        <v>0</v>
      </c>
      <c r="W764" s="239">
        <v>0</v>
      </c>
      <c r="X764" s="239">
        <v>0</v>
      </c>
      <c r="Y764" s="239">
        <v>355.01</v>
      </c>
      <c r="Z764" s="239">
        <v>0</v>
      </c>
      <c r="AA764" s="239">
        <v>0</v>
      </c>
      <c r="AB764" s="239">
        <v>72.92</v>
      </c>
      <c r="AC764" s="239">
        <v>0</v>
      </c>
      <c r="AD764" s="239">
        <v>0</v>
      </c>
      <c r="AE764" s="239" t="s">
        <v>19</v>
      </c>
      <c r="AF764" s="239" t="s">
        <v>718</v>
      </c>
      <c r="AG764" s="239">
        <f t="shared" si="57"/>
        <v>0</v>
      </c>
      <c r="AH764" s="239">
        <f t="shared" si="58"/>
        <v>0</v>
      </c>
      <c r="AI764" s="239">
        <f t="shared" si="59"/>
        <v>0</v>
      </c>
      <c r="AJ764" s="239">
        <f t="shared" si="60"/>
        <v>0</v>
      </c>
    </row>
    <row r="765" spans="1:36" x14ac:dyDescent="0.2">
      <c r="A765" s="240" t="str">
        <f t="shared" si="61"/>
        <v>2SYCF100P9501C50</v>
      </c>
      <c r="B765" s="239" t="s">
        <v>19</v>
      </c>
      <c r="C765" s="239" t="s">
        <v>28</v>
      </c>
      <c r="D765" s="239" t="s">
        <v>2537</v>
      </c>
      <c r="E765" s="239" t="s">
        <v>2538</v>
      </c>
      <c r="F765" s="239" t="s">
        <v>2540</v>
      </c>
      <c r="G765" s="239">
        <v>50</v>
      </c>
      <c r="H765" s="239" t="s">
        <v>928</v>
      </c>
      <c r="I765" s="239" t="s">
        <v>2484</v>
      </c>
      <c r="J765" s="239" t="s">
        <v>928</v>
      </c>
      <c r="K765" s="239" t="s">
        <v>2398</v>
      </c>
      <c r="L765" s="239">
        <v>577.17999999999995</v>
      </c>
      <c r="M765" s="239">
        <v>0</v>
      </c>
      <c r="N765" s="239">
        <v>0</v>
      </c>
      <c r="O765" s="239">
        <v>0</v>
      </c>
      <c r="P765" s="239">
        <v>0</v>
      </c>
      <c r="Q765" s="239">
        <v>0</v>
      </c>
      <c r="R765" s="239">
        <v>0</v>
      </c>
      <c r="S765" s="239">
        <v>0</v>
      </c>
      <c r="T765" s="239">
        <v>0</v>
      </c>
      <c r="U765" s="239">
        <v>0</v>
      </c>
      <c r="V765" s="239">
        <v>0</v>
      </c>
      <c r="W765" s="239">
        <v>0</v>
      </c>
      <c r="X765" s="239">
        <v>0</v>
      </c>
      <c r="Y765" s="239">
        <v>418.18</v>
      </c>
      <c r="Z765" s="239">
        <v>0</v>
      </c>
      <c r="AA765" s="239">
        <v>0</v>
      </c>
      <c r="AB765" s="239">
        <v>158.99</v>
      </c>
      <c r="AC765" s="239">
        <v>0</v>
      </c>
      <c r="AD765" s="239">
        <v>0</v>
      </c>
      <c r="AE765" s="239" t="s">
        <v>19</v>
      </c>
      <c r="AF765" s="239" t="s">
        <v>718</v>
      </c>
      <c r="AG765" s="239">
        <f t="shared" si="57"/>
        <v>0</v>
      </c>
      <c r="AH765" s="239">
        <f t="shared" si="58"/>
        <v>0</v>
      </c>
      <c r="AI765" s="239">
        <f t="shared" si="59"/>
        <v>0</v>
      </c>
      <c r="AJ765" s="239">
        <f t="shared" si="60"/>
        <v>0</v>
      </c>
    </row>
    <row r="766" spans="1:36" x14ac:dyDescent="0.2">
      <c r="A766" s="240" t="str">
        <f t="shared" si="61"/>
        <v>SYCF100P9501C50</v>
      </c>
      <c r="B766" s="239" t="s">
        <v>19</v>
      </c>
      <c r="C766" s="239" t="s">
        <v>28</v>
      </c>
      <c r="D766" s="239" t="s">
        <v>2537</v>
      </c>
      <c r="E766" s="239" t="s">
        <v>2538</v>
      </c>
      <c r="F766" s="239" t="s">
        <v>2540</v>
      </c>
      <c r="G766" s="239">
        <v>50</v>
      </c>
      <c r="H766" s="239" t="s">
        <v>928</v>
      </c>
      <c r="I766" s="239" t="s">
        <v>928</v>
      </c>
      <c r="J766" s="239" t="s">
        <v>928</v>
      </c>
      <c r="K766" s="239" t="s">
        <v>2398</v>
      </c>
      <c r="L766" s="239">
        <v>577.17999999999995</v>
      </c>
      <c r="M766" s="239">
        <v>0</v>
      </c>
      <c r="N766" s="239">
        <v>0</v>
      </c>
      <c r="O766" s="239">
        <v>0</v>
      </c>
      <c r="P766" s="239">
        <v>0</v>
      </c>
      <c r="Q766" s="239">
        <v>0</v>
      </c>
      <c r="R766" s="239">
        <v>0</v>
      </c>
      <c r="S766" s="239">
        <v>0</v>
      </c>
      <c r="T766" s="239">
        <v>0</v>
      </c>
      <c r="U766" s="239">
        <v>0</v>
      </c>
      <c r="V766" s="239">
        <v>0</v>
      </c>
      <c r="W766" s="239">
        <v>0</v>
      </c>
      <c r="X766" s="239">
        <v>0</v>
      </c>
      <c r="Y766" s="239">
        <v>418.18</v>
      </c>
      <c r="Z766" s="239">
        <v>0</v>
      </c>
      <c r="AA766" s="239">
        <v>0</v>
      </c>
      <c r="AB766" s="239">
        <v>158.99</v>
      </c>
      <c r="AC766" s="239">
        <v>0</v>
      </c>
      <c r="AD766" s="239">
        <v>0</v>
      </c>
      <c r="AE766" s="239" t="s">
        <v>19</v>
      </c>
      <c r="AF766" s="239" t="s">
        <v>718</v>
      </c>
      <c r="AG766" s="239">
        <f t="shared" si="57"/>
        <v>0</v>
      </c>
      <c r="AH766" s="239">
        <f t="shared" si="58"/>
        <v>0</v>
      </c>
      <c r="AI766" s="239">
        <f t="shared" si="59"/>
        <v>0</v>
      </c>
      <c r="AJ766" s="239">
        <f t="shared" si="60"/>
        <v>0</v>
      </c>
    </row>
    <row r="767" spans="1:36" x14ac:dyDescent="0.2">
      <c r="A767" s="240" t="str">
        <f t="shared" si="61"/>
        <v>2SYCF100P9501E30</v>
      </c>
      <c r="B767" s="239" t="s">
        <v>19</v>
      </c>
      <c r="C767" s="239" t="s">
        <v>28</v>
      </c>
      <c r="D767" s="239" t="s">
        <v>2537</v>
      </c>
      <c r="E767" s="239" t="s">
        <v>2538</v>
      </c>
      <c r="F767" s="239" t="s">
        <v>2541</v>
      </c>
      <c r="G767" s="239">
        <v>30</v>
      </c>
      <c r="H767" s="239" t="s">
        <v>928</v>
      </c>
      <c r="I767" s="239" t="s">
        <v>2484</v>
      </c>
      <c r="J767" s="239" t="s">
        <v>928</v>
      </c>
      <c r="K767" s="239" t="s">
        <v>2398</v>
      </c>
      <c r="L767" s="239">
        <v>413.79</v>
      </c>
      <c r="M767" s="239">
        <v>0</v>
      </c>
      <c r="N767" s="239">
        <v>0</v>
      </c>
      <c r="O767" s="239">
        <v>0</v>
      </c>
      <c r="P767" s="239">
        <v>0</v>
      </c>
      <c r="Q767" s="239">
        <v>0</v>
      </c>
      <c r="R767" s="239">
        <v>0</v>
      </c>
      <c r="S767" s="239">
        <v>0</v>
      </c>
      <c r="T767" s="239">
        <v>0</v>
      </c>
      <c r="U767" s="239">
        <v>0</v>
      </c>
      <c r="V767" s="239">
        <v>0</v>
      </c>
      <c r="W767" s="239">
        <v>0</v>
      </c>
      <c r="X767" s="239">
        <v>0</v>
      </c>
      <c r="Y767" s="239">
        <v>316.35000000000002</v>
      </c>
      <c r="Z767" s="239">
        <v>0</v>
      </c>
      <c r="AA767" s="239">
        <v>0</v>
      </c>
      <c r="AB767" s="239">
        <v>97.44</v>
      </c>
      <c r="AC767" s="239">
        <v>0</v>
      </c>
      <c r="AD767" s="239">
        <v>0</v>
      </c>
      <c r="AE767" s="239" t="s">
        <v>19</v>
      </c>
      <c r="AF767" s="239" t="s">
        <v>718</v>
      </c>
      <c r="AG767" s="239">
        <f t="shared" si="57"/>
        <v>0</v>
      </c>
      <c r="AH767" s="239">
        <f t="shared" si="58"/>
        <v>0</v>
      </c>
      <c r="AI767" s="239">
        <f t="shared" si="59"/>
        <v>0</v>
      </c>
      <c r="AJ767" s="239">
        <f t="shared" si="60"/>
        <v>0</v>
      </c>
    </row>
    <row r="768" spans="1:36" x14ac:dyDescent="0.2">
      <c r="A768" s="240" t="str">
        <f t="shared" si="61"/>
        <v>SYCF100P9501E30</v>
      </c>
      <c r="B768" s="239" t="s">
        <v>19</v>
      </c>
      <c r="C768" s="239" t="s">
        <v>28</v>
      </c>
      <c r="D768" s="239" t="s">
        <v>2537</v>
      </c>
      <c r="E768" s="239" t="s">
        <v>2538</v>
      </c>
      <c r="F768" s="239" t="s">
        <v>2541</v>
      </c>
      <c r="G768" s="239">
        <v>30</v>
      </c>
      <c r="H768" s="239" t="s">
        <v>928</v>
      </c>
      <c r="I768" s="239" t="s">
        <v>928</v>
      </c>
      <c r="J768" s="239" t="s">
        <v>928</v>
      </c>
      <c r="K768" s="239" t="s">
        <v>2398</v>
      </c>
      <c r="L768" s="239">
        <v>413.79</v>
      </c>
      <c r="M768" s="239">
        <v>0</v>
      </c>
      <c r="N768" s="239">
        <v>0</v>
      </c>
      <c r="O768" s="239">
        <v>0</v>
      </c>
      <c r="P768" s="239">
        <v>0</v>
      </c>
      <c r="Q768" s="239">
        <v>0</v>
      </c>
      <c r="R768" s="239">
        <v>0</v>
      </c>
      <c r="S768" s="239">
        <v>0</v>
      </c>
      <c r="T768" s="239">
        <v>0</v>
      </c>
      <c r="U768" s="239">
        <v>0</v>
      </c>
      <c r="V768" s="239">
        <v>0</v>
      </c>
      <c r="W768" s="239">
        <v>0</v>
      </c>
      <c r="X768" s="239">
        <v>0</v>
      </c>
      <c r="Y768" s="239">
        <v>316.35000000000002</v>
      </c>
      <c r="Z768" s="239">
        <v>0</v>
      </c>
      <c r="AA768" s="239">
        <v>0</v>
      </c>
      <c r="AB768" s="239">
        <v>97.44</v>
      </c>
      <c r="AC768" s="239">
        <v>0</v>
      </c>
      <c r="AD768" s="239">
        <v>0</v>
      </c>
      <c r="AE768" s="239" t="s">
        <v>19</v>
      </c>
      <c r="AF768" s="239" t="s">
        <v>718</v>
      </c>
      <c r="AG768" s="239">
        <f t="shared" si="57"/>
        <v>0</v>
      </c>
      <c r="AH768" s="239">
        <f t="shared" si="58"/>
        <v>0</v>
      </c>
      <c r="AI768" s="239">
        <f t="shared" si="59"/>
        <v>0</v>
      </c>
      <c r="AJ768" s="239">
        <f t="shared" si="60"/>
        <v>0</v>
      </c>
    </row>
    <row r="769" spans="1:36" x14ac:dyDescent="0.2">
      <c r="A769" s="240" t="str">
        <f t="shared" si="61"/>
        <v>2SYCF100P9501E50</v>
      </c>
      <c r="B769" s="239" t="s">
        <v>19</v>
      </c>
      <c r="C769" s="239" t="s">
        <v>28</v>
      </c>
      <c r="D769" s="239" t="s">
        <v>2537</v>
      </c>
      <c r="E769" s="239" t="s">
        <v>2538</v>
      </c>
      <c r="F769" s="239" t="s">
        <v>2541</v>
      </c>
      <c r="G769" s="239">
        <v>50</v>
      </c>
      <c r="H769" s="239" t="s">
        <v>928</v>
      </c>
      <c r="I769" s="239" t="s">
        <v>2484</v>
      </c>
      <c r="J769" s="239" t="s">
        <v>928</v>
      </c>
      <c r="K769" s="239" t="s">
        <v>2398</v>
      </c>
      <c r="L769" s="239">
        <v>379.53</v>
      </c>
      <c r="M769" s="239">
        <v>0</v>
      </c>
      <c r="N769" s="239">
        <v>0</v>
      </c>
      <c r="O769" s="239">
        <v>0</v>
      </c>
      <c r="P769" s="239">
        <v>0</v>
      </c>
      <c r="Q769" s="239">
        <v>0</v>
      </c>
      <c r="R769" s="239">
        <v>0</v>
      </c>
      <c r="S769" s="239">
        <v>0</v>
      </c>
      <c r="T769" s="239">
        <v>0</v>
      </c>
      <c r="U769" s="239">
        <v>0</v>
      </c>
      <c r="V769" s="239">
        <v>0</v>
      </c>
      <c r="W769" s="239">
        <v>0</v>
      </c>
      <c r="X769" s="239">
        <v>0</v>
      </c>
      <c r="Y769" s="239">
        <v>303.82</v>
      </c>
      <c r="Z769" s="239">
        <v>0</v>
      </c>
      <c r="AA769" s="239">
        <v>0</v>
      </c>
      <c r="AB769" s="239">
        <v>75.709999999999994</v>
      </c>
      <c r="AC769" s="239">
        <v>0</v>
      </c>
      <c r="AD769" s="239">
        <v>0</v>
      </c>
      <c r="AE769" s="239" t="s">
        <v>19</v>
      </c>
      <c r="AF769" s="239" t="s">
        <v>718</v>
      </c>
      <c r="AG769" s="239">
        <f t="shared" si="57"/>
        <v>0</v>
      </c>
      <c r="AH769" s="239">
        <f t="shared" si="58"/>
        <v>0</v>
      </c>
      <c r="AI769" s="239">
        <f t="shared" si="59"/>
        <v>0</v>
      </c>
      <c r="AJ769" s="239">
        <f t="shared" si="60"/>
        <v>0</v>
      </c>
    </row>
    <row r="770" spans="1:36" x14ac:dyDescent="0.2">
      <c r="A770" s="240" t="str">
        <f t="shared" si="61"/>
        <v>SYCF100P9501E50</v>
      </c>
      <c r="B770" s="239" t="s">
        <v>19</v>
      </c>
      <c r="C770" s="239" t="s">
        <v>28</v>
      </c>
      <c r="D770" s="239" t="s">
        <v>2537</v>
      </c>
      <c r="E770" s="239" t="s">
        <v>2538</v>
      </c>
      <c r="F770" s="239" t="s">
        <v>2541</v>
      </c>
      <c r="G770" s="239">
        <v>50</v>
      </c>
      <c r="H770" s="239" t="s">
        <v>928</v>
      </c>
      <c r="I770" s="239" t="s">
        <v>928</v>
      </c>
      <c r="J770" s="239" t="s">
        <v>928</v>
      </c>
      <c r="K770" s="239" t="s">
        <v>2398</v>
      </c>
      <c r="L770" s="239">
        <v>379.53</v>
      </c>
      <c r="M770" s="239">
        <v>0</v>
      </c>
      <c r="N770" s="239">
        <v>0</v>
      </c>
      <c r="O770" s="239">
        <v>0</v>
      </c>
      <c r="P770" s="239">
        <v>0</v>
      </c>
      <c r="Q770" s="239">
        <v>0</v>
      </c>
      <c r="R770" s="239">
        <v>0</v>
      </c>
      <c r="S770" s="239">
        <v>0</v>
      </c>
      <c r="T770" s="239">
        <v>0</v>
      </c>
      <c r="U770" s="239">
        <v>0</v>
      </c>
      <c r="V770" s="239">
        <v>0</v>
      </c>
      <c r="W770" s="239">
        <v>0</v>
      </c>
      <c r="X770" s="239">
        <v>0</v>
      </c>
      <c r="Y770" s="239">
        <v>303.82</v>
      </c>
      <c r="Z770" s="239">
        <v>0</v>
      </c>
      <c r="AA770" s="239">
        <v>0</v>
      </c>
      <c r="AB770" s="239">
        <v>75.709999999999994</v>
      </c>
      <c r="AC770" s="239">
        <v>0</v>
      </c>
      <c r="AD770" s="239">
        <v>0</v>
      </c>
      <c r="AE770" s="239" t="s">
        <v>19</v>
      </c>
      <c r="AF770" s="239" t="s">
        <v>718</v>
      </c>
      <c r="AG770" s="239">
        <f t="shared" si="57"/>
        <v>0</v>
      </c>
      <c r="AH770" s="239">
        <f t="shared" si="58"/>
        <v>0</v>
      </c>
      <c r="AI770" s="239">
        <f t="shared" si="59"/>
        <v>0</v>
      </c>
      <c r="AJ770" s="239">
        <f t="shared" si="60"/>
        <v>0</v>
      </c>
    </row>
    <row r="771" spans="1:36" x14ac:dyDescent="0.2">
      <c r="A771" s="240" t="str">
        <f t="shared" si="61"/>
        <v>2SYCF100P9501G50</v>
      </c>
      <c r="B771" s="239" t="s">
        <v>19</v>
      </c>
      <c r="C771" s="239" t="s">
        <v>28</v>
      </c>
      <c r="D771" s="239" t="s">
        <v>2537</v>
      </c>
      <c r="E771" s="239" t="s">
        <v>2538</v>
      </c>
      <c r="F771" s="239" t="s">
        <v>2543</v>
      </c>
      <c r="G771" s="239">
        <v>50</v>
      </c>
      <c r="H771" s="239" t="s">
        <v>928</v>
      </c>
      <c r="I771" s="239" t="s">
        <v>2484</v>
      </c>
      <c r="J771" s="239" t="s">
        <v>928</v>
      </c>
      <c r="K771" s="239" t="s">
        <v>2398</v>
      </c>
      <c r="L771" s="239">
        <v>474.13</v>
      </c>
      <c r="M771" s="239">
        <v>0</v>
      </c>
      <c r="N771" s="239">
        <v>0</v>
      </c>
      <c r="O771" s="239">
        <v>0</v>
      </c>
      <c r="P771" s="239">
        <v>0</v>
      </c>
      <c r="Q771" s="239">
        <v>0</v>
      </c>
      <c r="R771" s="239">
        <v>0</v>
      </c>
      <c r="S771" s="239">
        <v>0</v>
      </c>
      <c r="T771" s="239">
        <v>0</v>
      </c>
      <c r="U771" s="239">
        <v>0</v>
      </c>
      <c r="V771" s="239">
        <v>0</v>
      </c>
      <c r="W771" s="239">
        <v>0</v>
      </c>
      <c r="X771" s="239">
        <v>0</v>
      </c>
      <c r="Y771" s="239">
        <v>335.6</v>
      </c>
      <c r="Z771" s="239">
        <v>0</v>
      </c>
      <c r="AA771" s="239">
        <v>0</v>
      </c>
      <c r="AB771" s="239">
        <v>138.53</v>
      </c>
      <c r="AC771" s="239">
        <v>0</v>
      </c>
      <c r="AD771" s="239">
        <v>0</v>
      </c>
      <c r="AE771" s="239" t="s">
        <v>19</v>
      </c>
      <c r="AF771" s="239" t="s">
        <v>718</v>
      </c>
      <c r="AG771" s="239">
        <f t="shared" si="57"/>
        <v>0</v>
      </c>
      <c r="AH771" s="239">
        <f t="shared" si="58"/>
        <v>0</v>
      </c>
      <c r="AI771" s="239">
        <f t="shared" si="59"/>
        <v>0</v>
      </c>
      <c r="AJ771" s="239">
        <f t="shared" si="60"/>
        <v>0</v>
      </c>
    </row>
    <row r="772" spans="1:36" x14ac:dyDescent="0.2">
      <c r="A772" s="240" t="str">
        <f t="shared" si="61"/>
        <v>SYCF100P9501G50</v>
      </c>
      <c r="B772" s="239" t="s">
        <v>19</v>
      </c>
      <c r="C772" s="239" t="s">
        <v>28</v>
      </c>
      <c r="D772" s="239" t="s">
        <v>2537</v>
      </c>
      <c r="E772" s="239" t="s">
        <v>2538</v>
      </c>
      <c r="F772" s="239" t="s">
        <v>2543</v>
      </c>
      <c r="G772" s="239">
        <v>50</v>
      </c>
      <c r="H772" s="239" t="s">
        <v>928</v>
      </c>
      <c r="I772" s="239" t="s">
        <v>928</v>
      </c>
      <c r="J772" s="239" t="s">
        <v>928</v>
      </c>
      <c r="K772" s="239" t="s">
        <v>2398</v>
      </c>
      <c r="L772" s="239">
        <v>474.13</v>
      </c>
      <c r="M772" s="239">
        <v>0</v>
      </c>
      <c r="N772" s="239">
        <v>0</v>
      </c>
      <c r="O772" s="239">
        <v>0</v>
      </c>
      <c r="P772" s="239">
        <v>0</v>
      </c>
      <c r="Q772" s="239">
        <v>0</v>
      </c>
      <c r="R772" s="239">
        <v>0</v>
      </c>
      <c r="S772" s="239">
        <v>0</v>
      </c>
      <c r="T772" s="239">
        <v>0</v>
      </c>
      <c r="U772" s="239">
        <v>0</v>
      </c>
      <c r="V772" s="239">
        <v>0</v>
      </c>
      <c r="W772" s="239">
        <v>0</v>
      </c>
      <c r="X772" s="239">
        <v>0</v>
      </c>
      <c r="Y772" s="239">
        <v>335.6</v>
      </c>
      <c r="Z772" s="239">
        <v>0</v>
      </c>
      <c r="AA772" s="239">
        <v>0</v>
      </c>
      <c r="AB772" s="239">
        <v>138.53</v>
      </c>
      <c r="AC772" s="239">
        <v>0</v>
      </c>
      <c r="AD772" s="239">
        <v>0</v>
      </c>
      <c r="AE772" s="239" t="s">
        <v>19</v>
      </c>
      <c r="AF772" s="239" t="s">
        <v>718</v>
      </c>
      <c r="AG772" s="239">
        <f t="shared" si="57"/>
        <v>0</v>
      </c>
      <c r="AH772" s="239">
        <f t="shared" si="58"/>
        <v>0</v>
      </c>
      <c r="AI772" s="239">
        <f t="shared" si="59"/>
        <v>0</v>
      </c>
      <c r="AJ772" s="239">
        <f t="shared" si="60"/>
        <v>0</v>
      </c>
    </row>
    <row r="773" spans="1:36" x14ac:dyDescent="0.2">
      <c r="A773" s="240" t="str">
        <f t="shared" si="61"/>
        <v>2SYCF100P9501H30</v>
      </c>
      <c r="B773" s="239" t="s">
        <v>19</v>
      </c>
      <c r="C773" s="239" t="s">
        <v>28</v>
      </c>
      <c r="D773" s="239" t="s">
        <v>2537</v>
      </c>
      <c r="E773" s="239" t="s">
        <v>2538</v>
      </c>
      <c r="F773" s="239" t="s">
        <v>2544</v>
      </c>
      <c r="G773" s="239">
        <v>30</v>
      </c>
      <c r="H773" s="239" t="s">
        <v>928</v>
      </c>
      <c r="I773" s="239" t="s">
        <v>2484</v>
      </c>
      <c r="J773" s="239" t="s">
        <v>928</v>
      </c>
      <c r="K773" s="239" t="s">
        <v>2398</v>
      </c>
      <c r="L773" s="239">
        <v>405.36</v>
      </c>
      <c r="M773" s="239">
        <v>0</v>
      </c>
      <c r="N773" s="239">
        <v>0</v>
      </c>
      <c r="O773" s="239">
        <v>0</v>
      </c>
      <c r="P773" s="239">
        <v>0</v>
      </c>
      <c r="Q773" s="239">
        <v>0</v>
      </c>
      <c r="R773" s="239">
        <v>0</v>
      </c>
      <c r="S773" s="239">
        <v>0</v>
      </c>
      <c r="T773" s="239">
        <v>0</v>
      </c>
      <c r="U773" s="239">
        <v>0</v>
      </c>
      <c r="V773" s="239">
        <v>0</v>
      </c>
      <c r="W773" s="239">
        <v>0</v>
      </c>
      <c r="X773" s="239">
        <v>0</v>
      </c>
      <c r="Y773" s="239">
        <v>316.81</v>
      </c>
      <c r="Z773" s="239">
        <v>0</v>
      </c>
      <c r="AA773" s="239">
        <v>0</v>
      </c>
      <c r="AB773" s="239">
        <v>88.55</v>
      </c>
      <c r="AC773" s="239">
        <v>0</v>
      </c>
      <c r="AD773" s="239">
        <v>0</v>
      </c>
      <c r="AE773" s="239" t="s">
        <v>19</v>
      </c>
      <c r="AF773" s="239" t="s">
        <v>718</v>
      </c>
      <c r="AG773" s="239">
        <f t="shared" si="57"/>
        <v>0</v>
      </c>
      <c r="AH773" s="239">
        <f t="shared" si="58"/>
        <v>0</v>
      </c>
      <c r="AI773" s="239">
        <f t="shared" si="59"/>
        <v>0</v>
      </c>
      <c r="AJ773" s="239">
        <f t="shared" si="60"/>
        <v>0</v>
      </c>
    </row>
    <row r="774" spans="1:36" x14ac:dyDescent="0.2">
      <c r="A774" s="240" t="str">
        <f t="shared" si="61"/>
        <v>SYCF100P9501H30</v>
      </c>
      <c r="B774" s="239" t="s">
        <v>19</v>
      </c>
      <c r="C774" s="239" t="s">
        <v>28</v>
      </c>
      <c r="D774" s="239" t="s">
        <v>2537</v>
      </c>
      <c r="E774" s="239" t="s">
        <v>2538</v>
      </c>
      <c r="F774" s="239" t="s">
        <v>2544</v>
      </c>
      <c r="G774" s="239">
        <v>30</v>
      </c>
      <c r="H774" s="239" t="s">
        <v>928</v>
      </c>
      <c r="I774" s="239" t="s">
        <v>928</v>
      </c>
      <c r="J774" s="239" t="s">
        <v>928</v>
      </c>
      <c r="K774" s="239" t="s">
        <v>2398</v>
      </c>
      <c r="L774" s="239">
        <v>405.36</v>
      </c>
      <c r="M774" s="239">
        <v>0</v>
      </c>
      <c r="N774" s="239">
        <v>0</v>
      </c>
      <c r="O774" s="239">
        <v>0</v>
      </c>
      <c r="P774" s="239">
        <v>0</v>
      </c>
      <c r="Q774" s="239">
        <v>0</v>
      </c>
      <c r="R774" s="239">
        <v>0</v>
      </c>
      <c r="S774" s="239">
        <v>0</v>
      </c>
      <c r="T774" s="239">
        <v>0</v>
      </c>
      <c r="U774" s="239">
        <v>0</v>
      </c>
      <c r="V774" s="239">
        <v>0</v>
      </c>
      <c r="W774" s="239">
        <v>0</v>
      </c>
      <c r="X774" s="239">
        <v>0</v>
      </c>
      <c r="Y774" s="239">
        <v>316.81</v>
      </c>
      <c r="Z774" s="239">
        <v>0</v>
      </c>
      <c r="AA774" s="239">
        <v>0</v>
      </c>
      <c r="AB774" s="239">
        <v>88.55</v>
      </c>
      <c r="AC774" s="239">
        <v>0</v>
      </c>
      <c r="AD774" s="239">
        <v>0</v>
      </c>
      <c r="AE774" s="239" t="s">
        <v>19</v>
      </c>
      <c r="AF774" s="239" t="s">
        <v>718</v>
      </c>
      <c r="AG774" s="239">
        <f t="shared" ref="AG774:AG837" si="62">+O774*M774/100</f>
        <v>0</v>
      </c>
      <c r="AH774" s="239">
        <f t="shared" ref="AH774:AH837" si="63">+P774*M774/100</f>
        <v>0</v>
      </c>
      <c r="AI774" s="239">
        <f t="shared" ref="AI774:AI837" si="64">+AB774*M774/100</f>
        <v>0</v>
      </c>
      <c r="AJ774" s="239">
        <f t="shared" ref="AJ774:AJ837" si="65">+AG774+AH774+AI774</f>
        <v>0</v>
      </c>
    </row>
    <row r="775" spans="1:36" x14ac:dyDescent="0.2">
      <c r="A775" s="240" t="str">
        <f t="shared" ref="A775:A838" si="66">TRIM(I775&amp;B775&amp;C775&amp;D775&amp;F775&amp;G775)</f>
        <v>2SYCF100P9501H50</v>
      </c>
      <c r="B775" s="239" t="s">
        <v>19</v>
      </c>
      <c r="C775" s="239" t="s">
        <v>28</v>
      </c>
      <c r="D775" s="239" t="s">
        <v>2537</v>
      </c>
      <c r="E775" s="239" t="s">
        <v>2538</v>
      </c>
      <c r="F775" s="239" t="s">
        <v>2544</v>
      </c>
      <c r="G775" s="239">
        <v>50</v>
      </c>
      <c r="H775" s="239" t="s">
        <v>928</v>
      </c>
      <c r="I775" s="239" t="s">
        <v>2484</v>
      </c>
      <c r="J775" s="239" t="s">
        <v>928</v>
      </c>
      <c r="K775" s="239" t="s">
        <v>2398</v>
      </c>
      <c r="L775" s="239">
        <v>428.92</v>
      </c>
      <c r="M775" s="239">
        <v>0</v>
      </c>
      <c r="N775" s="239">
        <v>0</v>
      </c>
      <c r="O775" s="239">
        <v>0</v>
      </c>
      <c r="P775" s="239">
        <v>0</v>
      </c>
      <c r="Q775" s="239">
        <v>0</v>
      </c>
      <c r="R775" s="239">
        <v>0</v>
      </c>
      <c r="S775" s="239">
        <v>0</v>
      </c>
      <c r="T775" s="239">
        <v>0</v>
      </c>
      <c r="U775" s="239">
        <v>0</v>
      </c>
      <c r="V775" s="239">
        <v>0</v>
      </c>
      <c r="W775" s="239">
        <v>0</v>
      </c>
      <c r="X775" s="239">
        <v>0</v>
      </c>
      <c r="Y775" s="239">
        <v>341.47</v>
      </c>
      <c r="Z775" s="239">
        <v>0</v>
      </c>
      <c r="AA775" s="239">
        <v>0</v>
      </c>
      <c r="AB775" s="239">
        <v>87.45</v>
      </c>
      <c r="AC775" s="239">
        <v>0</v>
      </c>
      <c r="AD775" s="239">
        <v>0</v>
      </c>
      <c r="AE775" s="239" t="s">
        <v>19</v>
      </c>
      <c r="AF775" s="239" t="s">
        <v>718</v>
      </c>
      <c r="AG775" s="239">
        <f t="shared" si="62"/>
        <v>0</v>
      </c>
      <c r="AH775" s="239">
        <f t="shared" si="63"/>
        <v>0</v>
      </c>
      <c r="AI775" s="239">
        <f t="shared" si="64"/>
        <v>0</v>
      </c>
      <c r="AJ775" s="239">
        <f t="shared" si="65"/>
        <v>0</v>
      </c>
    </row>
    <row r="776" spans="1:36" x14ac:dyDescent="0.2">
      <c r="A776" s="240" t="str">
        <f t="shared" si="66"/>
        <v>SYCF100P9501H50</v>
      </c>
      <c r="B776" s="239" t="s">
        <v>19</v>
      </c>
      <c r="C776" s="239" t="s">
        <v>28</v>
      </c>
      <c r="D776" s="239" t="s">
        <v>2537</v>
      </c>
      <c r="E776" s="239" t="s">
        <v>2538</v>
      </c>
      <c r="F776" s="239" t="s">
        <v>2544</v>
      </c>
      <c r="G776" s="239">
        <v>50</v>
      </c>
      <c r="H776" s="239" t="s">
        <v>928</v>
      </c>
      <c r="I776" s="239" t="s">
        <v>928</v>
      </c>
      <c r="J776" s="239" t="s">
        <v>928</v>
      </c>
      <c r="K776" s="239" t="s">
        <v>2398</v>
      </c>
      <c r="L776" s="239">
        <v>428.92</v>
      </c>
      <c r="M776" s="239">
        <v>0</v>
      </c>
      <c r="N776" s="239">
        <v>0</v>
      </c>
      <c r="O776" s="239">
        <v>0</v>
      </c>
      <c r="P776" s="239">
        <v>0</v>
      </c>
      <c r="Q776" s="239">
        <v>0</v>
      </c>
      <c r="R776" s="239">
        <v>0</v>
      </c>
      <c r="S776" s="239">
        <v>0</v>
      </c>
      <c r="T776" s="239">
        <v>0</v>
      </c>
      <c r="U776" s="239">
        <v>0</v>
      </c>
      <c r="V776" s="239">
        <v>0</v>
      </c>
      <c r="W776" s="239">
        <v>0</v>
      </c>
      <c r="X776" s="239">
        <v>0</v>
      </c>
      <c r="Y776" s="239">
        <v>341.47</v>
      </c>
      <c r="Z776" s="239">
        <v>0</v>
      </c>
      <c r="AA776" s="239">
        <v>0</v>
      </c>
      <c r="AB776" s="239">
        <v>87.45</v>
      </c>
      <c r="AC776" s="239">
        <v>0</v>
      </c>
      <c r="AD776" s="239">
        <v>0</v>
      </c>
      <c r="AE776" s="239" t="s">
        <v>19</v>
      </c>
      <c r="AF776" s="239" t="s">
        <v>718</v>
      </c>
      <c r="AG776" s="239">
        <f t="shared" si="62"/>
        <v>0</v>
      </c>
      <c r="AH776" s="239">
        <f t="shared" si="63"/>
        <v>0</v>
      </c>
      <c r="AI776" s="239">
        <f t="shared" si="64"/>
        <v>0</v>
      </c>
      <c r="AJ776" s="239">
        <f t="shared" si="65"/>
        <v>0</v>
      </c>
    </row>
    <row r="777" spans="1:36" x14ac:dyDescent="0.2">
      <c r="A777" s="240" t="str">
        <f t="shared" si="66"/>
        <v>2SYCF100P9501K230</v>
      </c>
      <c r="B777" s="239" t="s">
        <v>19</v>
      </c>
      <c r="C777" s="239" t="s">
        <v>28</v>
      </c>
      <c r="D777" s="239" t="s">
        <v>2537</v>
      </c>
      <c r="E777" s="239" t="s">
        <v>2538</v>
      </c>
      <c r="F777" s="239" t="s">
        <v>2546</v>
      </c>
      <c r="G777" s="239">
        <v>30</v>
      </c>
      <c r="H777" s="239" t="s">
        <v>928</v>
      </c>
      <c r="I777" s="239" t="s">
        <v>2484</v>
      </c>
      <c r="J777" s="239" t="s">
        <v>928</v>
      </c>
      <c r="K777" s="239" t="s">
        <v>2398</v>
      </c>
      <c r="L777" s="239">
        <v>426.63</v>
      </c>
      <c r="M777" s="239">
        <v>0</v>
      </c>
      <c r="N777" s="239">
        <v>0</v>
      </c>
      <c r="O777" s="239">
        <v>0</v>
      </c>
      <c r="P777" s="239">
        <v>0</v>
      </c>
      <c r="Q777" s="239">
        <v>0</v>
      </c>
      <c r="R777" s="239">
        <v>0</v>
      </c>
      <c r="S777" s="239">
        <v>0</v>
      </c>
      <c r="T777" s="239">
        <v>0</v>
      </c>
      <c r="U777" s="239">
        <v>0</v>
      </c>
      <c r="V777" s="239">
        <v>0</v>
      </c>
      <c r="W777" s="239">
        <v>0</v>
      </c>
      <c r="X777" s="239">
        <v>0</v>
      </c>
      <c r="Y777" s="239">
        <v>323.06</v>
      </c>
      <c r="Z777" s="239">
        <v>0</v>
      </c>
      <c r="AA777" s="239">
        <v>0</v>
      </c>
      <c r="AB777" s="239">
        <v>103.57</v>
      </c>
      <c r="AC777" s="239">
        <v>0</v>
      </c>
      <c r="AD777" s="239">
        <v>0</v>
      </c>
      <c r="AE777" s="239" t="s">
        <v>19</v>
      </c>
      <c r="AF777" s="239" t="s">
        <v>718</v>
      </c>
      <c r="AG777" s="239">
        <f t="shared" si="62"/>
        <v>0</v>
      </c>
      <c r="AH777" s="239">
        <f t="shared" si="63"/>
        <v>0</v>
      </c>
      <c r="AI777" s="239">
        <f t="shared" si="64"/>
        <v>0</v>
      </c>
      <c r="AJ777" s="239">
        <f t="shared" si="65"/>
        <v>0</v>
      </c>
    </row>
    <row r="778" spans="1:36" x14ac:dyDescent="0.2">
      <c r="A778" s="240" t="str">
        <f t="shared" si="66"/>
        <v>SYCF100P9501K230</v>
      </c>
      <c r="B778" s="239" t="s">
        <v>19</v>
      </c>
      <c r="C778" s="239" t="s">
        <v>28</v>
      </c>
      <c r="D778" s="239" t="s">
        <v>2537</v>
      </c>
      <c r="E778" s="239" t="s">
        <v>2538</v>
      </c>
      <c r="F778" s="239" t="s">
        <v>2546</v>
      </c>
      <c r="G778" s="239">
        <v>30</v>
      </c>
      <c r="H778" s="239" t="s">
        <v>928</v>
      </c>
      <c r="I778" s="239" t="s">
        <v>928</v>
      </c>
      <c r="J778" s="239" t="s">
        <v>928</v>
      </c>
      <c r="K778" s="239" t="s">
        <v>2398</v>
      </c>
      <c r="L778" s="239">
        <v>426.63</v>
      </c>
      <c r="M778" s="239">
        <v>0</v>
      </c>
      <c r="N778" s="239">
        <v>0</v>
      </c>
      <c r="O778" s="239">
        <v>0</v>
      </c>
      <c r="P778" s="239">
        <v>0</v>
      </c>
      <c r="Q778" s="239">
        <v>0</v>
      </c>
      <c r="R778" s="239">
        <v>0</v>
      </c>
      <c r="S778" s="239">
        <v>0</v>
      </c>
      <c r="T778" s="239">
        <v>0</v>
      </c>
      <c r="U778" s="239">
        <v>0</v>
      </c>
      <c r="V778" s="239">
        <v>0</v>
      </c>
      <c r="W778" s="239">
        <v>0</v>
      </c>
      <c r="X778" s="239">
        <v>0</v>
      </c>
      <c r="Y778" s="239">
        <v>323.06</v>
      </c>
      <c r="Z778" s="239">
        <v>0</v>
      </c>
      <c r="AA778" s="239">
        <v>0</v>
      </c>
      <c r="AB778" s="239">
        <v>103.57</v>
      </c>
      <c r="AC778" s="239">
        <v>0</v>
      </c>
      <c r="AD778" s="239">
        <v>0</v>
      </c>
      <c r="AE778" s="239" t="s">
        <v>19</v>
      </c>
      <c r="AF778" s="239" t="s">
        <v>718</v>
      </c>
      <c r="AG778" s="239">
        <f t="shared" si="62"/>
        <v>0</v>
      </c>
      <c r="AH778" s="239">
        <f t="shared" si="63"/>
        <v>0</v>
      </c>
      <c r="AI778" s="239">
        <f t="shared" si="64"/>
        <v>0</v>
      </c>
      <c r="AJ778" s="239">
        <f t="shared" si="65"/>
        <v>0</v>
      </c>
    </row>
    <row r="779" spans="1:36" x14ac:dyDescent="0.2">
      <c r="A779" s="240" t="str">
        <f t="shared" si="66"/>
        <v>2SYCF100PCX830</v>
      </c>
      <c r="B779" s="239" t="s">
        <v>19</v>
      </c>
      <c r="C779" s="239" t="s">
        <v>28</v>
      </c>
      <c r="D779" s="239" t="s">
        <v>2537</v>
      </c>
      <c r="E779" s="239" t="s">
        <v>2538</v>
      </c>
      <c r="F779" s="239" t="s">
        <v>2549</v>
      </c>
      <c r="G779" s="239">
        <v>30</v>
      </c>
      <c r="H779" s="239" t="s">
        <v>928</v>
      </c>
      <c r="I779" s="239" t="s">
        <v>2484</v>
      </c>
      <c r="J779" s="239" t="s">
        <v>928</v>
      </c>
      <c r="K779" s="239" t="s">
        <v>2398</v>
      </c>
      <c r="L779" s="239">
        <v>485.36</v>
      </c>
      <c r="M779" s="239">
        <v>0</v>
      </c>
      <c r="N779" s="239">
        <v>0</v>
      </c>
      <c r="O779" s="239">
        <v>0</v>
      </c>
      <c r="P779" s="239">
        <v>0</v>
      </c>
      <c r="Q779" s="239">
        <v>0</v>
      </c>
      <c r="R779" s="239">
        <v>0</v>
      </c>
      <c r="S779" s="239">
        <v>0</v>
      </c>
      <c r="T779" s="239">
        <v>0</v>
      </c>
      <c r="U779" s="239">
        <v>0</v>
      </c>
      <c r="V779" s="239">
        <v>0</v>
      </c>
      <c r="W779" s="239">
        <v>0</v>
      </c>
      <c r="X779" s="239">
        <v>0</v>
      </c>
      <c r="Y779" s="239">
        <v>334.51</v>
      </c>
      <c r="Z779" s="239">
        <v>0</v>
      </c>
      <c r="AA779" s="239">
        <v>0</v>
      </c>
      <c r="AB779" s="239">
        <v>150.85</v>
      </c>
      <c r="AC779" s="239">
        <v>0</v>
      </c>
      <c r="AD779" s="239">
        <v>0</v>
      </c>
      <c r="AE779" s="239" t="s">
        <v>19</v>
      </c>
      <c r="AF779" s="239" t="s">
        <v>718</v>
      </c>
      <c r="AG779" s="239">
        <f t="shared" si="62"/>
        <v>0</v>
      </c>
      <c r="AH779" s="239">
        <f t="shared" si="63"/>
        <v>0</v>
      </c>
      <c r="AI779" s="239">
        <f t="shared" si="64"/>
        <v>0</v>
      </c>
      <c r="AJ779" s="239">
        <f t="shared" si="65"/>
        <v>0</v>
      </c>
    </row>
    <row r="780" spans="1:36" x14ac:dyDescent="0.2">
      <c r="A780" s="240" t="str">
        <f t="shared" si="66"/>
        <v>SYCF100PCX830</v>
      </c>
      <c r="B780" s="239" t="s">
        <v>19</v>
      </c>
      <c r="C780" s="239" t="s">
        <v>28</v>
      </c>
      <c r="D780" s="239" t="s">
        <v>2537</v>
      </c>
      <c r="E780" s="239" t="s">
        <v>2538</v>
      </c>
      <c r="F780" s="239" t="s">
        <v>2549</v>
      </c>
      <c r="G780" s="239">
        <v>30</v>
      </c>
      <c r="H780" s="239" t="s">
        <v>928</v>
      </c>
      <c r="I780" s="239" t="s">
        <v>928</v>
      </c>
      <c r="J780" s="239" t="s">
        <v>928</v>
      </c>
      <c r="K780" s="239" t="s">
        <v>2398</v>
      </c>
      <c r="L780" s="239">
        <v>485.36</v>
      </c>
      <c r="M780" s="239">
        <v>0</v>
      </c>
      <c r="N780" s="239">
        <v>0</v>
      </c>
      <c r="O780" s="239">
        <v>0</v>
      </c>
      <c r="P780" s="239">
        <v>0</v>
      </c>
      <c r="Q780" s="239">
        <v>0</v>
      </c>
      <c r="R780" s="239">
        <v>0</v>
      </c>
      <c r="S780" s="239">
        <v>0</v>
      </c>
      <c r="T780" s="239">
        <v>0</v>
      </c>
      <c r="U780" s="239">
        <v>0</v>
      </c>
      <c r="V780" s="239">
        <v>0</v>
      </c>
      <c r="W780" s="239">
        <v>0</v>
      </c>
      <c r="X780" s="239">
        <v>0</v>
      </c>
      <c r="Y780" s="239">
        <v>334.51</v>
      </c>
      <c r="Z780" s="239">
        <v>0</v>
      </c>
      <c r="AA780" s="239">
        <v>0</v>
      </c>
      <c r="AB780" s="239">
        <v>150.85</v>
      </c>
      <c r="AC780" s="239">
        <v>0</v>
      </c>
      <c r="AD780" s="239">
        <v>0</v>
      </c>
      <c r="AE780" s="239" t="s">
        <v>19</v>
      </c>
      <c r="AF780" s="239" t="s">
        <v>718</v>
      </c>
      <c r="AG780" s="239">
        <f t="shared" si="62"/>
        <v>0</v>
      </c>
      <c r="AH780" s="239">
        <f t="shared" si="63"/>
        <v>0</v>
      </c>
      <c r="AI780" s="239">
        <f t="shared" si="64"/>
        <v>0</v>
      </c>
      <c r="AJ780" s="239">
        <f t="shared" si="65"/>
        <v>0</v>
      </c>
    </row>
    <row r="781" spans="1:36" x14ac:dyDescent="0.2">
      <c r="A781" s="240" t="str">
        <f t="shared" si="66"/>
        <v>2SYCF10P7601A30</v>
      </c>
      <c r="B781" s="239" t="s">
        <v>19</v>
      </c>
      <c r="C781" s="239" t="s">
        <v>28</v>
      </c>
      <c r="D781" s="239" t="s">
        <v>2550</v>
      </c>
      <c r="E781" s="239" t="s">
        <v>2538</v>
      </c>
      <c r="F781" s="239" t="s">
        <v>2551</v>
      </c>
      <c r="G781" s="239">
        <v>30</v>
      </c>
      <c r="H781" s="239" t="s">
        <v>928</v>
      </c>
      <c r="I781" s="239" t="s">
        <v>2484</v>
      </c>
      <c r="J781" s="239" t="s">
        <v>928</v>
      </c>
      <c r="K781" s="239" t="s">
        <v>2398</v>
      </c>
      <c r="L781" s="239">
        <v>464.53</v>
      </c>
      <c r="M781" s="239">
        <v>0</v>
      </c>
      <c r="N781" s="239">
        <v>0</v>
      </c>
      <c r="O781" s="239">
        <v>0</v>
      </c>
      <c r="P781" s="239">
        <v>0</v>
      </c>
      <c r="Q781" s="239">
        <v>0</v>
      </c>
      <c r="R781" s="239">
        <v>0</v>
      </c>
      <c r="S781" s="239">
        <v>0</v>
      </c>
      <c r="T781" s="239">
        <v>0</v>
      </c>
      <c r="U781" s="239">
        <v>0</v>
      </c>
      <c r="V781" s="239">
        <v>0</v>
      </c>
      <c r="W781" s="239">
        <v>0</v>
      </c>
      <c r="X781" s="239">
        <v>0</v>
      </c>
      <c r="Y781" s="239">
        <v>325.64</v>
      </c>
      <c r="Z781" s="239">
        <v>0</v>
      </c>
      <c r="AA781" s="239">
        <v>0</v>
      </c>
      <c r="AB781" s="239">
        <v>138.88999999999999</v>
      </c>
      <c r="AC781" s="239">
        <v>0</v>
      </c>
      <c r="AD781" s="239">
        <v>0</v>
      </c>
      <c r="AE781" s="239" t="s">
        <v>19</v>
      </c>
      <c r="AF781" s="239" t="s">
        <v>718</v>
      </c>
      <c r="AG781" s="239">
        <f t="shared" si="62"/>
        <v>0</v>
      </c>
      <c r="AH781" s="239">
        <f t="shared" si="63"/>
        <v>0</v>
      </c>
      <c r="AI781" s="239">
        <f t="shared" si="64"/>
        <v>0</v>
      </c>
      <c r="AJ781" s="239">
        <f t="shared" si="65"/>
        <v>0</v>
      </c>
    </row>
    <row r="782" spans="1:36" x14ac:dyDescent="0.2">
      <c r="A782" s="240" t="str">
        <f t="shared" si="66"/>
        <v>SYCF10P7601A30</v>
      </c>
      <c r="B782" s="239" t="s">
        <v>19</v>
      </c>
      <c r="C782" s="239" t="s">
        <v>28</v>
      </c>
      <c r="D782" s="239" t="s">
        <v>2550</v>
      </c>
      <c r="E782" s="239" t="s">
        <v>2538</v>
      </c>
      <c r="F782" s="239" t="s">
        <v>2551</v>
      </c>
      <c r="G782" s="239">
        <v>30</v>
      </c>
      <c r="H782" s="239" t="s">
        <v>928</v>
      </c>
      <c r="I782" s="239" t="s">
        <v>928</v>
      </c>
      <c r="J782" s="239" t="s">
        <v>928</v>
      </c>
      <c r="K782" s="239" t="s">
        <v>2398</v>
      </c>
      <c r="L782" s="239">
        <v>464.53</v>
      </c>
      <c r="M782" s="239">
        <v>0</v>
      </c>
      <c r="N782" s="239">
        <v>0</v>
      </c>
      <c r="O782" s="239">
        <v>0</v>
      </c>
      <c r="P782" s="239">
        <v>0</v>
      </c>
      <c r="Q782" s="239">
        <v>0</v>
      </c>
      <c r="R782" s="239">
        <v>0</v>
      </c>
      <c r="S782" s="239">
        <v>0</v>
      </c>
      <c r="T782" s="239">
        <v>0</v>
      </c>
      <c r="U782" s="239">
        <v>0</v>
      </c>
      <c r="V782" s="239">
        <v>0</v>
      </c>
      <c r="W782" s="239">
        <v>0</v>
      </c>
      <c r="X782" s="239">
        <v>0</v>
      </c>
      <c r="Y782" s="239">
        <v>325.64</v>
      </c>
      <c r="Z782" s="239">
        <v>0</v>
      </c>
      <c r="AA782" s="239">
        <v>0</v>
      </c>
      <c r="AB782" s="239">
        <v>138.88999999999999</v>
      </c>
      <c r="AC782" s="239">
        <v>0</v>
      </c>
      <c r="AD782" s="239">
        <v>0</v>
      </c>
      <c r="AE782" s="239" t="s">
        <v>19</v>
      </c>
      <c r="AF782" s="239" t="s">
        <v>718</v>
      </c>
      <c r="AG782" s="239">
        <f t="shared" si="62"/>
        <v>0</v>
      </c>
      <c r="AH782" s="239">
        <f t="shared" si="63"/>
        <v>0</v>
      </c>
      <c r="AI782" s="239">
        <f t="shared" si="64"/>
        <v>0</v>
      </c>
      <c r="AJ782" s="239">
        <f t="shared" si="65"/>
        <v>0</v>
      </c>
    </row>
    <row r="783" spans="1:36" x14ac:dyDescent="0.2">
      <c r="A783" s="240" t="str">
        <f t="shared" si="66"/>
        <v>2SYCF10P7601EB30</v>
      </c>
      <c r="B783" s="239" t="s">
        <v>19</v>
      </c>
      <c r="C783" s="239" t="s">
        <v>28</v>
      </c>
      <c r="D783" s="239" t="s">
        <v>2550</v>
      </c>
      <c r="E783" s="239" t="s">
        <v>2538</v>
      </c>
      <c r="F783" s="239" t="s">
        <v>2555</v>
      </c>
      <c r="G783" s="239">
        <v>30</v>
      </c>
      <c r="H783" s="239" t="s">
        <v>928</v>
      </c>
      <c r="I783" s="239" t="s">
        <v>2484</v>
      </c>
      <c r="J783" s="239" t="s">
        <v>928</v>
      </c>
      <c r="K783" s="239" t="s">
        <v>2398</v>
      </c>
      <c r="L783" s="239">
        <v>474.03</v>
      </c>
      <c r="M783" s="239">
        <v>0</v>
      </c>
      <c r="N783" s="239">
        <v>0</v>
      </c>
      <c r="O783" s="239">
        <v>0</v>
      </c>
      <c r="P783" s="239">
        <v>0</v>
      </c>
      <c r="Q783" s="239">
        <v>0</v>
      </c>
      <c r="R783" s="239">
        <v>0</v>
      </c>
      <c r="S783" s="239">
        <v>0</v>
      </c>
      <c r="T783" s="239">
        <v>0</v>
      </c>
      <c r="U783" s="239">
        <v>0</v>
      </c>
      <c r="V783" s="239">
        <v>0</v>
      </c>
      <c r="W783" s="239">
        <v>0</v>
      </c>
      <c r="X783" s="239">
        <v>0</v>
      </c>
      <c r="Y783" s="239">
        <v>317.19</v>
      </c>
      <c r="Z783" s="239">
        <v>0</v>
      </c>
      <c r="AA783" s="239">
        <v>0</v>
      </c>
      <c r="AB783" s="239">
        <v>156.84</v>
      </c>
      <c r="AC783" s="239">
        <v>0</v>
      </c>
      <c r="AD783" s="239">
        <v>0</v>
      </c>
      <c r="AE783" s="239" t="s">
        <v>19</v>
      </c>
      <c r="AF783" s="239" t="s">
        <v>718</v>
      </c>
      <c r="AG783" s="239">
        <f t="shared" si="62"/>
        <v>0</v>
      </c>
      <c r="AH783" s="239">
        <f t="shared" si="63"/>
        <v>0</v>
      </c>
      <c r="AI783" s="239">
        <f t="shared" si="64"/>
        <v>0</v>
      </c>
      <c r="AJ783" s="239">
        <f t="shared" si="65"/>
        <v>0</v>
      </c>
    </row>
    <row r="784" spans="1:36" x14ac:dyDescent="0.2">
      <c r="A784" s="240" t="str">
        <f t="shared" si="66"/>
        <v>SYCF10P7601EB30</v>
      </c>
      <c r="B784" s="239" t="s">
        <v>19</v>
      </c>
      <c r="C784" s="239" t="s">
        <v>28</v>
      </c>
      <c r="D784" s="239" t="s">
        <v>2550</v>
      </c>
      <c r="E784" s="239" t="s">
        <v>2538</v>
      </c>
      <c r="F784" s="239" t="s">
        <v>2555</v>
      </c>
      <c r="G784" s="239">
        <v>30</v>
      </c>
      <c r="H784" s="239" t="s">
        <v>928</v>
      </c>
      <c r="I784" s="239" t="s">
        <v>928</v>
      </c>
      <c r="J784" s="239" t="s">
        <v>928</v>
      </c>
      <c r="K784" s="239" t="s">
        <v>2398</v>
      </c>
      <c r="L784" s="239">
        <v>474.03</v>
      </c>
      <c r="M784" s="239">
        <v>0</v>
      </c>
      <c r="N784" s="239">
        <v>0</v>
      </c>
      <c r="O784" s="239">
        <v>0</v>
      </c>
      <c r="P784" s="239">
        <v>0</v>
      </c>
      <c r="Q784" s="239">
        <v>0</v>
      </c>
      <c r="R784" s="239">
        <v>0</v>
      </c>
      <c r="S784" s="239">
        <v>0</v>
      </c>
      <c r="T784" s="239">
        <v>0</v>
      </c>
      <c r="U784" s="239">
        <v>0</v>
      </c>
      <c r="V784" s="239">
        <v>0</v>
      </c>
      <c r="W784" s="239">
        <v>0</v>
      </c>
      <c r="X784" s="239">
        <v>0</v>
      </c>
      <c r="Y784" s="239">
        <v>317.19</v>
      </c>
      <c r="Z784" s="239">
        <v>0</v>
      </c>
      <c r="AA784" s="239">
        <v>0</v>
      </c>
      <c r="AB784" s="239">
        <v>156.84</v>
      </c>
      <c r="AC784" s="239">
        <v>0</v>
      </c>
      <c r="AD784" s="239">
        <v>0</v>
      </c>
      <c r="AE784" s="239" t="s">
        <v>19</v>
      </c>
      <c r="AF784" s="239" t="s">
        <v>718</v>
      </c>
      <c r="AG784" s="239">
        <f t="shared" si="62"/>
        <v>0</v>
      </c>
      <c r="AH784" s="239">
        <f t="shared" si="63"/>
        <v>0</v>
      </c>
      <c r="AI784" s="239">
        <f t="shared" si="64"/>
        <v>0</v>
      </c>
      <c r="AJ784" s="239">
        <f t="shared" si="65"/>
        <v>0</v>
      </c>
    </row>
    <row r="785" spans="1:36" x14ac:dyDescent="0.2">
      <c r="A785" s="240" t="str">
        <f t="shared" si="66"/>
        <v>2SYCF10P7601ED30</v>
      </c>
      <c r="B785" s="239" t="s">
        <v>19</v>
      </c>
      <c r="C785" s="239" t="s">
        <v>28</v>
      </c>
      <c r="D785" s="239" t="s">
        <v>2550</v>
      </c>
      <c r="E785" s="239" t="s">
        <v>2538</v>
      </c>
      <c r="F785" s="239" t="s">
        <v>2556</v>
      </c>
      <c r="G785" s="239">
        <v>30</v>
      </c>
      <c r="H785" s="239" t="s">
        <v>928</v>
      </c>
      <c r="I785" s="239" t="s">
        <v>2484</v>
      </c>
      <c r="J785" s="239" t="s">
        <v>928</v>
      </c>
      <c r="K785" s="239" t="s">
        <v>2398</v>
      </c>
      <c r="L785" s="239">
        <v>529.4</v>
      </c>
      <c r="M785" s="239">
        <v>0</v>
      </c>
      <c r="N785" s="239">
        <v>0</v>
      </c>
      <c r="O785" s="239">
        <v>0</v>
      </c>
      <c r="P785" s="239">
        <v>0</v>
      </c>
      <c r="Q785" s="239">
        <v>0</v>
      </c>
      <c r="R785" s="239">
        <v>0</v>
      </c>
      <c r="S785" s="239">
        <v>0</v>
      </c>
      <c r="T785" s="239">
        <v>0</v>
      </c>
      <c r="U785" s="239">
        <v>0</v>
      </c>
      <c r="V785" s="239">
        <v>0</v>
      </c>
      <c r="W785" s="239">
        <v>0</v>
      </c>
      <c r="X785" s="239">
        <v>0</v>
      </c>
      <c r="Y785" s="239">
        <v>349.42</v>
      </c>
      <c r="Z785" s="239">
        <v>0</v>
      </c>
      <c r="AA785" s="239">
        <v>0</v>
      </c>
      <c r="AB785" s="239">
        <v>179.98</v>
      </c>
      <c r="AC785" s="239">
        <v>0</v>
      </c>
      <c r="AD785" s="239">
        <v>0</v>
      </c>
      <c r="AE785" s="239" t="s">
        <v>20</v>
      </c>
      <c r="AF785" s="239" t="s">
        <v>718</v>
      </c>
      <c r="AG785" s="239">
        <f t="shared" si="62"/>
        <v>0</v>
      </c>
      <c r="AH785" s="239">
        <f t="shared" si="63"/>
        <v>0</v>
      </c>
      <c r="AI785" s="239">
        <f t="shared" si="64"/>
        <v>0</v>
      </c>
      <c r="AJ785" s="239">
        <f t="shared" si="65"/>
        <v>0</v>
      </c>
    </row>
    <row r="786" spans="1:36" x14ac:dyDescent="0.2">
      <c r="A786" s="240" t="str">
        <f t="shared" si="66"/>
        <v>SYCF10P7601ED30</v>
      </c>
      <c r="B786" s="239" t="s">
        <v>19</v>
      </c>
      <c r="C786" s="239" t="s">
        <v>28</v>
      </c>
      <c r="D786" s="239" t="s">
        <v>2550</v>
      </c>
      <c r="E786" s="239" t="s">
        <v>2538</v>
      </c>
      <c r="F786" s="239" t="s">
        <v>2556</v>
      </c>
      <c r="G786" s="239">
        <v>30</v>
      </c>
      <c r="H786" s="239" t="s">
        <v>928</v>
      </c>
      <c r="I786" s="239" t="s">
        <v>928</v>
      </c>
      <c r="J786" s="239" t="s">
        <v>928</v>
      </c>
      <c r="K786" s="239" t="s">
        <v>2398</v>
      </c>
      <c r="L786" s="239">
        <v>529.4</v>
      </c>
      <c r="M786" s="239">
        <v>0</v>
      </c>
      <c r="N786" s="239">
        <v>0</v>
      </c>
      <c r="O786" s="239">
        <v>0</v>
      </c>
      <c r="P786" s="239">
        <v>0</v>
      </c>
      <c r="Q786" s="239">
        <v>0</v>
      </c>
      <c r="R786" s="239">
        <v>0</v>
      </c>
      <c r="S786" s="239">
        <v>0</v>
      </c>
      <c r="T786" s="239">
        <v>0</v>
      </c>
      <c r="U786" s="239">
        <v>0</v>
      </c>
      <c r="V786" s="239">
        <v>0</v>
      </c>
      <c r="W786" s="239">
        <v>0</v>
      </c>
      <c r="X786" s="239">
        <v>0</v>
      </c>
      <c r="Y786" s="239">
        <v>349.42</v>
      </c>
      <c r="Z786" s="239">
        <v>0</v>
      </c>
      <c r="AA786" s="239">
        <v>0</v>
      </c>
      <c r="AB786" s="239">
        <v>179.98</v>
      </c>
      <c r="AC786" s="239">
        <v>0</v>
      </c>
      <c r="AD786" s="239">
        <v>0</v>
      </c>
      <c r="AE786" s="239" t="s">
        <v>20</v>
      </c>
      <c r="AF786" s="239" t="s">
        <v>718</v>
      </c>
      <c r="AG786" s="239">
        <f t="shared" si="62"/>
        <v>0</v>
      </c>
      <c r="AH786" s="239">
        <f t="shared" si="63"/>
        <v>0</v>
      </c>
      <c r="AI786" s="239">
        <f t="shared" si="64"/>
        <v>0</v>
      </c>
      <c r="AJ786" s="239">
        <f t="shared" si="65"/>
        <v>0</v>
      </c>
    </row>
    <row r="787" spans="1:36" x14ac:dyDescent="0.2">
      <c r="A787" s="240" t="str">
        <f t="shared" si="66"/>
        <v>2SYCPP395170</v>
      </c>
      <c r="B787" s="239" t="s">
        <v>19</v>
      </c>
      <c r="C787" s="239" t="s">
        <v>28</v>
      </c>
      <c r="D787" s="239" t="s">
        <v>2565</v>
      </c>
      <c r="E787" s="239" t="s">
        <v>2529</v>
      </c>
      <c r="F787" s="239" t="s">
        <v>2571</v>
      </c>
      <c r="G787" s="239">
        <v>70</v>
      </c>
      <c r="H787" s="239" t="s">
        <v>928</v>
      </c>
      <c r="I787" s="239" t="s">
        <v>2484</v>
      </c>
      <c r="J787" s="239" t="s">
        <v>928</v>
      </c>
      <c r="K787" s="239" t="s">
        <v>2398</v>
      </c>
      <c r="L787" s="239">
        <v>371.57</v>
      </c>
      <c r="M787" s="239">
        <v>0</v>
      </c>
      <c r="N787" s="239">
        <v>0</v>
      </c>
      <c r="O787" s="239">
        <v>0</v>
      </c>
      <c r="P787" s="239">
        <v>0</v>
      </c>
      <c r="Q787" s="239">
        <v>0</v>
      </c>
      <c r="R787" s="239">
        <v>0</v>
      </c>
      <c r="S787" s="239">
        <v>0</v>
      </c>
      <c r="T787" s="239">
        <v>0</v>
      </c>
      <c r="U787" s="239">
        <v>0</v>
      </c>
      <c r="V787" s="239">
        <v>0</v>
      </c>
      <c r="W787" s="239">
        <v>0</v>
      </c>
      <c r="X787" s="239">
        <v>0</v>
      </c>
      <c r="Y787" s="239">
        <v>294.58999999999997</v>
      </c>
      <c r="Z787" s="239">
        <v>0</v>
      </c>
      <c r="AA787" s="239">
        <v>0</v>
      </c>
      <c r="AB787" s="239">
        <v>76.98</v>
      </c>
      <c r="AC787" s="239">
        <v>0</v>
      </c>
      <c r="AD787" s="239">
        <v>0</v>
      </c>
      <c r="AE787" s="239" t="s">
        <v>20</v>
      </c>
      <c r="AF787" s="239" t="s">
        <v>718</v>
      </c>
      <c r="AG787" s="239">
        <f t="shared" si="62"/>
        <v>0</v>
      </c>
      <c r="AH787" s="239">
        <f t="shared" si="63"/>
        <v>0</v>
      </c>
      <c r="AI787" s="239">
        <f t="shared" si="64"/>
        <v>0</v>
      </c>
      <c r="AJ787" s="239">
        <f t="shared" si="65"/>
        <v>0</v>
      </c>
    </row>
    <row r="788" spans="1:36" x14ac:dyDescent="0.2">
      <c r="A788" s="240" t="str">
        <f t="shared" si="66"/>
        <v>SYCPP395170</v>
      </c>
      <c r="B788" s="239" t="s">
        <v>19</v>
      </c>
      <c r="C788" s="239" t="s">
        <v>28</v>
      </c>
      <c r="D788" s="239" t="s">
        <v>2565</v>
      </c>
      <c r="E788" s="239" t="s">
        <v>2529</v>
      </c>
      <c r="F788" s="239" t="s">
        <v>2571</v>
      </c>
      <c r="G788" s="239">
        <v>70</v>
      </c>
      <c r="H788" s="239" t="s">
        <v>928</v>
      </c>
      <c r="I788" s="239" t="s">
        <v>928</v>
      </c>
      <c r="J788" s="239" t="s">
        <v>928</v>
      </c>
      <c r="K788" s="239" t="s">
        <v>2398</v>
      </c>
      <c r="L788" s="239">
        <v>371.57</v>
      </c>
      <c r="M788" s="239">
        <v>0</v>
      </c>
      <c r="N788" s="239">
        <v>0</v>
      </c>
      <c r="O788" s="239">
        <v>0</v>
      </c>
      <c r="P788" s="239">
        <v>0</v>
      </c>
      <c r="Q788" s="239">
        <v>0</v>
      </c>
      <c r="R788" s="239">
        <v>0</v>
      </c>
      <c r="S788" s="239">
        <v>0</v>
      </c>
      <c r="T788" s="239">
        <v>0</v>
      </c>
      <c r="U788" s="239">
        <v>0</v>
      </c>
      <c r="V788" s="239">
        <v>0</v>
      </c>
      <c r="W788" s="239">
        <v>0</v>
      </c>
      <c r="X788" s="239">
        <v>0</v>
      </c>
      <c r="Y788" s="239">
        <v>294.58999999999997</v>
      </c>
      <c r="Z788" s="239">
        <v>0</v>
      </c>
      <c r="AA788" s="239">
        <v>0</v>
      </c>
      <c r="AB788" s="239">
        <v>76.98</v>
      </c>
      <c r="AC788" s="239">
        <v>0</v>
      </c>
      <c r="AD788" s="239">
        <v>0</v>
      </c>
      <c r="AE788" s="239" t="s">
        <v>720</v>
      </c>
      <c r="AF788" s="239" t="s">
        <v>721</v>
      </c>
      <c r="AG788" s="239">
        <f t="shared" si="62"/>
        <v>0</v>
      </c>
      <c r="AH788" s="239">
        <f t="shared" si="63"/>
        <v>0</v>
      </c>
      <c r="AI788" s="239">
        <f t="shared" si="64"/>
        <v>0</v>
      </c>
      <c r="AJ788" s="239">
        <f t="shared" si="65"/>
        <v>0</v>
      </c>
    </row>
    <row r="789" spans="1:36" x14ac:dyDescent="0.2">
      <c r="A789" s="240" t="str">
        <f t="shared" si="66"/>
        <v>2SYCPP395180</v>
      </c>
      <c r="B789" s="239" t="s">
        <v>19</v>
      </c>
      <c r="C789" s="239" t="s">
        <v>28</v>
      </c>
      <c r="D789" s="239" t="s">
        <v>2565</v>
      </c>
      <c r="E789" s="239" t="s">
        <v>2529</v>
      </c>
      <c r="F789" s="239" t="s">
        <v>2571</v>
      </c>
      <c r="G789" s="239">
        <v>80</v>
      </c>
      <c r="H789" s="239" t="s">
        <v>928</v>
      </c>
      <c r="I789" s="239" t="s">
        <v>2484</v>
      </c>
      <c r="J789" s="239" t="s">
        <v>928</v>
      </c>
      <c r="K789" s="239" t="s">
        <v>2398</v>
      </c>
      <c r="L789" s="239">
        <v>369.18</v>
      </c>
      <c r="M789" s="239">
        <v>0</v>
      </c>
      <c r="N789" s="239">
        <v>0</v>
      </c>
      <c r="O789" s="239">
        <v>0</v>
      </c>
      <c r="P789" s="239">
        <v>0</v>
      </c>
      <c r="Q789" s="239">
        <v>0</v>
      </c>
      <c r="R789" s="239">
        <v>0</v>
      </c>
      <c r="S789" s="239">
        <v>0</v>
      </c>
      <c r="T789" s="239">
        <v>0</v>
      </c>
      <c r="U789" s="239">
        <v>0</v>
      </c>
      <c r="V789" s="239">
        <v>0</v>
      </c>
      <c r="W789" s="239">
        <v>0</v>
      </c>
      <c r="X789" s="239">
        <v>0</v>
      </c>
      <c r="Y789" s="239">
        <v>294.55</v>
      </c>
      <c r="Z789" s="239">
        <v>0</v>
      </c>
      <c r="AA789" s="239">
        <v>0</v>
      </c>
      <c r="AB789" s="239">
        <v>74.63</v>
      </c>
      <c r="AC789" s="239">
        <v>0</v>
      </c>
      <c r="AD789" s="239">
        <v>0</v>
      </c>
      <c r="AE789" s="239" t="s">
        <v>720</v>
      </c>
      <c r="AF789" s="239" t="s">
        <v>721</v>
      </c>
      <c r="AG789" s="239">
        <f t="shared" si="62"/>
        <v>0</v>
      </c>
      <c r="AH789" s="239">
        <f t="shared" si="63"/>
        <v>0</v>
      </c>
      <c r="AI789" s="239">
        <f t="shared" si="64"/>
        <v>0</v>
      </c>
      <c r="AJ789" s="239">
        <f t="shared" si="65"/>
        <v>0</v>
      </c>
    </row>
    <row r="790" spans="1:36" x14ac:dyDescent="0.2">
      <c r="A790" s="240" t="str">
        <f t="shared" si="66"/>
        <v>SYCPP395180</v>
      </c>
      <c r="B790" s="239" t="s">
        <v>19</v>
      </c>
      <c r="C790" s="239" t="s">
        <v>28</v>
      </c>
      <c r="D790" s="239" t="s">
        <v>2565</v>
      </c>
      <c r="E790" s="239" t="s">
        <v>2529</v>
      </c>
      <c r="F790" s="239" t="s">
        <v>2571</v>
      </c>
      <c r="G790" s="239">
        <v>80</v>
      </c>
      <c r="H790" s="239" t="s">
        <v>928</v>
      </c>
      <c r="I790" s="239" t="s">
        <v>928</v>
      </c>
      <c r="J790" s="239" t="s">
        <v>928</v>
      </c>
      <c r="K790" s="239" t="s">
        <v>2398</v>
      </c>
      <c r="L790" s="239">
        <v>369.18</v>
      </c>
      <c r="M790" s="239">
        <v>0</v>
      </c>
      <c r="N790" s="239">
        <v>0</v>
      </c>
      <c r="O790" s="239">
        <v>0</v>
      </c>
      <c r="P790" s="239">
        <v>0</v>
      </c>
      <c r="Q790" s="239">
        <v>0</v>
      </c>
      <c r="R790" s="239">
        <v>0</v>
      </c>
      <c r="S790" s="239">
        <v>0</v>
      </c>
      <c r="T790" s="239">
        <v>0</v>
      </c>
      <c r="U790" s="239">
        <v>0</v>
      </c>
      <c r="V790" s="239">
        <v>0</v>
      </c>
      <c r="W790" s="239">
        <v>0</v>
      </c>
      <c r="X790" s="239">
        <v>0</v>
      </c>
      <c r="Y790" s="239">
        <v>294.55</v>
      </c>
      <c r="Z790" s="239">
        <v>0</v>
      </c>
      <c r="AA790" s="239">
        <v>0</v>
      </c>
      <c r="AB790" s="239">
        <v>74.63</v>
      </c>
      <c r="AC790" s="239">
        <v>0</v>
      </c>
      <c r="AD790" s="239">
        <v>0</v>
      </c>
      <c r="AE790" s="239" t="s">
        <v>720</v>
      </c>
      <c r="AF790" s="239" t="s">
        <v>721</v>
      </c>
      <c r="AG790" s="239">
        <f t="shared" si="62"/>
        <v>0</v>
      </c>
      <c r="AH790" s="239">
        <f t="shared" si="63"/>
        <v>0</v>
      </c>
      <c r="AI790" s="239">
        <f t="shared" si="64"/>
        <v>0</v>
      </c>
      <c r="AJ790" s="239">
        <f t="shared" si="65"/>
        <v>0</v>
      </c>
    </row>
    <row r="791" spans="1:36" x14ac:dyDescent="0.2">
      <c r="A791" s="240" t="str">
        <f t="shared" si="66"/>
        <v>2SYCPP3951100</v>
      </c>
      <c r="B791" s="239" t="s">
        <v>19</v>
      </c>
      <c r="C791" s="239" t="s">
        <v>28</v>
      </c>
      <c r="D791" s="239" t="s">
        <v>2565</v>
      </c>
      <c r="E791" s="239" t="s">
        <v>2529</v>
      </c>
      <c r="F791" s="239" t="s">
        <v>2571</v>
      </c>
      <c r="G791" s="239">
        <v>100</v>
      </c>
      <c r="H791" s="239" t="s">
        <v>928</v>
      </c>
      <c r="I791" s="239" t="s">
        <v>2484</v>
      </c>
      <c r="J791" s="239" t="s">
        <v>928</v>
      </c>
      <c r="K791" s="239" t="s">
        <v>2398</v>
      </c>
      <c r="L791" s="239">
        <v>488.16</v>
      </c>
      <c r="M791" s="239">
        <v>0</v>
      </c>
      <c r="N791" s="239">
        <v>0</v>
      </c>
      <c r="O791" s="239">
        <v>0</v>
      </c>
      <c r="P791" s="239">
        <v>0</v>
      </c>
      <c r="Q791" s="239">
        <v>0</v>
      </c>
      <c r="R791" s="239">
        <v>0</v>
      </c>
      <c r="S791" s="239">
        <v>0</v>
      </c>
      <c r="T791" s="239">
        <v>0</v>
      </c>
      <c r="U791" s="239">
        <v>0</v>
      </c>
      <c r="V791" s="239">
        <v>0</v>
      </c>
      <c r="W791" s="239">
        <v>0</v>
      </c>
      <c r="X791" s="239">
        <v>0</v>
      </c>
      <c r="Y791" s="239">
        <v>355.59</v>
      </c>
      <c r="Z791" s="239">
        <v>0</v>
      </c>
      <c r="AA791" s="239">
        <v>0</v>
      </c>
      <c r="AB791" s="239">
        <v>132.56</v>
      </c>
      <c r="AC791" s="239">
        <v>0</v>
      </c>
      <c r="AD791" s="239">
        <v>0</v>
      </c>
      <c r="AE791" s="239" t="s">
        <v>720</v>
      </c>
      <c r="AF791" s="239" t="s">
        <v>721</v>
      </c>
      <c r="AG791" s="239">
        <f t="shared" si="62"/>
        <v>0</v>
      </c>
      <c r="AH791" s="239">
        <f t="shared" si="63"/>
        <v>0</v>
      </c>
      <c r="AI791" s="239">
        <f t="shared" si="64"/>
        <v>0</v>
      </c>
      <c r="AJ791" s="239">
        <f t="shared" si="65"/>
        <v>0</v>
      </c>
    </row>
    <row r="792" spans="1:36" x14ac:dyDescent="0.2">
      <c r="A792" s="240" t="str">
        <f t="shared" si="66"/>
        <v>SYCPP3951100</v>
      </c>
      <c r="B792" s="239" t="s">
        <v>19</v>
      </c>
      <c r="C792" s="239" t="s">
        <v>28</v>
      </c>
      <c r="D792" s="239" t="s">
        <v>2565</v>
      </c>
      <c r="E792" s="239" t="s">
        <v>2529</v>
      </c>
      <c r="F792" s="239" t="s">
        <v>2571</v>
      </c>
      <c r="G792" s="239">
        <v>100</v>
      </c>
      <c r="H792" s="239" t="s">
        <v>928</v>
      </c>
      <c r="I792" s="239" t="s">
        <v>928</v>
      </c>
      <c r="J792" s="239" t="s">
        <v>928</v>
      </c>
      <c r="K792" s="239" t="s">
        <v>2398</v>
      </c>
      <c r="L792" s="239">
        <v>488.16</v>
      </c>
      <c r="M792" s="239">
        <v>0</v>
      </c>
      <c r="N792" s="239">
        <v>0</v>
      </c>
      <c r="O792" s="239">
        <v>0</v>
      </c>
      <c r="P792" s="239">
        <v>0</v>
      </c>
      <c r="Q792" s="239">
        <v>0</v>
      </c>
      <c r="R792" s="239">
        <v>0</v>
      </c>
      <c r="S792" s="239">
        <v>0</v>
      </c>
      <c r="T792" s="239">
        <v>0</v>
      </c>
      <c r="U792" s="239">
        <v>0</v>
      </c>
      <c r="V792" s="239">
        <v>0</v>
      </c>
      <c r="W792" s="239">
        <v>0</v>
      </c>
      <c r="X792" s="239">
        <v>0</v>
      </c>
      <c r="Y792" s="239">
        <v>355.59</v>
      </c>
      <c r="Z792" s="239">
        <v>0</v>
      </c>
      <c r="AA792" s="239">
        <v>0</v>
      </c>
      <c r="AB792" s="239">
        <v>132.56</v>
      </c>
      <c r="AC792" s="239">
        <v>0</v>
      </c>
      <c r="AD792" s="239">
        <v>0</v>
      </c>
      <c r="AE792" s="239" t="s">
        <v>720</v>
      </c>
      <c r="AF792" s="239" t="s">
        <v>721</v>
      </c>
      <c r="AG792" s="239">
        <f t="shared" si="62"/>
        <v>0</v>
      </c>
      <c r="AH792" s="239">
        <f t="shared" si="63"/>
        <v>0</v>
      </c>
      <c r="AI792" s="239">
        <f t="shared" si="64"/>
        <v>0</v>
      </c>
      <c r="AJ792" s="239">
        <f t="shared" si="65"/>
        <v>0</v>
      </c>
    </row>
    <row r="793" spans="1:36" x14ac:dyDescent="0.2">
      <c r="A793" s="240" t="str">
        <f t="shared" si="66"/>
        <v>2SYCPPZK10050</v>
      </c>
      <c r="B793" s="239" t="s">
        <v>19</v>
      </c>
      <c r="C793" s="239" t="s">
        <v>28</v>
      </c>
      <c r="D793" s="239" t="s">
        <v>2565</v>
      </c>
      <c r="E793" s="239" t="s">
        <v>2529</v>
      </c>
      <c r="F793" s="239" t="s">
        <v>2573</v>
      </c>
      <c r="G793" s="239">
        <v>50</v>
      </c>
      <c r="H793" s="239" t="s">
        <v>928</v>
      </c>
      <c r="I793" s="239" t="s">
        <v>2484</v>
      </c>
      <c r="J793" s="239" t="s">
        <v>928</v>
      </c>
      <c r="K793" s="239" t="s">
        <v>2398</v>
      </c>
      <c r="L793" s="239">
        <v>337.58</v>
      </c>
      <c r="M793" s="239">
        <v>0</v>
      </c>
      <c r="N793" s="239">
        <v>0</v>
      </c>
      <c r="O793" s="239">
        <v>0</v>
      </c>
      <c r="P793" s="239">
        <v>0</v>
      </c>
      <c r="Q793" s="239">
        <v>0</v>
      </c>
      <c r="R793" s="239">
        <v>0</v>
      </c>
      <c r="S793" s="239">
        <v>0</v>
      </c>
      <c r="T793" s="239">
        <v>0</v>
      </c>
      <c r="U793" s="239">
        <v>0</v>
      </c>
      <c r="V793" s="239">
        <v>0</v>
      </c>
      <c r="W793" s="239">
        <v>0</v>
      </c>
      <c r="X793" s="239">
        <v>0</v>
      </c>
      <c r="Y793" s="239">
        <v>279.76</v>
      </c>
      <c r="Z793" s="239">
        <v>0</v>
      </c>
      <c r="AA793" s="239">
        <v>0</v>
      </c>
      <c r="AB793" s="239">
        <v>57.82</v>
      </c>
      <c r="AC793" s="239">
        <v>0</v>
      </c>
      <c r="AD793" s="239">
        <v>0</v>
      </c>
      <c r="AE793" s="239" t="s">
        <v>720</v>
      </c>
      <c r="AF793" s="239" t="s">
        <v>721</v>
      </c>
      <c r="AG793" s="239">
        <f t="shared" si="62"/>
        <v>0</v>
      </c>
      <c r="AH793" s="239">
        <f t="shared" si="63"/>
        <v>0</v>
      </c>
      <c r="AI793" s="239">
        <f t="shared" si="64"/>
        <v>0</v>
      </c>
      <c r="AJ793" s="239">
        <f t="shared" si="65"/>
        <v>0</v>
      </c>
    </row>
    <row r="794" spans="1:36" x14ac:dyDescent="0.2">
      <c r="A794" s="240" t="str">
        <f t="shared" si="66"/>
        <v>SYCPPZK10050</v>
      </c>
      <c r="B794" s="239" t="s">
        <v>19</v>
      </c>
      <c r="C794" s="239" t="s">
        <v>28</v>
      </c>
      <c r="D794" s="239" t="s">
        <v>2565</v>
      </c>
      <c r="E794" s="239" t="s">
        <v>2529</v>
      </c>
      <c r="F794" s="239" t="s">
        <v>2573</v>
      </c>
      <c r="G794" s="239">
        <v>50</v>
      </c>
      <c r="H794" s="239" t="s">
        <v>928</v>
      </c>
      <c r="I794" s="239" t="s">
        <v>928</v>
      </c>
      <c r="J794" s="239" t="s">
        <v>928</v>
      </c>
      <c r="K794" s="239" t="s">
        <v>2398</v>
      </c>
      <c r="L794" s="239">
        <v>337.58</v>
      </c>
      <c r="M794" s="239">
        <v>0</v>
      </c>
      <c r="N794" s="239">
        <v>0</v>
      </c>
      <c r="O794" s="239">
        <v>0</v>
      </c>
      <c r="P794" s="239">
        <v>0</v>
      </c>
      <c r="Q794" s="239">
        <v>0</v>
      </c>
      <c r="R794" s="239">
        <v>0</v>
      </c>
      <c r="S794" s="239">
        <v>0</v>
      </c>
      <c r="T794" s="239">
        <v>0</v>
      </c>
      <c r="U794" s="239">
        <v>0</v>
      </c>
      <c r="V794" s="239">
        <v>0</v>
      </c>
      <c r="W794" s="239">
        <v>0</v>
      </c>
      <c r="X794" s="239">
        <v>0</v>
      </c>
      <c r="Y794" s="239">
        <v>279.76</v>
      </c>
      <c r="Z794" s="239">
        <v>0</v>
      </c>
      <c r="AA794" s="239">
        <v>0</v>
      </c>
      <c r="AB794" s="239">
        <v>57.82</v>
      </c>
      <c r="AC794" s="239">
        <v>0</v>
      </c>
      <c r="AD794" s="239">
        <v>0</v>
      </c>
      <c r="AE794" s="239" t="s">
        <v>720</v>
      </c>
      <c r="AF794" s="239" t="s">
        <v>721</v>
      </c>
      <c r="AG794" s="239">
        <f t="shared" si="62"/>
        <v>0</v>
      </c>
      <c r="AH794" s="239">
        <f t="shared" si="63"/>
        <v>0</v>
      </c>
      <c r="AI794" s="239">
        <f t="shared" si="64"/>
        <v>0</v>
      </c>
      <c r="AJ794" s="239">
        <f t="shared" si="65"/>
        <v>0</v>
      </c>
    </row>
    <row r="795" spans="1:36" x14ac:dyDescent="0.2">
      <c r="A795" s="240" t="str">
        <f t="shared" si="66"/>
        <v>2SYCPPZK10060</v>
      </c>
      <c r="B795" s="239" t="s">
        <v>19</v>
      </c>
      <c r="C795" s="239" t="s">
        <v>28</v>
      </c>
      <c r="D795" s="239" t="s">
        <v>2565</v>
      </c>
      <c r="E795" s="239" t="s">
        <v>2529</v>
      </c>
      <c r="F795" s="239" t="s">
        <v>2573</v>
      </c>
      <c r="G795" s="239">
        <v>60</v>
      </c>
      <c r="H795" s="239" t="s">
        <v>928</v>
      </c>
      <c r="I795" s="239" t="s">
        <v>2484</v>
      </c>
      <c r="J795" s="239" t="s">
        <v>928</v>
      </c>
      <c r="K795" s="239" t="s">
        <v>2398</v>
      </c>
      <c r="L795" s="239">
        <v>333.15</v>
      </c>
      <c r="M795" s="239">
        <v>0</v>
      </c>
      <c r="N795" s="239">
        <v>0</v>
      </c>
      <c r="O795" s="239">
        <v>0</v>
      </c>
      <c r="P795" s="239">
        <v>0</v>
      </c>
      <c r="Q795" s="239">
        <v>0</v>
      </c>
      <c r="R795" s="239">
        <v>0</v>
      </c>
      <c r="S795" s="239">
        <v>0</v>
      </c>
      <c r="T795" s="239">
        <v>0</v>
      </c>
      <c r="U795" s="239">
        <v>0</v>
      </c>
      <c r="V795" s="239">
        <v>0</v>
      </c>
      <c r="W795" s="239">
        <v>0</v>
      </c>
      <c r="X795" s="239">
        <v>0</v>
      </c>
      <c r="Y795" s="239">
        <v>280.33</v>
      </c>
      <c r="Z795" s="239">
        <v>0</v>
      </c>
      <c r="AA795" s="239">
        <v>0</v>
      </c>
      <c r="AB795" s="239">
        <v>52.82</v>
      </c>
      <c r="AC795" s="239">
        <v>0</v>
      </c>
      <c r="AD795" s="239">
        <v>0</v>
      </c>
      <c r="AE795" s="239" t="s">
        <v>720</v>
      </c>
      <c r="AF795" s="239" t="s">
        <v>721</v>
      </c>
      <c r="AG795" s="239">
        <f t="shared" si="62"/>
        <v>0</v>
      </c>
      <c r="AH795" s="239">
        <f t="shared" si="63"/>
        <v>0</v>
      </c>
      <c r="AI795" s="239">
        <f t="shared" si="64"/>
        <v>0</v>
      </c>
      <c r="AJ795" s="239">
        <f t="shared" si="65"/>
        <v>0</v>
      </c>
    </row>
    <row r="796" spans="1:36" x14ac:dyDescent="0.2">
      <c r="A796" s="240" t="str">
        <f t="shared" si="66"/>
        <v>SYCPPZK10060</v>
      </c>
      <c r="B796" s="239" t="s">
        <v>19</v>
      </c>
      <c r="C796" s="239" t="s">
        <v>28</v>
      </c>
      <c r="D796" s="239" t="s">
        <v>2565</v>
      </c>
      <c r="E796" s="239" t="s">
        <v>2529</v>
      </c>
      <c r="F796" s="239" t="s">
        <v>2573</v>
      </c>
      <c r="G796" s="239">
        <v>60</v>
      </c>
      <c r="H796" s="239" t="s">
        <v>928</v>
      </c>
      <c r="I796" s="239" t="s">
        <v>928</v>
      </c>
      <c r="J796" s="239" t="s">
        <v>928</v>
      </c>
      <c r="K796" s="239" t="s">
        <v>2398</v>
      </c>
      <c r="L796" s="239">
        <v>333.15</v>
      </c>
      <c r="M796" s="239">
        <v>0</v>
      </c>
      <c r="N796" s="239">
        <v>0</v>
      </c>
      <c r="O796" s="239">
        <v>0</v>
      </c>
      <c r="P796" s="239">
        <v>0</v>
      </c>
      <c r="Q796" s="239">
        <v>0</v>
      </c>
      <c r="R796" s="239">
        <v>0</v>
      </c>
      <c r="S796" s="239">
        <v>0</v>
      </c>
      <c r="T796" s="239">
        <v>0</v>
      </c>
      <c r="U796" s="239">
        <v>0</v>
      </c>
      <c r="V796" s="239">
        <v>0</v>
      </c>
      <c r="W796" s="239">
        <v>0</v>
      </c>
      <c r="X796" s="239">
        <v>0</v>
      </c>
      <c r="Y796" s="239">
        <v>280.33</v>
      </c>
      <c r="Z796" s="239">
        <v>0</v>
      </c>
      <c r="AA796" s="239">
        <v>0</v>
      </c>
      <c r="AB796" s="239">
        <v>52.82</v>
      </c>
      <c r="AC796" s="239">
        <v>0</v>
      </c>
      <c r="AD796" s="239">
        <v>0</v>
      </c>
      <c r="AE796" s="239" t="s">
        <v>720</v>
      </c>
      <c r="AF796" s="239" t="s">
        <v>721</v>
      </c>
      <c r="AG796" s="239">
        <f t="shared" si="62"/>
        <v>0</v>
      </c>
      <c r="AH796" s="239">
        <f t="shared" si="63"/>
        <v>0</v>
      </c>
      <c r="AI796" s="239">
        <f t="shared" si="64"/>
        <v>0</v>
      </c>
      <c r="AJ796" s="239">
        <f t="shared" si="65"/>
        <v>0</v>
      </c>
    </row>
    <row r="797" spans="1:36" x14ac:dyDescent="0.2">
      <c r="A797" s="240" t="str">
        <f t="shared" si="66"/>
        <v>2SYCPPZK10070</v>
      </c>
      <c r="B797" s="239" t="s">
        <v>19</v>
      </c>
      <c r="C797" s="239" t="s">
        <v>28</v>
      </c>
      <c r="D797" s="239" t="s">
        <v>2565</v>
      </c>
      <c r="E797" s="239" t="s">
        <v>2529</v>
      </c>
      <c r="F797" s="239" t="s">
        <v>2573</v>
      </c>
      <c r="G797" s="239">
        <v>70</v>
      </c>
      <c r="H797" s="239" t="s">
        <v>928</v>
      </c>
      <c r="I797" s="239" t="s">
        <v>2484</v>
      </c>
      <c r="J797" s="239" t="s">
        <v>928</v>
      </c>
      <c r="K797" s="239" t="s">
        <v>2398</v>
      </c>
      <c r="L797" s="239">
        <v>323.73</v>
      </c>
      <c r="M797" s="239">
        <v>0</v>
      </c>
      <c r="N797" s="239">
        <v>0</v>
      </c>
      <c r="O797" s="239">
        <v>0</v>
      </c>
      <c r="P797" s="239">
        <v>0</v>
      </c>
      <c r="Q797" s="239">
        <v>0</v>
      </c>
      <c r="R797" s="239">
        <v>0</v>
      </c>
      <c r="S797" s="239">
        <v>0</v>
      </c>
      <c r="T797" s="239">
        <v>0</v>
      </c>
      <c r="U797" s="239">
        <v>0</v>
      </c>
      <c r="V797" s="239">
        <v>0</v>
      </c>
      <c r="W797" s="239">
        <v>0</v>
      </c>
      <c r="X797" s="239">
        <v>0</v>
      </c>
      <c r="Y797" s="239">
        <v>275.68</v>
      </c>
      <c r="Z797" s="239">
        <v>0</v>
      </c>
      <c r="AA797" s="239">
        <v>0</v>
      </c>
      <c r="AB797" s="239">
        <v>48.05</v>
      </c>
      <c r="AC797" s="239">
        <v>0</v>
      </c>
      <c r="AD797" s="239">
        <v>0</v>
      </c>
      <c r="AE797" s="239" t="s">
        <v>720</v>
      </c>
      <c r="AF797" s="239" t="s">
        <v>721</v>
      </c>
      <c r="AG797" s="239">
        <f t="shared" si="62"/>
        <v>0</v>
      </c>
      <c r="AH797" s="239">
        <f t="shared" si="63"/>
        <v>0</v>
      </c>
      <c r="AI797" s="239">
        <f t="shared" si="64"/>
        <v>0</v>
      </c>
      <c r="AJ797" s="239">
        <f t="shared" si="65"/>
        <v>0</v>
      </c>
    </row>
    <row r="798" spans="1:36" x14ac:dyDescent="0.2">
      <c r="A798" s="240" t="str">
        <f t="shared" si="66"/>
        <v>SYCPPZK10070</v>
      </c>
      <c r="B798" s="239" t="s">
        <v>19</v>
      </c>
      <c r="C798" s="239" t="s">
        <v>28</v>
      </c>
      <c r="D798" s="239" t="s">
        <v>2565</v>
      </c>
      <c r="E798" s="239" t="s">
        <v>2529</v>
      </c>
      <c r="F798" s="239" t="s">
        <v>2573</v>
      </c>
      <c r="G798" s="239">
        <v>70</v>
      </c>
      <c r="H798" s="239" t="s">
        <v>928</v>
      </c>
      <c r="I798" s="239" t="s">
        <v>928</v>
      </c>
      <c r="J798" s="239" t="s">
        <v>928</v>
      </c>
      <c r="K798" s="239" t="s">
        <v>2398</v>
      </c>
      <c r="L798" s="239">
        <v>323.73</v>
      </c>
      <c r="M798" s="239">
        <v>0</v>
      </c>
      <c r="N798" s="239">
        <v>0</v>
      </c>
      <c r="O798" s="239">
        <v>0</v>
      </c>
      <c r="P798" s="239">
        <v>0</v>
      </c>
      <c r="Q798" s="239">
        <v>0</v>
      </c>
      <c r="R798" s="239">
        <v>0</v>
      </c>
      <c r="S798" s="239">
        <v>0</v>
      </c>
      <c r="T798" s="239">
        <v>0</v>
      </c>
      <c r="U798" s="239">
        <v>0</v>
      </c>
      <c r="V798" s="239">
        <v>0</v>
      </c>
      <c r="W798" s="239">
        <v>0</v>
      </c>
      <c r="X798" s="239">
        <v>0</v>
      </c>
      <c r="Y798" s="239">
        <v>275.68</v>
      </c>
      <c r="Z798" s="239">
        <v>0</v>
      </c>
      <c r="AA798" s="239">
        <v>0</v>
      </c>
      <c r="AB798" s="239">
        <v>48.05</v>
      </c>
      <c r="AC798" s="239">
        <v>0</v>
      </c>
      <c r="AD798" s="239">
        <v>0</v>
      </c>
      <c r="AE798" s="239" t="s">
        <v>720</v>
      </c>
      <c r="AF798" s="239" t="s">
        <v>721</v>
      </c>
      <c r="AG798" s="239">
        <f t="shared" si="62"/>
        <v>0</v>
      </c>
      <c r="AH798" s="239">
        <f t="shared" si="63"/>
        <v>0</v>
      </c>
      <c r="AI798" s="239">
        <f t="shared" si="64"/>
        <v>0</v>
      </c>
      <c r="AJ798" s="239">
        <f t="shared" si="65"/>
        <v>0</v>
      </c>
    </row>
    <row r="799" spans="1:36" x14ac:dyDescent="0.2">
      <c r="A799" s="240" t="str">
        <f t="shared" si="66"/>
        <v>2SYCPPZK207Y50</v>
      </c>
      <c r="B799" s="239" t="s">
        <v>19</v>
      </c>
      <c r="C799" s="239" t="s">
        <v>28</v>
      </c>
      <c r="D799" s="239" t="s">
        <v>2565</v>
      </c>
      <c r="E799" s="239" t="s">
        <v>2529</v>
      </c>
      <c r="F799" s="239" t="s">
        <v>2666</v>
      </c>
      <c r="G799" s="239">
        <v>50</v>
      </c>
      <c r="H799" s="239" t="s">
        <v>928</v>
      </c>
      <c r="I799" s="239" t="s">
        <v>2484</v>
      </c>
      <c r="J799" s="239" t="s">
        <v>928</v>
      </c>
      <c r="K799" s="239" t="s">
        <v>2398</v>
      </c>
      <c r="L799" s="239">
        <v>341.49</v>
      </c>
      <c r="M799" s="239">
        <v>0</v>
      </c>
      <c r="N799" s="239">
        <v>0</v>
      </c>
      <c r="O799" s="239">
        <v>0</v>
      </c>
      <c r="P799" s="239">
        <v>0</v>
      </c>
      <c r="Q799" s="239">
        <v>0</v>
      </c>
      <c r="R799" s="239">
        <v>0</v>
      </c>
      <c r="S799" s="239">
        <v>0</v>
      </c>
      <c r="T799" s="239">
        <v>0</v>
      </c>
      <c r="U799" s="239">
        <v>0</v>
      </c>
      <c r="V799" s="239">
        <v>0</v>
      </c>
      <c r="W799" s="239">
        <v>0</v>
      </c>
      <c r="X799" s="239">
        <v>0</v>
      </c>
      <c r="Y799" s="239">
        <v>278.58999999999997</v>
      </c>
      <c r="Z799" s="239">
        <v>0</v>
      </c>
      <c r="AA799" s="239">
        <v>0</v>
      </c>
      <c r="AB799" s="239">
        <v>62.89</v>
      </c>
      <c r="AC799" s="239">
        <v>0</v>
      </c>
      <c r="AD799" s="239">
        <v>0</v>
      </c>
      <c r="AE799" s="239" t="s">
        <v>720</v>
      </c>
      <c r="AF799" s="239" t="s">
        <v>721</v>
      </c>
      <c r="AG799" s="239">
        <f t="shared" si="62"/>
        <v>0</v>
      </c>
      <c r="AH799" s="239">
        <f t="shared" si="63"/>
        <v>0</v>
      </c>
      <c r="AI799" s="239">
        <f t="shared" si="64"/>
        <v>0</v>
      </c>
      <c r="AJ799" s="239">
        <f t="shared" si="65"/>
        <v>0</v>
      </c>
    </row>
    <row r="800" spans="1:36" x14ac:dyDescent="0.2">
      <c r="A800" s="240" t="str">
        <f t="shared" si="66"/>
        <v>SYCPPZK207Y50</v>
      </c>
      <c r="B800" s="239" t="s">
        <v>19</v>
      </c>
      <c r="C800" s="239" t="s">
        <v>28</v>
      </c>
      <c r="D800" s="239" t="s">
        <v>2565</v>
      </c>
      <c r="E800" s="239" t="s">
        <v>2529</v>
      </c>
      <c r="F800" s="239" t="s">
        <v>2666</v>
      </c>
      <c r="G800" s="239">
        <v>50</v>
      </c>
      <c r="H800" s="239" t="s">
        <v>928</v>
      </c>
      <c r="I800" s="239" t="s">
        <v>928</v>
      </c>
      <c r="J800" s="239" t="s">
        <v>928</v>
      </c>
      <c r="K800" s="239" t="s">
        <v>2398</v>
      </c>
      <c r="L800" s="239">
        <v>341.49</v>
      </c>
      <c r="M800" s="239">
        <v>0</v>
      </c>
      <c r="N800" s="239">
        <v>0</v>
      </c>
      <c r="O800" s="239">
        <v>0</v>
      </c>
      <c r="P800" s="239">
        <v>0</v>
      </c>
      <c r="Q800" s="239">
        <v>0</v>
      </c>
      <c r="R800" s="239">
        <v>0</v>
      </c>
      <c r="S800" s="239">
        <v>0</v>
      </c>
      <c r="T800" s="239">
        <v>0</v>
      </c>
      <c r="U800" s="239">
        <v>0</v>
      </c>
      <c r="V800" s="239">
        <v>0</v>
      </c>
      <c r="W800" s="239">
        <v>0</v>
      </c>
      <c r="X800" s="239">
        <v>0</v>
      </c>
      <c r="Y800" s="239">
        <v>278.58999999999997</v>
      </c>
      <c r="Z800" s="239">
        <v>0</v>
      </c>
      <c r="AA800" s="239">
        <v>0</v>
      </c>
      <c r="AB800" s="239">
        <v>62.89</v>
      </c>
      <c r="AC800" s="239">
        <v>0</v>
      </c>
      <c r="AD800" s="239">
        <v>0</v>
      </c>
      <c r="AE800" s="239" t="s">
        <v>720</v>
      </c>
      <c r="AF800" s="239" t="s">
        <v>721</v>
      </c>
      <c r="AG800" s="239">
        <f t="shared" si="62"/>
        <v>0</v>
      </c>
      <c r="AH800" s="239">
        <f t="shared" si="63"/>
        <v>0</v>
      </c>
      <c r="AI800" s="239">
        <f t="shared" si="64"/>
        <v>0</v>
      </c>
      <c r="AJ800" s="239">
        <f t="shared" si="65"/>
        <v>0</v>
      </c>
    </row>
    <row r="801" spans="1:36" x14ac:dyDescent="0.2">
      <c r="A801" s="240" t="str">
        <f t="shared" si="66"/>
        <v>2SYCPPZK207Y60</v>
      </c>
      <c r="B801" s="239" t="s">
        <v>19</v>
      </c>
      <c r="C801" s="239" t="s">
        <v>28</v>
      </c>
      <c r="D801" s="239" t="s">
        <v>2565</v>
      </c>
      <c r="E801" s="239" t="s">
        <v>2529</v>
      </c>
      <c r="F801" s="239" t="s">
        <v>2666</v>
      </c>
      <c r="G801" s="239">
        <v>60</v>
      </c>
      <c r="H801" s="239" t="s">
        <v>928</v>
      </c>
      <c r="I801" s="239" t="s">
        <v>2484</v>
      </c>
      <c r="J801" s="239" t="s">
        <v>928</v>
      </c>
      <c r="K801" s="239" t="s">
        <v>2398</v>
      </c>
      <c r="L801" s="239">
        <v>351.46</v>
      </c>
      <c r="M801" s="239">
        <v>0</v>
      </c>
      <c r="N801" s="239">
        <v>0</v>
      </c>
      <c r="O801" s="239">
        <v>0</v>
      </c>
      <c r="P801" s="239">
        <v>0</v>
      </c>
      <c r="Q801" s="239">
        <v>0</v>
      </c>
      <c r="R801" s="239">
        <v>0</v>
      </c>
      <c r="S801" s="239">
        <v>0</v>
      </c>
      <c r="T801" s="239">
        <v>0</v>
      </c>
      <c r="U801" s="239">
        <v>0</v>
      </c>
      <c r="V801" s="239">
        <v>0</v>
      </c>
      <c r="W801" s="239">
        <v>0</v>
      </c>
      <c r="X801" s="239">
        <v>0</v>
      </c>
      <c r="Y801" s="239">
        <v>288.57</v>
      </c>
      <c r="Z801" s="239">
        <v>0</v>
      </c>
      <c r="AA801" s="239">
        <v>0</v>
      </c>
      <c r="AB801" s="239">
        <v>62.89</v>
      </c>
      <c r="AC801" s="239">
        <v>0</v>
      </c>
      <c r="AD801" s="239">
        <v>0</v>
      </c>
      <c r="AE801" s="239" t="s">
        <v>720</v>
      </c>
      <c r="AF801" s="239" t="s">
        <v>721</v>
      </c>
      <c r="AG801" s="239">
        <f t="shared" si="62"/>
        <v>0</v>
      </c>
      <c r="AH801" s="239">
        <f t="shared" si="63"/>
        <v>0</v>
      </c>
      <c r="AI801" s="239">
        <f t="shared" si="64"/>
        <v>0</v>
      </c>
      <c r="AJ801" s="239">
        <f t="shared" si="65"/>
        <v>0</v>
      </c>
    </row>
    <row r="802" spans="1:36" x14ac:dyDescent="0.2">
      <c r="A802" s="240" t="str">
        <f t="shared" si="66"/>
        <v>SYCPPZK207Y60</v>
      </c>
      <c r="B802" s="239" t="s">
        <v>19</v>
      </c>
      <c r="C802" s="239" t="s">
        <v>28</v>
      </c>
      <c r="D802" s="239" t="s">
        <v>2565</v>
      </c>
      <c r="E802" s="239" t="s">
        <v>2529</v>
      </c>
      <c r="F802" s="239" t="s">
        <v>2666</v>
      </c>
      <c r="G802" s="239">
        <v>60</v>
      </c>
      <c r="H802" s="239" t="s">
        <v>928</v>
      </c>
      <c r="I802" s="239" t="s">
        <v>928</v>
      </c>
      <c r="J802" s="239" t="s">
        <v>928</v>
      </c>
      <c r="K802" s="239" t="s">
        <v>2398</v>
      </c>
      <c r="L802" s="239">
        <v>351.46</v>
      </c>
      <c r="M802" s="239">
        <v>0</v>
      </c>
      <c r="N802" s="239">
        <v>0</v>
      </c>
      <c r="O802" s="239">
        <v>0</v>
      </c>
      <c r="P802" s="239">
        <v>0</v>
      </c>
      <c r="Q802" s="239">
        <v>0</v>
      </c>
      <c r="R802" s="239">
        <v>0</v>
      </c>
      <c r="S802" s="239">
        <v>0</v>
      </c>
      <c r="T802" s="239">
        <v>0</v>
      </c>
      <c r="U802" s="239">
        <v>0</v>
      </c>
      <c r="V802" s="239">
        <v>0</v>
      </c>
      <c r="W802" s="239">
        <v>0</v>
      </c>
      <c r="X802" s="239">
        <v>0</v>
      </c>
      <c r="Y802" s="239">
        <v>288.57</v>
      </c>
      <c r="Z802" s="239">
        <v>0</v>
      </c>
      <c r="AA802" s="239">
        <v>0</v>
      </c>
      <c r="AB802" s="239">
        <v>62.89</v>
      </c>
      <c r="AC802" s="239">
        <v>0</v>
      </c>
      <c r="AD802" s="239">
        <v>0</v>
      </c>
      <c r="AE802" s="239" t="s">
        <v>720</v>
      </c>
      <c r="AF802" s="239" t="s">
        <v>721</v>
      </c>
      <c r="AG802" s="239">
        <f t="shared" si="62"/>
        <v>0</v>
      </c>
      <c r="AH802" s="239">
        <f t="shared" si="63"/>
        <v>0</v>
      </c>
      <c r="AI802" s="239">
        <f t="shared" si="64"/>
        <v>0</v>
      </c>
      <c r="AJ802" s="239">
        <f t="shared" si="65"/>
        <v>0</v>
      </c>
    </row>
    <row r="803" spans="1:36" x14ac:dyDescent="0.2">
      <c r="A803" s="240" t="str">
        <f t="shared" si="66"/>
        <v>2SYCPPZK207Y70</v>
      </c>
      <c r="B803" s="239" t="s">
        <v>19</v>
      </c>
      <c r="C803" s="239" t="s">
        <v>28</v>
      </c>
      <c r="D803" s="239" t="s">
        <v>2565</v>
      </c>
      <c r="E803" s="239" t="s">
        <v>2529</v>
      </c>
      <c r="F803" s="239" t="s">
        <v>2666</v>
      </c>
      <c r="G803" s="239">
        <v>70</v>
      </c>
      <c r="H803" s="239" t="s">
        <v>928</v>
      </c>
      <c r="I803" s="239" t="s">
        <v>2484</v>
      </c>
      <c r="J803" s="239" t="s">
        <v>928</v>
      </c>
      <c r="K803" s="239" t="s">
        <v>2398</v>
      </c>
      <c r="L803" s="239">
        <v>350.18</v>
      </c>
      <c r="M803" s="239">
        <v>0</v>
      </c>
      <c r="N803" s="239">
        <v>0</v>
      </c>
      <c r="O803" s="239">
        <v>0</v>
      </c>
      <c r="P803" s="239">
        <v>0</v>
      </c>
      <c r="Q803" s="239">
        <v>0</v>
      </c>
      <c r="R803" s="239">
        <v>0</v>
      </c>
      <c r="S803" s="239">
        <v>0</v>
      </c>
      <c r="T803" s="239">
        <v>0</v>
      </c>
      <c r="U803" s="239">
        <v>0</v>
      </c>
      <c r="V803" s="239">
        <v>0</v>
      </c>
      <c r="W803" s="239">
        <v>0</v>
      </c>
      <c r="X803" s="239">
        <v>0</v>
      </c>
      <c r="Y803" s="239">
        <v>269.89</v>
      </c>
      <c r="Z803" s="239">
        <v>0</v>
      </c>
      <c r="AA803" s="239">
        <v>0</v>
      </c>
      <c r="AB803" s="239">
        <v>80.28</v>
      </c>
      <c r="AC803" s="239">
        <v>0</v>
      </c>
      <c r="AD803" s="239">
        <v>0</v>
      </c>
      <c r="AE803" s="239" t="s">
        <v>720</v>
      </c>
      <c r="AF803" s="239" t="s">
        <v>721</v>
      </c>
      <c r="AG803" s="239">
        <f t="shared" si="62"/>
        <v>0</v>
      </c>
      <c r="AH803" s="239">
        <f t="shared" si="63"/>
        <v>0</v>
      </c>
      <c r="AI803" s="239">
        <f t="shared" si="64"/>
        <v>0</v>
      </c>
      <c r="AJ803" s="239">
        <f t="shared" si="65"/>
        <v>0</v>
      </c>
    </row>
    <row r="804" spans="1:36" x14ac:dyDescent="0.2">
      <c r="A804" s="240" t="str">
        <f t="shared" si="66"/>
        <v>SYCPPZK207Y70</v>
      </c>
      <c r="B804" s="239" t="s">
        <v>19</v>
      </c>
      <c r="C804" s="239" t="s">
        <v>28</v>
      </c>
      <c r="D804" s="239" t="s">
        <v>2565</v>
      </c>
      <c r="E804" s="239" t="s">
        <v>2529</v>
      </c>
      <c r="F804" s="239" t="s">
        <v>2666</v>
      </c>
      <c r="G804" s="239">
        <v>70</v>
      </c>
      <c r="H804" s="239" t="s">
        <v>928</v>
      </c>
      <c r="I804" s="239" t="s">
        <v>928</v>
      </c>
      <c r="J804" s="239" t="s">
        <v>928</v>
      </c>
      <c r="K804" s="239" t="s">
        <v>2398</v>
      </c>
      <c r="L804" s="239">
        <v>350.18</v>
      </c>
      <c r="M804" s="239">
        <v>0</v>
      </c>
      <c r="N804" s="239">
        <v>0</v>
      </c>
      <c r="O804" s="239">
        <v>0</v>
      </c>
      <c r="P804" s="239">
        <v>0</v>
      </c>
      <c r="Q804" s="239">
        <v>0</v>
      </c>
      <c r="R804" s="239">
        <v>0</v>
      </c>
      <c r="S804" s="239">
        <v>0</v>
      </c>
      <c r="T804" s="239">
        <v>0</v>
      </c>
      <c r="U804" s="239">
        <v>0</v>
      </c>
      <c r="V804" s="239">
        <v>0</v>
      </c>
      <c r="W804" s="239">
        <v>0</v>
      </c>
      <c r="X804" s="239">
        <v>0</v>
      </c>
      <c r="Y804" s="239">
        <v>269.89</v>
      </c>
      <c r="Z804" s="239">
        <v>0</v>
      </c>
      <c r="AA804" s="239">
        <v>0</v>
      </c>
      <c r="AB804" s="239">
        <v>80.28</v>
      </c>
      <c r="AC804" s="239">
        <v>0</v>
      </c>
      <c r="AD804" s="239">
        <v>0</v>
      </c>
      <c r="AE804" s="239" t="s">
        <v>720</v>
      </c>
      <c r="AF804" s="239" t="s">
        <v>721</v>
      </c>
      <c r="AG804" s="239">
        <f t="shared" si="62"/>
        <v>0</v>
      </c>
      <c r="AH804" s="239">
        <f t="shared" si="63"/>
        <v>0</v>
      </c>
      <c r="AI804" s="239">
        <f t="shared" si="64"/>
        <v>0</v>
      </c>
      <c r="AJ804" s="239">
        <f t="shared" si="65"/>
        <v>0</v>
      </c>
    </row>
    <row r="805" spans="1:36" x14ac:dyDescent="0.2">
      <c r="A805" s="240" t="str">
        <f t="shared" si="66"/>
        <v>2SYCPPZK207Y80</v>
      </c>
      <c r="B805" s="239" t="s">
        <v>19</v>
      </c>
      <c r="C805" s="239" t="s">
        <v>28</v>
      </c>
      <c r="D805" s="239" t="s">
        <v>2565</v>
      </c>
      <c r="E805" s="239" t="s">
        <v>2529</v>
      </c>
      <c r="F805" s="239" t="s">
        <v>2666</v>
      </c>
      <c r="G805" s="239">
        <v>80</v>
      </c>
      <c r="H805" s="239" t="s">
        <v>928</v>
      </c>
      <c r="I805" s="239" t="s">
        <v>2484</v>
      </c>
      <c r="J805" s="239" t="s">
        <v>928</v>
      </c>
      <c r="K805" s="239" t="s">
        <v>2398</v>
      </c>
      <c r="L805" s="239">
        <v>327.58</v>
      </c>
      <c r="M805" s="239">
        <v>0</v>
      </c>
      <c r="N805" s="239">
        <v>0</v>
      </c>
      <c r="O805" s="239">
        <v>0</v>
      </c>
      <c r="P805" s="239">
        <v>0</v>
      </c>
      <c r="Q805" s="239">
        <v>0</v>
      </c>
      <c r="R805" s="239">
        <v>0</v>
      </c>
      <c r="S805" s="239">
        <v>0</v>
      </c>
      <c r="T805" s="239">
        <v>0</v>
      </c>
      <c r="U805" s="239">
        <v>0</v>
      </c>
      <c r="V805" s="239">
        <v>0</v>
      </c>
      <c r="W805" s="239">
        <v>0</v>
      </c>
      <c r="X805" s="239">
        <v>0</v>
      </c>
      <c r="Y805" s="239">
        <v>275.61</v>
      </c>
      <c r="Z805" s="239">
        <v>0</v>
      </c>
      <c r="AA805" s="239">
        <v>0</v>
      </c>
      <c r="AB805" s="239">
        <v>51.97</v>
      </c>
      <c r="AC805" s="239">
        <v>0</v>
      </c>
      <c r="AD805" s="239">
        <v>0</v>
      </c>
      <c r="AE805" s="239" t="s">
        <v>720</v>
      </c>
      <c r="AF805" s="239" t="s">
        <v>721</v>
      </c>
      <c r="AG805" s="239">
        <f t="shared" si="62"/>
        <v>0</v>
      </c>
      <c r="AH805" s="239">
        <f t="shared" si="63"/>
        <v>0</v>
      </c>
      <c r="AI805" s="239">
        <f t="shared" si="64"/>
        <v>0</v>
      </c>
      <c r="AJ805" s="239">
        <f t="shared" si="65"/>
        <v>0</v>
      </c>
    </row>
    <row r="806" spans="1:36" x14ac:dyDescent="0.2">
      <c r="A806" s="240" t="str">
        <f t="shared" si="66"/>
        <v>SYCPPZK207Y80</v>
      </c>
      <c r="B806" s="239" t="s">
        <v>19</v>
      </c>
      <c r="C806" s="239" t="s">
        <v>28</v>
      </c>
      <c r="D806" s="239" t="s">
        <v>2565</v>
      </c>
      <c r="E806" s="239" t="s">
        <v>2529</v>
      </c>
      <c r="F806" s="239" t="s">
        <v>2666</v>
      </c>
      <c r="G806" s="239">
        <v>80</v>
      </c>
      <c r="H806" s="239" t="s">
        <v>928</v>
      </c>
      <c r="I806" s="239" t="s">
        <v>928</v>
      </c>
      <c r="J806" s="239" t="s">
        <v>928</v>
      </c>
      <c r="K806" s="239" t="s">
        <v>2398</v>
      </c>
      <c r="L806" s="239">
        <v>327.58</v>
      </c>
      <c r="M806" s="239">
        <v>0</v>
      </c>
      <c r="N806" s="239">
        <v>0</v>
      </c>
      <c r="O806" s="239">
        <v>0</v>
      </c>
      <c r="P806" s="239">
        <v>0</v>
      </c>
      <c r="Q806" s="239">
        <v>0</v>
      </c>
      <c r="R806" s="239">
        <v>0</v>
      </c>
      <c r="S806" s="239">
        <v>0</v>
      </c>
      <c r="T806" s="239">
        <v>0</v>
      </c>
      <c r="U806" s="239">
        <v>0</v>
      </c>
      <c r="V806" s="239">
        <v>0</v>
      </c>
      <c r="W806" s="239">
        <v>0</v>
      </c>
      <c r="X806" s="239">
        <v>0</v>
      </c>
      <c r="Y806" s="239">
        <v>275.61</v>
      </c>
      <c r="Z806" s="239">
        <v>0</v>
      </c>
      <c r="AA806" s="239">
        <v>0</v>
      </c>
      <c r="AB806" s="239">
        <v>51.97</v>
      </c>
      <c r="AC806" s="239">
        <v>0</v>
      </c>
      <c r="AD806" s="239">
        <v>0</v>
      </c>
      <c r="AE806" s="239" t="s">
        <v>720</v>
      </c>
      <c r="AF806" s="239" t="s">
        <v>721</v>
      </c>
      <c r="AG806" s="239">
        <f t="shared" si="62"/>
        <v>0</v>
      </c>
      <c r="AH806" s="239">
        <f t="shared" si="63"/>
        <v>0</v>
      </c>
      <c r="AI806" s="239">
        <f t="shared" si="64"/>
        <v>0</v>
      </c>
      <c r="AJ806" s="239">
        <f t="shared" si="65"/>
        <v>0</v>
      </c>
    </row>
    <row r="807" spans="1:36" x14ac:dyDescent="0.2">
      <c r="A807" s="240" t="str">
        <f t="shared" si="66"/>
        <v>2SYCPPZK207Y100</v>
      </c>
      <c r="B807" s="239" t="s">
        <v>19</v>
      </c>
      <c r="C807" s="239" t="s">
        <v>28</v>
      </c>
      <c r="D807" s="239" t="s">
        <v>2565</v>
      </c>
      <c r="E807" s="239" t="s">
        <v>2529</v>
      </c>
      <c r="F807" s="239" t="s">
        <v>2666</v>
      </c>
      <c r="G807" s="239">
        <v>100</v>
      </c>
      <c r="H807" s="239" t="s">
        <v>928</v>
      </c>
      <c r="I807" s="239" t="s">
        <v>2484</v>
      </c>
      <c r="J807" s="239" t="s">
        <v>928</v>
      </c>
      <c r="K807" s="239" t="s">
        <v>2398</v>
      </c>
      <c r="L807" s="239">
        <v>360.13</v>
      </c>
      <c r="M807" s="239">
        <v>0</v>
      </c>
      <c r="N807" s="239">
        <v>0</v>
      </c>
      <c r="O807" s="239">
        <v>0</v>
      </c>
      <c r="P807" s="239">
        <v>0</v>
      </c>
      <c r="Q807" s="239">
        <v>0</v>
      </c>
      <c r="R807" s="239">
        <v>0</v>
      </c>
      <c r="S807" s="239">
        <v>0</v>
      </c>
      <c r="T807" s="239">
        <v>0</v>
      </c>
      <c r="U807" s="239">
        <v>0</v>
      </c>
      <c r="V807" s="239">
        <v>0</v>
      </c>
      <c r="W807" s="239">
        <v>0</v>
      </c>
      <c r="X807" s="239">
        <v>0</v>
      </c>
      <c r="Y807" s="239">
        <v>280.87</v>
      </c>
      <c r="Z807" s="239">
        <v>0</v>
      </c>
      <c r="AA807" s="239">
        <v>0</v>
      </c>
      <c r="AB807" s="239">
        <v>79.260000000000005</v>
      </c>
      <c r="AC807" s="239">
        <v>0</v>
      </c>
      <c r="AD807" s="239">
        <v>0</v>
      </c>
      <c r="AE807" s="239" t="s">
        <v>720</v>
      </c>
      <c r="AF807" s="239" t="s">
        <v>721</v>
      </c>
      <c r="AG807" s="239">
        <f t="shared" si="62"/>
        <v>0</v>
      </c>
      <c r="AH807" s="239">
        <f t="shared" si="63"/>
        <v>0</v>
      </c>
      <c r="AI807" s="239">
        <f t="shared" si="64"/>
        <v>0</v>
      </c>
      <c r="AJ807" s="239">
        <f t="shared" si="65"/>
        <v>0</v>
      </c>
    </row>
    <row r="808" spans="1:36" x14ac:dyDescent="0.2">
      <c r="A808" s="240" t="str">
        <f t="shared" si="66"/>
        <v>SYCPPZK207Y100</v>
      </c>
      <c r="B808" s="239" t="s">
        <v>19</v>
      </c>
      <c r="C808" s="239" t="s">
        <v>28</v>
      </c>
      <c r="D808" s="239" t="s">
        <v>2565</v>
      </c>
      <c r="E808" s="239" t="s">
        <v>2529</v>
      </c>
      <c r="F808" s="239" t="s">
        <v>2666</v>
      </c>
      <c r="G808" s="239">
        <v>100</v>
      </c>
      <c r="H808" s="239" t="s">
        <v>928</v>
      </c>
      <c r="I808" s="239" t="s">
        <v>928</v>
      </c>
      <c r="J808" s="239" t="s">
        <v>928</v>
      </c>
      <c r="K808" s="239" t="s">
        <v>2398</v>
      </c>
      <c r="L808" s="239">
        <v>360.13</v>
      </c>
      <c r="M808" s="239">
        <v>0</v>
      </c>
      <c r="N808" s="239">
        <v>0</v>
      </c>
      <c r="O808" s="239">
        <v>0</v>
      </c>
      <c r="P808" s="239">
        <v>0</v>
      </c>
      <c r="Q808" s="239">
        <v>0</v>
      </c>
      <c r="R808" s="239">
        <v>0</v>
      </c>
      <c r="S808" s="239">
        <v>0</v>
      </c>
      <c r="T808" s="239">
        <v>0</v>
      </c>
      <c r="U808" s="239">
        <v>0</v>
      </c>
      <c r="V808" s="239">
        <v>0</v>
      </c>
      <c r="W808" s="239">
        <v>0</v>
      </c>
      <c r="X808" s="239">
        <v>0</v>
      </c>
      <c r="Y808" s="239">
        <v>280.87</v>
      </c>
      <c r="Z808" s="239">
        <v>0</v>
      </c>
      <c r="AA808" s="239">
        <v>0</v>
      </c>
      <c r="AB808" s="239">
        <v>79.260000000000005</v>
      </c>
      <c r="AC808" s="239">
        <v>0</v>
      </c>
      <c r="AD808" s="239">
        <v>0</v>
      </c>
      <c r="AE808" s="239" t="s">
        <v>720</v>
      </c>
      <c r="AF808" s="239" t="s">
        <v>721</v>
      </c>
      <c r="AG808" s="239">
        <f t="shared" si="62"/>
        <v>0</v>
      </c>
      <c r="AH808" s="239">
        <f t="shared" si="63"/>
        <v>0</v>
      </c>
      <c r="AI808" s="239">
        <f t="shared" si="64"/>
        <v>0</v>
      </c>
      <c r="AJ808" s="239">
        <f t="shared" si="65"/>
        <v>0</v>
      </c>
    </row>
    <row r="809" spans="1:36" x14ac:dyDescent="0.2">
      <c r="A809" s="240" t="str">
        <f t="shared" si="66"/>
        <v>2SYCPPZK93FM70</v>
      </c>
      <c r="B809" s="239" t="s">
        <v>19</v>
      </c>
      <c r="C809" s="239" t="s">
        <v>28</v>
      </c>
      <c r="D809" s="239" t="s">
        <v>2565</v>
      </c>
      <c r="E809" s="239" t="s">
        <v>2529</v>
      </c>
      <c r="F809" s="239" t="s">
        <v>2581</v>
      </c>
      <c r="G809" s="239">
        <v>70</v>
      </c>
      <c r="H809" s="239" t="s">
        <v>928</v>
      </c>
      <c r="I809" s="239" t="s">
        <v>2484</v>
      </c>
      <c r="J809" s="239" t="s">
        <v>928</v>
      </c>
      <c r="K809" s="239" t="s">
        <v>2398</v>
      </c>
      <c r="L809" s="239">
        <v>322.82</v>
      </c>
      <c r="M809" s="239">
        <v>0</v>
      </c>
      <c r="N809" s="239">
        <v>0</v>
      </c>
      <c r="O809" s="239">
        <v>0</v>
      </c>
      <c r="P809" s="239">
        <v>0</v>
      </c>
      <c r="Q809" s="239">
        <v>0</v>
      </c>
      <c r="R809" s="239">
        <v>0</v>
      </c>
      <c r="S809" s="239">
        <v>0</v>
      </c>
      <c r="T809" s="239">
        <v>0</v>
      </c>
      <c r="U809" s="239">
        <v>0</v>
      </c>
      <c r="V809" s="239">
        <v>0</v>
      </c>
      <c r="W809" s="239">
        <v>0</v>
      </c>
      <c r="X809" s="239">
        <v>0</v>
      </c>
      <c r="Y809" s="239">
        <v>266.88</v>
      </c>
      <c r="Z809" s="239">
        <v>0</v>
      </c>
      <c r="AA809" s="239">
        <v>0</v>
      </c>
      <c r="AB809" s="239">
        <v>55.93</v>
      </c>
      <c r="AC809" s="239">
        <v>0</v>
      </c>
      <c r="AD809" s="239">
        <v>0</v>
      </c>
      <c r="AE809" s="239" t="s">
        <v>720</v>
      </c>
      <c r="AF809" s="239" t="s">
        <v>721</v>
      </c>
      <c r="AG809" s="239">
        <f t="shared" si="62"/>
        <v>0</v>
      </c>
      <c r="AH809" s="239">
        <f t="shared" si="63"/>
        <v>0</v>
      </c>
      <c r="AI809" s="239">
        <f t="shared" si="64"/>
        <v>0</v>
      </c>
      <c r="AJ809" s="239">
        <f t="shared" si="65"/>
        <v>0</v>
      </c>
    </row>
    <row r="810" spans="1:36" x14ac:dyDescent="0.2">
      <c r="A810" s="240" t="str">
        <f t="shared" si="66"/>
        <v>SYCPPZK93FM70</v>
      </c>
      <c r="B810" s="239" t="s">
        <v>19</v>
      </c>
      <c r="C810" s="239" t="s">
        <v>28</v>
      </c>
      <c r="D810" s="239" t="s">
        <v>2565</v>
      </c>
      <c r="E810" s="239" t="s">
        <v>2529</v>
      </c>
      <c r="F810" s="239" t="s">
        <v>2581</v>
      </c>
      <c r="G810" s="239">
        <v>70</v>
      </c>
      <c r="H810" s="239" t="s">
        <v>928</v>
      </c>
      <c r="I810" s="239" t="s">
        <v>928</v>
      </c>
      <c r="J810" s="239" t="s">
        <v>928</v>
      </c>
      <c r="K810" s="239" t="s">
        <v>2398</v>
      </c>
      <c r="L810" s="239">
        <v>322.82</v>
      </c>
      <c r="M810" s="239">
        <v>0</v>
      </c>
      <c r="N810" s="239">
        <v>0</v>
      </c>
      <c r="O810" s="239">
        <v>0</v>
      </c>
      <c r="P810" s="239">
        <v>0</v>
      </c>
      <c r="Q810" s="239">
        <v>0</v>
      </c>
      <c r="R810" s="239">
        <v>0</v>
      </c>
      <c r="S810" s="239">
        <v>0</v>
      </c>
      <c r="T810" s="239">
        <v>0</v>
      </c>
      <c r="U810" s="239">
        <v>0</v>
      </c>
      <c r="V810" s="239">
        <v>0</v>
      </c>
      <c r="W810" s="239">
        <v>0</v>
      </c>
      <c r="X810" s="239">
        <v>0</v>
      </c>
      <c r="Y810" s="239">
        <v>266.88</v>
      </c>
      <c r="Z810" s="239">
        <v>0</v>
      </c>
      <c r="AA810" s="239">
        <v>0</v>
      </c>
      <c r="AB810" s="239">
        <v>55.93</v>
      </c>
      <c r="AC810" s="239">
        <v>0</v>
      </c>
      <c r="AD810" s="239">
        <v>0</v>
      </c>
      <c r="AE810" s="239" t="s">
        <v>720</v>
      </c>
      <c r="AF810" s="239" t="s">
        <v>721</v>
      </c>
      <c r="AG810" s="239">
        <f t="shared" si="62"/>
        <v>0</v>
      </c>
      <c r="AH810" s="239">
        <f t="shared" si="63"/>
        <v>0</v>
      </c>
      <c r="AI810" s="239">
        <f t="shared" si="64"/>
        <v>0</v>
      </c>
      <c r="AJ810" s="239">
        <f t="shared" si="65"/>
        <v>0</v>
      </c>
    </row>
    <row r="811" spans="1:36" x14ac:dyDescent="0.2">
      <c r="A811" s="240" t="str">
        <f t="shared" si="66"/>
        <v>2SYCPPZK99S70</v>
      </c>
      <c r="B811" s="239" t="s">
        <v>19</v>
      </c>
      <c r="C811" s="239" t="s">
        <v>28</v>
      </c>
      <c r="D811" s="239" t="s">
        <v>2565</v>
      </c>
      <c r="E811" s="239" t="s">
        <v>2529</v>
      </c>
      <c r="F811" s="239" t="s">
        <v>2582</v>
      </c>
      <c r="G811" s="239">
        <v>70</v>
      </c>
      <c r="H811" s="239" t="s">
        <v>928</v>
      </c>
      <c r="I811" s="239" t="s">
        <v>2484</v>
      </c>
      <c r="J811" s="239" t="s">
        <v>928</v>
      </c>
      <c r="K811" s="239" t="s">
        <v>2398</v>
      </c>
      <c r="L811" s="239">
        <v>285.69</v>
      </c>
      <c r="M811" s="239">
        <v>0</v>
      </c>
      <c r="N811" s="239">
        <v>0</v>
      </c>
      <c r="O811" s="239">
        <v>0</v>
      </c>
      <c r="P811" s="239">
        <v>0</v>
      </c>
      <c r="Q811" s="239">
        <v>0</v>
      </c>
      <c r="R811" s="239">
        <v>0</v>
      </c>
      <c r="S811" s="239">
        <v>0</v>
      </c>
      <c r="T811" s="239">
        <v>0</v>
      </c>
      <c r="U811" s="239">
        <v>0</v>
      </c>
      <c r="V811" s="239">
        <v>0</v>
      </c>
      <c r="W811" s="239">
        <v>0</v>
      </c>
      <c r="X811" s="239">
        <v>0</v>
      </c>
      <c r="Y811" s="239">
        <v>240.98</v>
      </c>
      <c r="Z811" s="239">
        <v>0</v>
      </c>
      <c r="AA811" s="239">
        <v>0</v>
      </c>
      <c r="AB811" s="239">
        <v>44.71</v>
      </c>
      <c r="AC811" s="239">
        <v>0</v>
      </c>
      <c r="AD811" s="239">
        <v>0</v>
      </c>
      <c r="AE811" s="239" t="s">
        <v>720</v>
      </c>
      <c r="AF811" s="239" t="s">
        <v>721</v>
      </c>
      <c r="AG811" s="239">
        <f t="shared" si="62"/>
        <v>0</v>
      </c>
      <c r="AH811" s="239">
        <f t="shared" si="63"/>
        <v>0</v>
      </c>
      <c r="AI811" s="239">
        <f t="shared" si="64"/>
        <v>0</v>
      </c>
      <c r="AJ811" s="239">
        <f t="shared" si="65"/>
        <v>0</v>
      </c>
    </row>
    <row r="812" spans="1:36" x14ac:dyDescent="0.2">
      <c r="A812" s="240" t="str">
        <f t="shared" si="66"/>
        <v>SYCPPZK99S70</v>
      </c>
      <c r="B812" s="239" t="s">
        <v>19</v>
      </c>
      <c r="C812" s="239" t="s">
        <v>28</v>
      </c>
      <c r="D812" s="239" t="s">
        <v>2565</v>
      </c>
      <c r="E812" s="239" t="s">
        <v>2529</v>
      </c>
      <c r="F812" s="239" t="s">
        <v>2582</v>
      </c>
      <c r="G812" s="239">
        <v>70</v>
      </c>
      <c r="H812" s="239" t="s">
        <v>928</v>
      </c>
      <c r="I812" s="239" t="s">
        <v>928</v>
      </c>
      <c r="J812" s="239" t="s">
        <v>928</v>
      </c>
      <c r="K812" s="239" t="s">
        <v>2398</v>
      </c>
      <c r="L812" s="239">
        <v>285.69</v>
      </c>
      <c r="M812" s="239">
        <v>0</v>
      </c>
      <c r="N812" s="239">
        <v>0</v>
      </c>
      <c r="O812" s="239">
        <v>0</v>
      </c>
      <c r="P812" s="239">
        <v>0</v>
      </c>
      <c r="Q812" s="239">
        <v>0</v>
      </c>
      <c r="R812" s="239">
        <v>0</v>
      </c>
      <c r="S812" s="239">
        <v>0</v>
      </c>
      <c r="T812" s="239">
        <v>0</v>
      </c>
      <c r="U812" s="239">
        <v>0</v>
      </c>
      <c r="V812" s="239">
        <v>0</v>
      </c>
      <c r="W812" s="239">
        <v>0</v>
      </c>
      <c r="X812" s="239">
        <v>0</v>
      </c>
      <c r="Y812" s="239">
        <v>240.98</v>
      </c>
      <c r="Z812" s="239">
        <v>0</v>
      </c>
      <c r="AA812" s="239">
        <v>0</v>
      </c>
      <c r="AB812" s="239">
        <v>44.71</v>
      </c>
      <c r="AC812" s="239">
        <v>0</v>
      </c>
      <c r="AD812" s="239">
        <v>0</v>
      </c>
      <c r="AE812" s="239" t="s">
        <v>720</v>
      </c>
      <c r="AF812" s="239" t="s">
        <v>721</v>
      </c>
      <c r="AG812" s="239">
        <f t="shared" si="62"/>
        <v>0</v>
      </c>
      <c r="AH812" s="239">
        <f t="shared" si="63"/>
        <v>0</v>
      </c>
      <c r="AI812" s="239">
        <f t="shared" si="64"/>
        <v>0</v>
      </c>
      <c r="AJ812" s="239">
        <f t="shared" si="65"/>
        <v>0</v>
      </c>
    </row>
    <row r="813" spans="1:36" x14ac:dyDescent="0.2">
      <c r="A813" s="240" t="str">
        <f t="shared" si="66"/>
        <v>2SYF-FILMEA20</v>
      </c>
      <c r="B813" s="239" t="s">
        <v>19</v>
      </c>
      <c r="C813" s="239" t="s">
        <v>28</v>
      </c>
      <c r="D813" s="239" t="s">
        <v>2583</v>
      </c>
      <c r="E813" s="239" t="s">
        <v>2584</v>
      </c>
      <c r="F813" s="239" t="s">
        <v>2667</v>
      </c>
      <c r="G813" s="239">
        <v>20</v>
      </c>
      <c r="H813" s="239" t="s">
        <v>928</v>
      </c>
      <c r="I813" s="239" t="s">
        <v>2484</v>
      </c>
      <c r="J813" s="239" t="s">
        <v>928</v>
      </c>
      <c r="K813" s="239" t="s">
        <v>2398</v>
      </c>
      <c r="L813" s="239">
        <v>4819.45</v>
      </c>
      <c r="M813" s="239">
        <v>0</v>
      </c>
      <c r="N813" s="239">
        <v>0</v>
      </c>
      <c r="O813" s="239">
        <v>0</v>
      </c>
      <c r="P813" s="239">
        <v>0</v>
      </c>
      <c r="Q813" s="239">
        <v>0</v>
      </c>
      <c r="R813" s="239">
        <v>0</v>
      </c>
      <c r="S813" s="239">
        <v>0</v>
      </c>
      <c r="T813" s="239">
        <v>0</v>
      </c>
      <c r="U813" s="239">
        <v>0</v>
      </c>
      <c r="V813" s="239">
        <v>0</v>
      </c>
      <c r="W813" s="239">
        <v>0</v>
      </c>
      <c r="X813" s="239">
        <v>0</v>
      </c>
      <c r="Y813" s="239">
        <v>3827.92</v>
      </c>
      <c r="Z813" s="239">
        <v>0</v>
      </c>
      <c r="AA813" s="239">
        <v>0</v>
      </c>
      <c r="AB813" s="239">
        <v>991.52</v>
      </c>
      <c r="AC813" s="239">
        <v>0</v>
      </c>
      <c r="AD813" s="239">
        <v>0</v>
      </c>
      <c r="AE813" s="239" t="s">
        <v>720</v>
      </c>
      <c r="AF813" s="239" t="s">
        <v>721</v>
      </c>
      <c r="AG813" s="239">
        <f t="shared" si="62"/>
        <v>0</v>
      </c>
      <c r="AH813" s="239">
        <f t="shared" si="63"/>
        <v>0</v>
      </c>
      <c r="AI813" s="239">
        <f t="shared" si="64"/>
        <v>0</v>
      </c>
      <c r="AJ813" s="239">
        <f t="shared" si="65"/>
        <v>0</v>
      </c>
    </row>
    <row r="814" spans="1:36" x14ac:dyDescent="0.2">
      <c r="A814" s="240" t="str">
        <f t="shared" si="66"/>
        <v>SYF-FILMEA20</v>
      </c>
      <c r="B814" s="239" t="s">
        <v>19</v>
      </c>
      <c r="C814" s="239" t="s">
        <v>28</v>
      </c>
      <c r="D814" s="239" t="s">
        <v>2583</v>
      </c>
      <c r="E814" s="239" t="s">
        <v>2584</v>
      </c>
      <c r="F814" s="239" t="s">
        <v>2667</v>
      </c>
      <c r="G814" s="239">
        <v>20</v>
      </c>
      <c r="H814" s="239" t="s">
        <v>928</v>
      </c>
      <c r="I814" s="239" t="s">
        <v>928</v>
      </c>
      <c r="J814" s="239" t="s">
        <v>928</v>
      </c>
      <c r="K814" s="239" t="s">
        <v>2398</v>
      </c>
      <c r="L814" s="239">
        <v>4819.45</v>
      </c>
      <c r="M814" s="239">
        <v>0</v>
      </c>
      <c r="N814" s="239">
        <v>0</v>
      </c>
      <c r="O814" s="239">
        <v>0</v>
      </c>
      <c r="P814" s="239">
        <v>0</v>
      </c>
      <c r="Q814" s="239">
        <v>0</v>
      </c>
      <c r="R814" s="239">
        <v>0</v>
      </c>
      <c r="S814" s="239">
        <v>0</v>
      </c>
      <c r="T814" s="239">
        <v>0</v>
      </c>
      <c r="U814" s="239">
        <v>0</v>
      </c>
      <c r="V814" s="239">
        <v>0</v>
      </c>
      <c r="W814" s="239">
        <v>0</v>
      </c>
      <c r="X814" s="239">
        <v>0</v>
      </c>
      <c r="Y814" s="239">
        <v>3827.92</v>
      </c>
      <c r="Z814" s="239">
        <v>0</v>
      </c>
      <c r="AA814" s="239">
        <v>0</v>
      </c>
      <c r="AB814" s="239">
        <v>991.52</v>
      </c>
      <c r="AC814" s="239">
        <v>0</v>
      </c>
      <c r="AD814" s="239">
        <v>0</v>
      </c>
      <c r="AE814" s="239" t="s">
        <v>720</v>
      </c>
      <c r="AF814" s="239" t="s">
        <v>721</v>
      </c>
      <c r="AG814" s="239">
        <f t="shared" si="62"/>
        <v>0</v>
      </c>
      <c r="AH814" s="239">
        <f t="shared" si="63"/>
        <v>0</v>
      </c>
      <c r="AI814" s="239">
        <f t="shared" si="64"/>
        <v>0</v>
      </c>
      <c r="AJ814" s="239">
        <f t="shared" si="65"/>
        <v>0</v>
      </c>
    </row>
    <row r="815" spans="1:36" x14ac:dyDescent="0.2">
      <c r="A815" s="240" t="str">
        <f t="shared" si="66"/>
        <v>2SYF-FILMF12</v>
      </c>
      <c r="B815" s="239" t="s">
        <v>19</v>
      </c>
      <c r="C815" s="239" t="s">
        <v>28</v>
      </c>
      <c r="D815" s="239" t="s">
        <v>2583</v>
      </c>
      <c r="E815" s="239" t="s">
        <v>2584</v>
      </c>
      <c r="F815" s="239" t="s">
        <v>2589</v>
      </c>
      <c r="G815" s="239">
        <v>12</v>
      </c>
      <c r="H815" s="239" t="s">
        <v>928</v>
      </c>
      <c r="I815" s="239" t="s">
        <v>2484</v>
      </c>
      <c r="J815" s="239" t="s">
        <v>928</v>
      </c>
      <c r="K815" s="239" t="s">
        <v>2398</v>
      </c>
      <c r="L815" s="239">
        <v>10096.65</v>
      </c>
      <c r="M815" s="239">
        <v>0</v>
      </c>
      <c r="N815" s="239">
        <v>0</v>
      </c>
      <c r="O815" s="239">
        <v>0</v>
      </c>
      <c r="P815" s="239">
        <v>0</v>
      </c>
      <c r="Q815" s="239">
        <v>0</v>
      </c>
      <c r="R815" s="239">
        <v>0</v>
      </c>
      <c r="S815" s="239">
        <v>0</v>
      </c>
      <c r="T815" s="239">
        <v>0</v>
      </c>
      <c r="U815" s="239">
        <v>0</v>
      </c>
      <c r="V815" s="239">
        <v>0</v>
      </c>
      <c r="W815" s="239">
        <v>0</v>
      </c>
      <c r="X815" s="239">
        <v>0</v>
      </c>
      <c r="Y815" s="239">
        <v>7279.05</v>
      </c>
      <c r="Z815" s="239">
        <v>0</v>
      </c>
      <c r="AA815" s="239">
        <v>0</v>
      </c>
      <c r="AB815" s="239">
        <v>2817.6</v>
      </c>
      <c r="AC815" s="239">
        <v>0</v>
      </c>
      <c r="AD815" s="239">
        <v>0</v>
      </c>
      <c r="AE815" s="239" t="s">
        <v>720</v>
      </c>
      <c r="AF815" s="239" t="s">
        <v>721</v>
      </c>
      <c r="AG815" s="239">
        <f t="shared" si="62"/>
        <v>0</v>
      </c>
      <c r="AH815" s="239">
        <f t="shared" si="63"/>
        <v>0</v>
      </c>
      <c r="AI815" s="239">
        <f t="shared" si="64"/>
        <v>0</v>
      </c>
      <c r="AJ815" s="239">
        <f t="shared" si="65"/>
        <v>0</v>
      </c>
    </row>
    <row r="816" spans="1:36" x14ac:dyDescent="0.2">
      <c r="A816" s="240" t="str">
        <f t="shared" si="66"/>
        <v>SYF-FILMF12</v>
      </c>
      <c r="B816" s="239" t="s">
        <v>19</v>
      </c>
      <c r="C816" s="239" t="s">
        <v>28</v>
      </c>
      <c r="D816" s="239" t="s">
        <v>2583</v>
      </c>
      <c r="E816" s="239" t="s">
        <v>2584</v>
      </c>
      <c r="F816" s="239" t="s">
        <v>2589</v>
      </c>
      <c r="G816" s="239">
        <v>12</v>
      </c>
      <c r="H816" s="239" t="s">
        <v>928</v>
      </c>
      <c r="I816" s="239" t="s">
        <v>928</v>
      </c>
      <c r="J816" s="239" t="s">
        <v>928</v>
      </c>
      <c r="K816" s="239" t="s">
        <v>2398</v>
      </c>
      <c r="L816" s="239">
        <v>10096.65</v>
      </c>
      <c r="M816" s="239">
        <v>0</v>
      </c>
      <c r="N816" s="239">
        <v>0</v>
      </c>
      <c r="O816" s="239">
        <v>0</v>
      </c>
      <c r="P816" s="239">
        <v>0</v>
      </c>
      <c r="Q816" s="239">
        <v>0</v>
      </c>
      <c r="R816" s="239">
        <v>0</v>
      </c>
      <c r="S816" s="239">
        <v>0</v>
      </c>
      <c r="T816" s="239">
        <v>0</v>
      </c>
      <c r="U816" s="239">
        <v>0</v>
      </c>
      <c r="V816" s="239">
        <v>0</v>
      </c>
      <c r="W816" s="239">
        <v>0</v>
      </c>
      <c r="X816" s="239">
        <v>0</v>
      </c>
      <c r="Y816" s="239">
        <v>7279.05</v>
      </c>
      <c r="Z816" s="239">
        <v>0</v>
      </c>
      <c r="AA816" s="239">
        <v>0</v>
      </c>
      <c r="AB816" s="239">
        <v>2817.6</v>
      </c>
      <c r="AC816" s="239">
        <v>0</v>
      </c>
      <c r="AD816" s="239">
        <v>0</v>
      </c>
      <c r="AE816" s="239" t="s">
        <v>720</v>
      </c>
      <c r="AF816" s="239" t="s">
        <v>721</v>
      </c>
      <c r="AG816" s="239">
        <f t="shared" si="62"/>
        <v>0</v>
      </c>
      <c r="AH816" s="239">
        <f t="shared" si="63"/>
        <v>0</v>
      </c>
      <c r="AI816" s="239">
        <f t="shared" si="64"/>
        <v>0</v>
      </c>
      <c r="AJ816" s="239">
        <f t="shared" si="65"/>
        <v>0</v>
      </c>
    </row>
    <row r="817" spans="1:36" x14ac:dyDescent="0.2">
      <c r="A817" s="240" t="str">
        <f t="shared" si="66"/>
        <v>3SYMLBMSBBF50</v>
      </c>
      <c r="B817" s="239" t="s">
        <v>19</v>
      </c>
      <c r="C817" s="239" t="s">
        <v>28</v>
      </c>
      <c r="D817" s="239" t="s">
        <v>205</v>
      </c>
      <c r="E817" s="239" t="s">
        <v>724</v>
      </c>
      <c r="F817" s="239" t="s">
        <v>224</v>
      </c>
      <c r="G817" s="239">
        <v>50</v>
      </c>
      <c r="H817" s="239" t="s">
        <v>928</v>
      </c>
      <c r="I817" s="239" t="s">
        <v>2471</v>
      </c>
      <c r="J817" s="239" t="s">
        <v>928</v>
      </c>
      <c r="K817" s="239" t="s">
        <v>2398</v>
      </c>
      <c r="L817" s="239">
        <v>20.876940000000001</v>
      </c>
      <c r="M817" s="239">
        <v>99</v>
      </c>
      <c r="N817" s="239">
        <v>0</v>
      </c>
      <c r="O817" s="239">
        <v>0</v>
      </c>
      <c r="P817" s="239">
        <v>4.26966</v>
      </c>
      <c r="Q817" s="239">
        <v>0</v>
      </c>
      <c r="R817" s="239">
        <v>0</v>
      </c>
      <c r="S817" s="239">
        <v>0</v>
      </c>
      <c r="T817" s="239">
        <v>0</v>
      </c>
      <c r="U817" s="239">
        <v>0.32506000000000002</v>
      </c>
      <c r="V817" s="239">
        <v>0.30248000000000003</v>
      </c>
      <c r="W817" s="239">
        <v>0.34501999999999999</v>
      </c>
      <c r="X817" s="239">
        <v>0</v>
      </c>
      <c r="Y817" s="239">
        <v>0</v>
      </c>
      <c r="Z817" s="239">
        <v>6.6381100000000002</v>
      </c>
      <c r="AA817" s="239">
        <v>0.87685000000000002</v>
      </c>
      <c r="AB817" s="239">
        <v>8.1197599999999994</v>
      </c>
      <c r="AC817" s="239">
        <v>0</v>
      </c>
      <c r="AD817" s="239">
        <v>1</v>
      </c>
      <c r="AE817" s="239" t="s">
        <v>720</v>
      </c>
      <c r="AF817" s="239" t="s">
        <v>721</v>
      </c>
      <c r="AG817" s="239">
        <f t="shared" si="62"/>
        <v>0</v>
      </c>
      <c r="AH817" s="239">
        <f t="shared" si="63"/>
        <v>4.2269633999999998</v>
      </c>
      <c r="AI817" s="239">
        <f t="shared" si="64"/>
        <v>8.0385624</v>
      </c>
      <c r="AJ817" s="239">
        <f t="shared" si="65"/>
        <v>12.265525799999999</v>
      </c>
    </row>
    <row r="818" spans="1:36" x14ac:dyDescent="0.2">
      <c r="A818" s="240" t="str">
        <f t="shared" si="66"/>
        <v>32SYMLBMSBBF50</v>
      </c>
      <c r="B818" s="239" t="s">
        <v>19</v>
      </c>
      <c r="C818" s="239" t="s">
        <v>28</v>
      </c>
      <c r="D818" s="239" t="s">
        <v>205</v>
      </c>
      <c r="E818" s="239" t="s">
        <v>724</v>
      </c>
      <c r="F818" s="239" t="s">
        <v>224</v>
      </c>
      <c r="G818" s="239">
        <v>50</v>
      </c>
      <c r="H818" s="239" t="s">
        <v>928</v>
      </c>
      <c r="I818" s="239" t="s">
        <v>2599</v>
      </c>
      <c r="J818" s="239" t="s">
        <v>928</v>
      </c>
      <c r="K818" s="239" t="s">
        <v>2398</v>
      </c>
      <c r="L818" s="239">
        <v>12.26553</v>
      </c>
      <c r="M818" s="239">
        <v>100</v>
      </c>
      <c r="N818" s="239">
        <v>0</v>
      </c>
      <c r="O818" s="239">
        <v>0</v>
      </c>
      <c r="P818" s="239">
        <v>0</v>
      </c>
      <c r="Q818" s="239">
        <v>0</v>
      </c>
      <c r="R818" s="239">
        <v>0</v>
      </c>
      <c r="S818" s="239">
        <v>0</v>
      </c>
      <c r="T818" s="239">
        <v>0.52741000000000005</v>
      </c>
      <c r="U818" s="239">
        <v>0</v>
      </c>
      <c r="V818" s="239">
        <v>1.1919299999999999</v>
      </c>
      <c r="W818" s="239">
        <v>2.5076299999999998</v>
      </c>
      <c r="X818" s="239">
        <v>0</v>
      </c>
      <c r="Y818" s="239">
        <v>0</v>
      </c>
      <c r="Z818" s="239">
        <v>5.69604</v>
      </c>
      <c r="AA818" s="239">
        <v>2.3425199999999999</v>
      </c>
      <c r="AB818" s="239">
        <v>0</v>
      </c>
      <c r="AC818" s="239">
        <v>0</v>
      </c>
      <c r="AD818" s="239">
        <v>1</v>
      </c>
      <c r="AE818" s="239" t="s">
        <v>720</v>
      </c>
      <c r="AF818" s="239" t="s">
        <v>721</v>
      </c>
      <c r="AG818" s="239">
        <f t="shared" si="62"/>
        <v>0</v>
      </c>
      <c r="AH818" s="239">
        <f t="shared" si="63"/>
        <v>0</v>
      </c>
      <c r="AI818" s="239">
        <f t="shared" si="64"/>
        <v>0</v>
      </c>
      <c r="AJ818" s="239">
        <f t="shared" si="65"/>
        <v>0</v>
      </c>
    </row>
    <row r="819" spans="1:36" x14ac:dyDescent="0.2">
      <c r="A819" s="240" t="str">
        <f t="shared" si="66"/>
        <v>3SYMLBMSBBZF50</v>
      </c>
      <c r="B819" s="239" t="s">
        <v>19</v>
      </c>
      <c r="C819" s="239" t="s">
        <v>28</v>
      </c>
      <c r="D819" s="239" t="s">
        <v>205</v>
      </c>
      <c r="E819" s="239" t="s">
        <v>724</v>
      </c>
      <c r="F819" s="239" t="s">
        <v>226</v>
      </c>
      <c r="G819" s="239">
        <v>50</v>
      </c>
      <c r="H819" s="239" t="s">
        <v>928</v>
      </c>
      <c r="I819" s="239" t="s">
        <v>2471</v>
      </c>
      <c r="J819" s="239" t="s">
        <v>928</v>
      </c>
      <c r="K819" s="239" t="s">
        <v>2398</v>
      </c>
      <c r="L819" s="239">
        <v>20.876940000000001</v>
      </c>
      <c r="M819" s="239">
        <v>99</v>
      </c>
      <c r="N819" s="239">
        <v>0</v>
      </c>
      <c r="O819" s="239">
        <v>0</v>
      </c>
      <c r="P819" s="239">
        <v>4.26966</v>
      </c>
      <c r="Q819" s="239">
        <v>0</v>
      </c>
      <c r="R819" s="239">
        <v>0</v>
      </c>
      <c r="S819" s="239">
        <v>0</v>
      </c>
      <c r="T819" s="239">
        <v>0</v>
      </c>
      <c r="U819" s="239">
        <v>0.32506000000000002</v>
      </c>
      <c r="V819" s="239">
        <v>0.30248000000000003</v>
      </c>
      <c r="W819" s="239">
        <v>0.34501999999999999</v>
      </c>
      <c r="X819" s="239">
        <v>0</v>
      </c>
      <c r="Y819" s="239">
        <v>0</v>
      </c>
      <c r="Z819" s="239">
        <v>6.6381100000000002</v>
      </c>
      <c r="AA819" s="239">
        <v>0.87685000000000002</v>
      </c>
      <c r="AB819" s="239">
        <v>8.1197599999999994</v>
      </c>
      <c r="AC819" s="239">
        <v>0</v>
      </c>
      <c r="AD819" s="239">
        <v>1</v>
      </c>
      <c r="AE819" s="239" t="s">
        <v>720</v>
      </c>
      <c r="AF819" s="239" t="s">
        <v>721</v>
      </c>
      <c r="AG819" s="239">
        <f t="shared" si="62"/>
        <v>0</v>
      </c>
      <c r="AH819" s="239">
        <f t="shared" si="63"/>
        <v>4.2269633999999998</v>
      </c>
      <c r="AI819" s="239">
        <f t="shared" si="64"/>
        <v>8.0385624</v>
      </c>
      <c r="AJ819" s="239">
        <f t="shared" si="65"/>
        <v>12.265525799999999</v>
      </c>
    </row>
    <row r="820" spans="1:36" x14ac:dyDescent="0.2">
      <c r="A820" s="240" t="str">
        <f t="shared" si="66"/>
        <v>32SYMLBMSBBZF50</v>
      </c>
      <c r="B820" s="239" t="s">
        <v>19</v>
      </c>
      <c r="C820" s="239" t="s">
        <v>28</v>
      </c>
      <c r="D820" s="239" t="s">
        <v>205</v>
      </c>
      <c r="E820" s="239" t="s">
        <v>724</v>
      </c>
      <c r="F820" s="239" t="s">
        <v>226</v>
      </c>
      <c r="G820" s="239">
        <v>50</v>
      </c>
      <c r="H820" s="239" t="s">
        <v>928</v>
      </c>
      <c r="I820" s="239" t="s">
        <v>2599</v>
      </c>
      <c r="J820" s="239" t="s">
        <v>928</v>
      </c>
      <c r="K820" s="239" t="s">
        <v>2398</v>
      </c>
      <c r="L820" s="239">
        <v>12.26553</v>
      </c>
      <c r="M820" s="239">
        <v>100</v>
      </c>
      <c r="N820" s="239">
        <v>0</v>
      </c>
      <c r="O820" s="239">
        <v>0</v>
      </c>
      <c r="P820" s="239">
        <v>0</v>
      </c>
      <c r="Q820" s="239">
        <v>0</v>
      </c>
      <c r="R820" s="239">
        <v>0</v>
      </c>
      <c r="S820" s="239">
        <v>0</v>
      </c>
      <c r="T820" s="239">
        <v>0.52741000000000005</v>
      </c>
      <c r="U820" s="239">
        <v>0</v>
      </c>
      <c r="V820" s="239">
        <v>1.1919299999999999</v>
      </c>
      <c r="W820" s="239">
        <v>2.5076299999999998</v>
      </c>
      <c r="X820" s="239">
        <v>0</v>
      </c>
      <c r="Y820" s="239">
        <v>0</v>
      </c>
      <c r="Z820" s="239">
        <v>5.69604</v>
      </c>
      <c r="AA820" s="239">
        <v>2.3425199999999999</v>
      </c>
      <c r="AB820" s="239">
        <v>0</v>
      </c>
      <c r="AC820" s="239">
        <v>0</v>
      </c>
      <c r="AD820" s="239">
        <v>1</v>
      </c>
      <c r="AE820" s="239" t="s">
        <v>720</v>
      </c>
      <c r="AF820" s="239" t="s">
        <v>721</v>
      </c>
      <c r="AG820" s="239">
        <f t="shared" si="62"/>
        <v>0</v>
      </c>
      <c r="AH820" s="239">
        <f t="shared" si="63"/>
        <v>0</v>
      </c>
      <c r="AI820" s="239">
        <f t="shared" si="64"/>
        <v>0</v>
      </c>
      <c r="AJ820" s="239">
        <f t="shared" si="65"/>
        <v>0</v>
      </c>
    </row>
    <row r="821" spans="1:36" x14ac:dyDescent="0.2">
      <c r="A821" s="240" t="str">
        <f t="shared" si="66"/>
        <v>3SYMLBMSNMBF50</v>
      </c>
      <c r="B821" s="239" t="s">
        <v>19</v>
      </c>
      <c r="C821" s="239" t="s">
        <v>28</v>
      </c>
      <c r="D821" s="239" t="s">
        <v>205</v>
      </c>
      <c r="E821" s="239" t="s">
        <v>724</v>
      </c>
      <c r="F821" s="239" t="s">
        <v>233</v>
      </c>
      <c r="G821" s="239">
        <v>50</v>
      </c>
      <c r="H821" s="239" t="s">
        <v>928</v>
      </c>
      <c r="I821" s="239" t="s">
        <v>2471</v>
      </c>
      <c r="J821" s="239" t="s">
        <v>928</v>
      </c>
      <c r="K821" s="239" t="s">
        <v>2398</v>
      </c>
      <c r="L821" s="239">
        <v>19.82612</v>
      </c>
      <c r="M821" s="239">
        <v>98.8</v>
      </c>
      <c r="N821" s="239">
        <v>0</v>
      </c>
      <c r="O821" s="239">
        <v>0</v>
      </c>
      <c r="P821" s="239">
        <v>3.0670199999999999</v>
      </c>
      <c r="Q821" s="239">
        <v>0</v>
      </c>
      <c r="R821" s="239">
        <v>0</v>
      </c>
      <c r="S821" s="239">
        <v>0</v>
      </c>
      <c r="T821" s="239">
        <v>0</v>
      </c>
      <c r="U821" s="239">
        <v>2.6985199999999998</v>
      </c>
      <c r="V821" s="239">
        <v>0.30248000000000003</v>
      </c>
      <c r="W821" s="239">
        <v>0.33401999999999998</v>
      </c>
      <c r="X821" s="239">
        <v>0</v>
      </c>
      <c r="Y821" s="239">
        <v>0</v>
      </c>
      <c r="Z821" s="239">
        <v>6.4297599999999999</v>
      </c>
      <c r="AA821" s="239">
        <v>0.85035000000000005</v>
      </c>
      <c r="AB821" s="239">
        <v>6.1439700000000004</v>
      </c>
      <c r="AC821" s="239">
        <v>0</v>
      </c>
      <c r="AD821" s="239">
        <v>1</v>
      </c>
      <c r="AE821" s="239" t="s">
        <v>720</v>
      </c>
      <c r="AF821" s="239" t="s">
        <v>721</v>
      </c>
      <c r="AG821" s="239">
        <f t="shared" si="62"/>
        <v>0</v>
      </c>
      <c r="AH821" s="239">
        <f t="shared" si="63"/>
        <v>3.0302157599999999</v>
      </c>
      <c r="AI821" s="239">
        <f t="shared" si="64"/>
        <v>6.0702423599999999</v>
      </c>
      <c r="AJ821" s="239">
        <f t="shared" si="65"/>
        <v>9.100458119999999</v>
      </c>
    </row>
    <row r="822" spans="1:36" x14ac:dyDescent="0.2">
      <c r="A822" s="240" t="str">
        <f t="shared" si="66"/>
        <v>32SYMLBMSNMBF50</v>
      </c>
      <c r="B822" s="239" t="s">
        <v>19</v>
      </c>
      <c r="C822" s="239" t="s">
        <v>28</v>
      </c>
      <c r="D822" s="239" t="s">
        <v>205</v>
      </c>
      <c r="E822" s="239" t="s">
        <v>724</v>
      </c>
      <c r="F822" s="239" t="s">
        <v>233</v>
      </c>
      <c r="G822" s="239">
        <v>50</v>
      </c>
      <c r="H822" s="239" t="s">
        <v>928</v>
      </c>
      <c r="I822" s="239" t="s">
        <v>2599</v>
      </c>
      <c r="J822" s="239" t="s">
        <v>928</v>
      </c>
      <c r="K822" s="239" t="s">
        <v>2398</v>
      </c>
      <c r="L822" s="239">
        <v>9.10046</v>
      </c>
      <c r="M822" s="239">
        <v>100</v>
      </c>
      <c r="N822" s="239">
        <v>0</v>
      </c>
      <c r="O822" s="239">
        <v>0</v>
      </c>
      <c r="P822" s="239">
        <v>0</v>
      </c>
      <c r="Q822" s="239">
        <v>0</v>
      </c>
      <c r="R822" s="239">
        <v>0</v>
      </c>
      <c r="S822" s="239">
        <v>0</v>
      </c>
      <c r="T822" s="239">
        <v>0.37404999999999999</v>
      </c>
      <c r="U822" s="239">
        <v>0</v>
      </c>
      <c r="V822" s="239">
        <v>0.74595999999999996</v>
      </c>
      <c r="W822" s="239">
        <v>1.91021</v>
      </c>
      <c r="X822" s="239">
        <v>0</v>
      </c>
      <c r="Y822" s="239">
        <v>0</v>
      </c>
      <c r="Z822" s="239">
        <v>4.3010000000000002</v>
      </c>
      <c r="AA822" s="239">
        <v>1.7692399999999999</v>
      </c>
      <c r="AB822" s="239">
        <v>0</v>
      </c>
      <c r="AC822" s="239">
        <v>0</v>
      </c>
      <c r="AD822" s="239">
        <v>1</v>
      </c>
      <c r="AE822" s="239" t="s">
        <v>720</v>
      </c>
      <c r="AF822" s="239" t="s">
        <v>721</v>
      </c>
      <c r="AG822" s="239">
        <f t="shared" si="62"/>
        <v>0</v>
      </c>
      <c r="AH822" s="239">
        <f t="shared" si="63"/>
        <v>0</v>
      </c>
      <c r="AI822" s="239">
        <f t="shared" si="64"/>
        <v>0</v>
      </c>
      <c r="AJ822" s="239">
        <f t="shared" si="65"/>
        <v>0</v>
      </c>
    </row>
    <row r="823" spans="1:36" x14ac:dyDescent="0.2">
      <c r="A823" s="240" t="str">
        <f t="shared" si="66"/>
        <v>3SYMLBMSNMBZF25</v>
      </c>
      <c r="B823" s="239" t="s">
        <v>19</v>
      </c>
      <c r="C823" s="239" t="s">
        <v>28</v>
      </c>
      <c r="D823" s="239" t="s">
        <v>205</v>
      </c>
      <c r="E823" s="239" t="s">
        <v>724</v>
      </c>
      <c r="F823" s="239" t="s">
        <v>235</v>
      </c>
      <c r="G823" s="239">
        <v>25</v>
      </c>
      <c r="H823" s="239" t="s">
        <v>928</v>
      </c>
      <c r="I823" s="239" t="s">
        <v>2471</v>
      </c>
      <c r="J823" s="239" t="s">
        <v>928</v>
      </c>
      <c r="K823" s="239" t="s">
        <v>2398</v>
      </c>
      <c r="L823" s="239">
        <v>17.137039999999999</v>
      </c>
      <c r="M823" s="239">
        <v>98.3</v>
      </c>
      <c r="N823" s="239">
        <v>0</v>
      </c>
      <c r="O823" s="239">
        <v>0</v>
      </c>
      <c r="P823" s="239">
        <v>3.0826199999999999</v>
      </c>
      <c r="Q823" s="239">
        <v>0</v>
      </c>
      <c r="R823" s="239">
        <v>0</v>
      </c>
      <c r="S823" s="239">
        <v>0</v>
      </c>
      <c r="T823" s="239">
        <v>0</v>
      </c>
      <c r="U823" s="239">
        <v>1.3492599999999999</v>
      </c>
      <c r="V823" s="239">
        <v>0.30248000000000003</v>
      </c>
      <c r="W823" s="239">
        <v>0.27301999999999998</v>
      </c>
      <c r="X823" s="239">
        <v>0</v>
      </c>
      <c r="Y823" s="239">
        <v>0</v>
      </c>
      <c r="Z823" s="239">
        <v>5.2642800000000003</v>
      </c>
      <c r="AA823" s="239">
        <v>0.69016</v>
      </c>
      <c r="AB823" s="239">
        <v>6.1752200000000004</v>
      </c>
      <c r="AC823" s="239">
        <v>0</v>
      </c>
      <c r="AD823" s="239">
        <v>1</v>
      </c>
      <c r="AE823" s="239" t="s">
        <v>720</v>
      </c>
      <c r="AF823" s="239" t="s">
        <v>721</v>
      </c>
      <c r="AG823" s="239">
        <f t="shared" si="62"/>
        <v>0</v>
      </c>
      <c r="AH823" s="239">
        <f t="shared" si="63"/>
        <v>3.03021546</v>
      </c>
      <c r="AI823" s="239">
        <f t="shared" si="64"/>
        <v>6.0702412600000004</v>
      </c>
      <c r="AJ823" s="239">
        <f t="shared" si="65"/>
        <v>9.1004567200000004</v>
      </c>
    </row>
    <row r="824" spans="1:36" x14ac:dyDescent="0.2">
      <c r="A824" s="240" t="str">
        <f t="shared" si="66"/>
        <v>32SYMLBMSNMBZF25</v>
      </c>
      <c r="B824" s="239" t="s">
        <v>19</v>
      </c>
      <c r="C824" s="239" t="s">
        <v>28</v>
      </c>
      <c r="D824" s="239" t="s">
        <v>205</v>
      </c>
      <c r="E824" s="239" t="s">
        <v>724</v>
      </c>
      <c r="F824" s="239" t="s">
        <v>235</v>
      </c>
      <c r="G824" s="239">
        <v>25</v>
      </c>
      <c r="H824" s="239" t="s">
        <v>928</v>
      </c>
      <c r="I824" s="239" t="s">
        <v>2599</v>
      </c>
      <c r="J824" s="239" t="s">
        <v>928</v>
      </c>
      <c r="K824" s="239" t="s">
        <v>2398</v>
      </c>
      <c r="L824" s="239">
        <v>9.10046</v>
      </c>
      <c r="M824" s="239">
        <v>100</v>
      </c>
      <c r="N824" s="239">
        <v>0</v>
      </c>
      <c r="O824" s="239">
        <v>0</v>
      </c>
      <c r="P824" s="239">
        <v>0</v>
      </c>
      <c r="Q824" s="239">
        <v>0</v>
      </c>
      <c r="R824" s="239">
        <v>0</v>
      </c>
      <c r="S824" s="239">
        <v>0</v>
      </c>
      <c r="T824" s="239">
        <v>0.37404999999999999</v>
      </c>
      <c r="U824" s="239">
        <v>0</v>
      </c>
      <c r="V824" s="239">
        <v>0.74595999999999996</v>
      </c>
      <c r="W824" s="239">
        <v>1.91021</v>
      </c>
      <c r="X824" s="239">
        <v>0</v>
      </c>
      <c r="Y824" s="239">
        <v>0</v>
      </c>
      <c r="Z824" s="239">
        <v>4.3010000000000002</v>
      </c>
      <c r="AA824" s="239">
        <v>1.7692399999999999</v>
      </c>
      <c r="AB824" s="239">
        <v>0</v>
      </c>
      <c r="AC824" s="239">
        <v>0</v>
      </c>
      <c r="AD824" s="239">
        <v>1</v>
      </c>
      <c r="AE824" s="239" t="s">
        <v>720</v>
      </c>
      <c r="AF824" s="239" t="s">
        <v>721</v>
      </c>
      <c r="AG824" s="239">
        <f t="shared" si="62"/>
        <v>0</v>
      </c>
      <c r="AH824" s="239">
        <f t="shared" si="63"/>
        <v>0</v>
      </c>
      <c r="AI824" s="239">
        <f t="shared" si="64"/>
        <v>0</v>
      </c>
      <c r="AJ824" s="239">
        <f t="shared" si="65"/>
        <v>0</v>
      </c>
    </row>
    <row r="825" spans="1:36" x14ac:dyDescent="0.2">
      <c r="A825" s="240" t="str">
        <f t="shared" si="66"/>
        <v>3SYMLBMSNMBZF50</v>
      </c>
      <c r="B825" s="239" t="s">
        <v>19</v>
      </c>
      <c r="C825" s="239" t="s">
        <v>28</v>
      </c>
      <c r="D825" s="239" t="s">
        <v>205</v>
      </c>
      <c r="E825" s="239" t="s">
        <v>724</v>
      </c>
      <c r="F825" s="239" t="s">
        <v>235</v>
      </c>
      <c r="G825" s="239">
        <v>50</v>
      </c>
      <c r="H825" s="239" t="s">
        <v>928</v>
      </c>
      <c r="I825" s="239" t="s">
        <v>2471</v>
      </c>
      <c r="J825" s="239" t="s">
        <v>928</v>
      </c>
      <c r="K825" s="239" t="s">
        <v>2398</v>
      </c>
      <c r="L825" s="239">
        <v>21.558199999999999</v>
      </c>
      <c r="M825" s="239">
        <v>99</v>
      </c>
      <c r="N825" s="239">
        <v>0</v>
      </c>
      <c r="O825" s="239">
        <v>0</v>
      </c>
      <c r="P825" s="239">
        <v>3.7131400000000001</v>
      </c>
      <c r="Q825" s="239">
        <v>0</v>
      </c>
      <c r="R825" s="239">
        <v>0</v>
      </c>
      <c r="S825" s="239">
        <v>0</v>
      </c>
      <c r="T825" s="239">
        <v>0</v>
      </c>
      <c r="U825" s="239">
        <v>2.6985199999999998</v>
      </c>
      <c r="V825" s="239">
        <v>0.30248000000000003</v>
      </c>
      <c r="W825" s="239">
        <v>0.33401999999999998</v>
      </c>
      <c r="X825" s="239">
        <v>0</v>
      </c>
      <c r="Y825" s="239">
        <v>0</v>
      </c>
      <c r="Z825" s="239">
        <v>6.4235800000000003</v>
      </c>
      <c r="AA825" s="239">
        <v>0.84914999999999996</v>
      </c>
      <c r="AB825" s="239">
        <v>7.2373099999999999</v>
      </c>
      <c r="AC825" s="239">
        <v>0</v>
      </c>
      <c r="AD825" s="239">
        <v>1</v>
      </c>
      <c r="AE825" s="239" t="s">
        <v>720</v>
      </c>
      <c r="AF825" s="239" t="s">
        <v>721</v>
      </c>
      <c r="AG825" s="239">
        <f t="shared" si="62"/>
        <v>0</v>
      </c>
      <c r="AH825" s="239">
        <f t="shared" si="63"/>
        <v>3.6760086000000003</v>
      </c>
      <c r="AI825" s="239">
        <f t="shared" si="64"/>
        <v>7.1649368999999998</v>
      </c>
      <c r="AJ825" s="239">
        <f t="shared" si="65"/>
        <v>10.8409455</v>
      </c>
    </row>
    <row r="826" spans="1:36" x14ac:dyDescent="0.2">
      <c r="A826" s="240" t="str">
        <f t="shared" si="66"/>
        <v>32SYMLBMSNMBZF50</v>
      </c>
      <c r="B826" s="239" t="s">
        <v>19</v>
      </c>
      <c r="C826" s="239" t="s">
        <v>28</v>
      </c>
      <c r="D826" s="239" t="s">
        <v>205</v>
      </c>
      <c r="E826" s="239" t="s">
        <v>724</v>
      </c>
      <c r="F826" s="239" t="s">
        <v>235</v>
      </c>
      <c r="G826" s="239">
        <v>50</v>
      </c>
      <c r="H826" s="239" t="s">
        <v>928</v>
      </c>
      <c r="I826" s="239" t="s">
        <v>2599</v>
      </c>
      <c r="J826" s="239" t="s">
        <v>928</v>
      </c>
      <c r="K826" s="239" t="s">
        <v>2398</v>
      </c>
      <c r="L826" s="239">
        <v>10.840949999999999</v>
      </c>
      <c r="M826" s="239">
        <v>100</v>
      </c>
      <c r="N826" s="239">
        <v>0</v>
      </c>
      <c r="O826" s="239">
        <v>0</v>
      </c>
      <c r="P826" s="239">
        <v>0</v>
      </c>
      <c r="Q826" s="239">
        <v>0</v>
      </c>
      <c r="R826" s="239">
        <v>0</v>
      </c>
      <c r="S826" s="239">
        <v>0</v>
      </c>
      <c r="T826" s="239">
        <v>0.43951000000000001</v>
      </c>
      <c r="U826" s="239">
        <v>0</v>
      </c>
      <c r="V826" s="239">
        <v>0.99394000000000005</v>
      </c>
      <c r="W826" s="239">
        <v>2.2425600000000001</v>
      </c>
      <c r="X826" s="239">
        <v>0</v>
      </c>
      <c r="Y826" s="239">
        <v>0</v>
      </c>
      <c r="Z826" s="239">
        <v>5.07578</v>
      </c>
      <c r="AA826" s="239">
        <v>2.0891600000000001</v>
      </c>
      <c r="AB826" s="239">
        <v>0</v>
      </c>
      <c r="AC826" s="239">
        <v>0</v>
      </c>
      <c r="AD826" s="239">
        <v>1</v>
      </c>
      <c r="AE826" s="239" t="s">
        <v>720</v>
      </c>
      <c r="AF826" s="239" t="s">
        <v>721</v>
      </c>
      <c r="AG826" s="239">
        <f t="shared" si="62"/>
        <v>0</v>
      </c>
      <c r="AH826" s="239">
        <f t="shared" si="63"/>
        <v>0</v>
      </c>
      <c r="AI826" s="239">
        <f t="shared" si="64"/>
        <v>0</v>
      </c>
      <c r="AJ826" s="239">
        <f t="shared" si="65"/>
        <v>0</v>
      </c>
    </row>
    <row r="827" spans="1:36" x14ac:dyDescent="0.2">
      <c r="A827" s="240" t="str">
        <f t="shared" si="66"/>
        <v>3SYMLBMSSMBF50</v>
      </c>
      <c r="B827" s="239" t="s">
        <v>19</v>
      </c>
      <c r="C827" s="239" t="s">
        <v>28</v>
      </c>
      <c r="D827" s="239" t="s">
        <v>205</v>
      </c>
      <c r="E827" s="239" t="s">
        <v>724</v>
      </c>
      <c r="F827" s="239" t="s">
        <v>237</v>
      </c>
      <c r="G827" s="239">
        <v>50</v>
      </c>
      <c r="H827" s="239" t="s">
        <v>928</v>
      </c>
      <c r="I827" s="239" t="s">
        <v>2471</v>
      </c>
      <c r="J827" s="239" t="s">
        <v>928</v>
      </c>
      <c r="K827" s="239" t="s">
        <v>2398</v>
      </c>
      <c r="L827" s="239">
        <v>78.758780000000002</v>
      </c>
      <c r="M827" s="239">
        <v>98</v>
      </c>
      <c r="N827" s="239">
        <v>0</v>
      </c>
      <c r="O827" s="239">
        <v>57.010199999999998</v>
      </c>
      <c r="P827" s="239">
        <v>3.7510300000000001</v>
      </c>
      <c r="Q827" s="239">
        <v>0</v>
      </c>
      <c r="R827" s="239">
        <v>0</v>
      </c>
      <c r="S827" s="239">
        <v>0</v>
      </c>
      <c r="T827" s="239">
        <v>0</v>
      </c>
      <c r="U827" s="239">
        <v>2.6985199999999998</v>
      </c>
      <c r="V827" s="239">
        <v>0.30248000000000003</v>
      </c>
      <c r="W827" s="239">
        <v>0.33701999999999999</v>
      </c>
      <c r="X827" s="239">
        <v>0</v>
      </c>
      <c r="Y827" s="239">
        <v>0</v>
      </c>
      <c r="Z827" s="239">
        <v>6.4895899999999997</v>
      </c>
      <c r="AA827" s="239">
        <v>0.85877999999999999</v>
      </c>
      <c r="AB827" s="239">
        <v>7.3111600000000001</v>
      </c>
      <c r="AC827" s="239">
        <v>0</v>
      </c>
      <c r="AD827" s="239">
        <v>1</v>
      </c>
      <c r="AE827" s="239" t="s">
        <v>720</v>
      </c>
      <c r="AF827" s="239" t="s">
        <v>721</v>
      </c>
      <c r="AG827" s="239">
        <f t="shared" si="62"/>
        <v>55.869996</v>
      </c>
      <c r="AH827" s="239">
        <f t="shared" si="63"/>
        <v>3.6760094000000003</v>
      </c>
      <c r="AI827" s="239">
        <f t="shared" si="64"/>
        <v>7.1649368000000004</v>
      </c>
      <c r="AJ827" s="239">
        <f t="shared" si="65"/>
        <v>66.710942200000005</v>
      </c>
    </row>
    <row r="828" spans="1:36" x14ac:dyDescent="0.2">
      <c r="A828" s="240" t="str">
        <f t="shared" si="66"/>
        <v>32SYMLBMSSMBF50</v>
      </c>
      <c r="B828" s="239" t="s">
        <v>19</v>
      </c>
      <c r="C828" s="239" t="s">
        <v>28</v>
      </c>
      <c r="D828" s="239" t="s">
        <v>205</v>
      </c>
      <c r="E828" s="239" t="s">
        <v>724</v>
      </c>
      <c r="F828" s="239" t="s">
        <v>237</v>
      </c>
      <c r="G828" s="239">
        <v>50</v>
      </c>
      <c r="H828" s="239" t="s">
        <v>928</v>
      </c>
      <c r="I828" s="239" t="s">
        <v>2599</v>
      </c>
      <c r="J828" s="239" t="s">
        <v>928</v>
      </c>
      <c r="K828" s="239" t="s">
        <v>2398</v>
      </c>
      <c r="L828" s="239">
        <v>10.840949999999999</v>
      </c>
      <c r="M828" s="239">
        <v>100</v>
      </c>
      <c r="N828" s="239">
        <v>0</v>
      </c>
      <c r="O828" s="239">
        <v>0</v>
      </c>
      <c r="P828" s="239">
        <v>0</v>
      </c>
      <c r="Q828" s="239">
        <v>0</v>
      </c>
      <c r="R828" s="239">
        <v>0</v>
      </c>
      <c r="S828" s="239">
        <v>0</v>
      </c>
      <c r="T828" s="239">
        <v>0.43951000000000001</v>
      </c>
      <c r="U828" s="239">
        <v>0</v>
      </c>
      <c r="V828" s="239">
        <v>0.99394000000000005</v>
      </c>
      <c r="W828" s="239">
        <v>2.2425600000000001</v>
      </c>
      <c r="X828" s="239">
        <v>0</v>
      </c>
      <c r="Y828" s="239">
        <v>0</v>
      </c>
      <c r="Z828" s="239">
        <v>5.07578</v>
      </c>
      <c r="AA828" s="239">
        <v>2.0891600000000001</v>
      </c>
      <c r="AB828" s="239">
        <v>0</v>
      </c>
      <c r="AC828" s="239">
        <v>0</v>
      </c>
      <c r="AD828" s="239">
        <v>1</v>
      </c>
      <c r="AE828" s="239" t="s">
        <v>720</v>
      </c>
      <c r="AF828" s="239" t="s">
        <v>721</v>
      </c>
      <c r="AG828" s="239">
        <f t="shared" si="62"/>
        <v>0</v>
      </c>
      <c r="AH828" s="239">
        <f t="shared" si="63"/>
        <v>0</v>
      </c>
      <c r="AI828" s="239">
        <f t="shared" si="64"/>
        <v>0</v>
      </c>
      <c r="AJ828" s="239">
        <f t="shared" si="65"/>
        <v>0</v>
      </c>
    </row>
    <row r="829" spans="1:36" x14ac:dyDescent="0.2">
      <c r="A829" s="240" t="str">
        <f t="shared" si="66"/>
        <v>3SYMLBMSSMBZF50</v>
      </c>
      <c r="B829" s="239" t="s">
        <v>19</v>
      </c>
      <c r="C829" s="239" t="s">
        <v>28</v>
      </c>
      <c r="D829" s="239" t="s">
        <v>205</v>
      </c>
      <c r="E829" s="239" t="s">
        <v>724</v>
      </c>
      <c r="F829" s="239" t="s">
        <v>240</v>
      </c>
      <c r="G829" s="239">
        <v>50</v>
      </c>
      <c r="H829" s="239" t="s">
        <v>928</v>
      </c>
      <c r="I829" s="239" t="s">
        <v>2471</v>
      </c>
      <c r="J829" s="239" t="s">
        <v>928</v>
      </c>
      <c r="K829" s="239" t="s">
        <v>2398</v>
      </c>
      <c r="L829" s="239">
        <v>91.115930000000006</v>
      </c>
      <c r="M829" s="239">
        <v>98</v>
      </c>
      <c r="N829" s="239">
        <v>0</v>
      </c>
      <c r="O829" s="239">
        <v>69.367350000000002</v>
      </c>
      <c r="P829" s="239">
        <v>3.7510300000000001</v>
      </c>
      <c r="Q829" s="239">
        <v>0</v>
      </c>
      <c r="R829" s="239">
        <v>0</v>
      </c>
      <c r="S829" s="239">
        <v>0</v>
      </c>
      <c r="T829" s="239">
        <v>0</v>
      </c>
      <c r="U829" s="239">
        <v>2.6985199999999998</v>
      </c>
      <c r="V829" s="239">
        <v>0.30248000000000003</v>
      </c>
      <c r="W829" s="239">
        <v>0.33701999999999999</v>
      </c>
      <c r="X829" s="239">
        <v>0</v>
      </c>
      <c r="Y829" s="239">
        <v>0</v>
      </c>
      <c r="Z829" s="239">
        <v>6.4895899999999997</v>
      </c>
      <c r="AA829" s="239">
        <v>0.85877999999999999</v>
      </c>
      <c r="AB829" s="239">
        <v>7.3111600000000001</v>
      </c>
      <c r="AC829" s="239">
        <v>0</v>
      </c>
      <c r="AD829" s="239">
        <v>1</v>
      </c>
      <c r="AE829" s="239" t="s">
        <v>720</v>
      </c>
      <c r="AF829" s="239" t="s">
        <v>721</v>
      </c>
      <c r="AG829" s="239">
        <f t="shared" si="62"/>
        <v>67.980003000000011</v>
      </c>
      <c r="AH829" s="239">
        <f t="shared" si="63"/>
        <v>3.6760094000000003</v>
      </c>
      <c r="AI829" s="239">
        <f t="shared" si="64"/>
        <v>7.1649368000000004</v>
      </c>
      <c r="AJ829" s="239">
        <f t="shared" si="65"/>
        <v>78.820949200000015</v>
      </c>
    </row>
    <row r="830" spans="1:36" x14ac:dyDescent="0.2">
      <c r="A830" s="240" t="str">
        <f t="shared" si="66"/>
        <v>32SYMLBMSSMBZF50</v>
      </c>
      <c r="B830" s="239" t="s">
        <v>19</v>
      </c>
      <c r="C830" s="239" t="s">
        <v>28</v>
      </c>
      <c r="D830" s="239" t="s">
        <v>205</v>
      </c>
      <c r="E830" s="239" t="s">
        <v>724</v>
      </c>
      <c r="F830" s="239" t="s">
        <v>240</v>
      </c>
      <c r="G830" s="239">
        <v>50</v>
      </c>
      <c r="H830" s="239" t="s">
        <v>928</v>
      </c>
      <c r="I830" s="239" t="s">
        <v>2599</v>
      </c>
      <c r="J830" s="239" t="s">
        <v>928</v>
      </c>
      <c r="K830" s="239" t="s">
        <v>2398</v>
      </c>
      <c r="L830" s="239">
        <v>10.840949999999999</v>
      </c>
      <c r="M830" s="239">
        <v>100</v>
      </c>
      <c r="N830" s="239">
        <v>0</v>
      </c>
      <c r="O830" s="239">
        <v>0</v>
      </c>
      <c r="P830" s="239">
        <v>0</v>
      </c>
      <c r="Q830" s="239">
        <v>0</v>
      </c>
      <c r="R830" s="239">
        <v>0</v>
      </c>
      <c r="S830" s="239">
        <v>0</v>
      </c>
      <c r="T830" s="239">
        <v>0.43951000000000001</v>
      </c>
      <c r="U830" s="239">
        <v>0</v>
      </c>
      <c r="V830" s="239">
        <v>0.99394000000000005</v>
      </c>
      <c r="W830" s="239">
        <v>2.2425600000000001</v>
      </c>
      <c r="X830" s="239">
        <v>0</v>
      </c>
      <c r="Y830" s="239">
        <v>0</v>
      </c>
      <c r="Z830" s="239">
        <v>5.07578</v>
      </c>
      <c r="AA830" s="239">
        <v>2.0891600000000001</v>
      </c>
      <c r="AB830" s="239">
        <v>0</v>
      </c>
      <c r="AC830" s="239">
        <v>0</v>
      </c>
      <c r="AD830" s="239">
        <v>1</v>
      </c>
      <c r="AE830" s="239" t="s">
        <v>720</v>
      </c>
      <c r="AF830" s="239" t="s">
        <v>721</v>
      </c>
      <c r="AG830" s="239">
        <f t="shared" si="62"/>
        <v>0</v>
      </c>
      <c r="AH830" s="239">
        <f t="shared" si="63"/>
        <v>0</v>
      </c>
      <c r="AI830" s="239">
        <f t="shared" si="64"/>
        <v>0</v>
      </c>
      <c r="AJ830" s="239">
        <f t="shared" si="65"/>
        <v>0</v>
      </c>
    </row>
    <row r="831" spans="1:36" x14ac:dyDescent="0.2">
      <c r="A831" s="240" t="str">
        <f t="shared" si="66"/>
        <v>3S5GTNBR101912</v>
      </c>
      <c r="B831" s="239" t="s">
        <v>265</v>
      </c>
      <c r="C831" s="239" t="s">
        <v>20</v>
      </c>
      <c r="D831" s="239" t="s">
        <v>2439</v>
      </c>
      <c r="E831" s="239" t="s">
        <v>2440</v>
      </c>
      <c r="F831" s="239" t="s">
        <v>2455</v>
      </c>
      <c r="G831" s="239">
        <v>12</v>
      </c>
      <c r="H831" s="239" t="s">
        <v>928</v>
      </c>
      <c r="I831" s="239" t="s">
        <v>2668</v>
      </c>
      <c r="J831" s="239" t="s">
        <v>928</v>
      </c>
      <c r="K831" s="239" t="s">
        <v>2398</v>
      </c>
      <c r="L831" s="239">
        <v>5709.9532200000003</v>
      </c>
      <c r="M831" s="239">
        <v>90</v>
      </c>
      <c r="N831" s="239">
        <v>0</v>
      </c>
      <c r="O831" s="239">
        <v>2835.5555599999998</v>
      </c>
      <c r="P831" s="239">
        <v>0</v>
      </c>
      <c r="Q831" s="239">
        <v>0</v>
      </c>
      <c r="R831" s="239">
        <v>0</v>
      </c>
      <c r="S831" s="239">
        <v>0</v>
      </c>
      <c r="T831" s="239">
        <v>97</v>
      </c>
      <c r="U831" s="239">
        <v>213</v>
      </c>
      <c r="V831" s="239">
        <v>373.94761999999997</v>
      </c>
      <c r="W831" s="239">
        <v>251.83185</v>
      </c>
      <c r="X831" s="239">
        <v>0</v>
      </c>
      <c r="Y831" s="239">
        <v>0</v>
      </c>
      <c r="Z831" s="239">
        <v>1938.6181899999999</v>
      </c>
      <c r="AA831" s="239">
        <v>0</v>
      </c>
      <c r="AB831" s="239">
        <v>0</v>
      </c>
      <c r="AC831" s="239">
        <v>0</v>
      </c>
      <c r="AD831" s="239">
        <v>1</v>
      </c>
      <c r="AE831" s="239" t="s">
        <v>720</v>
      </c>
      <c r="AF831" s="239" t="s">
        <v>721</v>
      </c>
      <c r="AG831" s="239">
        <f t="shared" si="62"/>
        <v>2552.000004</v>
      </c>
      <c r="AH831" s="239">
        <f t="shared" si="63"/>
        <v>0</v>
      </c>
      <c r="AI831" s="239">
        <f t="shared" si="64"/>
        <v>0</v>
      </c>
      <c r="AJ831" s="239">
        <f t="shared" si="65"/>
        <v>2552.000004</v>
      </c>
    </row>
    <row r="832" spans="1:36" x14ac:dyDescent="0.2">
      <c r="A832" s="240" t="str">
        <f t="shared" si="66"/>
        <v>TNBR101912</v>
      </c>
      <c r="B832" s="239" t="s">
        <v>265</v>
      </c>
      <c r="C832" s="239" t="s">
        <v>20</v>
      </c>
      <c r="D832" s="239" t="s">
        <v>2439</v>
      </c>
      <c r="E832" s="239" t="s">
        <v>2440</v>
      </c>
      <c r="F832" s="239" t="s">
        <v>2455</v>
      </c>
      <c r="G832" s="239">
        <v>12</v>
      </c>
      <c r="H832" s="239" t="s">
        <v>928</v>
      </c>
      <c r="I832" s="239" t="s">
        <v>928</v>
      </c>
      <c r="J832" s="239" t="s">
        <v>928</v>
      </c>
      <c r="K832" s="239" t="s">
        <v>2398</v>
      </c>
      <c r="L832" s="239">
        <v>5709.95298</v>
      </c>
      <c r="M832" s="239">
        <v>90</v>
      </c>
      <c r="N832" s="239">
        <v>0</v>
      </c>
      <c r="O832" s="239">
        <v>2835.5557600000002</v>
      </c>
      <c r="P832" s="239">
        <v>0</v>
      </c>
      <c r="Q832" s="239">
        <v>0</v>
      </c>
      <c r="R832" s="239">
        <v>0</v>
      </c>
      <c r="S832" s="239">
        <v>0</v>
      </c>
      <c r="T832" s="239">
        <v>96.999780000000001</v>
      </c>
      <c r="U832" s="239">
        <v>213.00022000000001</v>
      </c>
      <c r="V832" s="239">
        <v>373.94772</v>
      </c>
      <c r="W832" s="239">
        <v>251.83168000000001</v>
      </c>
      <c r="X832" s="239">
        <v>0</v>
      </c>
      <c r="Y832" s="239">
        <v>0</v>
      </c>
      <c r="Z832" s="239">
        <v>1938.6178199999999</v>
      </c>
      <c r="AA832" s="239">
        <v>0</v>
      </c>
      <c r="AB832" s="239">
        <v>0</v>
      </c>
      <c r="AC832" s="239">
        <v>0</v>
      </c>
      <c r="AD832" s="239">
        <v>1</v>
      </c>
      <c r="AE832" s="239" t="s">
        <v>20</v>
      </c>
      <c r="AF832" s="239" t="s">
        <v>718</v>
      </c>
      <c r="AG832" s="239">
        <f t="shared" si="62"/>
        <v>2552.0001840000004</v>
      </c>
      <c r="AH832" s="239">
        <f t="shared" si="63"/>
        <v>0</v>
      </c>
      <c r="AI832" s="239">
        <f t="shared" si="64"/>
        <v>0</v>
      </c>
      <c r="AJ832" s="239">
        <f t="shared" si="65"/>
        <v>2552.0001840000004</v>
      </c>
    </row>
    <row r="833" spans="1:36" x14ac:dyDescent="0.2">
      <c r="A833" s="240" t="str">
        <f t="shared" si="66"/>
        <v>3H55TNBR1712TTB10</v>
      </c>
      <c r="B833" s="239" t="s">
        <v>265</v>
      </c>
      <c r="C833" s="239" t="s">
        <v>20</v>
      </c>
      <c r="D833" s="239" t="s">
        <v>2439</v>
      </c>
      <c r="E833" s="239" t="s">
        <v>2440</v>
      </c>
      <c r="F833" s="239" t="s">
        <v>2466</v>
      </c>
      <c r="G833" s="239">
        <v>10</v>
      </c>
      <c r="H833" s="239" t="s">
        <v>928</v>
      </c>
      <c r="I833" s="239" t="s">
        <v>2669</v>
      </c>
      <c r="J833" s="239" t="s">
        <v>928</v>
      </c>
      <c r="K833" s="239" t="s">
        <v>2398</v>
      </c>
      <c r="L833" s="239">
        <v>6892.2607500000004</v>
      </c>
      <c r="M833" s="239">
        <v>88</v>
      </c>
      <c r="N833" s="239">
        <v>0</v>
      </c>
      <c r="O833" s="239">
        <v>2068.1818199999998</v>
      </c>
      <c r="P833" s="239">
        <v>0</v>
      </c>
      <c r="Q833" s="239">
        <v>0</v>
      </c>
      <c r="R833" s="239">
        <v>0</v>
      </c>
      <c r="S833" s="239">
        <v>0</v>
      </c>
      <c r="T833" s="239">
        <v>1352.2727299999999</v>
      </c>
      <c r="U833" s="239">
        <v>228.80529999999999</v>
      </c>
      <c r="V833" s="239">
        <v>207.51078000000001</v>
      </c>
      <c r="W833" s="239">
        <v>606.85784999999998</v>
      </c>
      <c r="X833" s="239">
        <v>0</v>
      </c>
      <c r="Y833" s="239">
        <v>0</v>
      </c>
      <c r="Z833" s="239">
        <v>2428.6322700000001</v>
      </c>
      <c r="AA833" s="239">
        <v>0</v>
      </c>
      <c r="AB833" s="239">
        <v>0</v>
      </c>
      <c r="AC833" s="239">
        <v>0</v>
      </c>
      <c r="AD833" s="239">
        <v>1</v>
      </c>
      <c r="AE833" s="239" t="s">
        <v>720</v>
      </c>
      <c r="AF833" s="239" t="s">
        <v>721</v>
      </c>
      <c r="AG833" s="239">
        <f t="shared" si="62"/>
        <v>1820.0000015999999</v>
      </c>
      <c r="AH833" s="239">
        <f t="shared" si="63"/>
        <v>0</v>
      </c>
      <c r="AI833" s="239">
        <f t="shared" si="64"/>
        <v>0</v>
      </c>
      <c r="AJ833" s="239">
        <f t="shared" si="65"/>
        <v>1820.0000015999999</v>
      </c>
    </row>
    <row r="834" spans="1:36" x14ac:dyDescent="0.2">
      <c r="A834" s="240" t="str">
        <f t="shared" si="66"/>
        <v>TNBR1712TTB10</v>
      </c>
      <c r="B834" s="239" t="s">
        <v>265</v>
      </c>
      <c r="C834" s="239" t="s">
        <v>20</v>
      </c>
      <c r="D834" s="239" t="s">
        <v>2439</v>
      </c>
      <c r="E834" s="239" t="s">
        <v>2440</v>
      </c>
      <c r="F834" s="239" t="s">
        <v>2466</v>
      </c>
      <c r="G834" s="239">
        <v>10</v>
      </c>
      <c r="H834" s="239" t="s">
        <v>928</v>
      </c>
      <c r="I834" s="239" t="s">
        <v>928</v>
      </c>
      <c r="J834" s="239" t="s">
        <v>928</v>
      </c>
      <c r="K834" s="239" t="s">
        <v>2398</v>
      </c>
      <c r="L834" s="239">
        <v>6892.2605899999999</v>
      </c>
      <c r="M834" s="239">
        <v>88</v>
      </c>
      <c r="N834" s="239">
        <v>0</v>
      </c>
      <c r="O834" s="239">
        <v>2068.1817500000002</v>
      </c>
      <c r="P834" s="239">
        <v>0</v>
      </c>
      <c r="Q834" s="239">
        <v>0</v>
      </c>
      <c r="R834" s="239">
        <v>0</v>
      </c>
      <c r="S834" s="239">
        <v>0</v>
      </c>
      <c r="T834" s="239">
        <v>1352.2727</v>
      </c>
      <c r="U834" s="239">
        <v>228.80529000000001</v>
      </c>
      <c r="V834" s="239">
        <v>207.51079999999999</v>
      </c>
      <c r="W834" s="239">
        <v>606.85778000000005</v>
      </c>
      <c r="X834" s="239">
        <v>0</v>
      </c>
      <c r="Y834" s="239">
        <v>0</v>
      </c>
      <c r="Z834" s="239">
        <v>2428.6322700000001</v>
      </c>
      <c r="AA834" s="239">
        <v>0</v>
      </c>
      <c r="AB834" s="239">
        <v>0</v>
      </c>
      <c r="AC834" s="239">
        <v>0</v>
      </c>
      <c r="AD834" s="239">
        <v>1</v>
      </c>
      <c r="AE834" s="239" t="s">
        <v>720</v>
      </c>
      <c r="AF834" s="239" t="s">
        <v>721</v>
      </c>
      <c r="AG834" s="239">
        <f t="shared" si="62"/>
        <v>1819.9999400000002</v>
      </c>
      <c r="AH834" s="239">
        <f t="shared" si="63"/>
        <v>0</v>
      </c>
      <c r="AI834" s="239">
        <f t="shared" si="64"/>
        <v>0</v>
      </c>
      <c r="AJ834" s="239">
        <f t="shared" si="65"/>
        <v>1819.9999400000002</v>
      </c>
    </row>
    <row r="835" spans="1:36" x14ac:dyDescent="0.2">
      <c r="A835" s="240" t="str">
        <f t="shared" si="66"/>
        <v>3TNCERABX8A1425</v>
      </c>
      <c r="B835" s="239" t="s">
        <v>265</v>
      </c>
      <c r="C835" s="239" t="s">
        <v>20</v>
      </c>
      <c r="D835" s="239" t="s">
        <v>21</v>
      </c>
      <c r="E835" s="239" t="s">
        <v>719</v>
      </c>
      <c r="F835" s="239" t="s">
        <v>632</v>
      </c>
      <c r="G835" s="239">
        <v>25</v>
      </c>
      <c r="H835" s="239" t="s">
        <v>928</v>
      </c>
      <c r="I835" s="239" t="s">
        <v>2471</v>
      </c>
      <c r="J835" s="239" t="s">
        <v>928</v>
      </c>
      <c r="K835" s="239" t="s">
        <v>2398</v>
      </c>
      <c r="L835" s="239">
        <v>22.269819999999999</v>
      </c>
      <c r="M835" s="239">
        <v>95.8</v>
      </c>
      <c r="N835" s="239">
        <v>0</v>
      </c>
      <c r="O835" s="239">
        <v>0</v>
      </c>
      <c r="P835" s="239">
        <v>0</v>
      </c>
      <c r="Q835" s="239">
        <v>0</v>
      </c>
      <c r="R835" s="239">
        <v>0</v>
      </c>
      <c r="S835" s="239">
        <v>0</v>
      </c>
      <c r="T835" s="239">
        <v>6.85</v>
      </c>
      <c r="U835" s="239">
        <v>1.38811</v>
      </c>
      <c r="V835" s="239">
        <v>0.50170999999999999</v>
      </c>
      <c r="W835" s="239">
        <v>1.7401199999999999</v>
      </c>
      <c r="X835" s="239">
        <v>0</v>
      </c>
      <c r="Y835" s="239">
        <v>0</v>
      </c>
      <c r="Z835" s="239">
        <v>11.78988</v>
      </c>
      <c r="AA835" s="239">
        <v>0</v>
      </c>
      <c r="AB835" s="239">
        <v>0</v>
      </c>
      <c r="AC835" s="239">
        <v>0</v>
      </c>
      <c r="AD835" s="239">
        <v>1</v>
      </c>
      <c r="AE835" s="239" t="s">
        <v>720</v>
      </c>
      <c r="AF835" s="239" t="s">
        <v>721</v>
      </c>
      <c r="AG835" s="239">
        <f t="shared" si="62"/>
        <v>0</v>
      </c>
      <c r="AH835" s="239">
        <f t="shared" si="63"/>
        <v>0</v>
      </c>
      <c r="AI835" s="239">
        <f t="shared" si="64"/>
        <v>0</v>
      </c>
      <c r="AJ835" s="239">
        <f t="shared" si="65"/>
        <v>0</v>
      </c>
    </row>
    <row r="836" spans="1:36" x14ac:dyDescent="0.2">
      <c r="A836" s="240" t="str">
        <f t="shared" si="66"/>
        <v>3TNCERABX8A3775</v>
      </c>
      <c r="B836" s="239" t="s">
        <v>265</v>
      </c>
      <c r="C836" s="239" t="s">
        <v>20</v>
      </c>
      <c r="D836" s="239" t="s">
        <v>21</v>
      </c>
      <c r="E836" s="239" t="s">
        <v>719</v>
      </c>
      <c r="F836" s="239" t="s">
        <v>263</v>
      </c>
      <c r="G836" s="239">
        <v>75</v>
      </c>
      <c r="H836" s="239" t="s">
        <v>928</v>
      </c>
      <c r="I836" s="239" t="s">
        <v>2471</v>
      </c>
      <c r="J836" s="239" t="s">
        <v>928</v>
      </c>
      <c r="K836" s="239" t="s">
        <v>2398</v>
      </c>
      <c r="L836" s="239">
        <v>28.83736</v>
      </c>
      <c r="M836" s="239">
        <v>94.8</v>
      </c>
      <c r="N836" s="239">
        <v>0</v>
      </c>
      <c r="O836" s="239">
        <v>0</v>
      </c>
      <c r="P836" s="239">
        <v>0</v>
      </c>
      <c r="Q836" s="239">
        <v>0</v>
      </c>
      <c r="R836" s="239">
        <v>0</v>
      </c>
      <c r="S836" s="239">
        <v>0</v>
      </c>
      <c r="T836" s="239">
        <v>6.93</v>
      </c>
      <c r="U836" s="239">
        <v>1.4657800000000001</v>
      </c>
      <c r="V836" s="239">
        <v>0.96258999999999995</v>
      </c>
      <c r="W836" s="239">
        <v>3.05369</v>
      </c>
      <c r="X836" s="239">
        <v>0</v>
      </c>
      <c r="Y836" s="239">
        <v>0</v>
      </c>
      <c r="Z836" s="239">
        <v>16.4253</v>
      </c>
      <c r="AA836" s="239">
        <v>0</v>
      </c>
      <c r="AB836" s="239">
        <v>0</v>
      </c>
      <c r="AC836" s="239">
        <v>0</v>
      </c>
      <c r="AD836" s="239">
        <v>1</v>
      </c>
      <c r="AE836" s="239" t="s">
        <v>720</v>
      </c>
      <c r="AF836" s="239" t="s">
        <v>721</v>
      </c>
      <c r="AG836" s="239">
        <f t="shared" si="62"/>
        <v>0</v>
      </c>
      <c r="AH836" s="239">
        <f t="shared" si="63"/>
        <v>0</v>
      </c>
      <c r="AI836" s="239">
        <f t="shared" si="64"/>
        <v>0</v>
      </c>
      <c r="AJ836" s="239">
        <f t="shared" si="65"/>
        <v>0</v>
      </c>
    </row>
    <row r="837" spans="1:36" x14ac:dyDescent="0.2">
      <c r="A837" s="240" t="str">
        <f t="shared" si="66"/>
        <v>3TNCERAJMDAB38</v>
      </c>
      <c r="B837" s="239" t="s">
        <v>265</v>
      </c>
      <c r="C837" s="239" t="s">
        <v>20</v>
      </c>
      <c r="D837" s="239" t="s">
        <v>21</v>
      </c>
      <c r="E837" s="239" t="s">
        <v>719</v>
      </c>
      <c r="F837" s="239" t="s">
        <v>292</v>
      </c>
      <c r="G837" s="239">
        <v>38</v>
      </c>
      <c r="H837" s="239" t="s">
        <v>928</v>
      </c>
      <c r="I837" s="239" t="s">
        <v>2471</v>
      </c>
      <c r="J837" s="239" t="s">
        <v>928</v>
      </c>
      <c r="K837" s="239" t="s">
        <v>2398</v>
      </c>
      <c r="L837" s="239">
        <v>19.27571</v>
      </c>
      <c r="M837" s="239">
        <v>90.3</v>
      </c>
      <c r="N837" s="239">
        <v>0</v>
      </c>
      <c r="O837" s="239">
        <v>0</v>
      </c>
      <c r="P837" s="239">
        <v>0</v>
      </c>
      <c r="Q837" s="239">
        <v>0</v>
      </c>
      <c r="R837" s="239">
        <v>0</v>
      </c>
      <c r="S837" s="239">
        <v>0</v>
      </c>
      <c r="T837" s="239">
        <v>5.35</v>
      </c>
      <c r="U837" s="239">
        <v>2.36117</v>
      </c>
      <c r="V837" s="239">
        <v>0.40436</v>
      </c>
      <c r="W837" s="239">
        <v>1.40923</v>
      </c>
      <c r="X837" s="239">
        <v>0</v>
      </c>
      <c r="Y837" s="239">
        <v>0</v>
      </c>
      <c r="Z837" s="239">
        <v>9.7509499999999996</v>
      </c>
      <c r="AA837" s="239">
        <v>0</v>
      </c>
      <c r="AB837" s="239">
        <v>0</v>
      </c>
      <c r="AC837" s="239">
        <v>0</v>
      </c>
      <c r="AD837" s="239">
        <v>1</v>
      </c>
      <c r="AE837" s="239" t="s">
        <v>720</v>
      </c>
      <c r="AF837" s="239" t="s">
        <v>721</v>
      </c>
      <c r="AG837" s="239">
        <f t="shared" si="62"/>
        <v>0</v>
      </c>
      <c r="AH837" s="239">
        <f t="shared" si="63"/>
        <v>0</v>
      </c>
      <c r="AI837" s="239">
        <f t="shared" si="64"/>
        <v>0</v>
      </c>
      <c r="AJ837" s="239">
        <f t="shared" si="65"/>
        <v>0</v>
      </c>
    </row>
    <row r="838" spans="1:36" x14ac:dyDescent="0.2">
      <c r="A838" s="240" t="str">
        <f t="shared" si="66"/>
        <v>331TNCERAJMDAB38</v>
      </c>
      <c r="B838" s="239" t="s">
        <v>265</v>
      </c>
      <c r="C838" s="239" t="s">
        <v>20</v>
      </c>
      <c r="D838" s="239" t="s">
        <v>21</v>
      </c>
      <c r="E838" s="239" t="s">
        <v>719</v>
      </c>
      <c r="F838" s="239" t="s">
        <v>292</v>
      </c>
      <c r="G838" s="239">
        <v>38</v>
      </c>
      <c r="H838" s="239" t="s">
        <v>928</v>
      </c>
      <c r="I838" s="239" t="s">
        <v>2472</v>
      </c>
      <c r="J838" s="239" t="s">
        <v>928</v>
      </c>
      <c r="K838" s="239" t="s">
        <v>2398</v>
      </c>
      <c r="L838" s="239">
        <v>16.582170000000001</v>
      </c>
      <c r="M838" s="239">
        <v>95</v>
      </c>
      <c r="N838" s="239">
        <v>0</v>
      </c>
      <c r="O838" s="239">
        <v>0</v>
      </c>
      <c r="P838" s="239">
        <v>0</v>
      </c>
      <c r="Q838" s="239">
        <v>0</v>
      </c>
      <c r="R838" s="239">
        <v>0</v>
      </c>
      <c r="S838" s="239">
        <v>0</v>
      </c>
      <c r="T838" s="239">
        <v>5.04</v>
      </c>
      <c r="U838" s="239">
        <v>1.19658</v>
      </c>
      <c r="V838" s="239">
        <v>0.48487000000000002</v>
      </c>
      <c r="W838" s="239">
        <v>1.5263500000000001</v>
      </c>
      <c r="X838" s="239">
        <v>0</v>
      </c>
      <c r="Y838" s="239">
        <v>0</v>
      </c>
      <c r="Z838" s="239">
        <v>8.3343699999999998</v>
      </c>
      <c r="AA838" s="239">
        <v>0</v>
      </c>
      <c r="AB838" s="239">
        <v>0</v>
      </c>
      <c r="AC838" s="239">
        <v>0</v>
      </c>
      <c r="AD838" s="239">
        <v>1</v>
      </c>
      <c r="AE838" s="239" t="s">
        <v>720</v>
      </c>
      <c r="AF838" s="239" t="s">
        <v>721</v>
      </c>
      <c r="AG838" s="239">
        <f t="shared" ref="AG838:AG901" si="67">+O838*M838/100</f>
        <v>0</v>
      </c>
      <c r="AH838" s="239">
        <f t="shared" ref="AH838:AH901" si="68">+P838*M838/100</f>
        <v>0</v>
      </c>
      <c r="AI838" s="239">
        <f t="shared" ref="AI838:AI901" si="69">+AB838*M838/100</f>
        <v>0</v>
      </c>
      <c r="AJ838" s="239">
        <f t="shared" ref="AJ838:AJ901" si="70">+AG838+AH838+AI838</f>
        <v>0</v>
      </c>
    </row>
    <row r="839" spans="1:36" x14ac:dyDescent="0.2">
      <c r="A839" s="240" t="str">
        <f t="shared" ref="A839:A902" si="71">TRIM(I839&amp;B839&amp;C839&amp;D839&amp;F839&amp;G839)</f>
        <v>3TNCERAMDACPFL38</v>
      </c>
      <c r="B839" s="239" t="s">
        <v>265</v>
      </c>
      <c r="C839" s="239" t="s">
        <v>20</v>
      </c>
      <c r="D839" s="239" t="s">
        <v>21</v>
      </c>
      <c r="E839" s="239" t="s">
        <v>719</v>
      </c>
      <c r="F839" s="239" t="s">
        <v>67</v>
      </c>
      <c r="G839" s="239">
        <v>38</v>
      </c>
      <c r="H839" s="239" t="s">
        <v>928</v>
      </c>
      <c r="I839" s="239" t="s">
        <v>2471</v>
      </c>
      <c r="J839" s="239" t="s">
        <v>928</v>
      </c>
      <c r="K839" s="239" t="s">
        <v>2398</v>
      </c>
      <c r="L839" s="239">
        <v>11.46232</v>
      </c>
      <c r="M839" s="239">
        <v>98.5</v>
      </c>
      <c r="N839" s="239">
        <v>0</v>
      </c>
      <c r="O839" s="239">
        <v>0</v>
      </c>
      <c r="P839" s="239">
        <v>0</v>
      </c>
      <c r="Q839" s="239">
        <v>0</v>
      </c>
      <c r="R839" s="239">
        <v>0</v>
      </c>
      <c r="S839" s="239">
        <v>0</v>
      </c>
      <c r="T839" s="239">
        <v>4.24</v>
      </c>
      <c r="U839" s="239">
        <v>0.53888000000000003</v>
      </c>
      <c r="V839" s="239">
        <v>0.31502999999999998</v>
      </c>
      <c r="W839" s="239">
        <v>1.0213300000000001</v>
      </c>
      <c r="X839" s="239">
        <v>0</v>
      </c>
      <c r="Y839" s="239">
        <v>0</v>
      </c>
      <c r="Z839" s="239">
        <v>5.3470800000000001</v>
      </c>
      <c r="AA839" s="239">
        <v>0</v>
      </c>
      <c r="AB839" s="239">
        <v>0</v>
      </c>
      <c r="AC839" s="239">
        <v>0</v>
      </c>
      <c r="AD839" s="239">
        <v>1</v>
      </c>
      <c r="AE839" s="239" t="s">
        <v>720</v>
      </c>
      <c r="AF839" s="239" t="s">
        <v>721</v>
      </c>
      <c r="AG839" s="239">
        <f t="shared" si="67"/>
        <v>0</v>
      </c>
      <c r="AH839" s="239">
        <f t="shared" si="68"/>
        <v>0</v>
      </c>
      <c r="AI839" s="239">
        <f t="shared" si="69"/>
        <v>0</v>
      </c>
      <c r="AJ839" s="239">
        <f t="shared" si="70"/>
        <v>0</v>
      </c>
    </row>
    <row r="840" spans="1:36" x14ac:dyDescent="0.2">
      <c r="A840" s="240" t="str">
        <f t="shared" si="71"/>
        <v>3TNCERAMDAPFL38</v>
      </c>
      <c r="B840" s="239" t="s">
        <v>265</v>
      </c>
      <c r="C840" s="239" t="s">
        <v>20</v>
      </c>
      <c r="D840" s="239" t="s">
        <v>21</v>
      </c>
      <c r="E840" s="239" t="s">
        <v>719</v>
      </c>
      <c r="F840" s="239" t="s">
        <v>70</v>
      </c>
      <c r="G840" s="239">
        <v>38</v>
      </c>
      <c r="H840" s="239" t="s">
        <v>928</v>
      </c>
      <c r="I840" s="239" t="s">
        <v>2471</v>
      </c>
      <c r="J840" s="239" t="s">
        <v>928</v>
      </c>
      <c r="K840" s="239" t="s">
        <v>2398</v>
      </c>
      <c r="L840" s="239">
        <v>11.46232</v>
      </c>
      <c r="M840" s="239">
        <v>98.5</v>
      </c>
      <c r="N840" s="239">
        <v>0</v>
      </c>
      <c r="O840" s="239">
        <v>0</v>
      </c>
      <c r="P840" s="239">
        <v>0</v>
      </c>
      <c r="Q840" s="239">
        <v>0</v>
      </c>
      <c r="R840" s="239">
        <v>0</v>
      </c>
      <c r="S840" s="239">
        <v>0</v>
      </c>
      <c r="T840" s="239">
        <v>4.24</v>
      </c>
      <c r="U840" s="239">
        <v>0.53888000000000003</v>
      </c>
      <c r="V840" s="239">
        <v>0.31502999999999998</v>
      </c>
      <c r="W840" s="239">
        <v>1.0213300000000001</v>
      </c>
      <c r="X840" s="239">
        <v>0</v>
      </c>
      <c r="Y840" s="239">
        <v>0</v>
      </c>
      <c r="Z840" s="239">
        <v>5.3470800000000001</v>
      </c>
      <c r="AA840" s="239">
        <v>0</v>
      </c>
      <c r="AB840" s="239">
        <v>0</v>
      </c>
      <c r="AC840" s="239">
        <v>0</v>
      </c>
      <c r="AD840" s="239">
        <v>1</v>
      </c>
      <c r="AE840" s="239" t="s">
        <v>720</v>
      </c>
      <c r="AF840" s="239" t="s">
        <v>721</v>
      </c>
      <c r="AG840" s="239">
        <f t="shared" si="67"/>
        <v>0</v>
      </c>
      <c r="AH840" s="239">
        <f t="shared" si="68"/>
        <v>0</v>
      </c>
      <c r="AI840" s="239">
        <f t="shared" si="69"/>
        <v>0</v>
      </c>
      <c r="AJ840" s="239">
        <f t="shared" si="70"/>
        <v>0</v>
      </c>
    </row>
    <row r="841" spans="1:36" x14ac:dyDescent="0.2">
      <c r="A841" s="240" t="str">
        <f t="shared" si="71"/>
        <v>3TNCERASY0825</v>
      </c>
      <c r="B841" s="239" t="s">
        <v>265</v>
      </c>
      <c r="C841" s="239" t="s">
        <v>20</v>
      </c>
      <c r="D841" s="239" t="s">
        <v>21</v>
      </c>
      <c r="E841" s="239" t="s">
        <v>719</v>
      </c>
      <c r="F841" s="239" t="s">
        <v>99</v>
      </c>
      <c r="G841" s="239">
        <v>25</v>
      </c>
      <c r="H841" s="239" t="s">
        <v>928</v>
      </c>
      <c r="I841" s="239" t="s">
        <v>2471</v>
      </c>
      <c r="J841" s="239" t="s">
        <v>928</v>
      </c>
      <c r="K841" s="239" t="s">
        <v>2398</v>
      </c>
      <c r="L841" s="239">
        <v>56.595230000000001</v>
      </c>
      <c r="M841" s="239">
        <v>91.6</v>
      </c>
      <c r="N841" s="239">
        <v>0</v>
      </c>
      <c r="O841" s="239">
        <v>17.576419999999999</v>
      </c>
      <c r="P841" s="239">
        <v>0</v>
      </c>
      <c r="Q841" s="239">
        <v>0</v>
      </c>
      <c r="R841" s="239">
        <v>0</v>
      </c>
      <c r="S841" s="239">
        <v>0</v>
      </c>
      <c r="T841" s="239">
        <v>15.99</v>
      </c>
      <c r="U841" s="239">
        <v>2.7851900000000001</v>
      </c>
      <c r="V841" s="239">
        <v>0.80508000000000002</v>
      </c>
      <c r="W841" s="239">
        <v>2.69232</v>
      </c>
      <c r="X841" s="239">
        <v>0</v>
      </c>
      <c r="Y841" s="239">
        <v>0</v>
      </c>
      <c r="Z841" s="239">
        <v>16.746220000000001</v>
      </c>
      <c r="AA841" s="239">
        <v>0</v>
      </c>
      <c r="AB841" s="239">
        <v>0</v>
      </c>
      <c r="AC841" s="239">
        <v>0</v>
      </c>
      <c r="AD841" s="239">
        <v>1</v>
      </c>
      <c r="AE841" s="239" t="s">
        <v>720</v>
      </c>
      <c r="AF841" s="239" t="s">
        <v>721</v>
      </c>
      <c r="AG841" s="239">
        <f t="shared" si="67"/>
        <v>16.100000719999997</v>
      </c>
      <c r="AH841" s="239">
        <f t="shared" si="68"/>
        <v>0</v>
      </c>
      <c r="AI841" s="239">
        <f t="shared" si="69"/>
        <v>0</v>
      </c>
      <c r="AJ841" s="239">
        <f t="shared" si="70"/>
        <v>16.100000719999997</v>
      </c>
    </row>
    <row r="842" spans="1:36" x14ac:dyDescent="0.2">
      <c r="A842" s="240" t="str">
        <f t="shared" si="71"/>
        <v>331TNCERAWZ1425</v>
      </c>
      <c r="B842" s="239" t="s">
        <v>265</v>
      </c>
      <c r="C842" s="239" t="s">
        <v>20</v>
      </c>
      <c r="D842" s="239" t="s">
        <v>21</v>
      </c>
      <c r="E842" s="239" t="s">
        <v>719</v>
      </c>
      <c r="F842" s="239" t="s">
        <v>2342</v>
      </c>
      <c r="G842" s="239">
        <v>25</v>
      </c>
      <c r="H842" s="239" t="s">
        <v>928</v>
      </c>
      <c r="I842" s="239" t="s">
        <v>2472</v>
      </c>
      <c r="J842" s="239" t="s">
        <v>928</v>
      </c>
      <c r="K842" s="239" t="s">
        <v>2398</v>
      </c>
      <c r="L842" s="239">
        <v>10.01768</v>
      </c>
      <c r="M842" s="239">
        <v>97.6</v>
      </c>
      <c r="N842" s="239">
        <v>0</v>
      </c>
      <c r="O842" s="239">
        <v>0</v>
      </c>
      <c r="P842" s="239">
        <v>0</v>
      </c>
      <c r="Q842" s="239">
        <v>0</v>
      </c>
      <c r="R842" s="239">
        <v>0</v>
      </c>
      <c r="S842" s="239">
        <v>0</v>
      </c>
      <c r="T842" s="239">
        <v>2.64</v>
      </c>
      <c r="U842" s="239">
        <v>0.49092999999999998</v>
      </c>
      <c r="V842" s="239">
        <v>0.32335999999999998</v>
      </c>
      <c r="W842" s="239">
        <v>1.06711</v>
      </c>
      <c r="X842" s="239">
        <v>0</v>
      </c>
      <c r="Y842" s="239">
        <v>0</v>
      </c>
      <c r="Z842" s="239">
        <v>5.4962799999999996</v>
      </c>
      <c r="AA842" s="239">
        <v>0</v>
      </c>
      <c r="AB842" s="239">
        <v>0</v>
      </c>
      <c r="AC842" s="239">
        <v>0</v>
      </c>
      <c r="AD842" s="239">
        <v>1</v>
      </c>
      <c r="AE842" s="239" t="s">
        <v>720</v>
      </c>
      <c r="AF842" s="239" t="s">
        <v>721</v>
      </c>
      <c r="AG842" s="239">
        <f t="shared" si="67"/>
        <v>0</v>
      </c>
      <c r="AH842" s="239">
        <f t="shared" si="68"/>
        <v>0</v>
      </c>
      <c r="AI842" s="239">
        <f t="shared" si="69"/>
        <v>0</v>
      </c>
      <c r="AJ842" s="239">
        <f t="shared" si="70"/>
        <v>0</v>
      </c>
    </row>
    <row r="843" spans="1:36" x14ac:dyDescent="0.2">
      <c r="A843" s="240" t="str">
        <f t="shared" si="71"/>
        <v>3TNCERANS2711450</v>
      </c>
      <c r="B843" s="239" t="s">
        <v>265</v>
      </c>
      <c r="C843" s="239" t="s">
        <v>20</v>
      </c>
      <c r="D843" s="239" t="s">
        <v>132</v>
      </c>
      <c r="E843" s="239" t="s">
        <v>719</v>
      </c>
      <c r="F843" s="239" t="s">
        <v>2670</v>
      </c>
      <c r="G843" s="239">
        <v>50</v>
      </c>
      <c r="H843" s="239" t="s">
        <v>928</v>
      </c>
      <c r="I843" s="239" t="s">
        <v>2471</v>
      </c>
      <c r="J843" s="239" t="s">
        <v>928</v>
      </c>
      <c r="K843" s="239" t="s">
        <v>2398</v>
      </c>
      <c r="L843" s="239">
        <v>108.55548</v>
      </c>
      <c r="M843" s="239">
        <v>94</v>
      </c>
      <c r="N843" s="239">
        <v>0</v>
      </c>
      <c r="O843" s="239">
        <v>0</v>
      </c>
      <c r="P843" s="239">
        <v>0</v>
      </c>
      <c r="Q843" s="239">
        <v>0</v>
      </c>
      <c r="R843" s="239">
        <v>0</v>
      </c>
      <c r="S843" s="239">
        <v>0</v>
      </c>
      <c r="T843" s="239">
        <v>14.96</v>
      </c>
      <c r="U843" s="239">
        <v>1.46008</v>
      </c>
      <c r="V843" s="239">
        <v>4.0275800000000004</v>
      </c>
      <c r="W843" s="239">
        <v>19.295369999999998</v>
      </c>
      <c r="X843" s="239">
        <v>0</v>
      </c>
      <c r="Y843" s="239">
        <v>0</v>
      </c>
      <c r="Z843" s="239">
        <v>68.812449999999998</v>
      </c>
      <c r="AA843" s="239">
        <v>0</v>
      </c>
      <c r="AB843" s="239">
        <v>0</v>
      </c>
      <c r="AC843" s="239">
        <v>0</v>
      </c>
      <c r="AD843" s="239">
        <v>1</v>
      </c>
      <c r="AE843" s="239" t="s">
        <v>720</v>
      </c>
      <c r="AF843" s="239" t="s">
        <v>721</v>
      </c>
      <c r="AG843" s="239">
        <f t="shared" si="67"/>
        <v>0</v>
      </c>
      <c r="AH843" s="239">
        <f t="shared" si="68"/>
        <v>0</v>
      </c>
      <c r="AI843" s="239">
        <f t="shared" si="69"/>
        <v>0</v>
      </c>
      <c r="AJ843" s="239">
        <f t="shared" si="70"/>
        <v>0</v>
      </c>
    </row>
    <row r="844" spans="1:36" x14ac:dyDescent="0.2">
      <c r="A844" s="240" t="str">
        <f t="shared" si="71"/>
        <v>2TNCF107116DP50</v>
      </c>
      <c r="B844" s="239" t="s">
        <v>265</v>
      </c>
      <c r="C844" s="239" t="s">
        <v>20</v>
      </c>
      <c r="D844" s="239" t="s">
        <v>2481</v>
      </c>
      <c r="E844" s="239" t="s">
        <v>2482</v>
      </c>
      <c r="F844" s="239" t="s">
        <v>2671</v>
      </c>
      <c r="G844" s="239">
        <v>50</v>
      </c>
      <c r="H844" s="239" t="s">
        <v>928</v>
      </c>
      <c r="I844" s="239" t="s">
        <v>2484</v>
      </c>
      <c r="J844" s="239" t="s">
        <v>928</v>
      </c>
      <c r="K844" s="239" t="s">
        <v>2398</v>
      </c>
      <c r="L844" s="239">
        <v>518.92999999999995</v>
      </c>
      <c r="M844" s="239">
        <v>0</v>
      </c>
      <c r="N844" s="239">
        <v>0</v>
      </c>
      <c r="O844" s="239">
        <v>0</v>
      </c>
      <c r="P844" s="239">
        <v>0</v>
      </c>
      <c r="Q844" s="239">
        <v>0</v>
      </c>
      <c r="R844" s="239">
        <v>0</v>
      </c>
      <c r="S844" s="239">
        <v>0</v>
      </c>
      <c r="T844" s="239">
        <v>0</v>
      </c>
      <c r="U844" s="239">
        <v>0</v>
      </c>
      <c r="V844" s="239">
        <v>0</v>
      </c>
      <c r="W844" s="239">
        <v>0</v>
      </c>
      <c r="X844" s="239">
        <v>0</v>
      </c>
      <c r="Y844" s="239">
        <v>419.27</v>
      </c>
      <c r="Z844" s="239">
        <v>0</v>
      </c>
      <c r="AA844" s="239">
        <v>0</v>
      </c>
      <c r="AB844" s="239">
        <v>99.66</v>
      </c>
      <c r="AC844" s="239">
        <v>0</v>
      </c>
      <c r="AD844" s="239">
        <v>0</v>
      </c>
      <c r="AE844" s="239" t="s">
        <v>720</v>
      </c>
      <c r="AF844" s="239" t="s">
        <v>721</v>
      </c>
      <c r="AG844" s="239">
        <f t="shared" si="67"/>
        <v>0</v>
      </c>
      <c r="AH844" s="239">
        <f t="shared" si="68"/>
        <v>0</v>
      </c>
      <c r="AI844" s="239">
        <f t="shared" si="69"/>
        <v>0</v>
      </c>
      <c r="AJ844" s="239">
        <f t="shared" si="70"/>
        <v>0</v>
      </c>
    </row>
    <row r="845" spans="1:36" x14ac:dyDescent="0.2">
      <c r="A845" s="240" t="str">
        <f t="shared" si="71"/>
        <v>TNCF107116DP50</v>
      </c>
      <c r="B845" s="239" t="s">
        <v>265</v>
      </c>
      <c r="C845" s="239" t="s">
        <v>20</v>
      </c>
      <c r="D845" s="239" t="s">
        <v>2481</v>
      </c>
      <c r="E845" s="239" t="s">
        <v>2482</v>
      </c>
      <c r="F845" s="239" t="s">
        <v>2671</v>
      </c>
      <c r="G845" s="239">
        <v>50</v>
      </c>
      <c r="H845" s="239" t="s">
        <v>928</v>
      </c>
      <c r="I845" s="239" t="s">
        <v>928</v>
      </c>
      <c r="J845" s="239" t="s">
        <v>928</v>
      </c>
      <c r="K845" s="239" t="s">
        <v>2398</v>
      </c>
      <c r="L845" s="239">
        <v>518.92999999999995</v>
      </c>
      <c r="M845" s="239">
        <v>0</v>
      </c>
      <c r="N845" s="239">
        <v>0</v>
      </c>
      <c r="O845" s="239">
        <v>0</v>
      </c>
      <c r="P845" s="239">
        <v>0</v>
      </c>
      <c r="Q845" s="239">
        <v>0</v>
      </c>
      <c r="R845" s="239">
        <v>0</v>
      </c>
      <c r="S845" s="239">
        <v>0</v>
      </c>
      <c r="T845" s="239">
        <v>0</v>
      </c>
      <c r="U845" s="239">
        <v>0</v>
      </c>
      <c r="V845" s="239">
        <v>0</v>
      </c>
      <c r="W845" s="239">
        <v>0</v>
      </c>
      <c r="X845" s="239">
        <v>0</v>
      </c>
      <c r="Y845" s="239">
        <v>419.27</v>
      </c>
      <c r="Z845" s="239">
        <v>0</v>
      </c>
      <c r="AA845" s="239">
        <v>0</v>
      </c>
      <c r="AB845" s="239">
        <v>99.66</v>
      </c>
      <c r="AC845" s="239">
        <v>0</v>
      </c>
      <c r="AD845" s="239">
        <v>0</v>
      </c>
      <c r="AE845" s="239" t="s">
        <v>720</v>
      </c>
      <c r="AF845" s="239" t="s">
        <v>721</v>
      </c>
      <c r="AG845" s="239">
        <f t="shared" si="67"/>
        <v>0</v>
      </c>
      <c r="AH845" s="239">
        <f t="shared" si="68"/>
        <v>0</v>
      </c>
      <c r="AI845" s="239">
        <f t="shared" si="69"/>
        <v>0</v>
      </c>
      <c r="AJ845" s="239">
        <f t="shared" si="70"/>
        <v>0</v>
      </c>
    </row>
    <row r="846" spans="1:36" x14ac:dyDescent="0.2">
      <c r="A846" s="240" t="str">
        <f t="shared" si="71"/>
        <v>2TNCF107236CB80</v>
      </c>
      <c r="B846" s="239" t="s">
        <v>265</v>
      </c>
      <c r="C846" s="239" t="s">
        <v>20</v>
      </c>
      <c r="D846" s="239" t="s">
        <v>2481</v>
      </c>
      <c r="E846" s="239" t="s">
        <v>2482</v>
      </c>
      <c r="F846" s="239" t="s">
        <v>2672</v>
      </c>
      <c r="G846" s="239">
        <v>80</v>
      </c>
      <c r="H846" s="239" t="s">
        <v>928</v>
      </c>
      <c r="I846" s="239" t="s">
        <v>2484</v>
      </c>
      <c r="J846" s="239" t="s">
        <v>928</v>
      </c>
      <c r="K846" s="239" t="s">
        <v>2398</v>
      </c>
      <c r="L846" s="239">
        <v>617.48</v>
      </c>
      <c r="M846" s="239">
        <v>0</v>
      </c>
      <c r="N846" s="239">
        <v>0</v>
      </c>
      <c r="O846" s="239">
        <v>0</v>
      </c>
      <c r="P846" s="239">
        <v>0</v>
      </c>
      <c r="Q846" s="239">
        <v>0</v>
      </c>
      <c r="R846" s="239">
        <v>0</v>
      </c>
      <c r="S846" s="239">
        <v>0</v>
      </c>
      <c r="T846" s="239">
        <v>0</v>
      </c>
      <c r="U846" s="239">
        <v>0</v>
      </c>
      <c r="V846" s="239">
        <v>0</v>
      </c>
      <c r="W846" s="239">
        <v>0</v>
      </c>
      <c r="X846" s="239">
        <v>0</v>
      </c>
      <c r="Y846" s="239">
        <v>502.55</v>
      </c>
      <c r="Z846" s="239">
        <v>0</v>
      </c>
      <c r="AA846" s="239">
        <v>0</v>
      </c>
      <c r="AB846" s="239">
        <v>114.94</v>
      </c>
      <c r="AC846" s="239">
        <v>0</v>
      </c>
      <c r="AD846" s="239">
        <v>0</v>
      </c>
      <c r="AE846" s="239" t="s">
        <v>720</v>
      </c>
      <c r="AF846" s="239" t="s">
        <v>721</v>
      </c>
      <c r="AG846" s="239">
        <f t="shared" si="67"/>
        <v>0</v>
      </c>
      <c r="AH846" s="239">
        <f t="shared" si="68"/>
        <v>0</v>
      </c>
      <c r="AI846" s="239">
        <f t="shared" si="69"/>
        <v>0</v>
      </c>
      <c r="AJ846" s="239">
        <f t="shared" si="70"/>
        <v>0</v>
      </c>
    </row>
    <row r="847" spans="1:36" x14ac:dyDescent="0.2">
      <c r="A847" s="240" t="str">
        <f t="shared" si="71"/>
        <v>TNCF107236CB80</v>
      </c>
      <c r="B847" s="239" t="s">
        <v>265</v>
      </c>
      <c r="C847" s="239" t="s">
        <v>20</v>
      </c>
      <c r="D847" s="239" t="s">
        <v>2481</v>
      </c>
      <c r="E847" s="239" t="s">
        <v>2482</v>
      </c>
      <c r="F847" s="239" t="s">
        <v>2672</v>
      </c>
      <c r="G847" s="239">
        <v>80</v>
      </c>
      <c r="H847" s="239" t="s">
        <v>928</v>
      </c>
      <c r="I847" s="239" t="s">
        <v>928</v>
      </c>
      <c r="J847" s="239" t="s">
        <v>928</v>
      </c>
      <c r="K847" s="239" t="s">
        <v>2398</v>
      </c>
      <c r="L847" s="239">
        <v>617.48</v>
      </c>
      <c r="M847" s="239">
        <v>0</v>
      </c>
      <c r="N847" s="239">
        <v>0</v>
      </c>
      <c r="O847" s="239">
        <v>0</v>
      </c>
      <c r="P847" s="239">
        <v>0</v>
      </c>
      <c r="Q847" s="239">
        <v>0</v>
      </c>
      <c r="R847" s="239">
        <v>0</v>
      </c>
      <c r="S847" s="239">
        <v>0</v>
      </c>
      <c r="T847" s="239">
        <v>0</v>
      </c>
      <c r="U847" s="239">
        <v>0</v>
      </c>
      <c r="V847" s="239">
        <v>0</v>
      </c>
      <c r="W847" s="239">
        <v>0</v>
      </c>
      <c r="X847" s="239">
        <v>0</v>
      </c>
      <c r="Y847" s="239">
        <v>502.55</v>
      </c>
      <c r="Z847" s="239">
        <v>0</v>
      </c>
      <c r="AA847" s="239">
        <v>0</v>
      </c>
      <c r="AB847" s="239">
        <v>114.94</v>
      </c>
      <c r="AC847" s="239">
        <v>0</v>
      </c>
      <c r="AD847" s="239">
        <v>0</v>
      </c>
      <c r="AE847" s="239" t="s">
        <v>720</v>
      </c>
      <c r="AF847" s="239" t="s">
        <v>721</v>
      </c>
      <c r="AG847" s="239">
        <f t="shared" si="67"/>
        <v>0</v>
      </c>
      <c r="AH847" s="239">
        <f t="shared" si="68"/>
        <v>0</v>
      </c>
      <c r="AI847" s="239">
        <f t="shared" si="69"/>
        <v>0</v>
      </c>
      <c r="AJ847" s="239">
        <f t="shared" si="70"/>
        <v>0</v>
      </c>
    </row>
    <row r="848" spans="1:36" x14ac:dyDescent="0.2">
      <c r="A848" s="240" t="str">
        <f t="shared" si="71"/>
        <v>2TNCF107721HT50</v>
      </c>
      <c r="B848" s="239" t="s">
        <v>265</v>
      </c>
      <c r="C848" s="239" t="s">
        <v>20</v>
      </c>
      <c r="D848" s="239" t="s">
        <v>2481</v>
      </c>
      <c r="E848" s="239" t="s">
        <v>2482</v>
      </c>
      <c r="F848" s="239" t="s">
        <v>2673</v>
      </c>
      <c r="G848" s="239">
        <v>50</v>
      </c>
      <c r="H848" s="239" t="s">
        <v>928</v>
      </c>
      <c r="I848" s="239" t="s">
        <v>2484</v>
      </c>
      <c r="J848" s="239" t="s">
        <v>928</v>
      </c>
      <c r="K848" s="239" t="s">
        <v>2398</v>
      </c>
      <c r="L848" s="239">
        <v>543.32000000000005</v>
      </c>
      <c r="M848" s="239">
        <v>0</v>
      </c>
      <c r="N848" s="239">
        <v>0</v>
      </c>
      <c r="O848" s="239">
        <v>0</v>
      </c>
      <c r="P848" s="239">
        <v>0</v>
      </c>
      <c r="Q848" s="239">
        <v>0</v>
      </c>
      <c r="R848" s="239">
        <v>0</v>
      </c>
      <c r="S848" s="239">
        <v>0</v>
      </c>
      <c r="T848" s="239">
        <v>0</v>
      </c>
      <c r="U848" s="239">
        <v>0</v>
      </c>
      <c r="V848" s="239">
        <v>0</v>
      </c>
      <c r="W848" s="239">
        <v>0</v>
      </c>
      <c r="X848" s="239">
        <v>0</v>
      </c>
      <c r="Y848" s="239">
        <v>442.74</v>
      </c>
      <c r="Z848" s="239">
        <v>0</v>
      </c>
      <c r="AA848" s="239">
        <v>0</v>
      </c>
      <c r="AB848" s="239">
        <v>100.59</v>
      </c>
      <c r="AC848" s="239">
        <v>0</v>
      </c>
      <c r="AD848" s="239">
        <v>0</v>
      </c>
      <c r="AE848" s="239" t="s">
        <v>720</v>
      </c>
      <c r="AF848" s="239" t="s">
        <v>721</v>
      </c>
      <c r="AG848" s="239">
        <f t="shared" si="67"/>
        <v>0</v>
      </c>
      <c r="AH848" s="239">
        <f t="shared" si="68"/>
        <v>0</v>
      </c>
      <c r="AI848" s="239">
        <f t="shared" si="69"/>
        <v>0</v>
      </c>
      <c r="AJ848" s="239">
        <f t="shared" si="70"/>
        <v>0</v>
      </c>
    </row>
    <row r="849" spans="1:36" x14ac:dyDescent="0.2">
      <c r="A849" s="240" t="str">
        <f t="shared" si="71"/>
        <v>TNCF107721HT50</v>
      </c>
      <c r="B849" s="239" t="s">
        <v>265</v>
      </c>
      <c r="C849" s="239" t="s">
        <v>20</v>
      </c>
      <c r="D849" s="239" t="s">
        <v>2481</v>
      </c>
      <c r="E849" s="239" t="s">
        <v>2482</v>
      </c>
      <c r="F849" s="239" t="s">
        <v>2673</v>
      </c>
      <c r="G849" s="239">
        <v>50</v>
      </c>
      <c r="H849" s="239" t="s">
        <v>928</v>
      </c>
      <c r="I849" s="239" t="s">
        <v>928</v>
      </c>
      <c r="J849" s="239" t="s">
        <v>928</v>
      </c>
      <c r="K849" s="239" t="s">
        <v>2398</v>
      </c>
      <c r="L849" s="239">
        <v>543.32000000000005</v>
      </c>
      <c r="M849" s="239">
        <v>0</v>
      </c>
      <c r="N849" s="239">
        <v>0</v>
      </c>
      <c r="O849" s="239">
        <v>0</v>
      </c>
      <c r="P849" s="239">
        <v>0</v>
      </c>
      <c r="Q849" s="239">
        <v>0</v>
      </c>
      <c r="R849" s="239">
        <v>0</v>
      </c>
      <c r="S849" s="239">
        <v>0</v>
      </c>
      <c r="T849" s="239">
        <v>0</v>
      </c>
      <c r="U849" s="239">
        <v>0</v>
      </c>
      <c r="V849" s="239">
        <v>0</v>
      </c>
      <c r="W849" s="239">
        <v>0</v>
      </c>
      <c r="X849" s="239">
        <v>0</v>
      </c>
      <c r="Y849" s="239">
        <v>442.74</v>
      </c>
      <c r="Z849" s="239">
        <v>0</v>
      </c>
      <c r="AA849" s="239">
        <v>0</v>
      </c>
      <c r="AB849" s="239">
        <v>100.59</v>
      </c>
      <c r="AC849" s="239">
        <v>0</v>
      </c>
      <c r="AD849" s="239">
        <v>0</v>
      </c>
      <c r="AE849" s="239" t="s">
        <v>720</v>
      </c>
      <c r="AF849" s="239" t="s">
        <v>721</v>
      </c>
      <c r="AG849" s="239">
        <f t="shared" si="67"/>
        <v>0</v>
      </c>
      <c r="AH849" s="239">
        <f t="shared" si="68"/>
        <v>0</v>
      </c>
      <c r="AI849" s="239">
        <f t="shared" si="69"/>
        <v>0</v>
      </c>
      <c r="AJ849" s="239">
        <f t="shared" si="70"/>
        <v>0</v>
      </c>
    </row>
    <row r="850" spans="1:36" x14ac:dyDescent="0.2">
      <c r="A850" s="240" t="str">
        <f t="shared" si="71"/>
        <v>2TNCF107832C_30</v>
      </c>
      <c r="B850" s="239" t="s">
        <v>265</v>
      </c>
      <c r="C850" s="239" t="s">
        <v>20</v>
      </c>
      <c r="D850" s="239" t="s">
        <v>2481</v>
      </c>
      <c r="E850" s="239" t="s">
        <v>2482</v>
      </c>
      <c r="F850" s="239" t="s">
        <v>2513</v>
      </c>
      <c r="G850" s="239">
        <v>30</v>
      </c>
      <c r="H850" s="239" t="s">
        <v>928</v>
      </c>
      <c r="I850" s="239" t="s">
        <v>2484</v>
      </c>
      <c r="J850" s="239" t="s">
        <v>928</v>
      </c>
      <c r="K850" s="239" t="s">
        <v>2398</v>
      </c>
      <c r="L850" s="239">
        <v>693.36</v>
      </c>
      <c r="M850" s="239">
        <v>0</v>
      </c>
      <c r="N850" s="239">
        <v>0</v>
      </c>
      <c r="O850" s="239">
        <v>0</v>
      </c>
      <c r="P850" s="239">
        <v>0</v>
      </c>
      <c r="Q850" s="239">
        <v>0</v>
      </c>
      <c r="R850" s="239">
        <v>0</v>
      </c>
      <c r="S850" s="239">
        <v>0</v>
      </c>
      <c r="T850" s="239">
        <v>0</v>
      </c>
      <c r="U850" s="239">
        <v>0</v>
      </c>
      <c r="V850" s="239">
        <v>0</v>
      </c>
      <c r="W850" s="239">
        <v>0</v>
      </c>
      <c r="X850" s="239">
        <v>0</v>
      </c>
      <c r="Y850" s="239">
        <v>600.24</v>
      </c>
      <c r="Z850" s="239">
        <v>0</v>
      </c>
      <c r="AA850" s="239">
        <v>0</v>
      </c>
      <c r="AB850" s="239">
        <v>93.12</v>
      </c>
      <c r="AC850" s="239">
        <v>0</v>
      </c>
      <c r="AD850" s="239">
        <v>0</v>
      </c>
      <c r="AE850" s="239" t="s">
        <v>720</v>
      </c>
      <c r="AF850" s="239" t="s">
        <v>721</v>
      </c>
      <c r="AG850" s="239">
        <f t="shared" si="67"/>
        <v>0</v>
      </c>
      <c r="AH850" s="239">
        <f t="shared" si="68"/>
        <v>0</v>
      </c>
      <c r="AI850" s="239">
        <f t="shared" si="69"/>
        <v>0</v>
      </c>
      <c r="AJ850" s="239">
        <f t="shared" si="70"/>
        <v>0</v>
      </c>
    </row>
    <row r="851" spans="1:36" x14ac:dyDescent="0.2">
      <c r="A851" s="240" t="str">
        <f t="shared" si="71"/>
        <v>TNCF107832C_30</v>
      </c>
      <c r="B851" s="239" t="s">
        <v>265</v>
      </c>
      <c r="C851" s="239" t="s">
        <v>20</v>
      </c>
      <c r="D851" s="239" t="s">
        <v>2481</v>
      </c>
      <c r="E851" s="239" t="s">
        <v>2482</v>
      </c>
      <c r="F851" s="239" t="s">
        <v>2513</v>
      </c>
      <c r="G851" s="239">
        <v>30</v>
      </c>
      <c r="H851" s="239" t="s">
        <v>928</v>
      </c>
      <c r="I851" s="239" t="s">
        <v>928</v>
      </c>
      <c r="J851" s="239" t="s">
        <v>928</v>
      </c>
      <c r="K851" s="239" t="s">
        <v>2398</v>
      </c>
      <c r="L851" s="239">
        <v>693.36</v>
      </c>
      <c r="M851" s="239">
        <v>0</v>
      </c>
      <c r="N851" s="239">
        <v>0</v>
      </c>
      <c r="O851" s="239">
        <v>0</v>
      </c>
      <c r="P851" s="239">
        <v>0</v>
      </c>
      <c r="Q851" s="239">
        <v>0</v>
      </c>
      <c r="R851" s="239">
        <v>0</v>
      </c>
      <c r="S851" s="239">
        <v>0</v>
      </c>
      <c r="T851" s="239">
        <v>0</v>
      </c>
      <c r="U851" s="239">
        <v>0</v>
      </c>
      <c r="V851" s="239">
        <v>0</v>
      </c>
      <c r="W851" s="239">
        <v>0</v>
      </c>
      <c r="X851" s="239">
        <v>0</v>
      </c>
      <c r="Y851" s="239">
        <v>600.24</v>
      </c>
      <c r="Z851" s="239">
        <v>0</v>
      </c>
      <c r="AA851" s="239">
        <v>0</v>
      </c>
      <c r="AB851" s="239">
        <v>93.12</v>
      </c>
      <c r="AC851" s="239">
        <v>0</v>
      </c>
      <c r="AD851" s="239">
        <v>0</v>
      </c>
      <c r="AE851" s="239" t="s">
        <v>720</v>
      </c>
      <c r="AF851" s="239" t="s">
        <v>721</v>
      </c>
      <c r="AG851" s="239">
        <f t="shared" si="67"/>
        <v>0</v>
      </c>
      <c r="AH851" s="239">
        <f t="shared" si="68"/>
        <v>0</v>
      </c>
      <c r="AI851" s="239">
        <f t="shared" si="69"/>
        <v>0</v>
      </c>
      <c r="AJ851" s="239">
        <f t="shared" si="70"/>
        <v>0</v>
      </c>
    </row>
    <row r="852" spans="1:36" x14ac:dyDescent="0.2">
      <c r="A852" s="240" t="str">
        <f t="shared" si="71"/>
        <v>2TNCF107A8230</v>
      </c>
      <c r="B852" s="239" t="s">
        <v>265</v>
      </c>
      <c r="C852" s="239" t="s">
        <v>20</v>
      </c>
      <c r="D852" s="239" t="s">
        <v>2481</v>
      </c>
      <c r="E852" s="239" t="s">
        <v>2482</v>
      </c>
      <c r="F852" s="239" t="s">
        <v>2674</v>
      </c>
      <c r="G852" s="239">
        <v>30</v>
      </c>
      <c r="H852" s="239" t="s">
        <v>928</v>
      </c>
      <c r="I852" s="239" t="s">
        <v>2484</v>
      </c>
      <c r="J852" s="239" t="s">
        <v>928</v>
      </c>
      <c r="K852" s="239" t="s">
        <v>2398</v>
      </c>
      <c r="L852" s="239">
        <v>547.48</v>
      </c>
      <c r="M852" s="239">
        <v>0</v>
      </c>
      <c r="N852" s="239">
        <v>0</v>
      </c>
      <c r="O852" s="239">
        <v>0</v>
      </c>
      <c r="P852" s="239">
        <v>0</v>
      </c>
      <c r="Q852" s="239">
        <v>0</v>
      </c>
      <c r="R852" s="239">
        <v>0</v>
      </c>
      <c r="S852" s="239">
        <v>0</v>
      </c>
      <c r="T852" s="239">
        <v>0</v>
      </c>
      <c r="U852" s="239">
        <v>0</v>
      </c>
      <c r="V852" s="239">
        <v>0</v>
      </c>
      <c r="W852" s="239">
        <v>0</v>
      </c>
      <c r="X852" s="239">
        <v>0</v>
      </c>
      <c r="Y852" s="239">
        <v>428.85</v>
      </c>
      <c r="Z852" s="239">
        <v>0</v>
      </c>
      <c r="AA852" s="239">
        <v>0</v>
      </c>
      <c r="AB852" s="239">
        <v>118.63</v>
      </c>
      <c r="AC852" s="239">
        <v>0</v>
      </c>
      <c r="AD852" s="239">
        <v>0</v>
      </c>
      <c r="AE852" s="239" t="s">
        <v>720</v>
      </c>
      <c r="AF852" s="239" t="s">
        <v>721</v>
      </c>
      <c r="AG852" s="239">
        <f t="shared" si="67"/>
        <v>0</v>
      </c>
      <c r="AH852" s="239">
        <f t="shared" si="68"/>
        <v>0</v>
      </c>
      <c r="AI852" s="239">
        <f t="shared" si="69"/>
        <v>0</v>
      </c>
      <c r="AJ852" s="239">
        <f t="shared" si="70"/>
        <v>0</v>
      </c>
    </row>
    <row r="853" spans="1:36" x14ac:dyDescent="0.2">
      <c r="A853" s="240" t="str">
        <f t="shared" si="71"/>
        <v>TNCF107A8230</v>
      </c>
      <c r="B853" s="239" t="s">
        <v>265</v>
      </c>
      <c r="C853" s="239" t="s">
        <v>20</v>
      </c>
      <c r="D853" s="239" t="s">
        <v>2481</v>
      </c>
      <c r="E853" s="239" t="s">
        <v>2482</v>
      </c>
      <c r="F853" s="239" t="s">
        <v>2674</v>
      </c>
      <c r="G853" s="239">
        <v>30</v>
      </c>
      <c r="H853" s="239" t="s">
        <v>928</v>
      </c>
      <c r="I853" s="239" t="s">
        <v>928</v>
      </c>
      <c r="J853" s="239" t="s">
        <v>928</v>
      </c>
      <c r="K853" s="239" t="s">
        <v>2398</v>
      </c>
      <c r="L853" s="239">
        <v>547.48</v>
      </c>
      <c r="M853" s="239">
        <v>0</v>
      </c>
      <c r="N853" s="239">
        <v>0</v>
      </c>
      <c r="O853" s="239">
        <v>0</v>
      </c>
      <c r="P853" s="239">
        <v>0</v>
      </c>
      <c r="Q853" s="239">
        <v>0</v>
      </c>
      <c r="R853" s="239">
        <v>0</v>
      </c>
      <c r="S853" s="239">
        <v>0</v>
      </c>
      <c r="T853" s="239">
        <v>0</v>
      </c>
      <c r="U853" s="239">
        <v>0</v>
      </c>
      <c r="V853" s="239">
        <v>0</v>
      </c>
      <c r="W853" s="239">
        <v>0</v>
      </c>
      <c r="X853" s="239">
        <v>0</v>
      </c>
      <c r="Y853" s="239">
        <v>428.85</v>
      </c>
      <c r="Z853" s="239">
        <v>0</v>
      </c>
      <c r="AA853" s="239">
        <v>0</v>
      </c>
      <c r="AB853" s="239">
        <v>118.63</v>
      </c>
      <c r="AC853" s="239">
        <v>0</v>
      </c>
      <c r="AD853" s="239">
        <v>0</v>
      </c>
      <c r="AE853" s="239" t="s">
        <v>720</v>
      </c>
      <c r="AF853" s="239" t="s">
        <v>721</v>
      </c>
      <c r="AG853" s="239">
        <f t="shared" si="67"/>
        <v>0</v>
      </c>
      <c r="AH853" s="239">
        <f t="shared" si="68"/>
        <v>0</v>
      </c>
      <c r="AI853" s="239">
        <f t="shared" si="69"/>
        <v>0</v>
      </c>
      <c r="AJ853" s="239">
        <f t="shared" si="70"/>
        <v>0</v>
      </c>
    </row>
    <row r="854" spans="1:36" x14ac:dyDescent="0.2">
      <c r="A854" s="240" t="str">
        <f t="shared" si="71"/>
        <v>2TNCF107H56G30</v>
      </c>
      <c r="B854" s="239" t="s">
        <v>265</v>
      </c>
      <c r="C854" s="239" t="s">
        <v>20</v>
      </c>
      <c r="D854" s="239" t="s">
        <v>2481</v>
      </c>
      <c r="E854" s="239" t="s">
        <v>2482</v>
      </c>
      <c r="F854" s="239" t="s">
        <v>2518</v>
      </c>
      <c r="G854" s="239">
        <v>30</v>
      </c>
      <c r="H854" s="239" t="s">
        <v>928</v>
      </c>
      <c r="I854" s="239" t="s">
        <v>2484</v>
      </c>
      <c r="J854" s="239" t="s">
        <v>928</v>
      </c>
      <c r="K854" s="239" t="s">
        <v>2398</v>
      </c>
      <c r="L854" s="239">
        <v>526.11</v>
      </c>
      <c r="M854" s="239">
        <v>0</v>
      </c>
      <c r="N854" s="239">
        <v>0</v>
      </c>
      <c r="O854" s="239">
        <v>0</v>
      </c>
      <c r="P854" s="239">
        <v>0</v>
      </c>
      <c r="Q854" s="239">
        <v>0</v>
      </c>
      <c r="R854" s="239">
        <v>0</v>
      </c>
      <c r="S854" s="239">
        <v>0</v>
      </c>
      <c r="T854" s="239">
        <v>0</v>
      </c>
      <c r="U854" s="239">
        <v>0</v>
      </c>
      <c r="V854" s="239">
        <v>0</v>
      </c>
      <c r="W854" s="239">
        <v>0</v>
      </c>
      <c r="X854" s="239">
        <v>0</v>
      </c>
      <c r="Y854" s="239">
        <v>438.86</v>
      </c>
      <c r="Z854" s="239">
        <v>0</v>
      </c>
      <c r="AA854" s="239">
        <v>0</v>
      </c>
      <c r="AB854" s="239">
        <v>87.25</v>
      </c>
      <c r="AC854" s="239">
        <v>0</v>
      </c>
      <c r="AD854" s="239">
        <v>0</v>
      </c>
      <c r="AE854" s="239" t="s">
        <v>720</v>
      </c>
      <c r="AF854" s="239" t="s">
        <v>721</v>
      </c>
      <c r="AG854" s="239">
        <f t="shared" si="67"/>
        <v>0</v>
      </c>
      <c r="AH854" s="239">
        <f t="shared" si="68"/>
        <v>0</v>
      </c>
      <c r="AI854" s="239">
        <f t="shared" si="69"/>
        <v>0</v>
      </c>
      <c r="AJ854" s="239">
        <f t="shared" si="70"/>
        <v>0</v>
      </c>
    </row>
    <row r="855" spans="1:36" x14ac:dyDescent="0.2">
      <c r="A855" s="240" t="str">
        <f t="shared" si="71"/>
        <v>TNCF107H56G30</v>
      </c>
      <c r="B855" s="239" t="s">
        <v>265</v>
      </c>
      <c r="C855" s="239" t="s">
        <v>20</v>
      </c>
      <c r="D855" s="239" t="s">
        <v>2481</v>
      </c>
      <c r="E855" s="239" t="s">
        <v>2482</v>
      </c>
      <c r="F855" s="239" t="s">
        <v>2518</v>
      </c>
      <c r="G855" s="239">
        <v>30</v>
      </c>
      <c r="H855" s="239" t="s">
        <v>928</v>
      </c>
      <c r="I855" s="239" t="s">
        <v>928</v>
      </c>
      <c r="J855" s="239" t="s">
        <v>928</v>
      </c>
      <c r="K855" s="239" t="s">
        <v>2398</v>
      </c>
      <c r="L855" s="239">
        <v>526.11</v>
      </c>
      <c r="M855" s="239">
        <v>0</v>
      </c>
      <c r="N855" s="239">
        <v>0</v>
      </c>
      <c r="O855" s="239">
        <v>0</v>
      </c>
      <c r="P855" s="239">
        <v>0</v>
      </c>
      <c r="Q855" s="239">
        <v>0</v>
      </c>
      <c r="R855" s="239">
        <v>0</v>
      </c>
      <c r="S855" s="239">
        <v>0</v>
      </c>
      <c r="T855" s="239">
        <v>0</v>
      </c>
      <c r="U855" s="239">
        <v>0</v>
      </c>
      <c r="V855" s="239">
        <v>0</v>
      </c>
      <c r="W855" s="239">
        <v>0</v>
      </c>
      <c r="X855" s="239">
        <v>0</v>
      </c>
      <c r="Y855" s="239">
        <v>438.86</v>
      </c>
      <c r="Z855" s="239">
        <v>0</v>
      </c>
      <c r="AA855" s="239">
        <v>0</v>
      </c>
      <c r="AB855" s="239">
        <v>87.25</v>
      </c>
      <c r="AC855" s="239">
        <v>0</v>
      </c>
      <c r="AD855" s="239">
        <v>0</v>
      </c>
      <c r="AE855" s="239" t="s">
        <v>720</v>
      </c>
      <c r="AF855" s="239" t="s">
        <v>721</v>
      </c>
      <c r="AG855" s="239">
        <f t="shared" si="67"/>
        <v>0</v>
      </c>
      <c r="AH855" s="239">
        <f t="shared" si="68"/>
        <v>0</v>
      </c>
      <c r="AI855" s="239">
        <f t="shared" si="69"/>
        <v>0</v>
      </c>
      <c r="AJ855" s="239">
        <f t="shared" si="70"/>
        <v>0</v>
      </c>
    </row>
    <row r="856" spans="1:36" x14ac:dyDescent="0.2">
      <c r="A856" s="240" t="str">
        <f t="shared" si="71"/>
        <v>2TNCF10A521U25</v>
      </c>
      <c r="B856" s="239" t="s">
        <v>265</v>
      </c>
      <c r="C856" s="239" t="s">
        <v>20</v>
      </c>
      <c r="D856" s="239" t="s">
        <v>2481</v>
      </c>
      <c r="E856" s="239" t="s">
        <v>2482</v>
      </c>
      <c r="F856" s="239" t="s">
        <v>2675</v>
      </c>
      <c r="G856" s="239">
        <v>25</v>
      </c>
      <c r="H856" s="239" t="s">
        <v>928</v>
      </c>
      <c r="I856" s="239" t="s">
        <v>2484</v>
      </c>
      <c r="J856" s="239" t="s">
        <v>928</v>
      </c>
      <c r="K856" s="239" t="s">
        <v>2398</v>
      </c>
      <c r="L856" s="239">
        <v>1042.56</v>
      </c>
      <c r="M856" s="239">
        <v>0</v>
      </c>
      <c r="N856" s="239">
        <v>0</v>
      </c>
      <c r="O856" s="239">
        <v>0</v>
      </c>
      <c r="P856" s="239">
        <v>0</v>
      </c>
      <c r="Q856" s="239">
        <v>0</v>
      </c>
      <c r="R856" s="239">
        <v>0</v>
      </c>
      <c r="S856" s="239">
        <v>0</v>
      </c>
      <c r="T856" s="239">
        <v>0</v>
      </c>
      <c r="U856" s="239">
        <v>0</v>
      </c>
      <c r="V856" s="239">
        <v>0</v>
      </c>
      <c r="W856" s="239">
        <v>0</v>
      </c>
      <c r="X856" s="239">
        <v>0</v>
      </c>
      <c r="Y856" s="239">
        <v>692.41</v>
      </c>
      <c r="Z856" s="239">
        <v>0</v>
      </c>
      <c r="AA856" s="239">
        <v>0</v>
      </c>
      <c r="AB856" s="239">
        <v>350.15</v>
      </c>
      <c r="AC856" s="239">
        <v>0</v>
      </c>
      <c r="AD856" s="239">
        <v>0</v>
      </c>
      <c r="AE856" s="239" t="s">
        <v>720</v>
      </c>
      <c r="AF856" s="239" t="s">
        <v>721</v>
      </c>
      <c r="AG856" s="239">
        <f t="shared" si="67"/>
        <v>0</v>
      </c>
      <c r="AH856" s="239">
        <f t="shared" si="68"/>
        <v>0</v>
      </c>
      <c r="AI856" s="239">
        <f t="shared" si="69"/>
        <v>0</v>
      </c>
      <c r="AJ856" s="239">
        <f t="shared" si="70"/>
        <v>0</v>
      </c>
    </row>
    <row r="857" spans="1:36" x14ac:dyDescent="0.2">
      <c r="A857" s="240" t="str">
        <f t="shared" si="71"/>
        <v>TNCF10A521U25</v>
      </c>
      <c r="B857" s="239" t="s">
        <v>265</v>
      </c>
      <c r="C857" s="239" t="s">
        <v>20</v>
      </c>
      <c r="D857" s="239" t="s">
        <v>2481</v>
      </c>
      <c r="E857" s="239" t="s">
        <v>2482</v>
      </c>
      <c r="F857" s="239" t="s">
        <v>2675</v>
      </c>
      <c r="G857" s="239">
        <v>25</v>
      </c>
      <c r="H857" s="239" t="s">
        <v>928</v>
      </c>
      <c r="I857" s="239" t="s">
        <v>928</v>
      </c>
      <c r="J857" s="239" t="s">
        <v>928</v>
      </c>
      <c r="K857" s="239" t="s">
        <v>2398</v>
      </c>
      <c r="L857" s="239">
        <v>1042.56</v>
      </c>
      <c r="M857" s="239">
        <v>0</v>
      </c>
      <c r="N857" s="239">
        <v>0</v>
      </c>
      <c r="O857" s="239">
        <v>0</v>
      </c>
      <c r="P857" s="239">
        <v>0</v>
      </c>
      <c r="Q857" s="239">
        <v>0</v>
      </c>
      <c r="R857" s="239">
        <v>0</v>
      </c>
      <c r="S857" s="239">
        <v>0</v>
      </c>
      <c r="T857" s="239">
        <v>0</v>
      </c>
      <c r="U857" s="239">
        <v>0</v>
      </c>
      <c r="V857" s="239">
        <v>0</v>
      </c>
      <c r="W857" s="239">
        <v>0</v>
      </c>
      <c r="X857" s="239">
        <v>0</v>
      </c>
      <c r="Y857" s="239">
        <v>692.41</v>
      </c>
      <c r="Z857" s="239">
        <v>0</v>
      </c>
      <c r="AA857" s="239">
        <v>0</v>
      </c>
      <c r="AB857" s="239">
        <v>350.15</v>
      </c>
      <c r="AC857" s="239">
        <v>0</v>
      </c>
      <c r="AD857" s="239">
        <v>0</v>
      </c>
      <c r="AE857" s="239" t="s">
        <v>720</v>
      </c>
      <c r="AF857" s="239" t="s">
        <v>721</v>
      </c>
      <c r="AG857" s="239">
        <f t="shared" si="67"/>
        <v>0</v>
      </c>
      <c r="AH857" s="239">
        <f t="shared" si="68"/>
        <v>0</v>
      </c>
      <c r="AI857" s="239">
        <f t="shared" si="69"/>
        <v>0</v>
      </c>
      <c r="AJ857" s="239">
        <f t="shared" si="70"/>
        <v>0</v>
      </c>
    </row>
    <row r="858" spans="1:36" x14ac:dyDescent="0.2">
      <c r="A858" s="240" t="str">
        <f t="shared" si="71"/>
        <v>2TNCF10CF47020</v>
      </c>
      <c r="B858" s="239" t="s">
        <v>265</v>
      </c>
      <c r="C858" s="239" t="s">
        <v>20</v>
      </c>
      <c r="D858" s="239" t="s">
        <v>2481</v>
      </c>
      <c r="E858" s="239" t="s">
        <v>2482</v>
      </c>
      <c r="F858" s="239" t="s">
        <v>2520</v>
      </c>
      <c r="G858" s="239">
        <v>20</v>
      </c>
      <c r="H858" s="239" t="s">
        <v>928</v>
      </c>
      <c r="I858" s="239" t="s">
        <v>2484</v>
      </c>
      <c r="J858" s="239" t="s">
        <v>928</v>
      </c>
      <c r="K858" s="239" t="s">
        <v>2398</v>
      </c>
      <c r="L858" s="239">
        <v>440.25</v>
      </c>
      <c r="M858" s="239">
        <v>0</v>
      </c>
      <c r="N858" s="239">
        <v>0</v>
      </c>
      <c r="O858" s="239">
        <v>0</v>
      </c>
      <c r="P858" s="239">
        <v>0</v>
      </c>
      <c r="Q858" s="239">
        <v>0</v>
      </c>
      <c r="R858" s="239">
        <v>0</v>
      </c>
      <c r="S858" s="239">
        <v>0</v>
      </c>
      <c r="T858" s="239">
        <v>0</v>
      </c>
      <c r="U858" s="239">
        <v>0</v>
      </c>
      <c r="V858" s="239">
        <v>0</v>
      </c>
      <c r="W858" s="239">
        <v>0</v>
      </c>
      <c r="X858" s="239">
        <v>0</v>
      </c>
      <c r="Y858" s="239">
        <v>249.17</v>
      </c>
      <c r="Z858" s="239">
        <v>0</v>
      </c>
      <c r="AA858" s="239">
        <v>0</v>
      </c>
      <c r="AB858" s="239">
        <v>191.08</v>
      </c>
      <c r="AC858" s="239">
        <v>0</v>
      </c>
      <c r="AD858" s="239">
        <v>0</v>
      </c>
      <c r="AE858" s="239" t="s">
        <v>720</v>
      </c>
      <c r="AF858" s="239" t="s">
        <v>721</v>
      </c>
      <c r="AG858" s="239">
        <f t="shared" si="67"/>
        <v>0</v>
      </c>
      <c r="AH858" s="239">
        <f t="shared" si="68"/>
        <v>0</v>
      </c>
      <c r="AI858" s="239">
        <f t="shared" si="69"/>
        <v>0</v>
      </c>
      <c r="AJ858" s="239">
        <f t="shared" si="70"/>
        <v>0</v>
      </c>
    </row>
    <row r="859" spans="1:36" x14ac:dyDescent="0.2">
      <c r="A859" s="240" t="str">
        <f t="shared" si="71"/>
        <v>TNCF10CF47020</v>
      </c>
      <c r="B859" s="239" t="s">
        <v>265</v>
      </c>
      <c r="C859" s="239" t="s">
        <v>20</v>
      </c>
      <c r="D859" s="239" t="s">
        <v>2481</v>
      </c>
      <c r="E859" s="239" t="s">
        <v>2482</v>
      </c>
      <c r="F859" s="239" t="s">
        <v>2520</v>
      </c>
      <c r="G859" s="239">
        <v>20</v>
      </c>
      <c r="H859" s="239" t="s">
        <v>928</v>
      </c>
      <c r="I859" s="239" t="s">
        <v>928</v>
      </c>
      <c r="J859" s="239" t="s">
        <v>928</v>
      </c>
      <c r="K859" s="239" t="s">
        <v>2398</v>
      </c>
      <c r="L859" s="239">
        <v>440.25</v>
      </c>
      <c r="M859" s="239">
        <v>0</v>
      </c>
      <c r="N859" s="239">
        <v>0</v>
      </c>
      <c r="O859" s="239">
        <v>0</v>
      </c>
      <c r="P859" s="239">
        <v>0</v>
      </c>
      <c r="Q859" s="239">
        <v>0</v>
      </c>
      <c r="R859" s="239">
        <v>0</v>
      </c>
      <c r="S859" s="239">
        <v>0</v>
      </c>
      <c r="T859" s="239">
        <v>0</v>
      </c>
      <c r="U859" s="239">
        <v>0</v>
      </c>
      <c r="V859" s="239">
        <v>0</v>
      </c>
      <c r="W859" s="239">
        <v>0</v>
      </c>
      <c r="X859" s="239">
        <v>0</v>
      </c>
      <c r="Y859" s="239">
        <v>249.17</v>
      </c>
      <c r="Z859" s="239">
        <v>0</v>
      </c>
      <c r="AA859" s="239">
        <v>0</v>
      </c>
      <c r="AB859" s="239">
        <v>191.08</v>
      </c>
      <c r="AC859" s="239">
        <v>0</v>
      </c>
      <c r="AD859" s="239">
        <v>0</v>
      </c>
      <c r="AE859" s="239" t="s">
        <v>720</v>
      </c>
      <c r="AF859" s="239" t="s">
        <v>721</v>
      </c>
      <c r="AG859" s="239">
        <f t="shared" si="67"/>
        <v>0</v>
      </c>
      <c r="AH859" s="239">
        <f t="shared" si="68"/>
        <v>0</v>
      </c>
      <c r="AI859" s="239">
        <f t="shared" si="69"/>
        <v>0</v>
      </c>
      <c r="AJ859" s="239">
        <f t="shared" si="70"/>
        <v>0</v>
      </c>
    </row>
    <row r="860" spans="1:36" x14ac:dyDescent="0.2">
      <c r="A860" s="240" t="str">
        <f t="shared" si="71"/>
        <v>2TNCF10CF56780</v>
      </c>
      <c r="B860" s="239" t="s">
        <v>265</v>
      </c>
      <c r="C860" s="239" t="s">
        <v>20</v>
      </c>
      <c r="D860" s="239" t="s">
        <v>2481</v>
      </c>
      <c r="E860" s="239" t="s">
        <v>2482</v>
      </c>
      <c r="F860" s="239" t="s">
        <v>2676</v>
      </c>
      <c r="G860" s="239">
        <v>80</v>
      </c>
      <c r="H860" s="239" t="s">
        <v>928</v>
      </c>
      <c r="I860" s="239" t="s">
        <v>2484</v>
      </c>
      <c r="J860" s="239" t="s">
        <v>928</v>
      </c>
      <c r="K860" s="239" t="s">
        <v>2398</v>
      </c>
      <c r="L860" s="239">
        <v>1369.81</v>
      </c>
      <c r="M860" s="239">
        <v>0</v>
      </c>
      <c r="N860" s="239">
        <v>0</v>
      </c>
      <c r="O860" s="239">
        <v>0</v>
      </c>
      <c r="P860" s="239">
        <v>0</v>
      </c>
      <c r="Q860" s="239">
        <v>0</v>
      </c>
      <c r="R860" s="239">
        <v>0</v>
      </c>
      <c r="S860" s="239">
        <v>0</v>
      </c>
      <c r="T860" s="239">
        <v>0</v>
      </c>
      <c r="U860" s="239">
        <v>0</v>
      </c>
      <c r="V860" s="239">
        <v>0</v>
      </c>
      <c r="W860" s="239">
        <v>0</v>
      </c>
      <c r="X860" s="239">
        <v>0</v>
      </c>
      <c r="Y860" s="239">
        <v>1236.67</v>
      </c>
      <c r="Z860" s="239">
        <v>0</v>
      </c>
      <c r="AA860" s="239">
        <v>0</v>
      </c>
      <c r="AB860" s="239">
        <v>133.13999999999999</v>
      </c>
      <c r="AC860" s="239">
        <v>0</v>
      </c>
      <c r="AD860" s="239">
        <v>0</v>
      </c>
      <c r="AE860" s="239" t="s">
        <v>720</v>
      </c>
      <c r="AF860" s="239" t="s">
        <v>721</v>
      </c>
      <c r="AG860" s="239">
        <f t="shared" si="67"/>
        <v>0</v>
      </c>
      <c r="AH860" s="239">
        <f t="shared" si="68"/>
        <v>0</v>
      </c>
      <c r="AI860" s="239">
        <f t="shared" si="69"/>
        <v>0</v>
      </c>
      <c r="AJ860" s="239">
        <f t="shared" si="70"/>
        <v>0</v>
      </c>
    </row>
    <row r="861" spans="1:36" x14ac:dyDescent="0.2">
      <c r="A861" s="240" t="str">
        <f t="shared" si="71"/>
        <v>TNCF10CF56780</v>
      </c>
      <c r="B861" s="239" t="s">
        <v>265</v>
      </c>
      <c r="C861" s="239" t="s">
        <v>20</v>
      </c>
      <c r="D861" s="239" t="s">
        <v>2481</v>
      </c>
      <c r="E861" s="239" t="s">
        <v>2482</v>
      </c>
      <c r="F861" s="239" t="s">
        <v>2676</v>
      </c>
      <c r="G861" s="239">
        <v>80</v>
      </c>
      <c r="H861" s="239" t="s">
        <v>928</v>
      </c>
      <c r="I861" s="239" t="s">
        <v>928</v>
      </c>
      <c r="J861" s="239" t="s">
        <v>928</v>
      </c>
      <c r="K861" s="239" t="s">
        <v>2398</v>
      </c>
      <c r="L861" s="239">
        <v>1369.81</v>
      </c>
      <c r="M861" s="239">
        <v>0</v>
      </c>
      <c r="N861" s="239">
        <v>0</v>
      </c>
      <c r="O861" s="239">
        <v>0</v>
      </c>
      <c r="P861" s="239">
        <v>0</v>
      </c>
      <c r="Q861" s="239">
        <v>0</v>
      </c>
      <c r="R861" s="239">
        <v>0</v>
      </c>
      <c r="S861" s="239">
        <v>0</v>
      </c>
      <c r="T861" s="239">
        <v>0</v>
      </c>
      <c r="U861" s="239">
        <v>0</v>
      </c>
      <c r="V861" s="239">
        <v>0</v>
      </c>
      <c r="W861" s="239">
        <v>0</v>
      </c>
      <c r="X861" s="239">
        <v>0</v>
      </c>
      <c r="Y861" s="239">
        <v>1236.67</v>
      </c>
      <c r="Z861" s="239">
        <v>0</v>
      </c>
      <c r="AA861" s="239">
        <v>0</v>
      </c>
      <c r="AB861" s="239">
        <v>133.13999999999999</v>
      </c>
      <c r="AC861" s="239">
        <v>0</v>
      </c>
      <c r="AD861" s="239">
        <v>0</v>
      </c>
      <c r="AE861" s="239" t="s">
        <v>720</v>
      </c>
      <c r="AF861" s="239" t="s">
        <v>721</v>
      </c>
      <c r="AG861" s="239">
        <f t="shared" si="67"/>
        <v>0</v>
      </c>
      <c r="AH861" s="239">
        <f t="shared" si="68"/>
        <v>0</v>
      </c>
      <c r="AI861" s="239">
        <f t="shared" si="69"/>
        <v>0</v>
      </c>
      <c r="AJ861" s="239">
        <f t="shared" si="70"/>
        <v>0</v>
      </c>
    </row>
    <row r="862" spans="1:36" x14ac:dyDescent="0.2">
      <c r="A862" s="240" t="str">
        <f t="shared" si="71"/>
        <v>2TNCF10CF588140</v>
      </c>
      <c r="B862" s="239" t="s">
        <v>265</v>
      </c>
      <c r="C862" s="239" t="s">
        <v>20</v>
      </c>
      <c r="D862" s="239" t="s">
        <v>2481</v>
      </c>
      <c r="E862" s="239" t="s">
        <v>2482</v>
      </c>
      <c r="F862" s="239" t="s">
        <v>2677</v>
      </c>
      <c r="G862" s="239">
        <v>140</v>
      </c>
      <c r="H862" s="239" t="s">
        <v>928</v>
      </c>
      <c r="I862" s="239" t="s">
        <v>2484</v>
      </c>
      <c r="J862" s="239" t="s">
        <v>928</v>
      </c>
      <c r="K862" s="239" t="s">
        <v>2398</v>
      </c>
      <c r="L862" s="239">
        <v>718.94</v>
      </c>
      <c r="M862" s="239">
        <v>0</v>
      </c>
      <c r="N862" s="239">
        <v>0</v>
      </c>
      <c r="O862" s="239">
        <v>0</v>
      </c>
      <c r="P862" s="239">
        <v>0</v>
      </c>
      <c r="Q862" s="239">
        <v>0</v>
      </c>
      <c r="R862" s="239">
        <v>0</v>
      </c>
      <c r="S862" s="239">
        <v>0</v>
      </c>
      <c r="T862" s="239">
        <v>0</v>
      </c>
      <c r="U862" s="239">
        <v>0</v>
      </c>
      <c r="V862" s="239">
        <v>0</v>
      </c>
      <c r="W862" s="239">
        <v>0</v>
      </c>
      <c r="X862" s="239">
        <v>0</v>
      </c>
      <c r="Y862" s="239">
        <v>593.13</v>
      </c>
      <c r="Z862" s="239">
        <v>0</v>
      </c>
      <c r="AA862" s="239">
        <v>0</v>
      </c>
      <c r="AB862" s="239">
        <v>125.81</v>
      </c>
      <c r="AC862" s="239">
        <v>0</v>
      </c>
      <c r="AD862" s="239">
        <v>0</v>
      </c>
      <c r="AE862" s="239" t="s">
        <v>720</v>
      </c>
      <c r="AF862" s="239" t="s">
        <v>721</v>
      </c>
      <c r="AG862" s="239">
        <f t="shared" si="67"/>
        <v>0</v>
      </c>
      <c r="AH862" s="239">
        <f t="shared" si="68"/>
        <v>0</v>
      </c>
      <c r="AI862" s="239">
        <f t="shared" si="69"/>
        <v>0</v>
      </c>
      <c r="AJ862" s="239">
        <f t="shared" si="70"/>
        <v>0</v>
      </c>
    </row>
    <row r="863" spans="1:36" x14ac:dyDescent="0.2">
      <c r="A863" s="240" t="str">
        <f t="shared" si="71"/>
        <v>TNCF10CF588140</v>
      </c>
      <c r="B863" s="239" t="s">
        <v>265</v>
      </c>
      <c r="C863" s="239" t="s">
        <v>20</v>
      </c>
      <c r="D863" s="239" t="s">
        <v>2481</v>
      </c>
      <c r="E863" s="239" t="s">
        <v>2482</v>
      </c>
      <c r="F863" s="239" t="s">
        <v>2677</v>
      </c>
      <c r="G863" s="239">
        <v>140</v>
      </c>
      <c r="H863" s="239" t="s">
        <v>928</v>
      </c>
      <c r="I863" s="239" t="s">
        <v>928</v>
      </c>
      <c r="J863" s="239" t="s">
        <v>928</v>
      </c>
      <c r="K863" s="239" t="s">
        <v>2398</v>
      </c>
      <c r="L863" s="239">
        <v>718.94</v>
      </c>
      <c r="M863" s="239">
        <v>0</v>
      </c>
      <c r="N863" s="239">
        <v>0</v>
      </c>
      <c r="O863" s="239">
        <v>0</v>
      </c>
      <c r="P863" s="239">
        <v>0</v>
      </c>
      <c r="Q863" s="239">
        <v>0</v>
      </c>
      <c r="R863" s="239">
        <v>0</v>
      </c>
      <c r="S863" s="239">
        <v>0</v>
      </c>
      <c r="T863" s="239">
        <v>0</v>
      </c>
      <c r="U863" s="239">
        <v>0</v>
      </c>
      <c r="V863" s="239">
        <v>0</v>
      </c>
      <c r="W863" s="239">
        <v>0</v>
      </c>
      <c r="X863" s="239">
        <v>0</v>
      </c>
      <c r="Y863" s="239">
        <v>593.13</v>
      </c>
      <c r="Z863" s="239">
        <v>0</v>
      </c>
      <c r="AA863" s="239">
        <v>0</v>
      </c>
      <c r="AB863" s="239">
        <v>125.81</v>
      </c>
      <c r="AC863" s="239">
        <v>0</v>
      </c>
      <c r="AD863" s="239">
        <v>0</v>
      </c>
      <c r="AE863" s="239" t="s">
        <v>720</v>
      </c>
      <c r="AF863" s="239" t="s">
        <v>721</v>
      </c>
      <c r="AG863" s="239">
        <f t="shared" si="67"/>
        <v>0</v>
      </c>
      <c r="AH863" s="239">
        <f t="shared" si="68"/>
        <v>0</v>
      </c>
      <c r="AI863" s="239">
        <f t="shared" si="69"/>
        <v>0</v>
      </c>
      <c r="AJ863" s="239">
        <f t="shared" si="70"/>
        <v>0</v>
      </c>
    </row>
    <row r="864" spans="1:36" x14ac:dyDescent="0.2">
      <c r="A864" s="240" t="str">
        <f t="shared" si="71"/>
        <v>2TNCF10CF60437</v>
      </c>
      <c r="B864" s="239" t="s">
        <v>265</v>
      </c>
      <c r="C864" s="239" t="s">
        <v>20</v>
      </c>
      <c r="D864" s="239" t="s">
        <v>2481</v>
      </c>
      <c r="E864" s="239" t="s">
        <v>2482</v>
      </c>
      <c r="F864" s="239" t="s">
        <v>2678</v>
      </c>
      <c r="G864" s="239">
        <v>37</v>
      </c>
      <c r="H864" s="239" t="s">
        <v>928</v>
      </c>
      <c r="I864" s="239" t="s">
        <v>2484</v>
      </c>
      <c r="J864" s="239" t="s">
        <v>928</v>
      </c>
      <c r="K864" s="239" t="s">
        <v>2398</v>
      </c>
      <c r="L864" s="239">
        <v>863.24</v>
      </c>
      <c r="M864" s="239">
        <v>0</v>
      </c>
      <c r="N864" s="239">
        <v>0</v>
      </c>
      <c r="O864" s="239">
        <v>0</v>
      </c>
      <c r="P864" s="239">
        <v>0</v>
      </c>
      <c r="Q864" s="239">
        <v>0</v>
      </c>
      <c r="R864" s="239">
        <v>0</v>
      </c>
      <c r="S864" s="239">
        <v>0</v>
      </c>
      <c r="T864" s="239">
        <v>0</v>
      </c>
      <c r="U864" s="239">
        <v>0</v>
      </c>
      <c r="V864" s="239">
        <v>0</v>
      </c>
      <c r="W864" s="239">
        <v>0</v>
      </c>
      <c r="X864" s="239">
        <v>0</v>
      </c>
      <c r="Y864" s="239">
        <v>693.03</v>
      </c>
      <c r="Z864" s="239">
        <v>0</v>
      </c>
      <c r="AA864" s="239">
        <v>0</v>
      </c>
      <c r="AB864" s="239">
        <v>170.21</v>
      </c>
      <c r="AC864" s="239">
        <v>0</v>
      </c>
      <c r="AD864" s="239">
        <v>0</v>
      </c>
      <c r="AE864" s="239" t="s">
        <v>720</v>
      </c>
      <c r="AF864" s="239" t="s">
        <v>721</v>
      </c>
      <c r="AG864" s="239">
        <f t="shared" si="67"/>
        <v>0</v>
      </c>
      <c r="AH864" s="239">
        <f t="shared" si="68"/>
        <v>0</v>
      </c>
      <c r="AI864" s="239">
        <f t="shared" si="69"/>
        <v>0</v>
      </c>
      <c r="AJ864" s="239">
        <f t="shared" si="70"/>
        <v>0</v>
      </c>
    </row>
    <row r="865" spans="1:36" x14ac:dyDescent="0.2">
      <c r="A865" s="240" t="str">
        <f t="shared" si="71"/>
        <v>TNCF10CF60437</v>
      </c>
      <c r="B865" s="239" t="s">
        <v>265</v>
      </c>
      <c r="C865" s="239" t="s">
        <v>20</v>
      </c>
      <c r="D865" s="239" t="s">
        <v>2481</v>
      </c>
      <c r="E865" s="239" t="s">
        <v>2482</v>
      </c>
      <c r="F865" s="239" t="s">
        <v>2678</v>
      </c>
      <c r="G865" s="239">
        <v>37</v>
      </c>
      <c r="H865" s="239" t="s">
        <v>928</v>
      </c>
      <c r="I865" s="239" t="s">
        <v>928</v>
      </c>
      <c r="J865" s="239" t="s">
        <v>928</v>
      </c>
      <c r="K865" s="239" t="s">
        <v>2398</v>
      </c>
      <c r="L865" s="239">
        <v>863.24</v>
      </c>
      <c r="M865" s="239">
        <v>0</v>
      </c>
      <c r="N865" s="239">
        <v>0</v>
      </c>
      <c r="O865" s="239">
        <v>0</v>
      </c>
      <c r="P865" s="239">
        <v>0</v>
      </c>
      <c r="Q865" s="239">
        <v>0</v>
      </c>
      <c r="R865" s="239">
        <v>0</v>
      </c>
      <c r="S865" s="239">
        <v>0</v>
      </c>
      <c r="T865" s="239">
        <v>0</v>
      </c>
      <c r="U865" s="239">
        <v>0</v>
      </c>
      <c r="V865" s="239">
        <v>0</v>
      </c>
      <c r="W865" s="239">
        <v>0</v>
      </c>
      <c r="X865" s="239">
        <v>0</v>
      </c>
      <c r="Y865" s="239">
        <v>693.03</v>
      </c>
      <c r="Z865" s="239">
        <v>0</v>
      </c>
      <c r="AA865" s="239">
        <v>0</v>
      </c>
      <c r="AB865" s="239">
        <v>170.21</v>
      </c>
      <c r="AC865" s="239">
        <v>0</v>
      </c>
      <c r="AD865" s="239">
        <v>0</v>
      </c>
      <c r="AE865" s="239" t="s">
        <v>720</v>
      </c>
      <c r="AF865" s="239" t="s">
        <v>721</v>
      </c>
      <c r="AG865" s="239">
        <f t="shared" si="67"/>
        <v>0</v>
      </c>
      <c r="AH865" s="239">
        <f t="shared" si="68"/>
        <v>0</v>
      </c>
      <c r="AI865" s="239">
        <f t="shared" si="69"/>
        <v>0</v>
      </c>
      <c r="AJ865" s="239">
        <f t="shared" si="70"/>
        <v>0</v>
      </c>
    </row>
    <row r="866" spans="1:36" x14ac:dyDescent="0.2">
      <c r="A866" s="240" t="str">
        <f t="shared" si="71"/>
        <v>2TNCF10CF619E70</v>
      </c>
      <c r="B866" s="239" t="s">
        <v>265</v>
      </c>
      <c r="C866" s="239" t="s">
        <v>20</v>
      </c>
      <c r="D866" s="239" t="s">
        <v>2481</v>
      </c>
      <c r="E866" s="239" t="s">
        <v>2482</v>
      </c>
      <c r="F866" s="239" t="s">
        <v>2679</v>
      </c>
      <c r="G866" s="239">
        <v>70</v>
      </c>
      <c r="H866" s="239" t="s">
        <v>928</v>
      </c>
      <c r="I866" s="239" t="s">
        <v>2484</v>
      </c>
      <c r="J866" s="239" t="s">
        <v>928</v>
      </c>
      <c r="K866" s="239" t="s">
        <v>2398</v>
      </c>
      <c r="L866" s="239">
        <v>785.77</v>
      </c>
      <c r="M866" s="239">
        <v>0</v>
      </c>
      <c r="N866" s="239">
        <v>0</v>
      </c>
      <c r="O866" s="239">
        <v>0</v>
      </c>
      <c r="P866" s="239">
        <v>0</v>
      </c>
      <c r="Q866" s="239">
        <v>0</v>
      </c>
      <c r="R866" s="239">
        <v>0</v>
      </c>
      <c r="S866" s="239">
        <v>0</v>
      </c>
      <c r="T866" s="239">
        <v>0</v>
      </c>
      <c r="U866" s="239">
        <v>0</v>
      </c>
      <c r="V866" s="239">
        <v>0</v>
      </c>
      <c r="W866" s="239">
        <v>0</v>
      </c>
      <c r="X866" s="239">
        <v>0</v>
      </c>
      <c r="Y866" s="239">
        <v>655.81</v>
      </c>
      <c r="Z866" s="239">
        <v>0</v>
      </c>
      <c r="AA866" s="239">
        <v>0</v>
      </c>
      <c r="AB866" s="239">
        <v>129.94999999999999</v>
      </c>
      <c r="AC866" s="239">
        <v>0</v>
      </c>
      <c r="AD866" s="239">
        <v>0</v>
      </c>
      <c r="AE866" s="239" t="s">
        <v>720</v>
      </c>
      <c r="AF866" s="239" t="s">
        <v>721</v>
      </c>
      <c r="AG866" s="239">
        <f t="shared" si="67"/>
        <v>0</v>
      </c>
      <c r="AH866" s="239">
        <f t="shared" si="68"/>
        <v>0</v>
      </c>
      <c r="AI866" s="239">
        <f t="shared" si="69"/>
        <v>0</v>
      </c>
      <c r="AJ866" s="239">
        <f t="shared" si="70"/>
        <v>0</v>
      </c>
    </row>
    <row r="867" spans="1:36" x14ac:dyDescent="0.2">
      <c r="A867" s="240" t="str">
        <f t="shared" si="71"/>
        <v>TNCF10CF619E70</v>
      </c>
      <c r="B867" s="239" t="s">
        <v>265</v>
      </c>
      <c r="C867" s="239" t="s">
        <v>20</v>
      </c>
      <c r="D867" s="239" t="s">
        <v>2481</v>
      </c>
      <c r="E867" s="239" t="s">
        <v>2482</v>
      </c>
      <c r="F867" s="239" t="s">
        <v>2679</v>
      </c>
      <c r="G867" s="239">
        <v>70</v>
      </c>
      <c r="H867" s="239" t="s">
        <v>928</v>
      </c>
      <c r="I867" s="239" t="s">
        <v>928</v>
      </c>
      <c r="J867" s="239" t="s">
        <v>928</v>
      </c>
      <c r="K867" s="239" t="s">
        <v>2398</v>
      </c>
      <c r="L867" s="239">
        <v>785.77</v>
      </c>
      <c r="M867" s="239">
        <v>0</v>
      </c>
      <c r="N867" s="239">
        <v>0</v>
      </c>
      <c r="O867" s="239">
        <v>0</v>
      </c>
      <c r="P867" s="239">
        <v>0</v>
      </c>
      <c r="Q867" s="239">
        <v>0</v>
      </c>
      <c r="R867" s="239">
        <v>0</v>
      </c>
      <c r="S867" s="239">
        <v>0</v>
      </c>
      <c r="T867" s="239">
        <v>0</v>
      </c>
      <c r="U867" s="239">
        <v>0</v>
      </c>
      <c r="V867" s="239">
        <v>0</v>
      </c>
      <c r="W867" s="239">
        <v>0</v>
      </c>
      <c r="X867" s="239">
        <v>0</v>
      </c>
      <c r="Y867" s="239">
        <v>655.81</v>
      </c>
      <c r="Z867" s="239">
        <v>0</v>
      </c>
      <c r="AA867" s="239">
        <v>0</v>
      </c>
      <c r="AB867" s="239">
        <v>129.94999999999999</v>
      </c>
      <c r="AC867" s="239">
        <v>0</v>
      </c>
      <c r="AD867" s="239">
        <v>0</v>
      </c>
      <c r="AE867" s="239" t="s">
        <v>720</v>
      </c>
      <c r="AF867" s="239" t="s">
        <v>721</v>
      </c>
      <c r="AG867" s="239">
        <f t="shared" si="67"/>
        <v>0</v>
      </c>
      <c r="AH867" s="239">
        <f t="shared" si="68"/>
        <v>0</v>
      </c>
      <c r="AI867" s="239">
        <f t="shared" si="69"/>
        <v>0</v>
      </c>
      <c r="AJ867" s="239">
        <f t="shared" si="70"/>
        <v>0</v>
      </c>
    </row>
    <row r="868" spans="1:36" x14ac:dyDescent="0.2">
      <c r="A868" s="240" t="str">
        <f t="shared" si="71"/>
        <v>2TNCF10CF622E45</v>
      </c>
      <c r="B868" s="239" t="s">
        <v>265</v>
      </c>
      <c r="C868" s="239" t="s">
        <v>20</v>
      </c>
      <c r="D868" s="239" t="s">
        <v>2481</v>
      </c>
      <c r="E868" s="239" t="s">
        <v>2482</v>
      </c>
      <c r="F868" s="239" t="s">
        <v>2680</v>
      </c>
      <c r="G868" s="239">
        <v>45</v>
      </c>
      <c r="H868" s="239" t="s">
        <v>928</v>
      </c>
      <c r="I868" s="239" t="s">
        <v>2484</v>
      </c>
      <c r="J868" s="239" t="s">
        <v>928</v>
      </c>
      <c r="K868" s="239" t="s">
        <v>2398</v>
      </c>
      <c r="L868" s="239">
        <v>696.04</v>
      </c>
      <c r="M868" s="239">
        <v>0</v>
      </c>
      <c r="N868" s="239">
        <v>0</v>
      </c>
      <c r="O868" s="239">
        <v>0</v>
      </c>
      <c r="P868" s="239">
        <v>0</v>
      </c>
      <c r="Q868" s="239">
        <v>0</v>
      </c>
      <c r="R868" s="239">
        <v>0</v>
      </c>
      <c r="S868" s="239">
        <v>0</v>
      </c>
      <c r="T868" s="239">
        <v>0</v>
      </c>
      <c r="U868" s="239">
        <v>0</v>
      </c>
      <c r="V868" s="239">
        <v>0</v>
      </c>
      <c r="W868" s="239">
        <v>0</v>
      </c>
      <c r="X868" s="239">
        <v>0</v>
      </c>
      <c r="Y868" s="239">
        <v>587.85</v>
      </c>
      <c r="Z868" s="239">
        <v>0</v>
      </c>
      <c r="AA868" s="239">
        <v>0</v>
      </c>
      <c r="AB868" s="239">
        <v>108.19</v>
      </c>
      <c r="AC868" s="239">
        <v>0</v>
      </c>
      <c r="AD868" s="239">
        <v>0</v>
      </c>
      <c r="AE868" s="239" t="s">
        <v>720</v>
      </c>
      <c r="AF868" s="239" t="s">
        <v>721</v>
      </c>
      <c r="AG868" s="239">
        <f t="shared" si="67"/>
        <v>0</v>
      </c>
      <c r="AH868" s="239">
        <f t="shared" si="68"/>
        <v>0</v>
      </c>
      <c r="AI868" s="239">
        <f t="shared" si="69"/>
        <v>0</v>
      </c>
      <c r="AJ868" s="239">
        <f t="shared" si="70"/>
        <v>0</v>
      </c>
    </row>
    <row r="869" spans="1:36" x14ac:dyDescent="0.2">
      <c r="A869" s="240" t="str">
        <f t="shared" si="71"/>
        <v>TNCF10CF622E45</v>
      </c>
      <c r="B869" s="239" t="s">
        <v>265</v>
      </c>
      <c r="C869" s="239" t="s">
        <v>20</v>
      </c>
      <c r="D869" s="239" t="s">
        <v>2481</v>
      </c>
      <c r="E869" s="239" t="s">
        <v>2482</v>
      </c>
      <c r="F869" s="239" t="s">
        <v>2680</v>
      </c>
      <c r="G869" s="239">
        <v>45</v>
      </c>
      <c r="H869" s="239" t="s">
        <v>928</v>
      </c>
      <c r="I869" s="239" t="s">
        <v>928</v>
      </c>
      <c r="J869" s="239" t="s">
        <v>928</v>
      </c>
      <c r="K869" s="239" t="s">
        <v>2398</v>
      </c>
      <c r="L869" s="239">
        <v>696.04</v>
      </c>
      <c r="M869" s="239">
        <v>0</v>
      </c>
      <c r="N869" s="239">
        <v>0</v>
      </c>
      <c r="O869" s="239">
        <v>0</v>
      </c>
      <c r="P869" s="239">
        <v>0</v>
      </c>
      <c r="Q869" s="239">
        <v>0</v>
      </c>
      <c r="R869" s="239">
        <v>0</v>
      </c>
      <c r="S869" s="239">
        <v>0</v>
      </c>
      <c r="T869" s="239">
        <v>0</v>
      </c>
      <c r="U869" s="239">
        <v>0</v>
      </c>
      <c r="V869" s="239">
        <v>0</v>
      </c>
      <c r="W869" s="239">
        <v>0</v>
      </c>
      <c r="X869" s="239">
        <v>0</v>
      </c>
      <c r="Y869" s="239">
        <v>587.85</v>
      </c>
      <c r="Z869" s="239">
        <v>0</v>
      </c>
      <c r="AA869" s="239">
        <v>0</v>
      </c>
      <c r="AB869" s="239">
        <v>108.19</v>
      </c>
      <c r="AC869" s="239">
        <v>0</v>
      </c>
      <c r="AD869" s="239">
        <v>0</v>
      </c>
      <c r="AE869" s="239" t="s">
        <v>720</v>
      </c>
      <c r="AF869" s="239" t="s">
        <v>721</v>
      </c>
      <c r="AG869" s="239">
        <f t="shared" si="67"/>
        <v>0</v>
      </c>
      <c r="AH869" s="239">
        <f t="shared" si="68"/>
        <v>0</v>
      </c>
      <c r="AI869" s="239">
        <f t="shared" si="69"/>
        <v>0</v>
      </c>
      <c r="AJ869" s="239">
        <f t="shared" si="70"/>
        <v>0</v>
      </c>
    </row>
    <row r="870" spans="1:36" x14ac:dyDescent="0.2">
      <c r="A870" s="240" t="str">
        <f t="shared" si="71"/>
        <v>2TNCF10CF62580</v>
      </c>
      <c r="B870" s="239" t="s">
        <v>265</v>
      </c>
      <c r="C870" s="239" t="s">
        <v>20</v>
      </c>
      <c r="D870" s="239" t="s">
        <v>2481</v>
      </c>
      <c r="E870" s="239" t="s">
        <v>2482</v>
      </c>
      <c r="F870" s="239" t="s">
        <v>2681</v>
      </c>
      <c r="G870" s="239">
        <v>80</v>
      </c>
      <c r="H870" s="239" t="s">
        <v>928</v>
      </c>
      <c r="I870" s="239" t="s">
        <v>2484</v>
      </c>
      <c r="J870" s="239" t="s">
        <v>928</v>
      </c>
      <c r="K870" s="239" t="s">
        <v>2398</v>
      </c>
      <c r="L870" s="239">
        <v>1065.67</v>
      </c>
      <c r="M870" s="239">
        <v>0</v>
      </c>
      <c r="N870" s="239">
        <v>0</v>
      </c>
      <c r="O870" s="239">
        <v>0</v>
      </c>
      <c r="P870" s="239">
        <v>0</v>
      </c>
      <c r="Q870" s="239">
        <v>0</v>
      </c>
      <c r="R870" s="239">
        <v>0</v>
      </c>
      <c r="S870" s="239">
        <v>0</v>
      </c>
      <c r="T870" s="239">
        <v>0</v>
      </c>
      <c r="U870" s="239">
        <v>0</v>
      </c>
      <c r="V870" s="239">
        <v>0</v>
      </c>
      <c r="W870" s="239">
        <v>0</v>
      </c>
      <c r="X870" s="239">
        <v>0</v>
      </c>
      <c r="Y870" s="239">
        <v>907.95</v>
      </c>
      <c r="Z870" s="239">
        <v>0</v>
      </c>
      <c r="AA870" s="239">
        <v>0</v>
      </c>
      <c r="AB870" s="239">
        <v>157.72</v>
      </c>
      <c r="AC870" s="239">
        <v>0</v>
      </c>
      <c r="AD870" s="239">
        <v>0</v>
      </c>
      <c r="AE870" s="239" t="s">
        <v>720</v>
      </c>
      <c r="AF870" s="239" t="s">
        <v>721</v>
      </c>
      <c r="AG870" s="239">
        <f t="shared" si="67"/>
        <v>0</v>
      </c>
      <c r="AH870" s="239">
        <f t="shared" si="68"/>
        <v>0</v>
      </c>
      <c r="AI870" s="239">
        <f t="shared" si="69"/>
        <v>0</v>
      </c>
      <c r="AJ870" s="239">
        <f t="shared" si="70"/>
        <v>0</v>
      </c>
    </row>
    <row r="871" spans="1:36" x14ac:dyDescent="0.2">
      <c r="A871" s="240" t="str">
        <f t="shared" si="71"/>
        <v>TNCF10CF62580</v>
      </c>
      <c r="B871" s="239" t="s">
        <v>265</v>
      </c>
      <c r="C871" s="239" t="s">
        <v>20</v>
      </c>
      <c r="D871" s="239" t="s">
        <v>2481</v>
      </c>
      <c r="E871" s="239" t="s">
        <v>2482</v>
      </c>
      <c r="F871" s="239" t="s">
        <v>2681</v>
      </c>
      <c r="G871" s="239">
        <v>80</v>
      </c>
      <c r="H871" s="239" t="s">
        <v>928</v>
      </c>
      <c r="I871" s="239" t="s">
        <v>928</v>
      </c>
      <c r="J871" s="239" t="s">
        <v>928</v>
      </c>
      <c r="K871" s="239" t="s">
        <v>2398</v>
      </c>
      <c r="L871" s="239">
        <v>1065.67</v>
      </c>
      <c r="M871" s="239">
        <v>0</v>
      </c>
      <c r="N871" s="239">
        <v>0</v>
      </c>
      <c r="O871" s="239">
        <v>0</v>
      </c>
      <c r="P871" s="239">
        <v>0</v>
      </c>
      <c r="Q871" s="239">
        <v>0</v>
      </c>
      <c r="R871" s="239">
        <v>0</v>
      </c>
      <c r="S871" s="239">
        <v>0</v>
      </c>
      <c r="T871" s="239">
        <v>0</v>
      </c>
      <c r="U871" s="239">
        <v>0</v>
      </c>
      <c r="V871" s="239">
        <v>0</v>
      </c>
      <c r="W871" s="239">
        <v>0</v>
      </c>
      <c r="X871" s="239">
        <v>0</v>
      </c>
      <c r="Y871" s="239">
        <v>907.95</v>
      </c>
      <c r="Z871" s="239">
        <v>0</v>
      </c>
      <c r="AA871" s="239">
        <v>0</v>
      </c>
      <c r="AB871" s="239">
        <v>157.72</v>
      </c>
      <c r="AC871" s="239">
        <v>0</v>
      </c>
      <c r="AD871" s="239">
        <v>0</v>
      </c>
      <c r="AE871" s="239" t="s">
        <v>20</v>
      </c>
      <c r="AF871" s="239" t="s">
        <v>718</v>
      </c>
      <c r="AG871" s="239">
        <f t="shared" si="67"/>
        <v>0</v>
      </c>
      <c r="AH871" s="239">
        <f t="shared" si="68"/>
        <v>0</v>
      </c>
      <c r="AI871" s="239">
        <f t="shared" si="69"/>
        <v>0</v>
      </c>
      <c r="AJ871" s="239">
        <f t="shared" si="70"/>
        <v>0</v>
      </c>
    </row>
    <row r="872" spans="1:36" x14ac:dyDescent="0.2">
      <c r="A872" s="240" t="str">
        <f t="shared" si="71"/>
        <v>2TNCF10CF62680</v>
      </c>
      <c r="B872" s="239" t="s">
        <v>265</v>
      </c>
      <c r="C872" s="239" t="s">
        <v>20</v>
      </c>
      <c r="D872" s="239" t="s">
        <v>2481</v>
      </c>
      <c r="E872" s="239" t="s">
        <v>2482</v>
      </c>
      <c r="F872" s="239" t="s">
        <v>2682</v>
      </c>
      <c r="G872" s="239">
        <v>80</v>
      </c>
      <c r="H872" s="239" t="s">
        <v>928</v>
      </c>
      <c r="I872" s="239" t="s">
        <v>2484</v>
      </c>
      <c r="J872" s="239" t="s">
        <v>928</v>
      </c>
      <c r="K872" s="239" t="s">
        <v>2398</v>
      </c>
      <c r="L872" s="239">
        <v>1276.32</v>
      </c>
      <c r="M872" s="239">
        <v>0</v>
      </c>
      <c r="N872" s="239">
        <v>0</v>
      </c>
      <c r="O872" s="239">
        <v>0</v>
      </c>
      <c r="P872" s="239">
        <v>0</v>
      </c>
      <c r="Q872" s="239">
        <v>0</v>
      </c>
      <c r="R872" s="239">
        <v>0</v>
      </c>
      <c r="S872" s="239">
        <v>0</v>
      </c>
      <c r="T872" s="239">
        <v>0</v>
      </c>
      <c r="U872" s="239">
        <v>0</v>
      </c>
      <c r="V872" s="239">
        <v>0</v>
      </c>
      <c r="W872" s="239">
        <v>0</v>
      </c>
      <c r="X872" s="239">
        <v>0</v>
      </c>
      <c r="Y872" s="239">
        <v>1150.7</v>
      </c>
      <c r="Z872" s="239">
        <v>0</v>
      </c>
      <c r="AA872" s="239">
        <v>0</v>
      </c>
      <c r="AB872" s="239">
        <v>125.62</v>
      </c>
      <c r="AC872" s="239">
        <v>0</v>
      </c>
      <c r="AD872" s="239">
        <v>0</v>
      </c>
      <c r="AE872" s="239" t="s">
        <v>20</v>
      </c>
      <c r="AF872" s="239" t="s">
        <v>718</v>
      </c>
      <c r="AG872" s="239">
        <f t="shared" si="67"/>
        <v>0</v>
      </c>
      <c r="AH872" s="239">
        <f t="shared" si="68"/>
        <v>0</v>
      </c>
      <c r="AI872" s="239">
        <f t="shared" si="69"/>
        <v>0</v>
      </c>
      <c r="AJ872" s="239">
        <f t="shared" si="70"/>
        <v>0</v>
      </c>
    </row>
    <row r="873" spans="1:36" x14ac:dyDescent="0.2">
      <c r="A873" s="240" t="str">
        <f t="shared" si="71"/>
        <v>TNCF10CF62680</v>
      </c>
      <c r="B873" s="239" t="s">
        <v>265</v>
      </c>
      <c r="C873" s="239" t="s">
        <v>20</v>
      </c>
      <c r="D873" s="239" t="s">
        <v>2481</v>
      </c>
      <c r="E873" s="239" t="s">
        <v>2482</v>
      </c>
      <c r="F873" s="239" t="s">
        <v>2682</v>
      </c>
      <c r="G873" s="239">
        <v>80</v>
      </c>
      <c r="H873" s="239" t="s">
        <v>928</v>
      </c>
      <c r="I873" s="239" t="s">
        <v>928</v>
      </c>
      <c r="J873" s="239" t="s">
        <v>928</v>
      </c>
      <c r="K873" s="239" t="s">
        <v>2398</v>
      </c>
      <c r="L873" s="239">
        <v>1276.32</v>
      </c>
      <c r="M873" s="239">
        <v>0</v>
      </c>
      <c r="N873" s="239">
        <v>0</v>
      </c>
      <c r="O873" s="239">
        <v>0</v>
      </c>
      <c r="P873" s="239">
        <v>0</v>
      </c>
      <c r="Q873" s="239">
        <v>0</v>
      </c>
      <c r="R873" s="239">
        <v>0</v>
      </c>
      <c r="S873" s="239">
        <v>0</v>
      </c>
      <c r="T873" s="239">
        <v>0</v>
      </c>
      <c r="U873" s="239">
        <v>0</v>
      </c>
      <c r="V873" s="239">
        <v>0</v>
      </c>
      <c r="W873" s="239">
        <v>0</v>
      </c>
      <c r="X873" s="239">
        <v>0</v>
      </c>
      <c r="Y873" s="239">
        <v>1150.7</v>
      </c>
      <c r="Z873" s="239">
        <v>0</v>
      </c>
      <c r="AA873" s="239">
        <v>0</v>
      </c>
      <c r="AB873" s="239">
        <v>125.62</v>
      </c>
      <c r="AC873" s="239">
        <v>0</v>
      </c>
      <c r="AD873" s="239">
        <v>0</v>
      </c>
      <c r="AE873" s="239" t="s">
        <v>20</v>
      </c>
      <c r="AF873" s="239" t="s">
        <v>718</v>
      </c>
      <c r="AG873" s="239">
        <f t="shared" si="67"/>
        <v>0</v>
      </c>
      <c r="AH873" s="239">
        <f t="shared" si="68"/>
        <v>0</v>
      </c>
      <c r="AI873" s="239">
        <f t="shared" si="69"/>
        <v>0</v>
      </c>
      <c r="AJ873" s="239">
        <f t="shared" si="70"/>
        <v>0</v>
      </c>
    </row>
    <row r="874" spans="1:36" x14ac:dyDescent="0.2">
      <c r="A874" s="240" t="str">
        <f t="shared" si="71"/>
        <v>2TNCF10CF626140</v>
      </c>
      <c r="B874" s="239" t="s">
        <v>265</v>
      </c>
      <c r="C874" s="239" t="s">
        <v>20</v>
      </c>
      <c r="D874" s="239" t="s">
        <v>2481</v>
      </c>
      <c r="E874" s="239" t="s">
        <v>2482</v>
      </c>
      <c r="F874" s="239" t="s">
        <v>2682</v>
      </c>
      <c r="G874" s="239">
        <v>140</v>
      </c>
      <c r="H874" s="239" t="s">
        <v>928</v>
      </c>
      <c r="I874" s="239" t="s">
        <v>2484</v>
      </c>
      <c r="J874" s="239" t="s">
        <v>928</v>
      </c>
      <c r="K874" s="239" t="s">
        <v>2398</v>
      </c>
      <c r="L874" s="239">
        <v>1260.8900000000001</v>
      </c>
      <c r="M874" s="239">
        <v>0</v>
      </c>
      <c r="N874" s="239">
        <v>0</v>
      </c>
      <c r="O874" s="239">
        <v>0</v>
      </c>
      <c r="P874" s="239">
        <v>0</v>
      </c>
      <c r="Q874" s="239">
        <v>0</v>
      </c>
      <c r="R874" s="239">
        <v>0</v>
      </c>
      <c r="S874" s="239">
        <v>0</v>
      </c>
      <c r="T874" s="239">
        <v>0</v>
      </c>
      <c r="U874" s="239">
        <v>0</v>
      </c>
      <c r="V874" s="239">
        <v>0</v>
      </c>
      <c r="W874" s="239">
        <v>0</v>
      </c>
      <c r="X874" s="239">
        <v>0</v>
      </c>
      <c r="Y874" s="239">
        <v>1112.67</v>
      </c>
      <c r="Z874" s="239">
        <v>0</v>
      </c>
      <c r="AA874" s="239">
        <v>0</v>
      </c>
      <c r="AB874" s="239">
        <v>148.22999999999999</v>
      </c>
      <c r="AC874" s="239">
        <v>0</v>
      </c>
      <c r="AD874" s="239">
        <v>0</v>
      </c>
      <c r="AE874" s="239" t="s">
        <v>20</v>
      </c>
      <c r="AF874" s="239" t="s">
        <v>718</v>
      </c>
      <c r="AG874" s="239">
        <f t="shared" si="67"/>
        <v>0</v>
      </c>
      <c r="AH874" s="239">
        <f t="shared" si="68"/>
        <v>0</v>
      </c>
      <c r="AI874" s="239">
        <f t="shared" si="69"/>
        <v>0</v>
      </c>
      <c r="AJ874" s="239">
        <f t="shared" si="70"/>
        <v>0</v>
      </c>
    </row>
    <row r="875" spans="1:36" x14ac:dyDescent="0.2">
      <c r="A875" s="240" t="str">
        <f t="shared" si="71"/>
        <v>TNCF10CF626140</v>
      </c>
      <c r="B875" s="239" t="s">
        <v>265</v>
      </c>
      <c r="C875" s="239" t="s">
        <v>20</v>
      </c>
      <c r="D875" s="239" t="s">
        <v>2481</v>
      </c>
      <c r="E875" s="239" t="s">
        <v>2482</v>
      </c>
      <c r="F875" s="239" t="s">
        <v>2682</v>
      </c>
      <c r="G875" s="239">
        <v>140</v>
      </c>
      <c r="H875" s="239" t="s">
        <v>928</v>
      </c>
      <c r="I875" s="239" t="s">
        <v>928</v>
      </c>
      <c r="J875" s="239" t="s">
        <v>928</v>
      </c>
      <c r="K875" s="239" t="s">
        <v>2398</v>
      </c>
      <c r="L875" s="239">
        <v>1260.8900000000001</v>
      </c>
      <c r="M875" s="239">
        <v>0</v>
      </c>
      <c r="N875" s="239">
        <v>0</v>
      </c>
      <c r="O875" s="239">
        <v>0</v>
      </c>
      <c r="P875" s="239">
        <v>0</v>
      </c>
      <c r="Q875" s="239">
        <v>0</v>
      </c>
      <c r="R875" s="239">
        <v>0</v>
      </c>
      <c r="S875" s="239">
        <v>0</v>
      </c>
      <c r="T875" s="239">
        <v>0</v>
      </c>
      <c r="U875" s="239">
        <v>0</v>
      </c>
      <c r="V875" s="239">
        <v>0</v>
      </c>
      <c r="W875" s="239">
        <v>0</v>
      </c>
      <c r="X875" s="239">
        <v>0</v>
      </c>
      <c r="Y875" s="239">
        <v>1112.67</v>
      </c>
      <c r="Z875" s="239">
        <v>0</v>
      </c>
      <c r="AA875" s="239">
        <v>0</v>
      </c>
      <c r="AB875" s="239">
        <v>148.22999999999999</v>
      </c>
      <c r="AC875" s="239">
        <v>0</v>
      </c>
      <c r="AD875" s="239">
        <v>0</v>
      </c>
      <c r="AE875" s="239" t="s">
        <v>20</v>
      </c>
      <c r="AF875" s="239" t="s">
        <v>718</v>
      </c>
      <c r="AG875" s="239">
        <f t="shared" si="67"/>
        <v>0</v>
      </c>
      <c r="AH875" s="239">
        <f t="shared" si="68"/>
        <v>0</v>
      </c>
      <c r="AI875" s="239">
        <f t="shared" si="69"/>
        <v>0</v>
      </c>
      <c r="AJ875" s="239">
        <f t="shared" si="70"/>
        <v>0</v>
      </c>
    </row>
    <row r="876" spans="1:36" x14ac:dyDescent="0.2">
      <c r="A876" s="240" t="str">
        <f t="shared" si="71"/>
        <v>2TNCF10CF65750</v>
      </c>
      <c r="B876" s="239" t="s">
        <v>265</v>
      </c>
      <c r="C876" s="239" t="s">
        <v>20</v>
      </c>
      <c r="D876" s="239" t="s">
        <v>2481</v>
      </c>
      <c r="E876" s="239" t="s">
        <v>2482</v>
      </c>
      <c r="F876" s="239" t="s">
        <v>2683</v>
      </c>
      <c r="G876" s="239">
        <v>50</v>
      </c>
      <c r="H876" s="239" t="s">
        <v>928</v>
      </c>
      <c r="I876" s="239" t="s">
        <v>2484</v>
      </c>
      <c r="J876" s="239" t="s">
        <v>928</v>
      </c>
      <c r="K876" s="239" t="s">
        <v>2398</v>
      </c>
      <c r="L876" s="239">
        <v>891.13</v>
      </c>
      <c r="M876" s="239">
        <v>0</v>
      </c>
      <c r="N876" s="239">
        <v>0</v>
      </c>
      <c r="O876" s="239">
        <v>0</v>
      </c>
      <c r="P876" s="239">
        <v>0</v>
      </c>
      <c r="Q876" s="239">
        <v>0</v>
      </c>
      <c r="R876" s="239">
        <v>0</v>
      </c>
      <c r="S876" s="239">
        <v>0</v>
      </c>
      <c r="T876" s="239">
        <v>0</v>
      </c>
      <c r="U876" s="239">
        <v>0</v>
      </c>
      <c r="V876" s="239">
        <v>0</v>
      </c>
      <c r="W876" s="239">
        <v>0</v>
      </c>
      <c r="X876" s="239">
        <v>0</v>
      </c>
      <c r="Y876" s="239">
        <v>626.84</v>
      </c>
      <c r="Z876" s="239">
        <v>0</v>
      </c>
      <c r="AA876" s="239">
        <v>0</v>
      </c>
      <c r="AB876" s="239">
        <v>264.29000000000002</v>
      </c>
      <c r="AC876" s="239">
        <v>0</v>
      </c>
      <c r="AD876" s="239">
        <v>0</v>
      </c>
      <c r="AE876" s="239" t="s">
        <v>20</v>
      </c>
      <c r="AF876" s="239" t="s">
        <v>718</v>
      </c>
      <c r="AG876" s="239">
        <f t="shared" si="67"/>
        <v>0</v>
      </c>
      <c r="AH876" s="239">
        <f t="shared" si="68"/>
        <v>0</v>
      </c>
      <c r="AI876" s="239">
        <f t="shared" si="69"/>
        <v>0</v>
      </c>
      <c r="AJ876" s="239">
        <f t="shared" si="70"/>
        <v>0</v>
      </c>
    </row>
    <row r="877" spans="1:36" x14ac:dyDescent="0.2">
      <c r="A877" s="240" t="str">
        <f t="shared" si="71"/>
        <v>TNCF10CF65750</v>
      </c>
      <c r="B877" s="239" t="s">
        <v>265</v>
      </c>
      <c r="C877" s="239" t="s">
        <v>20</v>
      </c>
      <c r="D877" s="239" t="s">
        <v>2481</v>
      </c>
      <c r="E877" s="239" t="s">
        <v>2482</v>
      </c>
      <c r="F877" s="239" t="s">
        <v>2683</v>
      </c>
      <c r="G877" s="239">
        <v>50</v>
      </c>
      <c r="H877" s="239" t="s">
        <v>928</v>
      </c>
      <c r="I877" s="239" t="s">
        <v>928</v>
      </c>
      <c r="J877" s="239" t="s">
        <v>928</v>
      </c>
      <c r="K877" s="239" t="s">
        <v>2398</v>
      </c>
      <c r="L877" s="239">
        <v>891.13</v>
      </c>
      <c r="M877" s="239">
        <v>0</v>
      </c>
      <c r="N877" s="239">
        <v>0</v>
      </c>
      <c r="O877" s="239">
        <v>0</v>
      </c>
      <c r="P877" s="239">
        <v>0</v>
      </c>
      <c r="Q877" s="239">
        <v>0</v>
      </c>
      <c r="R877" s="239">
        <v>0</v>
      </c>
      <c r="S877" s="239">
        <v>0</v>
      </c>
      <c r="T877" s="239">
        <v>0</v>
      </c>
      <c r="U877" s="239">
        <v>0</v>
      </c>
      <c r="V877" s="239">
        <v>0</v>
      </c>
      <c r="W877" s="239">
        <v>0</v>
      </c>
      <c r="X877" s="239">
        <v>0</v>
      </c>
      <c r="Y877" s="239">
        <v>626.84</v>
      </c>
      <c r="Z877" s="239">
        <v>0</v>
      </c>
      <c r="AA877" s="239">
        <v>0</v>
      </c>
      <c r="AB877" s="239">
        <v>264.29000000000002</v>
      </c>
      <c r="AC877" s="239">
        <v>0</v>
      </c>
      <c r="AD877" s="239">
        <v>0</v>
      </c>
      <c r="AE877" s="239" t="s">
        <v>20</v>
      </c>
      <c r="AF877" s="239" t="s">
        <v>718</v>
      </c>
      <c r="AG877" s="239">
        <f t="shared" si="67"/>
        <v>0</v>
      </c>
      <c r="AH877" s="239">
        <f t="shared" si="68"/>
        <v>0</v>
      </c>
      <c r="AI877" s="239">
        <f t="shared" si="69"/>
        <v>0</v>
      </c>
      <c r="AJ877" s="239">
        <f t="shared" si="70"/>
        <v>0</v>
      </c>
    </row>
    <row r="878" spans="1:36" x14ac:dyDescent="0.2">
      <c r="A878" s="240" t="str">
        <f t="shared" si="71"/>
        <v>2TNCF10L35250</v>
      </c>
      <c r="B878" s="239" t="s">
        <v>265</v>
      </c>
      <c r="C878" s="239" t="s">
        <v>20</v>
      </c>
      <c r="D878" s="239" t="s">
        <v>2481</v>
      </c>
      <c r="E878" s="239" t="s">
        <v>2482</v>
      </c>
      <c r="F878" s="239" t="s">
        <v>2684</v>
      </c>
      <c r="G878" s="239">
        <v>50</v>
      </c>
      <c r="H878" s="239" t="s">
        <v>928</v>
      </c>
      <c r="I878" s="239" t="s">
        <v>2484</v>
      </c>
      <c r="J878" s="239" t="s">
        <v>928</v>
      </c>
      <c r="K878" s="239" t="s">
        <v>2398</v>
      </c>
      <c r="L878" s="239">
        <v>678</v>
      </c>
      <c r="M878" s="239">
        <v>0</v>
      </c>
      <c r="N878" s="239">
        <v>0</v>
      </c>
      <c r="O878" s="239">
        <v>0</v>
      </c>
      <c r="P878" s="239">
        <v>0</v>
      </c>
      <c r="Q878" s="239">
        <v>0</v>
      </c>
      <c r="R878" s="239">
        <v>0</v>
      </c>
      <c r="S878" s="239">
        <v>0</v>
      </c>
      <c r="T878" s="239">
        <v>0</v>
      </c>
      <c r="U878" s="239">
        <v>0</v>
      </c>
      <c r="V878" s="239">
        <v>0</v>
      </c>
      <c r="W878" s="239">
        <v>0</v>
      </c>
      <c r="X878" s="239">
        <v>0</v>
      </c>
      <c r="Y878" s="239">
        <v>554.16</v>
      </c>
      <c r="Z878" s="239">
        <v>0</v>
      </c>
      <c r="AA878" s="239">
        <v>0</v>
      </c>
      <c r="AB878" s="239">
        <v>123.84</v>
      </c>
      <c r="AC878" s="239">
        <v>0</v>
      </c>
      <c r="AD878" s="239">
        <v>0</v>
      </c>
      <c r="AE878" s="239" t="s">
        <v>20</v>
      </c>
      <c r="AF878" s="239" t="s">
        <v>718</v>
      </c>
      <c r="AG878" s="239">
        <f t="shared" si="67"/>
        <v>0</v>
      </c>
      <c r="AH878" s="239">
        <f t="shared" si="68"/>
        <v>0</v>
      </c>
      <c r="AI878" s="239">
        <f t="shared" si="69"/>
        <v>0</v>
      </c>
      <c r="AJ878" s="239">
        <f t="shared" si="70"/>
        <v>0</v>
      </c>
    </row>
    <row r="879" spans="1:36" x14ac:dyDescent="0.2">
      <c r="A879" s="240" t="str">
        <f t="shared" si="71"/>
        <v>TNCF10L35250</v>
      </c>
      <c r="B879" s="239" t="s">
        <v>265</v>
      </c>
      <c r="C879" s="239" t="s">
        <v>20</v>
      </c>
      <c r="D879" s="239" t="s">
        <v>2481</v>
      </c>
      <c r="E879" s="239" t="s">
        <v>2482</v>
      </c>
      <c r="F879" s="239" t="s">
        <v>2684</v>
      </c>
      <c r="G879" s="239">
        <v>50</v>
      </c>
      <c r="H879" s="239" t="s">
        <v>928</v>
      </c>
      <c r="I879" s="239" t="s">
        <v>928</v>
      </c>
      <c r="J879" s="239" t="s">
        <v>928</v>
      </c>
      <c r="K879" s="239" t="s">
        <v>2398</v>
      </c>
      <c r="L879" s="239">
        <v>678</v>
      </c>
      <c r="M879" s="239">
        <v>0</v>
      </c>
      <c r="N879" s="239">
        <v>0</v>
      </c>
      <c r="O879" s="239">
        <v>0</v>
      </c>
      <c r="P879" s="239">
        <v>0</v>
      </c>
      <c r="Q879" s="239">
        <v>0</v>
      </c>
      <c r="R879" s="239">
        <v>0</v>
      </c>
      <c r="S879" s="239">
        <v>0</v>
      </c>
      <c r="T879" s="239">
        <v>0</v>
      </c>
      <c r="U879" s="239">
        <v>0</v>
      </c>
      <c r="V879" s="239">
        <v>0</v>
      </c>
      <c r="W879" s="239">
        <v>0</v>
      </c>
      <c r="X879" s="239">
        <v>0</v>
      </c>
      <c r="Y879" s="239">
        <v>554.16</v>
      </c>
      <c r="Z879" s="239">
        <v>0</v>
      </c>
      <c r="AA879" s="239">
        <v>0</v>
      </c>
      <c r="AB879" s="239">
        <v>123.84</v>
      </c>
      <c r="AC879" s="239">
        <v>0</v>
      </c>
      <c r="AD879" s="239">
        <v>0</v>
      </c>
      <c r="AE879" s="239" t="s">
        <v>20</v>
      </c>
      <c r="AF879" s="239" t="s">
        <v>718</v>
      </c>
      <c r="AG879" s="239">
        <f t="shared" si="67"/>
        <v>0</v>
      </c>
      <c r="AH879" s="239">
        <f t="shared" si="68"/>
        <v>0</v>
      </c>
      <c r="AI879" s="239">
        <f t="shared" si="69"/>
        <v>0</v>
      </c>
      <c r="AJ879" s="239">
        <f t="shared" si="70"/>
        <v>0</v>
      </c>
    </row>
    <row r="880" spans="1:36" x14ac:dyDescent="0.2">
      <c r="A880" s="240" t="str">
        <f t="shared" si="71"/>
        <v>2TNCF10L356OR50</v>
      </c>
      <c r="B880" s="239" t="s">
        <v>265</v>
      </c>
      <c r="C880" s="239" t="s">
        <v>20</v>
      </c>
      <c r="D880" s="239" t="s">
        <v>2481</v>
      </c>
      <c r="E880" s="239" t="s">
        <v>2482</v>
      </c>
      <c r="F880" s="239" t="s">
        <v>2685</v>
      </c>
      <c r="G880" s="239">
        <v>50</v>
      </c>
      <c r="H880" s="239" t="s">
        <v>928</v>
      </c>
      <c r="I880" s="239" t="s">
        <v>2484</v>
      </c>
      <c r="J880" s="239" t="s">
        <v>928</v>
      </c>
      <c r="K880" s="239" t="s">
        <v>2398</v>
      </c>
      <c r="L880" s="239">
        <v>675.11</v>
      </c>
      <c r="M880" s="239">
        <v>0</v>
      </c>
      <c r="N880" s="239">
        <v>0</v>
      </c>
      <c r="O880" s="239">
        <v>0</v>
      </c>
      <c r="P880" s="239">
        <v>0</v>
      </c>
      <c r="Q880" s="239">
        <v>0</v>
      </c>
      <c r="R880" s="239">
        <v>0</v>
      </c>
      <c r="S880" s="239">
        <v>0</v>
      </c>
      <c r="T880" s="239">
        <v>0</v>
      </c>
      <c r="U880" s="239">
        <v>0</v>
      </c>
      <c r="V880" s="239">
        <v>0</v>
      </c>
      <c r="W880" s="239">
        <v>0</v>
      </c>
      <c r="X880" s="239">
        <v>0</v>
      </c>
      <c r="Y880" s="239">
        <v>556.32000000000005</v>
      </c>
      <c r="Z880" s="239">
        <v>0</v>
      </c>
      <c r="AA880" s="239">
        <v>0</v>
      </c>
      <c r="AB880" s="239">
        <v>118.79</v>
      </c>
      <c r="AC880" s="239">
        <v>0</v>
      </c>
      <c r="AD880" s="239">
        <v>0</v>
      </c>
      <c r="AE880" s="239" t="s">
        <v>20</v>
      </c>
      <c r="AF880" s="239" t="s">
        <v>718</v>
      </c>
      <c r="AG880" s="239">
        <f t="shared" si="67"/>
        <v>0</v>
      </c>
      <c r="AH880" s="239">
        <f t="shared" si="68"/>
        <v>0</v>
      </c>
      <c r="AI880" s="239">
        <f t="shared" si="69"/>
        <v>0</v>
      </c>
      <c r="AJ880" s="239">
        <f t="shared" si="70"/>
        <v>0</v>
      </c>
    </row>
    <row r="881" spans="1:36" x14ac:dyDescent="0.2">
      <c r="A881" s="240" t="str">
        <f t="shared" si="71"/>
        <v>TNCF10L356OR50</v>
      </c>
      <c r="B881" s="239" t="s">
        <v>265</v>
      </c>
      <c r="C881" s="239" t="s">
        <v>20</v>
      </c>
      <c r="D881" s="239" t="s">
        <v>2481</v>
      </c>
      <c r="E881" s="239" t="s">
        <v>2482</v>
      </c>
      <c r="F881" s="239" t="s">
        <v>2685</v>
      </c>
      <c r="G881" s="239">
        <v>50</v>
      </c>
      <c r="H881" s="239" t="s">
        <v>928</v>
      </c>
      <c r="I881" s="239" t="s">
        <v>928</v>
      </c>
      <c r="J881" s="239" t="s">
        <v>928</v>
      </c>
      <c r="K881" s="239" t="s">
        <v>2398</v>
      </c>
      <c r="L881" s="239">
        <v>675.11</v>
      </c>
      <c r="M881" s="239">
        <v>0</v>
      </c>
      <c r="N881" s="239">
        <v>0</v>
      </c>
      <c r="O881" s="239">
        <v>0</v>
      </c>
      <c r="P881" s="239">
        <v>0</v>
      </c>
      <c r="Q881" s="239">
        <v>0</v>
      </c>
      <c r="R881" s="239">
        <v>0</v>
      </c>
      <c r="S881" s="239">
        <v>0</v>
      </c>
      <c r="T881" s="239">
        <v>0</v>
      </c>
      <c r="U881" s="239">
        <v>0</v>
      </c>
      <c r="V881" s="239">
        <v>0</v>
      </c>
      <c r="W881" s="239">
        <v>0</v>
      </c>
      <c r="X881" s="239">
        <v>0</v>
      </c>
      <c r="Y881" s="239">
        <v>556.32000000000005</v>
      </c>
      <c r="Z881" s="239">
        <v>0</v>
      </c>
      <c r="AA881" s="239">
        <v>0</v>
      </c>
      <c r="AB881" s="239">
        <v>118.79</v>
      </c>
      <c r="AC881" s="239">
        <v>0</v>
      </c>
      <c r="AD881" s="239">
        <v>0</v>
      </c>
      <c r="AE881" s="239" t="s">
        <v>20</v>
      </c>
      <c r="AF881" s="239" t="s">
        <v>718</v>
      </c>
      <c r="AG881" s="239">
        <f t="shared" si="67"/>
        <v>0</v>
      </c>
      <c r="AH881" s="239">
        <f t="shared" si="68"/>
        <v>0</v>
      </c>
      <c r="AI881" s="239">
        <f t="shared" si="69"/>
        <v>0</v>
      </c>
      <c r="AJ881" s="239">
        <f t="shared" si="70"/>
        <v>0</v>
      </c>
    </row>
    <row r="882" spans="1:36" x14ac:dyDescent="0.2">
      <c r="A882" s="240" t="str">
        <f t="shared" si="71"/>
        <v>2TNCF10R210H40</v>
      </c>
      <c r="B882" s="239" t="s">
        <v>265</v>
      </c>
      <c r="C882" s="239" t="s">
        <v>20</v>
      </c>
      <c r="D882" s="239" t="s">
        <v>2481</v>
      </c>
      <c r="E882" s="239" t="s">
        <v>2482</v>
      </c>
      <c r="F882" s="239" t="s">
        <v>2686</v>
      </c>
      <c r="G882" s="239">
        <v>40</v>
      </c>
      <c r="H882" s="239" t="s">
        <v>928</v>
      </c>
      <c r="I882" s="239" t="s">
        <v>2484</v>
      </c>
      <c r="J882" s="239" t="s">
        <v>928</v>
      </c>
      <c r="K882" s="239" t="s">
        <v>2398</v>
      </c>
      <c r="L882" s="239">
        <v>1023.28</v>
      </c>
      <c r="M882" s="239">
        <v>0</v>
      </c>
      <c r="N882" s="239">
        <v>0</v>
      </c>
      <c r="O882" s="239">
        <v>0</v>
      </c>
      <c r="P882" s="239">
        <v>0</v>
      </c>
      <c r="Q882" s="239">
        <v>0</v>
      </c>
      <c r="R882" s="239">
        <v>0</v>
      </c>
      <c r="S882" s="239">
        <v>0</v>
      </c>
      <c r="T882" s="239">
        <v>0</v>
      </c>
      <c r="U882" s="239">
        <v>0</v>
      </c>
      <c r="V882" s="239">
        <v>0</v>
      </c>
      <c r="W882" s="239">
        <v>0</v>
      </c>
      <c r="X882" s="239">
        <v>0</v>
      </c>
      <c r="Y882" s="239">
        <v>907.77</v>
      </c>
      <c r="Z882" s="239">
        <v>0</v>
      </c>
      <c r="AA882" s="239">
        <v>0</v>
      </c>
      <c r="AB882" s="239">
        <v>115.51</v>
      </c>
      <c r="AC882" s="239">
        <v>0</v>
      </c>
      <c r="AD882" s="239">
        <v>0</v>
      </c>
      <c r="AE882" s="239" t="s">
        <v>20</v>
      </c>
      <c r="AF882" s="239" t="s">
        <v>718</v>
      </c>
      <c r="AG882" s="239">
        <f t="shared" si="67"/>
        <v>0</v>
      </c>
      <c r="AH882" s="239">
        <f t="shared" si="68"/>
        <v>0</v>
      </c>
      <c r="AI882" s="239">
        <f t="shared" si="69"/>
        <v>0</v>
      </c>
      <c r="AJ882" s="239">
        <f t="shared" si="70"/>
        <v>0</v>
      </c>
    </row>
    <row r="883" spans="1:36" x14ac:dyDescent="0.2">
      <c r="A883" s="240" t="str">
        <f t="shared" si="71"/>
        <v>TNCF10R210H40</v>
      </c>
      <c r="B883" s="239" t="s">
        <v>265</v>
      </c>
      <c r="C883" s="239" t="s">
        <v>20</v>
      </c>
      <c r="D883" s="239" t="s">
        <v>2481</v>
      </c>
      <c r="E883" s="239" t="s">
        <v>2482</v>
      </c>
      <c r="F883" s="239" t="s">
        <v>2686</v>
      </c>
      <c r="G883" s="239">
        <v>40</v>
      </c>
      <c r="H883" s="239" t="s">
        <v>928</v>
      </c>
      <c r="I883" s="239" t="s">
        <v>928</v>
      </c>
      <c r="J883" s="239" t="s">
        <v>928</v>
      </c>
      <c r="K883" s="239" t="s">
        <v>2398</v>
      </c>
      <c r="L883" s="239">
        <v>1023.28</v>
      </c>
      <c r="M883" s="239">
        <v>0</v>
      </c>
      <c r="N883" s="239">
        <v>0</v>
      </c>
      <c r="O883" s="239">
        <v>0</v>
      </c>
      <c r="P883" s="239">
        <v>0</v>
      </c>
      <c r="Q883" s="239">
        <v>0</v>
      </c>
      <c r="R883" s="239">
        <v>0</v>
      </c>
      <c r="S883" s="239">
        <v>0</v>
      </c>
      <c r="T883" s="239">
        <v>0</v>
      </c>
      <c r="U883" s="239">
        <v>0</v>
      </c>
      <c r="V883" s="239">
        <v>0</v>
      </c>
      <c r="W883" s="239">
        <v>0</v>
      </c>
      <c r="X883" s="239">
        <v>0</v>
      </c>
      <c r="Y883" s="239">
        <v>907.77</v>
      </c>
      <c r="Z883" s="239">
        <v>0</v>
      </c>
      <c r="AA883" s="239">
        <v>0</v>
      </c>
      <c r="AB883" s="239">
        <v>115.51</v>
      </c>
      <c r="AC883" s="239">
        <v>0</v>
      </c>
      <c r="AD883" s="239">
        <v>0</v>
      </c>
      <c r="AE883" s="239" t="s">
        <v>20</v>
      </c>
      <c r="AF883" s="239" t="s">
        <v>718</v>
      </c>
      <c r="AG883" s="239">
        <f t="shared" si="67"/>
        <v>0</v>
      </c>
      <c r="AH883" s="239">
        <f t="shared" si="68"/>
        <v>0</v>
      </c>
      <c r="AI883" s="239">
        <f t="shared" si="69"/>
        <v>0</v>
      </c>
      <c r="AJ883" s="239">
        <f t="shared" si="70"/>
        <v>0</v>
      </c>
    </row>
    <row r="884" spans="1:36" x14ac:dyDescent="0.2">
      <c r="A884" s="240" t="str">
        <f t="shared" si="71"/>
        <v>2TNCF10R21360</v>
      </c>
      <c r="B884" s="239" t="s">
        <v>265</v>
      </c>
      <c r="C884" s="239" t="s">
        <v>20</v>
      </c>
      <c r="D884" s="239" t="s">
        <v>2481</v>
      </c>
      <c r="E884" s="239" t="s">
        <v>2482</v>
      </c>
      <c r="F884" s="239" t="s">
        <v>2687</v>
      </c>
      <c r="G884" s="239">
        <v>60</v>
      </c>
      <c r="H884" s="239" t="s">
        <v>928</v>
      </c>
      <c r="I884" s="239" t="s">
        <v>2484</v>
      </c>
      <c r="J884" s="239" t="s">
        <v>928</v>
      </c>
      <c r="K884" s="239" t="s">
        <v>2398</v>
      </c>
      <c r="L884" s="239">
        <v>1028.82</v>
      </c>
      <c r="M884" s="239">
        <v>0</v>
      </c>
      <c r="N884" s="239">
        <v>0</v>
      </c>
      <c r="O884" s="239">
        <v>0</v>
      </c>
      <c r="P884" s="239">
        <v>0</v>
      </c>
      <c r="Q884" s="239">
        <v>0</v>
      </c>
      <c r="R884" s="239">
        <v>0</v>
      </c>
      <c r="S884" s="239">
        <v>0</v>
      </c>
      <c r="T884" s="239">
        <v>0</v>
      </c>
      <c r="U884" s="239">
        <v>0</v>
      </c>
      <c r="V884" s="239">
        <v>0</v>
      </c>
      <c r="W884" s="239">
        <v>0</v>
      </c>
      <c r="X884" s="239">
        <v>0</v>
      </c>
      <c r="Y884" s="239">
        <v>911.25</v>
      </c>
      <c r="Z884" s="239">
        <v>0</v>
      </c>
      <c r="AA884" s="239">
        <v>0</v>
      </c>
      <c r="AB884" s="239">
        <v>117.57</v>
      </c>
      <c r="AC884" s="239">
        <v>0</v>
      </c>
      <c r="AD884" s="239">
        <v>0</v>
      </c>
      <c r="AE884" s="239" t="s">
        <v>20</v>
      </c>
      <c r="AF884" s="239" t="s">
        <v>718</v>
      </c>
      <c r="AG884" s="239">
        <f t="shared" si="67"/>
        <v>0</v>
      </c>
      <c r="AH884" s="239">
        <f t="shared" si="68"/>
        <v>0</v>
      </c>
      <c r="AI884" s="239">
        <f t="shared" si="69"/>
        <v>0</v>
      </c>
      <c r="AJ884" s="239">
        <f t="shared" si="70"/>
        <v>0</v>
      </c>
    </row>
    <row r="885" spans="1:36" x14ac:dyDescent="0.2">
      <c r="A885" s="240" t="str">
        <f t="shared" si="71"/>
        <v>TNCF10R21360</v>
      </c>
      <c r="B885" s="239" t="s">
        <v>265</v>
      </c>
      <c r="C885" s="239" t="s">
        <v>20</v>
      </c>
      <c r="D885" s="239" t="s">
        <v>2481</v>
      </c>
      <c r="E885" s="239" t="s">
        <v>2482</v>
      </c>
      <c r="F885" s="239" t="s">
        <v>2687</v>
      </c>
      <c r="G885" s="239">
        <v>60</v>
      </c>
      <c r="H885" s="239" t="s">
        <v>928</v>
      </c>
      <c r="I885" s="239" t="s">
        <v>928</v>
      </c>
      <c r="J885" s="239" t="s">
        <v>928</v>
      </c>
      <c r="K885" s="239" t="s">
        <v>2398</v>
      </c>
      <c r="L885" s="239">
        <v>1028.82</v>
      </c>
      <c r="M885" s="239">
        <v>0</v>
      </c>
      <c r="N885" s="239">
        <v>0</v>
      </c>
      <c r="O885" s="239">
        <v>0</v>
      </c>
      <c r="P885" s="239">
        <v>0</v>
      </c>
      <c r="Q885" s="239">
        <v>0</v>
      </c>
      <c r="R885" s="239">
        <v>0</v>
      </c>
      <c r="S885" s="239">
        <v>0</v>
      </c>
      <c r="T885" s="239">
        <v>0</v>
      </c>
      <c r="U885" s="239">
        <v>0</v>
      </c>
      <c r="V885" s="239">
        <v>0</v>
      </c>
      <c r="W885" s="239">
        <v>0</v>
      </c>
      <c r="X885" s="239">
        <v>0</v>
      </c>
      <c r="Y885" s="239">
        <v>911.25</v>
      </c>
      <c r="Z885" s="239">
        <v>0</v>
      </c>
      <c r="AA885" s="239">
        <v>0</v>
      </c>
      <c r="AB885" s="239">
        <v>117.57</v>
      </c>
      <c r="AC885" s="239">
        <v>0</v>
      </c>
      <c r="AD885" s="239">
        <v>0</v>
      </c>
      <c r="AE885" s="239" t="s">
        <v>20</v>
      </c>
      <c r="AF885" s="239" t="s">
        <v>718</v>
      </c>
      <c r="AG885" s="239">
        <f t="shared" si="67"/>
        <v>0</v>
      </c>
      <c r="AH885" s="239">
        <f t="shared" si="68"/>
        <v>0</v>
      </c>
      <c r="AI885" s="239">
        <f t="shared" si="69"/>
        <v>0</v>
      </c>
      <c r="AJ885" s="239">
        <f t="shared" si="70"/>
        <v>0</v>
      </c>
    </row>
    <row r="886" spans="1:36" x14ac:dyDescent="0.2">
      <c r="A886" s="240" t="str">
        <f t="shared" si="71"/>
        <v>72BTNCF10R587FB120</v>
      </c>
      <c r="B886" s="239" t="s">
        <v>265</v>
      </c>
      <c r="C886" s="239" t="s">
        <v>20</v>
      </c>
      <c r="D886" s="239" t="s">
        <v>2481</v>
      </c>
      <c r="E886" s="239" t="s">
        <v>2482</v>
      </c>
      <c r="F886" s="239" t="s">
        <v>2688</v>
      </c>
      <c r="G886" s="239">
        <v>120</v>
      </c>
      <c r="H886" s="239" t="s">
        <v>928</v>
      </c>
      <c r="I886" s="239" t="s">
        <v>2689</v>
      </c>
      <c r="J886" s="239" t="s">
        <v>928</v>
      </c>
      <c r="K886" s="239" t="s">
        <v>2398</v>
      </c>
      <c r="L886" s="239">
        <v>1016.6</v>
      </c>
      <c r="M886" s="239">
        <v>100</v>
      </c>
      <c r="N886" s="239">
        <v>0</v>
      </c>
      <c r="O886" s="239">
        <v>1016.6</v>
      </c>
      <c r="P886" s="239">
        <v>0</v>
      </c>
      <c r="Q886" s="239">
        <v>0</v>
      </c>
      <c r="R886" s="239">
        <v>0</v>
      </c>
      <c r="S886" s="239">
        <v>0</v>
      </c>
      <c r="T886" s="239">
        <v>0</v>
      </c>
      <c r="U886" s="239">
        <v>0</v>
      </c>
      <c r="V886" s="239">
        <v>0</v>
      </c>
      <c r="W886" s="239">
        <v>0</v>
      </c>
      <c r="X886" s="239">
        <v>0</v>
      </c>
      <c r="Y886" s="239">
        <v>0</v>
      </c>
      <c r="Z886" s="239">
        <v>0</v>
      </c>
      <c r="AA886" s="239">
        <v>0</v>
      </c>
      <c r="AB886" s="239">
        <v>0</v>
      </c>
      <c r="AC886" s="239">
        <v>0</v>
      </c>
      <c r="AD886" s="239">
        <v>0</v>
      </c>
      <c r="AE886" s="239" t="s">
        <v>20</v>
      </c>
      <c r="AF886" s="239" t="s">
        <v>718</v>
      </c>
      <c r="AG886" s="239">
        <f t="shared" si="67"/>
        <v>1016.6</v>
      </c>
      <c r="AH886" s="239">
        <f t="shared" si="68"/>
        <v>0</v>
      </c>
      <c r="AI886" s="239">
        <f t="shared" si="69"/>
        <v>0</v>
      </c>
      <c r="AJ886" s="239">
        <f t="shared" si="70"/>
        <v>1016.6</v>
      </c>
    </row>
    <row r="887" spans="1:36" x14ac:dyDescent="0.2">
      <c r="A887" s="240" t="str">
        <f t="shared" si="71"/>
        <v>TNCF10R587FB120</v>
      </c>
      <c r="B887" s="239" t="s">
        <v>265</v>
      </c>
      <c r="C887" s="239" t="s">
        <v>20</v>
      </c>
      <c r="D887" s="239" t="s">
        <v>2481</v>
      </c>
      <c r="E887" s="239" t="s">
        <v>2482</v>
      </c>
      <c r="F887" s="239" t="s">
        <v>2688</v>
      </c>
      <c r="G887" s="239">
        <v>120</v>
      </c>
      <c r="H887" s="239" t="s">
        <v>928</v>
      </c>
      <c r="I887" s="239" t="s">
        <v>928</v>
      </c>
      <c r="J887" s="239" t="s">
        <v>928</v>
      </c>
      <c r="K887" s="239" t="s">
        <v>2398</v>
      </c>
      <c r="L887" s="239">
        <v>1016.6</v>
      </c>
      <c r="M887" s="239">
        <v>100</v>
      </c>
      <c r="N887" s="239">
        <v>0</v>
      </c>
      <c r="O887" s="239">
        <v>1016.6</v>
      </c>
      <c r="P887" s="239">
        <v>0</v>
      </c>
      <c r="Q887" s="239">
        <v>0</v>
      </c>
      <c r="R887" s="239">
        <v>0</v>
      </c>
      <c r="S887" s="239">
        <v>0</v>
      </c>
      <c r="T887" s="239">
        <v>0</v>
      </c>
      <c r="U887" s="239">
        <v>0</v>
      </c>
      <c r="V887" s="239">
        <v>0</v>
      </c>
      <c r="W887" s="239">
        <v>0</v>
      </c>
      <c r="X887" s="239">
        <v>0</v>
      </c>
      <c r="Y887" s="239">
        <v>0</v>
      </c>
      <c r="Z887" s="239">
        <v>0</v>
      </c>
      <c r="AA887" s="239">
        <v>0</v>
      </c>
      <c r="AB887" s="239">
        <v>0</v>
      </c>
      <c r="AC887" s="239">
        <v>0</v>
      </c>
      <c r="AD887" s="239">
        <v>0</v>
      </c>
      <c r="AE887" s="239" t="s">
        <v>720</v>
      </c>
      <c r="AF887" s="239" t="s">
        <v>721</v>
      </c>
      <c r="AG887" s="239">
        <f t="shared" si="67"/>
        <v>1016.6</v>
      </c>
      <c r="AH887" s="239">
        <f t="shared" si="68"/>
        <v>0</v>
      </c>
      <c r="AI887" s="239">
        <f t="shared" si="69"/>
        <v>0</v>
      </c>
      <c r="AJ887" s="239">
        <f t="shared" si="70"/>
        <v>1016.6</v>
      </c>
    </row>
    <row r="888" spans="1:36" x14ac:dyDescent="0.2">
      <c r="A888" s="240" t="str">
        <f t="shared" si="71"/>
        <v>72BTNCF10R587KB120</v>
      </c>
      <c r="B888" s="239" t="s">
        <v>265</v>
      </c>
      <c r="C888" s="239" t="s">
        <v>20</v>
      </c>
      <c r="D888" s="239" t="s">
        <v>2481</v>
      </c>
      <c r="E888" s="239" t="s">
        <v>2482</v>
      </c>
      <c r="F888" s="239" t="s">
        <v>2690</v>
      </c>
      <c r="G888" s="239">
        <v>120</v>
      </c>
      <c r="H888" s="239" t="s">
        <v>928</v>
      </c>
      <c r="I888" s="239" t="s">
        <v>2689</v>
      </c>
      <c r="J888" s="239" t="s">
        <v>928</v>
      </c>
      <c r="K888" s="239" t="s">
        <v>2398</v>
      </c>
      <c r="L888" s="239">
        <v>1006.6</v>
      </c>
      <c r="M888" s="239">
        <v>100</v>
      </c>
      <c r="N888" s="239">
        <v>0</v>
      </c>
      <c r="O888" s="239">
        <v>1006.6</v>
      </c>
      <c r="P888" s="239">
        <v>0</v>
      </c>
      <c r="Q888" s="239">
        <v>0</v>
      </c>
      <c r="R888" s="239">
        <v>0</v>
      </c>
      <c r="S888" s="239">
        <v>0</v>
      </c>
      <c r="T888" s="239">
        <v>0</v>
      </c>
      <c r="U888" s="239">
        <v>0</v>
      </c>
      <c r="V888" s="239">
        <v>0</v>
      </c>
      <c r="W888" s="239">
        <v>0</v>
      </c>
      <c r="X888" s="239">
        <v>0</v>
      </c>
      <c r="Y888" s="239">
        <v>0</v>
      </c>
      <c r="Z888" s="239">
        <v>0</v>
      </c>
      <c r="AA888" s="239">
        <v>0</v>
      </c>
      <c r="AB888" s="239">
        <v>0</v>
      </c>
      <c r="AC888" s="239">
        <v>0</v>
      </c>
      <c r="AD888" s="239">
        <v>0</v>
      </c>
      <c r="AE888" s="239" t="s">
        <v>720</v>
      </c>
      <c r="AF888" s="239" t="s">
        <v>721</v>
      </c>
      <c r="AG888" s="239">
        <f t="shared" si="67"/>
        <v>1006.6</v>
      </c>
      <c r="AH888" s="239">
        <f t="shared" si="68"/>
        <v>0</v>
      </c>
      <c r="AI888" s="239">
        <f t="shared" si="69"/>
        <v>0</v>
      </c>
      <c r="AJ888" s="239">
        <f t="shared" si="70"/>
        <v>1006.6</v>
      </c>
    </row>
    <row r="889" spans="1:36" x14ac:dyDescent="0.2">
      <c r="A889" s="240" t="str">
        <f t="shared" si="71"/>
        <v>TNCF10R587KB120</v>
      </c>
      <c r="B889" s="239" t="s">
        <v>265</v>
      </c>
      <c r="C889" s="239" t="s">
        <v>20</v>
      </c>
      <c r="D889" s="239" t="s">
        <v>2481</v>
      </c>
      <c r="E889" s="239" t="s">
        <v>2482</v>
      </c>
      <c r="F889" s="239" t="s">
        <v>2690</v>
      </c>
      <c r="G889" s="239">
        <v>120</v>
      </c>
      <c r="H889" s="239" t="s">
        <v>928</v>
      </c>
      <c r="I889" s="239" t="s">
        <v>928</v>
      </c>
      <c r="J889" s="239" t="s">
        <v>928</v>
      </c>
      <c r="K889" s="239" t="s">
        <v>2398</v>
      </c>
      <c r="L889" s="239">
        <v>1006.6</v>
      </c>
      <c r="M889" s="239">
        <v>100</v>
      </c>
      <c r="N889" s="239">
        <v>0</v>
      </c>
      <c r="O889" s="239">
        <v>1006.6</v>
      </c>
      <c r="P889" s="239">
        <v>0</v>
      </c>
      <c r="Q889" s="239">
        <v>0</v>
      </c>
      <c r="R889" s="239">
        <v>0</v>
      </c>
      <c r="S889" s="239">
        <v>0</v>
      </c>
      <c r="T889" s="239">
        <v>0</v>
      </c>
      <c r="U889" s="239">
        <v>0</v>
      </c>
      <c r="V889" s="239">
        <v>0</v>
      </c>
      <c r="W889" s="239">
        <v>0</v>
      </c>
      <c r="X889" s="239">
        <v>0</v>
      </c>
      <c r="Y889" s="239">
        <v>0</v>
      </c>
      <c r="Z889" s="239">
        <v>0</v>
      </c>
      <c r="AA889" s="239">
        <v>0</v>
      </c>
      <c r="AB889" s="239">
        <v>0</v>
      </c>
      <c r="AC889" s="239">
        <v>0</v>
      </c>
      <c r="AD889" s="239">
        <v>0</v>
      </c>
      <c r="AE889" s="239" t="s">
        <v>720</v>
      </c>
      <c r="AF889" s="239" t="s">
        <v>721</v>
      </c>
      <c r="AG889" s="239">
        <f t="shared" si="67"/>
        <v>1006.6</v>
      </c>
      <c r="AH889" s="239">
        <f t="shared" si="68"/>
        <v>0</v>
      </c>
      <c r="AI889" s="239">
        <f t="shared" si="69"/>
        <v>0</v>
      </c>
      <c r="AJ889" s="239">
        <f t="shared" si="70"/>
        <v>1006.6</v>
      </c>
    </row>
    <row r="890" spans="1:36" x14ac:dyDescent="0.2">
      <c r="A890" s="240" t="str">
        <f t="shared" si="71"/>
        <v>2TNCF10R70140</v>
      </c>
      <c r="B890" s="239" t="s">
        <v>265</v>
      </c>
      <c r="C890" s="239" t="s">
        <v>20</v>
      </c>
      <c r="D890" s="239" t="s">
        <v>2481</v>
      </c>
      <c r="E890" s="239" t="s">
        <v>2482</v>
      </c>
      <c r="F890" s="239" t="s">
        <v>2691</v>
      </c>
      <c r="G890" s="239">
        <v>40</v>
      </c>
      <c r="H890" s="239" t="s">
        <v>928</v>
      </c>
      <c r="I890" s="239" t="s">
        <v>2484</v>
      </c>
      <c r="J890" s="239" t="s">
        <v>928</v>
      </c>
      <c r="K890" s="239" t="s">
        <v>2398</v>
      </c>
      <c r="L890" s="239">
        <v>680.13</v>
      </c>
      <c r="M890" s="239">
        <v>0</v>
      </c>
      <c r="N890" s="239">
        <v>0</v>
      </c>
      <c r="O890" s="239">
        <v>0</v>
      </c>
      <c r="P890" s="239">
        <v>0</v>
      </c>
      <c r="Q890" s="239">
        <v>0</v>
      </c>
      <c r="R890" s="239">
        <v>0</v>
      </c>
      <c r="S890" s="239">
        <v>0</v>
      </c>
      <c r="T890" s="239">
        <v>0</v>
      </c>
      <c r="U890" s="239">
        <v>0</v>
      </c>
      <c r="V890" s="239">
        <v>0</v>
      </c>
      <c r="W890" s="239">
        <v>0</v>
      </c>
      <c r="X890" s="239">
        <v>0</v>
      </c>
      <c r="Y890" s="239">
        <v>567.36</v>
      </c>
      <c r="Z890" s="239">
        <v>0</v>
      </c>
      <c r="AA890" s="239">
        <v>0</v>
      </c>
      <c r="AB890" s="239">
        <v>112.77</v>
      </c>
      <c r="AC890" s="239">
        <v>0</v>
      </c>
      <c r="AD890" s="239">
        <v>0</v>
      </c>
      <c r="AE890" s="239" t="s">
        <v>720</v>
      </c>
      <c r="AF890" s="239" t="s">
        <v>721</v>
      </c>
      <c r="AG890" s="239">
        <f t="shared" si="67"/>
        <v>0</v>
      </c>
      <c r="AH890" s="239">
        <f t="shared" si="68"/>
        <v>0</v>
      </c>
      <c r="AI890" s="239">
        <f t="shared" si="69"/>
        <v>0</v>
      </c>
      <c r="AJ890" s="239">
        <f t="shared" si="70"/>
        <v>0</v>
      </c>
    </row>
    <row r="891" spans="1:36" x14ac:dyDescent="0.2">
      <c r="A891" s="240" t="str">
        <f t="shared" si="71"/>
        <v>TNCF10R70140</v>
      </c>
      <c r="B891" s="239" t="s">
        <v>265</v>
      </c>
      <c r="C891" s="239" t="s">
        <v>20</v>
      </c>
      <c r="D891" s="239" t="s">
        <v>2481</v>
      </c>
      <c r="E891" s="239" t="s">
        <v>2482</v>
      </c>
      <c r="F891" s="239" t="s">
        <v>2691</v>
      </c>
      <c r="G891" s="239">
        <v>40</v>
      </c>
      <c r="H891" s="239" t="s">
        <v>928</v>
      </c>
      <c r="I891" s="239" t="s">
        <v>928</v>
      </c>
      <c r="J891" s="239" t="s">
        <v>928</v>
      </c>
      <c r="K891" s="239" t="s">
        <v>2398</v>
      </c>
      <c r="L891" s="239">
        <v>680.13</v>
      </c>
      <c r="M891" s="239">
        <v>0</v>
      </c>
      <c r="N891" s="239">
        <v>0</v>
      </c>
      <c r="O891" s="239">
        <v>0</v>
      </c>
      <c r="P891" s="239">
        <v>0</v>
      </c>
      <c r="Q891" s="239">
        <v>0</v>
      </c>
      <c r="R891" s="239">
        <v>0</v>
      </c>
      <c r="S891" s="239">
        <v>0</v>
      </c>
      <c r="T891" s="239">
        <v>0</v>
      </c>
      <c r="U891" s="239">
        <v>0</v>
      </c>
      <c r="V891" s="239">
        <v>0</v>
      </c>
      <c r="W891" s="239">
        <v>0</v>
      </c>
      <c r="X891" s="239">
        <v>0</v>
      </c>
      <c r="Y891" s="239">
        <v>567.36</v>
      </c>
      <c r="Z891" s="239">
        <v>0</v>
      </c>
      <c r="AA891" s="239">
        <v>0</v>
      </c>
      <c r="AB891" s="239">
        <v>112.77</v>
      </c>
      <c r="AC891" s="239">
        <v>0</v>
      </c>
      <c r="AD891" s="239">
        <v>0</v>
      </c>
      <c r="AE891" s="239" t="s">
        <v>720</v>
      </c>
      <c r="AF891" s="239" t="s">
        <v>721</v>
      </c>
      <c r="AG891" s="239">
        <f t="shared" si="67"/>
        <v>0</v>
      </c>
      <c r="AH891" s="239">
        <f t="shared" si="68"/>
        <v>0</v>
      </c>
      <c r="AI891" s="239">
        <f t="shared" si="69"/>
        <v>0</v>
      </c>
      <c r="AJ891" s="239">
        <f t="shared" si="70"/>
        <v>0</v>
      </c>
    </row>
    <row r="892" spans="1:36" x14ac:dyDescent="0.2">
      <c r="A892" s="240" t="str">
        <f t="shared" si="71"/>
        <v>2TNCF10R701CB40</v>
      </c>
      <c r="B892" s="239" t="s">
        <v>265</v>
      </c>
      <c r="C892" s="239" t="s">
        <v>20</v>
      </c>
      <c r="D892" s="239" t="s">
        <v>2481</v>
      </c>
      <c r="E892" s="239" t="s">
        <v>2482</v>
      </c>
      <c r="F892" s="239" t="s">
        <v>2692</v>
      </c>
      <c r="G892" s="239">
        <v>40</v>
      </c>
      <c r="H892" s="239" t="s">
        <v>928</v>
      </c>
      <c r="I892" s="239" t="s">
        <v>2484</v>
      </c>
      <c r="J892" s="239" t="s">
        <v>928</v>
      </c>
      <c r="K892" s="239" t="s">
        <v>2398</v>
      </c>
      <c r="L892" s="239">
        <v>1531.59</v>
      </c>
      <c r="M892" s="239">
        <v>0</v>
      </c>
      <c r="N892" s="239">
        <v>0</v>
      </c>
      <c r="O892" s="239">
        <v>0</v>
      </c>
      <c r="P892" s="239">
        <v>0</v>
      </c>
      <c r="Q892" s="239">
        <v>0</v>
      </c>
      <c r="R892" s="239">
        <v>0</v>
      </c>
      <c r="S892" s="239">
        <v>0</v>
      </c>
      <c r="T892" s="239">
        <v>0</v>
      </c>
      <c r="U892" s="239">
        <v>0</v>
      </c>
      <c r="V892" s="239">
        <v>0</v>
      </c>
      <c r="W892" s="239">
        <v>0</v>
      </c>
      <c r="X892" s="239">
        <v>0</v>
      </c>
      <c r="Y892" s="239">
        <v>995.45</v>
      </c>
      <c r="Z892" s="239">
        <v>0</v>
      </c>
      <c r="AA892" s="239">
        <v>0</v>
      </c>
      <c r="AB892" s="239">
        <v>536.13</v>
      </c>
      <c r="AC892" s="239">
        <v>0</v>
      </c>
      <c r="AD892" s="239">
        <v>0</v>
      </c>
      <c r="AE892" s="239" t="s">
        <v>720</v>
      </c>
      <c r="AF892" s="239" t="s">
        <v>721</v>
      </c>
      <c r="AG892" s="239">
        <f t="shared" si="67"/>
        <v>0</v>
      </c>
      <c r="AH892" s="239">
        <f t="shared" si="68"/>
        <v>0</v>
      </c>
      <c r="AI892" s="239">
        <f t="shared" si="69"/>
        <v>0</v>
      </c>
      <c r="AJ892" s="239">
        <f t="shared" si="70"/>
        <v>0</v>
      </c>
    </row>
    <row r="893" spans="1:36" x14ac:dyDescent="0.2">
      <c r="A893" s="240" t="str">
        <f t="shared" si="71"/>
        <v>TNCF10R701CB40</v>
      </c>
      <c r="B893" s="239" t="s">
        <v>265</v>
      </c>
      <c r="C893" s="239" t="s">
        <v>20</v>
      </c>
      <c r="D893" s="239" t="s">
        <v>2481</v>
      </c>
      <c r="E893" s="239" t="s">
        <v>2482</v>
      </c>
      <c r="F893" s="239" t="s">
        <v>2692</v>
      </c>
      <c r="G893" s="239">
        <v>40</v>
      </c>
      <c r="H893" s="239" t="s">
        <v>928</v>
      </c>
      <c r="I893" s="239" t="s">
        <v>928</v>
      </c>
      <c r="J893" s="239" t="s">
        <v>928</v>
      </c>
      <c r="K893" s="239" t="s">
        <v>2398</v>
      </c>
      <c r="L893" s="239">
        <v>1531.59</v>
      </c>
      <c r="M893" s="239">
        <v>0</v>
      </c>
      <c r="N893" s="239">
        <v>0</v>
      </c>
      <c r="O893" s="239">
        <v>0</v>
      </c>
      <c r="P893" s="239">
        <v>0</v>
      </c>
      <c r="Q893" s="239">
        <v>0</v>
      </c>
      <c r="R893" s="239">
        <v>0</v>
      </c>
      <c r="S893" s="239">
        <v>0</v>
      </c>
      <c r="T893" s="239">
        <v>0</v>
      </c>
      <c r="U893" s="239">
        <v>0</v>
      </c>
      <c r="V893" s="239">
        <v>0</v>
      </c>
      <c r="W893" s="239">
        <v>0</v>
      </c>
      <c r="X893" s="239">
        <v>0</v>
      </c>
      <c r="Y893" s="239">
        <v>995.45</v>
      </c>
      <c r="Z893" s="239">
        <v>0</v>
      </c>
      <c r="AA893" s="239">
        <v>0</v>
      </c>
      <c r="AB893" s="239">
        <v>536.13</v>
      </c>
      <c r="AC893" s="239">
        <v>0</v>
      </c>
      <c r="AD893" s="239">
        <v>0</v>
      </c>
      <c r="AE893" s="239" t="s">
        <v>720</v>
      </c>
      <c r="AF893" s="239" t="s">
        <v>721</v>
      </c>
      <c r="AG893" s="239">
        <f t="shared" si="67"/>
        <v>0</v>
      </c>
      <c r="AH893" s="239">
        <f t="shared" si="68"/>
        <v>0</v>
      </c>
      <c r="AI893" s="239">
        <f t="shared" si="69"/>
        <v>0</v>
      </c>
      <c r="AJ893" s="239">
        <f t="shared" si="70"/>
        <v>0</v>
      </c>
    </row>
    <row r="894" spans="1:36" x14ac:dyDescent="0.2">
      <c r="A894" s="240" t="str">
        <f t="shared" si="71"/>
        <v>2TNCF10R70245</v>
      </c>
      <c r="B894" s="239" t="s">
        <v>265</v>
      </c>
      <c r="C894" s="239" t="s">
        <v>20</v>
      </c>
      <c r="D894" s="239" t="s">
        <v>2481</v>
      </c>
      <c r="E894" s="239" t="s">
        <v>2482</v>
      </c>
      <c r="F894" s="239" t="s">
        <v>2693</v>
      </c>
      <c r="G894" s="239">
        <v>45</v>
      </c>
      <c r="H894" s="239" t="s">
        <v>928</v>
      </c>
      <c r="I894" s="239" t="s">
        <v>2484</v>
      </c>
      <c r="J894" s="239" t="s">
        <v>928</v>
      </c>
      <c r="K894" s="239" t="s">
        <v>2398</v>
      </c>
      <c r="L894" s="239">
        <v>649.79</v>
      </c>
      <c r="M894" s="239">
        <v>0</v>
      </c>
      <c r="N894" s="239">
        <v>0</v>
      </c>
      <c r="O894" s="239">
        <v>0</v>
      </c>
      <c r="P894" s="239">
        <v>0</v>
      </c>
      <c r="Q894" s="239">
        <v>0</v>
      </c>
      <c r="R894" s="239">
        <v>0</v>
      </c>
      <c r="S894" s="239">
        <v>0</v>
      </c>
      <c r="T894" s="239">
        <v>0</v>
      </c>
      <c r="U894" s="239">
        <v>0</v>
      </c>
      <c r="V894" s="239">
        <v>0</v>
      </c>
      <c r="W894" s="239">
        <v>0</v>
      </c>
      <c r="X894" s="239">
        <v>0</v>
      </c>
      <c r="Y894" s="239">
        <v>528.9</v>
      </c>
      <c r="Z894" s="239">
        <v>0</v>
      </c>
      <c r="AA894" s="239">
        <v>0</v>
      </c>
      <c r="AB894" s="239">
        <v>120.89</v>
      </c>
      <c r="AC894" s="239">
        <v>0</v>
      </c>
      <c r="AD894" s="239">
        <v>0</v>
      </c>
      <c r="AE894" s="239" t="s">
        <v>720</v>
      </c>
      <c r="AF894" s="239" t="s">
        <v>721</v>
      </c>
      <c r="AG894" s="239">
        <f t="shared" si="67"/>
        <v>0</v>
      </c>
      <c r="AH894" s="239">
        <f t="shared" si="68"/>
        <v>0</v>
      </c>
      <c r="AI894" s="239">
        <f t="shared" si="69"/>
        <v>0</v>
      </c>
      <c r="AJ894" s="239">
        <f t="shared" si="70"/>
        <v>0</v>
      </c>
    </row>
    <row r="895" spans="1:36" x14ac:dyDescent="0.2">
      <c r="A895" s="240" t="str">
        <f t="shared" si="71"/>
        <v>TNCF10R70245</v>
      </c>
      <c r="B895" s="239" t="s">
        <v>265</v>
      </c>
      <c r="C895" s="239" t="s">
        <v>20</v>
      </c>
      <c r="D895" s="239" t="s">
        <v>2481</v>
      </c>
      <c r="E895" s="239" t="s">
        <v>2482</v>
      </c>
      <c r="F895" s="239" t="s">
        <v>2693</v>
      </c>
      <c r="G895" s="239">
        <v>45</v>
      </c>
      <c r="H895" s="239" t="s">
        <v>928</v>
      </c>
      <c r="I895" s="239" t="s">
        <v>928</v>
      </c>
      <c r="J895" s="239" t="s">
        <v>928</v>
      </c>
      <c r="K895" s="239" t="s">
        <v>2398</v>
      </c>
      <c r="L895" s="239">
        <v>649.79</v>
      </c>
      <c r="M895" s="239">
        <v>0</v>
      </c>
      <c r="N895" s="239">
        <v>0</v>
      </c>
      <c r="O895" s="239">
        <v>0</v>
      </c>
      <c r="P895" s="239">
        <v>0</v>
      </c>
      <c r="Q895" s="239">
        <v>0</v>
      </c>
      <c r="R895" s="239">
        <v>0</v>
      </c>
      <c r="S895" s="239">
        <v>0</v>
      </c>
      <c r="T895" s="239">
        <v>0</v>
      </c>
      <c r="U895" s="239">
        <v>0</v>
      </c>
      <c r="V895" s="239">
        <v>0</v>
      </c>
      <c r="W895" s="239">
        <v>0</v>
      </c>
      <c r="X895" s="239">
        <v>0</v>
      </c>
      <c r="Y895" s="239">
        <v>528.9</v>
      </c>
      <c r="Z895" s="239">
        <v>0</v>
      </c>
      <c r="AA895" s="239">
        <v>0</v>
      </c>
      <c r="AB895" s="239">
        <v>120.89</v>
      </c>
      <c r="AC895" s="239">
        <v>0</v>
      </c>
      <c r="AD895" s="239">
        <v>0</v>
      </c>
      <c r="AE895" s="239" t="s">
        <v>720</v>
      </c>
      <c r="AF895" s="239" t="s">
        <v>721</v>
      </c>
      <c r="AG895" s="239">
        <f t="shared" si="67"/>
        <v>0</v>
      </c>
      <c r="AH895" s="239">
        <f t="shared" si="68"/>
        <v>0</v>
      </c>
      <c r="AI895" s="239">
        <f t="shared" si="69"/>
        <v>0</v>
      </c>
      <c r="AJ895" s="239">
        <f t="shared" si="70"/>
        <v>0</v>
      </c>
    </row>
    <row r="896" spans="1:36" x14ac:dyDescent="0.2">
      <c r="A896" s="240" t="str">
        <f t="shared" si="71"/>
        <v>2TNCF10SC47040</v>
      </c>
      <c r="B896" s="239" t="s">
        <v>265</v>
      </c>
      <c r="C896" s="239" t="s">
        <v>20</v>
      </c>
      <c r="D896" s="239" t="s">
        <v>2481</v>
      </c>
      <c r="E896" s="239" t="s">
        <v>2482</v>
      </c>
      <c r="F896" s="239" t="s">
        <v>2694</v>
      </c>
      <c r="G896" s="239">
        <v>40</v>
      </c>
      <c r="H896" s="239" t="s">
        <v>928</v>
      </c>
      <c r="I896" s="239" t="s">
        <v>2484</v>
      </c>
      <c r="J896" s="239" t="s">
        <v>928</v>
      </c>
      <c r="K896" s="239" t="s">
        <v>2398</v>
      </c>
      <c r="L896" s="239">
        <v>340.93</v>
      </c>
      <c r="M896" s="239">
        <v>0</v>
      </c>
      <c r="N896" s="239">
        <v>0</v>
      </c>
      <c r="O896" s="239">
        <v>0</v>
      </c>
      <c r="P896" s="239">
        <v>0</v>
      </c>
      <c r="Q896" s="239">
        <v>0</v>
      </c>
      <c r="R896" s="239">
        <v>0</v>
      </c>
      <c r="S896" s="239">
        <v>0</v>
      </c>
      <c r="T896" s="239">
        <v>0</v>
      </c>
      <c r="U896" s="239">
        <v>0</v>
      </c>
      <c r="V896" s="239">
        <v>0</v>
      </c>
      <c r="W896" s="239">
        <v>0</v>
      </c>
      <c r="X896" s="239">
        <v>0</v>
      </c>
      <c r="Y896" s="239">
        <v>177.42</v>
      </c>
      <c r="Z896" s="239">
        <v>0</v>
      </c>
      <c r="AA896" s="239">
        <v>0</v>
      </c>
      <c r="AB896" s="239">
        <v>163.51</v>
      </c>
      <c r="AC896" s="239">
        <v>0</v>
      </c>
      <c r="AD896" s="239">
        <v>0</v>
      </c>
      <c r="AE896" s="239" t="s">
        <v>720</v>
      </c>
      <c r="AF896" s="239" t="s">
        <v>721</v>
      </c>
      <c r="AG896" s="239">
        <f t="shared" si="67"/>
        <v>0</v>
      </c>
      <c r="AH896" s="239">
        <f t="shared" si="68"/>
        <v>0</v>
      </c>
      <c r="AI896" s="239">
        <f t="shared" si="69"/>
        <v>0</v>
      </c>
      <c r="AJ896" s="239">
        <f t="shared" si="70"/>
        <v>0</v>
      </c>
    </row>
    <row r="897" spans="1:36" x14ac:dyDescent="0.2">
      <c r="A897" s="240" t="str">
        <f t="shared" si="71"/>
        <v>TNCF10SC47040</v>
      </c>
      <c r="B897" s="239" t="s">
        <v>265</v>
      </c>
      <c r="C897" s="239" t="s">
        <v>20</v>
      </c>
      <c r="D897" s="239" t="s">
        <v>2481</v>
      </c>
      <c r="E897" s="239" t="s">
        <v>2482</v>
      </c>
      <c r="F897" s="239" t="s">
        <v>2694</v>
      </c>
      <c r="G897" s="239">
        <v>40</v>
      </c>
      <c r="H897" s="239" t="s">
        <v>928</v>
      </c>
      <c r="I897" s="239" t="s">
        <v>928</v>
      </c>
      <c r="J897" s="239" t="s">
        <v>928</v>
      </c>
      <c r="K897" s="239" t="s">
        <v>2398</v>
      </c>
      <c r="L897" s="239">
        <v>340.93</v>
      </c>
      <c r="M897" s="239">
        <v>0</v>
      </c>
      <c r="N897" s="239">
        <v>0</v>
      </c>
      <c r="O897" s="239">
        <v>0</v>
      </c>
      <c r="P897" s="239">
        <v>0</v>
      </c>
      <c r="Q897" s="239">
        <v>0</v>
      </c>
      <c r="R897" s="239">
        <v>0</v>
      </c>
      <c r="S897" s="239">
        <v>0</v>
      </c>
      <c r="T897" s="239">
        <v>0</v>
      </c>
      <c r="U897" s="239">
        <v>0</v>
      </c>
      <c r="V897" s="239">
        <v>0</v>
      </c>
      <c r="W897" s="239">
        <v>0</v>
      </c>
      <c r="X897" s="239">
        <v>0</v>
      </c>
      <c r="Y897" s="239">
        <v>177.42</v>
      </c>
      <c r="Z897" s="239">
        <v>0</v>
      </c>
      <c r="AA897" s="239">
        <v>0</v>
      </c>
      <c r="AB897" s="239">
        <v>163.51</v>
      </c>
      <c r="AC897" s="239">
        <v>0</v>
      </c>
      <c r="AD897" s="239">
        <v>0</v>
      </c>
      <c r="AE897" s="239" t="s">
        <v>720</v>
      </c>
      <c r="AF897" s="239" t="s">
        <v>721</v>
      </c>
      <c r="AG897" s="239">
        <f t="shared" si="67"/>
        <v>0</v>
      </c>
      <c r="AH897" s="239">
        <f t="shared" si="68"/>
        <v>0</v>
      </c>
      <c r="AI897" s="239">
        <f t="shared" si="69"/>
        <v>0</v>
      </c>
      <c r="AJ897" s="239">
        <f t="shared" si="70"/>
        <v>0</v>
      </c>
    </row>
    <row r="898" spans="1:36" x14ac:dyDescent="0.2">
      <c r="A898" s="240" t="str">
        <f t="shared" si="71"/>
        <v>2TNCF100906125</v>
      </c>
      <c r="B898" s="239" t="s">
        <v>265</v>
      </c>
      <c r="C898" s="239" t="s">
        <v>20</v>
      </c>
      <c r="D898" s="239" t="s">
        <v>2528</v>
      </c>
      <c r="E898" s="239" t="s">
        <v>2529</v>
      </c>
      <c r="F898" s="239" t="s">
        <v>2695</v>
      </c>
      <c r="G898" s="239">
        <v>25</v>
      </c>
      <c r="H898" s="239" t="s">
        <v>928</v>
      </c>
      <c r="I898" s="239" t="s">
        <v>2484</v>
      </c>
      <c r="J898" s="239" t="s">
        <v>928</v>
      </c>
      <c r="K898" s="239" t="s">
        <v>2398</v>
      </c>
      <c r="L898" s="239">
        <v>339.47</v>
      </c>
      <c r="M898" s="239">
        <v>0</v>
      </c>
      <c r="N898" s="239">
        <v>0</v>
      </c>
      <c r="O898" s="239">
        <v>0</v>
      </c>
      <c r="P898" s="239">
        <v>0</v>
      </c>
      <c r="Q898" s="239">
        <v>0</v>
      </c>
      <c r="R898" s="239">
        <v>0</v>
      </c>
      <c r="S898" s="239">
        <v>0</v>
      </c>
      <c r="T898" s="239">
        <v>0</v>
      </c>
      <c r="U898" s="239">
        <v>0</v>
      </c>
      <c r="V898" s="239">
        <v>0</v>
      </c>
      <c r="W898" s="239">
        <v>0</v>
      </c>
      <c r="X898" s="239">
        <v>0</v>
      </c>
      <c r="Y898" s="239">
        <v>303.3</v>
      </c>
      <c r="Z898" s="239">
        <v>0</v>
      </c>
      <c r="AA898" s="239">
        <v>0</v>
      </c>
      <c r="AB898" s="239">
        <v>36.17</v>
      </c>
      <c r="AC898" s="239">
        <v>0</v>
      </c>
      <c r="AD898" s="239">
        <v>0</v>
      </c>
      <c r="AE898" s="239" t="s">
        <v>720</v>
      </c>
      <c r="AF898" s="239" t="s">
        <v>721</v>
      </c>
      <c r="AG898" s="239">
        <f t="shared" si="67"/>
        <v>0</v>
      </c>
      <c r="AH898" s="239">
        <f t="shared" si="68"/>
        <v>0</v>
      </c>
      <c r="AI898" s="239">
        <f t="shared" si="69"/>
        <v>0</v>
      </c>
      <c r="AJ898" s="239">
        <f t="shared" si="70"/>
        <v>0</v>
      </c>
    </row>
    <row r="899" spans="1:36" x14ac:dyDescent="0.2">
      <c r="A899" s="240" t="str">
        <f t="shared" si="71"/>
        <v>TNCF100906125</v>
      </c>
      <c r="B899" s="239" t="s">
        <v>265</v>
      </c>
      <c r="C899" s="239" t="s">
        <v>20</v>
      </c>
      <c r="D899" s="239" t="s">
        <v>2528</v>
      </c>
      <c r="E899" s="239" t="s">
        <v>2529</v>
      </c>
      <c r="F899" s="239" t="s">
        <v>2695</v>
      </c>
      <c r="G899" s="239">
        <v>25</v>
      </c>
      <c r="H899" s="239" t="s">
        <v>928</v>
      </c>
      <c r="I899" s="239" t="s">
        <v>928</v>
      </c>
      <c r="J899" s="239" t="s">
        <v>928</v>
      </c>
      <c r="K899" s="239" t="s">
        <v>2398</v>
      </c>
      <c r="L899" s="239">
        <v>339.47</v>
      </c>
      <c r="M899" s="239">
        <v>0</v>
      </c>
      <c r="N899" s="239">
        <v>0</v>
      </c>
      <c r="O899" s="239">
        <v>0</v>
      </c>
      <c r="P899" s="239">
        <v>0</v>
      </c>
      <c r="Q899" s="239">
        <v>0</v>
      </c>
      <c r="R899" s="239">
        <v>0</v>
      </c>
      <c r="S899" s="239">
        <v>0</v>
      </c>
      <c r="T899" s="239">
        <v>0</v>
      </c>
      <c r="U899" s="239">
        <v>0</v>
      </c>
      <c r="V899" s="239">
        <v>0</v>
      </c>
      <c r="W899" s="239">
        <v>0</v>
      </c>
      <c r="X899" s="239">
        <v>0</v>
      </c>
      <c r="Y899" s="239">
        <v>303.3</v>
      </c>
      <c r="Z899" s="239">
        <v>0</v>
      </c>
      <c r="AA899" s="239">
        <v>0</v>
      </c>
      <c r="AB899" s="239">
        <v>36.17</v>
      </c>
      <c r="AC899" s="239">
        <v>0</v>
      </c>
      <c r="AD899" s="239">
        <v>0</v>
      </c>
      <c r="AE899" s="239" t="s">
        <v>720</v>
      </c>
      <c r="AF899" s="239" t="s">
        <v>721</v>
      </c>
      <c r="AG899" s="239">
        <f t="shared" si="67"/>
        <v>0</v>
      </c>
      <c r="AH899" s="239">
        <f t="shared" si="68"/>
        <v>0</v>
      </c>
      <c r="AI899" s="239">
        <f t="shared" si="69"/>
        <v>0</v>
      </c>
      <c r="AJ899" s="239">
        <f t="shared" si="70"/>
        <v>0</v>
      </c>
    </row>
    <row r="900" spans="1:36" x14ac:dyDescent="0.2">
      <c r="A900" s="240" t="str">
        <f t="shared" si="71"/>
        <v>2TNCF100906140</v>
      </c>
      <c r="B900" s="239" t="s">
        <v>265</v>
      </c>
      <c r="C900" s="239" t="s">
        <v>20</v>
      </c>
      <c r="D900" s="239" t="s">
        <v>2528</v>
      </c>
      <c r="E900" s="239" t="s">
        <v>2529</v>
      </c>
      <c r="F900" s="239" t="s">
        <v>2695</v>
      </c>
      <c r="G900" s="239">
        <v>40</v>
      </c>
      <c r="H900" s="239" t="s">
        <v>928</v>
      </c>
      <c r="I900" s="239" t="s">
        <v>2484</v>
      </c>
      <c r="J900" s="239" t="s">
        <v>928</v>
      </c>
      <c r="K900" s="239" t="s">
        <v>2398</v>
      </c>
      <c r="L900" s="239">
        <v>444.27</v>
      </c>
      <c r="M900" s="239">
        <v>0</v>
      </c>
      <c r="N900" s="239">
        <v>0</v>
      </c>
      <c r="O900" s="239">
        <v>0</v>
      </c>
      <c r="P900" s="239">
        <v>0</v>
      </c>
      <c r="Q900" s="239">
        <v>0</v>
      </c>
      <c r="R900" s="239">
        <v>0</v>
      </c>
      <c r="S900" s="239">
        <v>0</v>
      </c>
      <c r="T900" s="239">
        <v>0</v>
      </c>
      <c r="U900" s="239">
        <v>0</v>
      </c>
      <c r="V900" s="239">
        <v>0</v>
      </c>
      <c r="W900" s="239">
        <v>0</v>
      </c>
      <c r="X900" s="239">
        <v>0</v>
      </c>
      <c r="Y900" s="239">
        <v>357.35</v>
      </c>
      <c r="Z900" s="239">
        <v>0</v>
      </c>
      <c r="AA900" s="239">
        <v>0</v>
      </c>
      <c r="AB900" s="239">
        <v>86.93</v>
      </c>
      <c r="AC900" s="239">
        <v>0</v>
      </c>
      <c r="AD900" s="239">
        <v>0</v>
      </c>
      <c r="AE900" s="239" t="s">
        <v>720</v>
      </c>
      <c r="AF900" s="239" t="s">
        <v>721</v>
      </c>
      <c r="AG900" s="239">
        <f t="shared" si="67"/>
        <v>0</v>
      </c>
      <c r="AH900" s="239">
        <f t="shared" si="68"/>
        <v>0</v>
      </c>
      <c r="AI900" s="239">
        <f t="shared" si="69"/>
        <v>0</v>
      </c>
      <c r="AJ900" s="239">
        <f t="shared" si="70"/>
        <v>0</v>
      </c>
    </row>
    <row r="901" spans="1:36" x14ac:dyDescent="0.2">
      <c r="A901" s="240" t="str">
        <f t="shared" si="71"/>
        <v>TNCF100906140</v>
      </c>
      <c r="B901" s="239" t="s">
        <v>265</v>
      </c>
      <c r="C901" s="239" t="s">
        <v>20</v>
      </c>
      <c r="D901" s="239" t="s">
        <v>2528</v>
      </c>
      <c r="E901" s="239" t="s">
        <v>2529</v>
      </c>
      <c r="F901" s="239" t="s">
        <v>2695</v>
      </c>
      <c r="G901" s="239">
        <v>40</v>
      </c>
      <c r="H901" s="239" t="s">
        <v>928</v>
      </c>
      <c r="I901" s="239" t="s">
        <v>928</v>
      </c>
      <c r="J901" s="239" t="s">
        <v>928</v>
      </c>
      <c r="K901" s="239" t="s">
        <v>2398</v>
      </c>
      <c r="L901" s="239">
        <v>444.27</v>
      </c>
      <c r="M901" s="239">
        <v>0</v>
      </c>
      <c r="N901" s="239">
        <v>0</v>
      </c>
      <c r="O901" s="239">
        <v>0</v>
      </c>
      <c r="P901" s="239">
        <v>0</v>
      </c>
      <c r="Q901" s="239">
        <v>0</v>
      </c>
      <c r="R901" s="239">
        <v>0</v>
      </c>
      <c r="S901" s="239">
        <v>0</v>
      </c>
      <c r="T901" s="239">
        <v>0</v>
      </c>
      <c r="U901" s="239">
        <v>0</v>
      </c>
      <c r="V901" s="239">
        <v>0</v>
      </c>
      <c r="W901" s="239">
        <v>0</v>
      </c>
      <c r="X901" s="239">
        <v>0</v>
      </c>
      <c r="Y901" s="239">
        <v>357.35</v>
      </c>
      <c r="Z901" s="239">
        <v>0</v>
      </c>
      <c r="AA901" s="239">
        <v>0</v>
      </c>
      <c r="AB901" s="239">
        <v>86.93</v>
      </c>
      <c r="AC901" s="239">
        <v>0</v>
      </c>
      <c r="AD901" s="239">
        <v>0</v>
      </c>
      <c r="AE901" s="239" t="s">
        <v>19</v>
      </c>
      <c r="AF901" s="239" t="s">
        <v>718</v>
      </c>
      <c r="AG901" s="239">
        <f t="shared" si="67"/>
        <v>0</v>
      </c>
      <c r="AH901" s="239">
        <f t="shared" si="68"/>
        <v>0</v>
      </c>
      <c r="AI901" s="239">
        <f t="shared" si="69"/>
        <v>0</v>
      </c>
      <c r="AJ901" s="239">
        <f t="shared" si="70"/>
        <v>0</v>
      </c>
    </row>
    <row r="902" spans="1:36" x14ac:dyDescent="0.2">
      <c r="A902" s="240" t="str">
        <f t="shared" si="71"/>
        <v>2TNCF100P9500SB50</v>
      </c>
      <c r="B902" s="239" t="s">
        <v>265</v>
      </c>
      <c r="C902" s="239" t="s">
        <v>20</v>
      </c>
      <c r="D902" s="239" t="s">
        <v>2537</v>
      </c>
      <c r="E902" s="239" t="s">
        <v>2538</v>
      </c>
      <c r="F902" s="239" t="s">
        <v>2696</v>
      </c>
      <c r="G902" s="239">
        <v>50</v>
      </c>
      <c r="H902" s="239" t="s">
        <v>928</v>
      </c>
      <c r="I902" s="239" t="s">
        <v>2484</v>
      </c>
      <c r="J902" s="239" t="s">
        <v>928</v>
      </c>
      <c r="K902" s="239" t="s">
        <v>2398</v>
      </c>
      <c r="L902" s="239">
        <v>674.5</v>
      </c>
      <c r="M902" s="239">
        <v>0</v>
      </c>
      <c r="N902" s="239">
        <v>0</v>
      </c>
      <c r="O902" s="239">
        <v>0</v>
      </c>
      <c r="P902" s="239">
        <v>0</v>
      </c>
      <c r="Q902" s="239">
        <v>0</v>
      </c>
      <c r="R902" s="239">
        <v>0</v>
      </c>
      <c r="S902" s="239">
        <v>0</v>
      </c>
      <c r="T902" s="239">
        <v>0</v>
      </c>
      <c r="U902" s="239">
        <v>0</v>
      </c>
      <c r="V902" s="239">
        <v>0</v>
      </c>
      <c r="W902" s="239">
        <v>0</v>
      </c>
      <c r="X902" s="239">
        <v>0</v>
      </c>
      <c r="Y902" s="239">
        <v>508.97</v>
      </c>
      <c r="Z902" s="239">
        <v>0</v>
      </c>
      <c r="AA902" s="239">
        <v>0</v>
      </c>
      <c r="AB902" s="239">
        <v>165.53</v>
      </c>
      <c r="AC902" s="239">
        <v>0</v>
      </c>
      <c r="AD902" s="239">
        <v>0</v>
      </c>
      <c r="AE902" s="239" t="s">
        <v>19</v>
      </c>
      <c r="AF902" s="239" t="s">
        <v>718</v>
      </c>
      <c r="AG902" s="239">
        <f t="shared" ref="AG902:AG965" si="72">+O902*M902/100</f>
        <v>0</v>
      </c>
      <c r="AH902" s="239">
        <f t="shared" ref="AH902:AH965" si="73">+P902*M902/100</f>
        <v>0</v>
      </c>
      <c r="AI902" s="239">
        <f t="shared" ref="AI902:AI965" si="74">+AB902*M902/100</f>
        <v>0</v>
      </c>
      <c r="AJ902" s="239">
        <f t="shared" ref="AJ902:AJ965" si="75">+AG902+AH902+AI902</f>
        <v>0</v>
      </c>
    </row>
    <row r="903" spans="1:36" x14ac:dyDescent="0.2">
      <c r="A903" s="240" t="str">
        <f t="shared" ref="A903:A966" si="76">TRIM(I903&amp;B903&amp;C903&amp;D903&amp;F903&amp;G903)</f>
        <v>TNCF100P9500SB50</v>
      </c>
      <c r="B903" s="239" t="s">
        <v>265</v>
      </c>
      <c r="C903" s="239" t="s">
        <v>20</v>
      </c>
      <c r="D903" s="239" t="s">
        <v>2537</v>
      </c>
      <c r="E903" s="239" t="s">
        <v>2538</v>
      </c>
      <c r="F903" s="239" t="s">
        <v>2696</v>
      </c>
      <c r="G903" s="239">
        <v>50</v>
      </c>
      <c r="H903" s="239" t="s">
        <v>928</v>
      </c>
      <c r="I903" s="239" t="s">
        <v>928</v>
      </c>
      <c r="J903" s="239" t="s">
        <v>928</v>
      </c>
      <c r="K903" s="239" t="s">
        <v>2398</v>
      </c>
      <c r="L903" s="239">
        <v>674.5</v>
      </c>
      <c r="M903" s="239">
        <v>0</v>
      </c>
      <c r="N903" s="239">
        <v>0</v>
      </c>
      <c r="O903" s="239">
        <v>0</v>
      </c>
      <c r="P903" s="239">
        <v>0</v>
      </c>
      <c r="Q903" s="239">
        <v>0</v>
      </c>
      <c r="R903" s="239">
        <v>0</v>
      </c>
      <c r="S903" s="239">
        <v>0</v>
      </c>
      <c r="T903" s="239">
        <v>0</v>
      </c>
      <c r="U903" s="239">
        <v>0</v>
      </c>
      <c r="V903" s="239">
        <v>0</v>
      </c>
      <c r="W903" s="239">
        <v>0</v>
      </c>
      <c r="X903" s="239">
        <v>0</v>
      </c>
      <c r="Y903" s="239">
        <v>508.97</v>
      </c>
      <c r="Z903" s="239">
        <v>0</v>
      </c>
      <c r="AA903" s="239">
        <v>0</v>
      </c>
      <c r="AB903" s="239">
        <v>165.53</v>
      </c>
      <c r="AC903" s="239">
        <v>0</v>
      </c>
      <c r="AD903" s="239">
        <v>0</v>
      </c>
      <c r="AE903" s="239" t="s">
        <v>19</v>
      </c>
      <c r="AF903" s="239" t="s">
        <v>718</v>
      </c>
      <c r="AG903" s="239">
        <f t="shared" si="72"/>
        <v>0</v>
      </c>
      <c r="AH903" s="239">
        <f t="shared" si="73"/>
        <v>0</v>
      </c>
      <c r="AI903" s="239">
        <f t="shared" si="74"/>
        <v>0</v>
      </c>
      <c r="AJ903" s="239">
        <f t="shared" si="75"/>
        <v>0</v>
      </c>
    </row>
    <row r="904" spans="1:36" x14ac:dyDescent="0.2">
      <c r="A904" s="240" t="str">
        <f t="shared" si="76"/>
        <v>2TNCF100P9500SE50</v>
      </c>
      <c r="B904" s="239" t="s">
        <v>265</v>
      </c>
      <c r="C904" s="239" t="s">
        <v>20</v>
      </c>
      <c r="D904" s="239" t="s">
        <v>2537</v>
      </c>
      <c r="E904" s="239" t="s">
        <v>2538</v>
      </c>
      <c r="F904" s="239" t="s">
        <v>2697</v>
      </c>
      <c r="G904" s="239">
        <v>50</v>
      </c>
      <c r="H904" s="239" t="s">
        <v>928</v>
      </c>
      <c r="I904" s="239" t="s">
        <v>2484</v>
      </c>
      <c r="J904" s="239" t="s">
        <v>928</v>
      </c>
      <c r="K904" s="239" t="s">
        <v>2398</v>
      </c>
      <c r="L904" s="239">
        <v>674.83</v>
      </c>
      <c r="M904" s="239">
        <v>0</v>
      </c>
      <c r="N904" s="239">
        <v>0</v>
      </c>
      <c r="O904" s="239">
        <v>0</v>
      </c>
      <c r="P904" s="239">
        <v>0</v>
      </c>
      <c r="Q904" s="239">
        <v>0</v>
      </c>
      <c r="R904" s="239">
        <v>0</v>
      </c>
      <c r="S904" s="239">
        <v>0</v>
      </c>
      <c r="T904" s="239">
        <v>0</v>
      </c>
      <c r="U904" s="239">
        <v>0</v>
      </c>
      <c r="V904" s="239">
        <v>0</v>
      </c>
      <c r="W904" s="239">
        <v>0</v>
      </c>
      <c r="X904" s="239">
        <v>0</v>
      </c>
      <c r="Y904" s="239">
        <v>510.02</v>
      </c>
      <c r="Z904" s="239">
        <v>0</v>
      </c>
      <c r="AA904" s="239">
        <v>0</v>
      </c>
      <c r="AB904" s="239">
        <v>164.81</v>
      </c>
      <c r="AC904" s="239">
        <v>0</v>
      </c>
      <c r="AD904" s="239">
        <v>0</v>
      </c>
      <c r="AE904" s="239" t="s">
        <v>19</v>
      </c>
      <c r="AF904" s="239" t="s">
        <v>718</v>
      </c>
      <c r="AG904" s="239">
        <f t="shared" si="72"/>
        <v>0</v>
      </c>
      <c r="AH904" s="239">
        <f t="shared" si="73"/>
        <v>0</v>
      </c>
      <c r="AI904" s="239">
        <f t="shared" si="74"/>
        <v>0</v>
      </c>
      <c r="AJ904" s="239">
        <f t="shared" si="75"/>
        <v>0</v>
      </c>
    </row>
    <row r="905" spans="1:36" x14ac:dyDescent="0.2">
      <c r="A905" s="240" t="str">
        <f t="shared" si="76"/>
        <v>TNCF100P9500SE50</v>
      </c>
      <c r="B905" s="239" t="s">
        <v>265</v>
      </c>
      <c r="C905" s="239" t="s">
        <v>20</v>
      </c>
      <c r="D905" s="239" t="s">
        <v>2537</v>
      </c>
      <c r="E905" s="239" t="s">
        <v>2538</v>
      </c>
      <c r="F905" s="239" t="s">
        <v>2697</v>
      </c>
      <c r="G905" s="239">
        <v>50</v>
      </c>
      <c r="H905" s="239" t="s">
        <v>928</v>
      </c>
      <c r="I905" s="239" t="s">
        <v>928</v>
      </c>
      <c r="J905" s="239" t="s">
        <v>928</v>
      </c>
      <c r="K905" s="239" t="s">
        <v>2398</v>
      </c>
      <c r="L905" s="239">
        <v>674.83</v>
      </c>
      <c r="M905" s="239">
        <v>0</v>
      </c>
      <c r="N905" s="239">
        <v>0</v>
      </c>
      <c r="O905" s="239">
        <v>0</v>
      </c>
      <c r="P905" s="239">
        <v>0</v>
      </c>
      <c r="Q905" s="239">
        <v>0</v>
      </c>
      <c r="R905" s="239">
        <v>0</v>
      </c>
      <c r="S905" s="239">
        <v>0</v>
      </c>
      <c r="T905" s="239">
        <v>0</v>
      </c>
      <c r="U905" s="239">
        <v>0</v>
      </c>
      <c r="V905" s="239">
        <v>0</v>
      </c>
      <c r="W905" s="239">
        <v>0</v>
      </c>
      <c r="X905" s="239">
        <v>0</v>
      </c>
      <c r="Y905" s="239">
        <v>510.02</v>
      </c>
      <c r="Z905" s="239">
        <v>0</v>
      </c>
      <c r="AA905" s="239">
        <v>0</v>
      </c>
      <c r="AB905" s="239">
        <v>164.81</v>
      </c>
      <c r="AC905" s="239">
        <v>0</v>
      </c>
      <c r="AD905" s="239">
        <v>0</v>
      </c>
      <c r="AE905" s="239" t="s">
        <v>19</v>
      </c>
      <c r="AF905" s="239" t="s">
        <v>718</v>
      </c>
      <c r="AG905" s="239">
        <f t="shared" si="72"/>
        <v>0</v>
      </c>
      <c r="AH905" s="239">
        <f t="shared" si="73"/>
        <v>0</v>
      </c>
      <c r="AI905" s="239">
        <f t="shared" si="74"/>
        <v>0</v>
      </c>
      <c r="AJ905" s="239">
        <f t="shared" si="75"/>
        <v>0</v>
      </c>
    </row>
    <row r="906" spans="1:36" x14ac:dyDescent="0.2">
      <c r="A906" s="240" t="str">
        <f t="shared" si="76"/>
        <v>2TNCPP3301S30</v>
      </c>
      <c r="B906" s="239" t="s">
        <v>265</v>
      </c>
      <c r="C906" s="239" t="s">
        <v>20</v>
      </c>
      <c r="D906" s="239" t="s">
        <v>2565</v>
      </c>
      <c r="E906" s="239" t="s">
        <v>2529</v>
      </c>
      <c r="F906" s="239" t="s">
        <v>2698</v>
      </c>
      <c r="G906" s="239">
        <v>30</v>
      </c>
      <c r="H906" s="239" t="s">
        <v>928</v>
      </c>
      <c r="I906" s="239" t="s">
        <v>2484</v>
      </c>
      <c r="J906" s="239" t="s">
        <v>928</v>
      </c>
      <c r="K906" s="239" t="s">
        <v>2398</v>
      </c>
      <c r="L906" s="239">
        <v>338.05</v>
      </c>
      <c r="M906" s="239">
        <v>0</v>
      </c>
      <c r="N906" s="239">
        <v>0</v>
      </c>
      <c r="O906" s="239">
        <v>0</v>
      </c>
      <c r="P906" s="239">
        <v>0</v>
      </c>
      <c r="Q906" s="239">
        <v>0</v>
      </c>
      <c r="R906" s="239">
        <v>0</v>
      </c>
      <c r="S906" s="239">
        <v>0</v>
      </c>
      <c r="T906" s="239">
        <v>0</v>
      </c>
      <c r="U906" s="239">
        <v>0</v>
      </c>
      <c r="V906" s="239">
        <v>0</v>
      </c>
      <c r="W906" s="239">
        <v>0</v>
      </c>
      <c r="X906" s="239">
        <v>0</v>
      </c>
      <c r="Y906" s="239">
        <v>275.38</v>
      </c>
      <c r="Z906" s="239">
        <v>0</v>
      </c>
      <c r="AA906" s="239">
        <v>0</v>
      </c>
      <c r="AB906" s="239">
        <v>62.67</v>
      </c>
      <c r="AC906" s="239">
        <v>0</v>
      </c>
      <c r="AD906" s="239">
        <v>0</v>
      </c>
      <c r="AE906" s="239" t="s">
        <v>19</v>
      </c>
      <c r="AF906" s="239" t="s">
        <v>718</v>
      </c>
      <c r="AG906" s="239">
        <f t="shared" si="72"/>
        <v>0</v>
      </c>
      <c r="AH906" s="239">
        <f t="shared" si="73"/>
        <v>0</v>
      </c>
      <c r="AI906" s="239">
        <f t="shared" si="74"/>
        <v>0</v>
      </c>
      <c r="AJ906" s="239">
        <f t="shared" si="75"/>
        <v>0</v>
      </c>
    </row>
    <row r="907" spans="1:36" x14ac:dyDescent="0.2">
      <c r="A907" s="240" t="str">
        <f t="shared" si="76"/>
        <v>TNCPP3301S30</v>
      </c>
      <c r="B907" s="239" t="s">
        <v>265</v>
      </c>
      <c r="C907" s="239" t="s">
        <v>20</v>
      </c>
      <c r="D907" s="239" t="s">
        <v>2565</v>
      </c>
      <c r="E907" s="239" t="s">
        <v>2529</v>
      </c>
      <c r="F907" s="239" t="s">
        <v>2698</v>
      </c>
      <c r="G907" s="239">
        <v>30</v>
      </c>
      <c r="H907" s="239" t="s">
        <v>928</v>
      </c>
      <c r="I907" s="239" t="s">
        <v>928</v>
      </c>
      <c r="J907" s="239" t="s">
        <v>928</v>
      </c>
      <c r="K907" s="239" t="s">
        <v>2398</v>
      </c>
      <c r="L907" s="239">
        <v>338.05</v>
      </c>
      <c r="M907" s="239">
        <v>0</v>
      </c>
      <c r="N907" s="239">
        <v>0</v>
      </c>
      <c r="O907" s="239">
        <v>0</v>
      </c>
      <c r="P907" s="239">
        <v>0</v>
      </c>
      <c r="Q907" s="239">
        <v>0</v>
      </c>
      <c r="R907" s="239">
        <v>0</v>
      </c>
      <c r="S907" s="239">
        <v>0</v>
      </c>
      <c r="T907" s="239">
        <v>0</v>
      </c>
      <c r="U907" s="239">
        <v>0</v>
      </c>
      <c r="V907" s="239">
        <v>0</v>
      </c>
      <c r="W907" s="239">
        <v>0</v>
      </c>
      <c r="X907" s="239">
        <v>0</v>
      </c>
      <c r="Y907" s="239">
        <v>275.38</v>
      </c>
      <c r="Z907" s="239">
        <v>0</v>
      </c>
      <c r="AA907" s="239">
        <v>0</v>
      </c>
      <c r="AB907" s="239">
        <v>62.67</v>
      </c>
      <c r="AC907" s="239">
        <v>0</v>
      </c>
      <c r="AD907" s="239">
        <v>0</v>
      </c>
      <c r="AE907" s="239" t="s">
        <v>19</v>
      </c>
      <c r="AF907" s="239" t="s">
        <v>718</v>
      </c>
      <c r="AG907" s="239">
        <f t="shared" si="72"/>
        <v>0</v>
      </c>
      <c r="AH907" s="239">
        <f t="shared" si="73"/>
        <v>0</v>
      </c>
      <c r="AI907" s="239">
        <f t="shared" si="74"/>
        <v>0</v>
      </c>
      <c r="AJ907" s="239">
        <f t="shared" si="75"/>
        <v>0</v>
      </c>
    </row>
    <row r="908" spans="1:36" x14ac:dyDescent="0.2">
      <c r="A908" s="240" t="str">
        <f t="shared" si="76"/>
        <v>2TNCPP3301S40</v>
      </c>
      <c r="B908" s="239" t="s">
        <v>265</v>
      </c>
      <c r="C908" s="239" t="s">
        <v>20</v>
      </c>
      <c r="D908" s="239" t="s">
        <v>2565</v>
      </c>
      <c r="E908" s="239" t="s">
        <v>2529</v>
      </c>
      <c r="F908" s="239" t="s">
        <v>2698</v>
      </c>
      <c r="G908" s="239">
        <v>40</v>
      </c>
      <c r="H908" s="239" t="s">
        <v>928</v>
      </c>
      <c r="I908" s="239" t="s">
        <v>2484</v>
      </c>
      <c r="J908" s="239" t="s">
        <v>928</v>
      </c>
      <c r="K908" s="239" t="s">
        <v>2398</v>
      </c>
      <c r="L908" s="239">
        <v>347.27</v>
      </c>
      <c r="M908" s="239">
        <v>0</v>
      </c>
      <c r="N908" s="239">
        <v>0</v>
      </c>
      <c r="O908" s="239">
        <v>0</v>
      </c>
      <c r="P908" s="239">
        <v>0</v>
      </c>
      <c r="Q908" s="239">
        <v>0</v>
      </c>
      <c r="R908" s="239">
        <v>0</v>
      </c>
      <c r="S908" s="239">
        <v>0</v>
      </c>
      <c r="T908" s="239">
        <v>0</v>
      </c>
      <c r="U908" s="239">
        <v>0</v>
      </c>
      <c r="V908" s="239">
        <v>0</v>
      </c>
      <c r="W908" s="239">
        <v>0</v>
      </c>
      <c r="X908" s="239">
        <v>0</v>
      </c>
      <c r="Y908" s="239">
        <v>277.22000000000003</v>
      </c>
      <c r="Z908" s="239">
        <v>0</v>
      </c>
      <c r="AA908" s="239">
        <v>0</v>
      </c>
      <c r="AB908" s="239">
        <v>70.05</v>
      </c>
      <c r="AC908" s="239">
        <v>0</v>
      </c>
      <c r="AD908" s="239">
        <v>0</v>
      </c>
      <c r="AE908" s="239" t="s">
        <v>19</v>
      </c>
      <c r="AF908" s="239" t="s">
        <v>718</v>
      </c>
      <c r="AG908" s="239">
        <f t="shared" si="72"/>
        <v>0</v>
      </c>
      <c r="AH908" s="239">
        <f t="shared" si="73"/>
        <v>0</v>
      </c>
      <c r="AI908" s="239">
        <f t="shared" si="74"/>
        <v>0</v>
      </c>
      <c r="AJ908" s="239">
        <f t="shared" si="75"/>
        <v>0</v>
      </c>
    </row>
    <row r="909" spans="1:36" x14ac:dyDescent="0.2">
      <c r="A909" s="240" t="str">
        <f t="shared" si="76"/>
        <v>TNCPP3301S40</v>
      </c>
      <c r="B909" s="239" t="s">
        <v>265</v>
      </c>
      <c r="C909" s="239" t="s">
        <v>20</v>
      </c>
      <c r="D909" s="239" t="s">
        <v>2565</v>
      </c>
      <c r="E909" s="239" t="s">
        <v>2529</v>
      </c>
      <c r="F909" s="239" t="s">
        <v>2698</v>
      </c>
      <c r="G909" s="239">
        <v>40</v>
      </c>
      <c r="H909" s="239" t="s">
        <v>928</v>
      </c>
      <c r="I909" s="239" t="s">
        <v>928</v>
      </c>
      <c r="J909" s="239" t="s">
        <v>928</v>
      </c>
      <c r="K909" s="239" t="s">
        <v>2398</v>
      </c>
      <c r="L909" s="239">
        <v>347.27</v>
      </c>
      <c r="M909" s="239">
        <v>0</v>
      </c>
      <c r="N909" s="239">
        <v>0</v>
      </c>
      <c r="O909" s="239">
        <v>0</v>
      </c>
      <c r="P909" s="239">
        <v>0</v>
      </c>
      <c r="Q909" s="239">
        <v>0</v>
      </c>
      <c r="R909" s="239">
        <v>0</v>
      </c>
      <c r="S909" s="239">
        <v>0</v>
      </c>
      <c r="T909" s="239">
        <v>0</v>
      </c>
      <c r="U909" s="239">
        <v>0</v>
      </c>
      <c r="V909" s="239">
        <v>0</v>
      </c>
      <c r="W909" s="239">
        <v>0</v>
      </c>
      <c r="X909" s="239">
        <v>0</v>
      </c>
      <c r="Y909" s="239">
        <v>277.22000000000003</v>
      </c>
      <c r="Z909" s="239">
        <v>0</v>
      </c>
      <c r="AA909" s="239">
        <v>0</v>
      </c>
      <c r="AB909" s="239">
        <v>70.05</v>
      </c>
      <c r="AC909" s="239">
        <v>0</v>
      </c>
      <c r="AD909" s="239">
        <v>0</v>
      </c>
      <c r="AE909" s="239" t="s">
        <v>20</v>
      </c>
      <c r="AF909" s="239" t="s">
        <v>718</v>
      </c>
      <c r="AG909" s="239">
        <f t="shared" si="72"/>
        <v>0</v>
      </c>
      <c r="AH909" s="239">
        <f t="shared" si="73"/>
        <v>0</v>
      </c>
      <c r="AI909" s="239">
        <f t="shared" si="74"/>
        <v>0</v>
      </c>
      <c r="AJ909" s="239">
        <f t="shared" si="75"/>
        <v>0</v>
      </c>
    </row>
    <row r="910" spans="1:36" x14ac:dyDescent="0.2">
      <c r="A910" s="240" t="str">
        <f t="shared" si="76"/>
        <v>2TNCPP3301S50</v>
      </c>
      <c r="B910" s="239" t="s">
        <v>265</v>
      </c>
      <c r="C910" s="239" t="s">
        <v>20</v>
      </c>
      <c r="D910" s="239" t="s">
        <v>2565</v>
      </c>
      <c r="E910" s="239" t="s">
        <v>2529</v>
      </c>
      <c r="F910" s="239" t="s">
        <v>2698</v>
      </c>
      <c r="G910" s="239">
        <v>50</v>
      </c>
      <c r="H910" s="239" t="s">
        <v>928</v>
      </c>
      <c r="I910" s="239" t="s">
        <v>2484</v>
      </c>
      <c r="J910" s="239" t="s">
        <v>928</v>
      </c>
      <c r="K910" s="239" t="s">
        <v>2398</v>
      </c>
      <c r="L910" s="239">
        <v>359.16</v>
      </c>
      <c r="M910" s="239">
        <v>0</v>
      </c>
      <c r="N910" s="239">
        <v>0</v>
      </c>
      <c r="O910" s="239">
        <v>0</v>
      </c>
      <c r="P910" s="239">
        <v>0</v>
      </c>
      <c r="Q910" s="239">
        <v>0</v>
      </c>
      <c r="R910" s="239">
        <v>0</v>
      </c>
      <c r="S910" s="239">
        <v>0</v>
      </c>
      <c r="T910" s="239">
        <v>0</v>
      </c>
      <c r="U910" s="239">
        <v>0</v>
      </c>
      <c r="V910" s="239">
        <v>0</v>
      </c>
      <c r="W910" s="239">
        <v>0</v>
      </c>
      <c r="X910" s="239">
        <v>0</v>
      </c>
      <c r="Y910" s="239">
        <v>296.87</v>
      </c>
      <c r="Z910" s="239">
        <v>0</v>
      </c>
      <c r="AA910" s="239">
        <v>0</v>
      </c>
      <c r="AB910" s="239">
        <v>62.28</v>
      </c>
      <c r="AC910" s="239">
        <v>0</v>
      </c>
      <c r="AD910" s="239">
        <v>0</v>
      </c>
      <c r="AE910" s="239" t="s">
        <v>20</v>
      </c>
      <c r="AF910" s="239" t="s">
        <v>718</v>
      </c>
      <c r="AG910" s="239">
        <f t="shared" si="72"/>
        <v>0</v>
      </c>
      <c r="AH910" s="239">
        <f t="shared" si="73"/>
        <v>0</v>
      </c>
      <c r="AI910" s="239">
        <f t="shared" si="74"/>
        <v>0</v>
      </c>
      <c r="AJ910" s="239">
        <f t="shared" si="75"/>
        <v>0</v>
      </c>
    </row>
    <row r="911" spans="1:36" x14ac:dyDescent="0.2">
      <c r="A911" s="240" t="str">
        <f t="shared" si="76"/>
        <v>TNCPP3301S50</v>
      </c>
      <c r="B911" s="239" t="s">
        <v>265</v>
      </c>
      <c r="C911" s="239" t="s">
        <v>20</v>
      </c>
      <c r="D911" s="239" t="s">
        <v>2565</v>
      </c>
      <c r="E911" s="239" t="s">
        <v>2529</v>
      </c>
      <c r="F911" s="239" t="s">
        <v>2698</v>
      </c>
      <c r="G911" s="239">
        <v>50</v>
      </c>
      <c r="H911" s="239" t="s">
        <v>928</v>
      </c>
      <c r="I911" s="239" t="s">
        <v>928</v>
      </c>
      <c r="J911" s="239" t="s">
        <v>928</v>
      </c>
      <c r="K911" s="239" t="s">
        <v>2398</v>
      </c>
      <c r="L911" s="239">
        <v>359.16</v>
      </c>
      <c r="M911" s="239">
        <v>0</v>
      </c>
      <c r="N911" s="239">
        <v>0</v>
      </c>
      <c r="O911" s="239">
        <v>0</v>
      </c>
      <c r="P911" s="239">
        <v>0</v>
      </c>
      <c r="Q911" s="239">
        <v>0</v>
      </c>
      <c r="R911" s="239">
        <v>0</v>
      </c>
      <c r="S911" s="239">
        <v>0</v>
      </c>
      <c r="T911" s="239">
        <v>0</v>
      </c>
      <c r="U911" s="239">
        <v>0</v>
      </c>
      <c r="V911" s="239">
        <v>0</v>
      </c>
      <c r="W911" s="239">
        <v>0</v>
      </c>
      <c r="X911" s="239">
        <v>0</v>
      </c>
      <c r="Y911" s="239">
        <v>296.87</v>
      </c>
      <c r="Z911" s="239">
        <v>0</v>
      </c>
      <c r="AA911" s="239">
        <v>0</v>
      </c>
      <c r="AB911" s="239">
        <v>62.28</v>
      </c>
      <c r="AC911" s="239">
        <v>0</v>
      </c>
      <c r="AD911" s="239">
        <v>0</v>
      </c>
      <c r="AE911" s="239" t="s">
        <v>20</v>
      </c>
      <c r="AF911" s="239" t="s">
        <v>718</v>
      </c>
      <c r="AG911" s="239">
        <f t="shared" si="72"/>
        <v>0</v>
      </c>
      <c r="AH911" s="239">
        <f t="shared" si="73"/>
        <v>0</v>
      </c>
      <c r="AI911" s="239">
        <f t="shared" si="74"/>
        <v>0</v>
      </c>
      <c r="AJ911" s="239">
        <f t="shared" si="75"/>
        <v>0</v>
      </c>
    </row>
    <row r="912" spans="1:36" x14ac:dyDescent="0.2">
      <c r="A912" s="240" t="str">
        <f t="shared" si="76"/>
        <v>2TNCPP3700J25</v>
      </c>
      <c r="B912" s="239" t="s">
        <v>265</v>
      </c>
      <c r="C912" s="239" t="s">
        <v>20</v>
      </c>
      <c r="D912" s="239" t="s">
        <v>2565</v>
      </c>
      <c r="E912" s="239" t="s">
        <v>2529</v>
      </c>
      <c r="F912" s="239" t="s">
        <v>2699</v>
      </c>
      <c r="G912" s="239">
        <v>25</v>
      </c>
      <c r="H912" s="239" t="s">
        <v>928</v>
      </c>
      <c r="I912" s="239" t="s">
        <v>2484</v>
      </c>
      <c r="J912" s="239" t="s">
        <v>928</v>
      </c>
      <c r="K912" s="239" t="s">
        <v>2398</v>
      </c>
      <c r="L912" s="239">
        <v>684.02</v>
      </c>
      <c r="M912" s="239">
        <v>0</v>
      </c>
      <c r="N912" s="239">
        <v>0</v>
      </c>
      <c r="O912" s="239">
        <v>0</v>
      </c>
      <c r="P912" s="239">
        <v>0</v>
      </c>
      <c r="Q912" s="239">
        <v>0</v>
      </c>
      <c r="R912" s="239">
        <v>0</v>
      </c>
      <c r="S912" s="239">
        <v>0</v>
      </c>
      <c r="T912" s="239">
        <v>0</v>
      </c>
      <c r="U912" s="239">
        <v>0</v>
      </c>
      <c r="V912" s="239">
        <v>0</v>
      </c>
      <c r="W912" s="239">
        <v>0</v>
      </c>
      <c r="X912" s="239">
        <v>0</v>
      </c>
      <c r="Y912" s="239">
        <v>523.87</v>
      </c>
      <c r="Z912" s="239">
        <v>0</v>
      </c>
      <c r="AA912" s="239">
        <v>0</v>
      </c>
      <c r="AB912" s="239">
        <v>160.15</v>
      </c>
      <c r="AC912" s="239">
        <v>0</v>
      </c>
      <c r="AD912" s="239">
        <v>0</v>
      </c>
      <c r="AE912" s="239" t="s">
        <v>20</v>
      </c>
      <c r="AF912" s="239" t="s">
        <v>718</v>
      </c>
      <c r="AG912" s="239">
        <f t="shared" si="72"/>
        <v>0</v>
      </c>
      <c r="AH912" s="239">
        <f t="shared" si="73"/>
        <v>0</v>
      </c>
      <c r="AI912" s="239">
        <f t="shared" si="74"/>
        <v>0</v>
      </c>
      <c r="AJ912" s="239">
        <f t="shared" si="75"/>
        <v>0</v>
      </c>
    </row>
    <row r="913" spans="1:36" x14ac:dyDescent="0.2">
      <c r="A913" s="240" t="str">
        <f t="shared" si="76"/>
        <v>TNCPP3700J25</v>
      </c>
      <c r="B913" s="239" t="s">
        <v>265</v>
      </c>
      <c r="C913" s="239" t="s">
        <v>20</v>
      </c>
      <c r="D913" s="239" t="s">
        <v>2565</v>
      </c>
      <c r="E913" s="239" t="s">
        <v>2529</v>
      </c>
      <c r="F913" s="239" t="s">
        <v>2699</v>
      </c>
      <c r="G913" s="239">
        <v>25</v>
      </c>
      <c r="H913" s="239" t="s">
        <v>928</v>
      </c>
      <c r="I913" s="239" t="s">
        <v>928</v>
      </c>
      <c r="J913" s="239" t="s">
        <v>928</v>
      </c>
      <c r="K913" s="239" t="s">
        <v>2398</v>
      </c>
      <c r="L913" s="239">
        <v>684.02</v>
      </c>
      <c r="M913" s="239">
        <v>0</v>
      </c>
      <c r="N913" s="239">
        <v>0</v>
      </c>
      <c r="O913" s="239">
        <v>0</v>
      </c>
      <c r="P913" s="239">
        <v>0</v>
      </c>
      <c r="Q913" s="239">
        <v>0</v>
      </c>
      <c r="R913" s="239">
        <v>0</v>
      </c>
      <c r="S913" s="239">
        <v>0</v>
      </c>
      <c r="T913" s="239">
        <v>0</v>
      </c>
      <c r="U913" s="239">
        <v>0</v>
      </c>
      <c r="V913" s="239">
        <v>0</v>
      </c>
      <c r="W913" s="239">
        <v>0</v>
      </c>
      <c r="X913" s="239">
        <v>0</v>
      </c>
      <c r="Y913" s="239">
        <v>523.87</v>
      </c>
      <c r="Z913" s="239">
        <v>0</v>
      </c>
      <c r="AA913" s="239">
        <v>0</v>
      </c>
      <c r="AB913" s="239">
        <v>160.15</v>
      </c>
      <c r="AC913" s="239">
        <v>0</v>
      </c>
      <c r="AD913" s="239">
        <v>0</v>
      </c>
      <c r="AE913" s="239" t="s">
        <v>20</v>
      </c>
      <c r="AF913" s="239" t="s">
        <v>718</v>
      </c>
      <c r="AG913" s="239">
        <f t="shared" si="72"/>
        <v>0</v>
      </c>
      <c r="AH913" s="239">
        <f t="shared" si="73"/>
        <v>0</v>
      </c>
      <c r="AI913" s="239">
        <f t="shared" si="74"/>
        <v>0</v>
      </c>
      <c r="AJ913" s="239">
        <f t="shared" si="75"/>
        <v>0</v>
      </c>
    </row>
    <row r="914" spans="1:36" x14ac:dyDescent="0.2">
      <c r="A914" s="240" t="str">
        <f t="shared" si="76"/>
        <v>2TNCPP3701JK40</v>
      </c>
      <c r="B914" s="239" t="s">
        <v>265</v>
      </c>
      <c r="C914" s="239" t="s">
        <v>20</v>
      </c>
      <c r="D914" s="239" t="s">
        <v>2565</v>
      </c>
      <c r="E914" s="239" t="s">
        <v>2529</v>
      </c>
      <c r="F914" s="239" t="s">
        <v>2700</v>
      </c>
      <c r="G914" s="239">
        <v>40</v>
      </c>
      <c r="H914" s="239" t="s">
        <v>928</v>
      </c>
      <c r="I914" s="239" t="s">
        <v>2484</v>
      </c>
      <c r="J914" s="239" t="s">
        <v>928</v>
      </c>
      <c r="K914" s="239" t="s">
        <v>2398</v>
      </c>
      <c r="L914" s="239">
        <v>523.41</v>
      </c>
      <c r="M914" s="239">
        <v>0</v>
      </c>
      <c r="N914" s="239">
        <v>0</v>
      </c>
      <c r="O914" s="239">
        <v>0</v>
      </c>
      <c r="P914" s="239">
        <v>0</v>
      </c>
      <c r="Q914" s="239">
        <v>0</v>
      </c>
      <c r="R914" s="239">
        <v>0</v>
      </c>
      <c r="S914" s="239">
        <v>0</v>
      </c>
      <c r="T914" s="239">
        <v>0</v>
      </c>
      <c r="U914" s="239">
        <v>0</v>
      </c>
      <c r="V914" s="239">
        <v>0</v>
      </c>
      <c r="W914" s="239">
        <v>0</v>
      </c>
      <c r="X914" s="239">
        <v>0</v>
      </c>
      <c r="Y914" s="239">
        <v>396</v>
      </c>
      <c r="Z914" s="239">
        <v>0</v>
      </c>
      <c r="AA914" s="239">
        <v>0</v>
      </c>
      <c r="AB914" s="239">
        <v>127.41</v>
      </c>
      <c r="AC914" s="239">
        <v>0</v>
      </c>
      <c r="AD914" s="239">
        <v>0</v>
      </c>
      <c r="AE914" s="239" t="s">
        <v>20</v>
      </c>
      <c r="AF914" s="239" t="s">
        <v>718</v>
      </c>
      <c r="AG914" s="239">
        <f t="shared" si="72"/>
        <v>0</v>
      </c>
      <c r="AH914" s="239">
        <f t="shared" si="73"/>
        <v>0</v>
      </c>
      <c r="AI914" s="239">
        <f t="shared" si="74"/>
        <v>0</v>
      </c>
      <c r="AJ914" s="239">
        <f t="shared" si="75"/>
        <v>0</v>
      </c>
    </row>
    <row r="915" spans="1:36" x14ac:dyDescent="0.2">
      <c r="A915" s="240" t="str">
        <f t="shared" si="76"/>
        <v>TNCPP3701JK40</v>
      </c>
      <c r="B915" s="239" t="s">
        <v>265</v>
      </c>
      <c r="C915" s="239" t="s">
        <v>20</v>
      </c>
      <c r="D915" s="239" t="s">
        <v>2565</v>
      </c>
      <c r="E915" s="239" t="s">
        <v>2529</v>
      </c>
      <c r="F915" s="239" t="s">
        <v>2700</v>
      </c>
      <c r="G915" s="239">
        <v>40</v>
      </c>
      <c r="H915" s="239" t="s">
        <v>928</v>
      </c>
      <c r="I915" s="239" t="s">
        <v>928</v>
      </c>
      <c r="J915" s="239" t="s">
        <v>928</v>
      </c>
      <c r="K915" s="239" t="s">
        <v>2398</v>
      </c>
      <c r="L915" s="239">
        <v>523.41</v>
      </c>
      <c r="M915" s="239">
        <v>0</v>
      </c>
      <c r="N915" s="239">
        <v>0</v>
      </c>
      <c r="O915" s="239">
        <v>0</v>
      </c>
      <c r="P915" s="239">
        <v>0</v>
      </c>
      <c r="Q915" s="239">
        <v>0</v>
      </c>
      <c r="R915" s="239">
        <v>0</v>
      </c>
      <c r="S915" s="239">
        <v>0</v>
      </c>
      <c r="T915" s="239">
        <v>0</v>
      </c>
      <c r="U915" s="239">
        <v>0</v>
      </c>
      <c r="V915" s="239">
        <v>0</v>
      </c>
      <c r="W915" s="239">
        <v>0</v>
      </c>
      <c r="X915" s="239">
        <v>0</v>
      </c>
      <c r="Y915" s="239">
        <v>396</v>
      </c>
      <c r="Z915" s="239">
        <v>0</v>
      </c>
      <c r="AA915" s="239">
        <v>0</v>
      </c>
      <c r="AB915" s="239">
        <v>127.41</v>
      </c>
      <c r="AC915" s="239">
        <v>0</v>
      </c>
      <c r="AD915" s="239">
        <v>0</v>
      </c>
      <c r="AE915" s="239" t="s">
        <v>20</v>
      </c>
      <c r="AF915" s="239" t="s">
        <v>718</v>
      </c>
      <c r="AG915" s="239">
        <f t="shared" si="72"/>
        <v>0</v>
      </c>
      <c r="AH915" s="239">
        <f t="shared" si="73"/>
        <v>0</v>
      </c>
      <c r="AI915" s="239">
        <f t="shared" si="74"/>
        <v>0</v>
      </c>
      <c r="AJ915" s="239">
        <f t="shared" si="75"/>
        <v>0</v>
      </c>
    </row>
    <row r="916" spans="1:36" x14ac:dyDescent="0.2">
      <c r="A916" s="240" t="str">
        <f t="shared" si="76"/>
        <v>2TNCPP372140</v>
      </c>
      <c r="B916" s="239" t="s">
        <v>265</v>
      </c>
      <c r="C916" s="239" t="s">
        <v>20</v>
      </c>
      <c r="D916" s="239" t="s">
        <v>2565</v>
      </c>
      <c r="E916" s="239" t="s">
        <v>2529</v>
      </c>
      <c r="F916" s="239" t="s">
        <v>2570</v>
      </c>
      <c r="G916" s="239">
        <v>40</v>
      </c>
      <c r="H916" s="239" t="s">
        <v>928</v>
      </c>
      <c r="I916" s="239" t="s">
        <v>2484</v>
      </c>
      <c r="J916" s="239" t="s">
        <v>928</v>
      </c>
      <c r="K916" s="239" t="s">
        <v>2398</v>
      </c>
      <c r="L916" s="239">
        <v>646.24</v>
      </c>
      <c r="M916" s="239">
        <v>0</v>
      </c>
      <c r="N916" s="239">
        <v>0</v>
      </c>
      <c r="O916" s="239">
        <v>0</v>
      </c>
      <c r="P916" s="239">
        <v>0</v>
      </c>
      <c r="Q916" s="239">
        <v>0</v>
      </c>
      <c r="R916" s="239">
        <v>0</v>
      </c>
      <c r="S916" s="239">
        <v>0</v>
      </c>
      <c r="T916" s="239">
        <v>0</v>
      </c>
      <c r="U916" s="239">
        <v>0</v>
      </c>
      <c r="V916" s="239">
        <v>0</v>
      </c>
      <c r="W916" s="239">
        <v>0</v>
      </c>
      <c r="X916" s="239">
        <v>0</v>
      </c>
      <c r="Y916" s="239">
        <v>481.39</v>
      </c>
      <c r="Z916" s="239">
        <v>0</v>
      </c>
      <c r="AA916" s="239">
        <v>0</v>
      </c>
      <c r="AB916" s="239">
        <v>164.84</v>
      </c>
      <c r="AC916" s="239">
        <v>0</v>
      </c>
      <c r="AD916" s="239">
        <v>0</v>
      </c>
      <c r="AE916" s="239" t="s">
        <v>20</v>
      </c>
      <c r="AF916" s="239" t="s">
        <v>718</v>
      </c>
      <c r="AG916" s="239">
        <f t="shared" si="72"/>
        <v>0</v>
      </c>
      <c r="AH916" s="239">
        <f t="shared" si="73"/>
        <v>0</v>
      </c>
      <c r="AI916" s="239">
        <f t="shared" si="74"/>
        <v>0</v>
      </c>
      <c r="AJ916" s="239">
        <f t="shared" si="75"/>
        <v>0</v>
      </c>
    </row>
    <row r="917" spans="1:36" x14ac:dyDescent="0.2">
      <c r="A917" s="240" t="str">
        <f t="shared" si="76"/>
        <v>TNCPP372140</v>
      </c>
      <c r="B917" s="239" t="s">
        <v>265</v>
      </c>
      <c r="C917" s="239" t="s">
        <v>20</v>
      </c>
      <c r="D917" s="239" t="s">
        <v>2565</v>
      </c>
      <c r="E917" s="239" t="s">
        <v>2529</v>
      </c>
      <c r="F917" s="239" t="s">
        <v>2570</v>
      </c>
      <c r="G917" s="239">
        <v>40</v>
      </c>
      <c r="H917" s="239" t="s">
        <v>928</v>
      </c>
      <c r="I917" s="239" t="s">
        <v>928</v>
      </c>
      <c r="J917" s="239" t="s">
        <v>928</v>
      </c>
      <c r="K917" s="239" t="s">
        <v>2398</v>
      </c>
      <c r="L917" s="239">
        <v>646.24</v>
      </c>
      <c r="M917" s="239">
        <v>0</v>
      </c>
      <c r="N917" s="239">
        <v>0</v>
      </c>
      <c r="O917" s="239">
        <v>0</v>
      </c>
      <c r="P917" s="239">
        <v>0</v>
      </c>
      <c r="Q917" s="239">
        <v>0</v>
      </c>
      <c r="R917" s="239">
        <v>0</v>
      </c>
      <c r="S917" s="239">
        <v>0</v>
      </c>
      <c r="T917" s="239">
        <v>0</v>
      </c>
      <c r="U917" s="239">
        <v>0</v>
      </c>
      <c r="V917" s="239">
        <v>0</v>
      </c>
      <c r="W917" s="239">
        <v>0</v>
      </c>
      <c r="X917" s="239">
        <v>0</v>
      </c>
      <c r="Y917" s="239">
        <v>481.39</v>
      </c>
      <c r="Z917" s="239">
        <v>0</v>
      </c>
      <c r="AA917" s="239">
        <v>0</v>
      </c>
      <c r="AB917" s="239">
        <v>164.84</v>
      </c>
      <c r="AC917" s="239">
        <v>0</v>
      </c>
      <c r="AD917" s="239">
        <v>0</v>
      </c>
      <c r="AE917" s="239" t="s">
        <v>20</v>
      </c>
      <c r="AF917" s="239" t="s">
        <v>718</v>
      </c>
      <c r="AG917" s="239">
        <f t="shared" si="72"/>
        <v>0</v>
      </c>
      <c r="AH917" s="239">
        <f t="shared" si="73"/>
        <v>0</v>
      </c>
      <c r="AI917" s="239">
        <f t="shared" si="74"/>
        <v>0</v>
      </c>
      <c r="AJ917" s="239">
        <f t="shared" si="75"/>
        <v>0</v>
      </c>
    </row>
    <row r="918" spans="1:36" x14ac:dyDescent="0.2">
      <c r="A918" s="240" t="str">
        <f t="shared" si="76"/>
        <v>2TNCPP9801RT80</v>
      </c>
      <c r="B918" s="239" t="s">
        <v>265</v>
      </c>
      <c r="C918" s="239" t="s">
        <v>20</v>
      </c>
      <c r="D918" s="239" t="s">
        <v>2565</v>
      </c>
      <c r="E918" s="239" t="s">
        <v>2529</v>
      </c>
      <c r="F918" s="239" t="s">
        <v>2701</v>
      </c>
      <c r="G918" s="239">
        <v>80</v>
      </c>
      <c r="H918" s="239" t="s">
        <v>928</v>
      </c>
      <c r="I918" s="239" t="s">
        <v>2484</v>
      </c>
      <c r="J918" s="239" t="s">
        <v>928</v>
      </c>
      <c r="K918" s="239" t="s">
        <v>2398</v>
      </c>
      <c r="L918" s="239">
        <v>457.84</v>
      </c>
      <c r="M918" s="239">
        <v>0</v>
      </c>
      <c r="N918" s="239">
        <v>0</v>
      </c>
      <c r="O918" s="239">
        <v>0</v>
      </c>
      <c r="P918" s="239">
        <v>0</v>
      </c>
      <c r="Q918" s="239">
        <v>0</v>
      </c>
      <c r="R918" s="239">
        <v>0</v>
      </c>
      <c r="S918" s="239">
        <v>0</v>
      </c>
      <c r="T918" s="239">
        <v>0</v>
      </c>
      <c r="U918" s="239">
        <v>0</v>
      </c>
      <c r="V918" s="239">
        <v>0</v>
      </c>
      <c r="W918" s="239">
        <v>0</v>
      </c>
      <c r="X918" s="239">
        <v>0</v>
      </c>
      <c r="Y918" s="239">
        <v>363.27</v>
      </c>
      <c r="Z918" s="239">
        <v>0</v>
      </c>
      <c r="AA918" s="239">
        <v>0</v>
      </c>
      <c r="AB918" s="239">
        <v>94.57</v>
      </c>
      <c r="AC918" s="239">
        <v>0</v>
      </c>
      <c r="AD918" s="239">
        <v>0</v>
      </c>
      <c r="AE918" s="239" t="s">
        <v>20</v>
      </c>
      <c r="AF918" s="239" t="s">
        <v>718</v>
      </c>
      <c r="AG918" s="239">
        <f t="shared" si="72"/>
        <v>0</v>
      </c>
      <c r="AH918" s="239">
        <f t="shared" si="73"/>
        <v>0</v>
      </c>
      <c r="AI918" s="239">
        <f t="shared" si="74"/>
        <v>0</v>
      </c>
      <c r="AJ918" s="239">
        <f t="shared" si="75"/>
        <v>0</v>
      </c>
    </row>
    <row r="919" spans="1:36" x14ac:dyDescent="0.2">
      <c r="A919" s="240" t="str">
        <f t="shared" si="76"/>
        <v>TNCPP9801RT80</v>
      </c>
      <c r="B919" s="239" t="s">
        <v>265</v>
      </c>
      <c r="C919" s="239" t="s">
        <v>20</v>
      </c>
      <c r="D919" s="239" t="s">
        <v>2565</v>
      </c>
      <c r="E919" s="239" t="s">
        <v>2529</v>
      </c>
      <c r="F919" s="239" t="s">
        <v>2701</v>
      </c>
      <c r="G919" s="239">
        <v>80</v>
      </c>
      <c r="H919" s="239" t="s">
        <v>928</v>
      </c>
      <c r="I919" s="239" t="s">
        <v>928</v>
      </c>
      <c r="J919" s="239" t="s">
        <v>928</v>
      </c>
      <c r="K919" s="239" t="s">
        <v>2398</v>
      </c>
      <c r="L919" s="239">
        <v>457.84</v>
      </c>
      <c r="M919" s="239">
        <v>0</v>
      </c>
      <c r="N919" s="239">
        <v>0</v>
      </c>
      <c r="O919" s="239">
        <v>0</v>
      </c>
      <c r="P919" s="239">
        <v>0</v>
      </c>
      <c r="Q919" s="239">
        <v>0</v>
      </c>
      <c r="R919" s="239">
        <v>0</v>
      </c>
      <c r="S919" s="239">
        <v>0</v>
      </c>
      <c r="T919" s="239">
        <v>0</v>
      </c>
      <c r="U919" s="239">
        <v>0</v>
      </c>
      <c r="V919" s="239">
        <v>0</v>
      </c>
      <c r="W919" s="239">
        <v>0</v>
      </c>
      <c r="X919" s="239">
        <v>0</v>
      </c>
      <c r="Y919" s="239">
        <v>363.27</v>
      </c>
      <c r="Z919" s="239">
        <v>0</v>
      </c>
      <c r="AA919" s="239">
        <v>0</v>
      </c>
      <c r="AB919" s="239">
        <v>94.57</v>
      </c>
      <c r="AC919" s="239">
        <v>0</v>
      </c>
      <c r="AD919" s="239">
        <v>0</v>
      </c>
      <c r="AE919" s="239" t="s">
        <v>20</v>
      </c>
      <c r="AF919" s="239" t="s">
        <v>718</v>
      </c>
      <c r="AG919" s="239">
        <f t="shared" si="72"/>
        <v>0</v>
      </c>
      <c r="AH919" s="239">
        <f t="shared" si="73"/>
        <v>0</v>
      </c>
      <c r="AI919" s="239">
        <f t="shared" si="74"/>
        <v>0</v>
      </c>
      <c r="AJ919" s="239">
        <f t="shared" si="75"/>
        <v>0</v>
      </c>
    </row>
    <row r="920" spans="1:36" x14ac:dyDescent="0.2">
      <c r="A920" s="240" t="str">
        <f t="shared" si="76"/>
        <v>2TNCPPZK500X60</v>
      </c>
      <c r="B920" s="239" t="s">
        <v>265</v>
      </c>
      <c r="C920" s="239" t="s">
        <v>20</v>
      </c>
      <c r="D920" s="239" t="s">
        <v>2565</v>
      </c>
      <c r="E920" s="239" t="s">
        <v>2529</v>
      </c>
      <c r="F920" s="239" t="s">
        <v>2702</v>
      </c>
      <c r="G920" s="239">
        <v>60</v>
      </c>
      <c r="H920" s="239" t="s">
        <v>928</v>
      </c>
      <c r="I920" s="239" t="s">
        <v>2484</v>
      </c>
      <c r="J920" s="239" t="s">
        <v>928</v>
      </c>
      <c r="K920" s="239" t="s">
        <v>2398</v>
      </c>
      <c r="L920" s="239">
        <v>407.9</v>
      </c>
      <c r="M920" s="239">
        <v>0</v>
      </c>
      <c r="N920" s="239">
        <v>0</v>
      </c>
      <c r="O920" s="239">
        <v>0</v>
      </c>
      <c r="P920" s="239">
        <v>0</v>
      </c>
      <c r="Q920" s="239">
        <v>0</v>
      </c>
      <c r="R920" s="239">
        <v>0</v>
      </c>
      <c r="S920" s="239">
        <v>0</v>
      </c>
      <c r="T920" s="239">
        <v>0</v>
      </c>
      <c r="U920" s="239">
        <v>0</v>
      </c>
      <c r="V920" s="239">
        <v>0</v>
      </c>
      <c r="W920" s="239">
        <v>0</v>
      </c>
      <c r="X920" s="239">
        <v>0</v>
      </c>
      <c r="Y920" s="239">
        <v>334.65</v>
      </c>
      <c r="Z920" s="239">
        <v>0</v>
      </c>
      <c r="AA920" s="239">
        <v>0</v>
      </c>
      <c r="AB920" s="239">
        <v>73.25</v>
      </c>
      <c r="AC920" s="239">
        <v>0</v>
      </c>
      <c r="AD920" s="239">
        <v>0</v>
      </c>
      <c r="AE920" s="239" t="s">
        <v>20</v>
      </c>
      <c r="AF920" s="239" t="s">
        <v>718</v>
      </c>
      <c r="AG920" s="239">
        <f t="shared" si="72"/>
        <v>0</v>
      </c>
      <c r="AH920" s="239">
        <f t="shared" si="73"/>
        <v>0</v>
      </c>
      <c r="AI920" s="239">
        <f t="shared" si="74"/>
        <v>0</v>
      </c>
      <c r="AJ920" s="239">
        <f t="shared" si="75"/>
        <v>0</v>
      </c>
    </row>
    <row r="921" spans="1:36" x14ac:dyDescent="0.2">
      <c r="A921" s="240" t="str">
        <f t="shared" si="76"/>
        <v>TNCPPZK500X60</v>
      </c>
      <c r="B921" s="239" t="s">
        <v>265</v>
      </c>
      <c r="C921" s="239" t="s">
        <v>20</v>
      </c>
      <c r="D921" s="239" t="s">
        <v>2565</v>
      </c>
      <c r="E921" s="239" t="s">
        <v>2529</v>
      </c>
      <c r="F921" s="239" t="s">
        <v>2702</v>
      </c>
      <c r="G921" s="239">
        <v>60</v>
      </c>
      <c r="H921" s="239" t="s">
        <v>928</v>
      </c>
      <c r="I921" s="239" t="s">
        <v>928</v>
      </c>
      <c r="J921" s="239" t="s">
        <v>928</v>
      </c>
      <c r="K921" s="239" t="s">
        <v>2398</v>
      </c>
      <c r="L921" s="239">
        <v>407.9</v>
      </c>
      <c r="M921" s="239">
        <v>0</v>
      </c>
      <c r="N921" s="239">
        <v>0</v>
      </c>
      <c r="O921" s="239">
        <v>0</v>
      </c>
      <c r="P921" s="239">
        <v>0</v>
      </c>
      <c r="Q921" s="239">
        <v>0</v>
      </c>
      <c r="R921" s="239">
        <v>0</v>
      </c>
      <c r="S921" s="239">
        <v>0</v>
      </c>
      <c r="T921" s="239">
        <v>0</v>
      </c>
      <c r="U921" s="239">
        <v>0</v>
      </c>
      <c r="V921" s="239">
        <v>0</v>
      </c>
      <c r="W921" s="239">
        <v>0</v>
      </c>
      <c r="X921" s="239">
        <v>0</v>
      </c>
      <c r="Y921" s="239">
        <v>334.65</v>
      </c>
      <c r="Z921" s="239">
        <v>0</v>
      </c>
      <c r="AA921" s="239">
        <v>0</v>
      </c>
      <c r="AB921" s="239">
        <v>73.25</v>
      </c>
      <c r="AC921" s="239">
        <v>0</v>
      </c>
      <c r="AD921" s="239">
        <v>0</v>
      </c>
      <c r="AE921" s="239" t="s">
        <v>20</v>
      </c>
      <c r="AF921" s="239" t="s">
        <v>718</v>
      </c>
      <c r="AG921" s="239">
        <f t="shared" si="72"/>
        <v>0</v>
      </c>
      <c r="AH921" s="239">
        <f t="shared" si="73"/>
        <v>0</v>
      </c>
      <c r="AI921" s="239">
        <f t="shared" si="74"/>
        <v>0</v>
      </c>
      <c r="AJ921" s="239">
        <f t="shared" si="75"/>
        <v>0</v>
      </c>
    </row>
    <row r="922" spans="1:36" x14ac:dyDescent="0.2">
      <c r="A922" s="240" t="str">
        <f t="shared" si="76"/>
        <v>3TNDMSX42GPC50</v>
      </c>
      <c r="B922" s="239" t="s">
        <v>265</v>
      </c>
      <c r="C922" s="239" t="s">
        <v>20</v>
      </c>
      <c r="D922" s="239" t="s">
        <v>312</v>
      </c>
      <c r="E922" s="239" t="s">
        <v>2703</v>
      </c>
      <c r="F922" s="239" t="s">
        <v>317</v>
      </c>
      <c r="G922" s="239">
        <v>50</v>
      </c>
      <c r="H922" s="239" t="s">
        <v>928</v>
      </c>
      <c r="I922" s="239" t="s">
        <v>2471</v>
      </c>
      <c r="J922" s="239" t="s">
        <v>928</v>
      </c>
      <c r="K922" s="239" t="s">
        <v>2398</v>
      </c>
      <c r="L922" s="239">
        <v>114.27368</v>
      </c>
      <c r="M922" s="239">
        <v>78</v>
      </c>
      <c r="N922" s="239">
        <v>0</v>
      </c>
      <c r="O922" s="239">
        <v>0</v>
      </c>
      <c r="P922" s="239">
        <v>0</v>
      </c>
      <c r="Q922" s="239">
        <v>0</v>
      </c>
      <c r="R922" s="239">
        <v>0</v>
      </c>
      <c r="S922" s="239">
        <v>0</v>
      </c>
      <c r="T922" s="239">
        <v>12.4214</v>
      </c>
      <c r="U922" s="239">
        <v>2.4550000000000001</v>
      </c>
      <c r="V922" s="239">
        <v>1.04461</v>
      </c>
      <c r="W922" s="239">
        <v>8.0366700000000009</v>
      </c>
      <c r="X922" s="239">
        <v>0</v>
      </c>
      <c r="Y922" s="239">
        <v>0</v>
      </c>
      <c r="Z922" s="239">
        <v>90.316000000000003</v>
      </c>
      <c r="AA922" s="239">
        <v>0</v>
      </c>
      <c r="AB922" s="239">
        <v>0</v>
      </c>
      <c r="AC922" s="239">
        <v>0</v>
      </c>
      <c r="AD922" s="239">
        <v>1</v>
      </c>
      <c r="AE922" s="239" t="s">
        <v>20</v>
      </c>
      <c r="AF922" s="239" t="s">
        <v>718</v>
      </c>
      <c r="AG922" s="239">
        <f t="shared" si="72"/>
        <v>0</v>
      </c>
      <c r="AH922" s="239">
        <f t="shared" si="73"/>
        <v>0</v>
      </c>
      <c r="AI922" s="239">
        <f t="shared" si="74"/>
        <v>0</v>
      </c>
      <c r="AJ922" s="239">
        <f t="shared" si="75"/>
        <v>0</v>
      </c>
    </row>
    <row r="923" spans="1:36" x14ac:dyDescent="0.2">
      <c r="A923" s="240" t="str">
        <f t="shared" si="76"/>
        <v>2TNF-FILMF150</v>
      </c>
      <c r="B923" s="239" t="s">
        <v>265</v>
      </c>
      <c r="C923" s="239" t="s">
        <v>20</v>
      </c>
      <c r="D923" s="239" t="s">
        <v>2583</v>
      </c>
      <c r="E923" s="239" t="s">
        <v>2584</v>
      </c>
      <c r="F923" s="239" t="s">
        <v>2589</v>
      </c>
      <c r="G923" s="239">
        <v>150</v>
      </c>
      <c r="H923" s="239" t="s">
        <v>928</v>
      </c>
      <c r="I923" s="239" t="s">
        <v>2484</v>
      </c>
      <c r="J923" s="239" t="s">
        <v>928</v>
      </c>
      <c r="K923" s="239" t="s">
        <v>2398</v>
      </c>
      <c r="L923" s="239">
        <v>6393.09</v>
      </c>
      <c r="M923" s="239">
        <v>0</v>
      </c>
      <c r="N923" s="239">
        <v>0</v>
      </c>
      <c r="O923" s="239">
        <v>0</v>
      </c>
      <c r="P923" s="239">
        <v>0</v>
      </c>
      <c r="Q923" s="239">
        <v>0</v>
      </c>
      <c r="R923" s="239">
        <v>0</v>
      </c>
      <c r="S923" s="239">
        <v>0</v>
      </c>
      <c r="T923" s="239">
        <v>0</v>
      </c>
      <c r="U923" s="239">
        <v>0</v>
      </c>
      <c r="V923" s="239">
        <v>0</v>
      </c>
      <c r="W923" s="239">
        <v>0</v>
      </c>
      <c r="X923" s="239">
        <v>0</v>
      </c>
      <c r="Y923" s="239">
        <v>5875.94</v>
      </c>
      <c r="Z923" s="239">
        <v>0</v>
      </c>
      <c r="AA923" s="239">
        <v>0</v>
      </c>
      <c r="AB923" s="239">
        <v>517.15</v>
      </c>
      <c r="AC923" s="239">
        <v>0</v>
      </c>
      <c r="AD923" s="239">
        <v>0</v>
      </c>
      <c r="AE923" s="239" t="s">
        <v>20</v>
      </c>
      <c r="AF923" s="239" t="s">
        <v>718</v>
      </c>
      <c r="AG923" s="239">
        <f t="shared" si="72"/>
        <v>0</v>
      </c>
      <c r="AH923" s="239">
        <f t="shared" si="73"/>
        <v>0</v>
      </c>
      <c r="AI923" s="239">
        <f t="shared" si="74"/>
        <v>0</v>
      </c>
      <c r="AJ923" s="239">
        <f t="shared" si="75"/>
        <v>0</v>
      </c>
    </row>
    <row r="924" spans="1:36" x14ac:dyDescent="0.2">
      <c r="A924" s="240" t="str">
        <f t="shared" si="76"/>
        <v>TNF-FILMF150</v>
      </c>
      <c r="B924" s="239" t="s">
        <v>265</v>
      </c>
      <c r="C924" s="239" t="s">
        <v>20</v>
      </c>
      <c r="D924" s="239" t="s">
        <v>2583</v>
      </c>
      <c r="E924" s="239" t="s">
        <v>2584</v>
      </c>
      <c r="F924" s="239" t="s">
        <v>2589</v>
      </c>
      <c r="G924" s="239">
        <v>150</v>
      </c>
      <c r="H924" s="239" t="s">
        <v>928</v>
      </c>
      <c r="I924" s="239" t="s">
        <v>928</v>
      </c>
      <c r="J924" s="239" t="s">
        <v>928</v>
      </c>
      <c r="K924" s="239" t="s">
        <v>2398</v>
      </c>
      <c r="L924" s="239">
        <v>6393.09</v>
      </c>
      <c r="M924" s="239">
        <v>0</v>
      </c>
      <c r="N924" s="239">
        <v>0</v>
      </c>
      <c r="O924" s="239">
        <v>0</v>
      </c>
      <c r="P924" s="239">
        <v>0</v>
      </c>
      <c r="Q924" s="239">
        <v>0</v>
      </c>
      <c r="R924" s="239">
        <v>0</v>
      </c>
      <c r="S924" s="239">
        <v>0</v>
      </c>
      <c r="T924" s="239">
        <v>0</v>
      </c>
      <c r="U924" s="239">
        <v>0</v>
      </c>
      <c r="V924" s="239">
        <v>0</v>
      </c>
      <c r="W924" s="239">
        <v>0</v>
      </c>
      <c r="X924" s="239">
        <v>0</v>
      </c>
      <c r="Y924" s="239">
        <v>5875.94</v>
      </c>
      <c r="Z924" s="239">
        <v>0</v>
      </c>
      <c r="AA924" s="239">
        <v>0</v>
      </c>
      <c r="AB924" s="239">
        <v>517.15</v>
      </c>
      <c r="AC924" s="239">
        <v>0</v>
      </c>
      <c r="AD924" s="239">
        <v>0</v>
      </c>
      <c r="AE924" s="239" t="s">
        <v>20</v>
      </c>
      <c r="AF924" s="239" t="s">
        <v>718</v>
      </c>
      <c r="AG924" s="239">
        <f t="shared" si="72"/>
        <v>0</v>
      </c>
      <c r="AH924" s="239">
        <f t="shared" si="73"/>
        <v>0</v>
      </c>
      <c r="AI924" s="239">
        <f t="shared" si="74"/>
        <v>0</v>
      </c>
      <c r="AJ924" s="239">
        <f t="shared" si="75"/>
        <v>0</v>
      </c>
    </row>
    <row r="925" spans="1:36" x14ac:dyDescent="0.2">
      <c r="A925" s="240" t="str">
        <f t="shared" si="76"/>
        <v>8TNF-PCFVF50</v>
      </c>
      <c r="B925" s="239" t="s">
        <v>265</v>
      </c>
      <c r="C925" s="239" t="s">
        <v>20</v>
      </c>
      <c r="D925" s="239" t="s">
        <v>2594</v>
      </c>
      <c r="E925" s="239" t="s">
        <v>2584</v>
      </c>
      <c r="F925" s="239" t="s">
        <v>2704</v>
      </c>
      <c r="G925" s="239">
        <v>50</v>
      </c>
      <c r="H925" s="239" t="s">
        <v>928</v>
      </c>
      <c r="I925" s="239" t="s">
        <v>2494</v>
      </c>
      <c r="J925" s="239" t="s">
        <v>928</v>
      </c>
      <c r="K925" s="239" t="s">
        <v>2398</v>
      </c>
      <c r="L925" s="239">
        <v>6958.33</v>
      </c>
      <c r="M925" s="239">
        <v>0</v>
      </c>
      <c r="N925" s="239">
        <v>0</v>
      </c>
      <c r="O925" s="239">
        <v>0</v>
      </c>
      <c r="P925" s="239">
        <v>0</v>
      </c>
      <c r="Q925" s="239">
        <v>0</v>
      </c>
      <c r="R925" s="239">
        <v>0</v>
      </c>
      <c r="S925" s="239">
        <v>0</v>
      </c>
      <c r="T925" s="239">
        <v>0</v>
      </c>
      <c r="U925" s="239">
        <v>0</v>
      </c>
      <c r="V925" s="239">
        <v>0</v>
      </c>
      <c r="W925" s="239">
        <v>0</v>
      </c>
      <c r="X925" s="239">
        <v>0</v>
      </c>
      <c r="Y925" s="239">
        <v>5450.92</v>
      </c>
      <c r="Z925" s="239">
        <v>0</v>
      </c>
      <c r="AA925" s="239">
        <v>0</v>
      </c>
      <c r="AB925" s="239">
        <v>1507.41</v>
      </c>
      <c r="AC925" s="239">
        <v>0</v>
      </c>
      <c r="AD925" s="239">
        <v>0</v>
      </c>
      <c r="AE925" s="239" t="s">
        <v>20</v>
      </c>
      <c r="AF925" s="239" t="s">
        <v>718</v>
      </c>
      <c r="AG925" s="239">
        <f t="shared" si="72"/>
        <v>0</v>
      </c>
      <c r="AH925" s="239">
        <f t="shared" si="73"/>
        <v>0</v>
      </c>
      <c r="AI925" s="239">
        <f t="shared" si="74"/>
        <v>0</v>
      </c>
      <c r="AJ925" s="239">
        <f t="shared" si="75"/>
        <v>0</v>
      </c>
    </row>
    <row r="926" spans="1:36" x14ac:dyDescent="0.2">
      <c r="A926" s="240" t="str">
        <f t="shared" si="76"/>
        <v>TNF-PCFVF50</v>
      </c>
      <c r="B926" s="239" t="s">
        <v>265</v>
      </c>
      <c r="C926" s="239" t="s">
        <v>20</v>
      </c>
      <c r="D926" s="239" t="s">
        <v>2594</v>
      </c>
      <c r="E926" s="239" t="s">
        <v>2584</v>
      </c>
      <c r="F926" s="239" t="s">
        <v>2704</v>
      </c>
      <c r="G926" s="239">
        <v>50</v>
      </c>
      <c r="H926" s="239" t="s">
        <v>928</v>
      </c>
      <c r="I926" s="239" t="s">
        <v>928</v>
      </c>
      <c r="J926" s="239" t="s">
        <v>928</v>
      </c>
      <c r="K926" s="239" t="s">
        <v>2398</v>
      </c>
      <c r="L926" s="239">
        <v>6958.33</v>
      </c>
      <c r="M926" s="239">
        <v>0</v>
      </c>
      <c r="N926" s="239">
        <v>0</v>
      </c>
      <c r="O926" s="239">
        <v>0</v>
      </c>
      <c r="P926" s="239">
        <v>0</v>
      </c>
      <c r="Q926" s="239">
        <v>0</v>
      </c>
      <c r="R926" s="239">
        <v>0</v>
      </c>
      <c r="S926" s="239">
        <v>0</v>
      </c>
      <c r="T926" s="239">
        <v>0</v>
      </c>
      <c r="U926" s="239">
        <v>0</v>
      </c>
      <c r="V926" s="239">
        <v>0</v>
      </c>
      <c r="W926" s="239">
        <v>0</v>
      </c>
      <c r="X926" s="239">
        <v>0</v>
      </c>
      <c r="Y926" s="239">
        <v>5450.92</v>
      </c>
      <c r="Z926" s="239">
        <v>0</v>
      </c>
      <c r="AA926" s="239">
        <v>0</v>
      </c>
      <c r="AB926" s="239">
        <v>1507.41</v>
      </c>
      <c r="AC926" s="239">
        <v>0</v>
      </c>
      <c r="AD926" s="239">
        <v>0</v>
      </c>
      <c r="AE926" s="239" t="s">
        <v>20</v>
      </c>
      <c r="AF926" s="239" t="s">
        <v>718</v>
      </c>
      <c r="AG926" s="239">
        <f t="shared" si="72"/>
        <v>0</v>
      </c>
      <c r="AH926" s="239">
        <f t="shared" si="73"/>
        <v>0</v>
      </c>
      <c r="AI926" s="239">
        <f t="shared" si="74"/>
        <v>0</v>
      </c>
      <c r="AJ926" s="239">
        <f t="shared" si="75"/>
        <v>0</v>
      </c>
    </row>
    <row r="927" spans="1:36" x14ac:dyDescent="0.2">
      <c r="A927" s="240" t="str">
        <f t="shared" si="76"/>
        <v>8TNF-PCFVF-250</v>
      </c>
      <c r="B927" s="239" t="s">
        <v>265</v>
      </c>
      <c r="C927" s="239" t="s">
        <v>20</v>
      </c>
      <c r="D927" s="239" t="s">
        <v>2594</v>
      </c>
      <c r="E927" s="239" t="s">
        <v>2584</v>
      </c>
      <c r="F927" s="239" t="s">
        <v>2705</v>
      </c>
      <c r="G927" s="239">
        <v>50</v>
      </c>
      <c r="H927" s="239" t="s">
        <v>928</v>
      </c>
      <c r="I927" s="239" t="s">
        <v>2494</v>
      </c>
      <c r="J927" s="239" t="s">
        <v>928</v>
      </c>
      <c r="K927" s="239" t="s">
        <v>2398</v>
      </c>
      <c r="L927" s="239">
        <v>6958.33</v>
      </c>
      <c r="M927" s="239">
        <v>0</v>
      </c>
      <c r="N927" s="239">
        <v>0</v>
      </c>
      <c r="O927" s="239">
        <v>0</v>
      </c>
      <c r="P927" s="239">
        <v>0</v>
      </c>
      <c r="Q927" s="239">
        <v>0</v>
      </c>
      <c r="R927" s="239">
        <v>0</v>
      </c>
      <c r="S927" s="239">
        <v>0</v>
      </c>
      <c r="T927" s="239">
        <v>0</v>
      </c>
      <c r="U927" s="239">
        <v>0</v>
      </c>
      <c r="V927" s="239">
        <v>0</v>
      </c>
      <c r="W927" s="239">
        <v>0</v>
      </c>
      <c r="X927" s="239">
        <v>0</v>
      </c>
      <c r="Y927" s="239">
        <v>5450.92</v>
      </c>
      <c r="Z927" s="239">
        <v>0</v>
      </c>
      <c r="AA927" s="239">
        <v>0</v>
      </c>
      <c r="AB927" s="239">
        <v>1507.41</v>
      </c>
      <c r="AC927" s="239">
        <v>0</v>
      </c>
      <c r="AD927" s="239">
        <v>0</v>
      </c>
      <c r="AE927" s="239" t="s">
        <v>20</v>
      </c>
      <c r="AF927" s="239" t="s">
        <v>718</v>
      </c>
      <c r="AG927" s="239">
        <f t="shared" si="72"/>
        <v>0</v>
      </c>
      <c r="AH927" s="239">
        <f t="shared" si="73"/>
        <v>0</v>
      </c>
      <c r="AI927" s="239">
        <f t="shared" si="74"/>
        <v>0</v>
      </c>
      <c r="AJ927" s="239">
        <f t="shared" si="75"/>
        <v>0</v>
      </c>
    </row>
    <row r="928" spans="1:36" x14ac:dyDescent="0.2">
      <c r="A928" s="240" t="str">
        <f t="shared" si="76"/>
        <v>TNF-PCFVF-250</v>
      </c>
      <c r="B928" s="239" t="s">
        <v>265</v>
      </c>
      <c r="C928" s="239" t="s">
        <v>20</v>
      </c>
      <c r="D928" s="239" t="s">
        <v>2594</v>
      </c>
      <c r="E928" s="239" t="s">
        <v>2584</v>
      </c>
      <c r="F928" s="239" t="s">
        <v>2705</v>
      </c>
      <c r="G928" s="239">
        <v>50</v>
      </c>
      <c r="H928" s="239" t="s">
        <v>928</v>
      </c>
      <c r="I928" s="239" t="s">
        <v>928</v>
      </c>
      <c r="J928" s="239" t="s">
        <v>928</v>
      </c>
      <c r="K928" s="239" t="s">
        <v>2398</v>
      </c>
      <c r="L928" s="239">
        <v>6958.33</v>
      </c>
      <c r="M928" s="239">
        <v>0</v>
      </c>
      <c r="N928" s="239">
        <v>0</v>
      </c>
      <c r="O928" s="239">
        <v>0</v>
      </c>
      <c r="P928" s="239">
        <v>0</v>
      </c>
      <c r="Q928" s="239">
        <v>0</v>
      </c>
      <c r="R928" s="239">
        <v>0</v>
      </c>
      <c r="S928" s="239">
        <v>0</v>
      </c>
      <c r="T928" s="239">
        <v>0</v>
      </c>
      <c r="U928" s="239">
        <v>0</v>
      </c>
      <c r="V928" s="239">
        <v>0</v>
      </c>
      <c r="W928" s="239">
        <v>0</v>
      </c>
      <c r="X928" s="239">
        <v>0</v>
      </c>
      <c r="Y928" s="239">
        <v>5450.92</v>
      </c>
      <c r="Z928" s="239">
        <v>0</v>
      </c>
      <c r="AA928" s="239">
        <v>0</v>
      </c>
      <c r="AB928" s="239">
        <v>1507.41</v>
      </c>
      <c r="AC928" s="239">
        <v>0</v>
      </c>
      <c r="AD928" s="239">
        <v>0</v>
      </c>
      <c r="AE928" s="239" t="s">
        <v>20</v>
      </c>
      <c r="AF928" s="239" t="s">
        <v>718</v>
      </c>
      <c r="AG928" s="239">
        <f t="shared" si="72"/>
        <v>0</v>
      </c>
      <c r="AH928" s="239">
        <f t="shared" si="73"/>
        <v>0</v>
      </c>
      <c r="AI928" s="239">
        <f t="shared" si="74"/>
        <v>0</v>
      </c>
      <c r="AJ928" s="239">
        <f t="shared" si="75"/>
        <v>0</v>
      </c>
    </row>
    <row r="929" spans="1:36" x14ac:dyDescent="0.2">
      <c r="A929" s="240" t="str">
        <f t="shared" si="76"/>
        <v>3TNKNZMCRALCB25</v>
      </c>
      <c r="B929" s="239" t="s">
        <v>265</v>
      </c>
      <c r="C929" s="239" t="s">
        <v>20</v>
      </c>
      <c r="D929" s="239" t="s">
        <v>1078</v>
      </c>
      <c r="E929" s="239" t="s">
        <v>2706</v>
      </c>
      <c r="F929" s="239" t="s">
        <v>1079</v>
      </c>
      <c r="G929" s="239">
        <v>25</v>
      </c>
      <c r="H929" s="239" t="s">
        <v>928</v>
      </c>
      <c r="I929" s="239" t="s">
        <v>2471</v>
      </c>
      <c r="J929" s="239" t="s">
        <v>928</v>
      </c>
      <c r="K929" s="239" t="s">
        <v>2398</v>
      </c>
      <c r="L929" s="239">
        <v>204.39944</v>
      </c>
      <c r="M929" s="239">
        <v>83.7</v>
      </c>
      <c r="N929" s="239">
        <v>0</v>
      </c>
      <c r="O929" s="239">
        <v>0</v>
      </c>
      <c r="P929" s="239">
        <v>0</v>
      </c>
      <c r="Q929" s="239">
        <v>0</v>
      </c>
      <c r="R929" s="239">
        <v>0</v>
      </c>
      <c r="S929" s="239">
        <v>0</v>
      </c>
      <c r="T929" s="239">
        <v>4.78688</v>
      </c>
      <c r="U929" s="239">
        <v>3.7160500000000001</v>
      </c>
      <c r="V929" s="239">
        <v>2.2426200000000001</v>
      </c>
      <c r="W929" s="239">
        <v>19.64189</v>
      </c>
      <c r="X929" s="239">
        <v>0</v>
      </c>
      <c r="Y929" s="239">
        <v>0</v>
      </c>
      <c r="Z929" s="239">
        <v>174.012</v>
      </c>
      <c r="AA929" s="239">
        <v>0</v>
      </c>
      <c r="AB929" s="239">
        <v>0</v>
      </c>
      <c r="AC929" s="239">
        <v>0</v>
      </c>
      <c r="AD929" s="239">
        <v>1</v>
      </c>
      <c r="AE929" s="239" t="s">
        <v>20</v>
      </c>
      <c r="AF929" s="239" t="s">
        <v>718</v>
      </c>
      <c r="AG929" s="239">
        <f t="shared" si="72"/>
        <v>0</v>
      </c>
      <c r="AH929" s="239">
        <f t="shared" si="73"/>
        <v>0</v>
      </c>
      <c r="AI929" s="239">
        <f t="shared" si="74"/>
        <v>0</v>
      </c>
      <c r="AJ929" s="239">
        <f t="shared" si="75"/>
        <v>0</v>
      </c>
    </row>
    <row r="930" spans="1:36" x14ac:dyDescent="0.2">
      <c r="A930" s="240" t="str">
        <f t="shared" si="76"/>
        <v>39HTNMCLBHLGKJV50</v>
      </c>
      <c r="B930" s="239" t="s">
        <v>265</v>
      </c>
      <c r="C930" s="239" t="s">
        <v>20</v>
      </c>
      <c r="D930" s="239" t="s">
        <v>165</v>
      </c>
      <c r="E930" s="239" t="s">
        <v>723</v>
      </c>
      <c r="F930" s="239" t="s">
        <v>172</v>
      </c>
      <c r="G930" s="239">
        <v>50</v>
      </c>
      <c r="H930" s="239" t="s">
        <v>928</v>
      </c>
      <c r="I930" s="239" t="s">
        <v>2707</v>
      </c>
      <c r="J930" s="239" t="s">
        <v>928</v>
      </c>
      <c r="K930" s="239" t="s">
        <v>2398</v>
      </c>
      <c r="L930" s="239">
        <v>98.585570000000004</v>
      </c>
      <c r="M930" s="239">
        <v>96</v>
      </c>
      <c r="N930" s="239">
        <v>0</v>
      </c>
      <c r="O930" s="239">
        <v>0</v>
      </c>
      <c r="P930" s="239">
        <v>0</v>
      </c>
      <c r="Q930" s="239">
        <v>0</v>
      </c>
      <c r="R930" s="239">
        <v>0</v>
      </c>
      <c r="S930" s="239">
        <v>0</v>
      </c>
      <c r="T930" s="239">
        <v>10.535</v>
      </c>
      <c r="U930" s="239">
        <v>1.7470000000000001</v>
      </c>
      <c r="V930" s="239">
        <v>0.76436999999999999</v>
      </c>
      <c r="W930" s="239">
        <v>10.083500000000001</v>
      </c>
      <c r="X930" s="239">
        <v>0</v>
      </c>
      <c r="Y930" s="239">
        <v>0</v>
      </c>
      <c r="Z930" s="239">
        <v>75.455699999999993</v>
      </c>
      <c r="AA930" s="239">
        <v>0</v>
      </c>
      <c r="AB930" s="239">
        <v>0</v>
      </c>
      <c r="AC930" s="239">
        <v>0</v>
      </c>
      <c r="AD930" s="239">
        <v>1</v>
      </c>
      <c r="AE930" s="239" t="s">
        <v>20</v>
      </c>
      <c r="AF930" s="239" t="s">
        <v>718</v>
      </c>
      <c r="AG930" s="239">
        <f t="shared" si="72"/>
        <v>0</v>
      </c>
      <c r="AH930" s="239">
        <f t="shared" si="73"/>
        <v>0</v>
      </c>
      <c r="AI930" s="239">
        <f t="shared" si="74"/>
        <v>0</v>
      </c>
      <c r="AJ930" s="239">
        <f t="shared" si="75"/>
        <v>0</v>
      </c>
    </row>
    <row r="931" spans="1:36" x14ac:dyDescent="0.2">
      <c r="A931" s="240" t="str">
        <f t="shared" si="76"/>
        <v>39HTNMCLBHLGTV25</v>
      </c>
      <c r="B931" s="239" t="s">
        <v>265</v>
      </c>
      <c r="C931" s="239" t="s">
        <v>20</v>
      </c>
      <c r="D931" s="239" t="s">
        <v>165</v>
      </c>
      <c r="E931" s="239" t="s">
        <v>723</v>
      </c>
      <c r="F931" s="239" t="s">
        <v>176</v>
      </c>
      <c r="G931" s="239">
        <v>25</v>
      </c>
      <c r="H931" s="239" t="s">
        <v>928</v>
      </c>
      <c r="I931" s="239" t="s">
        <v>2707</v>
      </c>
      <c r="J931" s="239" t="s">
        <v>928</v>
      </c>
      <c r="K931" s="239" t="s">
        <v>2398</v>
      </c>
      <c r="L931" s="239">
        <v>94.388639999999995</v>
      </c>
      <c r="M931" s="239">
        <v>96</v>
      </c>
      <c r="N931" s="239">
        <v>0</v>
      </c>
      <c r="O931" s="239">
        <v>0</v>
      </c>
      <c r="P931" s="239">
        <v>0</v>
      </c>
      <c r="Q931" s="239">
        <v>0</v>
      </c>
      <c r="R931" s="239">
        <v>0</v>
      </c>
      <c r="S931" s="239">
        <v>0</v>
      </c>
      <c r="T931" s="239">
        <v>10.535</v>
      </c>
      <c r="U931" s="239">
        <v>1.7470000000000001</v>
      </c>
      <c r="V931" s="239">
        <v>1.52874</v>
      </c>
      <c r="W931" s="239">
        <v>20.232199999999999</v>
      </c>
      <c r="X931" s="239">
        <v>0</v>
      </c>
      <c r="Y931" s="239">
        <v>0</v>
      </c>
      <c r="Z931" s="239">
        <v>60.345700000000001</v>
      </c>
      <c r="AA931" s="239">
        <v>0</v>
      </c>
      <c r="AB931" s="239">
        <v>0</v>
      </c>
      <c r="AC931" s="239">
        <v>0</v>
      </c>
      <c r="AD931" s="239">
        <v>1</v>
      </c>
      <c r="AE931" s="239" t="s">
        <v>20</v>
      </c>
      <c r="AF931" s="239" t="s">
        <v>718</v>
      </c>
      <c r="AG931" s="239">
        <f t="shared" si="72"/>
        <v>0</v>
      </c>
      <c r="AH931" s="239">
        <f t="shared" si="73"/>
        <v>0</v>
      </c>
      <c r="AI931" s="239">
        <f t="shared" si="74"/>
        <v>0</v>
      </c>
      <c r="AJ931" s="239">
        <f t="shared" si="75"/>
        <v>0</v>
      </c>
    </row>
    <row r="932" spans="1:36" x14ac:dyDescent="0.2">
      <c r="A932" s="240" t="str">
        <f t="shared" si="76"/>
        <v>39HTNMCLBHLGTV50</v>
      </c>
      <c r="B932" s="239" t="s">
        <v>265</v>
      </c>
      <c r="C932" s="239" t="s">
        <v>20</v>
      </c>
      <c r="D932" s="239" t="s">
        <v>165</v>
      </c>
      <c r="E932" s="239" t="s">
        <v>723</v>
      </c>
      <c r="F932" s="239" t="s">
        <v>176</v>
      </c>
      <c r="G932" s="239">
        <v>50</v>
      </c>
      <c r="H932" s="239" t="s">
        <v>928</v>
      </c>
      <c r="I932" s="239" t="s">
        <v>2707</v>
      </c>
      <c r="J932" s="239" t="s">
        <v>928</v>
      </c>
      <c r="K932" s="239" t="s">
        <v>2398</v>
      </c>
      <c r="L932" s="239">
        <v>115.14388</v>
      </c>
      <c r="M932" s="239">
        <v>93</v>
      </c>
      <c r="N932" s="239">
        <v>0</v>
      </c>
      <c r="O932" s="239">
        <v>0</v>
      </c>
      <c r="P932" s="239">
        <v>0</v>
      </c>
      <c r="Q932" s="239">
        <v>0</v>
      </c>
      <c r="R932" s="239">
        <v>0</v>
      </c>
      <c r="S932" s="239">
        <v>0</v>
      </c>
      <c r="T932" s="239">
        <v>10.535</v>
      </c>
      <c r="U932" s="239">
        <v>0.996</v>
      </c>
      <c r="V932" s="239">
        <v>3.05748</v>
      </c>
      <c r="W932" s="239">
        <v>40.464399999999998</v>
      </c>
      <c r="X932" s="239">
        <v>0</v>
      </c>
      <c r="Y932" s="239">
        <v>0</v>
      </c>
      <c r="Z932" s="239">
        <v>60.091000000000001</v>
      </c>
      <c r="AA932" s="239">
        <v>0</v>
      </c>
      <c r="AB932" s="239">
        <v>0</v>
      </c>
      <c r="AC932" s="239">
        <v>0</v>
      </c>
      <c r="AD932" s="239">
        <v>1</v>
      </c>
      <c r="AE932" s="239" t="s">
        <v>20</v>
      </c>
      <c r="AF932" s="239" t="s">
        <v>718</v>
      </c>
      <c r="AG932" s="239">
        <f t="shared" si="72"/>
        <v>0</v>
      </c>
      <c r="AH932" s="239">
        <f t="shared" si="73"/>
        <v>0</v>
      </c>
      <c r="AI932" s="239">
        <f t="shared" si="74"/>
        <v>0</v>
      </c>
      <c r="AJ932" s="239">
        <f t="shared" si="75"/>
        <v>0</v>
      </c>
    </row>
    <row r="933" spans="1:36" x14ac:dyDescent="0.2">
      <c r="A933" s="240" t="str">
        <f t="shared" si="76"/>
        <v>3S7TNMCP270440</v>
      </c>
      <c r="B933" s="239" t="s">
        <v>265</v>
      </c>
      <c r="C933" s="239" t="s">
        <v>20</v>
      </c>
      <c r="D933" s="239" t="s">
        <v>2600</v>
      </c>
      <c r="E933" s="239" t="s">
        <v>2601</v>
      </c>
      <c r="F933" s="239" t="s">
        <v>2708</v>
      </c>
      <c r="G933" s="239">
        <v>40</v>
      </c>
      <c r="H933" s="239" t="s">
        <v>928</v>
      </c>
      <c r="I933" s="239" t="s">
        <v>2709</v>
      </c>
      <c r="J933" s="239" t="s">
        <v>928</v>
      </c>
      <c r="K933" s="239" t="s">
        <v>2398</v>
      </c>
      <c r="L933" s="239">
        <v>9677.4108699999997</v>
      </c>
      <c r="M933" s="239">
        <v>85</v>
      </c>
      <c r="N933" s="239">
        <v>0</v>
      </c>
      <c r="O933" s="239">
        <v>5608.4548199999999</v>
      </c>
      <c r="P933" s="239">
        <v>0</v>
      </c>
      <c r="Q933" s="239">
        <v>0</v>
      </c>
      <c r="R933" s="239">
        <v>0</v>
      </c>
      <c r="S933" s="239">
        <v>0</v>
      </c>
      <c r="T933" s="239">
        <v>112</v>
      </c>
      <c r="U933" s="239">
        <v>161</v>
      </c>
      <c r="V933" s="239">
        <v>338.05606</v>
      </c>
      <c r="W933" s="239">
        <v>500.22800000000001</v>
      </c>
      <c r="X933" s="239">
        <v>193.88235</v>
      </c>
      <c r="Y933" s="239">
        <v>0</v>
      </c>
      <c r="Z933" s="239">
        <v>2263.5043900000001</v>
      </c>
      <c r="AA933" s="239">
        <v>0</v>
      </c>
      <c r="AB933" s="239">
        <v>500.28525000000002</v>
      </c>
      <c r="AC933" s="239">
        <v>0</v>
      </c>
      <c r="AD933" s="239">
        <v>1</v>
      </c>
      <c r="AE933" s="239" t="s">
        <v>20</v>
      </c>
      <c r="AF933" s="239" t="s">
        <v>718</v>
      </c>
      <c r="AG933" s="239">
        <f t="shared" si="72"/>
        <v>4767.1865969999999</v>
      </c>
      <c r="AH933" s="239">
        <f t="shared" si="73"/>
        <v>0</v>
      </c>
      <c r="AI933" s="239">
        <f t="shared" si="74"/>
        <v>425.24246250000004</v>
      </c>
      <c r="AJ933" s="239">
        <f t="shared" si="75"/>
        <v>5192.4290595000002</v>
      </c>
    </row>
    <row r="934" spans="1:36" x14ac:dyDescent="0.2">
      <c r="A934" s="240" t="str">
        <f t="shared" si="76"/>
        <v>TNMCP270440</v>
      </c>
      <c r="B934" s="239" t="s">
        <v>265</v>
      </c>
      <c r="C934" s="239" t="s">
        <v>20</v>
      </c>
      <c r="D934" s="239" t="s">
        <v>2600</v>
      </c>
      <c r="E934" s="239" t="s">
        <v>2601</v>
      </c>
      <c r="F934" s="239" t="s">
        <v>2708</v>
      </c>
      <c r="G934" s="239">
        <v>40</v>
      </c>
      <c r="H934" s="239" t="s">
        <v>928</v>
      </c>
      <c r="I934" s="239" t="s">
        <v>928</v>
      </c>
      <c r="J934" s="239" t="s">
        <v>928</v>
      </c>
      <c r="K934" s="239" t="s">
        <v>2398</v>
      </c>
      <c r="L934" s="239">
        <v>9677.4476900000009</v>
      </c>
      <c r="M934" s="239">
        <v>85</v>
      </c>
      <c r="N934" s="239">
        <v>0</v>
      </c>
      <c r="O934" s="239">
        <v>5608.4518799999996</v>
      </c>
      <c r="P934" s="239">
        <v>0</v>
      </c>
      <c r="Q934" s="239">
        <v>0</v>
      </c>
      <c r="R934" s="239">
        <v>0</v>
      </c>
      <c r="S934" s="239">
        <v>0</v>
      </c>
      <c r="T934" s="239">
        <v>112.00837</v>
      </c>
      <c r="U934" s="239">
        <v>161.00417999999999</v>
      </c>
      <c r="V934" s="239">
        <v>338.07531</v>
      </c>
      <c r="W934" s="239">
        <v>500.20920999999998</v>
      </c>
      <c r="X934" s="239">
        <v>193.89121</v>
      </c>
      <c r="Y934" s="239">
        <v>0</v>
      </c>
      <c r="Z934" s="239">
        <v>2263.5146399999999</v>
      </c>
      <c r="AA934" s="239">
        <v>0</v>
      </c>
      <c r="AB934" s="239">
        <v>500.29289</v>
      </c>
      <c r="AC934" s="239">
        <v>0</v>
      </c>
      <c r="AD934" s="239">
        <v>1</v>
      </c>
      <c r="AE934" s="239" t="s">
        <v>20</v>
      </c>
      <c r="AF934" s="239" t="s">
        <v>718</v>
      </c>
      <c r="AG934" s="239">
        <f t="shared" si="72"/>
        <v>4767.1840979999997</v>
      </c>
      <c r="AH934" s="239">
        <f t="shared" si="73"/>
        <v>0</v>
      </c>
      <c r="AI934" s="239">
        <f t="shared" si="74"/>
        <v>425.24895649999996</v>
      </c>
      <c r="AJ934" s="239">
        <f t="shared" si="75"/>
        <v>5192.4330544999993</v>
      </c>
    </row>
    <row r="935" spans="1:36" x14ac:dyDescent="0.2">
      <c r="A935" s="240" t="str">
        <f t="shared" si="76"/>
        <v>3STNMCP275525</v>
      </c>
      <c r="B935" s="239" t="s">
        <v>265</v>
      </c>
      <c r="C935" s="239" t="s">
        <v>20</v>
      </c>
      <c r="D935" s="239" t="s">
        <v>2600</v>
      </c>
      <c r="E935" s="239" t="s">
        <v>2601</v>
      </c>
      <c r="F935" s="239" t="s">
        <v>2710</v>
      </c>
      <c r="G935" s="239">
        <v>25</v>
      </c>
      <c r="H935" s="239" t="s">
        <v>928</v>
      </c>
      <c r="I935" s="239" t="s">
        <v>2605</v>
      </c>
      <c r="J935" s="239" t="s">
        <v>928</v>
      </c>
      <c r="K935" s="239" t="s">
        <v>2398</v>
      </c>
      <c r="L935" s="239">
        <v>10768.68448</v>
      </c>
      <c r="M935" s="239">
        <v>85</v>
      </c>
      <c r="N935" s="239">
        <v>0</v>
      </c>
      <c r="O935" s="239">
        <v>3218.5072100000002</v>
      </c>
      <c r="P935" s="239">
        <v>0</v>
      </c>
      <c r="Q935" s="239">
        <v>0</v>
      </c>
      <c r="R935" s="239">
        <v>0</v>
      </c>
      <c r="S935" s="239">
        <v>0</v>
      </c>
      <c r="T935" s="239">
        <v>1506</v>
      </c>
      <c r="U935" s="239">
        <v>139</v>
      </c>
      <c r="V935" s="239">
        <v>201.70670000000001</v>
      </c>
      <c r="W935" s="239">
        <v>1267.0476200000001</v>
      </c>
      <c r="X935" s="239">
        <v>118.44118</v>
      </c>
      <c r="Y935" s="239">
        <v>0</v>
      </c>
      <c r="Z935" s="239">
        <v>3849.29664</v>
      </c>
      <c r="AA935" s="239">
        <v>0</v>
      </c>
      <c r="AB935" s="239">
        <v>468.68513000000002</v>
      </c>
      <c r="AC935" s="239">
        <v>0</v>
      </c>
      <c r="AD935" s="239">
        <v>1</v>
      </c>
      <c r="AE935" s="239" t="s">
        <v>20</v>
      </c>
      <c r="AF935" s="239" t="s">
        <v>718</v>
      </c>
      <c r="AG935" s="239">
        <f t="shared" si="72"/>
        <v>2735.7311285000005</v>
      </c>
      <c r="AH935" s="239">
        <f t="shared" si="73"/>
        <v>0</v>
      </c>
      <c r="AI935" s="239">
        <f t="shared" si="74"/>
        <v>398.3823605</v>
      </c>
      <c r="AJ935" s="239">
        <f t="shared" si="75"/>
        <v>3134.1134890000003</v>
      </c>
    </row>
    <row r="936" spans="1:36" x14ac:dyDescent="0.2">
      <c r="A936" s="240" t="str">
        <f t="shared" si="76"/>
        <v>TNMCP275525</v>
      </c>
      <c r="B936" s="239" t="s">
        <v>265</v>
      </c>
      <c r="C936" s="239" t="s">
        <v>20</v>
      </c>
      <c r="D936" s="239" t="s">
        <v>2600</v>
      </c>
      <c r="E936" s="239" t="s">
        <v>2601</v>
      </c>
      <c r="F936" s="239" t="s">
        <v>2710</v>
      </c>
      <c r="G936" s="239">
        <v>25</v>
      </c>
      <c r="H936" s="239" t="s">
        <v>928</v>
      </c>
      <c r="I936" s="239" t="s">
        <v>928</v>
      </c>
      <c r="J936" s="239" t="s">
        <v>928</v>
      </c>
      <c r="K936" s="239" t="s">
        <v>2398</v>
      </c>
      <c r="L936" s="239">
        <v>10768.68347</v>
      </c>
      <c r="M936" s="239">
        <v>85</v>
      </c>
      <c r="N936" s="239">
        <v>0</v>
      </c>
      <c r="O936" s="239">
        <v>3218.5084000000002</v>
      </c>
      <c r="P936" s="239">
        <v>0</v>
      </c>
      <c r="Q936" s="239">
        <v>0</v>
      </c>
      <c r="R936" s="239">
        <v>0</v>
      </c>
      <c r="S936" s="239">
        <v>0</v>
      </c>
      <c r="T936" s="239">
        <v>1506.0014000000001</v>
      </c>
      <c r="U936" s="239">
        <v>138.99860000000001</v>
      </c>
      <c r="V936" s="239">
        <v>201.70518000000001</v>
      </c>
      <c r="W936" s="239">
        <v>1267.0483200000001</v>
      </c>
      <c r="X936" s="239">
        <v>118.44188</v>
      </c>
      <c r="Y936" s="239">
        <v>0</v>
      </c>
      <c r="Z936" s="239">
        <v>3849.2962200000002</v>
      </c>
      <c r="AA936" s="239">
        <v>0</v>
      </c>
      <c r="AB936" s="239">
        <v>468.68347</v>
      </c>
      <c r="AC936" s="239">
        <v>0</v>
      </c>
      <c r="AD936" s="239">
        <v>1</v>
      </c>
      <c r="AE936" s="239" t="s">
        <v>20</v>
      </c>
      <c r="AF936" s="239" t="s">
        <v>718</v>
      </c>
      <c r="AG936" s="239">
        <f t="shared" si="72"/>
        <v>2735.7321400000005</v>
      </c>
      <c r="AH936" s="239">
        <f t="shared" si="73"/>
        <v>0</v>
      </c>
      <c r="AI936" s="239">
        <f t="shared" si="74"/>
        <v>398.38094949999999</v>
      </c>
      <c r="AJ936" s="239">
        <f t="shared" si="75"/>
        <v>3134.1130895000006</v>
      </c>
    </row>
    <row r="937" spans="1:36" x14ac:dyDescent="0.2">
      <c r="A937" s="240" t="str">
        <f t="shared" si="76"/>
        <v>3STNMCP2803EZ40</v>
      </c>
      <c r="B937" s="239" t="s">
        <v>265</v>
      </c>
      <c r="C937" s="239" t="s">
        <v>20</v>
      </c>
      <c r="D937" s="239" t="s">
        <v>2600</v>
      </c>
      <c r="E937" s="239" t="s">
        <v>2601</v>
      </c>
      <c r="F937" s="239" t="s">
        <v>2606</v>
      </c>
      <c r="G937" s="239">
        <v>40</v>
      </c>
      <c r="H937" s="239" t="s">
        <v>928</v>
      </c>
      <c r="I937" s="239" t="s">
        <v>2605</v>
      </c>
      <c r="J937" s="239" t="s">
        <v>928</v>
      </c>
      <c r="K937" s="239" t="s">
        <v>2398</v>
      </c>
      <c r="L937" s="239">
        <v>10314.515230000001</v>
      </c>
      <c r="M937" s="239">
        <v>90</v>
      </c>
      <c r="N937" s="239">
        <v>0</v>
      </c>
      <c r="O937" s="239">
        <v>7209.5479999999998</v>
      </c>
      <c r="P937" s="239">
        <v>0</v>
      </c>
      <c r="Q937" s="239">
        <v>0</v>
      </c>
      <c r="R937" s="239">
        <v>0</v>
      </c>
      <c r="S937" s="239">
        <v>0</v>
      </c>
      <c r="T937" s="239">
        <v>108</v>
      </c>
      <c r="U937" s="239">
        <v>163</v>
      </c>
      <c r="V937" s="239">
        <v>192.93467999999999</v>
      </c>
      <c r="W937" s="239">
        <v>219.55944</v>
      </c>
      <c r="X937" s="239">
        <v>183.11111</v>
      </c>
      <c r="Y937" s="239">
        <v>0</v>
      </c>
      <c r="Z937" s="239">
        <v>1256.0108700000001</v>
      </c>
      <c r="AA937" s="239">
        <v>0</v>
      </c>
      <c r="AB937" s="239">
        <v>982.35113000000001</v>
      </c>
      <c r="AC937" s="239">
        <v>0</v>
      </c>
      <c r="AD937" s="239">
        <v>1</v>
      </c>
      <c r="AE937" s="239" t="s">
        <v>20</v>
      </c>
      <c r="AF937" s="239" t="s">
        <v>718</v>
      </c>
      <c r="AG937" s="239">
        <f t="shared" si="72"/>
        <v>6488.5931999999993</v>
      </c>
      <c r="AH937" s="239">
        <f t="shared" si="73"/>
        <v>0</v>
      </c>
      <c r="AI937" s="239">
        <f t="shared" si="74"/>
        <v>884.11601699999994</v>
      </c>
      <c r="AJ937" s="239">
        <f t="shared" si="75"/>
        <v>7372.7092169999996</v>
      </c>
    </row>
    <row r="938" spans="1:36" x14ac:dyDescent="0.2">
      <c r="A938" s="240" t="str">
        <f t="shared" si="76"/>
        <v>TNMCP2803EZ40</v>
      </c>
      <c r="B938" s="239" t="s">
        <v>265</v>
      </c>
      <c r="C938" s="239" t="s">
        <v>20</v>
      </c>
      <c r="D938" s="239" t="s">
        <v>2600</v>
      </c>
      <c r="E938" s="239" t="s">
        <v>2601</v>
      </c>
      <c r="F938" s="239" t="s">
        <v>2606</v>
      </c>
      <c r="G938" s="239">
        <v>40</v>
      </c>
      <c r="H938" s="239" t="s">
        <v>928</v>
      </c>
      <c r="I938" s="239" t="s">
        <v>928</v>
      </c>
      <c r="J938" s="239" t="s">
        <v>928</v>
      </c>
      <c r="K938" s="239" t="s">
        <v>2398</v>
      </c>
      <c r="L938" s="239">
        <v>10314.481379999999</v>
      </c>
      <c r="M938" s="239">
        <v>90</v>
      </c>
      <c r="N938" s="239">
        <v>0</v>
      </c>
      <c r="O938" s="239">
        <v>7209.5478700000003</v>
      </c>
      <c r="P938" s="239">
        <v>0</v>
      </c>
      <c r="Q938" s="239">
        <v>0</v>
      </c>
      <c r="R938" s="239">
        <v>0</v>
      </c>
      <c r="S938" s="239">
        <v>0</v>
      </c>
      <c r="T938" s="239">
        <v>108.00532</v>
      </c>
      <c r="U938" s="239">
        <v>163.00532000000001</v>
      </c>
      <c r="V938" s="239">
        <v>192.92553000000001</v>
      </c>
      <c r="W938" s="239">
        <v>219.53457</v>
      </c>
      <c r="X938" s="239">
        <v>183.11170000000001</v>
      </c>
      <c r="Y938" s="239">
        <v>0</v>
      </c>
      <c r="Z938" s="239">
        <v>1256.01064</v>
      </c>
      <c r="AA938" s="239">
        <v>0</v>
      </c>
      <c r="AB938" s="239">
        <v>982.34042999999997</v>
      </c>
      <c r="AC938" s="239">
        <v>0</v>
      </c>
      <c r="AD938" s="239">
        <v>1</v>
      </c>
      <c r="AE938" s="239" t="s">
        <v>20</v>
      </c>
      <c r="AF938" s="239" t="s">
        <v>718</v>
      </c>
      <c r="AG938" s="239">
        <f t="shared" si="72"/>
        <v>6488.5930830000007</v>
      </c>
      <c r="AH938" s="239">
        <f t="shared" si="73"/>
        <v>0</v>
      </c>
      <c r="AI938" s="239">
        <f t="shared" si="74"/>
        <v>884.10638699999993</v>
      </c>
      <c r="AJ938" s="239">
        <f t="shared" si="75"/>
        <v>7372.6994700000005</v>
      </c>
    </row>
    <row r="939" spans="1:36" x14ac:dyDescent="0.2">
      <c r="A939" s="240" t="str">
        <f t="shared" si="76"/>
        <v>39CTNMLBMNKKCT25</v>
      </c>
      <c r="B939" s="239" t="s">
        <v>265</v>
      </c>
      <c r="C939" s="239" t="s">
        <v>20</v>
      </c>
      <c r="D939" s="239" t="s">
        <v>205</v>
      </c>
      <c r="E939" s="239" t="s">
        <v>724</v>
      </c>
      <c r="F939" s="239" t="s">
        <v>2711</v>
      </c>
      <c r="G939" s="239">
        <v>25</v>
      </c>
      <c r="H939" s="239" t="s">
        <v>928</v>
      </c>
      <c r="I939" s="239" t="s">
        <v>2712</v>
      </c>
      <c r="J939" s="239" t="s">
        <v>928</v>
      </c>
      <c r="K939" s="239" t="s">
        <v>2398</v>
      </c>
      <c r="L939" s="239">
        <v>37.645960000000002</v>
      </c>
      <c r="M939" s="239">
        <v>90</v>
      </c>
      <c r="N939" s="239">
        <v>0</v>
      </c>
      <c r="O939" s="239">
        <v>0</v>
      </c>
      <c r="P939" s="239">
        <v>0</v>
      </c>
      <c r="Q939" s="239">
        <v>0</v>
      </c>
      <c r="R939" s="239">
        <v>0</v>
      </c>
      <c r="S939" s="239">
        <v>0</v>
      </c>
      <c r="T939" s="239">
        <v>5.3949999999999996</v>
      </c>
      <c r="U939" s="239">
        <v>1.752</v>
      </c>
      <c r="V939" s="239">
        <v>5.0270000000000002E-2</v>
      </c>
      <c r="W939" s="239">
        <v>0.12816</v>
      </c>
      <c r="X939" s="239">
        <v>0</v>
      </c>
      <c r="Y939" s="239">
        <v>0</v>
      </c>
      <c r="Z939" s="239">
        <v>30.320530000000002</v>
      </c>
      <c r="AA939" s="239">
        <v>0</v>
      </c>
      <c r="AB939" s="239">
        <v>0</v>
      </c>
      <c r="AC939" s="239">
        <v>0</v>
      </c>
      <c r="AD939" s="239">
        <v>1</v>
      </c>
      <c r="AE939" s="239" t="s">
        <v>20</v>
      </c>
      <c r="AF939" s="239" t="s">
        <v>718</v>
      </c>
      <c r="AG939" s="239">
        <f t="shared" si="72"/>
        <v>0</v>
      </c>
      <c r="AH939" s="239">
        <f t="shared" si="73"/>
        <v>0</v>
      </c>
      <c r="AI939" s="239">
        <f t="shared" si="74"/>
        <v>0</v>
      </c>
      <c r="AJ939" s="239">
        <f t="shared" si="75"/>
        <v>0</v>
      </c>
    </row>
    <row r="940" spans="1:36" x14ac:dyDescent="0.2">
      <c r="A940" s="240" t="str">
        <f t="shared" si="76"/>
        <v>39CTNMLBMNKKCT50</v>
      </c>
      <c r="B940" s="239" t="s">
        <v>265</v>
      </c>
      <c r="C940" s="239" t="s">
        <v>20</v>
      </c>
      <c r="D940" s="239" t="s">
        <v>205</v>
      </c>
      <c r="E940" s="239" t="s">
        <v>724</v>
      </c>
      <c r="F940" s="239" t="s">
        <v>2711</v>
      </c>
      <c r="G940" s="239">
        <v>50</v>
      </c>
      <c r="H940" s="239" t="s">
        <v>928</v>
      </c>
      <c r="I940" s="239" t="s">
        <v>2712</v>
      </c>
      <c r="J940" s="239" t="s">
        <v>928</v>
      </c>
      <c r="K940" s="239" t="s">
        <v>2398</v>
      </c>
      <c r="L940" s="239">
        <v>37.645960000000002</v>
      </c>
      <c r="M940" s="239">
        <v>90</v>
      </c>
      <c r="N940" s="239">
        <v>0</v>
      </c>
      <c r="O940" s="239">
        <v>0</v>
      </c>
      <c r="P940" s="239">
        <v>0</v>
      </c>
      <c r="Q940" s="239">
        <v>0</v>
      </c>
      <c r="R940" s="239">
        <v>0</v>
      </c>
      <c r="S940" s="239">
        <v>0</v>
      </c>
      <c r="T940" s="239">
        <v>5.3949999999999996</v>
      </c>
      <c r="U940" s="239">
        <v>1.752</v>
      </c>
      <c r="V940" s="239">
        <v>5.0270000000000002E-2</v>
      </c>
      <c r="W940" s="239">
        <v>0.12816</v>
      </c>
      <c r="X940" s="239">
        <v>0</v>
      </c>
      <c r="Y940" s="239">
        <v>0</v>
      </c>
      <c r="Z940" s="239">
        <v>30.320530000000002</v>
      </c>
      <c r="AA940" s="239">
        <v>0</v>
      </c>
      <c r="AB940" s="239">
        <v>0</v>
      </c>
      <c r="AC940" s="239">
        <v>0</v>
      </c>
      <c r="AD940" s="239">
        <v>1</v>
      </c>
      <c r="AE940" s="239" t="s">
        <v>20</v>
      </c>
      <c r="AF940" s="239" t="s">
        <v>718</v>
      </c>
      <c r="AG940" s="239">
        <f t="shared" si="72"/>
        <v>0</v>
      </c>
      <c r="AH940" s="239">
        <f t="shared" si="73"/>
        <v>0</v>
      </c>
      <c r="AI940" s="239">
        <f t="shared" si="74"/>
        <v>0</v>
      </c>
      <c r="AJ940" s="239">
        <f t="shared" si="75"/>
        <v>0</v>
      </c>
    </row>
    <row r="941" spans="1:36" x14ac:dyDescent="0.2">
      <c r="A941" s="240" t="str">
        <f t="shared" si="76"/>
        <v>39CTNMLBMNMKTT25</v>
      </c>
      <c r="B941" s="239" t="s">
        <v>265</v>
      </c>
      <c r="C941" s="239" t="s">
        <v>20</v>
      </c>
      <c r="D941" s="239" t="s">
        <v>205</v>
      </c>
      <c r="E941" s="239" t="s">
        <v>724</v>
      </c>
      <c r="F941" s="239" t="s">
        <v>2713</v>
      </c>
      <c r="G941" s="239">
        <v>25</v>
      </c>
      <c r="H941" s="239" t="s">
        <v>928</v>
      </c>
      <c r="I941" s="239" t="s">
        <v>2712</v>
      </c>
      <c r="J941" s="239" t="s">
        <v>928</v>
      </c>
      <c r="K941" s="239" t="s">
        <v>2398</v>
      </c>
      <c r="L941" s="239">
        <v>37.479990000000001</v>
      </c>
      <c r="M941" s="239">
        <v>90</v>
      </c>
      <c r="N941" s="239">
        <v>0</v>
      </c>
      <c r="O941" s="239">
        <v>0</v>
      </c>
      <c r="P941" s="239">
        <v>0</v>
      </c>
      <c r="Q941" s="239">
        <v>0</v>
      </c>
      <c r="R941" s="239">
        <v>0</v>
      </c>
      <c r="S941" s="239">
        <v>0</v>
      </c>
      <c r="T941" s="239">
        <v>5.3949999999999996</v>
      </c>
      <c r="U941" s="239">
        <v>1.752</v>
      </c>
      <c r="V941" s="239">
        <v>1.6760000000000001E-2</v>
      </c>
      <c r="W941" s="239">
        <v>4.2720000000000001E-2</v>
      </c>
      <c r="X941" s="239">
        <v>0</v>
      </c>
      <c r="Y941" s="239">
        <v>0</v>
      </c>
      <c r="Z941" s="239">
        <v>30.273510000000002</v>
      </c>
      <c r="AA941" s="239">
        <v>0</v>
      </c>
      <c r="AB941" s="239">
        <v>0</v>
      </c>
      <c r="AC941" s="239">
        <v>0</v>
      </c>
      <c r="AD941" s="239">
        <v>1</v>
      </c>
      <c r="AE941" s="239" t="s">
        <v>20</v>
      </c>
      <c r="AF941" s="239" t="s">
        <v>718</v>
      </c>
      <c r="AG941" s="239">
        <f t="shared" si="72"/>
        <v>0</v>
      </c>
      <c r="AH941" s="239">
        <f t="shared" si="73"/>
        <v>0</v>
      </c>
      <c r="AI941" s="239">
        <f t="shared" si="74"/>
        <v>0</v>
      </c>
      <c r="AJ941" s="239">
        <f t="shared" si="75"/>
        <v>0</v>
      </c>
    </row>
    <row r="942" spans="1:36" x14ac:dyDescent="0.2">
      <c r="A942" s="240" t="str">
        <f t="shared" si="76"/>
        <v>39CTNMLBMNMKTT50</v>
      </c>
      <c r="B942" s="239" t="s">
        <v>265</v>
      </c>
      <c r="C942" s="239" t="s">
        <v>20</v>
      </c>
      <c r="D942" s="239" t="s">
        <v>205</v>
      </c>
      <c r="E942" s="239" t="s">
        <v>724</v>
      </c>
      <c r="F942" s="239" t="s">
        <v>2713</v>
      </c>
      <c r="G942" s="239">
        <v>50</v>
      </c>
      <c r="H942" s="239" t="s">
        <v>928</v>
      </c>
      <c r="I942" s="239" t="s">
        <v>2712</v>
      </c>
      <c r="J942" s="239" t="s">
        <v>928</v>
      </c>
      <c r="K942" s="239" t="s">
        <v>2398</v>
      </c>
      <c r="L942" s="239">
        <v>35.238619999999997</v>
      </c>
      <c r="M942" s="239">
        <v>91</v>
      </c>
      <c r="N942" s="239">
        <v>0</v>
      </c>
      <c r="O942" s="239">
        <v>0</v>
      </c>
      <c r="P942" s="239">
        <v>0</v>
      </c>
      <c r="Q942" s="239">
        <v>0</v>
      </c>
      <c r="R942" s="239">
        <v>0</v>
      </c>
      <c r="S942" s="239">
        <v>0</v>
      </c>
      <c r="T942" s="239">
        <v>3.59667</v>
      </c>
      <c r="U942" s="239">
        <v>1.3320000000000001</v>
      </c>
      <c r="V942" s="239">
        <v>5.5849999999999997E-2</v>
      </c>
      <c r="W942" s="239">
        <v>0.1424</v>
      </c>
      <c r="X942" s="239">
        <v>0</v>
      </c>
      <c r="Y942" s="239">
        <v>0</v>
      </c>
      <c r="Z942" s="239">
        <v>30.111699999999999</v>
      </c>
      <c r="AA942" s="239">
        <v>0</v>
      </c>
      <c r="AB942" s="239">
        <v>0</v>
      </c>
      <c r="AC942" s="239">
        <v>0</v>
      </c>
      <c r="AD942" s="239">
        <v>1</v>
      </c>
      <c r="AE942" s="239" t="s">
        <v>20</v>
      </c>
      <c r="AF942" s="239" t="s">
        <v>718</v>
      </c>
      <c r="AG942" s="239">
        <f t="shared" si="72"/>
        <v>0</v>
      </c>
      <c r="AH942" s="239">
        <f t="shared" si="73"/>
        <v>0</v>
      </c>
      <c r="AI942" s="239">
        <f t="shared" si="74"/>
        <v>0</v>
      </c>
      <c r="AJ942" s="239">
        <f t="shared" si="75"/>
        <v>0</v>
      </c>
    </row>
    <row r="943" spans="1:36" x14ac:dyDescent="0.2">
      <c r="A943" s="240" t="str">
        <f t="shared" si="76"/>
        <v>3ATNMPET120012</v>
      </c>
      <c r="B943" s="239" t="s">
        <v>265</v>
      </c>
      <c r="C943" s="239" t="s">
        <v>20</v>
      </c>
      <c r="D943" s="239" t="s">
        <v>2611</v>
      </c>
      <c r="E943" s="239" t="s">
        <v>2612</v>
      </c>
      <c r="F943" s="239" t="s">
        <v>2615</v>
      </c>
      <c r="G943" s="239">
        <v>12</v>
      </c>
      <c r="H943" s="239" t="s">
        <v>928</v>
      </c>
      <c r="I943" s="239" t="s">
        <v>2401</v>
      </c>
      <c r="J943" s="239" t="s">
        <v>928</v>
      </c>
      <c r="K943" s="239" t="s">
        <v>2398</v>
      </c>
      <c r="L943" s="239">
        <v>9157.8992199999993</v>
      </c>
      <c r="M943" s="239">
        <v>84.95</v>
      </c>
      <c r="N943" s="239">
        <v>0</v>
      </c>
      <c r="O943" s="239">
        <v>6886.4037699999999</v>
      </c>
      <c r="P943" s="239">
        <v>0</v>
      </c>
      <c r="Q943" s="239">
        <v>0</v>
      </c>
      <c r="R943" s="239">
        <v>0</v>
      </c>
      <c r="S943" s="239">
        <v>0</v>
      </c>
      <c r="T943" s="239">
        <v>143</v>
      </c>
      <c r="U943" s="239">
        <v>285</v>
      </c>
      <c r="V943" s="239">
        <v>165.02807000000001</v>
      </c>
      <c r="W943" s="239">
        <v>271.36183999999997</v>
      </c>
      <c r="X943" s="239">
        <v>0</v>
      </c>
      <c r="Y943" s="239">
        <v>0</v>
      </c>
      <c r="Z943" s="239">
        <v>1407.10554</v>
      </c>
      <c r="AA943" s="239">
        <v>0</v>
      </c>
      <c r="AB943" s="239">
        <v>0</v>
      </c>
      <c r="AC943" s="239">
        <v>0</v>
      </c>
      <c r="AD943" s="239">
        <v>1</v>
      </c>
      <c r="AE943" s="239" t="s">
        <v>20</v>
      </c>
      <c r="AF943" s="239" t="s">
        <v>718</v>
      </c>
      <c r="AG943" s="239">
        <f t="shared" si="72"/>
        <v>5850.0000026150001</v>
      </c>
      <c r="AH943" s="239">
        <f t="shared" si="73"/>
        <v>0</v>
      </c>
      <c r="AI943" s="239">
        <f t="shared" si="74"/>
        <v>0</v>
      </c>
      <c r="AJ943" s="239">
        <f t="shared" si="75"/>
        <v>5850.0000026150001</v>
      </c>
    </row>
    <row r="944" spans="1:36" x14ac:dyDescent="0.2">
      <c r="A944" s="240" t="str">
        <f t="shared" si="76"/>
        <v>TNMPET120012</v>
      </c>
      <c r="B944" s="239" t="s">
        <v>265</v>
      </c>
      <c r="C944" s="239" t="s">
        <v>20</v>
      </c>
      <c r="D944" s="239" t="s">
        <v>2611</v>
      </c>
      <c r="E944" s="239" t="s">
        <v>2612</v>
      </c>
      <c r="F944" s="239" t="s">
        <v>2615</v>
      </c>
      <c r="G944" s="239">
        <v>12</v>
      </c>
      <c r="H944" s="239" t="s">
        <v>928</v>
      </c>
      <c r="I944" s="239" t="s">
        <v>928</v>
      </c>
      <c r="J944" s="239" t="s">
        <v>928</v>
      </c>
      <c r="K944" s="239" t="s">
        <v>2398</v>
      </c>
      <c r="L944" s="239">
        <v>9157.8987300000008</v>
      </c>
      <c r="M944" s="239">
        <v>84.95</v>
      </c>
      <c r="N944" s="239">
        <v>0</v>
      </c>
      <c r="O944" s="239">
        <v>6886.4045599999999</v>
      </c>
      <c r="P944" s="239">
        <v>0</v>
      </c>
      <c r="Q944" s="239">
        <v>0</v>
      </c>
      <c r="R944" s="239">
        <v>0</v>
      </c>
      <c r="S944" s="239">
        <v>0</v>
      </c>
      <c r="T944" s="239">
        <v>143.00169</v>
      </c>
      <c r="U944" s="239">
        <v>285.00045</v>
      </c>
      <c r="V944" s="239">
        <v>165.02629999999999</v>
      </c>
      <c r="W944" s="239">
        <v>271.36043999999998</v>
      </c>
      <c r="X944" s="239">
        <v>0</v>
      </c>
      <c r="Y944" s="239">
        <v>0</v>
      </c>
      <c r="Z944" s="239">
        <v>1407.10529</v>
      </c>
      <c r="AA944" s="239">
        <v>0</v>
      </c>
      <c r="AB944" s="239">
        <v>0</v>
      </c>
      <c r="AC944" s="239">
        <v>0</v>
      </c>
      <c r="AD944" s="239">
        <v>1</v>
      </c>
      <c r="AE944" s="239" t="s">
        <v>720</v>
      </c>
      <c r="AF944" s="239" t="s">
        <v>721</v>
      </c>
      <c r="AG944" s="239">
        <f t="shared" si="72"/>
        <v>5850.0006737199992</v>
      </c>
      <c r="AH944" s="239">
        <f t="shared" si="73"/>
        <v>0</v>
      </c>
      <c r="AI944" s="239">
        <f t="shared" si="74"/>
        <v>0</v>
      </c>
      <c r="AJ944" s="239">
        <f t="shared" si="75"/>
        <v>5850.0006737199992</v>
      </c>
    </row>
    <row r="945" spans="1:36" x14ac:dyDescent="0.2">
      <c r="A945" s="240" t="str">
        <f t="shared" si="76"/>
        <v>3TYCERANS2711150</v>
      </c>
      <c r="B945" s="239" t="s">
        <v>265</v>
      </c>
      <c r="C945" s="239" t="s">
        <v>28</v>
      </c>
      <c r="D945" s="239" t="s">
        <v>132</v>
      </c>
      <c r="E945" s="239" t="s">
        <v>719</v>
      </c>
      <c r="F945" s="239" t="s">
        <v>2714</v>
      </c>
      <c r="G945" s="239">
        <v>50</v>
      </c>
      <c r="H945" s="239" t="s">
        <v>928</v>
      </c>
      <c r="I945" s="239" t="s">
        <v>2471</v>
      </c>
      <c r="J945" s="239" t="s">
        <v>928</v>
      </c>
      <c r="K945" s="239" t="s">
        <v>2398</v>
      </c>
      <c r="L945" s="239">
        <v>169.88942</v>
      </c>
      <c r="M945" s="239">
        <v>75.8</v>
      </c>
      <c r="N945" s="239">
        <v>0</v>
      </c>
      <c r="O945" s="239">
        <v>0</v>
      </c>
      <c r="P945" s="239">
        <v>0</v>
      </c>
      <c r="Q945" s="239">
        <v>0</v>
      </c>
      <c r="R945" s="239">
        <v>0</v>
      </c>
      <c r="S945" s="239">
        <v>0</v>
      </c>
      <c r="T945" s="239">
        <v>18.78</v>
      </c>
      <c r="U945" s="239">
        <v>38.49841</v>
      </c>
      <c r="V945" s="239">
        <v>4.0281500000000001</v>
      </c>
      <c r="W945" s="239">
        <v>20.73104</v>
      </c>
      <c r="X945" s="239">
        <v>0</v>
      </c>
      <c r="Y945" s="239">
        <v>0</v>
      </c>
      <c r="Z945" s="239">
        <v>87.851820000000004</v>
      </c>
      <c r="AA945" s="239">
        <v>0</v>
      </c>
      <c r="AB945" s="239">
        <v>0</v>
      </c>
      <c r="AC945" s="239">
        <v>0</v>
      </c>
      <c r="AD945" s="239">
        <v>1</v>
      </c>
      <c r="AE945" s="239" t="s">
        <v>720</v>
      </c>
      <c r="AF945" s="239" t="s">
        <v>721</v>
      </c>
      <c r="AG945" s="239">
        <f t="shared" si="72"/>
        <v>0</v>
      </c>
      <c r="AH945" s="239">
        <f t="shared" si="73"/>
        <v>0</v>
      </c>
      <c r="AI945" s="239">
        <f t="shared" si="74"/>
        <v>0</v>
      </c>
      <c r="AJ945" s="239">
        <f t="shared" si="75"/>
        <v>0</v>
      </c>
    </row>
    <row r="946" spans="1:36" x14ac:dyDescent="0.2">
      <c r="A946" s="240" t="str">
        <f t="shared" si="76"/>
        <v>331TYCERANS2711450</v>
      </c>
      <c r="B946" s="239" t="s">
        <v>265</v>
      </c>
      <c r="C946" s="239" t="s">
        <v>28</v>
      </c>
      <c r="D946" s="239" t="s">
        <v>132</v>
      </c>
      <c r="E946" s="239" t="s">
        <v>719</v>
      </c>
      <c r="F946" s="239" t="s">
        <v>2670</v>
      </c>
      <c r="G946" s="239">
        <v>50</v>
      </c>
      <c r="H946" s="239" t="s">
        <v>928</v>
      </c>
      <c r="I946" s="239" t="s">
        <v>2472</v>
      </c>
      <c r="J946" s="239" t="s">
        <v>928</v>
      </c>
      <c r="K946" s="239" t="s">
        <v>2398</v>
      </c>
      <c r="L946" s="239">
        <v>95.298860000000005</v>
      </c>
      <c r="M946" s="239">
        <v>87.3</v>
      </c>
      <c r="N946" s="239">
        <v>0</v>
      </c>
      <c r="O946" s="239">
        <v>0</v>
      </c>
      <c r="P946" s="239">
        <v>0</v>
      </c>
      <c r="Q946" s="239">
        <v>0</v>
      </c>
      <c r="R946" s="239">
        <v>0</v>
      </c>
      <c r="S946" s="239">
        <v>0</v>
      </c>
      <c r="T946" s="239">
        <v>16.05</v>
      </c>
      <c r="U946" s="239">
        <v>4.6654900000000001</v>
      </c>
      <c r="V946" s="239">
        <v>4.0181899999999997</v>
      </c>
      <c r="W946" s="239">
        <v>15.324299999999999</v>
      </c>
      <c r="X946" s="239">
        <v>0</v>
      </c>
      <c r="Y946" s="239">
        <v>0</v>
      </c>
      <c r="Z946" s="239">
        <v>55.240879999999997</v>
      </c>
      <c r="AA946" s="239">
        <v>0</v>
      </c>
      <c r="AB946" s="239">
        <v>0</v>
      </c>
      <c r="AC946" s="239">
        <v>0</v>
      </c>
      <c r="AD946" s="239">
        <v>1</v>
      </c>
      <c r="AE946" s="239" t="s">
        <v>720</v>
      </c>
      <c r="AF946" s="239" t="s">
        <v>721</v>
      </c>
      <c r="AG946" s="239">
        <f t="shared" si="72"/>
        <v>0</v>
      </c>
      <c r="AH946" s="239">
        <f t="shared" si="73"/>
        <v>0</v>
      </c>
      <c r="AI946" s="239">
        <f t="shared" si="74"/>
        <v>0</v>
      </c>
      <c r="AJ946" s="239">
        <f t="shared" si="75"/>
        <v>0</v>
      </c>
    </row>
    <row r="947" spans="1:36" x14ac:dyDescent="0.2">
      <c r="A947" s="240" t="str">
        <f t="shared" si="76"/>
        <v>3TYCERANS2711475</v>
      </c>
      <c r="B947" s="239" t="s">
        <v>265</v>
      </c>
      <c r="C947" s="239" t="s">
        <v>28</v>
      </c>
      <c r="D947" s="239" t="s">
        <v>132</v>
      </c>
      <c r="E947" s="239" t="s">
        <v>719</v>
      </c>
      <c r="F947" s="239" t="s">
        <v>2670</v>
      </c>
      <c r="G947" s="239">
        <v>75</v>
      </c>
      <c r="H947" s="239" t="s">
        <v>928</v>
      </c>
      <c r="I947" s="239" t="s">
        <v>2471</v>
      </c>
      <c r="J947" s="239" t="s">
        <v>928</v>
      </c>
      <c r="K947" s="239" t="s">
        <v>2398</v>
      </c>
      <c r="L947" s="239">
        <v>95.549930000000003</v>
      </c>
      <c r="M947" s="239">
        <v>96</v>
      </c>
      <c r="N947" s="239">
        <v>0</v>
      </c>
      <c r="O947" s="239">
        <v>0</v>
      </c>
      <c r="P947" s="239">
        <v>0</v>
      </c>
      <c r="Q947" s="239">
        <v>0</v>
      </c>
      <c r="R947" s="239">
        <v>0</v>
      </c>
      <c r="S947" s="239">
        <v>0</v>
      </c>
      <c r="T947" s="239">
        <v>14.62</v>
      </c>
      <c r="U947" s="239">
        <v>4.2545599999999997</v>
      </c>
      <c r="V947" s="239">
        <v>4.0193199999999996</v>
      </c>
      <c r="W947" s="239">
        <v>15.784829999999999</v>
      </c>
      <c r="X947" s="239">
        <v>0</v>
      </c>
      <c r="Y947" s="239">
        <v>0</v>
      </c>
      <c r="Z947" s="239">
        <v>56.871220000000001</v>
      </c>
      <c r="AA947" s="239">
        <v>0</v>
      </c>
      <c r="AB947" s="239">
        <v>0</v>
      </c>
      <c r="AC947" s="239">
        <v>0</v>
      </c>
      <c r="AD947" s="239">
        <v>1</v>
      </c>
      <c r="AE947" s="239" t="s">
        <v>720</v>
      </c>
      <c r="AF947" s="239" t="s">
        <v>721</v>
      </c>
      <c r="AG947" s="239">
        <f t="shared" si="72"/>
        <v>0</v>
      </c>
      <c r="AH947" s="239">
        <f t="shared" si="73"/>
        <v>0</v>
      </c>
      <c r="AI947" s="239">
        <f t="shared" si="74"/>
        <v>0</v>
      </c>
      <c r="AJ947" s="239">
        <f t="shared" si="75"/>
        <v>0</v>
      </c>
    </row>
    <row r="948" spans="1:36" x14ac:dyDescent="0.2">
      <c r="A948" s="240" t="str">
        <f t="shared" si="76"/>
        <v>3TYCERANS27114MA75</v>
      </c>
      <c r="B948" s="239" t="s">
        <v>265</v>
      </c>
      <c r="C948" s="239" t="s">
        <v>28</v>
      </c>
      <c r="D948" s="239" t="s">
        <v>132</v>
      </c>
      <c r="E948" s="239" t="s">
        <v>719</v>
      </c>
      <c r="F948" s="239" t="s">
        <v>1437</v>
      </c>
      <c r="G948" s="239">
        <v>75</v>
      </c>
      <c r="H948" s="239" t="s">
        <v>928</v>
      </c>
      <c r="I948" s="239" t="s">
        <v>2471</v>
      </c>
      <c r="J948" s="239" t="s">
        <v>928</v>
      </c>
      <c r="K948" s="239" t="s">
        <v>2398</v>
      </c>
      <c r="L948" s="239">
        <v>97.308390000000003</v>
      </c>
      <c r="M948" s="239">
        <v>93.5</v>
      </c>
      <c r="N948" s="239">
        <v>0</v>
      </c>
      <c r="O948" s="239">
        <v>0</v>
      </c>
      <c r="P948" s="239">
        <v>0</v>
      </c>
      <c r="Q948" s="239">
        <v>0</v>
      </c>
      <c r="R948" s="239">
        <v>0</v>
      </c>
      <c r="S948" s="239">
        <v>0</v>
      </c>
      <c r="T948" s="239">
        <v>16.739999999999998</v>
      </c>
      <c r="U948" s="239">
        <v>5.7119200000000001</v>
      </c>
      <c r="V948" s="239">
        <v>4.01783</v>
      </c>
      <c r="W948" s="239">
        <v>15.225009999999999</v>
      </c>
      <c r="X948" s="239">
        <v>0</v>
      </c>
      <c r="Y948" s="239">
        <v>0</v>
      </c>
      <c r="Z948" s="239">
        <v>55.613630000000001</v>
      </c>
      <c r="AA948" s="239">
        <v>0</v>
      </c>
      <c r="AB948" s="239">
        <v>0</v>
      </c>
      <c r="AC948" s="239">
        <v>0</v>
      </c>
      <c r="AD948" s="239">
        <v>1</v>
      </c>
      <c r="AE948" s="239" t="s">
        <v>720</v>
      </c>
      <c r="AF948" s="239" t="s">
        <v>721</v>
      </c>
      <c r="AG948" s="239">
        <f t="shared" si="72"/>
        <v>0</v>
      </c>
      <c r="AH948" s="239">
        <f t="shared" si="73"/>
        <v>0</v>
      </c>
      <c r="AI948" s="239">
        <f t="shared" si="74"/>
        <v>0</v>
      </c>
      <c r="AJ948" s="239">
        <f t="shared" si="75"/>
        <v>0</v>
      </c>
    </row>
    <row r="949" spans="1:36" x14ac:dyDescent="0.2">
      <c r="A949" s="240" t="str">
        <f t="shared" si="76"/>
        <v>3TYCERANS27114MB75</v>
      </c>
      <c r="B949" s="239" t="s">
        <v>265</v>
      </c>
      <c r="C949" s="239" t="s">
        <v>28</v>
      </c>
      <c r="D949" s="239" t="s">
        <v>132</v>
      </c>
      <c r="E949" s="239" t="s">
        <v>719</v>
      </c>
      <c r="F949" s="239" t="s">
        <v>1521</v>
      </c>
      <c r="G949" s="239">
        <v>75</v>
      </c>
      <c r="H949" s="239" t="s">
        <v>928</v>
      </c>
      <c r="I949" s="239" t="s">
        <v>2471</v>
      </c>
      <c r="J949" s="239" t="s">
        <v>928</v>
      </c>
      <c r="K949" s="239" t="s">
        <v>2398</v>
      </c>
      <c r="L949" s="239">
        <v>91.763289999999998</v>
      </c>
      <c r="M949" s="239">
        <v>95</v>
      </c>
      <c r="N949" s="239">
        <v>0</v>
      </c>
      <c r="O949" s="239">
        <v>0</v>
      </c>
      <c r="P949" s="239">
        <v>0</v>
      </c>
      <c r="Q949" s="239">
        <v>0</v>
      </c>
      <c r="R949" s="239">
        <v>0</v>
      </c>
      <c r="S949" s="239">
        <v>0</v>
      </c>
      <c r="T949" s="239">
        <v>14.76</v>
      </c>
      <c r="U949" s="239">
        <v>4.2544399999999998</v>
      </c>
      <c r="V949" s="239">
        <v>4.0171900000000003</v>
      </c>
      <c r="W949" s="239">
        <v>14.91822</v>
      </c>
      <c r="X949" s="239">
        <v>0</v>
      </c>
      <c r="Y949" s="239">
        <v>0</v>
      </c>
      <c r="Z949" s="239">
        <v>53.81344</v>
      </c>
      <c r="AA949" s="239">
        <v>0</v>
      </c>
      <c r="AB949" s="239">
        <v>0</v>
      </c>
      <c r="AC949" s="239">
        <v>0</v>
      </c>
      <c r="AD949" s="239">
        <v>1</v>
      </c>
      <c r="AE949" s="239" t="s">
        <v>720</v>
      </c>
      <c r="AF949" s="239" t="s">
        <v>721</v>
      </c>
      <c r="AG949" s="239">
        <f t="shared" si="72"/>
        <v>0</v>
      </c>
      <c r="AH949" s="239">
        <f t="shared" si="73"/>
        <v>0</v>
      </c>
      <c r="AI949" s="239">
        <f t="shared" si="74"/>
        <v>0</v>
      </c>
      <c r="AJ949" s="239">
        <f t="shared" si="75"/>
        <v>0</v>
      </c>
    </row>
    <row r="950" spans="1:36" x14ac:dyDescent="0.2">
      <c r="A950" s="240" t="str">
        <f t="shared" si="76"/>
        <v>3TYCERANS2711875</v>
      </c>
      <c r="B950" s="239" t="s">
        <v>265</v>
      </c>
      <c r="C950" s="239" t="s">
        <v>28</v>
      </c>
      <c r="D950" s="239" t="s">
        <v>132</v>
      </c>
      <c r="E950" s="239" t="s">
        <v>719</v>
      </c>
      <c r="F950" s="239" t="s">
        <v>2715</v>
      </c>
      <c r="G950" s="239">
        <v>75</v>
      </c>
      <c r="H950" s="239" t="s">
        <v>928</v>
      </c>
      <c r="I950" s="239" t="s">
        <v>2471</v>
      </c>
      <c r="J950" s="239" t="s">
        <v>928</v>
      </c>
      <c r="K950" s="239" t="s">
        <v>2398</v>
      </c>
      <c r="L950" s="239">
        <v>100.62448999999999</v>
      </c>
      <c r="M950" s="239">
        <v>95</v>
      </c>
      <c r="N950" s="239">
        <v>0</v>
      </c>
      <c r="O950" s="239">
        <v>0</v>
      </c>
      <c r="P950" s="239">
        <v>0</v>
      </c>
      <c r="Q950" s="239">
        <v>0</v>
      </c>
      <c r="R950" s="239">
        <v>0</v>
      </c>
      <c r="S950" s="239">
        <v>0</v>
      </c>
      <c r="T950" s="239">
        <v>14.76</v>
      </c>
      <c r="U950" s="239">
        <v>6.10372</v>
      </c>
      <c r="V950" s="239">
        <v>4.02088</v>
      </c>
      <c r="W950" s="239">
        <v>16.479330000000001</v>
      </c>
      <c r="X950" s="239">
        <v>0</v>
      </c>
      <c r="Y950" s="239">
        <v>0</v>
      </c>
      <c r="Z950" s="239">
        <v>59.260559999999998</v>
      </c>
      <c r="AA950" s="239">
        <v>0</v>
      </c>
      <c r="AB950" s="239">
        <v>0</v>
      </c>
      <c r="AC950" s="239">
        <v>0</v>
      </c>
      <c r="AD950" s="239">
        <v>1</v>
      </c>
      <c r="AE950" s="239" t="s">
        <v>720</v>
      </c>
      <c r="AF950" s="239" t="s">
        <v>721</v>
      </c>
      <c r="AG950" s="239">
        <f t="shared" si="72"/>
        <v>0</v>
      </c>
      <c r="AH950" s="239">
        <f t="shared" si="73"/>
        <v>0</v>
      </c>
      <c r="AI950" s="239">
        <f t="shared" si="74"/>
        <v>0</v>
      </c>
      <c r="AJ950" s="239">
        <f t="shared" si="75"/>
        <v>0</v>
      </c>
    </row>
    <row r="951" spans="1:36" x14ac:dyDescent="0.2">
      <c r="A951" s="240" t="str">
        <f t="shared" si="76"/>
        <v>331TYCERANS2711875</v>
      </c>
      <c r="B951" s="239" t="s">
        <v>265</v>
      </c>
      <c r="C951" s="239" t="s">
        <v>28</v>
      </c>
      <c r="D951" s="239" t="s">
        <v>132</v>
      </c>
      <c r="E951" s="239" t="s">
        <v>719</v>
      </c>
      <c r="F951" s="239" t="s">
        <v>2715</v>
      </c>
      <c r="G951" s="239">
        <v>75</v>
      </c>
      <c r="H951" s="239" t="s">
        <v>928</v>
      </c>
      <c r="I951" s="239" t="s">
        <v>2472</v>
      </c>
      <c r="J951" s="239" t="s">
        <v>928</v>
      </c>
      <c r="K951" s="239" t="s">
        <v>2398</v>
      </c>
      <c r="L951" s="239">
        <v>96.883200000000002</v>
      </c>
      <c r="M951" s="239">
        <v>95</v>
      </c>
      <c r="N951" s="239">
        <v>0</v>
      </c>
      <c r="O951" s="239">
        <v>0</v>
      </c>
      <c r="P951" s="239">
        <v>0</v>
      </c>
      <c r="Q951" s="239">
        <v>0</v>
      </c>
      <c r="R951" s="239">
        <v>0</v>
      </c>
      <c r="S951" s="239">
        <v>0</v>
      </c>
      <c r="T951" s="239">
        <v>14.76</v>
      </c>
      <c r="U951" s="239">
        <v>6.5332499999999998</v>
      </c>
      <c r="V951" s="239">
        <v>4.0186799999999998</v>
      </c>
      <c r="W951" s="239">
        <v>15.54143</v>
      </c>
      <c r="X951" s="239">
        <v>0</v>
      </c>
      <c r="Y951" s="239">
        <v>0</v>
      </c>
      <c r="Z951" s="239">
        <v>56.02984</v>
      </c>
      <c r="AA951" s="239">
        <v>0</v>
      </c>
      <c r="AB951" s="239">
        <v>0</v>
      </c>
      <c r="AC951" s="239">
        <v>0</v>
      </c>
      <c r="AD951" s="239">
        <v>1</v>
      </c>
      <c r="AE951" s="239" t="s">
        <v>720</v>
      </c>
      <c r="AF951" s="239" t="s">
        <v>721</v>
      </c>
      <c r="AG951" s="239">
        <f t="shared" si="72"/>
        <v>0</v>
      </c>
      <c r="AH951" s="239">
        <f t="shared" si="73"/>
        <v>0</v>
      </c>
      <c r="AI951" s="239">
        <f t="shared" si="74"/>
        <v>0</v>
      </c>
      <c r="AJ951" s="239">
        <f t="shared" si="75"/>
        <v>0</v>
      </c>
    </row>
    <row r="952" spans="1:36" x14ac:dyDescent="0.2">
      <c r="A952" s="240" t="str">
        <f t="shared" si="76"/>
        <v>2TYCF107832C_30</v>
      </c>
      <c r="B952" s="239" t="s">
        <v>265</v>
      </c>
      <c r="C952" s="239" t="s">
        <v>28</v>
      </c>
      <c r="D952" s="239" t="s">
        <v>2481</v>
      </c>
      <c r="E952" s="239" t="s">
        <v>2482</v>
      </c>
      <c r="F952" s="239" t="s">
        <v>2513</v>
      </c>
      <c r="G952" s="239">
        <v>30</v>
      </c>
      <c r="H952" s="239" t="s">
        <v>928</v>
      </c>
      <c r="I952" s="239" t="s">
        <v>2484</v>
      </c>
      <c r="J952" s="239" t="s">
        <v>928</v>
      </c>
      <c r="K952" s="239" t="s">
        <v>2398</v>
      </c>
      <c r="L952" s="239">
        <v>693.36</v>
      </c>
      <c r="M952" s="239">
        <v>0</v>
      </c>
      <c r="N952" s="239">
        <v>0</v>
      </c>
      <c r="O952" s="239">
        <v>0</v>
      </c>
      <c r="P952" s="239">
        <v>0</v>
      </c>
      <c r="Q952" s="239">
        <v>0</v>
      </c>
      <c r="R952" s="239">
        <v>0</v>
      </c>
      <c r="S952" s="239">
        <v>0</v>
      </c>
      <c r="T952" s="239">
        <v>0</v>
      </c>
      <c r="U952" s="239">
        <v>0</v>
      </c>
      <c r="V952" s="239">
        <v>0</v>
      </c>
      <c r="W952" s="239">
        <v>0</v>
      </c>
      <c r="X952" s="239">
        <v>0</v>
      </c>
      <c r="Y952" s="239">
        <v>600.24</v>
      </c>
      <c r="Z952" s="239">
        <v>0</v>
      </c>
      <c r="AA952" s="239">
        <v>0</v>
      </c>
      <c r="AB952" s="239">
        <v>93.12</v>
      </c>
      <c r="AC952" s="239">
        <v>0</v>
      </c>
      <c r="AD952" s="239">
        <v>0</v>
      </c>
      <c r="AE952" s="239" t="s">
        <v>720</v>
      </c>
      <c r="AF952" s="239" t="s">
        <v>721</v>
      </c>
      <c r="AG952" s="239">
        <f t="shared" si="72"/>
        <v>0</v>
      </c>
      <c r="AH952" s="239">
        <f t="shared" si="73"/>
        <v>0</v>
      </c>
      <c r="AI952" s="239">
        <f t="shared" si="74"/>
        <v>0</v>
      </c>
      <c r="AJ952" s="239">
        <f t="shared" si="75"/>
        <v>0</v>
      </c>
    </row>
    <row r="953" spans="1:36" x14ac:dyDescent="0.2">
      <c r="A953" s="240" t="str">
        <f t="shared" si="76"/>
        <v>TYCF107832C_30</v>
      </c>
      <c r="B953" s="239" t="s">
        <v>265</v>
      </c>
      <c r="C953" s="239" t="s">
        <v>28</v>
      </c>
      <c r="D953" s="239" t="s">
        <v>2481</v>
      </c>
      <c r="E953" s="239" t="s">
        <v>2482</v>
      </c>
      <c r="F953" s="239" t="s">
        <v>2513</v>
      </c>
      <c r="G953" s="239">
        <v>30</v>
      </c>
      <c r="H953" s="239" t="s">
        <v>928</v>
      </c>
      <c r="I953" s="239" t="s">
        <v>928</v>
      </c>
      <c r="J953" s="239" t="s">
        <v>928</v>
      </c>
      <c r="K953" s="239" t="s">
        <v>2398</v>
      </c>
      <c r="L953" s="239">
        <v>693.36</v>
      </c>
      <c r="M953" s="239">
        <v>0</v>
      </c>
      <c r="N953" s="239">
        <v>0</v>
      </c>
      <c r="O953" s="239">
        <v>0</v>
      </c>
      <c r="P953" s="239">
        <v>0</v>
      </c>
      <c r="Q953" s="239">
        <v>0</v>
      </c>
      <c r="R953" s="239">
        <v>0</v>
      </c>
      <c r="S953" s="239">
        <v>0</v>
      </c>
      <c r="T953" s="239">
        <v>0</v>
      </c>
      <c r="U953" s="239">
        <v>0</v>
      </c>
      <c r="V953" s="239">
        <v>0</v>
      </c>
      <c r="W953" s="239">
        <v>0</v>
      </c>
      <c r="X953" s="239">
        <v>0</v>
      </c>
      <c r="Y953" s="239">
        <v>600.24</v>
      </c>
      <c r="Z953" s="239">
        <v>0</v>
      </c>
      <c r="AA953" s="239">
        <v>0</v>
      </c>
      <c r="AB953" s="239">
        <v>93.12</v>
      </c>
      <c r="AC953" s="239">
        <v>0</v>
      </c>
      <c r="AD953" s="239">
        <v>0</v>
      </c>
      <c r="AE953" s="239" t="s">
        <v>720</v>
      </c>
      <c r="AF953" s="239" t="s">
        <v>721</v>
      </c>
      <c r="AG953" s="239">
        <f t="shared" si="72"/>
        <v>0</v>
      </c>
      <c r="AH953" s="239">
        <f t="shared" si="73"/>
        <v>0</v>
      </c>
      <c r="AI953" s="239">
        <f t="shared" si="74"/>
        <v>0</v>
      </c>
      <c r="AJ953" s="239">
        <f t="shared" si="75"/>
        <v>0</v>
      </c>
    </row>
    <row r="954" spans="1:36" x14ac:dyDescent="0.2">
      <c r="A954" s="240" t="str">
        <f t="shared" si="76"/>
        <v>2TYCF107A8230</v>
      </c>
      <c r="B954" s="239" t="s">
        <v>265</v>
      </c>
      <c r="C954" s="239" t="s">
        <v>28</v>
      </c>
      <c r="D954" s="239" t="s">
        <v>2481</v>
      </c>
      <c r="E954" s="239" t="s">
        <v>2482</v>
      </c>
      <c r="F954" s="239" t="s">
        <v>2674</v>
      </c>
      <c r="G954" s="239">
        <v>30</v>
      </c>
      <c r="H954" s="239" t="s">
        <v>928</v>
      </c>
      <c r="I954" s="239" t="s">
        <v>2484</v>
      </c>
      <c r="J954" s="239" t="s">
        <v>928</v>
      </c>
      <c r="K954" s="239" t="s">
        <v>2398</v>
      </c>
      <c r="L954" s="239">
        <v>552.92999999999995</v>
      </c>
      <c r="M954" s="239">
        <v>0</v>
      </c>
      <c r="N954" s="239">
        <v>0</v>
      </c>
      <c r="O954" s="239">
        <v>0</v>
      </c>
      <c r="P954" s="239">
        <v>0</v>
      </c>
      <c r="Q954" s="239">
        <v>0</v>
      </c>
      <c r="R954" s="239">
        <v>0</v>
      </c>
      <c r="S954" s="239">
        <v>0</v>
      </c>
      <c r="T954" s="239">
        <v>0</v>
      </c>
      <c r="U954" s="239">
        <v>0</v>
      </c>
      <c r="V954" s="239">
        <v>0</v>
      </c>
      <c r="W954" s="239">
        <v>0</v>
      </c>
      <c r="X954" s="239">
        <v>0</v>
      </c>
      <c r="Y954" s="239">
        <v>434.29</v>
      </c>
      <c r="Z954" s="239">
        <v>0</v>
      </c>
      <c r="AA954" s="239">
        <v>0</v>
      </c>
      <c r="AB954" s="239">
        <v>118.63</v>
      </c>
      <c r="AC954" s="239">
        <v>0</v>
      </c>
      <c r="AD954" s="239">
        <v>0</v>
      </c>
      <c r="AE954" s="239" t="s">
        <v>720</v>
      </c>
      <c r="AF954" s="239" t="s">
        <v>721</v>
      </c>
      <c r="AG954" s="239">
        <f t="shared" si="72"/>
        <v>0</v>
      </c>
      <c r="AH954" s="239">
        <f t="shared" si="73"/>
        <v>0</v>
      </c>
      <c r="AI954" s="239">
        <f t="shared" si="74"/>
        <v>0</v>
      </c>
      <c r="AJ954" s="239">
        <f t="shared" si="75"/>
        <v>0</v>
      </c>
    </row>
    <row r="955" spans="1:36" x14ac:dyDescent="0.2">
      <c r="A955" s="240" t="str">
        <f t="shared" si="76"/>
        <v>TYCF107A8230</v>
      </c>
      <c r="B955" s="239" t="s">
        <v>265</v>
      </c>
      <c r="C955" s="239" t="s">
        <v>28</v>
      </c>
      <c r="D955" s="239" t="s">
        <v>2481</v>
      </c>
      <c r="E955" s="239" t="s">
        <v>2482</v>
      </c>
      <c r="F955" s="239" t="s">
        <v>2674</v>
      </c>
      <c r="G955" s="239">
        <v>30</v>
      </c>
      <c r="H955" s="239" t="s">
        <v>928</v>
      </c>
      <c r="I955" s="239" t="s">
        <v>928</v>
      </c>
      <c r="J955" s="239" t="s">
        <v>928</v>
      </c>
      <c r="K955" s="239" t="s">
        <v>2398</v>
      </c>
      <c r="L955" s="239">
        <v>552.92999999999995</v>
      </c>
      <c r="M955" s="239">
        <v>0</v>
      </c>
      <c r="N955" s="239">
        <v>0</v>
      </c>
      <c r="O955" s="239">
        <v>0</v>
      </c>
      <c r="P955" s="239">
        <v>0</v>
      </c>
      <c r="Q955" s="239">
        <v>0</v>
      </c>
      <c r="R955" s="239">
        <v>0</v>
      </c>
      <c r="S955" s="239">
        <v>0</v>
      </c>
      <c r="T955" s="239">
        <v>0</v>
      </c>
      <c r="U955" s="239">
        <v>0</v>
      </c>
      <c r="V955" s="239">
        <v>0</v>
      </c>
      <c r="W955" s="239">
        <v>0</v>
      </c>
      <c r="X955" s="239">
        <v>0</v>
      </c>
      <c r="Y955" s="239">
        <v>434.29</v>
      </c>
      <c r="Z955" s="239">
        <v>0</v>
      </c>
      <c r="AA955" s="239">
        <v>0</v>
      </c>
      <c r="AB955" s="239">
        <v>118.63</v>
      </c>
      <c r="AC955" s="239">
        <v>0</v>
      </c>
      <c r="AD955" s="239">
        <v>0</v>
      </c>
      <c r="AE955" s="239" t="s">
        <v>720</v>
      </c>
      <c r="AF955" s="239" t="s">
        <v>721</v>
      </c>
      <c r="AG955" s="239">
        <f t="shared" si="72"/>
        <v>0</v>
      </c>
      <c r="AH955" s="239">
        <f t="shared" si="73"/>
        <v>0</v>
      </c>
      <c r="AI955" s="239">
        <f t="shared" si="74"/>
        <v>0</v>
      </c>
      <c r="AJ955" s="239">
        <f t="shared" si="75"/>
        <v>0</v>
      </c>
    </row>
    <row r="956" spans="1:36" x14ac:dyDescent="0.2">
      <c r="A956" s="240" t="str">
        <f t="shared" si="76"/>
        <v>2TYCF10CF588140</v>
      </c>
      <c r="B956" s="239" t="s">
        <v>265</v>
      </c>
      <c r="C956" s="239" t="s">
        <v>28</v>
      </c>
      <c r="D956" s="239" t="s">
        <v>2481</v>
      </c>
      <c r="E956" s="239" t="s">
        <v>2482</v>
      </c>
      <c r="F956" s="239" t="s">
        <v>2677</v>
      </c>
      <c r="G956" s="239">
        <v>140</v>
      </c>
      <c r="H956" s="239" t="s">
        <v>928</v>
      </c>
      <c r="I956" s="239" t="s">
        <v>2484</v>
      </c>
      <c r="J956" s="239" t="s">
        <v>928</v>
      </c>
      <c r="K956" s="239" t="s">
        <v>2398</v>
      </c>
      <c r="L956" s="239">
        <v>728.82</v>
      </c>
      <c r="M956" s="239">
        <v>0</v>
      </c>
      <c r="N956" s="239">
        <v>0</v>
      </c>
      <c r="O956" s="239">
        <v>0</v>
      </c>
      <c r="P956" s="239">
        <v>0</v>
      </c>
      <c r="Q956" s="239">
        <v>0</v>
      </c>
      <c r="R956" s="239">
        <v>0</v>
      </c>
      <c r="S956" s="239">
        <v>0</v>
      </c>
      <c r="T956" s="239">
        <v>0</v>
      </c>
      <c r="U956" s="239">
        <v>0</v>
      </c>
      <c r="V956" s="239">
        <v>0</v>
      </c>
      <c r="W956" s="239">
        <v>0</v>
      </c>
      <c r="X956" s="239">
        <v>0</v>
      </c>
      <c r="Y956" s="239">
        <v>603.02</v>
      </c>
      <c r="Z956" s="239">
        <v>0</v>
      </c>
      <c r="AA956" s="239">
        <v>0</v>
      </c>
      <c r="AB956" s="239">
        <v>125.81</v>
      </c>
      <c r="AC956" s="239">
        <v>0</v>
      </c>
      <c r="AD956" s="239">
        <v>0</v>
      </c>
      <c r="AE956" s="239" t="s">
        <v>720</v>
      </c>
      <c r="AF956" s="239" t="s">
        <v>721</v>
      </c>
      <c r="AG956" s="239">
        <f t="shared" si="72"/>
        <v>0</v>
      </c>
      <c r="AH956" s="239">
        <f t="shared" si="73"/>
        <v>0</v>
      </c>
      <c r="AI956" s="239">
        <f t="shared" si="74"/>
        <v>0</v>
      </c>
      <c r="AJ956" s="239">
        <f t="shared" si="75"/>
        <v>0</v>
      </c>
    </row>
    <row r="957" spans="1:36" x14ac:dyDescent="0.2">
      <c r="A957" s="240" t="str">
        <f t="shared" si="76"/>
        <v>TYCF10CF588140</v>
      </c>
      <c r="B957" s="239" t="s">
        <v>265</v>
      </c>
      <c r="C957" s="239" t="s">
        <v>28</v>
      </c>
      <c r="D957" s="239" t="s">
        <v>2481</v>
      </c>
      <c r="E957" s="239" t="s">
        <v>2482</v>
      </c>
      <c r="F957" s="239" t="s">
        <v>2677</v>
      </c>
      <c r="G957" s="239">
        <v>140</v>
      </c>
      <c r="H957" s="239" t="s">
        <v>928</v>
      </c>
      <c r="I957" s="239" t="s">
        <v>928</v>
      </c>
      <c r="J957" s="239" t="s">
        <v>928</v>
      </c>
      <c r="K957" s="239" t="s">
        <v>2398</v>
      </c>
      <c r="L957" s="239">
        <v>728.82</v>
      </c>
      <c r="M957" s="239">
        <v>0</v>
      </c>
      <c r="N957" s="239">
        <v>0</v>
      </c>
      <c r="O957" s="239">
        <v>0</v>
      </c>
      <c r="P957" s="239">
        <v>0</v>
      </c>
      <c r="Q957" s="239">
        <v>0</v>
      </c>
      <c r="R957" s="239">
        <v>0</v>
      </c>
      <c r="S957" s="239">
        <v>0</v>
      </c>
      <c r="T957" s="239">
        <v>0</v>
      </c>
      <c r="U957" s="239">
        <v>0</v>
      </c>
      <c r="V957" s="239">
        <v>0</v>
      </c>
      <c r="W957" s="239">
        <v>0</v>
      </c>
      <c r="X957" s="239">
        <v>0</v>
      </c>
      <c r="Y957" s="239">
        <v>603.02</v>
      </c>
      <c r="Z957" s="239">
        <v>0</v>
      </c>
      <c r="AA957" s="239">
        <v>0</v>
      </c>
      <c r="AB957" s="239">
        <v>125.81</v>
      </c>
      <c r="AC957" s="239">
        <v>0</v>
      </c>
      <c r="AD957" s="239">
        <v>0</v>
      </c>
      <c r="AE957" s="239" t="s">
        <v>720</v>
      </c>
      <c r="AF957" s="239" t="s">
        <v>721</v>
      </c>
      <c r="AG957" s="239">
        <f t="shared" si="72"/>
        <v>0</v>
      </c>
      <c r="AH957" s="239">
        <f t="shared" si="73"/>
        <v>0</v>
      </c>
      <c r="AI957" s="239">
        <f t="shared" si="74"/>
        <v>0</v>
      </c>
      <c r="AJ957" s="239">
        <f t="shared" si="75"/>
        <v>0</v>
      </c>
    </row>
    <row r="958" spans="1:36" x14ac:dyDescent="0.2">
      <c r="A958" s="240" t="str">
        <f t="shared" si="76"/>
        <v>2TYCF10CF62580</v>
      </c>
      <c r="B958" s="239" t="s">
        <v>265</v>
      </c>
      <c r="C958" s="239" t="s">
        <v>28</v>
      </c>
      <c r="D958" s="239" t="s">
        <v>2481</v>
      </c>
      <c r="E958" s="239" t="s">
        <v>2482</v>
      </c>
      <c r="F958" s="239" t="s">
        <v>2681</v>
      </c>
      <c r="G958" s="239">
        <v>80</v>
      </c>
      <c r="H958" s="239" t="s">
        <v>928</v>
      </c>
      <c r="I958" s="239" t="s">
        <v>2484</v>
      </c>
      <c r="J958" s="239" t="s">
        <v>928</v>
      </c>
      <c r="K958" s="239" t="s">
        <v>2398</v>
      </c>
      <c r="L958" s="239">
        <v>1065.67</v>
      </c>
      <c r="M958" s="239">
        <v>0</v>
      </c>
      <c r="N958" s="239">
        <v>0</v>
      </c>
      <c r="O958" s="239">
        <v>0</v>
      </c>
      <c r="P958" s="239">
        <v>0</v>
      </c>
      <c r="Q958" s="239">
        <v>0</v>
      </c>
      <c r="R958" s="239">
        <v>0</v>
      </c>
      <c r="S958" s="239">
        <v>0</v>
      </c>
      <c r="T958" s="239">
        <v>0</v>
      </c>
      <c r="U958" s="239">
        <v>0</v>
      </c>
      <c r="V958" s="239">
        <v>0</v>
      </c>
      <c r="W958" s="239">
        <v>0</v>
      </c>
      <c r="X958" s="239">
        <v>0</v>
      </c>
      <c r="Y958" s="239">
        <v>907.95</v>
      </c>
      <c r="Z958" s="239">
        <v>0</v>
      </c>
      <c r="AA958" s="239">
        <v>0</v>
      </c>
      <c r="AB958" s="239">
        <v>157.72</v>
      </c>
      <c r="AC958" s="239">
        <v>0</v>
      </c>
      <c r="AD958" s="239">
        <v>0</v>
      </c>
      <c r="AE958" s="239" t="s">
        <v>720</v>
      </c>
      <c r="AF958" s="239" t="s">
        <v>721</v>
      </c>
      <c r="AG958" s="239">
        <f t="shared" si="72"/>
        <v>0</v>
      </c>
      <c r="AH958" s="239">
        <f t="shared" si="73"/>
        <v>0</v>
      </c>
      <c r="AI958" s="239">
        <f t="shared" si="74"/>
        <v>0</v>
      </c>
      <c r="AJ958" s="239">
        <f t="shared" si="75"/>
        <v>0</v>
      </c>
    </row>
    <row r="959" spans="1:36" x14ac:dyDescent="0.2">
      <c r="A959" s="240" t="str">
        <f t="shared" si="76"/>
        <v>TYCF10CF62580</v>
      </c>
      <c r="B959" s="239" t="s">
        <v>265</v>
      </c>
      <c r="C959" s="239" t="s">
        <v>28</v>
      </c>
      <c r="D959" s="239" t="s">
        <v>2481</v>
      </c>
      <c r="E959" s="239" t="s">
        <v>2482</v>
      </c>
      <c r="F959" s="239" t="s">
        <v>2681</v>
      </c>
      <c r="G959" s="239">
        <v>80</v>
      </c>
      <c r="H959" s="239" t="s">
        <v>928</v>
      </c>
      <c r="I959" s="239" t="s">
        <v>928</v>
      </c>
      <c r="J959" s="239" t="s">
        <v>928</v>
      </c>
      <c r="K959" s="239" t="s">
        <v>2398</v>
      </c>
      <c r="L959" s="239">
        <v>1065.67</v>
      </c>
      <c r="M959" s="239">
        <v>0</v>
      </c>
      <c r="N959" s="239">
        <v>0</v>
      </c>
      <c r="O959" s="239">
        <v>0</v>
      </c>
      <c r="P959" s="239">
        <v>0</v>
      </c>
      <c r="Q959" s="239">
        <v>0</v>
      </c>
      <c r="R959" s="239">
        <v>0</v>
      </c>
      <c r="S959" s="239">
        <v>0</v>
      </c>
      <c r="T959" s="239">
        <v>0</v>
      </c>
      <c r="U959" s="239">
        <v>0</v>
      </c>
      <c r="V959" s="239">
        <v>0</v>
      </c>
      <c r="W959" s="239">
        <v>0</v>
      </c>
      <c r="X959" s="239">
        <v>0</v>
      </c>
      <c r="Y959" s="239">
        <v>907.95</v>
      </c>
      <c r="Z959" s="239">
        <v>0</v>
      </c>
      <c r="AA959" s="239">
        <v>0</v>
      </c>
      <c r="AB959" s="239">
        <v>157.72</v>
      </c>
      <c r="AC959" s="239">
        <v>0</v>
      </c>
      <c r="AD959" s="239">
        <v>0</v>
      </c>
      <c r="AE959" s="239" t="s">
        <v>720</v>
      </c>
      <c r="AF959" s="239" t="s">
        <v>721</v>
      </c>
      <c r="AG959" s="239">
        <f t="shared" si="72"/>
        <v>0</v>
      </c>
      <c r="AH959" s="239">
        <f t="shared" si="73"/>
        <v>0</v>
      </c>
      <c r="AI959" s="239">
        <f t="shared" si="74"/>
        <v>0</v>
      </c>
      <c r="AJ959" s="239">
        <f t="shared" si="75"/>
        <v>0</v>
      </c>
    </row>
    <row r="960" spans="1:36" x14ac:dyDescent="0.2">
      <c r="A960" s="240" t="str">
        <f t="shared" si="76"/>
        <v>2TYCF10CF62680</v>
      </c>
      <c r="B960" s="239" t="s">
        <v>265</v>
      </c>
      <c r="C960" s="239" t="s">
        <v>28</v>
      </c>
      <c r="D960" s="239" t="s">
        <v>2481</v>
      </c>
      <c r="E960" s="239" t="s">
        <v>2482</v>
      </c>
      <c r="F960" s="239" t="s">
        <v>2682</v>
      </c>
      <c r="G960" s="239">
        <v>80</v>
      </c>
      <c r="H960" s="239" t="s">
        <v>928</v>
      </c>
      <c r="I960" s="239" t="s">
        <v>2484</v>
      </c>
      <c r="J960" s="239" t="s">
        <v>928</v>
      </c>
      <c r="K960" s="239" t="s">
        <v>2398</v>
      </c>
      <c r="L960" s="239">
        <v>1276.32</v>
      </c>
      <c r="M960" s="239">
        <v>0</v>
      </c>
      <c r="N960" s="239">
        <v>0</v>
      </c>
      <c r="O960" s="239">
        <v>0</v>
      </c>
      <c r="P960" s="239">
        <v>0</v>
      </c>
      <c r="Q960" s="239">
        <v>0</v>
      </c>
      <c r="R960" s="239">
        <v>0</v>
      </c>
      <c r="S960" s="239">
        <v>0</v>
      </c>
      <c r="T960" s="239">
        <v>0</v>
      </c>
      <c r="U960" s="239">
        <v>0</v>
      </c>
      <c r="V960" s="239">
        <v>0</v>
      </c>
      <c r="W960" s="239">
        <v>0</v>
      </c>
      <c r="X960" s="239">
        <v>0</v>
      </c>
      <c r="Y960" s="239">
        <v>1150.7</v>
      </c>
      <c r="Z960" s="239">
        <v>0</v>
      </c>
      <c r="AA960" s="239">
        <v>0</v>
      </c>
      <c r="AB960" s="239">
        <v>125.62</v>
      </c>
      <c r="AC960" s="239">
        <v>0</v>
      </c>
      <c r="AD960" s="239">
        <v>0</v>
      </c>
      <c r="AE960" s="239" t="s">
        <v>720</v>
      </c>
      <c r="AF960" s="239" t="s">
        <v>721</v>
      </c>
      <c r="AG960" s="239">
        <f t="shared" si="72"/>
        <v>0</v>
      </c>
      <c r="AH960" s="239">
        <f t="shared" si="73"/>
        <v>0</v>
      </c>
      <c r="AI960" s="239">
        <f t="shared" si="74"/>
        <v>0</v>
      </c>
      <c r="AJ960" s="239">
        <f t="shared" si="75"/>
        <v>0</v>
      </c>
    </row>
    <row r="961" spans="1:36" x14ac:dyDescent="0.2">
      <c r="A961" s="240" t="str">
        <f t="shared" si="76"/>
        <v>TYCF10CF62680</v>
      </c>
      <c r="B961" s="239" t="s">
        <v>265</v>
      </c>
      <c r="C961" s="239" t="s">
        <v>28</v>
      </c>
      <c r="D961" s="239" t="s">
        <v>2481</v>
      </c>
      <c r="E961" s="239" t="s">
        <v>2482</v>
      </c>
      <c r="F961" s="239" t="s">
        <v>2682</v>
      </c>
      <c r="G961" s="239">
        <v>80</v>
      </c>
      <c r="H961" s="239" t="s">
        <v>928</v>
      </c>
      <c r="I961" s="239" t="s">
        <v>928</v>
      </c>
      <c r="J961" s="239" t="s">
        <v>928</v>
      </c>
      <c r="K961" s="239" t="s">
        <v>2398</v>
      </c>
      <c r="L961" s="239">
        <v>1276.32</v>
      </c>
      <c r="M961" s="239">
        <v>0</v>
      </c>
      <c r="N961" s="239">
        <v>0</v>
      </c>
      <c r="O961" s="239">
        <v>0</v>
      </c>
      <c r="P961" s="239">
        <v>0</v>
      </c>
      <c r="Q961" s="239">
        <v>0</v>
      </c>
      <c r="R961" s="239">
        <v>0</v>
      </c>
      <c r="S961" s="239">
        <v>0</v>
      </c>
      <c r="T961" s="239">
        <v>0</v>
      </c>
      <c r="U961" s="239">
        <v>0</v>
      </c>
      <c r="V961" s="239">
        <v>0</v>
      </c>
      <c r="W961" s="239">
        <v>0</v>
      </c>
      <c r="X961" s="239">
        <v>0</v>
      </c>
      <c r="Y961" s="239">
        <v>1150.7</v>
      </c>
      <c r="Z961" s="239">
        <v>0</v>
      </c>
      <c r="AA961" s="239">
        <v>0</v>
      </c>
      <c r="AB961" s="239">
        <v>125.62</v>
      </c>
      <c r="AC961" s="239">
        <v>0</v>
      </c>
      <c r="AD961" s="239">
        <v>0</v>
      </c>
      <c r="AE961" s="239" t="s">
        <v>720</v>
      </c>
      <c r="AF961" s="239" t="s">
        <v>721</v>
      </c>
      <c r="AG961" s="239">
        <f t="shared" si="72"/>
        <v>0</v>
      </c>
      <c r="AH961" s="239">
        <f t="shared" si="73"/>
        <v>0</v>
      </c>
      <c r="AI961" s="239">
        <f t="shared" si="74"/>
        <v>0</v>
      </c>
      <c r="AJ961" s="239">
        <f t="shared" si="75"/>
        <v>0</v>
      </c>
    </row>
    <row r="962" spans="1:36" x14ac:dyDescent="0.2">
      <c r="A962" s="240" t="str">
        <f t="shared" si="76"/>
        <v>2TYCF10CF633A25</v>
      </c>
      <c r="B962" s="239" t="s">
        <v>265</v>
      </c>
      <c r="C962" s="239" t="s">
        <v>28</v>
      </c>
      <c r="D962" s="239" t="s">
        <v>2481</v>
      </c>
      <c r="E962" s="239" t="s">
        <v>2482</v>
      </c>
      <c r="F962" s="239" t="s">
        <v>2716</v>
      </c>
      <c r="G962" s="239">
        <v>25</v>
      </c>
      <c r="H962" s="239" t="s">
        <v>928</v>
      </c>
      <c r="I962" s="239" t="s">
        <v>2484</v>
      </c>
      <c r="J962" s="239" t="s">
        <v>928</v>
      </c>
      <c r="K962" s="239" t="s">
        <v>2398</v>
      </c>
      <c r="L962" s="239">
        <v>853.32</v>
      </c>
      <c r="M962" s="239">
        <v>0</v>
      </c>
      <c r="N962" s="239">
        <v>0</v>
      </c>
      <c r="O962" s="239">
        <v>0</v>
      </c>
      <c r="P962" s="239">
        <v>0</v>
      </c>
      <c r="Q962" s="239">
        <v>0</v>
      </c>
      <c r="R962" s="239">
        <v>0</v>
      </c>
      <c r="S962" s="239">
        <v>0</v>
      </c>
      <c r="T962" s="239">
        <v>0</v>
      </c>
      <c r="U962" s="239">
        <v>0</v>
      </c>
      <c r="V962" s="239">
        <v>0</v>
      </c>
      <c r="W962" s="239">
        <v>0</v>
      </c>
      <c r="X962" s="239">
        <v>0</v>
      </c>
      <c r="Y962" s="239">
        <v>741.62</v>
      </c>
      <c r="Z962" s="239">
        <v>0</v>
      </c>
      <c r="AA962" s="239">
        <v>0</v>
      </c>
      <c r="AB962" s="239">
        <v>111.7</v>
      </c>
      <c r="AC962" s="239">
        <v>0</v>
      </c>
      <c r="AD962" s="239">
        <v>0</v>
      </c>
      <c r="AE962" s="239" t="s">
        <v>720</v>
      </c>
      <c r="AF962" s="239" t="s">
        <v>721</v>
      </c>
      <c r="AG962" s="239">
        <f t="shared" si="72"/>
        <v>0</v>
      </c>
      <c r="AH962" s="239">
        <f t="shared" si="73"/>
        <v>0</v>
      </c>
      <c r="AI962" s="239">
        <f t="shared" si="74"/>
        <v>0</v>
      </c>
      <c r="AJ962" s="239">
        <f t="shared" si="75"/>
        <v>0</v>
      </c>
    </row>
    <row r="963" spans="1:36" x14ac:dyDescent="0.2">
      <c r="A963" s="240" t="str">
        <f t="shared" si="76"/>
        <v>TYCF10CF633A25</v>
      </c>
      <c r="B963" s="239" t="s">
        <v>265</v>
      </c>
      <c r="C963" s="239" t="s">
        <v>28</v>
      </c>
      <c r="D963" s="239" t="s">
        <v>2481</v>
      </c>
      <c r="E963" s="239" t="s">
        <v>2482</v>
      </c>
      <c r="F963" s="239" t="s">
        <v>2716</v>
      </c>
      <c r="G963" s="239">
        <v>25</v>
      </c>
      <c r="H963" s="239" t="s">
        <v>928</v>
      </c>
      <c r="I963" s="239" t="s">
        <v>928</v>
      </c>
      <c r="J963" s="239" t="s">
        <v>928</v>
      </c>
      <c r="K963" s="239" t="s">
        <v>2398</v>
      </c>
      <c r="L963" s="239">
        <v>853.32</v>
      </c>
      <c r="M963" s="239">
        <v>0</v>
      </c>
      <c r="N963" s="239">
        <v>0</v>
      </c>
      <c r="O963" s="239">
        <v>0</v>
      </c>
      <c r="P963" s="239">
        <v>0</v>
      </c>
      <c r="Q963" s="239">
        <v>0</v>
      </c>
      <c r="R963" s="239">
        <v>0</v>
      </c>
      <c r="S963" s="239">
        <v>0</v>
      </c>
      <c r="T963" s="239">
        <v>0</v>
      </c>
      <c r="U963" s="239">
        <v>0</v>
      </c>
      <c r="V963" s="239">
        <v>0</v>
      </c>
      <c r="W963" s="239">
        <v>0</v>
      </c>
      <c r="X963" s="239">
        <v>0</v>
      </c>
      <c r="Y963" s="239">
        <v>741.62</v>
      </c>
      <c r="Z963" s="239">
        <v>0</v>
      </c>
      <c r="AA963" s="239">
        <v>0</v>
      </c>
      <c r="AB963" s="239">
        <v>111.7</v>
      </c>
      <c r="AC963" s="239">
        <v>0</v>
      </c>
      <c r="AD963" s="239">
        <v>0</v>
      </c>
      <c r="AE963" s="239" t="s">
        <v>720</v>
      </c>
      <c r="AF963" s="239" t="s">
        <v>721</v>
      </c>
      <c r="AG963" s="239">
        <f t="shared" si="72"/>
        <v>0</v>
      </c>
      <c r="AH963" s="239">
        <f t="shared" si="73"/>
        <v>0</v>
      </c>
      <c r="AI963" s="239">
        <f t="shared" si="74"/>
        <v>0</v>
      </c>
      <c r="AJ963" s="239">
        <f t="shared" si="75"/>
        <v>0</v>
      </c>
    </row>
    <row r="964" spans="1:36" x14ac:dyDescent="0.2">
      <c r="A964" s="240" t="str">
        <f t="shared" si="76"/>
        <v>2TYCF10CF633A45</v>
      </c>
      <c r="B964" s="239" t="s">
        <v>265</v>
      </c>
      <c r="C964" s="239" t="s">
        <v>28</v>
      </c>
      <c r="D964" s="239" t="s">
        <v>2481</v>
      </c>
      <c r="E964" s="239" t="s">
        <v>2482</v>
      </c>
      <c r="F964" s="239" t="s">
        <v>2716</v>
      </c>
      <c r="G964" s="239">
        <v>45</v>
      </c>
      <c r="H964" s="239" t="s">
        <v>928</v>
      </c>
      <c r="I964" s="239" t="s">
        <v>2484</v>
      </c>
      <c r="J964" s="239" t="s">
        <v>928</v>
      </c>
      <c r="K964" s="239" t="s">
        <v>2398</v>
      </c>
      <c r="L964" s="239">
        <v>757.21</v>
      </c>
      <c r="M964" s="239">
        <v>0</v>
      </c>
      <c r="N964" s="239">
        <v>0</v>
      </c>
      <c r="O964" s="239">
        <v>0</v>
      </c>
      <c r="P964" s="239">
        <v>0</v>
      </c>
      <c r="Q964" s="239">
        <v>0</v>
      </c>
      <c r="R964" s="239">
        <v>0</v>
      </c>
      <c r="S964" s="239">
        <v>0</v>
      </c>
      <c r="T964" s="239">
        <v>0</v>
      </c>
      <c r="U964" s="239">
        <v>0</v>
      </c>
      <c r="V964" s="239">
        <v>0</v>
      </c>
      <c r="W964" s="239">
        <v>0</v>
      </c>
      <c r="X964" s="239">
        <v>0</v>
      </c>
      <c r="Y964" s="239">
        <v>636.14</v>
      </c>
      <c r="Z964" s="239">
        <v>0</v>
      </c>
      <c r="AA964" s="239">
        <v>0</v>
      </c>
      <c r="AB964" s="239">
        <v>121.07</v>
      </c>
      <c r="AC964" s="239">
        <v>0</v>
      </c>
      <c r="AD964" s="239">
        <v>0</v>
      </c>
      <c r="AE964" s="239" t="s">
        <v>720</v>
      </c>
      <c r="AF964" s="239" t="s">
        <v>721</v>
      </c>
      <c r="AG964" s="239">
        <f t="shared" si="72"/>
        <v>0</v>
      </c>
      <c r="AH964" s="239">
        <f t="shared" si="73"/>
        <v>0</v>
      </c>
      <c r="AI964" s="239">
        <f t="shared" si="74"/>
        <v>0</v>
      </c>
      <c r="AJ964" s="239">
        <f t="shared" si="75"/>
        <v>0</v>
      </c>
    </row>
    <row r="965" spans="1:36" x14ac:dyDescent="0.2">
      <c r="A965" s="240" t="str">
        <f t="shared" si="76"/>
        <v>TYCF10CF633A45</v>
      </c>
      <c r="B965" s="239" t="s">
        <v>265</v>
      </c>
      <c r="C965" s="239" t="s">
        <v>28</v>
      </c>
      <c r="D965" s="239" t="s">
        <v>2481</v>
      </c>
      <c r="E965" s="239" t="s">
        <v>2482</v>
      </c>
      <c r="F965" s="239" t="s">
        <v>2716</v>
      </c>
      <c r="G965" s="239">
        <v>45</v>
      </c>
      <c r="H965" s="239" t="s">
        <v>928</v>
      </c>
      <c r="I965" s="239" t="s">
        <v>928</v>
      </c>
      <c r="J965" s="239" t="s">
        <v>928</v>
      </c>
      <c r="K965" s="239" t="s">
        <v>2398</v>
      </c>
      <c r="L965" s="239">
        <v>757.21</v>
      </c>
      <c r="M965" s="239">
        <v>0</v>
      </c>
      <c r="N965" s="239">
        <v>0</v>
      </c>
      <c r="O965" s="239">
        <v>0</v>
      </c>
      <c r="P965" s="239">
        <v>0</v>
      </c>
      <c r="Q965" s="239">
        <v>0</v>
      </c>
      <c r="R965" s="239">
        <v>0</v>
      </c>
      <c r="S965" s="239">
        <v>0</v>
      </c>
      <c r="T965" s="239">
        <v>0</v>
      </c>
      <c r="U965" s="239">
        <v>0</v>
      </c>
      <c r="V965" s="239">
        <v>0</v>
      </c>
      <c r="W965" s="239">
        <v>0</v>
      </c>
      <c r="X965" s="239">
        <v>0</v>
      </c>
      <c r="Y965" s="239">
        <v>636.14</v>
      </c>
      <c r="Z965" s="239">
        <v>0</v>
      </c>
      <c r="AA965" s="239">
        <v>0</v>
      </c>
      <c r="AB965" s="239">
        <v>121.07</v>
      </c>
      <c r="AC965" s="239">
        <v>0</v>
      </c>
      <c r="AD965" s="239">
        <v>0</v>
      </c>
      <c r="AE965" s="239" t="s">
        <v>720</v>
      </c>
      <c r="AF965" s="239" t="s">
        <v>721</v>
      </c>
      <c r="AG965" s="239">
        <f t="shared" si="72"/>
        <v>0</v>
      </c>
      <c r="AH965" s="239">
        <f t="shared" si="73"/>
        <v>0</v>
      </c>
      <c r="AI965" s="239">
        <f t="shared" si="74"/>
        <v>0</v>
      </c>
      <c r="AJ965" s="239">
        <f t="shared" si="75"/>
        <v>0</v>
      </c>
    </row>
    <row r="966" spans="1:36" x14ac:dyDescent="0.2">
      <c r="A966" s="240" t="str">
        <f t="shared" si="76"/>
        <v>72BTYCF10CF634F80</v>
      </c>
      <c r="B966" s="239" t="s">
        <v>265</v>
      </c>
      <c r="C966" s="239" t="s">
        <v>28</v>
      </c>
      <c r="D966" s="239" t="s">
        <v>2481</v>
      </c>
      <c r="E966" s="239" t="s">
        <v>2482</v>
      </c>
      <c r="F966" s="239" t="s">
        <v>2717</v>
      </c>
      <c r="G966" s="239">
        <v>80</v>
      </c>
      <c r="H966" s="239" t="s">
        <v>928</v>
      </c>
      <c r="I966" s="239" t="s">
        <v>2689</v>
      </c>
      <c r="J966" s="239" t="s">
        <v>928</v>
      </c>
      <c r="K966" s="239" t="s">
        <v>2398</v>
      </c>
      <c r="L966" s="239">
        <v>908.5</v>
      </c>
      <c r="M966" s="239">
        <v>100</v>
      </c>
      <c r="N966" s="239">
        <v>0</v>
      </c>
      <c r="O966" s="239">
        <v>908.5</v>
      </c>
      <c r="P966" s="239">
        <v>0</v>
      </c>
      <c r="Q966" s="239">
        <v>0</v>
      </c>
      <c r="R966" s="239">
        <v>0</v>
      </c>
      <c r="S966" s="239">
        <v>0</v>
      </c>
      <c r="T966" s="239">
        <v>0</v>
      </c>
      <c r="U966" s="239">
        <v>0</v>
      </c>
      <c r="V966" s="239">
        <v>0</v>
      </c>
      <c r="W966" s="239">
        <v>0</v>
      </c>
      <c r="X966" s="239">
        <v>0</v>
      </c>
      <c r="Y966" s="239">
        <v>0</v>
      </c>
      <c r="Z966" s="239">
        <v>0</v>
      </c>
      <c r="AA966" s="239">
        <v>0</v>
      </c>
      <c r="AB966" s="239">
        <v>0</v>
      </c>
      <c r="AC966" s="239">
        <v>0</v>
      </c>
      <c r="AD966" s="239">
        <v>0</v>
      </c>
      <c r="AE966" s="239" t="s">
        <v>720</v>
      </c>
      <c r="AF966" s="239" t="s">
        <v>721</v>
      </c>
      <c r="AG966" s="239">
        <f t="shared" ref="AG966:AG978" si="77">+O966*M966/100</f>
        <v>908.5</v>
      </c>
      <c r="AH966" s="239">
        <f t="shared" ref="AH966:AH978" si="78">+P966*M966/100</f>
        <v>0</v>
      </c>
      <c r="AI966" s="239">
        <f t="shared" ref="AI966:AI978" si="79">+AB966*M966/100</f>
        <v>0</v>
      </c>
      <c r="AJ966" s="239">
        <f t="shared" ref="AJ966:AJ978" si="80">+AG966+AH966+AI966</f>
        <v>908.5</v>
      </c>
    </row>
    <row r="967" spans="1:36" x14ac:dyDescent="0.2">
      <c r="A967" s="240" t="str">
        <f t="shared" ref="A967:A978" si="81">TRIM(I967&amp;B967&amp;C967&amp;D967&amp;F967&amp;G967)</f>
        <v>TYCF10CF634F80</v>
      </c>
      <c r="B967" s="239" t="s">
        <v>265</v>
      </c>
      <c r="C967" s="239" t="s">
        <v>28</v>
      </c>
      <c r="D967" s="239" t="s">
        <v>2481</v>
      </c>
      <c r="E967" s="239" t="s">
        <v>2482</v>
      </c>
      <c r="F967" s="239" t="s">
        <v>2717</v>
      </c>
      <c r="G967" s="239">
        <v>80</v>
      </c>
      <c r="H967" s="239" t="s">
        <v>928</v>
      </c>
      <c r="I967" s="239" t="s">
        <v>928</v>
      </c>
      <c r="J967" s="239" t="s">
        <v>928</v>
      </c>
      <c r="K967" s="239" t="s">
        <v>2398</v>
      </c>
      <c r="L967" s="239">
        <v>908.5</v>
      </c>
      <c r="M967" s="239">
        <v>100</v>
      </c>
      <c r="N967" s="239">
        <v>0</v>
      </c>
      <c r="O967" s="239">
        <v>908.5</v>
      </c>
      <c r="P967" s="239">
        <v>0</v>
      </c>
      <c r="Q967" s="239">
        <v>0</v>
      </c>
      <c r="R967" s="239">
        <v>0</v>
      </c>
      <c r="S967" s="239">
        <v>0</v>
      </c>
      <c r="T967" s="239">
        <v>0</v>
      </c>
      <c r="U967" s="239">
        <v>0</v>
      </c>
      <c r="V967" s="239">
        <v>0</v>
      </c>
      <c r="W967" s="239">
        <v>0</v>
      </c>
      <c r="X967" s="239">
        <v>0</v>
      </c>
      <c r="Y967" s="239">
        <v>0</v>
      </c>
      <c r="Z967" s="239">
        <v>0</v>
      </c>
      <c r="AA967" s="239">
        <v>0</v>
      </c>
      <c r="AB967" s="239">
        <v>0</v>
      </c>
      <c r="AC967" s="239">
        <v>0</v>
      </c>
      <c r="AD967" s="239">
        <v>0</v>
      </c>
      <c r="AE967" s="239" t="s">
        <v>720</v>
      </c>
      <c r="AF967" s="239" t="s">
        <v>721</v>
      </c>
      <c r="AG967" s="239">
        <f t="shared" si="77"/>
        <v>908.5</v>
      </c>
      <c r="AH967" s="239">
        <f t="shared" si="78"/>
        <v>0</v>
      </c>
      <c r="AI967" s="239">
        <f t="shared" si="79"/>
        <v>0</v>
      </c>
      <c r="AJ967" s="239">
        <f t="shared" si="80"/>
        <v>908.5</v>
      </c>
    </row>
    <row r="968" spans="1:36" x14ac:dyDescent="0.2">
      <c r="A968" s="240" t="str">
        <f t="shared" si="81"/>
        <v>2TYCF10CF63640</v>
      </c>
      <c r="B968" s="239" t="s">
        <v>265</v>
      </c>
      <c r="C968" s="239" t="s">
        <v>28</v>
      </c>
      <c r="D968" s="239" t="s">
        <v>2481</v>
      </c>
      <c r="E968" s="239" t="s">
        <v>2482</v>
      </c>
      <c r="F968" s="239" t="s">
        <v>2718</v>
      </c>
      <c r="G968" s="239">
        <v>40</v>
      </c>
      <c r="H968" s="239" t="s">
        <v>928</v>
      </c>
      <c r="I968" s="239" t="s">
        <v>2484</v>
      </c>
      <c r="J968" s="239" t="s">
        <v>928</v>
      </c>
      <c r="K968" s="239" t="s">
        <v>2398</v>
      </c>
      <c r="L968" s="239">
        <v>717.78</v>
      </c>
      <c r="M968" s="239">
        <v>0</v>
      </c>
      <c r="N968" s="239">
        <v>0</v>
      </c>
      <c r="O968" s="239">
        <v>0</v>
      </c>
      <c r="P968" s="239">
        <v>0</v>
      </c>
      <c r="Q968" s="239">
        <v>0</v>
      </c>
      <c r="R968" s="239">
        <v>0</v>
      </c>
      <c r="S968" s="239">
        <v>0</v>
      </c>
      <c r="T968" s="239">
        <v>0</v>
      </c>
      <c r="U968" s="239">
        <v>0</v>
      </c>
      <c r="V968" s="239">
        <v>0</v>
      </c>
      <c r="W968" s="239">
        <v>0</v>
      </c>
      <c r="X968" s="239">
        <v>0</v>
      </c>
      <c r="Y968" s="239">
        <v>620.79999999999995</v>
      </c>
      <c r="Z968" s="239">
        <v>0</v>
      </c>
      <c r="AA968" s="239">
        <v>0</v>
      </c>
      <c r="AB968" s="239">
        <v>96.98</v>
      </c>
      <c r="AC968" s="239">
        <v>0</v>
      </c>
      <c r="AD968" s="239">
        <v>0</v>
      </c>
      <c r="AE968" s="239" t="s">
        <v>720</v>
      </c>
      <c r="AF968" s="239" t="s">
        <v>721</v>
      </c>
      <c r="AG968" s="239">
        <f t="shared" si="77"/>
        <v>0</v>
      </c>
      <c r="AH968" s="239">
        <f t="shared" si="78"/>
        <v>0</v>
      </c>
      <c r="AI968" s="239">
        <f t="shared" si="79"/>
        <v>0</v>
      </c>
      <c r="AJ968" s="239">
        <f t="shared" si="80"/>
        <v>0</v>
      </c>
    </row>
    <row r="969" spans="1:36" x14ac:dyDescent="0.2">
      <c r="A969" s="240" t="str">
        <f t="shared" si="81"/>
        <v>TYCF10CF63640</v>
      </c>
      <c r="B969" s="239" t="s">
        <v>265</v>
      </c>
      <c r="C969" s="239" t="s">
        <v>28</v>
      </c>
      <c r="D969" s="239" t="s">
        <v>2481</v>
      </c>
      <c r="E969" s="239" t="s">
        <v>2482</v>
      </c>
      <c r="F969" s="239" t="s">
        <v>2718</v>
      </c>
      <c r="G969" s="239">
        <v>40</v>
      </c>
      <c r="H969" s="239" t="s">
        <v>928</v>
      </c>
      <c r="I969" s="239" t="s">
        <v>928</v>
      </c>
      <c r="J969" s="239" t="s">
        <v>928</v>
      </c>
      <c r="K969" s="239" t="s">
        <v>2398</v>
      </c>
      <c r="L969" s="239">
        <v>717.78</v>
      </c>
      <c r="M969" s="239">
        <v>0</v>
      </c>
      <c r="N969" s="239">
        <v>0</v>
      </c>
      <c r="O969" s="239">
        <v>0</v>
      </c>
      <c r="P969" s="239">
        <v>0</v>
      </c>
      <c r="Q969" s="239">
        <v>0</v>
      </c>
      <c r="R969" s="239">
        <v>0</v>
      </c>
      <c r="S969" s="239">
        <v>0</v>
      </c>
      <c r="T969" s="239">
        <v>0</v>
      </c>
      <c r="U969" s="239">
        <v>0</v>
      </c>
      <c r="V969" s="239">
        <v>0</v>
      </c>
      <c r="W969" s="239">
        <v>0</v>
      </c>
      <c r="X969" s="239">
        <v>0</v>
      </c>
      <c r="Y969" s="239">
        <v>620.79999999999995</v>
      </c>
      <c r="Z969" s="239">
        <v>0</v>
      </c>
      <c r="AA969" s="239">
        <v>0</v>
      </c>
      <c r="AB969" s="239">
        <v>96.98</v>
      </c>
      <c r="AC969" s="239">
        <v>0</v>
      </c>
      <c r="AD969" s="239">
        <v>0</v>
      </c>
      <c r="AE969" s="239" t="s">
        <v>720</v>
      </c>
      <c r="AF969" s="239" t="s">
        <v>721</v>
      </c>
      <c r="AG969" s="239">
        <f t="shared" si="77"/>
        <v>0</v>
      </c>
      <c r="AH969" s="239">
        <f t="shared" si="78"/>
        <v>0</v>
      </c>
      <c r="AI969" s="239">
        <f t="shared" si="79"/>
        <v>0</v>
      </c>
      <c r="AJ969" s="239">
        <f t="shared" si="80"/>
        <v>0</v>
      </c>
    </row>
    <row r="970" spans="1:36" x14ac:dyDescent="0.2">
      <c r="A970" s="240" t="str">
        <f t="shared" si="81"/>
        <v>2TYCF10R210H40</v>
      </c>
      <c r="B970" s="239" t="s">
        <v>265</v>
      </c>
      <c r="C970" s="239" t="s">
        <v>28</v>
      </c>
      <c r="D970" s="239" t="s">
        <v>2481</v>
      </c>
      <c r="E970" s="239" t="s">
        <v>2482</v>
      </c>
      <c r="F970" s="239" t="s">
        <v>2686</v>
      </c>
      <c r="G970" s="239">
        <v>40</v>
      </c>
      <c r="H970" s="239" t="s">
        <v>928</v>
      </c>
      <c r="I970" s="239" t="s">
        <v>2484</v>
      </c>
      <c r="J970" s="239" t="s">
        <v>928</v>
      </c>
      <c r="K970" s="239" t="s">
        <v>2398</v>
      </c>
      <c r="L970" s="239">
        <v>1023.28</v>
      </c>
      <c r="M970" s="239">
        <v>0</v>
      </c>
      <c r="N970" s="239">
        <v>0</v>
      </c>
      <c r="O970" s="239">
        <v>0</v>
      </c>
      <c r="P970" s="239">
        <v>0</v>
      </c>
      <c r="Q970" s="239">
        <v>0</v>
      </c>
      <c r="R970" s="239">
        <v>0</v>
      </c>
      <c r="S970" s="239">
        <v>0</v>
      </c>
      <c r="T970" s="239">
        <v>0</v>
      </c>
      <c r="U970" s="239">
        <v>0</v>
      </c>
      <c r="V970" s="239">
        <v>0</v>
      </c>
      <c r="W970" s="239">
        <v>0</v>
      </c>
      <c r="X970" s="239">
        <v>0</v>
      </c>
      <c r="Y970" s="239">
        <v>907.77</v>
      </c>
      <c r="Z970" s="239">
        <v>0</v>
      </c>
      <c r="AA970" s="239">
        <v>0</v>
      </c>
      <c r="AB970" s="239">
        <v>115.51</v>
      </c>
      <c r="AC970" s="239">
        <v>0</v>
      </c>
      <c r="AD970" s="239">
        <v>0</v>
      </c>
      <c r="AE970" s="239" t="s">
        <v>720</v>
      </c>
      <c r="AF970" s="239" t="s">
        <v>721</v>
      </c>
      <c r="AG970" s="239">
        <f t="shared" si="77"/>
        <v>0</v>
      </c>
      <c r="AH970" s="239">
        <f t="shared" si="78"/>
        <v>0</v>
      </c>
      <c r="AI970" s="239">
        <f t="shared" si="79"/>
        <v>0</v>
      </c>
      <c r="AJ970" s="239">
        <f t="shared" si="80"/>
        <v>0</v>
      </c>
    </row>
    <row r="971" spans="1:36" x14ac:dyDescent="0.2">
      <c r="A971" s="240" t="str">
        <f t="shared" si="81"/>
        <v>TYCF10R210H40</v>
      </c>
      <c r="B971" s="239" t="s">
        <v>265</v>
      </c>
      <c r="C971" s="239" t="s">
        <v>28</v>
      </c>
      <c r="D971" s="239" t="s">
        <v>2481</v>
      </c>
      <c r="E971" s="239" t="s">
        <v>2482</v>
      </c>
      <c r="F971" s="239" t="s">
        <v>2686</v>
      </c>
      <c r="G971" s="239">
        <v>40</v>
      </c>
      <c r="H971" s="239" t="s">
        <v>928</v>
      </c>
      <c r="I971" s="239" t="s">
        <v>928</v>
      </c>
      <c r="J971" s="239" t="s">
        <v>928</v>
      </c>
      <c r="K971" s="239" t="s">
        <v>2398</v>
      </c>
      <c r="L971" s="239">
        <v>1023.28</v>
      </c>
      <c r="M971" s="239">
        <v>0</v>
      </c>
      <c r="N971" s="239">
        <v>0</v>
      </c>
      <c r="O971" s="239">
        <v>0</v>
      </c>
      <c r="P971" s="239">
        <v>0</v>
      </c>
      <c r="Q971" s="239">
        <v>0</v>
      </c>
      <c r="R971" s="239">
        <v>0</v>
      </c>
      <c r="S971" s="239">
        <v>0</v>
      </c>
      <c r="T971" s="239">
        <v>0</v>
      </c>
      <c r="U971" s="239">
        <v>0</v>
      </c>
      <c r="V971" s="239">
        <v>0</v>
      </c>
      <c r="W971" s="239">
        <v>0</v>
      </c>
      <c r="X971" s="239">
        <v>0</v>
      </c>
      <c r="Y971" s="239">
        <v>907.77</v>
      </c>
      <c r="Z971" s="239">
        <v>0</v>
      </c>
      <c r="AA971" s="239">
        <v>0</v>
      </c>
      <c r="AB971" s="239">
        <v>115.51</v>
      </c>
      <c r="AC971" s="239">
        <v>0</v>
      </c>
      <c r="AD971" s="239">
        <v>0</v>
      </c>
      <c r="AE971" s="239" t="s">
        <v>720</v>
      </c>
      <c r="AF971" s="239" t="s">
        <v>721</v>
      </c>
      <c r="AG971" s="239">
        <f t="shared" si="77"/>
        <v>0</v>
      </c>
      <c r="AH971" s="239">
        <f t="shared" si="78"/>
        <v>0</v>
      </c>
      <c r="AI971" s="239">
        <f t="shared" si="79"/>
        <v>0</v>
      </c>
      <c r="AJ971" s="239">
        <f t="shared" si="80"/>
        <v>0</v>
      </c>
    </row>
    <row r="972" spans="1:36" x14ac:dyDescent="0.2">
      <c r="A972" s="240" t="str">
        <f t="shared" si="81"/>
        <v>2TYCF10R304C40</v>
      </c>
      <c r="B972" s="239" t="s">
        <v>265</v>
      </c>
      <c r="C972" s="239" t="s">
        <v>28</v>
      </c>
      <c r="D972" s="239" t="s">
        <v>2481</v>
      </c>
      <c r="E972" s="239" t="s">
        <v>2482</v>
      </c>
      <c r="F972" s="239" t="s">
        <v>2719</v>
      </c>
      <c r="G972" s="239">
        <v>40</v>
      </c>
      <c r="H972" s="239" t="s">
        <v>928</v>
      </c>
      <c r="I972" s="239" t="s">
        <v>2484</v>
      </c>
      <c r="J972" s="239" t="s">
        <v>928</v>
      </c>
      <c r="K972" s="239" t="s">
        <v>2398</v>
      </c>
      <c r="L972" s="239">
        <v>878.38</v>
      </c>
      <c r="M972" s="239">
        <v>0</v>
      </c>
      <c r="N972" s="239">
        <v>0</v>
      </c>
      <c r="O972" s="239">
        <v>0</v>
      </c>
      <c r="P972" s="239">
        <v>0</v>
      </c>
      <c r="Q972" s="239">
        <v>0</v>
      </c>
      <c r="R972" s="239">
        <v>0</v>
      </c>
      <c r="S972" s="239">
        <v>0</v>
      </c>
      <c r="T972" s="239">
        <v>0</v>
      </c>
      <c r="U972" s="239">
        <v>0</v>
      </c>
      <c r="V972" s="239">
        <v>0</v>
      </c>
      <c r="W972" s="239">
        <v>0</v>
      </c>
      <c r="X972" s="239">
        <v>0</v>
      </c>
      <c r="Y972" s="239">
        <v>768.88</v>
      </c>
      <c r="Z972" s="239">
        <v>0</v>
      </c>
      <c r="AA972" s="239">
        <v>0</v>
      </c>
      <c r="AB972" s="239">
        <v>109.51</v>
      </c>
      <c r="AC972" s="239">
        <v>0</v>
      </c>
      <c r="AD972" s="239">
        <v>0</v>
      </c>
      <c r="AE972" s="239" t="s">
        <v>720</v>
      </c>
      <c r="AF972" s="239" t="s">
        <v>721</v>
      </c>
      <c r="AG972" s="239">
        <f t="shared" si="77"/>
        <v>0</v>
      </c>
      <c r="AH972" s="239">
        <f t="shared" si="78"/>
        <v>0</v>
      </c>
      <c r="AI972" s="239">
        <f t="shared" si="79"/>
        <v>0</v>
      </c>
      <c r="AJ972" s="239">
        <f t="shared" si="80"/>
        <v>0</v>
      </c>
    </row>
    <row r="973" spans="1:36" x14ac:dyDescent="0.2">
      <c r="A973" s="240" t="str">
        <f t="shared" si="81"/>
        <v>TYCF10R304C40</v>
      </c>
      <c r="B973" s="239" t="s">
        <v>265</v>
      </c>
      <c r="C973" s="239" t="s">
        <v>28</v>
      </c>
      <c r="D973" s="239" t="s">
        <v>2481</v>
      </c>
      <c r="E973" s="239" t="s">
        <v>2482</v>
      </c>
      <c r="F973" s="239" t="s">
        <v>2719</v>
      </c>
      <c r="G973" s="239">
        <v>40</v>
      </c>
      <c r="H973" s="239" t="s">
        <v>928</v>
      </c>
      <c r="I973" s="239" t="s">
        <v>928</v>
      </c>
      <c r="J973" s="239" t="s">
        <v>928</v>
      </c>
      <c r="K973" s="239" t="s">
        <v>2398</v>
      </c>
      <c r="L973" s="239">
        <v>878.38</v>
      </c>
      <c r="M973" s="239">
        <v>0</v>
      </c>
      <c r="N973" s="239">
        <v>0</v>
      </c>
      <c r="O973" s="239">
        <v>0</v>
      </c>
      <c r="P973" s="239">
        <v>0</v>
      </c>
      <c r="Q973" s="239">
        <v>0</v>
      </c>
      <c r="R973" s="239">
        <v>0</v>
      </c>
      <c r="S973" s="239">
        <v>0</v>
      </c>
      <c r="T973" s="239">
        <v>0</v>
      </c>
      <c r="U973" s="239">
        <v>0</v>
      </c>
      <c r="V973" s="239">
        <v>0</v>
      </c>
      <c r="W973" s="239">
        <v>0</v>
      </c>
      <c r="X973" s="239">
        <v>0</v>
      </c>
      <c r="Y973" s="239">
        <v>768.88</v>
      </c>
      <c r="Z973" s="239">
        <v>0</v>
      </c>
      <c r="AA973" s="239">
        <v>0</v>
      </c>
      <c r="AB973" s="239">
        <v>109.51</v>
      </c>
      <c r="AC973" s="239">
        <v>0</v>
      </c>
      <c r="AD973" s="239">
        <v>0</v>
      </c>
      <c r="AE973" s="239" t="s">
        <v>720</v>
      </c>
      <c r="AF973" s="239" t="s">
        <v>721</v>
      </c>
      <c r="AG973" s="239">
        <f t="shared" si="77"/>
        <v>0</v>
      </c>
      <c r="AH973" s="239">
        <f t="shared" si="78"/>
        <v>0</v>
      </c>
      <c r="AI973" s="239">
        <f t="shared" si="79"/>
        <v>0</v>
      </c>
      <c r="AJ973" s="239">
        <f t="shared" si="80"/>
        <v>0</v>
      </c>
    </row>
    <row r="974" spans="1:36" x14ac:dyDescent="0.2">
      <c r="A974" s="240" t="str">
        <f t="shared" si="81"/>
        <v>2TYCF10R307CBK40</v>
      </c>
      <c r="B974" s="239" t="s">
        <v>265</v>
      </c>
      <c r="C974" s="239" t="s">
        <v>28</v>
      </c>
      <c r="D974" s="239" t="s">
        <v>2481</v>
      </c>
      <c r="E974" s="239" t="s">
        <v>2482</v>
      </c>
      <c r="F974" s="239" t="s">
        <v>2720</v>
      </c>
      <c r="G974" s="239">
        <v>40</v>
      </c>
      <c r="H974" s="239" t="s">
        <v>928</v>
      </c>
      <c r="I974" s="239" t="s">
        <v>2484</v>
      </c>
      <c r="J974" s="239" t="s">
        <v>928</v>
      </c>
      <c r="K974" s="239" t="s">
        <v>2398</v>
      </c>
      <c r="L974" s="239">
        <v>980.67</v>
      </c>
      <c r="M974" s="239">
        <v>0</v>
      </c>
      <c r="N974" s="239">
        <v>0</v>
      </c>
      <c r="O974" s="239">
        <v>0</v>
      </c>
      <c r="P974" s="239">
        <v>0</v>
      </c>
      <c r="Q974" s="239">
        <v>0</v>
      </c>
      <c r="R974" s="239">
        <v>0</v>
      </c>
      <c r="S974" s="239">
        <v>0</v>
      </c>
      <c r="T974" s="239">
        <v>0</v>
      </c>
      <c r="U974" s="239">
        <v>0</v>
      </c>
      <c r="V974" s="239">
        <v>0</v>
      </c>
      <c r="W974" s="239">
        <v>0</v>
      </c>
      <c r="X974" s="239">
        <v>0</v>
      </c>
      <c r="Y974" s="239">
        <v>895.51</v>
      </c>
      <c r="Z974" s="239">
        <v>0</v>
      </c>
      <c r="AA974" s="239">
        <v>0</v>
      </c>
      <c r="AB974" s="239">
        <v>85.15</v>
      </c>
      <c r="AC974" s="239">
        <v>0</v>
      </c>
      <c r="AD974" s="239">
        <v>0</v>
      </c>
      <c r="AE974" s="239" t="s">
        <v>720</v>
      </c>
      <c r="AF974" s="239" t="s">
        <v>721</v>
      </c>
      <c r="AG974" s="239">
        <f t="shared" si="77"/>
        <v>0</v>
      </c>
      <c r="AH974" s="239">
        <f t="shared" si="78"/>
        <v>0</v>
      </c>
      <c r="AI974" s="239">
        <f t="shared" si="79"/>
        <v>0</v>
      </c>
      <c r="AJ974" s="239">
        <f t="shared" si="80"/>
        <v>0</v>
      </c>
    </row>
    <row r="975" spans="1:36" x14ac:dyDescent="0.2">
      <c r="A975" s="240" t="str">
        <f t="shared" si="81"/>
        <v>TYCF10R307CBK40</v>
      </c>
      <c r="B975" s="239" t="s">
        <v>265</v>
      </c>
      <c r="C975" s="239" t="s">
        <v>28</v>
      </c>
      <c r="D975" s="239" t="s">
        <v>2481</v>
      </c>
      <c r="E975" s="239" t="s">
        <v>2482</v>
      </c>
      <c r="F975" s="239" t="s">
        <v>2720</v>
      </c>
      <c r="G975" s="239">
        <v>40</v>
      </c>
      <c r="H975" s="239" t="s">
        <v>928</v>
      </c>
      <c r="I975" s="239" t="s">
        <v>928</v>
      </c>
      <c r="J975" s="239" t="s">
        <v>928</v>
      </c>
      <c r="K975" s="239" t="s">
        <v>2398</v>
      </c>
      <c r="L975" s="239">
        <v>980.67</v>
      </c>
      <c r="M975" s="239">
        <v>0</v>
      </c>
      <c r="N975" s="239">
        <v>0</v>
      </c>
      <c r="O975" s="239">
        <v>0</v>
      </c>
      <c r="P975" s="239">
        <v>0</v>
      </c>
      <c r="Q975" s="239">
        <v>0</v>
      </c>
      <c r="R975" s="239">
        <v>0</v>
      </c>
      <c r="S975" s="239">
        <v>0</v>
      </c>
      <c r="T975" s="239">
        <v>0</v>
      </c>
      <c r="U975" s="239">
        <v>0</v>
      </c>
      <c r="V975" s="239">
        <v>0</v>
      </c>
      <c r="W975" s="239">
        <v>0</v>
      </c>
      <c r="X975" s="239">
        <v>0</v>
      </c>
      <c r="Y975" s="239">
        <v>895.51</v>
      </c>
      <c r="Z975" s="239">
        <v>0</v>
      </c>
      <c r="AA975" s="239">
        <v>0</v>
      </c>
      <c r="AB975" s="239">
        <v>85.15</v>
      </c>
      <c r="AC975" s="239">
        <v>0</v>
      </c>
      <c r="AD975" s="239">
        <v>0</v>
      </c>
      <c r="AE975" s="239" t="s">
        <v>720</v>
      </c>
      <c r="AF975" s="239" t="s">
        <v>721</v>
      </c>
      <c r="AG975" s="239">
        <f t="shared" si="77"/>
        <v>0</v>
      </c>
      <c r="AH975" s="239">
        <f t="shared" si="78"/>
        <v>0</v>
      </c>
      <c r="AI975" s="239">
        <f t="shared" si="79"/>
        <v>0</v>
      </c>
      <c r="AJ975" s="239">
        <f t="shared" si="80"/>
        <v>0</v>
      </c>
    </row>
    <row r="976" spans="1:36" x14ac:dyDescent="0.2">
      <c r="A976" s="240" t="str">
        <f t="shared" si="81"/>
        <v>2TYCPPFBC10180</v>
      </c>
      <c r="B976" s="239" t="s">
        <v>265</v>
      </c>
      <c r="C976" s="239" t="s">
        <v>28</v>
      </c>
      <c r="D976" s="239" t="s">
        <v>2565</v>
      </c>
      <c r="E976" s="239" t="s">
        <v>2529</v>
      </c>
      <c r="F976" s="239" t="s">
        <v>2721</v>
      </c>
      <c r="G976" s="239">
        <v>80</v>
      </c>
      <c r="H976" s="239" t="s">
        <v>928</v>
      </c>
      <c r="I976" s="239" t="s">
        <v>2484</v>
      </c>
      <c r="J976" s="239" t="s">
        <v>928</v>
      </c>
      <c r="K976" s="239" t="s">
        <v>2398</v>
      </c>
      <c r="L976" s="239">
        <v>594.24</v>
      </c>
      <c r="M976" s="239">
        <v>0</v>
      </c>
      <c r="N976" s="239">
        <v>0</v>
      </c>
      <c r="O976" s="239">
        <v>0</v>
      </c>
      <c r="P976" s="239">
        <v>0</v>
      </c>
      <c r="Q976" s="239">
        <v>0</v>
      </c>
      <c r="R976" s="239">
        <v>0</v>
      </c>
      <c r="S976" s="239">
        <v>0</v>
      </c>
      <c r="T976" s="239">
        <v>0</v>
      </c>
      <c r="U976" s="239">
        <v>0</v>
      </c>
      <c r="V976" s="239">
        <v>0</v>
      </c>
      <c r="W976" s="239">
        <v>0</v>
      </c>
      <c r="X976" s="239">
        <v>0</v>
      </c>
      <c r="Y976" s="239">
        <v>489.08</v>
      </c>
      <c r="Z976" s="239">
        <v>0</v>
      </c>
      <c r="AA976" s="239">
        <v>0</v>
      </c>
      <c r="AB976" s="239">
        <v>105.16</v>
      </c>
      <c r="AC976" s="239">
        <v>0</v>
      </c>
      <c r="AD976" s="239">
        <v>0</v>
      </c>
      <c r="AE976" s="239" t="s">
        <v>720</v>
      </c>
      <c r="AF976" s="239" t="s">
        <v>721</v>
      </c>
      <c r="AG976" s="239">
        <f t="shared" si="77"/>
        <v>0</v>
      </c>
      <c r="AH976" s="239">
        <f t="shared" si="78"/>
        <v>0</v>
      </c>
      <c r="AI976" s="239">
        <f t="shared" si="79"/>
        <v>0</v>
      </c>
      <c r="AJ976" s="239">
        <f t="shared" si="80"/>
        <v>0</v>
      </c>
    </row>
    <row r="977" spans="1:36" x14ac:dyDescent="0.2">
      <c r="A977" s="240" t="str">
        <f t="shared" si="81"/>
        <v>TYCPPFBC10180</v>
      </c>
      <c r="B977" s="239" t="s">
        <v>265</v>
      </c>
      <c r="C977" s="239" t="s">
        <v>28</v>
      </c>
      <c r="D977" s="239" t="s">
        <v>2565</v>
      </c>
      <c r="E977" s="239" t="s">
        <v>2529</v>
      </c>
      <c r="F977" s="239" t="s">
        <v>2721</v>
      </c>
      <c r="G977" s="239">
        <v>80</v>
      </c>
      <c r="H977" s="239" t="s">
        <v>928</v>
      </c>
      <c r="I977" s="239" t="s">
        <v>928</v>
      </c>
      <c r="J977" s="239" t="s">
        <v>928</v>
      </c>
      <c r="K977" s="239" t="s">
        <v>2398</v>
      </c>
      <c r="L977" s="239">
        <v>594.24</v>
      </c>
      <c r="M977" s="239">
        <v>0</v>
      </c>
      <c r="N977" s="239">
        <v>0</v>
      </c>
      <c r="O977" s="239">
        <v>0</v>
      </c>
      <c r="P977" s="239">
        <v>0</v>
      </c>
      <c r="Q977" s="239">
        <v>0</v>
      </c>
      <c r="R977" s="239">
        <v>0</v>
      </c>
      <c r="S977" s="239">
        <v>0</v>
      </c>
      <c r="T977" s="239">
        <v>0</v>
      </c>
      <c r="U977" s="239">
        <v>0</v>
      </c>
      <c r="V977" s="239">
        <v>0</v>
      </c>
      <c r="W977" s="239">
        <v>0</v>
      </c>
      <c r="X977" s="239">
        <v>0</v>
      </c>
      <c r="Y977" s="239">
        <v>489.08</v>
      </c>
      <c r="Z977" s="239">
        <v>0</v>
      </c>
      <c r="AA977" s="239">
        <v>0</v>
      </c>
      <c r="AB977" s="239">
        <v>105.16</v>
      </c>
      <c r="AC977" s="239">
        <v>0</v>
      </c>
      <c r="AD977" s="239">
        <v>0</v>
      </c>
      <c r="AE977" s="239" t="s">
        <v>720</v>
      </c>
      <c r="AF977" s="239" t="s">
        <v>721</v>
      </c>
      <c r="AG977" s="239">
        <f t="shared" si="77"/>
        <v>0</v>
      </c>
      <c r="AH977" s="239">
        <f t="shared" si="78"/>
        <v>0</v>
      </c>
      <c r="AI977" s="239">
        <f t="shared" si="79"/>
        <v>0</v>
      </c>
      <c r="AJ977" s="239">
        <f t="shared" si="80"/>
        <v>0</v>
      </c>
    </row>
    <row r="978" spans="1:36" x14ac:dyDescent="0.2">
      <c r="A978" s="240" t="str">
        <f t="shared" si="81"/>
        <v>3TYKNZSTHCE238</v>
      </c>
      <c r="B978" s="239" t="s">
        <v>265</v>
      </c>
      <c r="C978" s="239" t="s">
        <v>28</v>
      </c>
      <c r="D978" s="239" t="s">
        <v>1078</v>
      </c>
      <c r="E978" s="239" t="s">
        <v>2706</v>
      </c>
      <c r="F978" s="239" t="s">
        <v>2722</v>
      </c>
      <c r="G978" s="239">
        <v>38</v>
      </c>
      <c r="H978" s="239" t="s">
        <v>928</v>
      </c>
      <c r="I978" s="239" t="s">
        <v>2471</v>
      </c>
      <c r="J978" s="239" t="s">
        <v>928</v>
      </c>
      <c r="K978" s="239" t="s">
        <v>2398</v>
      </c>
      <c r="L978" s="239">
        <v>361.94074999999998</v>
      </c>
      <c r="M978" s="239">
        <v>84.6</v>
      </c>
      <c r="N978" s="239">
        <v>0</v>
      </c>
      <c r="O978" s="239">
        <v>0</v>
      </c>
      <c r="P978" s="239">
        <v>0</v>
      </c>
      <c r="Q978" s="239">
        <v>0</v>
      </c>
      <c r="R978" s="239">
        <v>0</v>
      </c>
      <c r="S978" s="239">
        <v>0</v>
      </c>
      <c r="T978" s="239">
        <v>34.840359999999997</v>
      </c>
      <c r="U978" s="239">
        <v>12.708930000000001</v>
      </c>
      <c r="V978" s="239">
        <v>3.7159599999999999</v>
      </c>
      <c r="W978" s="239">
        <v>48.075499999999998</v>
      </c>
      <c r="X978" s="239">
        <v>0</v>
      </c>
      <c r="Y978" s="239">
        <v>0</v>
      </c>
      <c r="Z978" s="239">
        <v>262.60000000000002</v>
      </c>
      <c r="AA978" s="239">
        <v>0</v>
      </c>
      <c r="AB978" s="239">
        <v>0</v>
      </c>
      <c r="AC978" s="239">
        <v>0</v>
      </c>
      <c r="AD978" s="239">
        <v>1</v>
      </c>
      <c r="AE978" s="239" t="s">
        <v>720</v>
      </c>
      <c r="AF978" s="239" t="s">
        <v>721</v>
      </c>
      <c r="AG978" s="239">
        <f t="shared" si="77"/>
        <v>0</v>
      </c>
      <c r="AH978" s="239">
        <f t="shared" si="78"/>
        <v>0</v>
      </c>
      <c r="AI978" s="239">
        <f t="shared" si="79"/>
        <v>0</v>
      </c>
      <c r="AJ978" s="239">
        <f t="shared" si="80"/>
        <v>0</v>
      </c>
    </row>
    <row r="979" spans="1:36" x14ac:dyDescent="0.2">
      <c r="A979" s="240" t="str">
        <f t="shared" ref="A979:A1001" si="82">TRIM(I979&amp;B979&amp;C979&amp;D979&amp;F979&amp;G979)</f>
        <v>3SNCERABX8A1475</v>
      </c>
      <c r="B979" s="246" t="s">
        <v>19</v>
      </c>
      <c r="C979" s="246" t="s">
        <v>20</v>
      </c>
      <c r="D979" s="246" t="s">
        <v>21</v>
      </c>
      <c r="E979" s="246" t="s">
        <v>719</v>
      </c>
      <c r="F979" s="246" t="s">
        <v>726</v>
      </c>
      <c r="G979" s="246">
        <v>75</v>
      </c>
      <c r="H979" s="246"/>
      <c r="I979" s="246">
        <v>3</v>
      </c>
      <c r="J979" s="246"/>
      <c r="K979" s="247">
        <v>44835</v>
      </c>
      <c r="L979" s="246">
        <v>58.281999999999996</v>
      </c>
      <c r="M979" s="246">
        <v>93.3</v>
      </c>
      <c r="N979" s="246">
        <v>0</v>
      </c>
      <c r="O979" s="246">
        <v>45.015999999999998</v>
      </c>
      <c r="P979" s="246">
        <v>0</v>
      </c>
      <c r="Q979" s="246">
        <v>0</v>
      </c>
      <c r="R979" s="246">
        <v>0</v>
      </c>
      <c r="S979" s="246">
        <v>0</v>
      </c>
      <c r="T979" s="246">
        <v>4.601</v>
      </c>
      <c r="U979" s="246">
        <v>1.776</v>
      </c>
      <c r="V979" s="246">
        <v>0.35699999999999998</v>
      </c>
      <c r="W979" s="246">
        <v>1.4890000000000001</v>
      </c>
      <c r="X979" s="246">
        <v>0</v>
      </c>
      <c r="Y979" s="246">
        <v>0</v>
      </c>
      <c r="Z979" s="246">
        <v>3.3039999999999998</v>
      </c>
      <c r="AA979" s="246">
        <v>1.7390000000000001</v>
      </c>
      <c r="AB979" s="246">
        <v>0</v>
      </c>
      <c r="AC979" s="246">
        <v>0</v>
      </c>
      <c r="AD979" s="246">
        <v>1</v>
      </c>
      <c r="AE979" s="246" t="s">
        <v>20</v>
      </c>
      <c r="AF979" s="246" t="s">
        <v>718</v>
      </c>
      <c r="AG979" s="246">
        <f>+O979*M979/100</f>
        <v>41.999927999999997</v>
      </c>
      <c r="AH979" s="246">
        <f>+P979*M979/100</f>
        <v>0</v>
      </c>
      <c r="AI979" s="246">
        <f>+AB979*M979/100</f>
        <v>0</v>
      </c>
      <c r="AJ979" s="246">
        <f>+AG979+AH979+AI979</f>
        <v>41.999927999999997</v>
      </c>
    </row>
    <row r="980" spans="1:36" x14ac:dyDescent="0.2">
      <c r="A980" s="240" t="str">
        <f t="shared" si="82"/>
        <v>331SNCERABX8ARX38</v>
      </c>
      <c r="B980" s="246" t="s">
        <v>19</v>
      </c>
      <c r="C980" s="246" t="s">
        <v>20</v>
      </c>
      <c r="D980" s="246" t="s">
        <v>21</v>
      </c>
      <c r="E980" s="246" t="s">
        <v>719</v>
      </c>
      <c r="F980" s="246" t="s">
        <v>47</v>
      </c>
      <c r="G980" s="246">
        <v>38</v>
      </c>
      <c r="H980" s="246"/>
      <c r="I980" s="246">
        <v>331</v>
      </c>
      <c r="J980" s="246"/>
      <c r="K980" s="247">
        <v>44835</v>
      </c>
      <c r="L980" s="246">
        <v>41.960949999999997</v>
      </c>
      <c r="M980" s="246">
        <v>91</v>
      </c>
      <c r="N980" s="246">
        <v>0</v>
      </c>
      <c r="O980" s="246">
        <v>22.626370000000001</v>
      </c>
      <c r="P980" s="246">
        <v>0</v>
      </c>
      <c r="Q980" s="246">
        <v>0</v>
      </c>
      <c r="R980" s="246">
        <v>0</v>
      </c>
      <c r="S980" s="246">
        <v>0</v>
      </c>
      <c r="T980" s="246">
        <v>4.6010099999999996</v>
      </c>
      <c r="U980" s="246">
        <v>5.9139999999999997</v>
      </c>
      <c r="V980" s="246">
        <v>0.27798</v>
      </c>
      <c r="W980" s="246">
        <v>1.3620099999999999</v>
      </c>
      <c r="X980" s="246">
        <v>0</v>
      </c>
      <c r="Y980" s="246">
        <v>0</v>
      </c>
      <c r="Z980" s="246">
        <v>5.4092799999999999</v>
      </c>
      <c r="AA980" s="246">
        <v>1.7703</v>
      </c>
      <c r="AB980" s="246">
        <v>0</v>
      </c>
      <c r="AC980" s="246">
        <v>0</v>
      </c>
      <c r="AD980" s="246">
        <v>1</v>
      </c>
      <c r="AE980" s="246" t="s">
        <v>20</v>
      </c>
      <c r="AF980" s="246" t="s">
        <v>718</v>
      </c>
      <c r="AG980" s="246">
        <f>+O980*M980/100</f>
        <v>20.5899967</v>
      </c>
      <c r="AH980" s="246">
        <f>+P980*M980/100</f>
        <v>0</v>
      </c>
      <c r="AI980" s="246">
        <f>+AB980*M980/100</f>
        <v>0</v>
      </c>
      <c r="AJ980" s="246">
        <f>+AG980+AH980+AI980</f>
        <v>20.5899967</v>
      </c>
    </row>
    <row r="981" spans="1:36" x14ac:dyDescent="0.2">
      <c r="A981" s="240" t="str">
        <f t="shared" si="82"/>
        <v>3303SNCERAMD(A)R38</v>
      </c>
      <c r="B981" s="246" t="s">
        <v>19</v>
      </c>
      <c r="C981" s="246" t="s">
        <v>20</v>
      </c>
      <c r="D981" s="246" t="s">
        <v>21</v>
      </c>
      <c r="E981" s="246" t="s">
        <v>719</v>
      </c>
      <c r="F981" s="246" t="s">
        <v>62</v>
      </c>
      <c r="G981" s="246">
        <v>38</v>
      </c>
      <c r="H981" s="246"/>
      <c r="I981" s="246">
        <v>3303</v>
      </c>
      <c r="J981" s="246"/>
      <c r="K981" s="247">
        <v>44835</v>
      </c>
      <c r="L981" s="246">
        <v>25.175599999999999</v>
      </c>
      <c r="M981" s="246">
        <v>97.7</v>
      </c>
      <c r="N981" s="246">
        <v>0</v>
      </c>
      <c r="O981" s="246">
        <v>15.964700000000001</v>
      </c>
      <c r="P981" s="246">
        <v>0</v>
      </c>
      <c r="Q981" s="246">
        <v>0</v>
      </c>
      <c r="R981" s="246">
        <v>0</v>
      </c>
      <c r="S981" s="246">
        <v>0</v>
      </c>
      <c r="T981" s="246">
        <v>2.7905000000000002</v>
      </c>
      <c r="U981" s="246">
        <v>0.96135000000000004</v>
      </c>
      <c r="V981" s="246">
        <v>0.22609000000000001</v>
      </c>
      <c r="W981" s="246">
        <v>1.0038499999999999</v>
      </c>
      <c r="X981" s="246">
        <v>0</v>
      </c>
      <c r="Y981" s="246">
        <v>0</v>
      </c>
      <c r="Z981" s="246">
        <v>2.9986000000000002</v>
      </c>
      <c r="AA981" s="246">
        <v>1.23051</v>
      </c>
      <c r="AB981" s="246">
        <v>0</v>
      </c>
      <c r="AC981" s="246">
        <v>0</v>
      </c>
      <c r="AD981" s="246">
        <v>1</v>
      </c>
      <c r="AE981" s="246" t="s">
        <v>20</v>
      </c>
      <c r="AF981" s="246" t="s">
        <v>718</v>
      </c>
      <c r="AG981" s="246">
        <f>+O981*M981/100</f>
        <v>15.597511900000002</v>
      </c>
      <c r="AH981" s="246">
        <f>+P981*M981/100</f>
        <v>0</v>
      </c>
      <c r="AI981" s="246">
        <f>+AB981*M981/100</f>
        <v>0</v>
      </c>
      <c r="AJ981" s="246">
        <f>+AG981+AH981+AI981</f>
        <v>15.597511900000002</v>
      </c>
    </row>
    <row r="982" spans="1:36" x14ac:dyDescent="0.2">
      <c r="A982" s="240" t="str">
        <f t="shared" si="82"/>
        <v>3303SNCERABKERXPT38</v>
      </c>
      <c r="B982" s="246" t="s">
        <v>19</v>
      </c>
      <c r="C982" s="246" t="s">
        <v>20</v>
      </c>
      <c r="D982" s="246" t="s">
        <v>21</v>
      </c>
      <c r="E982" s="246" t="s">
        <v>719</v>
      </c>
      <c r="F982" s="246" t="s">
        <v>29</v>
      </c>
      <c r="G982" s="246">
        <v>38</v>
      </c>
      <c r="H982" s="246"/>
      <c r="I982" s="246">
        <v>3303</v>
      </c>
      <c r="J982" s="246"/>
      <c r="K982" s="247">
        <v>44835</v>
      </c>
      <c r="L982" s="246">
        <v>25.564499999999999</v>
      </c>
      <c r="M982" s="246">
        <v>97</v>
      </c>
      <c r="N982" s="246">
        <v>0</v>
      </c>
      <c r="O982" s="246">
        <v>19.104299999999999</v>
      </c>
      <c r="P982" s="246">
        <v>0</v>
      </c>
      <c r="Q982" s="246">
        <v>0</v>
      </c>
      <c r="R982" s="246">
        <v>0</v>
      </c>
      <c r="S982" s="246">
        <v>0</v>
      </c>
      <c r="T982" s="246">
        <v>2.7989999999999999</v>
      </c>
      <c r="U982" s="246">
        <v>0.44369999999999998</v>
      </c>
      <c r="V982" s="246">
        <v>0.16830000000000001</v>
      </c>
      <c r="W982" s="246">
        <v>0.69750000000000001</v>
      </c>
      <c r="X982" s="246">
        <v>0</v>
      </c>
      <c r="Y982" s="246">
        <v>0</v>
      </c>
      <c r="Z982" s="246">
        <v>1.5371999999999999</v>
      </c>
      <c r="AA982" s="246">
        <v>0.8145</v>
      </c>
      <c r="AB982" s="246">
        <v>0</v>
      </c>
      <c r="AC982" s="246">
        <v>0</v>
      </c>
      <c r="AD982" s="246">
        <v>9</v>
      </c>
      <c r="AE982" s="246" t="s">
        <v>20</v>
      </c>
      <c r="AF982" s="246" t="s">
        <v>718</v>
      </c>
      <c r="AG982" s="246">
        <f>+O982*M982/100</f>
        <v>18.531171000000001</v>
      </c>
      <c r="AH982" s="246">
        <f>+P982*M982/100</f>
        <v>0</v>
      </c>
      <c r="AI982" s="246">
        <f>+AB982*M982/100</f>
        <v>0</v>
      </c>
      <c r="AJ982" s="246">
        <f>+AG982+AH982+AI982</f>
        <v>18.531171000000001</v>
      </c>
    </row>
    <row r="983" spans="1:36" x14ac:dyDescent="0.2">
      <c r="A983" s="240" t="str">
        <f t="shared" si="82"/>
        <v>3TNCERAWZ3425E</v>
      </c>
      <c r="B983" s="239" t="s">
        <v>265</v>
      </c>
      <c r="C983" s="239" t="s">
        <v>20</v>
      </c>
      <c r="D983" s="239" t="s">
        <v>21</v>
      </c>
      <c r="E983" s="239" t="s">
        <v>719</v>
      </c>
      <c r="F983" s="239" t="s">
        <v>435</v>
      </c>
      <c r="G983" s="239" t="s">
        <v>1620</v>
      </c>
      <c r="I983" s="239">
        <v>3</v>
      </c>
      <c r="K983" s="282">
        <v>45039</v>
      </c>
      <c r="L983" s="239">
        <v>8.8729999999999993</v>
      </c>
      <c r="M983" s="239">
        <v>95.8</v>
      </c>
      <c r="N983" s="239">
        <v>0</v>
      </c>
      <c r="O983" s="239">
        <v>0</v>
      </c>
      <c r="P983" s="239">
        <v>0</v>
      </c>
      <c r="Q983" s="239">
        <v>0</v>
      </c>
      <c r="R983" s="239">
        <v>0</v>
      </c>
      <c r="S983" s="239">
        <v>0</v>
      </c>
      <c r="T983" s="239">
        <v>2.3370000000000002</v>
      </c>
      <c r="U983" s="239">
        <v>1.0339799999999999</v>
      </c>
      <c r="V983" s="239">
        <v>0.26400000000000001</v>
      </c>
      <c r="W983" s="239">
        <v>1.2609999999999999</v>
      </c>
      <c r="X983" s="239">
        <v>0</v>
      </c>
      <c r="Z983" s="239">
        <v>2.5359600000000002</v>
      </c>
      <c r="AA983" s="239">
        <v>1.44106</v>
      </c>
      <c r="AB983" s="239">
        <v>0</v>
      </c>
      <c r="AC983" s="239">
        <v>0</v>
      </c>
      <c r="AD983" s="239">
        <v>1</v>
      </c>
      <c r="AE983" s="239" t="s">
        <v>20</v>
      </c>
      <c r="AF983" s="239" t="s">
        <v>718</v>
      </c>
      <c r="AG983" s="239">
        <f t="shared" ref="AG983:AG1001" si="83">+O983*M983/100</f>
        <v>0</v>
      </c>
      <c r="AH983" s="239">
        <f t="shared" ref="AH983:AH1001" si="84">+P983*M983/100</f>
        <v>0</v>
      </c>
      <c r="AI983" s="239">
        <f t="shared" ref="AI983:AI1001" si="85">+AB983*M983/100</f>
        <v>0</v>
      </c>
      <c r="AJ983" s="239">
        <f t="shared" ref="AJ983:AJ1001" si="86">+AG983+AH983+AI983</f>
        <v>0</v>
      </c>
    </row>
    <row r="984" spans="1:36" x14ac:dyDescent="0.2">
      <c r="A984" s="240" t="str">
        <f t="shared" si="82"/>
        <v>331SNCERABKE0938</v>
      </c>
      <c r="B984" s="239" t="s">
        <v>19</v>
      </c>
      <c r="C984" s="239" t="s">
        <v>20</v>
      </c>
      <c r="D984" s="239" t="s">
        <v>21</v>
      </c>
      <c r="E984" s="239" t="s">
        <v>719</v>
      </c>
      <c r="F984" s="239" t="s">
        <v>1621</v>
      </c>
      <c r="G984" s="239">
        <v>38</v>
      </c>
      <c r="I984" s="239">
        <v>331</v>
      </c>
      <c r="K984" s="282">
        <v>45039</v>
      </c>
      <c r="L984" s="239">
        <v>9.548</v>
      </c>
      <c r="M984" s="239">
        <v>97.1</v>
      </c>
      <c r="N984" s="239">
        <v>0</v>
      </c>
      <c r="O984" s="239">
        <v>0</v>
      </c>
      <c r="P984" s="239">
        <v>0</v>
      </c>
      <c r="Q984" s="239">
        <v>0</v>
      </c>
      <c r="R984" s="239">
        <v>0</v>
      </c>
      <c r="S984" s="239">
        <v>0</v>
      </c>
      <c r="T984" s="239">
        <v>3.6150000000000002</v>
      </c>
      <c r="U984" s="239">
        <v>0.54</v>
      </c>
      <c r="V984" s="239">
        <v>0.26200000000000001</v>
      </c>
      <c r="W984" s="239">
        <v>1.2470000000000001</v>
      </c>
      <c r="X984" s="239">
        <v>0</v>
      </c>
      <c r="Y984" s="239">
        <v>0</v>
      </c>
      <c r="Z984" s="239">
        <v>2.4620000000000002</v>
      </c>
      <c r="AA984" s="239">
        <v>1.4219999999999999</v>
      </c>
      <c r="AB984" s="239">
        <v>0</v>
      </c>
      <c r="AC984" s="239">
        <v>0</v>
      </c>
      <c r="AD984" s="239">
        <v>1</v>
      </c>
      <c r="AE984" s="239" t="s">
        <v>20</v>
      </c>
      <c r="AF984" s="239" t="s">
        <v>718</v>
      </c>
      <c r="AG984" s="239">
        <f t="shared" si="83"/>
        <v>0</v>
      </c>
      <c r="AH984" s="239">
        <f t="shared" si="84"/>
        <v>0</v>
      </c>
      <c r="AI984" s="239">
        <f t="shared" si="85"/>
        <v>0</v>
      </c>
      <c r="AJ984" s="239">
        <f t="shared" si="86"/>
        <v>0</v>
      </c>
    </row>
    <row r="985" spans="1:36" x14ac:dyDescent="0.2">
      <c r="A985" s="240" t="str">
        <f t="shared" si="82"/>
        <v>3TNCERABX8A1425</v>
      </c>
      <c r="B985" s="239" t="s">
        <v>265</v>
      </c>
      <c r="C985" s="239" t="s">
        <v>20</v>
      </c>
      <c r="D985" s="239" t="s">
        <v>21</v>
      </c>
      <c r="E985" s="239" t="s">
        <v>719</v>
      </c>
      <c r="F985" s="239" t="s">
        <v>726</v>
      </c>
      <c r="G985" s="239">
        <v>25</v>
      </c>
      <c r="I985" s="239">
        <v>3</v>
      </c>
      <c r="K985" s="282">
        <v>45039</v>
      </c>
      <c r="L985" s="239">
        <v>10.46236</v>
      </c>
      <c r="M985" s="239">
        <v>94.1</v>
      </c>
      <c r="N985" s="239">
        <v>0</v>
      </c>
      <c r="O985" s="239">
        <v>0</v>
      </c>
      <c r="P985" s="239">
        <v>0</v>
      </c>
      <c r="Q985" s="239">
        <v>0</v>
      </c>
      <c r="R985" s="239">
        <v>0</v>
      </c>
      <c r="S985" s="239">
        <v>0</v>
      </c>
      <c r="T985" s="239">
        <v>2.56</v>
      </c>
      <c r="U985" s="239">
        <v>1.18669</v>
      </c>
      <c r="V985" s="239">
        <v>0.35763</v>
      </c>
      <c r="W985" s="239">
        <v>1.6998</v>
      </c>
      <c r="X985" s="239">
        <v>0</v>
      </c>
      <c r="Y985" s="239">
        <v>0</v>
      </c>
      <c r="Z985" s="239">
        <v>4.6582400000000002</v>
      </c>
      <c r="AA985" s="239">
        <v>0</v>
      </c>
      <c r="AB985" s="239">
        <v>0</v>
      </c>
      <c r="AC985" s="239">
        <v>0</v>
      </c>
      <c r="AD985" s="239">
        <v>1</v>
      </c>
      <c r="AE985" s="239" t="s">
        <v>20</v>
      </c>
      <c r="AF985" s="239" t="s">
        <v>718</v>
      </c>
      <c r="AG985" s="239">
        <f t="shared" si="83"/>
        <v>0</v>
      </c>
      <c r="AH985" s="239">
        <f t="shared" si="84"/>
        <v>0</v>
      </c>
      <c r="AI985" s="239">
        <f t="shared" si="85"/>
        <v>0</v>
      </c>
      <c r="AJ985" s="239">
        <f t="shared" si="86"/>
        <v>0</v>
      </c>
    </row>
    <row r="986" spans="1:36" x14ac:dyDescent="0.2">
      <c r="A986" s="240" t="str">
        <f t="shared" si="82"/>
        <v>3SYCERASY0950</v>
      </c>
      <c r="B986" s="239" t="s">
        <v>450</v>
      </c>
      <c r="C986" s="239" t="s">
        <v>1622</v>
      </c>
      <c r="D986" s="239" t="s">
        <v>21</v>
      </c>
      <c r="E986" s="239" t="s">
        <v>719</v>
      </c>
      <c r="F986" s="239" t="s">
        <v>1623</v>
      </c>
      <c r="G986" s="239">
        <v>50</v>
      </c>
      <c r="I986" s="239">
        <v>3</v>
      </c>
      <c r="K986" s="282">
        <v>45039</v>
      </c>
      <c r="L986" s="239">
        <v>10.46236</v>
      </c>
      <c r="M986" s="239">
        <v>94.3</v>
      </c>
      <c r="N986" s="239">
        <v>0</v>
      </c>
      <c r="O986" s="239">
        <v>0</v>
      </c>
      <c r="P986" s="239">
        <v>0</v>
      </c>
      <c r="Q986" s="239">
        <v>0</v>
      </c>
      <c r="R986" s="239">
        <v>0</v>
      </c>
      <c r="S986" s="239">
        <v>0</v>
      </c>
      <c r="T986" s="239">
        <v>2.56</v>
      </c>
      <c r="U986" s="239">
        <v>1.18669</v>
      </c>
      <c r="V986" s="239">
        <v>0.35763</v>
      </c>
      <c r="W986" s="239">
        <v>1.6998</v>
      </c>
      <c r="X986" s="239">
        <v>0</v>
      </c>
      <c r="Y986" s="239">
        <v>0</v>
      </c>
      <c r="Z986" s="239">
        <v>4.6582400000000002</v>
      </c>
      <c r="AA986" s="239">
        <v>0</v>
      </c>
      <c r="AB986" s="239">
        <v>0</v>
      </c>
      <c r="AC986" s="239">
        <v>0</v>
      </c>
      <c r="AD986" s="239">
        <v>1</v>
      </c>
      <c r="AE986" s="239" t="s">
        <v>20</v>
      </c>
      <c r="AF986" s="239" t="s">
        <v>718</v>
      </c>
      <c r="AG986" s="239">
        <f t="shared" si="83"/>
        <v>0</v>
      </c>
      <c r="AH986" s="239">
        <f t="shared" si="84"/>
        <v>0</v>
      </c>
      <c r="AI986" s="239">
        <f t="shared" si="85"/>
        <v>0</v>
      </c>
      <c r="AJ986" s="239">
        <f t="shared" si="86"/>
        <v>0</v>
      </c>
    </row>
    <row r="987" spans="1:36" x14ac:dyDescent="0.2">
      <c r="A987" s="240" t="str">
        <f t="shared" si="82"/>
        <v>3SNCERAWZ3425E</v>
      </c>
      <c r="B987" s="239" t="s">
        <v>1617</v>
      </c>
      <c r="C987" s="239" t="s">
        <v>20</v>
      </c>
      <c r="D987" s="239" t="s">
        <v>21</v>
      </c>
      <c r="E987" s="239" t="s">
        <v>719</v>
      </c>
      <c r="F987" s="239" t="s">
        <v>435</v>
      </c>
      <c r="G987" s="239" t="s">
        <v>1620</v>
      </c>
      <c r="I987" s="239">
        <v>3</v>
      </c>
      <c r="K987" s="282">
        <v>45039</v>
      </c>
      <c r="L987" s="239">
        <v>8.8729999999999993</v>
      </c>
      <c r="M987" s="239">
        <v>95.8</v>
      </c>
      <c r="N987" s="239">
        <v>0</v>
      </c>
      <c r="O987" s="239">
        <v>0</v>
      </c>
      <c r="P987" s="239">
        <v>0</v>
      </c>
      <c r="Q987" s="239">
        <v>0</v>
      </c>
      <c r="R987" s="239">
        <v>0</v>
      </c>
      <c r="S987" s="239">
        <v>0</v>
      </c>
      <c r="T987" s="239">
        <v>2.3370000000000002</v>
      </c>
      <c r="U987" s="239">
        <v>1.0339799999999999</v>
      </c>
      <c r="V987" s="239">
        <v>0.26400000000000001</v>
      </c>
      <c r="W987" s="239">
        <v>1.2609999999999999</v>
      </c>
      <c r="X987" s="239">
        <v>0</v>
      </c>
      <c r="Z987" s="239">
        <v>2.5359600000000002</v>
      </c>
      <c r="AA987" s="239">
        <v>1.44106</v>
      </c>
      <c r="AB987" s="239">
        <v>0</v>
      </c>
      <c r="AC987" s="239">
        <v>0</v>
      </c>
      <c r="AD987" s="239">
        <v>1</v>
      </c>
      <c r="AE987" s="239" t="s">
        <v>20</v>
      </c>
      <c r="AF987" s="239" t="s">
        <v>718</v>
      </c>
      <c r="AG987" s="239">
        <f t="shared" si="83"/>
        <v>0</v>
      </c>
      <c r="AH987" s="239">
        <f t="shared" si="84"/>
        <v>0</v>
      </c>
      <c r="AI987" s="239">
        <f t="shared" si="85"/>
        <v>0</v>
      </c>
      <c r="AJ987" s="239">
        <f t="shared" si="86"/>
        <v>0</v>
      </c>
    </row>
    <row r="988" spans="1:36" x14ac:dyDescent="0.2">
      <c r="A988" s="240" t="str">
        <f t="shared" si="82"/>
        <v>3SNMCLBMSNEYK50</v>
      </c>
      <c r="B988" s="239" t="s">
        <v>19</v>
      </c>
      <c r="C988" s="239" t="s">
        <v>20</v>
      </c>
      <c r="D988" s="239" t="s">
        <v>165</v>
      </c>
      <c r="E988" s="239" t="s">
        <v>723</v>
      </c>
      <c r="F988" s="239" t="s">
        <v>180</v>
      </c>
      <c r="G988" s="239">
        <v>50</v>
      </c>
      <c r="I988" s="239">
        <v>3</v>
      </c>
      <c r="K988" s="282">
        <v>45039</v>
      </c>
      <c r="L988" s="239">
        <v>159.86854</v>
      </c>
      <c r="M988" s="239">
        <v>96</v>
      </c>
      <c r="N988" s="239">
        <v>0</v>
      </c>
      <c r="O988" s="239">
        <v>100.13542</v>
      </c>
      <c r="P988" s="239">
        <v>4.0472599999999996</v>
      </c>
      <c r="Q988" s="239">
        <v>0</v>
      </c>
      <c r="R988" s="239">
        <v>0</v>
      </c>
      <c r="S988" s="239">
        <v>0</v>
      </c>
      <c r="T988" s="239">
        <v>4.0901100000000001</v>
      </c>
      <c r="U988" s="239">
        <v>1.2799499999999999</v>
      </c>
      <c r="V988" s="239">
        <v>0.76490999999999998</v>
      </c>
      <c r="W988" s="239">
        <v>13.41278</v>
      </c>
      <c r="X988" s="239">
        <v>0</v>
      </c>
      <c r="Y988" s="239">
        <v>0</v>
      </c>
      <c r="Z988" s="239">
        <v>20.365159999999999</v>
      </c>
      <c r="AA988" s="239">
        <v>9.6447199999999995</v>
      </c>
      <c r="AB988" s="239">
        <v>6.1282300000000003</v>
      </c>
      <c r="AC988" s="239">
        <v>0</v>
      </c>
      <c r="AD988" s="239">
        <v>1</v>
      </c>
      <c r="AE988" s="239" t="s">
        <v>20</v>
      </c>
      <c r="AF988" s="239" t="s">
        <v>718</v>
      </c>
      <c r="AG988" s="239">
        <f t="shared" si="83"/>
        <v>96.13000319999999</v>
      </c>
      <c r="AH988" s="239">
        <f t="shared" si="84"/>
        <v>3.8853695999999998</v>
      </c>
      <c r="AI988" s="239">
        <f t="shared" si="85"/>
        <v>5.8831007999999994</v>
      </c>
      <c r="AJ988" s="239">
        <f t="shared" si="86"/>
        <v>105.89847359999999</v>
      </c>
    </row>
    <row r="989" spans="1:36" x14ac:dyDescent="0.2">
      <c r="A989" s="240" t="str">
        <f t="shared" si="82"/>
        <v>32SNMCLBMSNEYK50</v>
      </c>
      <c r="B989" s="239" t="s">
        <v>19</v>
      </c>
      <c r="C989" s="239" t="s">
        <v>20</v>
      </c>
      <c r="D989" s="239" t="s">
        <v>165</v>
      </c>
      <c r="E989" s="239" t="s">
        <v>723</v>
      </c>
      <c r="F989" s="239" t="s">
        <v>180</v>
      </c>
      <c r="G989" s="239">
        <v>50</v>
      </c>
      <c r="I989" s="239">
        <v>32</v>
      </c>
      <c r="K989" s="282">
        <v>45039</v>
      </c>
      <c r="L989" s="239">
        <v>9.7684700000000007</v>
      </c>
      <c r="M989" s="239">
        <v>100</v>
      </c>
      <c r="N989" s="239">
        <v>0</v>
      </c>
      <c r="O989" s="239">
        <v>0</v>
      </c>
      <c r="P989" s="239">
        <v>0</v>
      </c>
      <c r="Q989" s="239">
        <v>0</v>
      </c>
      <c r="R989" s="239">
        <v>0</v>
      </c>
      <c r="S989" s="239">
        <v>0</v>
      </c>
      <c r="T989" s="239">
        <v>0.39595999999999998</v>
      </c>
      <c r="U989" s="239">
        <v>0</v>
      </c>
      <c r="V989" s="239">
        <v>0.48996000000000001</v>
      </c>
      <c r="W989" s="239">
        <v>2.9994499999999999</v>
      </c>
      <c r="X989" s="239">
        <v>0</v>
      </c>
      <c r="Y989" s="239">
        <v>0</v>
      </c>
      <c r="Z989" s="239">
        <v>3.9571499999999999</v>
      </c>
      <c r="AA989" s="239">
        <v>1.9259500000000001</v>
      </c>
      <c r="AB989" s="239">
        <v>0</v>
      </c>
      <c r="AC989" s="239">
        <v>0</v>
      </c>
      <c r="AD989" s="239">
        <v>1</v>
      </c>
      <c r="AE989" s="239" t="s">
        <v>20</v>
      </c>
      <c r="AF989" s="239" t="s">
        <v>718</v>
      </c>
      <c r="AG989" s="239">
        <f t="shared" si="83"/>
        <v>0</v>
      </c>
      <c r="AH989" s="239">
        <f t="shared" si="84"/>
        <v>0</v>
      </c>
      <c r="AI989" s="239">
        <f t="shared" si="85"/>
        <v>0</v>
      </c>
      <c r="AJ989" s="239">
        <f t="shared" si="86"/>
        <v>0</v>
      </c>
    </row>
    <row r="990" spans="1:36" x14ac:dyDescent="0.2">
      <c r="A990" s="240" t="str">
        <f t="shared" si="82"/>
        <v>3SNMCLBDMSV50</v>
      </c>
      <c r="B990" s="239" t="s">
        <v>19</v>
      </c>
      <c r="C990" s="239" t="s">
        <v>20</v>
      </c>
      <c r="D990" s="239" t="s">
        <v>165</v>
      </c>
      <c r="E990" s="239" t="s">
        <v>723</v>
      </c>
      <c r="F990" s="239" t="s">
        <v>166</v>
      </c>
      <c r="G990" s="239">
        <v>50</v>
      </c>
      <c r="I990" s="239">
        <v>3</v>
      </c>
      <c r="K990" s="282">
        <v>45039</v>
      </c>
      <c r="L990" s="239">
        <v>69.787019999999998</v>
      </c>
      <c r="M990" s="239">
        <v>97.3</v>
      </c>
      <c r="N990" s="239">
        <v>0</v>
      </c>
      <c r="O990" s="239">
        <v>0</v>
      </c>
      <c r="P990" s="239">
        <v>5.4251199999999997</v>
      </c>
      <c r="Q990" s="239">
        <v>0</v>
      </c>
      <c r="R990" s="239">
        <v>0</v>
      </c>
      <c r="S990" s="239">
        <v>0</v>
      </c>
      <c r="T990" s="239">
        <v>5.1001399999999997</v>
      </c>
      <c r="U990" s="239">
        <v>3.1588699999999998</v>
      </c>
      <c r="V990" s="239">
        <v>0.79091</v>
      </c>
      <c r="W990" s="239">
        <v>14.22476</v>
      </c>
      <c r="X990" s="239">
        <v>0</v>
      </c>
      <c r="Y990" s="239">
        <v>0</v>
      </c>
      <c r="Z990" s="239">
        <v>22.08052</v>
      </c>
      <c r="AA990" s="239">
        <v>10.28021</v>
      </c>
      <c r="AB990" s="239">
        <v>8.7264900000000001</v>
      </c>
      <c r="AC990" s="239">
        <v>0</v>
      </c>
      <c r="AD990" s="239">
        <v>1</v>
      </c>
      <c r="AE990" s="239" t="s">
        <v>20</v>
      </c>
      <c r="AF990" s="239" t="s">
        <v>718</v>
      </c>
      <c r="AG990" s="239">
        <f t="shared" si="83"/>
        <v>0</v>
      </c>
      <c r="AH990" s="239">
        <f t="shared" si="84"/>
        <v>5.2786417599999993</v>
      </c>
      <c r="AI990" s="239">
        <f t="shared" si="85"/>
        <v>8.4908747699999996</v>
      </c>
      <c r="AJ990" s="239">
        <f t="shared" si="86"/>
        <v>13.769516529999999</v>
      </c>
    </row>
    <row r="991" spans="1:36" x14ac:dyDescent="0.2">
      <c r="A991" s="240" t="str">
        <f t="shared" si="82"/>
        <v>32SNMCLBDMSV50</v>
      </c>
      <c r="B991" s="239" t="s">
        <v>19</v>
      </c>
      <c r="C991" s="239" t="s">
        <v>20</v>
      </c>
      <c r="D991" s="239" t="s">
        <v>165</v>
      </c>
      <c r="E991" s="239" t="s">
        <v>723</v>
      </c>
      <c r="F991" s="239" t="s">
        <v>166</v>
      </c>
      <c r="G991" s="239">
        <v>50</v>
      </c>
      <c r="I991" s="239">
        <v>32</v>
      </c>
      <c r="K991" s="282">
        <v>45039</v>
      </c>
      <c r="L991" s="239">
        <v>13.76952</v>
      </c>
      <c r="M991" s="239">
        <v>100</v>
      </c>
      <c r="N991" s="239">
        <v>0</v>
      </c>
      <c r="O991" s="239">
        <v>0</v>
      </c>
      <c r="P991" s="239">
        <v>0</v>
      </c>
      <c r="Q991" s="239">
        <v>0</v>
      </c>
      <c r="R991" s="239">
        <v>0</v>
      </c>
      <c r="S991" s="239">
        <v>0</v>
      </c>
      <c r="T991" s="239">
        <v>0.57194</v>
      </c>
      <c r="U991" s="239">
        <v>0</v>
      </c>
      <c r="V991" s="239">
        <v>0.40995999999999999</v>
      </c>
      <c r="W991" s="239">
        <v>4.2967500000000003</v>
      </c>
      <c r="X991" s="239">
        <v>0</v>
      </c>
      <c r="Y991" s="239">
        <v>0</v>
      </c>
      <c r="Z991" s="239">
        <v>5.7118500000000001</v>
      </c>
      <c r="AA991" s="239">
        <v>2.77902</v>
      </c>
      <c r="AB991" s="239">
        <v>0</v>
      </c>
      <c r="AC991" s="239">
        <v>0</v>
      </c>
      <c r="AD991" s="239">
        <v>1</v>
      </c>
      <c r="AE991" s="239" t="s">
        <v>20</v>
      </c>
      <c r="AF991" s="239" t="s">
        <v>718</v>
      </c>
      <c r="AG991" s="239">
        <f t="shared" si="83"/>
        <v>0</v>
      </c>
      <c r="AH991" s="239">
        <f t="shared" si="84"/>
        <v>0</v>
      </c>
      <c r="AI991" s="239">
        <f t="shared" si="85"/>
        <v>0</v>
      </c>
      <c r="AJ991" s="239">
        <f t="shared" si="86"/>
        <v>0</v>
      </c>
    </row>
    <row r="992" spans="1:36" x14ac:dyDescent="0.2">
      <c r="A992" s="240" t="str">
        <f>I992&amp;B992&amp;C992&amp;D992&amp;F992&amp;G992</f>
        <v>3TNMCLBHLKTV50</v>
      </c>
      <c r="B992" s="239" t="s">
        <v>265</v>
      </c>
      <c r="C992" s="239" t="s">
        <v>20</v>
      </c>
      <c r="D992" s="239" t="s">
        <v>165</v>
      </c>
      <c r="E992" s="239" t="s">
        <v>723</v>
      </c>
      <c r="F992" s="239" t="s">
        <v>319</v>
      </c>
      <c r="G992" s="239">
        <v>50</v>
      </c>
      <c r="I992" s="239">
        <v>3</v>
      </c>
      <c r="K992" s="282">
        <v>45039</v>
      </c>
      <c r="L992" s="239">
        <v>206.07117</v>
      </c>
      <c r="M992" s="239">
        <v>89</v>
      </c>
      <c r="N992" s="239">
        <v>0</v>
      </c>
      <c r="O992" s="239">
        <v>138.62921</v>
      </c>
      <c r="P992" s="239">
        <v>0</v>
      </c>
      <c r="Q992" s="239">
        <v>0</v>
      </c>
      <c r="R992" s="239">
        <v>0</v>
      </c>
      <c r="S992" s="239">
        <v>0</v>
      </c>
      <c r="T992" s="239">
        <v>5.14</v>
      </c>
      <c r="U992" s="239">
        <v>3.2250000000000001</v>
      </c>
      <c r="V992" s="239">
        <v>0.69486000000000003</v>
      </c>
      <c r="W992" s="239">
        <v>19.8568</v>
      </c>
      <c r="X992" s="239">
        <v>0</v>
      </c>
      <c r="Y992" s="239">
        <v>0</v>
      </c>
      <c r="Z992" s="239">
        <v>38.525300000000001</v>
      </c>
      <c r="AA992" s="239">
        <v>0</v>
      </c>
      <c r="AB992" s="239">
        <v>0</v>
      </c>
      <c r="AC992" s="239">
        <v>0</v>
      </c>
      <c r="AD992" s="239">
        <v>1</v>
      </c>
      <c r="AE992" s="239" t="s">
        <v>720</v>
      </c>
      <c r="AF992" s="239" t="s">
        <v>721</v>
      </c>
      <c r="AG992" s="239">
        <f t="shared" si="83"/>
        <v>123.37999690000001</v>
      </c>
      <c r="AH992" s="239">
        <f t="shared" si="84"/>
        <v>0</v>
      </c>
      <c r="AI992" s="239">
        <f t="shared" si="85"/>
        <v>0</v>
      </c>
      <c r="AJ992" s="239">
        <f t="shared" si="86"/>
        <v>123.37999690000001</v>
      </c>
    </row>
    <row r="993" spans="1:36" x14ac:dyDescent="0.2">
      <c r="A993" s="240" t="str">
        <f t="shared" si="82"/>
        <v>330SNCERAWZ1425</v>
      </c>
      <c r="B993" s="239" t="s">
        <v>2723</v>
      </c>
      <c r="C993" s="239" t="s">
        <v>20</v>
      </c>
      <c r="D993" s="239" t="s">
        <v>21</v>
      </c>
      <c r="E993" s="239" t="s">
        <v>719</v>
      </c>
      <c r="F993" s="239" t="s">
        <v>2342</v>
      </c>
      <c r="G993" s="239">
        <v>25</v>
      </c>
      <c r="H993" s="239" t="s">
        <v>928</v>
      </c>
      <c r="I993" s="239">
        <v>330</v>
      </c>
      <c r="J993" s="239" t="s">
        <v>928</v>
      </c>
      <c r="K993" s="239" t="s">
        <v>2398</v>
      </c>
      <c r="L993" s="239">
        <v>10.01768</v>
      </c>
      <c r="M993" s="239">
        <v>97.6</v>
      </c>
      <c r="N993" s="239">
        <v>0</v>
      </c>
      <c r="O993" s="239">
        <v>0</v>
      </c>
      <c r="P993" s="239">
        <v>0</v>
      </c>
      <c r="Q993" s="239">
        <v>0</v>
      </c>
      <c r="R993" s="239">
        <v>0</v>
      </c>
      <c r="S993" s="239">
        <v>0</v>
      </c>
      <c r="T993" s="239">
        <v>2.64</v>
      </c>
      <c r="U993" s="239">
        <v>0.49092999999999998</v>
      </c>
      <c r="V993" s="239">
        <v>0.32335999999999998</v>
      </c>
      <c r="W993" s="239">
        <v>1.06711</v>
      </c>
      <c r="X993" s="239">
        <v>0</v>
      </c>
      <c r="Y993" s="239">
        <v>0</v>
      </c>
      <c r="Z993" s="239">
        <v>5.4962799999999996</v>
      </c>
      <c r="AA993" s="239">
        <v>0</v>
      </c>
      <c r="AB993" s="239">
        <v>0</v>
      </c>
      <c r="AC993" s="239">
        <v>0</v>
      </c>
      <c r="AD993" s="239">
        <v>1</v>
      </c>
      <c r="AE993" s="239" t="s">
        <v>720</v>
      </c>
      <c r="AF993" s="239" t="s">
        <v>721</v>
      </c>
      <c r="AG993" s="239">
        <f t="shared" si="83"/>
        <v>0</v>
      </c>
      <c r="AH993" s="239">
        <f t="shared" si="84"/>
        <v>0</v>
      </c>
      <c r="AI993" s="239">
        <f t="shared" si="85"/>
        <v>0</v>
      </c>
      <c r="AJ993" s="239">
        <f t="shared" si="86"/>
        <v>0</v>
      </c>
    </row>
    <row r="994" spans="1:36" x14ac:dyDescent="0.2">
      <c r="A994" s="240" t="str">
        <f t="shared" si="82"/>
        <v>3SYCERANS27114MB75</v>
      </c>
      <c r="B994" s="239" t="s">
        <v>2723</v>
      </c>
      <c r="C994" s="239" t="s">
        <v>28</v>
      </c>
      <c r="D994" s="239" t="s">
        <v>132</v>
      </c>
      <c r="E994" s="239" t="s">
        <v>719</v>
      </c>
      <c r="F994" s="239" t="s">
        <v>1521</v>
      </c>
      <c r="G994" s="239">
        <v>75</v>
      </c>
      <c r="H994" s="239" t="s">
        <v>928</v>
      </c>
      <c r="I994" s="239" t="s">
        <v>2471</v>
      </c>
      <c r="J994" s="239" t="s">
        <v>928</v>
      </c>
      <c r="K994" s="239" t="s">
        <v>2398</v>
      </c>
      <c r="L994" s="239">
        <v>91.763289999999998</v>
      </c>
      <c r="M994" s="239">
        <v>94.3</v>
      </c>
      <c r="N994" s="239">
        <v>0</v>
      </c>
      <c r="O994" s="239">
        <v>0</v>
      </c>
      <c r="P994" s="239">
        <v>0</v>
      </c>
      <c r="Q994" s="239">
        <v>0</v>
      </c>
      <c r="R994" s="239">
        <v>0</v>
      </c>
      <c r="S994" s="239">
        <v>0</v>
      </c>
      <c r="T994" s="239">
        <v>14.76</v>
      </c>
      <c r="U994" s="239">
        <v>4.2544399999999998</v>
      </c>
      <c r="V994" s="239">
        <v>4.0171900000000003</v>
      </c>
      <c r="W994" s="239">
        <v>14.91822</v>
      </c>
      <c r="X994" s="239">
        <v>0</v>
      </c>
      <c r="Y994" s="239">
        <v>0</v>
      </c>
      <c r="Z994" s="239">
        <v>53.81344</v>
      </c>
      <c r="AA994" s="239">
        <v>0</v>
      </c>
      <c r="AB994" s="239">
        <v>0</v>
      </c>
      <c r="AC994" s="239">
        <v>0</v>
      </c>
      <c r="AD994" s="239">
        <v>1</v>
      </c>
      <c r="AE994" s="239" t="s">
        <v>720</v>
      </c>
      <c r="AF994" s="239" t="s">
        <v>721</v>
      </c>
      <c r="AG994" s="239">
        <f t="shared" si="83"/>
        <v>0</v>
      </c>
      <c r="AH994" s="239">
        <f t="shared" si="84"/>
        <v>0</v>
      </c>
      <c r="AI994" s="239">
        <f t="shared" si="85"/>
        <v>0</v>
      </c>
      <c r="AJ994" s="239">
        <f t="shared" si="86"/>
        <v>0</v>
      </c>
    </row>
    <row r="995" spans="1:36" x14ac:dyDescent="0.2">
      <c r="A995" s="240" t="str">
        <f t="shared" si="82"/>
        <v>3XSNCLBLEYK25</v>
      </c>
      <c r="B995" s="239" t="s">
        <v>450</v>
      </c>
      <c r="C995" s="239" t="s">
        <v>470</v>
      </c>
      <c r="D995" s="239" t="s">
        <v>772</v>
      </c>
      <c r="E995" s="239" t="str">
        <f t="shared" ref="E995:E999" si="87">"Ｃラベル                      "</f>
        <v xml:space="preserve">Ｃラベル                      </v>
      </c>
      <c r="F995" s="239" t="str">
        <f>"LEYK"</f>
        <v>LEYK</v>
      </c>
      <c r="G995" s="239">
        <v>25</v>
      </c>
      <c r="H995" s="239" t="str">
        <f t="shared" ref="H995:H1007" si="88">" "</f>
        <v xml:space="preserve"> </v>
      </c>
      <c r="I995" s="239" t="s">
        <v>2724</v>
      </c>
      <c r="J995" s="239" t="str">
        <f t="shared" ref="J995:J1007" si="89">"   "</f>
        <v xml:space="preserve">   </v>
      </c>
      <c r="K995" s="335"/>
      <c r="L995" s="239">
        <v>39.775950000000002</v>
      </c>
      <c r="N995" s="239">
        <v>0</v>
      </c>
      <c r="O995" s="239">
        <v>0</v>
      </c>
      <c r="P995" s="239">
        <v>0</v>
      </c>
      <c r="Q995" s="239">
        <v>0</v>
      </c>
      <c r="R995" s="239">
        <v>0</v>
      </c>
      <c r="S995" s="239">
        <v>0</v>
      </c>
      <c r="T995" s="239">
        <v>3.9800399999999998</v>
      </c>
      <c r="U995" s="239">
        <v>1.08005</v>
      </c>
      <c r="V995" s="239">
        <v>0.44496000000000002</v>
      </c>
      <c r="W995" s="239">
        <v>12.458869999999999</v>
      </c>
      <c r="X995" s="239">
        <v>0</v>
      </c>
      <c r="Y995" s="239">
        <v>0</v>
      </c>
      <c r="Z995" s="239">
        <v>13.810600000000001</v>
      </c>
      <c r="AA995" s="239">
        <v>8.0014299999999992</v>
      </c>
      <c r="AB995" s="239">
        <v>0</v>
      </c>
      <c r="AC995" s="239">
        <v>0</v>
      </c>
      <c r="AD995" s="239">
        <v>1</v>
      </c>
      <c r="AE995" s="239" t="s">
        <v>720</v>
      </c>
      <c r="AF995" s="239" t="s">
        <v>721</v>
      </c>
      <c r="AG995" s="239">
        <f t="shared" si="83"/>
        <v>0</v>
      </c>
      <c r="AH995" s="239">
        <f t="shared" si="84"/>
        <v>0</v>
      </c>
      <c r="AI995" s="239">
        <f t="shared" si="85"/>
        <v>0</v>
      </c>
      <c r="AJ995" s="239">
        <f t="shared" si="86"/>
        <v>0</v>
      </c>
    </row>
    <row r="996" spans="1:36" x14ac:dyDescent="0.2">
      <c r="A996" s="240" t="str">
        <f t="shared" si="82"/>
        <v>3SNCLBE20V38</v>
      </c>
      <c r="B996" s="239" t="s">
        <v>450</v>
      </c>
      <c r="C996" s="239" t="s">
        <v>470</v>
      </c>
      <c r="D996" s="239" t="s">
        <v>772</v>
      </c>
      <c r="E996" s="239" t="str">
        <f t="shared" si="87"/>
        <v xml:space="preserve">Ｃラベル                      </v>
      </c>
      <c r="F996" s="239" t="str">
        <f>"E20V"</f>
        <v>E20V</v>
      </c>
      <c r="G996" s="239">
        <v>38</v>
      </c>
      <c r="H996" s="239" t="str">
        <f t="shared" si="88"/>
        <v xml:space="preserve"> </v>
      </c>
      <c r="I996" s="239" t="str">
        <f>"3"</f>
        <v>3</v>
      </c>
      <c r="J996" s="239" t="str">
        <f t="shared" si="89"/>
        <v xml:space="preserve">   </v>
      </c>
      <c r="K996" s="335">
        <v>45200</v>
      </c>
      <c r="L996" s="239">
        <v>50.539940000000001</v>
      </c>
      <c r="M996" s="239">
        <v>97.2</v>
      </c>
      <c r="N996" s="239">
        <v>0</v>
      </c>
      <c r="O996" s="239">
        <v>0</v>
      </c>
      <c r="P996" s="239">
        <v>0</v>
      </c>
      <c r="Q996" s="239">
        <v>0</v>
      </c>
      <c r="R996" s="239">
        <v>0</v>
      </c>
      <c r="S996" s="239">
        <v>0</v>
      </c>
      <c r="T996" s="239">
        <v>5.1100599999999998</v>
      </c>
      <c r="U996" s="239">
        <v>1.39907</v>
      </c>
      <c r="V996" s="239">
        <v>0.56194</v>
      </c>
      <c r="W996" s="239">
        <v>15.75583</v>
      </c>
      <c r="X996" s="239">
        <v>0</v>
      </c>
      <c r="Y996" s="239">
        <v>0</v>
      </c>
      <c r="Z996" s="239">
        <v>17.577490000000001</v>
      </c>
      <c r="AA996" s="239">
        <v>10.13555</v>
      </c>
      <c r="AB996" s="239">
        <v>0</v>
      </c>
      <c r="AC996" s="239">
        <v>0</v>
      </c>
      <c r="AD996" s="239">
        <v>1</v>
      </c>
      <c r="AE996" s="239" t="s">
        <v>720</v>
      </c>
      <c r="AF996" s="239" t="s">
        <v>721</v>
      </c>
      <c r="AG996" s="239">
        <f t="shared" si="83"/>
        <v>0</v>
      </c>
      <c r="AH996" s="239">
        <f t="shared" si="84"/>
        <v>0</v>
      </c>
      <c r="AI996" s="239">
        <f t="shared" si="85"/>
        <v>0</v>
      </c>
      <c r="AJ996" s="239">
        <f t="shared" si="86"/>
        <v>0</v>
      </c>
    </row>
    <row r="997" spans="1:36" x14ac:dyDescent="0.2">
      <c r="A997" s="240" t="str">
        <f t="shared" si="82"/>
        <v>3SNCLBE20V50</v>
      </c>
      <c r="B997" s="239" t="s">
        <v>450</v>
      </c>
      <c r="C997" s="239" t="s">
        <v>470</v>
      </c>
      <c r="D997" s="239" t="s">
        <v>772</v>
      </c>
      <c r="E997" s="239" t="str">
        <f t="shared" si="87"/>
        <v xml:space="preserve">Ｃラベル                      </v>
      </c>
      <c r="F997" s="239" t="str">
        <f>"E20V"</f>
        <v>E20V</v>
      </c>
      <c r="G997" s="239">
        <v>50</v>
      </c>
      <c r="H997" s="239" t="str">
        <f t="shared" si="88"/>
        <v xml:space="preserve"> </v>
      </c>
      <c r="I997" s="239" t="str">
        <f>"3"</f>
        <v>3</v>
      </c>
      <c r="J997" s="239" t="str">
        <f t="shared" si="89"/>
        <v xml:space="preserve">   </v>
      </c>
      <c r="K997" s="335">
        <v>45200</v>
      </c>
      <c r="L997" s="239">
        <v>50.386110000000002</v>
      </c>
      <c r="M997" s="239">
        <v>97.5</v>
      </c>
      <c r="N997" s="239">
        <v>0</v>
      </c>
      <c r="O997" s="239">
        <v>0</v>
      </c>
      <c r="P997" s="239">
        <v>0</v>
      </c>
      <c r="Q997" s="239">
        <v>0</v>
      </c>
      <c r="R997" s="239">
        <v>0</v>
      </c>
      <c r="S997" s="239">
        <v>0</v>
      </c>
      <c r="T997" s="239">
        <v>5.0900600000000003</v>
      </c>
      <c r="U997" s="239">
        <v>1.39907</v>
      </c>
      <c r="V997" s="239">
        <v>0.56093999999999999</v>
      </c>
      <c r="W997" s="239">
        <v>15.70783</v>
      </c>
      <c r="X997" s="239">
        <v>0</v>
      </c>
      <c r="Y997" s="239">
        <v>0</v>
      </c>
      <c r="Z997" s="239">
        <v>17.52383</v>
      </c>
      <c r="AA997" s="239">
        <v>10.104380000000001</v>
      </c>
      <c r="AB997" s="239">
        <v>0</v>
      </c>
      <c r="AC997" s="239">
        <v>0</v>
      </c>
      <c r="AD997" s="239">
        <v>1</v>
      </c>
      <c r="AE997" s="239" t="s">
        <v>720</v>
      </c>
      <c r="AF997" s="239" t="s">
        <v>721</v>
      </c>
      <c r="AG997" s="239">
        <f t="shared" si="83"/>
        <v>0</v>
      </c>
      <c r="AH997" s="239">
        <f t="shared" si="84"/>
        <v>0</v>
      </c>
      <c r="AI997" s="239">
        <f t="shared" si="85"/>
        <v>0</v>
      </c>
      <c r="AJ997" s="239">
        <f t="shared" si="86"/>
        <v>0</v>
      </c>
    </row>
    <row r="998" spans="1:36" x14ac:dyDescent="0.2">
      <c r="A998" s="240" t="str">
        <f t="shared" si="82"/>
        <v>3SNCLBE20V75</v>
      </c>
      <c r="B998" s="239" t="s">
        <v>450</v>
      </c>
      <c r="C998" s="239" t="s">
        <v>470</v>
      </c>
      <c r="D998" s="239" t="s">
        <v>772</v>
      </c>
      <c r="E998" s="239" t="str">
        <f t="shared" si="87"/>
        <v xml:space="preserve">Ｃラベル                      </v>
      </c>
      <c r="F998" s="239" t="str">
        <f>"E20V"</f>
        <v>E20V</v>
      </c>
      <c r="G998" s="239">
        <v>75</v>
      </c>
      <c r="H998" s="239" t="str">
        <f t="shared" si="88"/>
        <v xml:space="preserve"> </v>
      </c>
      <c r="I998" s="239" t="str">
        <f>"3"</f>
        <v>3</v>
      </c>
      <c r="J998" s="239" t="str">
        <f t="shared" si="89"/>
        <v xml:space="preserve">   </v>
      </c>
      <c r="K998" s="335">
        <v>45200</v>
      </c>
      <c r="L998" s="239">
        <v>55.613039999999998</v>
      </c>
      <c r="M998" s="239">
        <v>96.2</v>
      </c>
      <c r="N998" s="239">
        <v>0</v>
      </c>
      <c r="O998" s="239">
        <v>0</v>
      </c>
      <c r="P998" s="239">
        <v>0</v>
      </c>
      <c r="Q998" s="239">
        <v>0</v>
      </c>
      <c r="R998" s="239">
        <v>0</v>
      </c>
      <c r="S998" s="239">
        <v>0</v>
      </c>
      <c r="T998" s="239">
        <v>5.1600599999999996</v>
      </c>
      <c r="U998" s="239">
        <v>1.86609</v>
      </c>
      <c r="V998" s="239">
        <v>0.61994000000000005</v>
      </c>
      <c r="W998" s="239">
        <v>17.366810000000001</v>
      </c>
      <c r="X998" s="239">
        <v>0</v>
      </c>
      <c r="Y998" s="239">
        <v>0</v>
      </c>
      <c r="Z998" s="239">
        <v>19.42267</v>
      </c>
      <c r="AA998" s="239">
        <v>11.17747</v>
      </c>
      <c r="AB998" s="239">
        <v>0</v>
      </c>
      <c r="AC998" s="239">
        <v>0</v>
      </c>
      <c r="AD998" s="239">
        <v>1</v>
      </c>
      <c r="AE998" s="239" t="s">
        <v>720</v>
      </c>
      <c r="AF998" s="239" t="s">
        <v>721</v>
      </c>
      <c r="AG998" s="239">
        <f t="shared" si="83"/>
        <v>0</v>
      </c>
      <c r="AH998" s="239">
        <f t="shared" si="84"/>
        <v>0</v>
      </c>
      <c r="AI998" s="239">
        <f t="shared" si="85"/>
        <v>0</v>
      </c>
      <c r="AJ998" s="239">
        <f t="shared" si="86"/>
        <v>0</v>
      </c>
    </row>
    <row r="999" spans="1:36" x14ac:dyDescent="0.2">
      <c r="A999" s="240" t="str">
        <f t="shared" si="82"/>
        <v>3SNCLBE20V100</v>
      </c>
      <c r="B999" s="239" t="s">
        <v>450</v>
      </c>
      <c r="C999" s="239" t="s">
        <v>470</v>
      </c>
      <c r="D999" s="239" t="s">
        <v>772</v>
      </c>
      <c r="E999" s="239" t="str">
        <f t="shared" si="87"/>
        <v xml:space="preserve">Ｃラベル                      </v>
      </c>
      <c r="F999" s="239" t="str">
        <f>"E20V"</f>
        <v>E20V</v>
      </c>
      <c r="G999" s="239">
        <v>100</v>
      </c>
      <c r="H999" s="239" t="str">
        <f t="shared" si="88"/>
        <v xml:space="preserve"> </v>
      </c>
      <c r="I999" s="239" t="str">
        <f>"3"</f>
        <v>3</v>
      </c>
      <c r="J999" s="239" t="str">
        <f t="shared" si="89"/>
        <v xml:space="preserve">   </v>
      </c>
      <c r="K999" s="335">
        <v>45200</v>
      </c>
      <c r="L999" s="239">
        <v>86.542879999999997</v>
      </c>
      <c r="M999" s="239">
        <v>95.2</v>
      </c>
      <c r="N999" s="239">
        <v>0</v>
      </c>
      <c r="O999" s="239">
        <v>0</v>
      </c>
      <c r="P999" s="239">
        <v>0</v>
      </c>
      <c r="Q999" s="239">
        <v>0</v>
      </c>
      <c r="R999" s="239">
        <v>0</v>
      </c>
      <c r="S999" s="239">
        <v>0</v>
      </c>
      <c r="T999" s="239">
        <v>5.2100600000000004</v>
      </c>
      <c r="U999" s="239">
        <v>2.79914</v>
      </c>
      <c r="V999" s="239">
        <v>0.96391000000000004</v>
      </c>
      <c r="W999" s="239">
        <v>27.187709999999999</v>
      </c>
      <c r="X999" s="239">
        <v>0</v>
      </c>
      <c r="Y999" s="239">
        <v>0</v>
      </c>
      <c r="Z999" s="239">
        <v>32.619199999999999</v>
      </c>
      <c r="AA999" s="239">
        <v>17.76286</v>
      </c>
      <c r="AB999" s="239">
        <v>0</v>
      </c>
      <c r="AC999" s="239">
        <v>0</v>
      </c>
      <c r="AD999" s="239">
        <v>1</v>
      </c>
      <c r="AE999" s="239" t="s">
        <v>720</v>
      </c>
      <c r="AF999" s="239" t="s">
        <v>721</v>
      </c>
      <c r="AG999" s="239">
        <f t="shared" si="83"/>
        <v>0</v>
      </c>
      <c r="AH999" s="239">
        <f t="shared" si="84"/>
        <v>0</v>
      </c>
      <c r="AI999" s="239">
        <f t="shared" si="85"/>
        <v>0</v>
      </c>
      <c r="AJ999" s="239">
        <f t="shared" si="86"/>
        <v>0</v>
      </c>
    </row>
    <row r="1000" spans="1:36" x14ac:dyDescent="0.2">
      <c r="A1000" s="240" t="str">
        <f t="shared" si="82"/>
        <v>3SNMCLBNGKEYKB16</v>
      </c>
      <c r="B1000" s="239" t="s">
        <v>450</v>
      </c>
      <c r="C1000" s="239" t="s">
        <v>470</v>
      </c>
      <c r="D1000" s="239" t="s">
        <v>451</v>
      </c>
      <c r="E1000" s="239" t="str">
        <f t="shared" ref="E1000:E1003" si="90">"ＭＣラベル                    "</f>
        <v xml:space="preserve">ＭＣラベル                    </v>
      </c>
      <c r="F1000" s="239" t="str">
        <f>"NGKEYKB"</f>
        <v>NGKEYKB</v>
      </c>
      <c r="G1000" s="239">
        <v>16</v>
      </c>
      <c r="H1000" s="239" t="str">
        <f t="shared" si="88"/>
        <v xml:space="preserve"> </v>
      </c>
      <c r="I1000" s="239" t="str">
        <f>"3"</f>
        <v>3</v>
      </c>
      <c r="J1000" s="239" t="str">
        <f t="shared" si="89"/>
        <v xml:space="preserve">   </v>
      </c>
      <c r="K1000" s="335">
        <v>45200</v>
      </c>
      <c r="L1000" s="239">
        <v>173.45193</v>
      </c>
      <c r="M1000" s="239">
        <v>86</v>
      </c>
      <c r="N1000" s="239">
        <v>0</v>
      </c>
      <c r="O1000" s="239">
        <v>67.069770000000005</v>
      </c>
      <c r="P1000" s="239">
        <v>10.41916</v>
      </c>
      <c r="Q1000" s="239">
        <v>0</v>
      </c>
      <c r="R1000" s="239">
        <v>0</v>
      </c>
      <c r="S1000" s="239">
        <v>0</v>
      </c>
      <c r="T1000" s="239">
        <v>4.5500499999999997</v>
      </c>
      <c r="U1000" s="239">
        <v>2.3251200000000001</v>
      </c>
      <c r="V1000" s="239">
        <v>1.0388999999999999</v>
      </c>
      <c r="W1000" s="239">
        <v>21.158770000000001</v>
      </c>
      <c r="X1000" s="239">
        <v>0</v>
      </c>
      <c r="Y1000" s="239">
        <v>0</v>
      </c>
      <c r="Z1000" s="239">
        <v>30.883310000000002</v>
      </c>
      <c r="AA1000" s="239">
        <v>14.47922</v>
      </c>
      <c r="AB1000" s="239">
        <v>21.527629999999998</v>
      </c>
      <c r="AC1000" s="239">
        <v>0</v>
      </c>
      <c r="AD1000" s="239">
        <v>1</v>
      </c>
      <c r="AE1000" s="239" t="s">
        <v>19</v>
      </c>
      <c r="AF1000" s="239" t="s">
        <v>718</v>
      </c>
      <c r="AG1000" s="239">
        <f t="shared" si="83"/>
        <v>57.680002200000011</v>
      </c>
      <c r="AH1000" s="239">
        <f t="shared" si="84"/>
        <v>8.960477599999999</v>
      </c>
      <c r="AI1000" s="239">
        <f t="shared" si="85"/>
        <v>18.513761800000001</v>
      </c>
      <c r="AJ1000" s="239">
        <f t="shared" si="86"/>
        <v>85.154241600000006</v>
      </c>
    </row>
    <row r="1001" spans="1:36" x14ac:dyDescent="0.2">
      <c r="A1001" s="240" t="str">
        <f t="shared" si="82"/>
        <v>32 SNMCLB NGKEYKB16</v>
      </c>
      <c r="B1001" s="239" t="s">
        <v>450</v>
      </c>
      <c r="C1001" s="239" t="s">
        <v>470</v>
      </c>
      <c r="D1001" s="239" t="s">
        <v>2725</v>
      </c>
      <c r="E1001" s="239" t="str">
        <f t="shared" si="90"/>
        <v xml:space="preserve">ＭＣラベル                    </v>
      </c>
      <c r="F1001" s="239" t="str">
        <f>"NGKEYKB"</f>
        <v>NGKEYKB</v>
      </c>
      <c r="G1001" s="239">
        <v>16</v>
      </c>
      <c r="H1001" s="239" t="str">
        <f t="shared" si="88"/>
        <v xml:space="preserve"> </v>
      </c>
      <c r="I1001" s="239" t="str">
        <f>"32  "</f>
        <v xml:space="preserve">32  </v>
      </c>
      <c r="J1001" s="239" t="str">
        <f t="shared" si="89"/>
        <v xml:space="preserve">   </v>
      </c>
      <c r="K1001" s="335">
        <v>45200</v>
      </c>
      <c r="L1001" s="239">
        <v>27.474240000000002</v>
      </c>
      <c r="M1001" s="239">
        <v>100</v>
      </c>
      <c r="N1001" s="239">
        <v>0</v>
      </c>
      <c r="O1001" s="239">
        <v>0</v>
      </c>
      <c r="P1001" s="239">
        <v>0</v>
      </c>
      <c r="Q1001" s="239">
        <v>0</v>
      </c>
      <c r="R1001" s="239">
        <v>0</v>
      </c>
      <c r="S1001" s="239">
        <v>0</v>
      </c>
      <c r="T1001" s="239">
        <v>0.91110000000000002</v>
      </c>
      <c r="U1001" s="239">
        <v>0</v>
      </c>
      <c r="V1001" s="239">
        <v>0.51405000000000001</v>
      </c>
      <c r="W1001" s="239">
        <v>7.5353300000000001</v>
      </c>
      <c r="X1001" s="239">
        <v>0</v>
      </c>
      <c r="Y1001" s="239">
        <v>0</v>
      </c>
      <c r="Z1001" s="239">
        <v>12.194889999999999</v>
      </c>
      <c r="AA1001" s="239">
        <v>6.3188700000000004</v>
      </c>
      <c r="AB1001" s="239">
        <v>0</v>
      </c>
      <c r="AC1001" s="239">
        <v>0</v>
      </c>
      <c r="AD1001" s="239">
        <v>1</v>
      </c>
      <c r="AE1001" s="239" t="s">
        <v>19</v>
      </c>
      <c r="AF1001" s="239" t="s">
        <v>718</v>
      </c>
      <c r="AG1001" s="239">
        <f t="shared" si="83"/>
        <v>0</v>
      </c>
      <c r="AH1001" s="239">
        <f t="shared" si="84"/>
        <v>0</v>
      </c>
      <c r="AI1001" s="239">
        <f t="shared" si="85"/>
        <v>0</v>
      </c>
      <c r="AJ1001" s="239">
        <f t="shared" si="86"/>
        <v>0</v>
      </c>
    </row>
    <row r="1002" spans="1:36" x14ac:dyDescent="0.2">
      <c r="A1002" s="240" t="str">
        <f>+TRIM(I1002&amp;B1002&amp;C1002&amp;D1002&amp;F1002&amp;G1002)</f>
        <v>3XSNMCLBEYK50</v>
      </c>
      <c r="B1002" s="239" t="s">
        <v>450</v>
      </c>
      <c r="C1002" s="239" t="s">
        <v>470</v>
      </c>
      <c r="D1002" s="239" t="s">
        <v>451</v>
      </c>
      <c r="E1002" s="239" t="str">
        <f t="shared" si="90"/>
        <v xml:space="preserve">ＭＣラベル                    </v>
      </c>
      <c r="F1002" s="239" t="str">
        <f>"EYK"</f>
        <v>EYK</v>
      </c>
      <c r="G1002" s="239">
        <v>50</v>
      </c>
      <c r="H1002" s="239" t="str">
        <f t="shared" si="88"/>
        <v xml:space="preserve"> </v>
      </c>
      <c r="I1002" s="239" t="s">
        <v>2726</v>
      </c>
      <c r="J1002" s="239" t="str">
        <f t="shared" si="89"/>
        <v xml:space="preserve">   </v>
      </c>
      <c r="K1002" s="335">
        <v>45200</v>
      </c>
      <c r="L1002" s="239">
        <v>52.865839999999999</v>
      </c>
      <c r="M1002" s="239">
        <v>80</v>
      </c>
      <c r="N1002" s="239">
        <v>0</v>
      </c>
      <c r="O1002" s="239">
        <v>0</v>
      </c>
      <c r="P1002" s="239">
        <v>3.4655999999999998</v>
      </c>
      <c r="Q1002" s="239">
        <v>0</v>
      </c>
      <c r="R1002" s="239">
        <v>0</v>
      </c>
      <c r="S1002" s="239">
        <v>0</v>
      </c>
      <c r="T1002" s="239">
        <v>4.0600399999999999</v>
      </c>
      <c r="U1002" s="239">
        <v>0.86404000000000003</v>
      </c>
      <c r="V1002" s="239">
        <v>0.75692999999999999</v>
      </c>
      <c r="W1002" s="239">
        <v>12.24187</v>
      </c>
      <c r="X1002" s="239">
        <v>0</v>
      </c>
      <c r="Y1002" s="239">
        <v>0</v>
      </c>
      <c r="Z1002" s="239">
        <v>16.651409999999998</v>
      </c>
      <c r="AA1002" s="239">
        <v>8.5575899999999994</v>
      </c>
      <c r="AB1002" s="239">
        <v>6.2683600000000004</v>
      </c>
      <c r="AC1002" s="239">
        <v>0</v>
      </c>
      <c r="AD1002" s="239">
        <v>1</v>
      </c>
      <c r="AE1002" s="239" t="s">
        <v>20</v>
      </c>
      <c r="AF1002" s="239" t="s">
        <v>718</v>
      </c>
      <c r="AG1002" s="239">
        <f>+O1002*M1002/100</f>
        <v>0</v>
      </c>
      <c r="AH1002" s="239">
        <f>+P1002*M1002/100</f>
        <v>2.7724799999999998</v>
      </c>
      <c r="AI1002" s="239">
        <f>+AB1002*M1002/100</f>
        <v>5.0146880000000005</v>
      </c>
      <c r="AJ1002" s="239">
        <f>+AG1002+AH1002+AI1002</f>
        <v>7.7871680000000003</v>
      </c>
    </row>
    <row r="1003" spans="1:36" x14ac:dyDescent="0.2">
      <c r="A1003" s="240" t="str">
        <f>+TRIM(I1003&amp;B1003&amp;C1003&amp;D1003&amp;F1003&amp;G1003)</f>
        <v>3HSNMCLBWCB50</v>
      </c>
      <c r="B1003" s="239" t="s">
        <v>450</v>
      </c>
      <c r="C1003" s="239" t="s">
        <v>470</v>
      </c>
      <c r="D1003" s="239" t="s">
        <v>451</v>
      </c>
      <c r="E1003" s="239" t="str">
        <f t="shared" si="90"/>
        <v xml:space="preserve">ＭＣラベル                    </v>
      </c>
      <c r="F1003" s="239" t="str">
        <f>"WCB"</f>
        <v>WCB</v>
      </c>
      <c r="G1003" s="239">
        <v>50</v>
      </c>
      <c r="H1003" s="239" t="str">
        <f t="shared" si="88"/>
        <v xml:space="preserve"> </v>
      </c>
      <c r="I1003" s="239" t="s">
        <v>731</v>
      </c>
      <c r="J1003" s="239" t="str">
        <f t="shared" si="89"/>
        <v xml:space="preserve">   </v>
      </c>
      <c r="K1003" s="335">
        <v>45200</v>
      </c>
      <c r="L1003" s="239">
        <v>176.54012</v>
      </c>
      <c r="M1003" s="239">
        <v>92</v>
      </c>
      <c r="N1003" s="239">
        <v>0</v>
      </c>
      <c r="O1003" s="239">
        <v>0</v>
      </c>
      <c r="P1003" s="239">
        <v>3.8039900000000002</v>
      </c>
      <c r="Q1003" s="239">
        <v>0</v>
      </c>
      <c r="R1003" s="239">
        <v>0</v>
      </c>
      <c r="S1003" s="239">
        <v>0</v>
      </c>
      <c r="T1003" s="239">
        <v>29.640319999999999</v>
      </c>
      <c r="U1003" s="239">
        <v>0.88904000000000005</v>
      </c>
      <c r="V1003" s="239">
        <v>1.93381</v>
      </c>
      <c r="W1003" s="239">
        <v>46.080500000000001</v>
      </c>
      <c r="X1003" s="239">
        <v>0</v>
      </c>
      <c r="Y1003" s="239">
        <v>0</v>
      </c>
      <c r="Z1003" s="239">
        <v>56.60566</v>
      </c>
      <c r="AA1003" s="239">
        <v>30.256810000000002</v>
      </c>
      <c r="AB1003" s="239">
        <v>7.3299899999999996</v>
      </c>
      <c r="AC1003" s="239">
        <v>0</v>
      </c>
      <c r="AD1003" s="239">
        <v>1</v>
      </c>
      <c r="AE1003" s="239" t="s">
        <v>19</v>
      </c>
      <c r="AF1003" s="239" t="s">
        <v>718</v>
      </c>
      <c r="AG1003" s="239">
        <f>+O1003*M1003/100</f>
        <v>0</v>
      </c>
      <c r="AH1003" s="239">
        <f>+P1003*M1003/100</f>
        <v>3.4996708000000001</v>
      </c>
      <c r="AI1003" s="239">
        <f>+AB1003*M1003/100</f>
        <v>6.7435907999999998</v>
      </c>
      <c r="AJ1003" s="239">
        <f>+AG1003+AH1003+AI1003</f>
        <v>10.2432616</v>
      </c>
    </row>
    <row r="1004" spans="1:36" x14ac:dyDescent="0.2">
      <c r="A1004" s="240" t="str">
        <f t="shared" ref="A1004:A1007" si="91">TRIM(I1004&amp;B1004&amp;C1004&amp;D1004&amp;F1004&amp;G1004)</f>
        <v>3SYMLBMSBBF25</v>
      </c>
      <c r="B1004" s="239" t="s">
        <v>450</v>
      </c>
      <c r="C1004" s="239" t="s">
        <v>1619</v>
      </c>
      <c r="D1004" s="239" t="s">
        <v>422</v>
      </c>
      <c r="E1004" s="239" t="str">
        <f t="shared" ref="E1004:E1007" si="92">"Ｍラベル                      "</f>
        <v xml:space="preserve">Ｍラベル                      </v>
      </c>
      <c r="F1004" s="239" t="str">
        <f>"MSBBF"</f>
        <v>MSBBF</v>
      </c>
      <c r="G1004" s="239">
        <v>25</v>
      </c>
      <c r="H1004" s="239" t="str">
        <f t="shared" si="88"/>
        <v xml:space="preserve"> </v>
      </c>
      <c r="I1004" s="239" t="str">
        <f>"3"</f>
        <v>3</v>
      </c>
      <c r="J1004" s="239" t="str">
        <f t="shared" si="89"/>
        <v xml:space="preserve">   </v>
      </c>
      <c r="K1004" s="335">
        <v>45200</v>
      </c>
      <c r="L1004" s="239">
        <v>20.681660000000001</v>
      </c>
      <c r="M1004" s="239">
        <v>97.5</v>
      </c>
      <c r="N1004" s="239">
        <v>0</v>
      </c>
      <c r="O1004" s="239">
        <v>0</v>
      </c>
      <c r="P1004" s="239">
        <v>4.2661499999999997</v>
      </c>
      <c r="Q1004" s="239">
        <v>0</v>
      </c>
      <c r="R1004" s="239">
        <v>0</v>
      </c>
      <c r="S1004" s="239">
        <v>0</v>
      </c>
      <c r="T1004" s="239">
        <v>0</v>
      </c>
      <c r="U1004" s="239">
        <v>0.29200999999999999</v>
      </c>
      <c r="V1004" s="239">
        <v>0.30297000000000002</v>
      </c>
      <c r="W1004" s="239">
        <v>0.43</v>
      </c>
      <c r="X1004" s="239">
        <v>0</v>
      </c>
      <c r="Y1004" s="239">
        <v>0</v>
      </c>
      <c r="Z1004" s="239">
        <v>6.1704999999999997</v>
      </c>
      <c r="AA1004" s="239">
        <v>0.96045000000000003</v>
      </c>
      <c r="AB1004" s="239">
        <v>8.2595799999999997</v>
      </c>
      <c r="AC1004" s="239">
        <v>0</v>
      </c>
      <c r="AD1004" s="239">
        <v>1</v>
      </c>
      <c r="AE1004" s="239" t="s">
        <v>19</v>
      </c>
      <c r="AF1004" s="239" t="s">
        <v>718</v>
      </c>
      <c r="AG1004" s="239">
        <f t="shared" ref="AG1004:AG1007" si="93">+O1004*M1004/100</f>
        <v>0</v>
      </c>
      <c r="AH1004" s="239">
        <f t="shared" ref="AH1004:AH1007" si="94">+P1004*M1004/100</f>
        <v>4.1594962500000001</v>
      </c>
      <c r="AI1004" s="239">
        <f t="shared" ref="AI1004:AI1007" si="95">+AB1004*M1004/100</f>
        <v>8.0530904999999997</v>
      </c>
      <c r="AJ1004" s="239">
        <f t="shared" ref="AJ1004:AJ1007" si="96">+AG1004+AH1004+AI1004</f>
        <v>12.21258675</v>
      </c>
    </row>
    <row r="1005" spans="1:36" x14ac:dyDescent="0.2">
      <c r="A1005" s="240" t="str">
        <f t="shared" si="91"/>
        <v>32 SYMLB MSBBF25</v>
      </c>
      <c r="B1005" s="239" t="s">
        <v>450</v>
      </c>
      <c r="C1005" s="239" t="s">
        <v>1619</v>
      </c>
      <c r="D1005" s="239" t="s">
        <v>2735</v>
      </c>
      <c r="E1005" s="239" t="str">
        <f t="shared" si="92"/>
        <v xml:space="preserve">Ｍラベル                      </v>
      </c>
      <c r="F1005" s="239" t="str">
        <f>"MSBBF"</f>
        <v>MSBBF</v>
      </c>
      <c r="G1005" s="239">
        <v>25</v>
      </c>
      <c r="H1005" s="239" t="str">
        <f t="shared" si="88"/>
        <v xml:space="preserve"> </v>
      </c>
      <c r="I1005" s="239" t="str">
        <f>"32  "</f>
        <v xml:space="preserve">32  </v>
      </c>
      <c r="J1005" s="239" t="str">
        <f t="shared" si="89"/>
        <v xml:space="preserve">   </v>
      </c>
      <c r="K1005" s="335">
        <v>45200</v>
      </c>
      <c r="L1005" s="239">
        <v>12.212590000000001</v>
      </c>
      <c r="M1005" s="239">
        <v>100</v>
      </c>
      <c r="N1005" s="239">
        <v>0</v>
      </c>
      <c r="O1005" s="239">
        <v>0</v>
      </c>
      <c r="P1005" s="239">
        <v>0</v>
      </c>
      <c r="Q1005" s="239">
        <v>0</v>
      </c>
      <c r="R1005" s="239">
        <v>0</v>
      </c>
      <c r="S1005" s="239">
        <v>0</v>
      </c>
      <c r="T1005" s="239">
        <v>0.47017999999999999</v>
      </c>
      <c r="U1005" s="239">
        <v>0</v>
      </c>
      <c r="V1005" s="239">
        <v>0.36803999999999998</v>
      </c>
      <c r="W1005" s="239">
        <v>3.3212799999999998</v>
      </c>
      <c r="X1005" s="239">
        <v>0</v>
      </c>
      <c r="Y1005" s="239">
        <v>0</v>
      </c>
      <c r="Z1005" s="239">
        <v>5.30457</v>
      </c>
      <c r="AA1005" s="239">
        <v>2.7485200000000001</v>
      </c>
      <c r="AB1005" s="239">
        <v>0</v>
      </c>
      <c r="AC1005" s="239">
        <v>0</v>
      </c>
      <c r="AD1005" s="239">
        <v>1</v>
      </c>
      <c r="AE1005" s="239" t="s">
        <v>19</v>
      </c>
      <c r="AF1005" s="239" t="s">
        <v>718</v>
      </c>
      <c r="AG1005" s="239">
        <f t="shared" si="93"/>
        <v>0</v>
      </c>
      <c r="AH1005" s="239">
        <f t="shared" si="94"/>
        <v>0</v>
      </c>
      <c r="AI1005" s="239">
        <f t="shared" si="95"/>
        <v>0</v>
      </c>
      <c r="AJ1005" s="239">
        <f t="shared" si="96"/>
        <v>0</v>
      </c>
    </row>
    <row r="1006" spans="1:36" x14ac:dyDescent="0.2">
      <c r="A1006" s="240" t="str">
        <f t="shared" si="91"/>
        <v>3SYMLBMSSMBF25</v>
      </c>
      <c r="B1006" s="239" t="s">
        <v>450</v>
      </c>
      <c r="C1006" s="239" t="s">
        <v>1619</v>
      </c>
      <c r="D1006" s="239" t="s">
        <v>422</v>
      </c>
      <c r="E1006" s="239" t="str">
        <f t="shared" si="92"/>
        <v xml:space="preserve">Ｍラベル                      </v>
      </c>
      <c r="F1006" s="239" t="str">
        <f>"MSSMBF"</f>
        <v>MSSMBF</v>
      </c>
      <c r="G1006" s="239">
        <v>25</v>
      </c>
      <c r="H1006" s="239" t="str">
        <f t="shared" si="88"/>
        <v xml:space="preserve"> </v>
      </c>
      <c r="I1006" s="239" t="str">
        <f>"3"</f>
        <v>3</v>
      </c>
      <c r="J1006" s="239" t="str">
        <f t="shared" si="89"/>
        <v xml:space="preserve">   </v>
      </c>
      <c r="K1006" s="335">
        <v>45200</v>
      </c>
      <c r="L1006" s="239">
        <v>71.390450000000001</v>
      </c>
      <c r="M1006" s="239">
        <v>98</v>
      </c>
      <c r="N1006" s="239">
        <v>0</v>
      </c>
      <c r="O1006" s="239">
        <v>51.438780000000001</v>
      </c>
      <c r="P1006" s="239">
        <v>4.2443900000000001</v>
      </c>
      <c r="Q1006" s="239">
        <v>0</v>
      </c>
      <c r="R1006" s="239">
        <v>0</v>
      </c>
      <c r="S1006" s="239">
        <v>0</v>
      </c>
      <c r="T1006" s="239">
        <v>0</v>
      </c>
      <c r="U1006" s="239">
        <v>2.68513</v>
      </c>
      <c r="V1006" s="239">
        <v>0.30297000000000002</v>
      </c>
      <c r="W1006" s="239">
        <v>0.25600000000000001</v>
      </c>
      <c r="X1006" s="239">
        <v>0</v>
      </c>
      <c r="Y1006" s="239">
        <v>0</v>
      </c>
      <c r="Z1006" s="239">
        <v>3.6734900000000001</v>
      </c>
      <c r="AA1006" s="239">
        <v>0.57225000000000004</v>
      </c>
      <c r="AB1006" s="239">
        <v>8.2174399999999999</v>
      </c>
      <c r="AC1006" s="239">
        <v>0</v>
      </c>
      <c r="AD1006" s="239">
        <v>1</v>
      </c>
      <c r="AE1006" s="239" t="s">
        <v>20</v>
      </c>
      <c r="AF1006" s="239" t="s">
        <v>718</v>
      </c>
      <c r="AG1006" s="239">
        <f t="shared" si="93"/>
        <v>50.410004399999998</v>
      </c>
      <c r="AH1006" s="239">
        <f t="shared" si="94"/>
        <v>4.1595022000000004</v>
      </c>
      <c r="AI1006" s="239">
        <f t="shared" si="95"/>
        <v>8.0530912000000008</v>
      </c>
      <c r="AJ1006" s="239">
        <f t="shared" si="96"/>
        <v>62.622597799999994</v>
      </c>
    </row>
    <row r="1007" spans="1:36" x14ac:dyDescent="0.2">
      <c r="A1007" s="240" t="str">
        <f t="shared" si="91"/>
        <v>32 SYMLB MSSMBF25</v>
      </c>
      <c r="B1007" s="239" t="s">
        <v>450</v>
      </c>
      <c r="C1007" s="239" t="s">
        <v>1619</v>
      </c>
      <c r="D1007" s="239" t="s">
        <v>2735</v>
      </c>
      <c r="E1007" s="239" t="str">
        <f t="shared" si="92"/>
        <v xml:space="preserve">Ｍラベル                      </v>
      </c>
      <c r="F1007" s="239" t="str">
        <f>"MSSMBF"</f>
        <v>MSSMBF</v>
      </c>
      <c r="G1007" s="239">
        <v>25</v>
      </c>
      <c r="H1007" s="239" t="str">
        <f t="shared" si="88"/>
        <v xml:space="preserve"> </v>
      </c>
      <c r="I1007" s="239" t="str">
        <f>"32  "</f>
        <v xml:space="preserve">32  </v>
      </c>
      <c r="J1007" s="239" t="str">
        <f t="shared" si="89"/>
        <v xml:space="preserve">   </v>
      </c>
      <c r="K1007" s="335">
        <v>45200</v>
      </c>
      <c r="L1007" s="239">
        <v>12.212590000000001</v>
      </c>
      <c r="M1007" s="239">
        <v>100</v>
      </c>
      <c r="N1007" s="239">
        <v>0</v>
      </c>
      <c r="O1007" s="239">
        <v>0</v>
      </c>
      <c r="P1007" s="239">
        <v>0</v>
      </c>
      <c r="Q1007" s="239">
        <v>0</v>
      </c>
      <c r="R1007" s="239">
        <v>0</v>
      </c>
      <c r="S1007" s="239">
        <v>0</v>
      </c>
      <c r="T1007" s="239">
        <v>0.47017999999999999</v>
      </c>
      <c r="U1007" s="239">
        <v>0</v>
      </c>
      <c r="V1007" s="239">
        <v>0.36803999999999998</v>
      </c>
      <c r="W1007" s="239">
        <v>3.3212799999999998</v>
      </c>
      <c r="X1007" s="239">
        <v>0</v>
      </c>
      <c r="Y1007" s="239">
        <v>0</v>
      </c>
      <c r="Z1007" s="239">
        <v>5.30457</v>
      </c>
      <c r="AA1007" s="239">
        <v>2.7485200000000001</v>
      </c>
      <c r="AB1007" s="239">
        <v>0</v>
      </c>
      <c r="AC1007" s="239">
        <v>0</v>
      </c>
      <c r="AD1007" s="239">
        <v>1</v>
      </c>
      <c r="AE1007" s="239" t="s">
        <v>20</v>
      </c>
      <c r="AF1007" s="239" t="s">
        <v>718</v>
      </c>
      <c r="AG1007" s="239">
        <f t="shared" si="93"/>
        <v>0</v>
      </c>
      <c r="AH1007" s="239">
        <f t="shared" si="94"/>
        <v>0</v>
      </c>
      <c r="AI1007" s="239">
        <f t="shared" si="95"/>
        <v>0</v>
      </c>
      <c r="AJ1007" s="239">
        <f t="shared" si="96"/>
        <v>0</v>
      </c>
    </row>
    <row r="1008" spans="1:36" x14ac:dyDescent="0.2">
      <c r="A1008" s="240" t="str">
        <f t="shared" ref="A1008:A1040" si="97">I1008&amp;B1008&amp;C1008&amp;D1008&amp;F1008&amp;G1008</f>
        <v/>
      </c>
      <c r="K1008" s="245"/>
      <c r="AG1008" s="240"/>
      <c r="AH1008" s="240"/>
      <c r="AI1008" s="240"/>
    </row>
    <row r="1009" spans="1:35" x14ac:dyDescent="0.2">
      <c r="A1009" s="240" t="str">
        <f t="shared" si="97"/>
        <v/>
      </c>
      <c r="K1009" s="245"/>
      <c r="AG1009" s="240"/>
      <c r="AH1009" s="240"/>
      <c r="AI1009" s="240"/>
    </row>
    <row r="1010" spans="1:35" x14ac:dyDescent="0.2">
      <c r="A1010" s="240" t="str">
        <f t="shared" si="97"/>
        <v/>
      </c>
      <c r="K1010" s="245"/>
      <c r="AG1010" s="240"/>
      <c r="AH1010" s="240"/>
      <c r="AI1010" s="240"/>
    </row>
    <row r="1011" spans="1:35" x14ac:dyDescent="0.2">
      <c r="A1011" s="240" t="str">
        <f t="shared" si="97"/>
        <v/>
      </c>
      <c r="K1011" s="245"/>
      <c r="AG1011" s="240"/>
      <c r="AH1011" s="240"/>
      <c r="AI1011" s="240"/>
    </row>
    <row r="1012" spans="1:35" x14ac:dyDescent="0.2">
      <c r="A1012" s="240" t="str">
        <f t="shared" si="97"/>
        <v/>
      </c>
      <c r="K1012" s="245"/>
      <c r="AG1012" s="240"/>
      <c r="AH1012" s="240"/>
      <c r="AI1012" s="240"/>
    </row>
    <row r="1013" spans="1:35" x14ac:dyDescent="0.2">
      <c r="A1013" s="240" t="str">
        <f t="shared" si="97"/>
        <v/>
      </c>
      <c r="K1013" s="245"/>
      <c r="AG1013" s="240"/>
      <c r="AH1013" s="240"/>
      <c r="AI1013" s="240"/>
    </row>
    <row r="1014" spans="1:35" x14ac:dyDescent="0.2">
      <c r="A1014" s="240" t="str">
        <f t="shared" si="97"/>
        <v/>
      </c>
      <c r="K1014" s="245"/>
      <c r="AG1014" s="240"/>
      <c r="AH1014" s="240"/>
      <c r="AI1014" s="240"/>
    </row>
    <row r="1015" spans="1:35" x14ac:dyDescent="0.2">
      <c r="A1015" s="240" t="str">
        <f t="shared" si="97"/>
        <v/>
      </c>
      <c r="K1015" s="245"/>
      <c r="AG1015" s="240"/>
      <c r="AH1015" s="240"/>
      <c r="AI1015" s="240"/>
    </row>
    <row r="1016" spans="1:35" x14ac:dyDescent="0.2">
      <c r="A1016" s="240" t="str">
        <f t="shared" si="97"/>
        <v/>
      </c>
      <c r="K1016" s="245"/>
      <c r="AG1016" s="240"/>
      <c r="AH1016" s="240"/>
      <c r="AI1016" s="240"/>
    </row>
    <row r="1017" spans="1:35" x14ac:dyDescent="0.2">
      <c r="A1017" s="240" t="str">
        <f t="shared" si="97"/>
        <v/>
      </c>
      <c r="K1017" s="245"/>
      <c r="AG1017" s="240"/>
      <c r="AH1017" s="240"/>
      <c r="AI1017" s="240"/>
    </row>
    <row r="1018" spans="1:35" x14ac:dyDescent="0.2">
      <c r="A1018" s="240" t="str">
        <f t="shared" si="97"/>
        <v/>
      </c>
      <c r="K1018" s="245"/>
      <c r="AG1018" s="240"/>
      <c r="AH1018" s="240"/>
      <c r="AI1018" s="240"/>
    </row>
    <row r="1019" spans="1:35" x14ac:dyDescent="0.2">
      <c r="A1019" s="240" t="str">
        <f t="shared" si="97"/>
        <v/>
      </c>
      <c r="K1019" s="245"/>
      <c r="AG1019" s="240"/>
      <c r="AH1019" s="240"/>
      <c r="AI1019" s="240"/>
    </row>
    <row r="1020" spans="1:35" x14ac:dyDescent="0.2">
      <c r="A1020" s="240" t="str">
        <f t="shared" si="97"/>
        <v/>
      </c>
      <c r="K1020" s="245"/>
      <c r="AG1020" s="240"/>
      <c r="AH1020" s="240"/>
      <c r="AI1020" s="240"/>
    </row>
    <row r="1021" spans="1:35" x14ac:dyDescent="0.2">
      <c r="A1021" s="240" t="str">
        <f t="shared" si="97"/>
        <v/>
      </c>
      <c r="K1021" s="245"/>
      <c r="AG1021" s="240"/>
      <c r="AH1021" s="240"/>
      <c r="AI1021" s="240"/>
    </row>
    <row r="1022" spans="1:35" x14ac:dyDescent="0.2">
      <c r="A1022" s="240" t="str">
        <f t="shared" si="97"/>
        <v/>
      </c>
      <c r="K1022" s="245"/>
      <c r="AG1022" s="240"/>
      <c r="AH1022" s="240"/>
      <c r="AI1022" s="240"/>
    </row>
    <row r="1023" spans="1:35" x14ac:dyDescent="0.2">
      <c r="A1023" s="240" t="str">
        <f t="shared" si="97"/>
        <v/>
      </c>
      <c r="K1023" s="245"/>
      <c r="AG1023" s="240"/>
      <c r="AH1023" s="240"/>
      <c r="AI1023" s="240"/>
    </row>
    <row r="1024" spans="1:35" x14ac:dyDescent="0.2">
      <c r="A1024" s="240" t="str">
        <f t="shared" si="97"/>
        <v/>
      </c>
      <c r="K1024" s="245"/>
      <c r="AG1024" s="240"/>
      <c r="AH1024" s="240"/>
      <c r="AI1024" s="240"/>
    </row>
    <row r="1025" spans="1:35" x14ac:dyDescent="0.2">
      <c r="A1025" s="240" t="str">
        <f t="shared" si="97"/>
        <v/>
      </c>
      <c r="K1025" s="245"/>
      <c r="AG1025" s="240"/>
      <c r="AH1025" s="240"/>
      <c r="AI1025" s="240"/>
    </row>
    <row r="1026" spans="1:35" x14ac:dyDescent="0.2">
      <c r="A1026" s="240" t="str">
        <f t="shared" si="97"/>
        <v/>
      </c>
      <c r="K1026" s="245"/>
      <c r="AG1026" s="240"/>
    </row>
    <row r="1027" spans="1:35" x14ac:dyDescent="0.2">
      <c r="A1027" s="240" t="str">
        <f t="shared" si="97"/>
        <v/>
      </c>
      <c r="K1027" s="245"/>
      <c r="AG1027" s="240"/>
    </row>
    <row r="1028" spans="1:35" x14ac:dyDescent="0.2">
      <c r="A1028" s="240" t="str">
        <f t="shared" si="97"/>
        <v/>
      </c>
      <c r="K1028" s="245"/>
      <c r="AG1028" s="240"/>
    </row>
    <row r="1029" spans="1:35" x14ac:dyDescent="0.2">
      <c r="A1029" s="240" t="str">
        <f t="shared" si="97"/>
        <v/>
      </c>
      <c r="K1029" s="245"/>
      <c r="AG1029" s="240"/>
    </row>
    <row r="1030" spans="1:35" x14ac:dyDescent="0.2">
      <c r="A1030" s="240" t="str">
        <f t="shared" si="97"/>
        <v/>
      </c>
      <c r="K1030" s="245"/>
      <c r="AG1030" s="240"/>
    </row>
    <row r="1031" spans="1:35" x14ac:dyDescent="0.2">
      <c r="A1031" s="240" t="str">
        <f t="shared" si="97"/>
        <v/>
      </c>
      <c r="K1031" s="245"/>
      <c r="AG1031" s="240"/>
    </row>
    <row r="1032" spans="1:35" x14ac:dyDescent="0.2">
      <c r="A1032" s="240" t="str">
        <f t="shared" si="97"/>
        <v/>
      </c>
      <c r="K1032" s="245"/>
      <c r="AG1032" s="240"/>
    </row>
    <row r="1033" spans="1:35" x14ac:dyDescent="0.2">
      <c r="A1033" s="240" t="str">
        <f t="shared" si="97"/>
        <v/>
      </c>
      <c r="K1033" s="245"/>
      <c r="AG1033" s="240"/>
    </row>
    <row r="1034" spans="1:35" x14ac:dyDescent="0.2">
      <c r="A1034" s="240" t="str">
        <f t="shared" si="97"/>
        <v/>
      </c>
      <c r="K1034" s="245"/>
      <c r="AG1034" s="240"/>
    </row>
    <row r="1035" spans="1:35" x14ac:dyDescent="0.2">
      <c r="A1035" s="240" t="str">
        <f t="shared" si="97"/>
        <v/>
      </c>
      <c r="K1035" s="245"/>
      <c r="AG1035" s="240"/>
    </row>
    <row r="1036" spans="1:35" x14ac:dyDescent="0.2">
      <c r="A1036" s="240" t="str">
        <f t="shared" si="97"/>
        <v/>
      </c>
      <c r="K1036" s="245"/>
      <c r="AG1036" s="240"/>
    </row>
    <row r="1037" spans="1:35" x14ac:dyDescent="0.2">
      <c r="A1037" s="240" t="str">
        <f t="shared" si="97"/>
        <v/>
      </c>
      <c r="K1037" s="245"/>
      <c r="AG1037" s="240"/>
    </row>
    <row r="1038" spans="1:35" x14ac:dyDescent="0.2">
      <c r="A1038" s="240" t="str">
        <f t="shared" si="97"/>
        <v/>
      </c>
      <c r="K1038" s="245"/>
      <c r="AG1038" s="240"/>
    </row>
    <row r="1039" spans="1:35" x14ac:dyDescent="0.2">
      <c r="A1039" s="240" t="str">
        <f t="shared" si="97"/>
        <v/>
      </c>
      <c r="K1039" s="245"/>
      <c r="AG1039" s="240"/>
    </row>
    <row r="1040" spans="1:35" x14ac:dyDescent="0.2">
      <c r="A1040" s="240" t="str">
        <f t="shared" si="97"/>
        <v/>
      </c>
      <c r="K1040" s="245"/>
      <c r="AG1040" s="240"/>
    </row>
    <row r="1041" spans="1:35" x14ac:dyDescent="0.2">
      <c r="A1041" s="240" t="str">
        <f t="shared" ref="A1041:A1104" si="98">I1041&amp;B1041&amp;C1041&amp;D1041&amp;F1041&amp;G1041</f>
        <v/>
      </c>
      <c r="K1041" s="245"/>
      <c r="AG1041" s="240"/>
    </row>
    <row r="1042" spans="1:35" x14ac:dyDescent="0.2">
      <c r="A1042" s="240" t="str">
        <f t="shared" si="98"/>
        <v/>
      </c>
      <c r="K1042" s="245"/>
      <c r="AG1042" s="240"/>
    </row>
    <row r="1043" spans="1:35" x14ac:dyDescent="0.2">
      <c r="A1043" s="240" t="str">
        <f t="shared" si="98"/>
        <v/>
      </c>
      <c r="K1043" s="245"/>
      <c r="AG1043" s="240"/>
    </row>
    <row r="1044" spans="1:35" x14ac:dyDescent="0.2">
      <c r="A1044" s="240" t="str">
        <f t="shared" si="98"/>
        <v/>
      </c>
      <c r="K1044" s="245"/>
      <c r="AG1044" s="240"/>
    </row>
    <row r="1045" spans="1:35" x14ac:dyDescent="0.2">
      <c r="A1045" s="240" t="str">
        <f t="shared" si="98"/>
        <v/>
      </c>
      <c r="K1045" s="245"/>
      <c r="AG1045" s="240"/>
    </row>
    <row r="1046" spans="1:35" x14ac:dyDescent="0.2">
      <c r="A1046" s="240" t="str">
        <f t="shared" si="98"/>
        <v/>
      </c>
      <c r="K1046" s="245"/>
      <c r="AG1046" s="240"/>
      <c r="AH1046" s="240"/>
      <c r="AI1046" s="240"/>
    </row>
    <row r="1047" spans="1:35" x14ac:dyDescent="0.2">
      <c r="A1047" s="240" t="str">
        <f t="shared" si="98"/>
        <v/>
      </c>
      <c r="K1047" s="245"/>
      <c r="AG1047" s="240"/>
      <c r="AH1047" s="240"/>
      <c r="AI1047" s="240"/>
    </row>
    <row r="1048" spans="1:35" x14ac:dyDescent="0.2">
      <c r="A1048" s="240" t="str">
        <f t="shared" si="98"/>
        <v/>
      </c>
      <c r="K1048" s="245"/>
      <c r="AG1048" s="240"/>
    </row>
    <row r="1049" spans="1:35" x14ac:dyDescent="0.2">
      <c r="A1049" s="240" t="str">
        <f t="shared" si="98"/>
        <v/>
      </c>
      <c r="K1049" s="245"/>
      <c r="AG1049" s="240"/>
    </row>
    <row r="1050" spans="1:35" x14ac:dyDescent="0.2">
      <c r="A1050" s="240" t="str">
        <f t="shared" si="98"/>
        <v/>
      </c>
      <c r="K1050" s="245"/>
      <c r="AG1050" s="240"/>
    </row>
    <row r="1051" spans="1:35" x14ac:dyDescent="0.2">
      <c r="A1051" s="240" t="str">
        <f t="shared" si="98"/>
        <v/>
      </c>
      <c r="K1051" s="245"/>
      <c r="AG1051" s="240"/>
    </row>
    <row r="1052" spans="1:35" x14ac:dyDescent="0.2">
      <c r="A1052" s="240" t="str">
        <f t="shared" si="98"/>
        <v/>
      </c>
      <c r="K1052" s="245"/>
      <c r="AG1052" s="240"/>
    </row>
    <row r="1053" spans="1:35" x14ac:dyDescent="0.2">
      <c r="A1053" s="240" t="str">
        <f t="shared" si="98"/>
        <v/>
      </c>
      <c r="K1053" s="245"/>
      <c r="AG1053" s="240"/>
    </row>
    <row r="1054" spans="1:35" x14ac:dyDescent="0.2">
      <c r="A1054" s="240" t="str">
        <f t="shared" si="98"/>
        <v/>
      </c>
      <c r="K1054" s="245"/>
      <c r="AG1054" s="240"/>
    </row>
    <row r="1055" spans="1:35" x14ac:dyDescent="0.2">
      <c r="A1055" s="240" t="str">
        <f t="shared" si="98"/>
        <v/>
      </c>
      <c r="K1055" s="245"/>
      <c r="AG1055" s="240"/>
    </row>
    <row r="1056" spans="1:35" x14ac:dyDescent="0.2">
      <c r="A1056" s="240" t="str">
        <f t="shared" si="98"/>
        <v/>
      </c>
      <c r="K1056" s="245"/>
      <c r="AG1056" s="240"/>
    </row>
    <row r="1057" spans="1:33" x14ac:dyDescent="0.2">
      <c r="A1057" s="240" t="str">
        <f t="shared" si="98"/>
        <v/>
      </c>
      <c r="K1057" s="245"/>
      <c r="AG1057" s="240"/>
    </row>
    <row r="1058" spans="1:33" x14ac:dyDescent="0.2">
      <c r="A1058" s="240" t="str">
        <f t="shared" si="98"/>
        <v/>
      </c>
      <c r="K1058" s="245"/>
      <c r="AG1058" s="240"/>
    </row>
    <row r="1059" spans="1:33" x14ac:dyDescent="0.2">
      <c r="A1059" s="240" t="str">
        <f t="shared" si="98"/>
        <v/>
      </c>
      <c r="K1059" s="245"/>
      <c r="AG1059" s="240"/>
    </row>
    <row r="1060" spans="1:33" x14ac:dyDescent="0.2">
      <c r="A1060" s="240" t="str">
        <f t="shared" si="98"/>
        <v/>
      </c>
      <c r="K1060" s="245"/>
      <c r="AG1060" s="240"/>
    </row>
    <row r="1061" spans="1:33" x14ac:dyDescent="0.2">
      <c r="A1061" s="240" t="str">
        <f t="shared" si="98"/>
        <v/>
      </c>
      <c r="K1061" s="245"/>
      <c r="AG1061" s="240"/>
    </row>
    <row r="1062" spans="1:33" x14ac:dyDescent="0.2">
      <c r="A1062" s="240" t="str">
        <f t="shared" si="98"/>
        <v/>
      </c>
      <c r="K1062" s="245"/>
      <c r="AG1062" s="240"/>
    </row>
    <row r="1063" spans="1:33" x14ac:dyDescent="0.2">
      <c r="A1063" s="240" t="str">
        <f t="shared" si="98"/>
        <v/>
      </c>
      <c r="K1063" s="245"/>
      <c r="AG1063" s="240"/>
    </row>
    <row r="1064" spans="1:33" x14ac:dyDescent="0.2">
      <c r="A1064" s="240" t="str">
        <f t="shared" si="98"/>
        <v/>
      </c>
      <c r="K1064" s="245"/>
      <c r="AG1064" s="240"/>
    </row>
    <row r="1065" spans="1:33" x14ac:dyDescent="0.2">
      <c r="A1065" s="240" t="str">
        <f t="shared" si="98"/>
        <v/>
      </c>
      <c r="K1065" s="245"/>
      <c r="AG1065" s="240"/>
    </row>
    <row r="1066" spans="1:33" x14ac:dyDescent="0.2">
      <c r="A1066" s="240" t="str">
        <f t="shared" si="98"/>
        <v/>
      </c>
      <c r="K1066" s="245"/>
      <c r="AG1066" s="240"/>
    </row>
    <row r="1067" spans="1:33" x14ac:dyDescent="0.2">
      <c r="A1067" s="240" t="str">
        <f t="shared" si="98"/>
        <v/>
      </c>
      <c r="K1067" s="245"/>
      <c r="AG1067" s="240"/>
    </row>
    <row r="1068" spans="1:33" x14ac:dyDescent="0.2">
      <c r="A1068" s="240" t="str">
        <f t="shared" si="98"/>
        <v/>
      </c>
      <c r="K1068" s="245"/>
      <c r="AG1068" s="240"/>
    </row>
    <row r="1069" spans="1:33" x14ac:dyDescent="0.2">
      <c r="A1069" s="240" t="str">
        <f t="shared" si="98"/>
        <v/>
      </c>
      <c r="K1069" s="245"/>
      <c r="AG1069" s="240"/>
    </row>
    <row r="1070" spans="1:33" x14ac:dyDescent="0.2">
      <c r="A1070" s="240" t="str">
        <f t="shared" si="98"/>
        <v/>
      </c>
      <c r="K1070" s="245"/>
      <c r="AG1070" s="240"/>
    </row>
    <row r="1071" spans="1:33" x14ac:dyDescent="0.2">
      <c r="A1071" s="240" t="str">
        <f t="shared" si="98"/>
        <v/>
      </c>
      <c r="K1071" s="245"/>
      <c r="AG1071" s="240"/>
    </row>
    <row r="1072" spans="1:33" x14ac:dyDescent="0.2">
      <c r="A1072" s="240" t="str">
        <f t="shared" si="98"/>
        <v/>
      </c>
      <c r="K1072" s="245"/>
      <c r="AG1072" s="240"/>
    </row>
    <row r="1073" spans="1:33" x14ac:dyDescent="0.2">
      <c r="A1073" s="240" t="str">
        <f t="shared" si="98"/>
        <v/>
      </c>
      <c r="K1073" s="245"/>
      <c r="AG1073" s="240"/>
    </row>
    <row r="1074" spans="1:33" x14ac:dyDescent="0.2">
      <c r="A1074" s="240" t="str">
        <f t="shared" si="98"/>
        <v/>
      </c>
      <c r="K1074" s="245"/>
      <c r="AG1074" s="240"/>
    </row>
    <row r="1075" spans="1:33" x14ac:dyDescent="0.2">
      <c r="A1075" s="240" t="str">
        <f t="shared" si="98"/>
        <v/>
      </c>
      <c r="K1075" s="245"/>
      <c r="AG1075" s="240"/>
    </row>
    <row r="1076" spans="1:33" x14ac:dyDescent="0.2">
      <c r="A1076" s="240" t="str">
        <f t="shared" si="98"/>
        <v/>
      </c>
      <c r="K1076" s="245"/>
      <c r="AG1076" s="240"/>
    </row>
    <row r="1077" spans="1:33" x14ac:dyDescent="0.2">
      <c r="A1077" s="240" t="str">
        <f t="shared" si="98"/>
        <v/>
      </c>
      <c r="K1077" s="245"/>
      <c r="AG1077" s="240"/>
    </row>
    <row r="1078" spans="1:33" x14ac:dyDescent="0.2">
      <c r="A1078" s="240" t="str">
        <f t="shared" si="98"/>
        <v/>
      </c>
      <c r="K1078" s="245"/>
      <c r="AG1078" s="240"/>
    </row>
    <row r="1079" spans="1:33" x14ac:dyDescent="0.2">
      <c r="A1079" s="240" t="str">
        <f t="shared" si="98"/>
        <v/>
      </c>
      <c r="K1079" s="245"/>
      <c r="AG1079" s="240"/>
    </row>
    <row r="1080" spans="1:33" x14ac:dyDescent="0.2">
      <c r="A1080" s="240" t="str">
        <f t="shared" si="98"/>
        <v/>
      </c>
      <c r="K1080" s="245"/>
      <c r="AG1080" s="240"/>
    </row>
    <row r="1081" spans="1:33" x14ac:dyDescent="0.2">
      <c r="A1081" s="240" t="str">
        <f t="shared" si="98"/>
        <v/>
      </c>
      <c r="K1081" s="245"/>
      <c r="AG1081" s="240"/>
    </row>
    <row r="1082" spans="1:33" x14ac:dyDescent="0.2">
      <c r="A1082" s="240" t="str">
        <f t="shared" si="98"/>
        <v/>
      </c>
      <c r="K1082" s="245"/>
      <c r="AG1082" s="240"/>
    </row>
    <row r="1083" spans="1:33" x14ac:dyDescent="0.2">
      <c r="A1083" s="240" t="str">
        <f t="shared" si="98"/>
        <v/>
      </c>
      <c r="K1083" s="245"/>
      <c r="AG1083" s="240"/>
    </row>
    <row r="1084" spans="1:33" x14ac:dyDescent="0.2">
      <c r="A1084" s="240" t="str">
        <f t="shared" si="98"/>
        <v/>
      </c>
      <c r="K1084" s="245"/>
      <c r="AG1084" s="240"/>
    </row>
    <row r="1085" spans="1:33" x14ac:dyDescent="0.2">
      <c r="A1085" s="240" t="str">
        <f t="shared" si="98"/>
        <v/>
      </c>
      <c r="K1085" s="245"/>
      <c r="AG1085" s="240"/>
    </row>
    <row r="1086" spans="1:33" x14ac:dyDescent="0.2">
      <c r="A1086" s="240" t="str">
        <f t="shared" si="98"/>
        <v/>
      </c>
      <c r="K1086" s="245"/>
      <c r="AG1086" s="240"/>
    </row>
    <row r="1087" spans="1:33" x14ac:dyDescent="0.2">
      <c r="A1087" s="240" t="str">
        <f t="shared" si="98"/>
        <v/>
      </c>
      <c r="K1087" s="245"/>
      <c r="AG1087" s="240"/>
    </row>
    <row r="1088" spans="1:33" x14ac:dyDescent="0.2">
      <c r="A1088" s="240" t="str">
        <f t="shared" si="98"/>
        <v/>
      </c>
      <c r="K1088" s="245"/>
      <c r="AG1088" s="240"/>
    </row>
    <row r="1089" spans="1:33" x14ac:dyDescent="0.2">
      <c r="A1089" s="240" t="str">
        <f t="shared" si="98"/>
        <v/>
      </c>
      <c r="K1089" s="245"/>
      <c r="AG1089" s="240"/>
    </row>
    <row r="1090" spans="1:33" x14ac:dyDescent="0.2">
      <c r="A1090" s="240" t="str">
        <f t="shared" si="98"/>
        <v/>
      </c>
      <c r="K1090" s="245"/>
      <c r="AG1090" s="240"/>
    </row>
    <row r="1091" spans="1:33" x14ac:dyDescent="0.2">
      <c r="A1091" s="240" t="str">
        <f t="shared" si="98"/>
        <v/>
      </c>
      <c r="K1091" s="245"/>
      <c r="AG1091" s="240"/>
    </row>
    <row r="1092" spans="1:33" x14ac:dyDescent="0.2">
      <c r="A1092" s="240" t="str">
        <f t="shared" si="98"/>
        <v/>
      </c>
      <c r="K1092" s="245"/>
      <c r="AG1092" s="240"/>
    </row>
    <row r="1093" spans="1:33" x14ac:dyDescent="0.2">
      <c r="A1093" s="240" t="str">
        <f t="shared" si="98"/>
        <v/>
      </c>
      <c r="K1093" s="245"/>
      <c r="AG1093" s="240"/>
    </row>
    <row r="1094" spans="1:33" x14ac:dyDescent="0.2">
      <c r="A1094" s="240" t="str">
        <f t="shared" si="98"/>
        <v/>
      </c>
      <c r="K1094" s="245"/>
      <c r="AG1094" s="240"/>
    </row>
    <row r="1095" spans="1:33" x14ac:dyDescent="0.2">
      <c r="A1095" s="240" t="str">
        <f t="shared" si="98"/>
        <v/>
      </c>
      <c r="K1095" s="245"/>
      <c r="AG1095" s="240"/>
    </row>
    <row r="1096" spans="1:33" x14ac:dyDescent="0.2">
      <c r="A1096" s="240" t="str">
        <f t="shared" si="98"/>
        <v/>
      </c>
      <c r="K1096" s="245"/>
      <c r="AG1096" s="240"/>
    </row>
    <row r="1097" spans="1:33" x14ac:dyDescent="0.2">
      <c r="A1097" s="240" t="str">
        <f t="shared" si="98"/>
        <v/>
      </c>
      <c r="K1097" s="245"/>
      <c r="AG1097" s="240"/>
    </row>
    <row r="1098" spans="1:33" x14ac:dyDescent="0.2">
      <c r="A1098" s="240" t="str">
        <f t="shared" si="98"/>
        <v/>
      </c>
      <c r="K1098" s="245"/>
      <c r="AG1098" s="240"/>
    </row>
    <row r="1099" spans="1:33" x14ac:dyDescent="0.2">
      <c r="A1099" s="240" t="str">
        <f t="shared" si="98"/>
        <v/>
      </c>
      <c r="K1099" s="245"/>
      <c r="AG1099" s="240"/>
    </row>
    <row r="1100" spans="1:33" x14ac:dyDescent="0.2">
      <c r="A1100" s="240" t="str">
        <f t="shared" si="98"/>
        <v/>
      </c>
      <c r="K1100" s="245"/>
      <c r="AG1100" s="240"/>
    </row>
    <row r="1101" spans="1:33" x14ac:dyDescent="0.2">
      <c r="A1101" s="240" t="str">
        <f t="shared" si="98"/>
        <v/>
      </c>
      <c r="K1101" s="245"/>
      <c r="AG1101" s="240"/>
    </row>
    <row r="1102" spans="1:33" x14ac:dyDescent="0.2">
      <c r="A1102" s="240" t="str">
        <f t="shared" si="98"/>
        <v/>
      </c>
      <c r="K1102" s="245"/>
      <c r="AG1102" s="240"/>
    </row>
    <row r="1103" spans="1:33" x14ac:dyDescent="0.2">
      <c r="A1103" s="240" t="str">
        <f t="shared" si="98"/>
        <v/>
      </c>
      <c r="K1103" s="245"/>
      <c r="AG1103" s="240"/>
    </row>
    <row r="1104" spans="1:33" x14ac:dyDescent="0.2">
      <c r="A1104" s="240" t="str">
        <f t="shared" si="98"/>
        <v/>
      </c>
      <c r="K1104" s="245"/>
      <c r="AG1104" s="240"/>
    </row>
    <row r="1105" spans="1:35" x14ac:dyDescent="0.2">
      <c r="A1105" s="240" t="str">
        <f t="shared" ref="A1105:A1168" si="99">I1105&amp;B1105&amp;C1105&amp;D1105&amp;F1105&amp;G1105</f>
        <v/>
      </c>
      <c r="K1105" s="245"/>
      <c r="AG1105" s="240"/>
    </row>
    <row r="1106" spans="1:35" x14ac:dyDescent="0.2">
      <c r="A1106" s="240" t="str">
        <f t="shared" si="99"/>
        <v/>
      </c>
      <c r="K1106" s="245"/>
      <c r="AG1106" s="240"/>
      <c r="AH1106" s="240"/>
      <c r="AI1106" s="240"/>
    </row>
    <row r="1107" spans="1:35" x14ac:dyDescent="0.2">
      <c r="A1107" s="240" t="str">
        <f t="shared" si="99"/>
        <v/>
      </c>
      <c r="K1107" s="245"/>
      <c r="AG1107" s="240"/>
      <c r="AH1107" s="240"/>
      <c r="AI1107" s="240"/>
    </row>
    <row r="1108" spans="1:35" x14ac:dyDescent="0.2">
      <c r="A1108" s="240" t="str">
        <f t="shared" si="99"/>
        <v/>
      </c>
      <c r="K1108" s="245"/>
      <c r="AG1108" s="240"/>
    </row>
    <row r="1109" spans="1:35" x14ac:dyDescent="0.2">
      <c r="A1109" s="240" t="str">
        <f t="shared" si="99"/>
        <v/>
      </c>
      <c r="K1109" s="245"/>
      <c r="AG1109" s="240"/>
      <c r="AH1109" s="240"/>
      <c r="AI1109" s="240"/>
    </row>
    <row r="1110" spans="1:35" x14ac:dyDescent="0.2">
      <c r="A1110" s="240" t="str">
        <f t="shared" si="99"/>
        <v/>
      </c>
      <c r="K1110" s="245"/>
      <c r="AG1110" s="240"/>
    </row>
    <row r="1111" spans="1:35" x14ac:dyDescent="0.2">
      <c r="A1111" s="240" t="str">
        <f t="shared" si="99"/>
        <v/>
      </c>
      <c r="K1111" s="245"/>
      <c r="AG1111" s="240"/>
    </row>
    <row r="1112" spans="1:35" x14ac:dyDescent="0.2">
      <c r="A1112" s="240" t="str">
        <f t="shared" si="99"/>
        <v/>
      </c>
      <c r="K1112" s="245"/>
      <c r="AG1112" s="240"/>
      <c r="AH1112" s="240"/>
      <c r="AI1112" s="240"/>
    </row>
    <row r="1113" spans="1:35" x14ac:dyDescent="0.2">
      <c r="A1113" s="240" t="str">
        <f t="shared" si="99"/>
        <v/>
      </c>
      <c r="K1113" s="245"/>
      <c r="AG1113" s="240"/>
      <c r="AH1113" s="240"/>
      <c r="AI1113" s="240"/>
    </row>
    <row r="1114" spans="1:35" x14ac:dyDescent="0.2">
      <c r="A1114" s="240" t="str">
        <f t="shared" si="99"/>
        <v/>
      </c>
      <c r="K1114" s="245"/>
      <c r="AG1114" s="240"/>
      <c r="AH1114" s="240"/>
      <c r="AI1114" s="240"/>
    </row>
    <row r="1115" spans="1:35" x14ac:dyDescent="0.2">
      <c r="A1115" s="240" t="str">
        <f t="shared" si="99"/>
        <v/>
      </c>
      <c r="K1115" s="245"/>
      <c r="AG1115" s="240"/>
      <c r="AH1115" s="240"/>
      <c r="AI1115" s="240"/>
    </row>
    <row r="1116" spans="1:35" x14ac:dyDescent="0.2">
      <c r="A1116" s="240" t="str">
        <f t="shared" si="99"/>
        <v/>
      </c>
      <c r="K1116" s="245"/>
      <c r="AG1116" s="240"/>
      <c r="AH1116" s="240"/>
      <c r="AI1116" s="240"/>
    </row>
    <row r="1117" spans="1:35" x14ac:dyDescent="0.2">
      <c r="A1117" s="240" t="str">
        <f t="shared" si="99"/>
        <v/>
      </c>
      <c r="K1117" s="245"/>
      <c r="AG1117" s="240"/>
    </row>
    <row r="1118" spans="1:35" x14ac:dyDescent="0.2">
      <c r="A1118" s="240" t="str">
        <f t="shared" si="99"/>
        <v/>
      </c>
      <c r="K1118" s="245"/>
      <c r="AG1118" s="240"/>
    </row>
    <row r="1119" spans="1:35" x14ac:dyDescent="0.2">
      <c r="A1119" s="240" t="str">
        <f t="shared" si="99"/>
        <v/>
      </c>
      <c r="K1119" s="245"/>
      <c r="AG1119" s="240"/>
    </row>
    <row r="1120" spans="1:35" x14ac:dyDescent="0.2">
      <c r="A1120" s="240" t="str">
        <f t="shared" si="99"/>
        <v/>
      </c>
      <c r="K1120" s="245"/>
      <c r="AG1120" s="240"/>
    </row>
    <row r="1121" spans="1:35" x14ac:dyDescent="0.2">
      <c r="A1121" s="240" t="str">
        <f t="shared" si="99"/>
        <v/>
      </c>
      <c r="K1121" s="245"/>
      <c r="AG1121" s="240"/>
    </row>
    <row r="1122" spans="1:35" x14ac:dyDescent="0.2">
      <c r="A1122" s="240" t="str">
        <f t="shared" si="99"/>
        <v/>
      </c>
      <c r="K1122" s="245"/>
      <c r="AG1122" s="240"/>
    </row>
    <row r="1123" spans="1:35" x14ac:dyDescent="0.2">
      <c r="A1123" s="240" t="str">
        <f t="shared" si="99"/>
        <v/>
      </c>
      <c r="K1123" s="245"/>
      <c r="AG1123" s="240"/>
    </row>
    <row r="1124" spans="1:35" x14ac:dyDescent="0.2">
      <c r="A1124" s="240" t="str">
        <f t="shared" si="99"/>
        <v/>
      </c>
      <c r="K1124" s="245"/>
      <c r="AG1124" s="240"/>
    </row>
    <row r="1125" spans="1:35" x14ac:dyDescent="0.2">
      <c r="A1125" s="240" t="str">
        <f t="shared" si="99"/>
        <v/>
      </c>
      <c r="K1125" s="245"/>
      <c r="AG1125" s="240"/>
    </row>
    <row r="1126" spans="1:35" x14ac:dyDescent="0.2">
      <c r="A1126" s="240" t="str">
        <f t="shared" si="99"/>
        <v/>
      </c>
      <c r="K1126" s="245"/>
      <c r="AG1126" s="240"/>
    </row>
    <row r="1127" spans="1:35" x14ac:dyDescent="0.2">
      <c r="A1127" s="240" t="str">
        <f t="shared" si="99"/>
        <v/>
      </c>
      <c r="K1127" s="245"/>
      <c r="AG1127" s="240"/>
      <c r="AH1127" s="240"/>
      <c r="AI1127" s="240"/>
    </row>
    <row r="1128" spans="1:35" x14ac:dyDescent="0.2">
      <c r="A1128" s="240" t="str">
        <f t="shared" si="99"/>
        <v/>
      </c>
      <c r="K1128" s="245"/>
      <c r="AG1128" s="240"/>
    </row>
    <row r="1129" spans="1:35" x14ac:dyDescent="0.2">
      <c r="A1129" s="240" t="str">
        <f t="shared" si="99"/>
        <v/>
      </c>
      <c r="K1129" s="245"/>
      <c r="AG1129" s="240"/>
    </row>
    <row r="1130" spans="1:35" x14ac:dyDescent="0.2">
      <c r="A1130" s="240" t="str">
        <f t="shared" si="99"/>
        <v/>
      </c>
      <c r="K1130" s="245"/>
      <c r="AG1130" s="240"/>
    </row>
    <row r="1131" spans="1:35" x14ac:dyDescent="0.2">
      <c r="A1131" s="240" t="str">
        <f t="shared" si="99"/>
        <v/>
      </c>
      <c r="K1131" s="245"/>
      <c r="AG1131" s="240"/>
    </row>
    <row r="1132" spans="1:35" x14ac:dyDescent="0.2">
      <c r="A1132" s="240" t="str">
        <f t="shared" si="99"/>
        <v/>
      </c>
      <c r="K1132" s="245"/>
      <c r="AG1132" s="240"/>
    </row>
    <row r="1133" spans="1:35" x14ac:dyDescent="0.2">
      <c r="A1133" s="240" t="str">
        <f t="shared" si="99"/>
        <v/>
      </c>
      <c r="K1133" s="245"/>
      <c r="AG1133" s="240"/>
    </row>
    <row r="1134" spans="1:35" x14ac:dyDescent="0.2">
      <c r="A1134" s="240" t="str">
        <f t="shared" si="99"/>
        <v/>
      </c>
      <c r="K1134" s="245"/>
      <c r="AG1134" s="240"/>
    </row>
    <row r="1135" spans="1:35" x14ac:dyDescent="0.2">
      <c r="A1135" s="240" t="str">
        <f t="shared" si="99"/>
        <v/>
      </c>
      <c r="K1135" s="245"/>
      <c r="AG1135" s="240"/>
    </row>
    <row r="1136" spans="1:35" x14ac:dyDescent="0.2">
      <c r="A1136" s="240" t="str">
        <f t="shared" si="99"/>
        <v/>
      </c>
      <c r="K1136" s="245"/>
      <c r="AG1136" s="240"/>
    </row>
    <row r="1137" spans="1:33" x14ac:dyDescent="0.2">
      <c r="A1137" s="240" t="str">
        <f t="shared" si="99"/>
        <v/>
      </c>
      <c r="K1137" s="245"/>
      <c r="AG1137" s="240"/>
    </row>
    <row r="1138" spans="1:33" x14ac:dyDescent="0.2">
      <c r="A1138" s="240" t="str">
        <f t="shared" si="99"/>
        <v/>
      </c>
      <c r="K1138" s="245"/>
      <c r="AG1138" s="240"/>
    </row>
    <row r="1139" spans="1:33" x14ac:dyDescent="0.2">
      <c r="A1139" s="240" t="str">
        <f t="shared" si="99"/>
        <v/>
      </c>
      <c r="K1139" s="245"/>
      <c r="AG1139" s="240"/>
    </row>
    <row r="1140" spans="1:33" x14ac:dyDescent="0.2">
      <c r="A1140" s="240" t="str">
        <f t="shared" si="99"/>
        <v/>
      </c>
      <c r="K1140" s="245"/>
      <c r="AG1140" s="240"/>
    </row>
    <row r="1141" spans="1:33" x14ac:dyDescent="0.2">
      <c r="A1141" s="240" t="str">
        <f t="shared" si="99"/>
        <v/>
      </c>
      <c r="K1141" s="245"/>
      <c r="AG1141" s="240"/>
    </row>
    <row r="1142" spans="1:33" x14ac:dyDescent="0.2">
      <c r="A1142" s="240" t="str">
        <f t="shared" si="99"/>
        <v/>
      </c>
      <c r="K1142" s="245"/>
      <c r="AG1142" s="240"/>
    </row>
    <row r="1143" spans="1:33" x14ac:dyDescent="0.2">
      <c r="A1143" s="240" t="str">
        <f t="shared" si="99"/>
        <v/>
      </c>
      <c r="K1143" s="245"/>
      <c r="AG1143" s="240"/>
    </row>
    <row r="1144" spans="1:33" x14ac:dyDescent="0.2">
      <c r="A1144" s="240" t="str">
        <f t="shared" si="99"/>
        <v/>
      </c>
      <c r="K1144" s="245"/>
      <c r="AG1144" s="240"/>
    </row>
    <row r="1145" spans="1:33" x14ac:dyDescent="0.2">
      <c r="A1145" s="240" t="str">
        <f t="shared" si="99"/>
        <v/>
      </c>
      <c r="K1145" s="245"/>
      <c r="AG1145" s="240"/>
    </row>
    <row r="1146" spans="1:33" x14ac:dyDescent="0.2">
      <c r="A1146" s="240" t="str">
        <f t="shared" si="99"/>
        <v/>
      </c>
      <c r="K1146" s="245"/>
      <c r="AG1146" s="240"/>
    </row>
    <row r="1147" spans="1:33" x14ac:dyDescent="0.2">
      <c r="A1147" s="240" t="str">
        <f t="shared" si="99"/>
        <v/>
      </c>
      <c r="K1147" s="245"/>
      <c r="AG1147" s="240"/>
    </row>
    <row r="1148" spans="1:33" x14ac:dyDescent="0.2">
      <c r="A1148" s="240" t="str">
        <f t="shared" si="99"/>
        <v/>
      </c>
      <c r="K1148" s="245"/>
      <c r="AG1148" s="240"/>
    </row>
    <row r="1149" spans="1:33" x14ac:dyDescent="0.2">
      <c r="A1149" s="240" t="str">
        <f t="shared" si="99"/>
        <v/>
      </c>
      <c r="K1149" s="245"/>
      <c r="AG1149" s="240"/>
    </row>
    <row r="1150" spans="1:33" x14ac:dyDescent="0.2">
      <c r="A1150" s="240" t="str">
        <f t="shared" si="99"/>
        <v/>
      </c>
      <c r="K1150" s="245"/>
      <c r="AG1150" s="240"/>
    </row>
    <row r="1151" spans="1:33" x14ac:dyDescent="0.2">
      <c r="A1151" s="240" t="str">
        <f t="shared" si="99"/>
        <v/>
      </c>
      <c r="K1151" s="245"/>
      <c r="AG1151" s="240"/>
    </row>
    <row r="1152" spans="1:33" x14ac:dyDescent="0.2">
      <c r="A1152" s="240" t="str">
        <f t="shared" si="99"/>
        <v/>
      </c>
      <c r="K1152" s="245"/>
      <c r="AG1152" s="240"/>
    </row>
    <row r="1153" spans="1:33" x14ac:dyDescent="0.2">
      <c r="A1153" s="240" t="str">
        <f t="shared" si="99"/>
        <v/>
      </c>
      <c r="K1153" s="245"/>
      <c r="AG1153" s="240"/>
    </row>
    <row r="1154" spans="1:33" x14ac:dyDescent="0.2">
      <c r="A1154" s="240" t="str">
        <f t="shared" si="99"/>
        <v/>
      </c>
      <c r="K1154" s="245"/>
      <c r="AG1154" s="240"/>
    </row>
    <row r="1155" spans="1:33" x14ac:dyDescent="0.2">
      <c r="A1155" s="240" t="str">
        <f t="shared" si="99"/>
        <v/>
      </c>
      <c r="K1155" s="245"/>
      <c r="AG1155" s="240"/>
    </row>
    <row r="1156" spans="1:33" x14ac:dyDescent="0.2">
      <c r="A1156" s="240" t="str">
        <f t="shared" si="99"/>
        <v/>
      </c>
      <c r="K1156" s="245"/>
      <c r="AG1156" s="240"/>
    </row>
    <row r="1157" spans="1:33" x14ac:dyDescent="0.2">
      <c r="A1157" s="240" t="str">
        <f t="shared" si="99"/>
        <v/>
      </c>
      <c r="K1157" s="245"/>
      <c r="AG1157" s="240"/>
    </row>
    <row r="1158" spans="1:33" x14ac:dyDescent="0.2">
      <c r="A1158" s="240" t="str">
        <f t="shared" si="99"/>
        <v/>
      </c>
      <c r="K1158" s="245"/>
      <c r="AG1158" s="240"/>
    </row>
    <row r="1159" spans="1:33" x14ac:dyDescent="0.2">
      <c r="A1159" s="240" t="str">
        <f t="shared" si="99"/>
        <v/>
      </c>
      <c r="K1159" s="245"/>
      <c r="AG1159" s="240"/>
    </row>
    <row r="1160" spans="1:33" x14ac:dyDescent="0.2">
      <c r="A1160" s="240" t="str">
        <f t="shared" si="99"/>
        <v/>
      </c>
      <c r="K1160" s="245"/>
      <c r="AG1160" s="240"/>
    </row>
    <row r="1161" spans="1:33" x14ac:dyDescent="0.2">
      <c r="A1161" s="240" t="str">
        <f t="shared" si="99"/>
        <v/>
      </c>
      <c r="K1161" s="245"/>
      <c r="AG1161" s="240"/>
    </row>
    <row r="1162" spans="1:33" x14ac:dyDescent="0.2">
      <c r="A1162" s="240" t="str">
        <f t="shared" si="99"/>
        <v/>
      </c>
      <c r="K1162" s="245"/>
      <c r="AG1162" s="240"/>
    </row>
    <row r="1163" spans="1:33" x14ac:dyDescent="0.2">
      <c r="A1163" s="240" t="str">
        <f t="shared" si="99"/>
        <v/>
      </c>
      <c r="K1163" s="245"/>
      <c r="AG1163" s="240"/>
    </row>
    <row r="1164" spans="1:33" x14ac:dyDescent="0.2">
      <c r="A1164" s="240" t="str">
        <f t="shared" si="99"/>
        <v/>
      </c>
      <c r="K1164" s="245"/>
      <c r="AG1164" s="240"/>
    </row>
    <row r="1165" spans="1:33" x14ac:dyDescent="0.2">
      <c r="A1165" s="240" t="str">
        <f t="shared" si="99"/>
        <v/>
      </c>
      <c r="K1165" s="245"/>
      <c r="AG1165" s="240"/>
    </row>
    <row r="1166" spans="1:33" x14ac:dyDescent="0.2">
      <c r="A1166" s="240" t="str">
        <f t="shared" si="99"/>
        <v/>
      </c>
      <c r="K1166" s="245"/>
      <c r="AG1166" s="240"/>
    </row>
    <row r="1167" spans="1:33" x14ac:dyDescent="0.2">
      <c r="A1167" s="240" t="str">
        <f t="shared" si="99"/>
        <v/>
      </c>
      <c r="K1167" s="245"/>
      <c r="AG1167" s="240"/>
    </row>
    <row r="1168" spans="1:33" x14ac:dyDescent="0.2">
      <c r="A1168" s="240" t="str">
        <f t="shared" si="99"/>
        <v/>
      </c>
      <c r="K1168" s="245"/>
      <c r="AG1168" s="240"/>
    </row>
    <row r="1169" spans="1:33" x14ac:dyDescent="0.2">
      <c r="A1169" s="240" t="str">
        <f t="shared" ref="A1169:A1232" si="100">I1169&amp;B1169&amp;C1169&amp;D1169&amp;F1169&amp;G1169</f>
        <v/>
      </c>
      <c r="K1169" s="245"/>
      <c r="AG1169" s="240"/>
    </row>
    <row r="1170" spans="1:33" x14ac:dyDescent="0.2">
      <c r="A1170" s="240" t="str">
        <f t="shared" si="100"/>
        <v/>
      </c>
      <c r="K1170" s="245"/>
      <c r="AG1170" s="240"/>
    </row>
    <row r="1171" spans="1:33" x14ac:dyDescent="0.2">
      <c r="A1171" s="240" t="str">
        <f t="shared" si="100"/>
        <v/>
      </c>
      <c r="K1171" s="245"/>
      <c r="AG1171" s="240"/>
    </row>
    <row r="1172" spans="1:33" x14ac:dyDescent="0.2">
      <c r="A1172" s="240" t="str">
        <f t="shared" si="100"/>
        <v/>
      </c>
      <c r="K1172" s="245"/>
      <c r="AG1172" s="240"/>
    </row>
    <row r="1173" spans="1:33" x14ac:dyDescent="0.2">
      <c r="A1173" s="240" t="str">
        <f t="shared" si="100"/>
        <v/>
      </c>
      <c r="K1173" s="245"/>
      <c r="AG1173" s="240"/>
    </row>
    <row r="1174" spans="1:33" x14ac:dyDescent="0.2">
      <c r="A1174" s="240" t="str">
        <f t="shared" si="100"/>
        <v/>
      </c>
      <c r="K1174" s="245"/>
      <c r="AG1174" s="240"/>
    </row>
    <row r="1175" spans="1:33" x14ac:dyDescent="0.2">
      <c r="A1175" s="240" t="str">
        <f t="shared" si="100"/>
        <v/>
      </c>
      <c r="K1175" s="245"/>
      <c r="AG1175" s="240"/>
    </row>
    <row r="1176" spans="1:33" x14ac:dyDescent="0.2">
      <c r="A1176" s="240" t="str">
        <f t="shared" si="100"/>
        <v/>
      </c>
      <c r="K1176" s="245"/>
      <c r="AG1176" s="240"/>
    </row>
    <row r="1177" spans="1:33" x14ac:dyDescent="0.2">
      <c r="A1177" s="240" t="str">
        <f t="shared" si="100"/>
        <v/>
      </c>
      <c r="K1177" s="245"/>
      <c r="AG1177" s="240"/>
    </row>
    <row r="1178" spans="1:33" x14ac:dyDescent="0.2">
      <c r="A1178" s="240" t="str">
        <f t="shared" si="100"/>
        <v/>
      </c>
      <c r="K1178" s="245"/>
      <c r="AG1178" s="240"/>
    </row>
    <row r="1179" spans="1:33" x14ac:dyDescent="0.2">
      <c r="A1179" s="240" t="str">
        <f t="shared" si="100"/>
        <v/>
      </c>
      <c r="K1179" s="245"/>
      <c r="AG1179" s="240"/>
    </row>
    <row r="1180" spans="1:33" x14ac:dyDescent="0.2">
      <c r="A1180" s="240" t="str">
        <f t="shared" si="100"/>
        <v/>
      </c>
      <c r="K1180" s="245"/>
      <c r="AG1180" s="240"/>
    </row>
    <row r="1181" spans="1:33" x14ac:dyDescent="0.2">
      <c r="A1181" s="240" t="str">
        <f t="shared" si="100"/>
        <v/>
      </c>
      <c r="K1181" s="245"/>
      <c r="AG1181" s="240"/>
    </row>
    <row r="1182" spans="1:33" x14ac:dyDescent="0.2">
      <c r="A1182" s="240" t="str">
        <f t="shared" si="100"/>
        <v/>
      </c>
      <c r="K1182" s="245"/>
      <c r="AG1182" s="240"/>
    </row>
    <row r="1183" spans="1:33" x14ac:dyDescent="0.2">
      <c r="A1183" s="240" t="str">
        <f t="shared" si="100"/>
        <v/>
      </c>
      <c r="K1183" s="245"/>
      <c r="AG1183" s="240"/>
    </row>
    <row r="1184" spans="1:33" x14ac:dyDescent="0.2">
      <c r="A1184" s="240" t="str">
        <f t="shared" si="100"/>
        <v/>
      </c>
      <c r="K1184" s="245"/>
      <c r="AG1184" s="240"/>
    </row>
    <row r="1185" spans="1:33" x14ac:dyDescent="0.2">
      <c r="A1185" s="240" t="str">
        <f t="shared" si="100"/>
        <v/>
      </c>
      <c r="K1185" s="245"/>
      <c r="AG1185" s="240"/>
    </row>
    <row r="1186" spans="1:33" x14ac:dyDescent="0.2">
      <c r="A1186" s="240" t="str">
        <f t="shared" si="100"/>
        <v/>
      </c>
      <c r="K1186" s="245"/>
      <c r="AG1186" s="240"/>
    </row>
    <row r="1187" spans="1:33" x14ac:dyDescent="0.2">
      <c r="A1187" s="240" t="str">
        <f t="shared" si="100"/>
        <v/>
      </c>
      <c r="K1187" s="245"/>
      <c r="AG1187" s="240"/>
    </row>
    <row r="1188" spans="1:33" x14ac:dyDescent="0.2">
      <c r="A1188" s="240" t="str">
        <f t="shared" si="100"/>
        <v/>
      </c>
      <c r="K1188" s="245"/>
      <c r="AG1188" s="240"/>
    </row>
    <row r="1189" spans="1:33" x14ac:dyDescent="0.2">
      <c r="A1189" s="240" t="str">
        <f t="shared" si="100"/>
        <v/>
      </c>
      <c r="K1189" s="245"/>
      <c r="AG1189" s="240"/>
    </row>
    <row r="1190" spans="1:33" x14ac:dyDescent="0.2">
      <c r="A1190" s="240" t="str">
        <f t="shared" si="100"/>
        <v/>
      </c>
      <c r="K1190" s="245"/>
      <c r="AG1190" s="240"/>
    </row>
    <row r="1191" spans="1:33" x14ac:dyDescent="0.2">
      <c r="A1191" s="240" t="str">
        <f t="shared" si="100"/>
        <v/>
      </c>
      <c r="K1191" s="245"/>
      <c r="AG1191" s="240"/>
    </row>
    <row r="1192" spans="1:33" x14ac:dyDescent="0.2">
      <c r="A1192" s="240" t="str">
        <f t="shared" si="100"/>
        <v/>
      </c>
      <c r="K1192" s="245"/>
      <c r="AG1192" s="240"/>
    </row>
    <row r="1193" spans="1:33" x14ac:dyDescent="0.2">
      <c r="A1193" s="240" t="str">
        <f t="shared" si="100"/>
        <v/>
      </c>
      <c r="K1193" s="245"/>
      <c r="AG1193" s="240"/>
    </row>
    <row r="1194" spans="1:33" x14ac:dyDescent="0.2">
      <c r="A1194" s="240" t="str">
        <f t="shared" si="100"/>
        <v/>
      </c>
      <c r="K1194" s="245"/>
      <c r="AG1194" s="240"/>
    </row>
    <row r="1195" spans="1:33" x14ac:dyDescent="0.2">
      <c r="A1195" s="240" t="str">
        <f t="shared" si="100"/>
        <v/>
      </c>
      <c r="K1195" s="245"/>
      <c r="AG1195" s="240"/>
    </row>
    <row r="1196" spans="1:33" x14ac:dyDescent="0.2">
      <c r="A1196" s="240" t="str">
        <f t="shared" si="100"/>
        <v/>
      </c>
      <c r="K1196" s="245"/>
      <c r="AG1196" s="240"/>
    </row>
    <row r="1197" spans="1:33" x14ac:dyDescent="0.2">
      <c r="A1197" s="240" t="str">
        <f t="shared" si="100"/>
        <v/>
      </c>
      <c r="K1197" s="245"/>
      <c r="AG1197" s="240"/>
    </row>
    <row r="1198" spans="1:33" x14ac:dyDescent="0.2">
      <c r="A1198" s="240" t="str">
        <f t="shared" si="100"/>
        <v/>
      </c>
      <c r="K1198" s="245"/>
      <c r="AG1198" s="240"/>
    </row>
    <row r="1199" spans="1:33" x14ac:dyDescent="0.2">
      <c r="A1199" s="240" t="str">
        <f t="shared" si="100"/>
        <v/>
      </c>
      <c r="K1199" s="245"/>
      <c r="AG1199" s="240"/>
    </row>
    <row r="1200" spans="1:33" x14ac:dyDescent="0.2">
      <c r="A1200" s="240" t="str">
        <f t="shared" si="100"/>
        <v/>
      </c>
      <c r="K1200" s="245"/>
      <c r="AG1200" s="240"/>
    </row>
    <row r="1201" spans="1:33" x14ac:dyDescent="0.2">
      <c r="A1201" s="240" t="str">
        <f t="shared" si="100"/>
        <v/>
      </c>
      <c r="K1201" s="245"/>
      <c r="AG1201" s="240"/>
    </row>
    <row r="1202" spans="1:33" x14ac:dyDescent="0.2">
      <c r="A1202" s="240" t="str">
        <f t="shared" si="100"/>
        <v/>
      </c>
      <c r="K1202" s="245"/>
      <c r="AG1202" s="240"/>
    </row>
    <row r="1203" spans="1:33" x14ac:dyDescent="0.2">
      <c r="A1203" s="240" t="str">
        <f t="shared" si="100"/>
        <v/>
      </c>
      <c r="K1203" s="245"/>
      <c r="AG1203" s="240"/>
    </row>
    <row r="1204" spans="1:33" x14ac:dyDescent="0.2">
      <c r="A1204" s="240" t="str">
        <f t="shared" si="100"/>
        <v/>
      </c>
      <c r="K1204" s="245"/>
      <c r="AG1204" s="240"/>
    </row>
    <row r="1205" spans="1:33" x14ac:dyDescent="0.2">
      <c r="A1205" s="240" t="str">
        <f t="shared" si="100"/>
        <v/>
      </c>
      <c r="K1205" s="245"/>
      <c r="AG1205" s="240"/>
    </row>
    <row r="1206" spans="1:33" x14ac:dyDescent="0.2">
      <c r="A1206" s="240" t="str">
        <f t="shared" si="100"/>
        <v/>
      </c>
      <c r="K1206" s="245"/>
      <c r="AG1206" s="240"/>
    </row>
    <row r="1207" spans="1:33" x14ac:dyDescent="0.2">
      <c r="A1207" s="240" t="str">
        <f t="shared" si="100"/>
        <v/>
      </c>
      <c r="K1207" s="245"/>
      <c r="AG1207" s="240"/>
    </row>
    <row r="1208" spans="1:33" x14ac:dyDescent="0.2">
      <c r="A1208" s="240" t="str">
        <f t="shared" si="100"/>
        <v/>
      </c>
      <c r="K1208" s="245"/>
      <c r="AG1208" s="240"/>
    </row>
    <row r="1209" spans="1:33" x14ac:dyDescent="0.2">
      <c r="A1209" s="240" t="str">
        <f t="shared" si="100"/>
        <v/>
      </c>
      <c r="K1209" s="245"/>
      <c r="AG1209" s="240"/>
    </row>
    <row r="1210" spans="1:33" x14ac:dyDescent="0.2">
      <c r="A1210" s="240" t="str">
        <f t="shared" si="100"/>
        <v/>
      </c>
      <c r="K1210" s="245"/>
      <c r="AG1210" s="240"/>
    </row>
    <row r="1211" spans="1:33" x14ac:dyDescent="0.2">
      <c r="A1211" s="240" t="str">
        <f t="shared" si="100"/>
        <v/>
      </c>
      <c r="K1211" s="245"/>
      <c r="AG1211" s="240"/>
    </row>
    <row r="1212" spans="1:33" x14ac:dyDescent="0.2">
      <c r="A1212" s="240" t="str">
        <f t="shared" si="100"/>
        <v/>
      </c>
      <c r="K1212" s="245"/>
      <c r="AG1212" s="240"/>
    </row>
    <row r="1213" spans="1:33" x14ac:dyDescent="0.2">
      <c r="A1213" s="240" t="str">
        <f t="shared" si="100"/>
        <v/>
      </c>
      <c r="K1213" s="245"/>
      <c r="AG1213" s="240"/>
    </row>
    <row r="1214" spans="1:33" x14ac:dyDescent="0.2">
      <c r="A1214" s="240" t="str">
        <f t="shared" si="100"/>
        <v/>
      </c>
      <c r="K1214" s="245"/>
      <c r="AG1214" s="240"/>
    </row>
    <row r="1215" spans="1:33" x14ac:dyDescent="0.2">
      <c r="A1215" s="240" t="str">
        <f t="shared" si="100"/>
        <v/>
      </c>
      <c r="K1215" s="245"/>
      <c r="AG1215" s="240"/>
    </row>
    <row r="1216" spans="1:33" x14ac:dyDescent="0.2">
      <c r="A1216" s="240" t="str">
        <f t="shared" si="100"/>
        <v/>
      </c>
      <c r="K1216" s="245"/>
      <c r="AG1216" s="240"/>
    </row>
    <row r="1217" spans="1:33" x14ac:dyDescent="0.2">
      <c r="A1217" s="240" t="str">
        <f t="shared" si="100"/>
        <v/>
      </c>
      <c r="K1217" s="245"/>
      <c r="AG1217" s="240"/>
    </row>
    <row r="1218" spans="1:33" x14ac:dyDescent="0.2">
      <c r="A1218" s="240" t="str">
        <f t="shared" si="100"/>
        <v/>
      </c>
      <c r="K1218" s="245"/>
      <c r="AG1218" s="240"/>
    </row>
    <row r="1219" spans="1:33" x14ac:dyDescent="0.2">
      <c r="A1219" s="240" t="str">
        <f t="shared" si="100"/>
        <v/>
      </c>
      <c r="K1219" s="245"/>
      <c r="AG1219" s="240"/>
    </row>
    <row r="1220" spans="1:33" x14ac:dyDescent="0.2">
      <c r="A1220" s="240" t="str">
        <f t="shared" si="100"/>
        <v/>
      </c>
      <c r="K1220" s="245"/>
      <c r="AG1220" s="240"/>
    </row>
    <row r="1221" spans="1:33" x14ac:dyDescent="0.2">
      <c r="A1221" s="240" t="str">
        <f t="shared" si="100"/>
        <v/>
      </c>
      <c r="K1221" s="245"/>
      <c r="AG1221" s="240"/>
    </row>
    <row r="1222" spans="1:33" x14ac:dyDescent="0.2">
      <c r="A1222" s="240" t="str">
        <f t="shared" si="100"/>
        <v/>
      </c>
      <c r="K1222" s="245"/>
      <c r="AG1222" s="240"/>
    </row>
    <row r="1223" spans="1:33" x14ac:dyDescent="0.2">
      <c r="A1223" s="240" t="str">
        <f t="shared" si="100"/>
        <v/>
      </c>
      <c r="K1223" s="245"/>
      <c r="AG1223" s="240"/>
    </row>
    <row r="1224" spans="1:33" x14ac:dyDescent="0.2">
      <c r="A1224" s="240" t="str">
        <f t="shared" si="100"/>
        <v/>
      </c>
      <c r="K1224" s="245"/>
      <c r="AG1224" s="240"/>
    </row>
    <row r="1225" spans="1:33" x14ac:dyDescent="0.2">
      <c r="A1225" s="240" t="str">
        <f t="shared" si="100"/>
        <v/>
      </c>
      <c r="K1225" s="245"/>
      <c r="AG1225" s="240"/>
    </row>
    <row r="1226" spans="1:33" x14ac:dyDescent="0.2">
      <c r="A1226" s="240" t="str">
        <f t="shared" si="100"/>
        <v/>
      </c>
      <c r="K1226" s="245"/>
      <c r="AG1226" s="240"/>
    </row>
    <row r="1227" spans="1:33" x14ac:dyDescent="0.2">
      <c r="A1227" s="240" t="str">
        <f t="shared" si="100"/>
        <v/>
      </c>
      <c r="K1227" s="245"/>
      <c r="AG1227" s="240"/>
    </row>
    <row r="1228" spans="1:33" x14ac:dyDescent="0.2">
      <c r="A1228" s="240" t="str">
        <f t="shared" si="100"/>
        <v/>
      </c>
      <c r="K1228" s="245"/>
      <c r="AG1228" s="240"/>
    </row>
    <row r="1229" spans="1:33" x14ac:dyDescent="0.2">
      <c r="A1229" s="240" t="str">
        <f t="shared" si="100"/>
        <v/>
      </c>
      <c r="K1229" s="245"/>
      <c r="AG1229" s="240"/>
    </row>
    <row r="1230" spans="1:33" x14ac:dyDescent="0.2">
      <c r="A1230" s="240" t="str">
        <f t="shared" si="100"/>
        <v/>
      </c>
      <c r="K1230" s="245"/>
      <c r="AG1230" s="240"/>
    </row>
    <row r="1231" spans="1:33" x14ac:dyDescent="0.2">
      <c r="A1231" s="240" t="str">
        <f t="shared" si="100"/>
        <v/>
      </c>
      <c r="K1231" s="245"/>
      <c r="AG1231" s="240"/>
    </row>
    <row r="1232" spans="1:33" x14ac:dyDescent="0.2">
      <c r="A1232" s="240" t="str">
        <f t="shared" si="100"/>
        <v/>
      </c>
      <c r="K1232" s="245"/>
      <c r="AG1232" s="240"/>
    </row>
    <row r="1233" spans="1:33" x14ac:dyDescent="0.2">
      <c r="A1233" s="240" t="str">
        <f t="shared" ref="A1233:A1296" si="101">I1233&amp;B1233&amp;C1233&amp;D1233&amp;F1233&amp;G1233</f>
        <v/>
      </c>
      <c r="K1233" s="245"/>
      <c r="AG1233" s="240"/>
    </row>
    <row r="1234" spans="1:33" x14ac:dyDescent="0.2">
      <c r="A1234" s="240" t="str">
        <f t="shared" si="101"/>
        <v/>
      </c>
      <c r="K1234" s="245"/>
      <c r="AG1234" s="240"/>
    </row>
    <row r="1235" spans="1:33" x14ac:dyDescent="0.2">
      <c r="A1235" s="240" t="str">
        <f t="shared" si="101"/>
        <v/>
      </c>
      <c r="K1235" s="245"/>
      <c r="AG1235" s="240"/>
    </row>
    <row r="1236" spans="1:33" x14ac:dyDescent="0.2">
      <c r="A1236" s="240" t="str">
        <f t="shared" si="101"/>
        <v/>
      </c>
      <c r="K1236" s="245"/>
      <c r="AG1236" s="240"/>
    </row>
    <row r="1237" spans="1:33" x14ac:dyDescent="0.2">
      <c r="A1237" s="240" t="str">
        <f t="shared" si="101"/>
        <v/>
      </c>
      <c r="K1237" s="245"/>
      <c r="AG1237" s="240"/>
    </row>
    <row r="1238" spans="1:33" x14ac:dyDescent="0.2">
      <c r="A1238" s="240" t="str">
        <f t="shared" si="101"/>
        <v/>
      </c>
      <c r="K1238" s="245"/>
      <c r="AG1238" s="240"/>
    </row>
    <row r="1239" spans="1:33" x14ac:dyDescent="0.2">
      <c r="A1239" s="240" t="str">
        <f t="shared" si="101"/>
        <v/>
      </c>
      <c r="K1239" s="245"/>
      <c r="AG1239" s="240"/>
    </row>
    <row r="1240" spans="1:33" x14ac:dyDescent="0.2">
      <c r="A1240" s="240" t="str">
        <f t="shared" si="101"/>
        <v/>
      </c>
      <c r="K1240" s="245"/>
      <c r="AG1240" s="240"/>
    </row>
    <row r="1241" spans="1:33" x14ac:dyDescent="0.2">
      <c r="A1241" s="240" t="str">
        <f t="shared" si="101"/>
        <v/>
      </c>
      <c r="K1241" s="245"/>
      <c r="AG1241" s="240"/>
    </row>
    <row r="1242" spans="1:33" x14ac:dyDescent="0.2">
      <c r="A1242" s="240" t="str">
        <f t="shared" si="101"/>
        <v/>
      </c>
      <c r="K1242" s="245"/>
      <c r="AG1242" s="240"/>
    </row>
    <row r="1243" spans="1:33" x14ac:dyDescent="0.2">
      <c r="A1243" s="240" t="str">
        <f t="shared" si="101"/>
        <v/>
      </c>
      <c r="K1243" s="245"/>
      <c r="AG1243" s="240"/>
    </row>
    <row r="1244" spans="1:33" x14ac:dyDescent="0.2">
      <c r="A1244" s="240" t="str">
        <f t="shared" si="101"/>
        <v/>
      </c>
      <c r="K1244" s="245"/>
      <c r="AG1244" s="240"/>
    </row>
    <row r="1245" spans="1:33" x14ac:dyDescent="0.2">
      <c r="A1245" s="240" t="str">
        <f t="shared" si="101"/>
        <v/>
      </c>
      <c r="K1245" s="245"/>
      <c r="AG1245" s="240"/>
    </row>
    <row r="1246" spans="1:33" x14ac:dyDescent="0.2">
      <c r="A1246" s="240" t="str">
        <f t="shared" si="101"/>
        <v/>
      </c>
      <c r="K1246" s="245"/>
      <c r="AG1246" s="240"/>
    </row>
    <row r="1247" spans="1:33" x14ac:dyDescent="0.2">
      <c r="A1247" s="240" t="str">
        <f t="shared" si="101"/>
        <v/>
      </c>
      <c r="K1247" s="245"/>
      <c r="AG1247" s="240"/>
    </row>
    <row r="1248" spans="1:33" x14ac:dyDescent="0.2">
      <c r="A1248" s="240" t="str">
        <f t="shared" si="101"/>
        <v/>
      </c>
      <c r="K1248" s="245"/>
      <c r="AG1248" s="240"/>
    </row>
    <row r="1249" spans="1:33" x14ac:dyDescent="0.2">
      <c r="A1249" s="240" t="str">
        <f t="shared" si="101"/>
        <v/>
      </c>
      <c r="K1249" s="245"/>
      <c r="AG1249" s="240"/>
    </row>
    <row r="1250" spans="1:33" x14ac:dyDescent="0.2">
      <c r="A1250" s="240" t="str">
        <f t="shared" si="101"/>
        <v/>
      </c>
      <c r="K1250" s="245"/>
      <c r="AG1250" s="240"/>
    </row>
    <row r="1251" spans="1:33" x14ac:dyDescent="0.2">
      <c r="A1251" s="240" t="str">
        <f t="shared" si="101"/>
        <v/>
      </c>
      <c r="K1251" s="245"/>
      <c r="AG1251" s="240"/>
    </row>
    <row r="1252" spans="1:33" x14ac:dyDescent="0.2">
      <c r="A1252" s="240" t="str">
        <f t="shared" si="101"/>
        <v/>
      </c>
      <c r="K1252" s="245"/>
      <c r="AG1252" s="240"/>
    </row>
    <row r="1253" spans="1:33" x14ac:dyDescent="0.2">
      <c r="A1253" s="240" t="str">
        <f t="shared" si="101"/>
        <v/>
      </c>
      <c r="K1253" s="245"/>
      <c r="AG1253" s="240"/>
    </row>
    <row r="1254" spans="1:33" x14ac:dyDescent="0.2">
      <c r="A1254" s="240" t="str">
        <f t="shared" si="101"/>
        <v/>
      </c>
      <c r="K1254" s="245"/>
      <c r="AG1254" s="240"/>
    </row>
    <row r="1255" spans="1:33" x14ac:dyDescent="0.2">
      <c r="A1255" s="240" t="str">
        <f t="shared" si="101"/>
        <v/>
      </c>
      <c r="K1255" s="245"/>
      <c r="AG1255" s="240"/>
    </row>
    <row r="1256" spans="1:33" x14ac:dyDescent="0.2">
      <c r="A1256" s="240" t="str">
        <f t="shared" si="101"/>
        <v/>
      </c>
      <c r="K1256" s="245"/>
      <c r="AG1256" s="240"/>
    </row>
    <row r="1257" spans="1:33" x14ac:dyDescent="0.2">
      <c r="A1257" s="240" t="str">
        <f t="shared" si="101"/>
        <v/>
      </c>
      <c r="K1257" s="245"/>
      <c r="AG1257" s="240"/>
    </row>
    <row r="1258" spans="1:33" x14ac:dyDescent="0.2">
      <c r="A1258" s="240" t="str">
        <f t="shared" si="101"/>
        <v/>
      </c>
      <c r="K1258" s="245"/>
      <c r="AG1258" s="240"/>
    </row>
    <row r="1259" spans="1:33" x14ac:dyDescent="0.2">
      <c r="A1259" s="240" t="str">
        <f t="shared" si="101"/>
        <v/>
      </c>
      <c r="K1259" s="245"/>
      <c r="AG1259" s="240"/>
    </row>
    <row r="1260" spans="1:33" x14ac:dyDescent="0.2">
      <c r="A1260" s="240" t="str">
        <f t="shared" si="101"/>
        <v/>
      </c>
      <c r="K1260" s="245"/>
      <c r="AG1260" s="240"/>
    </row>
    <row r="1261" spans="1:33" x14ac:dyDescent="0.2">
      <c r="A1261" s="240" t="str">
        <f t="shared" si="101"/>
        <v/>
      </c>
      <c r="K1261" s="245"/>
      <c r="AG1261" s="240"/>
    </row>
    <row r="1262" spans="1:33" x14ac:dyDescent="0.2">
      <c r="A1262" s="240" t="str">
        <f t="shared" si="101"/>
        <v/>
      </c>
      <c r="K1262" s="245"/>
      <c r="AG1262" s="240"/>
    </row>
    <row r="1263" spans="1:33" x14ac:dyDescent="0.2">
      <c r="A1263" s="240" t="str">
        <f t="shared" si="101"/>
        <v/>
      </c>
      <c r="K1263" s="245"/>
      <c r="AG1263" s="240"/>
    </row>
    <row r="1264" spans="1:33" x14ac:dyDescent="0.2">
      <c r="A1264" s="240" t="str">
        <f t="shared" si="101"/>
        <v/>
      </c>
      <c r="K1264" s="245"/>
      <c r="AG1264" s="240"/>
    </row>
    <row r="1265" spans="1:33" x14ac:dyDescent="0.2">
      <c r="A1265" s="240" t="str">
        <f t="shared" si="101"/>
        <v/>
      </c>
      <c r="K1265" s="245"/>
      <c r="AG1265" s="240"/>
    </row>
    <row r="1266" spans="1:33" x14ac:dyDescent="0.2">
      <c r="A1266" s="240" t="str">
        <f t="shared" si="101"/>
        <v/>
      </c>
      <c r="K1266" s="245"/>
      <c r="AG1266" s="240"/>
    </row>
    <row r="1267" spans="1:33" x14ac:dyDescent="0.2">
      <c r="A1267" s="240" t="str">
        <f t="shared" si="101"/>
        <v/>
      </c>
      <c r="K1267" s="245"/>
      <c r="AG1267" s="240"/>
    </row>
    <row r="1268" spans="1:33" x14ac:dyDescent="0.2">
      <c r="A1268" s="240" t="str">
        <f t="shared" si="101"/>
        <v/>
      </c>
      <c r="K1268" s="245"/>
      <c r="AG1268" s="240"/>
    </row>
    <row r="1269" spans="1:33" x14ac:dyDescent="0.2">
      <c r="A1269" s="240" t="str">
        <f t="shared" si="101"/>
        <v/>
      </c>
      <c r="K1269" s="245"/>
      <c r="AG1269" s="240"/>
    </row>
    <row r="1270" spans="1:33" x14ac:dyDescent="0.2">
      <c r="A1270" s="240" t="str">
        <f t="shared" si="101"/>
        <v/>
      </c>
      <c r="K1270" s="245"/>
      <c r="AG1270" s="240"/>
    </row>
    <row r="1271" spans="1:33" x14ac:dyDescent="0.2">
      <c r="A1271" s="240" t="str">
        <f t="shared" si="101"/>
        <v/>
      </c>
      <c r="K1271" s="245"/>
      <c r="AG1271" s="240"/>
    </row>
    <row r="1272" spans="1:33" x14ac:dyDescent="0.2">
      <c r="A1272" s="240" t="str">
        <f t="shared" si="101"/>
        <v/>
      </c>
      <c r="K1272" s="245"/>
      <c r="AG1272" s="240"/>
    </row>
    <row r="1273" spans="1:33" x14ac:dyDescent="0.2">
      <c r="A1273" s="240" t="str">
        <f t="shared" si="101"/>
        <v/>
      </c>
      <c r="K1273" s="245"/>
      <c r="AG1273" s="240"/>
    </row>
    <row r="1274" spans="1:33" x14ac:dyDescent="0.2">
      <c r="A1274" s="240" t="str">
        <f t="shared" si="101"/>
        <v/>
      </c>
      <c r="K1274" s="245"/>
      <c r="AG1274" s="240"/>
    </row>
    <row r="1275" spans="1:33" x14ac:dyDescent="0.2">
      <c r="A1275" s="240" t="str">
        <f t="shared" si="101"/>
        <v/>
      </c>
      <c r="K1275" s="245"/>
      <c r="AG1275" s="240"/>
    </row>
    <row r="1276" spans="1:33" x14ac:dyDescent="0.2">
      <c r="A1276" s="240" t="str">
        <f t="shared" si="101"/>
        <v/>
      </c>
      <c r="K1276" s="245"/>
      <c r="AG1276" s="240"/>
    </row>
    <row r="1277" spans="1:33" x14ac:dyDescent="0.2">
      <c r="A1277" s="240" t="str">
        <f t="shared" si="101"/>
        <v/>
      </c>
      <c r="K1277" s="245"/>
      <c r="AG1277" s="240"/>
    </row>
    <row r="1278" spans="1:33" x14ac:dyDescent="0.2">
      <c r="A1278" s="240" t="str">
        <f t="shared" si="101"/>
        <v/>
      </c>
      <c r="K1278" s="245"/>
      <c r="AG1278" s="240"/>
    </row>
    <row r="1279" spans="1:33" x14ac:dyDescent="0.2">
      <c r="A1279" s="240" t="str">
        <f t="shared" si="101"/>
        <v/>
      </c>
      <c r="K1279" s="245"/>
      <c r="AG1279" s="240"/>
    </row>
    <row r="1280" spans="1:33" x14ac:dyDescent="0.2">
      <c r="A1280" s="240" t="str">
        <f t="shared" si="101"/>
        <v/>
      </c>
      <c r="K1280" s="245"/>
      <c r="AG1280" s="240"/>
    </row>
    <row r="1281" spans="1:33" x14ac:dyDescent="0.2">
      <c r="A1281" s="240" t="str">
        <f t="shared" si="101"/>
        <v/>
      </c>
      <c r="K1281" s="245"/>
      <c r="AG1281" s="240"/>
    </row>
    <row r="1282" spans="1:33" x14ac:dyDescent="0.2">
      <c r="A1282" s="240" t="str">
        <f t="shared" si="101"/>
        <v/>
      </c>
      <c r="K1282" s="245"/>
      <c r="AG1282" s="240"/>
    </row>
    <row r="1283" spans="1:33" x14ac:dyDescent="0.2">
      <c r="A1283" s="240" t="str">
        <f t="shared" si="101"/>
        <v/>
      </c>
      <c r="K1283" s="245"/>
      <c r="AG1283" s="240"/>
    </row>
    <row r="1284" spans="1:33" x14ac:dyDescent="0.2">
      <c r="A1284" s="240" t="str">
        <f t="shared" si="101"/>
        <v/>
      </c>
      <c r="K1284" s="245"/>
      <c r="AG1284" s="240"/>
    </row>
    <row r="1285" spans="1:33" x14ac:dyDescent="0.2">
      <c r="A1285" s="240" t="str">
        <f t="shared" si="101"/>
        <v/>
      </c>
      <c r="K1285" s="245"/>
      <c r="AG1285" s="240"/>
    </row>
    <row r="1286" spans="1:33" x14ac:dyDescent="0.2">
      <c r="A1286" s="240" t="str">
        <f t="shared" si="101"/>
        <v/>
      </c>
      <c r="K1286" s="245"/>
      <c r="AG1286" s="240"/>
    </row>
    <row r="1287" spans="1:33" x14ac:dyDescent="0.2">
      <c r="A1287" s="240" t="str">
        <f t="shared" si="101"/>
        <v/>
      </c>
      <c r="K1287" s="245"/>
      <c r="AG1287" s="240"/>
    </row>
    <row r="1288" spans="1:33" x14ac:dyDescent="0.2">
      <c r="A1288" s="240" t="str">
        <f t="shared" si="101"/>
        <v/>
      </c>
      <c r="K1288" s="245"/>
      <c r="AG1288" s="240"/>
    </row>
    <row r="1289" spans="1:33" x14ac:dyDescent="0.2">
      <c r="A1289" s="240" t="str">
        <f t="shared" si="101"/>
        <v/>
      </c>
      <c r="K1289" s="245"/>
      <c r="AG1289" s="240"/>
    </row>
    <row r="1290" spans="1:33" x14ac:dyDescent="0.2">
      <c r="A1290" s="240" t="str">
        <f t="shared" si="101"/>
        <v/>
      </c>
      <c r="K1290" s="245"/>
      <c r="AG1290" s="240"/>
    </row>
    <row r="1291" spans="1:33" x14ac:dyDescent="0.2">
      <c r="A1291" s="240" t="str">
        <f t="shared" si="101"/>
        <v/>
      </c>
      <c r="K1291" s="245"/>
      <c r="AG1291" s="240"/>
    </row>
    <row r="1292" spans="1:33" x14ac:dyDescent="0.2">
      <c r="A1292" s="240" t="str">
        <f t="shared" si="101"/>
        <v/>
      </c>
      <c r="K1292" s="245"/>
      <c r="AG1292" s="240"/>
    </row>
    <row r="1293" spans="1:33" x14ac:dyDescent="0.2">
      <c r="A1293" s="240" t="str">
        <f t="shared" si="101"/>
        <v/>
      </c>
      <c r="K1293" s="245"/>
      <c r="AG1293" s="240"/>
    </row>
    <row r="1294" spans="1:33" x14ac:dyDescent="0.2">
      <c r="A1294" s="240" t="str">
        <f t="shared" si="101"/>
        <v/>
      </c>
      <c r="K1294" s="245"/>
      <c r="AG1294" s="240"/>
    </row>
    <row r="1295" spans="1:33" x14ac:dyDescent="0.2">
      <c r="A1295" s="240" t="str">
        <f t="shared" si="101"/>
        <v/>
      </c>
      <c r="K1295" s="245"/>
      <c r="AG1295" s="240"/>
    </row>
    <row r="1296" spans="1:33" x14ac:dyDescent="0.2">
      <c r="A1296" s="240" t="str">
        <f t="shared" si="101"/>
        <v/>
      </c>
      <c r="K1296" s="245"/>
      <c r="AG1296" s="240"/>
    </row>
    <row r="1297" spans="1:33" x14ac:dyDescent="0.2">
      <c r="A1297" s="240" t="str">
        <f t="shared" ref="A1297:A1360" si="102">I1297&amp;B1297&amp;C1297&amp;D1297&amp;F1297&amp;G1297</f>
        <v/>
      </c>
      <c r="K1297" s="245"/>
      <c r="AG1297" s="240"/>
    </row>
    <row r="1298" spans="1:33" x14ac:dyDescent="0.2">
      <c r="A1298" s="240" t="str">
        <f t="shared" si="102"/>
        <v/>
      </c>
      <c r="K1298" s="245"/>
      <c r="AG1298" s="240"/>
    </row>
    <row r="1299" spans="1:33" x14ac:dyDescent="0.2">
      <c r="A1299" s="240" t="str">
        <f t="shared" si="102"/>
        <v/>
      </c>
      <c r="K1299" s="245"/>
      <c r="AG1299" s="240"/>
    </row>
    <row r="1300" spans="1:33" x14ac:dyDescent="0.2">
      <c r="A1300" s="240" t="str">
        <f t="shared" si="102"/>
        <v/>
      </c>
      <c r="K1300" s="245"/>
      <c r="AG1300" s="240"/>
    </row>
    <row r="1301" spans="1:33" x14ac:dyDescent="0.2">
      <c r="A1301" s="240" t="str">
        <f t="shared" si="102"/>
        <v/>
      </c>
      <c r="K1301" s="245"/>
      <c r="AG1301" s="240"/>
    </row>
    <row r="1302" spans="1:33" x14ac:dyDescent="0.2">
      <c r="A1302" s="240" t="str">
        <f t="shared" si="102"/>
        <v/>
      </c>
      <c r="K1302" s="245"/>
      <c r="AG1302" s="240"/>
    </row>
    <row r="1303" spans="1:33" x14ac:dyDescent="0.2">
      <c r="A1303" s="240" t="str">
        <f t="shared" si="102"/>
        <v/>
      </c>
      <c r="K1303" s="245"/>
      <c r="AG1303" s="240"/>
    </row>
    <row r="1304" spans="1:33" x14ac:dyDescent="0.2">
      <c r="A1304" s="240" t="str">
        <f t="shared" si="102"/>
        <v/>
      </c>
      <c r="K1304" s="245"/>
      <c r="AG1304" s="240"/>
    </row>
    <row r="1305" spans="1:33" x14ac:dyDescent="0.2">
      <c r="A1305" s="240" t="str">
        <f t="shared" si="102"/>
        <v/>
      </c>
      <c r="K1305" s="245"/>
      <c r="AG1305" s="240"/>
    </row>
    <row r="1306" spans="1:33" x14ac:dyDescent="0.2">
      <c r="A1306" s="240" t="str">
        <f t="shared" si="102"/>
        <v/>
      </c>
      <c r="K1306" s="245"/>
      <c r="AG1306" s="240"/>
    </row>
    <row r="1307" spans="1:33" x14ac:dyDescent="0.2">
      <c r="A1307" s="240" t="str">
        <f t="shared" si="102"/>
        <v/>
      </c>
      <c r="K1307" s="245"/>
      <c r="AG1307" s="240"/>
    </row>
    <row r="1308" spans="1:33" x14ac:dyDescent="0.2">
      <c r="A1308" s="240" t="str">
        <f t="shared" si="102"/>
        <v/>
      </c>
      <c r="K1308" s="245"/>
      <c r="AG1308" s="240"/>
    </row>
    <row r="1309" spans="1:33" x14ac:dyDescent="0.2">
      <c r="A1309" s="240" t="str">
        <f t="shared" si="102"/>
        <v/>
      </c>
      <c r="K1309" s="245"/>
      <c r="AG1309" s="240"/>
    </row>
    <row r="1310" spans="1:33" x14ac:dyDescent="0.2">
      <c r="A1310" s="240" t="str">
        <f t="shared" si="102"/>
        <v/>
      </c>
      <c r="K1310" s="245"/>
      <c r="AG1310" s="240"/>
    </row>
    <row r="1311" spans="1:33" x14ac:dyDescent="0.2">
      <c r="A1311" s="240" t="str">
        <f t="shared" si="102"/>
        <v/>
      </c>
      <c r="K1311" s="245"/>
      <c r="AG1311" s="240"/>
    </row>
    <row r="1312" spans="1:33" x14ac:dyDescent="0.2">
      <c r="A1312" s="240" t="str">
        <f t="shared" si="102"/>
        <v/>
      </c>
      <c r="K1312" s="245"/>
      <c r="AG1312" s="240"/>
    </row>
    <row r="1313" spans="1:33" x14ac:dyDescent="0.2">
      <c r="A1313" s="240" t="str">
        <f t="shared" si="102"/>
        <v/>
      </c>
      <c r="K1313" s="245"/>
      <c r="AG1313" s="240"/>
    </row>
    <row r="1314" spans="1:33" x14ac:dyDescent="0.2">
      <c r="A1314" s="240" t="str">
        <f t="shared" si="102"/>
        <v/>
      </c>
      <c r="K1314" s="245"/>
      <c r="AG1314" s="240"/>
    </row>
    <row r="1315" spans="1:33" x14ac:dyDescent="0.2">
      <c r="A1315" s="240" t="str">
        <f t="shared" si="102"/>
        <v/>
      </c>
      <c r="K1315" s="245"/>
      <c r="AG1315" s="240"/>
    </row>
    <row r="1316" spans="1:33" x14ac:dyDescent="0.2">
      <c r="A1316" s="240" t="str">
        <f t="shared" si="102"/>
        <v/>
      </c>
      <c r="K1316" s="245"/>
      <c r="AG1316" s="240"/>
    </row>
    <row r="1317" spans="1:33" x14ac:dyDescent="0.2">
      <c r="A1317" s="240" t="str">
        <f t="shared" si="102"/>
        <v/>
      </c>
      <c r="K1317" s="245"/>
      <c r="AG1317" s="240"/>
    </row>
    <row r="1318" spans="1:33" x14ac:dyDescent="0.2">
      <c r="A1318" s="240" t="str">
        <f t="shared" si="102"/>
        <v/>
      </c>
      <c r="K1318" s="245"/>
      <c r="AG1318" s="240"/>
    </row>
    <row r="1319" spans="1:33" x14ac:dyDescent="0.2">
      <c r="A1319" s="240" t="str">
        <f t="shared" si="102"/>
        <v/>
      </c>
      <c r="K1319" s="245"/>
      <c r="AG1319" s="240"/>
    </row>
    <row r="1320" spans="1:33" x14ac:dyDescent="0.2">
      <c r="A1320" s="240" t="str">
        <f t="shared" si="102"/>
        <v/>
      </c>
      <c r="K1320" s="245"/>
      <c r="AG1320" s="240"/>
    </row>
    <row r="1321" spans="1:33" x14ac:dyDescent="0.2">
      <c r="A1321" s="240" t="str">
        <f t="shared" si="102"/>
        <v/>
      </c>
      <c r="K1321" s="245"/>
      <c r="AG1321" s="240"/>
    </row>
    <row r="1322" spans="1:33" x14ac:dyDescent="0.2">
      <c r="A1322" s="240" t="str">
        <f t="shared" si="102"/>
        <v/>
      </c>
      <c r="K1322" s="245"/>
      <c r="AG1322" s="240"/>
    </row>
    <row r="1323" spans="1:33" x14ac:dyDescent="0.2">
      <c r="A1323" s="240" t="str">
        <f t="shared" si="102"/>
        <v/>
      </c>
      <c r="K1323" s="245"/>
      <c r="AG1323" s="240"/>
    </row>
    <row r="1324" spans="1:33" x14ac:dyDescent="0.2">
      <c r="A1324" s="240" t="str">
        <f t="shared" si="102"/>
        <v/>
      </c>
      <c r="K1324" s="245"/>
      <c r="AG1324" s="240"/>
    </row>
    <row r="1325" spans="1:33" x14ac:dyDescent="0.2">
      <c r="A1325" s="240" t="str">
        <f t="shared" si="102"/>
        <v/>
      </c>
      <c r="K1325" s="245"/>
      <c r="AG1325" s="240"/>
    </row>
    <row r="1326" spans="1:33" x14ac:dyDescent="0.2">
      <c r="A1326" s="240" t="str">
        <f t="shared" si="102"/>
        <v/>
      </c>
      <c r="K1326" s="245"/>
      <c r="AG1326" s="240"/>
    </row>
    <row r="1327" spans="1:33" x14ac:dyDescent="0.2">
      <c r="A1327" s="240" t="str">
        <f t="shared" si="102"/>
        <v/>
      </c>
      <c r="K1327" s="245"/>
      <c r="AG1327" s="240"/>
    </row>
    <row r="1328" spans="1:33" x14ac:dyDescent="0.2">
      <c r="A1328" s="240" t="str">
        <f t="shared" si="102"/>
        <v/>
      </c>
      <c r="K1328" s="245"/>
      <c r="AG1328" s="240"/>
    </row>
    <row r="1329" spans="1:33" x14ac:dyDescent="0.2">
      <c r="A1329" s="240" t="str">
        <f t="shared" si="102"/>
        <v/>
      </c>
      <c r="K1329" s="245"/>
      <c r="AG1329" s="240"/>
    </row>
    <row r="1330" spans="1:33" x14ac:dyDescent="0.2">
      <c r="A1330" s="240" t="str">
        <f t="shared" si="102"/>
        <v/>
      </c>
      <c r="K1330" s="245"/>
      <c r="AG1330" s="240"/>
    </row>
    <row r="1331" spans="1:33" x14ac:dyDescent="0.2">
      <c r="A1331" s="240" t="str">
        <f t="shared" si="102"/>
        <v/>
      </c>
      <c r="K1331" s="245"/>
      <c r="AG1331" s="240"/>
    </row>
    <row r="1332" spans="1:33" x14ac:dyDescent="0.2">
      <c r="A1332" s="240" t="str">
        <f t="shared" si="102"/>
        <v/>
      </c>
      <c r="K1332" s="245"/>
      <c r="AG1332" s="240"/>
    </row>
    <row r="1333" spans="1:33" x14ac:dyDescent="0.2">
      <c r="A1333" s="240" t="str">
        <f t="shared" si="102"/>
        <v/>
      </c>
      <c r="K1333" s="245"/>
      <c r="AG1333" s="240"/>
    </row>
    <row r="1334" spans="1:33" x14ac:dyDescent="0.2">
      <c r="A1334" s="240" t="str">
        <f t="shared" si="102"/>
        <v/>
      </c>
      <c r="K1334" s="245"/>
      <c r="AG1334" s="240"/>
    </row>
    <row r="1335" spans="1:33" x14ac:dyDescent="0.2">
      <c r="A1335" s="240" t="str">
        <f t="shared" si="102"/>
        <v/>
      </c>
      <c r="K1335" s="245"/>
      <c r="AG1335" s="240"/>
    </row>
    <row r="1336" spans="1:33" x14ac:dyDescent="0.2">
      <c r="A1336" s="240" t="str">
        <f t="shared" si="102"/>
        <v/>
      </c>
      <c r="K1336" s="245"/>
      <c r="AG1336" s="240"/>
    </row>
    <row r="1337" spans="1:33" x14ac:dyDescent="0.2">
      <c r="A1337" s="240" t="str">
        <f t="shared" si="102"/>
        <v/>
      </c>
      <c r="K1337" s="245"/>
      <c r="AG1337" s="240"/>
    </row>
    <row r="1338" spans="1:33" x14ac:dyDescent="0.2">
      <c r="A1338" s="240" t="str">
        <f t="shared" si="102"/>
        <v/>
      </c>
      <c r="K1338" s="245"/>
      <c r="AG1338" s="240"/>
    </row>
    <row r="1339" spans="1:33" x14ac:dyDescent="0.2">
      <c r="A1339" s="240" t="str">
        <f t="shared" si="102"/>
        <v/>
      </c>
      <c r="K1339" s="245"/>
      <c r="AG1339" s="240"/>
    </row>
    <row r="1340" spans="1:33" x14ac:dyDescent="0.2">
      <c r="A1340" s="240" t="str">
        <f t="shared" si="102"/>
        <v/>
      </c>
      <c r="K1340" s="245"/>
      <c r="AG1340" s="240"/>
    </row>
    <row r="1341" spans="1:33" x14ac:dyDescent="0.2">
      <c r="A1341" s="240" t="str">
        <f t="shared" si="102"/>
        <v/>
      </c>
      <c r="K1341" s="245"/>
      <c r="AG1341" s="240"/>
    </row>
    <row r="1342" spans="1:33" x14ac:dyDescent="0.2">
      <c r="A1342" s="240" t="str">
        <f t="shared" si="102"/>
        <v/>
      </c>
      <c r="K1342" s="245"/>
      <c r="AG1342" s="240"/>
    </row>
    <row r="1343" spans="1:33" x14ac:dyDescent="0.2">
      <c r="A1343" s="240" t="str">
        <f t="shared" si="102"/>
        <v/>
      </c>
      <c r="K1343" s="245"/>
      <c r="AG1343" s="240"/>
    </row>
    <row r="1344" spans="1:33" x14ac:dyDescent="0.2">
      <c r="A1344" s="240" t="str">
        <f t="shared" si="102"/>
        <v/>
      </c>
      <c r="K1344" s="245"/>
      <c r="AG1344" s="240"/>
    </row>
    <row r="1345" spans="1:33" x14ac:dyDescent="0.2">
      <c r="A1345" s="240" t="str">
        <f t="shared" si="102"/>
        <v/>
      </c>
      <c r="K1345" s="245"/>
      <c r="AG1345" s="240"/>
    </row>
    <row r="1346" spans="1:33" x14ac:dyDescent="0.2">
      <c r="A1346" s="240" t="str">
        <f t="shared" si="102"/>
        <v/>
      </c>
      <c r="K1346" s="245"/>
      <c r="AG1346" s="240"/>
    </row>
    <row r="1347" spans="1:33" x14ac:dyDescent="0.2">
      <c r="A1347" s="240" t="str">
        <f t="shared" si="102"/>
        <v/>
      </c>
      <c r="K1347" s="245"/>
      <c r="AG1347" s="240"/>
    </row>
    <row r="1348" spans="1:33" x14ac:dyDescent="0.2">
      <c r="A1348" s="240" t="str">
        <f t="shared" si="102"/>
        <v/>
      </c>
      <c r="K1348" s="245"/>
      <c r="AG1348" s="240"/>
    </row>
    <row r="1349" spans="1:33" x14ac:dyDescent="0.2">
      <c r="A1349" s="240" t="str">
        <f t="shared" si="102"/>
        <v/>
      </c>
      <c r="K1349" s="245"/>
      <c r="AG1349" s="240"/>
    </row>
    <row r="1350" spans="1:33" x14ac:dyDescent="0.2">
      <c r="A1350" s="240" t="str">
        <f t="shared" si="102"/>
        <v/>
      </c>
      <c r="K1350" s="245"/>
      <c r="AG1350" s="240"/>
    </row>
    <row r="1351" spans="1:33" x14ac:dyDescent="0.2">
      <c r="A1351" s="240" t="str">
        <f t="shared" si="102"/>
        <v/>
      </c>
      <c r="K1351" s="245"/>
      <c r="AG1351" s="240"/>
    </row>
    <row r="1352" spans="1:33" x14ac:dyDescent="0.2">
      <c r="A1352" s="240" t="str">
        <f t="shared" si="102"/>
        <v/>
      </c>
      <c r="K1352" s="245"/>
      <c r="AG1352" s="240"/>
    </row>
    <row r="1353" spans="1:33" x14ac:dyDescent="0.2">
      <c r="A1353" s="240" t="str">
        <f t="shared" si="102"/>
        <v/>
      </c>
      <c r="K1353" s="245"/>
      <c r="AG1353" s="240"/>
    </row>
    <row r="1354" spans="1:33" x14ac:dyDescent="0.2">
      <c r="A1354" s="240" t="str">
        <f t="shared" si="102"/>
        <v/>
      </c>
      <c r="K1354" s="245"/>
      <c r="AG1354" s="240"/>
    </row>
    <row r="1355" spans="1:33" x14ac:dyDescent="0.2">
      <c r="A1355" s="240" t="str">
        <f t="shared" si="102"/>
        <v/>
      </c>
      <c r="K1355" s="245"/>
      <c r="AG1355" s="240"/>
    </row>
    <row r="1356" spans="1:33" x14ac:dyDescent="0.2">
      <c r="A1356" s="240" t="str">
        <f t="shared" si="102"/>
        <v/>
      </c>
      <c r="K1356" s="245"/>
      <c r="AG1356" s="240"/>
    </row>
    <row r="1357" spans="1:33" x14ac:dyDescent="0.2">
      <c r="A1357" s="240" t="str">
        <f t="shared" si="102"/>
        <v/>
      </c>
      <c r="K1357" s="245"/>
      <c r="AG1357" s="240"/>
    </row>
    <row r="1358" spans="1:33" x14ac:dyDescent="0.2">
      <c r="A1358" s="240" t="str">
        <f t="shared" si="102"/>
        <v/>
      </c>
      <c r="K1358" s="245"/>
      <c r="AG1358" s="240"/>
    </row>
    <row r="1359" spans="1:33" x14ac:dyDescent="0.2">
      <c r="A1359" s="240" t="str">
        <f t="shared" si="102"/>
        <v/>
      </c>
      <c r="K1359" s="245"/>
      <c r="AG1359" s="240"/>
    </row>
    <row r="1360" spans="1:33" x14ac:dyDescent="0.2">
      <c r="A1360" s="240" t="str">
        <f t="shared" si="102"/>
        <v/>
      </c>
      <c r="K1360" s="245"/>
      <c r="AG1360" s="240"/>
    </row>
    <row r="1361" spans="1:33" x14ac:dyDescent="0.2">
      <c r="A1361" s="240" t="str">
        <f t="shared" ref="A1361:A1424" si="103">I1361&amp;B1361&amp;C1361&amp;D1361&amp;F1361&amp;G1361</f>
        <v/>
      </c>
      <c r="K1361" s="245"/>
      <c r="AG1361" s="240"/>
    </row>
    <row r="1362" spans="1:33" x14ac:dyDescent="0.2">
      <c r="A1362" s="240" t="str">
        <f t="shared" si="103"/>
        <v/>
      </c>
      <c r="K1362" s="245"/>
      <c r="AG1362" s="240"/>
    </row>
    <row r="1363" spans="1:33" x14ac:dyDescent="0.2">
      <c r="A1363" s="240" t="str">
        <f t="shared" si="103"/>
        <v/>
      </c>
      <c r="K1363" s="245"/>
      <c r="AG1363" s="240"/>
    </row>
    <row r="1364" spans="1:33" x14ac:dyDescent="0.2">
      <c r="A1364" s="240" t="str">
        <f t="shared" si="103"/>
        <v/>
      </c>
      <c r="K1364" s="245"/>
      <c r="AG1364" s="240"/>
    </row>
    <row r="1365" spans="1:33" x14ac:dyDescent="0.2">
      <c r="A1365" s="240" t="str">
        <f t="shared" si="103"/>
        <v/>
      </c>
      <c r="K1365" s="245"/>
      <c r="AG1365" s="240"/>
    </row>
    <row r="1366" spans="1:33" x14ac:dyDescent="0.2">
      <c r="A1366" s="240" t="str">
        <f t="shared" si="103"/>
        <v/>
      </c>
      <c r="K1366" s="245"/>
      <c r="AG1366" s="240"/>
    </row>
    <row r="1367" spans="1:33" x14ac:dyDescent="0.2">
      <c r="A1367" s="240" t="str">
        <f t="shared" si="103"/>
        <v/>
      </c>
      <c r="K1367" s="245"/>
      <c r="AG1367" s="240"/>
    </row>
    <row r="1368" spans="1:33" x14ac:dyDescent="0.2">
      <c r="A1368" s="240" t="str">
        <f t="shared" si="103"/>
        <v/>
      </c>
      <c r="K1368" s="245"/>
      <c r="AG1368" s="240"/>
    </row>
    <row r="1369" spans="1:33" x14ac:dyDescent="0.2">
      <c r="A1369" s="240" t="str">
        <f t="shared" si="103"/>
        <v/>
      </c>
      <c r="K1369" s="245"/>
      <c r="AG1369" s="240"/>
    </row>
    <row r="1370" spans="1:33" x14ac:dyDescent="0.2">
      <c r="A1370" s="240" t="str">
        <f t="shared" si="103"/>
        <v/>
      </c>
      <c r="K1370" s="245"/>
      <c r="AG1370" s="240"/>
    </row>
    <row r="1371" spans="1:33" x14ac:dyDescent="0.2">
      <c r="A1371" s="240" t="str">
        <f t="shared" si="103"/>
        <v/>
      </c>
      <c r="K1371" s="245"/>
      <c r="AG1371" s="240"/>
    </row>
    <row r="1372" spans="1:33" x14ac:dyDescent="0.2">
      <c r="A1372" s="240" t="str">
        <f t="shared" si="103"/>
        <v/>
      </c>
      <c r="K1372" s="245"/>
      <c r="AG1372" s="240"/>
    </row>
    <row r="1373" spans="1:33" x14ac:dyDescent="0.2">
      <c r="A1373" s="240" t="str">
        <f t="shared" si="103"/>
        <v/>
      </c>
      <c r="K1373" s="245"/>
      <c r="AG1373" s="240"/>
    </row>
    <row r="1374" spans="1:33" x14ac:dyDescent="0.2">
      <c r="A1374" s="240" t="str">
        <f t="shared" si="103"/>
        <v/>
      </c>
      <c r="K1374" s="245"/>
      <c r="AG1374" s="240"/>
    </row>
    <row r="1375" spans="1:33" x14ac:dyDescent="0.2">
      <c r="A1375" s="240" t="str">
        <f t="shared" si="103"/>
        <v/>
      </c>
      <c r="K1375" s="245"/>
      <c r="AG1375" s="240"/>
    </row>
    <row r="1376" spans="1:33" x14ac:dyDescent="0.2">
      <c r="A1376" s="240" t="str">
        <f t="shared" si="103"/>
        <v/>
      </c>
      <c r="K1376" s="245"/>
      <c r="AG1376" s="240"/>
    </row>
    <row r="1377" spans="1:33" x14ac:dyDescent="0.2">
      <c r="A1377" s="240" t="str">
        <f t="shared" si="103"/>
        <v/>
      </c>
      <c r="K1377" s="245"/>
      <c r="AG1377" s="240"/>
    </row>
    <row r="1378" spans="1:33" x14ac:dyDescent="0.2">
      <c r="A1378" s="240" t="str">
        <f t="shared" si="103"/>
        <v/>
      </c>
      <c r="K1378" s="245"/>
      <c r="AG1378" s="240"/>
    </row>
    <row r="1379" spans="1:33" x14ac:dyDescent="0.2">
      <c r="A1379" s="240" t="str">
        <f t="shared" si="103"/>
        <v/>
      </c>
      <c r="K1379" s="245"/>
      <c r="AG1379" s="240"/>
    </row>
    <row r="1380" spans="1:33" x14ac:dyDescent="0.2">
      <c r="A1380" s="240" t="str">
        <f t="shared" si="103"/>
        <v/>
      </c>
      <c r="K1380" s="245"/>
      <c r="AG1380" s="240"/>
    </row>
    <row r="1381" spans="1:33" x14ac:dyDescent="0.2">
      <c r="A1381" s="240" t="str">
        <f t="shared" si="103"/>
        <v/>
      </c>
      <c r="K1381" s="245"/>
      <c r="AG1381" s="240"/>
    </row>
    <row r="1382" spans="1:33" x14ac:dyDescent="0.2">
      <c r="A1382" s="240" t="str">
        <f t="shared" si="103"/>
        <v/>
      </c>
      <c r="K1382" s="245"/>
      <c r="AG1382" s="240"/>
    </row>
    <row r="1383" spans="1:33" x14ac:dyDescent="0.2">
      <c r="A1383" s="240" t="str">
        <f t="shared" si="103"/>
        <v/>
      </c>
      <c r="K1383" s="245"/>
      <c r="AG1383" s="240"/>
    </row>
    <row r="1384" spans="1:33" x14ac:dyDescent="0.2">
      <c r="A1384" s="240" t="str">
        <f t="shared" si="103"/>
        <v/>
      </c>
      <c r="K1384" s="245"/>
      <c r="AG1384" s="240"/>
    </row>
    <row r="1385" spans="1:33" x14ac:dyDescent="0.2">
      <c r="A1385" s="240" t="str">
        <f t="shared" si="103"/>
        <v/>
      </c>
      <c r="K1385" s="245"/>
      <c r="AG1385" s="240"/>
    </row>
    <row r="1386" spans="1:33" x14ac:dyDescent="0.2">
      <c r="A1386" s="240" t="str">
        <f t="shared" si="103"/>
        <v/>
      </c>
      <c r="K1386" s="245"/>
      <c r="AG1386" s="240"/>
    </row>
    <row r="1387" spans="1:33" x14ac:dyDescent="0.2">
      <c r="A1387" s="240" t="str">
        <f t="shared" si="103"/>
        <v/>
      </c>
      <c r="K1387" s="245"/>
      <c r="AG1387" s="240"/>
    </row>
    <row r="1388" spans="1:33" x14ac:dyDescent="0.2">
      <c r="A1388" s="240" t="str">
        <f t="shared" si="103"/>
        <v/>
      </c>
      <c r="K1388" s="245"/>
      <c r="AG1388" s="240"/>
    </row>
    <row r="1389" spans="1:33" x14ac:dyDescent="0.2">
      <c r="A1389" s="240" t="str">
        <f t="shared" si="103"/>
        <v/>
      </c>
      <c r="K1389" s="245"/>
      <c r="AG1389" s="240"/>
    </row>
    <row r="1390" spans="1:33" x14ac:dyDescent="0.2">
      <c r="A1390" s="240" t="str">
        <f t="shared" si="103"/>
        <v/>
      </c>
      <c r="K1390" s="245"/>
      <c r="AG1390" s="240"/>
    </row>
    <row r="1391" spans="1:33" x14ac:dyDescent="0.2">
      <c r="A1391" s="240" t="str">
        <f t="shared" si="103"/>
        <v/>
      </c>
      <c r="K1391" s="245"/>
      <c r="AG1391" s="240"/>
    </row>
    <row r="1392" spans="1:33" x14ac:dyDescent="0.2">
      <c r="A1392" s="240" t="str">
        <f t="shared" si="103"/>
        <v/>
      </c>
      <c r="K1392" s="245"/>
      <c r="AG1392" s="240"/>
    </row>
    <row r="1393" spans="1:33" x14ac:dyDescent="0.2">
      <c r="A1393" s="240" t="str">
        <f t="shared" si="103"/>
        <v/>
      </c>
      <c r="K1393" s="245"/>
      <c r="AG1393" s="240"/>
    </row>
    <row r="1394" spans="1:33" x14ac:dyDescent="0.2">
      <c r="A1394" s="240" t="str">
        <f t="shared" si="103"/>
        <v/>
      </c>
      <c r="K1394" s="245"/>
      <c r="AG1394" s="240"/>
    </row>
    <row r="1395" spans="1:33" x14ac:dyDescent="0.2">
      <c r="A1395" s="240" t="str">
        <f t="shared" si="103"/>
        <v/>
      </c>
      <c r="K1395" s="245"/>
      <c r="AG1395" s="240"/>
    </row>
    <row r="1396" spans="1:33" x14ac:dyDescent="0.2">
      <c r="A1396" s="240" t="str">
        <f t="shared" si="103"/>
        <v/>
      </c>
      <c r="K1396" s="245"/>
      <c r="AG1396" s="240"/>
    </row>
    <row r="1397" spans="1:33" x14ac:dyDescent="0.2">
      <c r="A1397" s="240" t="str">
        <f t="shared" si="103"/>
        <v/>
      </c>
      <c r="K1397" s="245"/>
      <c r="AG1397" s="240"/>
    </row>
    <row r="1398" spans="1:33" x14ac:dyDescent="0.2">
      <c r="A1398" s="240" t="str">
        <f t="shared" si="103"/>
        <v/>
      </c>
      <c r="K1398" s="245"/>
      <c r="AG1398" s="240"/>
    </row>
    <row r="1399" spans="1:33" x14ac:dyDescent="0.2">
      <c r="A1399" s="240" t="str">
        <f t="shared" si="103"/>
        <v/>
      </c>
      <c r="K1399" s="245"/>
      <c r="AG1399" s="240"/>
    </row>
    <row r="1400" spans="1:33" x14ac:dyDescent="0.2">
      <c r="A1400" s="240" t="str">
        <f t="shared" si="103"/>
        <v/>
      </c>
      <c r="K1400" s="245"/>
      <c r="AG1400" s="240"/>
    </row>
    <row r="1401" spans="1:33" x14ac:dyDescent="0.2">
      <c r="A1401" s="240" t="str">
        <f t="shared" si="103"/>
        <v/>
      </c>
      <c r="K1401" s="245"/>
      <c r="AG1401" s="240"/>
    </row>
    <row r="1402" spans="1:33" x14ac:dyDescent="0.2">
      <c r="A1402" s="240" t="str">
        <f t="shared" si="103"/>
        <v/>
      </c>
      <c r="K1402" s="245"/>
      <c r="AG1402" s="240"/>
    </row>
    <row r="1403" spans="1:33" x14ac:dyDescent="0.2">
      <c r="A1403" s="240" t="str">
        <f t="shared" si="103"/>
        <v/>
      </c>
      <c r="K1403" s="245"/>
      <c r="AG1403" s="240"/>
    </row>
    <row r="1404" spans="1:33" x14ac:dyDescent="0.2">
      <c r="A1404" s="240" t="str">
        <f t="shared" si="103"/>
        <v/>
      </c>
      <c r="K1404" s="245"/>
      <c r="AG1404" s="240"/>
    </row>
    <row r="1405" spans="1:33" x14ac:dyDescent="0.2">
      <c r="A1405" s="240" t="str">
        <f t="shared" si="103"/>
        <v/>
      </c>
      <c r="K1405" s="245"/>
      <c r="AG1405" s="240"/>
    </row>
    <row r="1406" spans="1:33" x14ac:dyDescent="0.2">
      <c r="A1406" s="240" t="str">
        <f t="shared" si="103"/>
        <v/>
      </c>
      <c r="K1406" s="245"/>
      <c r="AG1406" s="240"/>
    </row>
    <row r="1407" spans="1:33" x14ac:dyDescent="0.2">
      <c r="A1407" s="240" t="str">
        <f t="shared" si="103"/>
        <v/>
      </c>
      <c r="K1407" s="245"/>
      <c r="AG1407" s="240"/>
    </row>
    <row r="1408" spans="1:33" x14ac:dyDescent="0.2">
      <c r="A1408" s="240" t="str">
        <f t="shared" si="103"/>
        <v/>
      </c>
      <c r="K1408" s="245"/>
      <c r="AG1408" s="240"/>
    </row>
    <row r="1409" spans="1:33" x14ac:dyDescent="0.2">
      <c r="A1409" s="240" t="str">
        <f t="shared" si="103"/>
        <v/>
      </c>
      <c r="K1409" s="245"/>
      <c r="AG1409" s="240"/>
    </row>
    <row r="1410" spans="1:33" x14ac:dyDescent="0.2">
      <c r="A1410" s="240" t="str">
        <f t="shared" si="103"/>
        <v/>
      </c>
      <c r="K1410" s="245"/>
      <c r="AG1410" s="240"/>
    </row>
    <row r="1411" spans="1:33" x14ac:dyDescent="0.2">
      <c r="A1411" s="240" t="str">
        <f t="shared" si="103"/>
        <v/>
      </c>
      <c r="K1411" s="245"/>
      <c r="AG1411" s="240"/>
    </row>
    <row r="1412" spans="1:33" x14ac:dyDescent="0.2">
      <c r="A1412" s="240" t="str">
        <f t="shared" si="103"/>
        <v/>
      </c>
      <c r="K1412" s="245"/>
      <c r="AG1412" s="240"/>
    </row>
    <row r="1413" spans="1:33" x14ac:dyDescent="0.2">
      <c r="A1413" s="240" t="str">
        <f t="shared" si="103"/>
        <v/>
      </c>
      <c r="K1413" s="245"/>
      <c r="AG1413" s="240"/>
    </row>
    <row r="1414" spans="1:33" x14ac:dyDescent="0.2">
      <c r="A1414" s="240" t="str">
        <f t="shared" si="103"/>
        <v/>
      </c>
      <c r="K1414" s="245"/>
      <c r="AG1414" s="240"/>
    </row>
    <row r="1415" spans="1:33" x14ac:dyDescent="0.2">
      <c r="A1415" s="240" t="str">
        <f t="shared" si="103"/>
        <v/>
      </c>
      <c r="K1415" s="245"/>
      <c r="AG1415" s="240"/>
    </row>
    <row r="1416" spans="1:33" x14ac:dyDescent="0.2">
      <c r="A1416" s="240" t="str">
        <f t="shared" si="103"/>
        <v/>
      </c>
      <c r="K1416" s="245"/>
      <c r="AG1416" s="240"/>
    </row>
    <row r="1417" spans="1:33" x14ac:dyDescent="0.2">
      <c r="A1417" s="240" t="str">
        <f t="shared" si="103"/>
        <v/>
      </c>
      <c r="K1417" s="245"/>
      <c r="AG1417" s="240"/>
    </row>
    <row r="1418" spans="1:33" x14ac:dyDescent="0.2">
      <c r="A1418" s="240" t="str">
        <f t="shared" si="103"/>
        <v/>
      </c>
      <c r="K1418" s="245"/>
      <c r="AG1418" s="240"/>
    </row>
    <row r="1419" spans="1:33" x14ac:dyDescent="0.2">
      <c r="A1419" s="240" t="str">
        <f t="shared" si="103"/>
        <v/>
      </c>
      <c r="K1419" s="245"/>
      <c r="AG1419" s="240"/>
    </row>
    <row r="1420" spans="1:33" x14ac:dyDescent="0.2">
      <c r="A1420" s="240" t="str">
        <f t="shared" si="103"/>
        <v/>
      </c>
      <c r="K1420" s="245"/>
      <c r="AG1420" s="240"/>
    </row>
    <row r="1421" spans="1:33" x14ac:dyDescent="0.2">
      <c r="A1421" s="240" t="str">
        <f t="shared" si="103"/>
        <v/>
      </c>
      <c r="K1421" s="245"/>
      <c r="AG1421" s="240"/>
    </row>
    <row r="1422" spans="1:33" x14ac:dyDescent="0.2">
      <c r="A1422" s="240" t="str">
        <f t="shared" si="103"/>
        <v/>
      </c>
      <c r="K1422" s="245"/>
      <c r="AG1422" s="240"/>
    </row>
    <row r="1423" spans="1:33" x14ac:dyDescent="0.2">
      <c r="A1423" s="240" t="str">
        <f t="shared" si="103"/>
        <v/>
      </c>
      <c r="K1423" s="245"/>
      <c r="AG1423" s="240"/>
    </row>
    <row r="1424" spans="1:33" x14ac:dyDescent="0.2">
      <c r="A1424" s="240" t="str">
        <f t="shared" si="103"/>
        <v/>
      </c>
      <c r="K1424" s="245"/>
      <c r="AG1424" s="240"/>
    </row>
    <row r="1425" spans="1:33" x14ac:dyDescent="0.2">
      <c r="A1425" s="240" t="str">
        <f t="shared" ref="A1425:A1488" si="104">I1425&amp;B1425&amp;C1425&amp;D1425&amp;F1425&amp;G1425</f>
        <v/>
      </c>
      <c r="K1425" s="245"/>
      <c r="AG1425" s="240"/>
    </row>
    <row r="1426" spans="1:33" x14ac:dyDescent="0.2">
      <c r="A1426" s="240" t="str">
        <f t="shared" si="104"/>
        <v/>
      </c>
      <c r="K1426" s="245"/>
      <c r="AG1426" s="240"/>
    </row>
    <row r="1427" spans="1:33" x14ac:dyDescent="0.2">
      <c r="A1427" s="240" t="str">
        <f t="shared" si="104"/>
        <v/>
      </c>
      <c r="K1427" s="245"/>
      <c r="AG1427" s="240"/>
    </row>
    <row r="1428" spans="1:33" x14ac:dyDescent="0.2">
      <c r="A1428" s="240" t="str">
        <f t="shared" si="104"/>
        <v/>
      </c>
      <c r="K1428" s="245"/>
      <c r="AG1428" s="240"/>
    </row>
    <row r="1429" spans="1:33" x14ac:dyDescent="0.2">
      <c r="A1429" s="240" t="str">
        <f t="shared" si="104"/>
        <v/>
      </c>
      <c r="K1429" s="245"/>
      <c r="AG1429" s="240"/>
    </row>
    <row r="1430" spans="1:33" x14ac:dyDescent="0.2">
      <c r="A1430" s="240" t="str">
        <f t="shared" si="104"/>
        <v/>
      </c>
      <c r="K1430" s="245"/>
      <c r="AG1430" s="240"/>
    </row>
    <row r="1431" spans="1:33" x14ac:dyDescent="0.2">
      <c r="A1431" s="240" t="str">
        <f t="shared" si="104"/>
        <v/>
      </c>
      <c r="K1431" s="245"/>
      <c r="AG1431" s="240"/>
    </row>
    <row r="1432" spans="1:33" x14ac:dyDescent="0.2">
      <c r="A1432" s="240" t="str">
        <f t="shared" si="104"/>
        <v/>
      </c>
      <c r="K1432" s="245"/>
      <c r="AG1432" s="240"/>
    </row>
    <row r="1433" spans="1:33" x14ac:dyDescent="0.2">
      <c r="A1433" s="240" t="str">
        <f t="shared" si="104"/>
        <v/>
      </c>
      <c r="K1433" s="245"/>
      <c r="AG1433" s="240"/>
    </row>
    <row r="1434" spans="1:33" x14ac:dyDescent="0.2">
      <c r="A1434" s="240" t="str">
        <f t="shared" si="104"/>
        <v/>
      </c>
      <c r="K1434" s="245"/>
      <c r="AG1434" s="240"/>
    </row>
    <row r="1435" spans="1:33" x14ac:dyDescent="0.2">
      <c r="A1435" s="240" t="str">
        <f t="shared" si="104"/>
        <v/>
      </c>
      <c r="K1435" s="245"/>
      <c r="AG1435" s="240"/>
    </row>
    <row r="1436" spans="1:33" x14ac:dyDescent="0.2">
      <c r="A1436" s="240" t="str">
        <f t="shared" si="104"/>
        <v/>
      </c>
      <c r="K1436" s="245"/>
      <c r="AG1436" s="240"/>
    </row>
    <row r="1437" spans="1:33" x14ac:dyDescent="0.2">
      <c r="A1437" s="240" t="str">
        <f t="shared" si="104"/>
        <v/>
      </c>
      <c r="K1437" s="245"/>
      <c r="AG1437" s="240"/>
    </row>
    <row r="1438" spans="1:33" x14ac:dyDescent="0.2">
      <c r="A1438" s="240" t="str">
        <f t="shared" si="104"/>
        <v/>
      </c>
      <c r="K1438" s="245"/>
      <c r="AG1438" s="240"/>
    </row>
    <row r="1439" spans="1:33" x14ac:dyDescent="0.2">
      <c r="A1439" s="240" t="str">
        <f t="shared" si="104"/>
        <v/>
      </c>
      <c r="K1439" s="245"/>
      <c r="AG1439" s="240"/>
    </row>
    <row r="1440" spans="1:33" x14ac:dyDescent="0.2">
      <c r="A1440" s="240" t="str">
        <f t="shared" si="104"/>
        <v/>
      </c>
      <c r="K1440" s="245"/>
      <c r="AG1440" s="240"/>
    </row>
    <row r="1441" spans="1:35" x14ac:dyDescent="0.2">
      <c r="A1441" s="240" t="str">
        <f t="shared" si="104"/>
        <v/>
      </c>
      <c r="K1441" s="245"/>
      <c r="AG1441" s="240"/>
    </row>
    <row r="1442" spans="1:35" x14ac:dyDescent="0.2">
      <c r="A1442" s="240" t="str">
        <f t="shared" si="104"/>
        <v/>
      </c>
      <c r="K1442" s="245"/>
      <c r="AG1442" s="240"/>
    </row>
    <row r="1443" spans="1:35" x14ac:dyDescent="0.2">
      <c r="A1443" s="240" t="str">
        <f t="shared" si="104"/>
        <v/>
      </c>
      <c r="K1443" s="245"/>
      <c r="AG1443" s="240"/>
    </row>
    <row r="1444" spans="1:35" x14ac:dyDescent="0.2">
      <c r="A1444" s="240" t="str">
        <f t="shared" si="104"/>
        <v/>
      </c>
      <c r="K1444" s="245"/>
      <c r="AG1444" s="240"/>
    </row>
    <row r="1445" spans="1:35" x14ac:dyDescent="0.2">
      <c r="A1445" s="240" t="str">
        <f t="shared" si="104"/>
        <v/>
      </c>
      <c r="K1445" s="245"/>
      <c r="AG1445" s="240"/>
    </row>
    <row r="1446" spans="1:35" x14ac:dyDescent="0.2">
      <c r="A1446" s="240" t="str">
        <f t="shared" si="104"/>
        <v/>
      </c>
      <c r="K1446" s="245"/>
      <c r="AG1446" s="240"/>
    </row>
    <row r="1447" spans="1:35" x14ac:dyDescent="0.2">
      <c r="A1447" s="240" t="str">
        <f t="shared" si="104"/>
        <v/>
      </c>
      <c r="K1447" s="245"/>
      <c r="AG1447" s="240"/>
    </row>
    <row r="1448" spans="1:35" x14ac:dyDescent="0.2">
      <c r="A1448" s="240" t="str">
        <f t="shared" si="104"/>
        <v/>
      </c>
      <c r="K1448" s="245"/>
      <c r="AG1448" s="240"/>
    </row>
    <row r="1449" spans="1:35" x14ac:dyDescent="0.2">
      <c r="A1449" s="240" t="str">
        <f t="shared" si="104"/>
        <v/>
      </c>
      <c r="K1449" s="245"/>
      <c r="AG1449" s="240"/>
      <c r="AH1449" s="240"/>
      <c r="AI1449" s="240"/>
    </row>
    <row r="1450" spans="1:35" x14ac:dyDescent="0.2">
      <c r="A1450" s="240" t="str">
        <f t="shared" si="104"/>
        <v/>
      </c>
      <c r="K1450" s="245"/>
      <c r="AG1450" s="240"/>
      <c r="AH1450" s="240"/>
      <c r="AI1450" s="240"/>
    </row>
    <row r="1451" spans="1:35" x14ac:dyDescent="0.2">
      <c r="A1451" s="240" t="str">
        <f t="shared" si="104"/>
        <v/>
      </c>
      <c r="K1451" s="245"/>
      <c r="AG1451" s="240"/>
      <c r="AH1451" s="240"/>
      <c r="AI1451" s="240"/>
    </row>
    <row r="1452" spans="1:35" x14ac:dyDescent="0.2">
      <c r="A1452" s="240" t="str">
        <f t="shared" si="104"/>
        <v/>
      </c>
      <c r="K1452" s="245"/>
      <c r="AG1452" s="240"/>
      <c r="AH1452" s="240"/>
      <c r="AI1452" s="240"/>
    </row>
    <row r="1453" spans="1:35" x14ac:dyDescent="0.2">
      <c r="A1453" s="240" t="str">
        <f t="shared" si="104"/>
        <v/>
      </c>
      <c r="K1453" s="245"/>
      <c r="AG1453" s="240"/>
      <c r="AH1453" s="240"/>
      <c r="AI1453" s="240"/>
    </row>
    <row r="1454" spans="1:35" x14ac:dyDescent="0.2">
      <c r="A1454" s="240" t="str">
        <f t="shared" si="104"/>
        <v/>
      </c>
      <c r="K1454" s="245"/>
      <c r="AG1454" s="240"/>
      <c r="AH1454" s="240"/>
      <c r="AI1454" s="240"/>
    </row>
    <row r="1455" spans="1:35" x14ac:dyDescent="0.2">
      <c r="A1455" s="240" t="str">
        <f t="shared" si="104"/>
        <v/>
      </c>
      <c r="K1455" s="245"/>
      <c r="AG1455" s="240"/>
    </row>
    <row r="1456" spans="1:35" x14ac:dyDescent="0.2">
      <c r="A1456" s="240" t="str">
        <f t="shared" si="104"/>
        <v/>
      </c>
      <c r="K1456" s="245"/>
      <c r="AG1456" s="240"/>
    </row>
    <row r="1457" spans="1:35" x14ac:dyDescent="0.2">
      <c r="A1457" s="240" t="str">
        <f t="shared" si="104"/>
        <v/>
      </c>
      <c r="K1457" s="245"/>
      <c r="AG1457" s="240"/>
    </row>
    <row r="1458" spans="1:35" x14ac:dyDescent="0.2">
      <c r="A1458" s="240" t="str">
        <f t="shared" si="104"/>
        <v/>
      </c>
      <c r="K1458" s="245"/>
      <c r="AG1458" s="240"/>
    </row>
    <row r="1459" spans="1:35" x14ac:dyDescent="0.2">
      <c r="A1459" s="240" t="str">
        <f t="shared" si="104"/>
        <v/>
      </c>
      <c r="K1459" s="245"/>
      <c r="AG1459" s="240"/>
    </row>
    <row r="1460" spans="1:35" x14ac:dyDescent="0.2">
      <c r="A1460" s="240" t="str">
        <f t="shared" si="104"/>
        <v/>
      </c>
      <c r="K1460" s="245"/>
      <c r="AG1460" s="240"/>
    </row>
    <row r="1461" spans="1:35" x14ac:dyDescent="0.2">
      <c r="A1461" s="240" t="str">
        <f t="shared" si="104"/>
        <v/>
      </c>
      <c r="K1461" s="245"/>
      <c r="AG1461" s="240"/>
    </row>
    <row r="1462" spans="1:35" x14ac:dyDescent="0.2">
      <c r="A1462" s="240" t="str">
        <f t="shared" si="104"/>
        <v/>
      </c>
      <c r="K1462" s="245"/>
      <c r="AG1462" s="240"/>
    </row>
    <row r="1463" spans="1:35" x14ac:dyDescent="0.2">
      <c r="A1463" s="240" t="str">
        <f t="shared" si="104"/>
        <v/>
      </c>
      <c r="K1463" s="245"/>
      <c r="AG1463" s="240"/>
    </row>
    <row r="1464" spans="1:35" x14ac:dyDescent="0.2">
      <c r="A1464" s="240" t="str">
        <f t="shared" si="104"/>
        <v/>
      </c>
      <c r="K1464" s="245"/>
      <c r="AG1464" s="240"/>
    </row>
    <row r="1465" spans="1:35" x14ac:dyDescent="0.2">
      <c r="A1465" s="240" t="str">
        <f t="shared" si="104"/>
        <v/>
      </c>
      <c r="K1465" s="245"/>
      <c r="AG1465" s="240"/>
    </row>
    <row r="1466" spans="1:35" x14ac:dyDescent="0.2">
      <c r="A1466" s="240" t="str">
        <f t="shared" si="104"/>
        <v/>
      </c>
      <c r="K1466" s="245"/>
      <c r="AG1466" s="240"/>
    </row>
    <row r="1467" spans="1:35" x14ac:dyDescent="0.2">
      <c r="A1467" s="240" t="str">
        <f t="shared" si="104"/>
        <v/>
      </c>
      <c r="K1467" s="245"/>
      <c r="AG1467" s="240"/>
    </row>
    <row r="1468" spans="1:35" x14ac:dyDescent="0.2">
      <c r="A1468" s="240" t="str">
        <f t="shared" si="104"/>
        <v/>
      </c>
      <c r="K1468" s="245"/>
      <c r="AG1468" s="240"/>
      <c r="AH1468" s="240"/>
      <c r="AI1468" s="240"/>
    </row>
    <row r="1469" spans="1:35" x14ac:dyDescent="0.2">
      <c r="A1469" s="240" t="str">
        <f t="shared" si="104"/>
        <v/>
      </c>
      <c r="K1469" s="245"/>
      <c r="AG1469" s="240"/>
      <c r="AH1469" s="240"/>
      <c r="AI1469" s="240"/>
    </row>
    <row r="1470" spans="1:35" x14ac:dyDescent="0.2">
      <c r="A1470" s="240" t="str">
        <f t="shared" si="104"/>
        <v/>
      </c>
      <c r="K1470" s="245"/>
      <c r="AG1470" s="240"/>
      <c r="AH1470" s="240"/>
      <c r="AI1470" s="240"/>
    </row>
    <row r="1471" spans="1:35" x14ac:dyDescent="0.2">
      <c r="A1471" s="240" t="str">
        <f t="shared" si="104"/>
        <v/>
      </c>
      <c r="K1471" s="245"/>
      <c r="AG1471" s="240"/>
      <c r="AH1471" s="240"/>
      <c r="AI1471" s="240"/>
    </row>
    <row r="1472" spans="1:35" x14ac:dyDescent="0.2">
      <c r="A1472" s="240" t="str">
        <f t="shared" si="104"/>
        <v/>
      </c>
      <c r="K1472" s="245"/>
      <c r="AG1472" s="240"/>
      <c r="AH1472" s="240"/>
      <c r="AI1472" s="240"/>
    </row>
    <row r="1473" spans="1:33" x14ac:dyDescent="0.2">
      <c r="A1473" s="240" t="str">
        <f t="shared" si="104"/>
        <v/>
      </c>
      <c r="K1473" s="245"/>
      <c r="AG1473" s="240"/>
    </row>
    <row r="1474" spans="1:33" x14ac:dyDescent="0.2">
      <c r="A1474" s="240" t="str">
        <f t="shared" si="104"/>
        <v/>
      </c>
      <c r="K1474" s="245"/>
      <c r="AG1474" s="240"/>
    </row>
    <row r="1475" spans="1:33" x14ac:dyDescent="0.2">
      <c r="A1475" s="240" t="str">
        <f t="shared" si="104"/>
        <v/>
      </c>
      <c r="K1475" s="245"/>
      <c r="AG1475" s="240"/>
    </row>
    <row r="1476" spans="1:33" x14ac:dyDescent="0.2">
      <c r="A1476" s="240" t="str">
        <f t="shared" si="104"/>
        <v/>
      </c>
      <c r="K1476" s="245"/>
      <c r="AG1476" s="240"/>
    </row>
    <row r="1477" spans="1:33" x14ac:dyDescent="0.2">
      <c r="A1477" s="240" t="str">
        <f t="shared" si="104"/>
        <v/>
      </c>
      <c r="K1477" s="245"/>
      <c r="AG1477" s="240"/>
    </row>
    <row r="1478" spans="1:33" x14ac:dyDescent="0.2">
      <c r="A1478" s="240" t="str">
        <f t="shared" si="104"/>
        <v/>
      </c>
      <c r="K1478" s="245"/>
      <c r="AG1478" s="240"/>
    </row>
    <row r="1479" spans="1:33" x14ac:dyDescent="0.2">
      <c r="A1479" s="240" t="str">
        <f t="shared" si="104"/>
        <v/>
      </c>
      <c r="K1479" s="245"/>
      <c r="AG1479" s="240"/>
    </row>
    <row r="1480" spans="1:33" x14ac:dyDescent="0.2">
      <c r="A1480" s="240" t="str">
        <f t="shared" si="104"/>
        <v/>
      </c>
      <c r="K1480" s="245"/>
      <c r="AG1480" s="240"/>
    </row>
    <row r="1481" spans="1:33" x14ac:dyDescent="0.2">
      <c r="A1481" s="240" t="str">
        <f t="shared" si="104"/>
        <v/>
      </c>
      <c r="K1481" s="245"/>
      <c r="AG1481" s="240"/>
    </row>
    <row r="1482" spans="1:33" x14ac:dyDescent="0.2">
      <c r="A1482" s="240" t="str">
        <f t="shared" si="104"/>
        <v/>
      </c>
      <c r="K1482" s="245"/>
      <c r="AG1482" s="240"/>
    </row>
    <row r="1483" spans="1:33" x14ac:dyDescent="0.2">
      <c r="A1483" s="240" t="str">
        <f t="shared" si="104"/>
        <v/>
      </c>
      <c r="K1483" s="245"/>
      <c r="AG1483" s="240"/>
    </row>
    <row r="1484" spans="1:33" x14ac:dyDescent="0.2">
      <c r="A1484" s="240" t="str">
        <f t="shared" si="104"/>
        <v/>
      </c>
      <c r="K1484" s="245"/>
      <c r="AG1484" s="240"/>
    </row>
    <row r="1485" spans="1:33" x14ac:dyDescent="0.2">
      <c r="A1485" s="240" t="str">
        <f t="shared" si="104"/>
        <v/>
      </c>
      <c r="K1485" s="245"/>
      <c r="AG1485" s="240"/>
    </row>
    <row r="1486" spans="1:33" x14ac:dyDescent="0.2">
      <c r="A1486" s="240" t="str">
        <f t="shared" si="104"/>
        <v/>
      </c>
      <c r="K1486" s="245"/>
      <c r="AG1486" s="240"/>
    </row>
    <row r="1487" spans="1:33" x14ac:dyDescent="0.2">
      <c r="A1487" s="240" t="str">
        <f t="shared" si="104"/>
        <v/>
      </c>
      <c r="K1487" s="245"/>
      <c r="AG1487" s="240"/>
    </row>
    <row r="1488" spans="1:33" x14ac:dyDescent="0.2">
      <c r="A1488" s="240" t="str">
        <f t="shared" si="104"/>
        <v/>
      </c>
      <c r="K1488" s="245"/>
      <c r="AG1488" s="240"/>
    </row>
    <row r="1489" spans="1:35" x14ac:dyDescent="0.2">
      <c r="A1489" s="240" t="str">
        <f t="shared" ref="A1489:A1552" si="105">I1489&amp;B1489&amp;C1489&amp;D1489&amp;F1489&amp;G1489</f>
        <v/>
      </c>
      <c r="K1489" s="245"/>
      <c r="AG1489" s="240"/>
      <c r="AH1489" s="240"/>
      <c r="AI1489" s="240"/>
    </row>
    <row r="1490" spans="1:35" x14ac:dyDescent="0.2">
      <c r="A1490" s="240" t="str">
        <f t="shared" si="105"/>
        <v/>
      </c>
      <c r="K1490" s="245"/>
      <c r="AG1490" s="240"/>
      <c r="AH1490" s="240"/>
      <c r="AI1490" s="240"/>
    </row>
    <row r="1491" spans="1:35" x14ac:dyDescent="0.2">
      <c r="A1491" s="240" t="str">
        <f t="shared" si="105"/>
        <v/>
      </c>
      <c r="K1491" s="245"/>
      <c r="AG1491" s="240"/>
    </row>
    <row r="1492" spans="1:35" x14ac:dyDescent="0.2">
      <c r="A1492" s="240" t="str">
        <f t="shared" si="105"/>
        <v/>
      </c>
      <c r="K1492" s="245"/>
      <c r="AG1492" s="240"/>
    </row>
    <row r="1493" spans="1:35" x14ac:dyDescent="0.2">
      <c r="A1493" s="240" t="str">
        <f t="shared" si="105"/>
        <v/>
      </c>
      <c r="K1493" s="245"/>
      <c r="AG1493" s="240"/>
    </row>
    <row r="1494" spans="1:35" x14ac:dyDescent="0.2">
      <c r="A1494" s="240" t="str">
        <f t="shared" si="105"/>
        <v/>
      </c>
      <c r="K1494" s="245"/>
      <c r="AG1494" s="240"/>
    </row>
    <row r="1495" spans="1:35" x14ac:dyDescent="0.2">
      <c r="A1495" s="240" t="str">
        <f t="shared" si="105"/>
        <v/>
      </c>
      <c r="K1495" s="245"/>
      <c r="AG1495" s="240"/>
    </row>
    <row r="1496" spans="1:35" x14ac:dyDescent="0.2">
      <c r="A1496" s="240" t="str">
        <f t="shared" si="105"/>
        <v/>
      </c>
      <c r="K1496" s="245"/>
      <c r="AG1496" s="240"/>
    </row>
    <row r="1497" spans="1:35" x14ac:dyDescent="0.2">
      <c r="A1497" s="240" t="str">
        <f t="shared" si="105"/>
        <v/>
      </c>
      <c r="K1497" s="245"/>
      <c r="AG1497" s="240"/>
      <c r="AH1497" s="240"/>
      <c r="AI1497" s="240"/>
    </row>
    <row r="1498" spans="1:35" x14ac:dyDescent="0.2">
      <c r="A1498" s="240" t="str">
        <f t="shared" si="105"/>
        <v/>
      </c>
      <c r="K1498" s="245"/>
      <c r="AG1498" s="240"/>
    </row>
    <row r="1499" spans="1:35" x14ac:dyDescent="0.2">
      <c r="A1499" s="240" t="str">
        <f t="shared" si="105"/>
        <v/>
      </c>
      <c r="K1499" s="245"/>
      <c r="AG1499" s="240"/>
    </row>
    <row r="1500" spans="1:35" x14ac:dyDescent="0.2">
      <c r="A1500" s="240" t="str">
        <f t="shared" si="105"/>
        <v/>
      </c>
      <c r="K1500" s="245"/>
      <c r="AG1500" s="240"/>
    </row>
    <row r="1501" spans="1:35" x14ac:dyDescent="0.2">
      <c r="A1501" s="240" t="str">
        <f t="shared" si="105"/>
        <v/>
      </c>
      <c r="K1501" s="245"/>
      <c r="AG1501" s="240"/>
    </row>
    <row r="1502" spans="1:35" x14ac:dyDescent="0.2">
      <c r="A1502" s="240" t="str">
        <f t="shared" si="105"/>
        <v/>
      </c>
      <c r="K1502" s="245"/>
      <c r="AG1502" s="240"/>
    </row>
    <row r="1503" spans="1:35" x14ac:dyDescent="0.2">
      <c r="A1503" s="240" t="str">
        <f t="shared" si="105"/>
        <v/>
      </c>
      <c r="K1503" s="245"/>
      <c r="AG1503" s="240"/>
    </row>
    <row r="1504" spans="1:35" x14ac:dyDescent="0.2">
      <c r="A1504" s="240" t="str">
        <f t="shared" si="105"/>
        <v/>
      </c>
      <c r="K1504" s="245"/>
      <c r="AG1504" s="240"/>
    </row>
    <row r="1505" spans="1:35" x14ac:dyDescent="0.2">
      <c r="A1505" s="240" t="str">
        <f t="shared" si="105"/>
        <v/>
      </c>
      <c r="K1505" s="245"/>
      <c r="AG1505" s="240"/>
    </row>
    <row r="1506" spans="1:35" x14ac:dyDescent="0.2">
      <c r="A1506" s="240" t="str">
        <f t="shared" si="105"/>
        <v/>
      </c>
      <c r="K1506" s="245"/>
      <c r="AG1506" s="240"/>
    </row>
    <row r="1507" spans="1:35" x14ac:dyDescent="0.2">
      <c r="A1507" s="240" t="str">
        <f t="shared" si="105"/>
        <v/>
      </c>
      <c r="K1507" s="245"/>
      <c r="AG1507" s="240"/>
    </row>
    <row r="1508" spans="1:35" x14ac:dyDescent="0.2">
      <c r="A1508" s="240" t="str">
        <f t="shared" si="105"/>
        <v/>
      </c>
      <c r="K1508" s="245"/>
      <c r="AG1508" s="240"/>
    </row>
    <row r="1509" spans="1:35" x14ac:dyDescent="0.2">
      <c r="A1509" s="240" t="str">
        <f t="shared" si="105"/>
        <v/>
      </c>
      <c r="K1509" s="245"/>
      <c r="AG1509" s="240"/>
    </row>
    <row r="1510" spans="1:35" x14ac:dyDescent="0.2">
      <c r="A1510" s="240" t="str">
        <f t="shared" si="105"/>
        <v/>
      </c>
      <c r="K1510" s="245"/>
      <c r="AG1510" s="240"/>
    </row>
    <row r="1511" spans="1:35" x14ac:dyDescent="0.2">
      <c r="A1511" s="240" t="str">
        <f t="shared" si="105"/>
        <v/>
      </c>
      <c r="K1511" s="245"/>
      <c r="AG1511" s="240"/>
    </row>
    <row r="1512" spans="1:35" x14ac:dyDescent="0.2">
      <c r="A1512" s="240" t="str">
        <f t="shared" si="105"/>
        <v/>
      </c>
      <c r="K1512" s="245"/>
      <c r="AG1512" s="240"/>
    </row>
    <row r="1513" spans="1:35" x14ac:dyDescent="0.2">
      <c r="A1513" s="240" t="str">
        <f t="shared" si="105"/>
        <v/>
      </c>
      <c r="K1513" s="245"/>
      <c r="AG1513" s="240"/>
      <c r="AH1513" s="240"/>
      <c r="AI1513" s="240"/>
    </row>
    <row r="1514" spans="1:35" x14ac:dyDescent="0.2">
      <c r="A1514" s="240" t="str">
        <f t="shared" si="105"/>
        <v/>
      </c>
      <c r="K1514" s="245"/>
      <c r="AG1514" s="240"/>
      <c r="AH1514" s="240"/>
      <c r="AI1514" s="240"/>
    </row>
    <row r="1515" spans="1:35" x14ac:dyDescent="0.2">
      <c r="A1515" s="240" t="str">
        <f t="shared" si="105"/>
        <v/>
      </c>
      <c r="K1515" s="245"/>
      <c r="AG1515" s="240"/>
      <c r="AH1515" s="240"/>
      <c r="AI1515" s="240"/>
    </row>
    <row r="1516" spans="1:35" x14ac:dyDescent="0.2">
      <c r="A1516" s="240" t="str">
        <f t="shared" si="105"/>
        <v/>
      </c>
      <c r="K1516" s="245"/>
      <c r="AG1516" s="240"/>
    </row>
    <row r="1517" spans="1:35" x14ac:dyDescent="0.2">
      <c r="A1517" s="240" t="str">
        <f t="shared" si="105"/>
        <v/>
      </c>
      <c r="K1517" s="245"/>
      <c r="AG1517" s="240"/>
    </row>
    <row r="1518" spans="1:35" x14ac:dyDescent="0.2">
      <c r="A1518" s="240" t="str">
        <f t="shared" si="105"/>
        <v/>
      </c>
      <c r="K1518" s="245"/>
      <c r="AG1518" s="240"/>
    </row>
    <row r="1519" spans="1:35" x14ac:dyDescent="0.2">
      <c r="A1519" s="240" t="str">
        <f t="shared" si="105"/>
        <v/>
      </c>
      <c r="K1519" s="245"/>
      <c r="AG1519" s="240"/>
    </row>
    <row r="1520" spans="1:35" x14ac:dyDescent="0.2">
      <c r="A1520" s="240" t="str">
        <f t="shared" si="105"/>
        <v/>
      </c>
      <c r="K1520" s="245"/>
      <c r="AG1520" s="240"/>
    </row>
    <row r="1521" spans="1:33" x14ac:dyDescent="0.2">
      <c r="A1521" s="240" t="str">
        <f t="shared" si="105"/>
        <v/>
      </c>
      <c r="K1521" s="245"/>
      <c r="AG1521" s="240"/>
    </row>
    <row r="1522" spans="1:33" x14ac:dyDescent="0.2">
      <c r="A1522" s="240" t="str">
        <f t="shared" si="105"/>
        <v/>
      </c>
      <c r="K1522" s="245"/>
      <c r="AG1522" s="240"/>
    </row>
    <row r="1523" spans="1:33" x14ac:dyDescent="0.2">
      <c r="A1523" s="240" t="str">
        <f t="shared" si="105"/>
        <v/>
      </c>
      <c r="K1523" s="245"/>
      <c r="AG1523" s="240"/>
    </row>
    <row r="1524" spans="1:33" x14ac:dyDescent="0.2">
      <c r="A1524" s="240" t="str">
        <f t="shared" si="105"/>
        <v/>
      </c>
      <c r="K1524" s="245"/>
      <c r="AG1524" s="240"/>
    </row>
    <row r="1525" spans="1:33" x14ac:dyDescent="0.2">
      <c r="A1525" s="240" t="str">
        <f t="shared" si="105"/>
        <v/>
      </c>
      <c r="K1525" s="245"/>
      <c r="AG1525" s="240"/>
    </row>
    <row r="1526" spans="1:33" x14ac:dyDescent="0.2">
      <c r="A1526" s="240" t="str">
        <f t="shared" si="105"/>
        <v/>
      </c>
      <c r="K1526" s="245"/>
      <c r="AG1526" s="240"/>
    </row>
    <row r="1527" spans="1:33" x14ac:dyDescent="0.2">
      <c r="A1527" s="240" t="str">
        <f t="shared" si="105"/>
        <v/>
      </c>
      <c r="K1527" s="245"/>
      <c r="AG1527" s="240"/>
    </row>
    <row r="1528" spans="1:33" x14ac:dyDescent="0.2">
      <c r="A1528" s="240" t="str">
        <f t="shared" si="105"/>
        <v/>
      </c>
      <c r="K1528" s="245"/>
      <c r="AG1528" s="240"/>
    </row>
    <row r="1529" spans="1:33" x14ac:dyDescent="0.2">
      <c r="A1529" s="240" t="str">
        <f t="shared" si="105"/>
        <v/>
      </c>
      <c r="K1529" s="245"/>
      <c r="AG1529" s="240"/>
    </row>
    <row r="1530" spans="1:33" x14ac:dyDescent="0.2">
      <c r="A1530" s="240" t="str">
        <f t="shared" si="105"/>
        <v/>
      </c>
      <c r="K1530" s="245"/>
      <c r="AG1530" s="240"/>
    </row>
    <row r="1531" spans="1:33" x14ac:dyDescent="0.2">
      <c r="A1531" s="240" t="str">
        <f t="shared" si="105"/>
        <v/>
      </c>
      <c r="K1531" s="245"/>
      <c r="AG1531" s="240"/>
    </row>
    <row r="1532" spans="1:33" x14ac:dyDescent="0.2">
      <c r="A1532" s="240" t="str">
        <f t="shared" si="105"/>
        <v/>
      </c>
      <c r="AG1532" s="240"/>
    </row>
    <row r="1533" spans="1:33" x14ac:dyDescent="0.2">
      <c r="A1533" s="240" t="str">
        <f t="shared" si="105"/>
        <v/>
      </c>
      <c r="AG1533" s="240"/>
    </row>
    <row r="1534" spans="1:33" x14ac:dyDescent="0.2">
      <c r="A1534" s="240" t="str">
        <f t="shared" si="105"/>
        <v/>
      </c>
      <c r="AG1534" s="240"/>
    </row>
    <row r="1535" spans="1:33" x14ac:dyDescent="0.2">
      <c r="A1535" s="240" t="str">
        <f t="shared" si="105"/>
        <v/>
      </c>
      <c r="AG1535" s="240"/>
    </row>
    <row r="1536" spans="1:33" x14ac:dyDescent="0.2">
      <c r="A1536" s="240" t="str">
        <f t="shared" si="105"/>
        <v/>
      </c>
      <c r="AG1536" s="240"/>
    </row>
    <row r="1537" spans="1:33" x14ac:dyDescent="0.2">
      <c r="A1537" s="240" t="str">
        <f t="shared" si="105"/>
        <v/>
      </c>
      <c r="AG1537" s="240"/>
    </row>
    <row r="1538" spans="1:33" x14ac:dyDescent="0.2">
      <c r="A1538" s="240" t="str">
        <f t="shared" si="105"/>
        <v/>
      </c>
      <c r="AG1538" s="240"/>
    </row>
    <row r="1539" spans="1:33" x14ac:dyDescent="0.2">
      <c r="A1539" s="240" t="str">
        <f t="shared" si="105"/>
        <v/>
      </c>
      <c r="AG1539" s="240"/>
    </row>
    <row r="1540" spans="1:33" x14ac:dyDescent="0.2">
      <c r="A1540" s="240" t="str">
        <f t="shared" si="105"/>
        <v/>
      </c>
      <c r="AG1540" s="240"/>
    </row>
    <row r="1541" spans="1:33" x14ac:dyDescent="0.2">
      <c r="A1541" s="240" t="str">
        <f t="shared" si="105"/>
        <v/>
      </c>
      <c r="AG1541" s="240"/>
    </row>
    <row r="1542" spans="1:33" x14ac:dyDescent="0.2">
      <c r="A1542" s="240" t="str">
        <f t="shared" si="105"/>
        <v/>
      </c>
      <c r="AG1542" s="240"/>
    </row>
    <row r="1543" spans="1:33" x14ac:dyDescent="0.2">
      <c r="A1543" s="240" t="str">
        <f t="shared" si="105"/>
        <v/>
      </c>
      <c r="AG1543" s="240"/>
    </row>
    <row r="1544" spans="1:33" x14ac:dyDescent="0.2">
      <c r="A1544" s="240" t="str">
        <f t="shared" si="105"/>
        <v/>
      </c>
      <c r="AG1544" s="240"/>
    </row>
    <row r="1545" spans="1:33" x14ac:dyDescent="0.2">
      <c r="A1545" s="240" t="str">
        <f t="shared" si="105"/>
        <v/>
      </c>
      <c r="AG1545" s="240"/>
    </row>
    <row r="1546" spans="1:33" x14ac:dyDescent="0.2">
      <c r="A1546" s="240" t="str">
        <f t="shared" si="105"/>
        <v/>
      </c>
      <c r="AG1546" s="240"/>
    </row>
    <row r="1547" spans="1:33" x14ac:dyDescent="0.2">
      <c r="A1547" s="240" t="str">
        <f t="shared" si="105"/>
        <v/>
      </c>
      <c r="AG1547" s="240"/>
    </row>
    <row r="1548" spans="1:33" x14ac:dyDescent="0.2">
      <c r="A1548" s="240" t="str">
        <f t="shared" si="105"/>
        <v/>
      </c>
      <c r="AG1548" s="240"/>
    </row>
    <row r="1549" spans="1:33" x14ac:dyDescent="0.2">
      <c r="A1549" s="240" t="str">
        <f t="shared" si="105"/>
        <v/>
      </c>
      <c r="AG1549" s="240"/>
    </row>
    <row r="1550" spans="1:33" x14ac:dyDescent="0.2">
      <c r="A1550" s="240" t="str">
        <f t="shared" si="105"/>
        <v/>
      </c>
      <c r="AG1550" s="240"/>
    </row>
    <row r="1551" spans="1:33" x14ac:dyDescent="0.2">
      <c r="A1551" s="240" t="str">
        <f t="shared" si="105"/>
        <v/>
      </c>
      <c r="AG1551" s="240"/>
    </row>
    <row r="1552" spans="1:33" x14ac:dyDescent="0.2">
      <c r="A1552" s="240" t="str">
        <f t="shared" si="105"/>
        <v/>
      </c>
      <c r="AG1552" s="240"/>
    </row>
    <row r="1553" spans="1:33" x14ac:dyDescent="0.2">
      <c r="A1553" s="240" t="str">
        <f t="shared" ref="A1553:A1616" si="106">I1553&amp;B1553&amp;C1553&amp;D1553&amp;F1553&amp;G1553</f>
        <v/>
      </c>
      <c r="AG1553" s="240"/>
    </row>
    <row r="1554" spans="1:33" x14ac:dyDescent="0.2">
      <c r="A1554" s="240" t="str">
        <f t="shared" si="106"/>
        <v/>
      </c>
      <c r="AG1554" s="240"/>
    </row>
    <row r="1555" spans="1:33" x14ac:dyDescent="0.2">
      <c r="A1555" s="240" t="str">
        <f t="shared" si="106"/>
        <v/>
      </c>
      <c r="AG1555" s="240"/>
    </row>
    <row r="1556" spans="1:33" x14ac:dyDescent="0.2">
      <c r="A1556" s="240" t="str">
        <f t="shared" si="106"/>
        <v/>
      </c>
      <c r="AG1556" s="240"/>
    </row>
    <row r="1557" spans="1:33" x14ac:dyDescent="0.2">
      <c r="A1557" s="240" t="str">
        <f t="shared" si="106"/>
        <v/>
      </c>
      <c r="AG1557" s="240"/>
    </row>
    <row r="1558" spans="1:33" x14ac:dyDescent="0.2">
      <c r="A1558" s="240" t="str">
        <f t="shared" si="106"/>
        <v/>
      </c>
      <c r="AG1558" s="240"/>
    </row>
    <row r="1559" spans="1:33" x14ac:dyDescent="0.2">
      <c r="A1559" s="240" t="str">
        <f t="shared" si="106"/>
        <v/>
      </c>
      <c r="AG1559" s="240"/>
    </row>
    <row r="1560" spans="1:33" x14ac:dyDescent="0.2">
      <c r="A1560" s="240" t="str">
        <f t="shared" si="106"/>
        <v/>
      </c>
      <c r="AG1560" s="240"/>
    </row>
    <row r="1561" spans="1:33" x14ac:dyDescent="0.2">
      <c r="A1561" s="240" t="str">
        <f t="shared" si="106"/>
        <v/>
      </c>
      <c r="AG1561" s="240"/>
    </row>
    <row r="1562" spans="1:33" x14ac:dyDescent="0.2">
      <c r="A1562" s="240" t="str">
        <f t="shared" si="106"/>
        <v/>
      </c>
      <c r="AG1562" s="240"/>
    </row>
    <row r="1563" spans="1:33" x14ac:dyDescent="0.2">
      <c r="A1563" s="240" t="str">
        <f t="shared" si="106"/>
        <v/>
      </c>
      <c r="AG1563" s="240"/>
    </row>
    <row r="1564" spans="1:33" x14ac:dyDescent="0.2">
      <c r="A1564" s="240" t="str">
        <f t="shared" si="106"/>
        <v/>
      </c>
      <c r="AG1564" s="240"/>
    </row>
    <row r="1565" spans="1:33" x14ac:dyDescent="0.2">
      <c r="A1565" s="240" t="str">
        <f t="shared" si="106"/>
        <v/>
      </c>
      <c r="AG1565" s="240"/>
    </row>
    <row r="1566" spans="1:33" x14ac:dyDescent="0.2">
      <c r="A1566" s="240" t="str">
        <f t="shared" si="106"/>
        <v/>
      </c>
      <c r="AG1566" s="240"/>
    </row>
    <row r="1567" spans="1:33" x14ac:dyDescent="0.2">
      <c r="A1567" s="240" t="str">
        <f t="shared" si="106"/>
        <v/>
      </c>
      <c r="AG1567" s="240"/>
    </row>
    <row r="1568" spans="1:33" x14ac:dyDescent="0.2">
      <c r="A1568" s="240" t="str">
        <f t="shared" si="106"/>
        <v/>
      </c>
      <c r="AG1568" s="240"/>
    </row>
    <row r="1569" spans="1:33" x14ac:dyDescent="0.2">
      <c r="A1569" s="240" t="str">
        <f t="shared" si="106"/>
        <v/>
      </c>
      <c r="AG1569" s="240"/>
    </row>
    <row r="1570" spans="1:33" x14ac:dyDescent="0.2">
      <c r="A1570" s="240" t="str">
        <f t="shared" si="106"/>
        <v/>
      </c>
      <c r="AG1570" s="240"/>
    </row>
    <row r="1571" spans="1:33" x14ac:dyDescent="0.2">
      <c r="A1571" s="240" t="str">
        <f t="shared" si="106"/>
        <v/>
      </c>
      <c r="AG1571" s="240"/>
    </row>
    <row r="1572" spans="1:33" x14ac:dyDescent="0.2">
      <c r="A1572" s="240" t="str">
        <f t="shared" si="106"/>
        <v/>
      </c>
      <c r="AG1572" s="240"/>
    </row>
    <row r="1573" spans="1:33" x14ac:dyDescent="0.2">
      <c r="A1573" s="240" t="str">
        <f t="shared" si="106"/>
        <v/>
      </c>
      <c r="AG1573" s="240"/>
    </row>
    <row r="1574" spans="1:33" x14ac:dyDescent="0.2">
      <c r="A1574" s="240" t="str">
        <f t="shared" si="106"/>
        <v/>
      </c>
      <c r="AG1574" s="240"/>
    </row>
    <row r="1575" spans="1:33" x14ac:dyDescent="0.2">
      <c r="A1575" s="240" t="str">
        <f t="shared" si="106"/>
        <v/>
      </c>
      <c r="AG1575" s="240"/>
    </row>
    <row r="1576" spans="1:33" x14ac:dyDescent="0.2">
      <c r="A1576" s="240" t="str">
        <f t="shared" si="106"/>
        <v/>
      </c>
      <c r="AG1576" s="240"/>
    </row>
    <row r="1577" spans="1:33" x14ac:dyDescent="0.2">
      <c r="A1577" s="240" t="str">
        <f t="shared" si="106"/>
        <v/>
      </c>
      <c r="AG1577" s="240"/>
    </row>
    <row r="1578" spans="1:33" x14ac:dyDescent="0.2">
      <c r="A1578" s="240" t="str">
        <f t="shared" si="106"/>
        <v/>
      </c>
      <c r="AG1578" s="240"/>
    </row>
    <row r="1579" spans="1:33" x14ac:dyDescent="0.2">
      <c r="A1579" s="240" t="str">
        <f t="shared" si="106"/>
        <v/>
      </c>
      <c r="AG1579" s="240"/>
    </row>
    <row r="1580" spans="1:33" x14ac:dyDescent="0.2">
      <c r="A1580" s="240" t="str">
        <f t="shared" si="106"/>
        <v/>
      </c>
      <c r="AG1580" s="240"/>
    </row>
    <row r="1581" spans="1:33" x14ac:dyDescent="0.2">
      <c r="A1581" s="240" t="str">
        <f t="shared" si="106"/>
        <v/>
      </c>
      <c r="AG1581" s="240"/>
    </row>
    <row r="1582" spans="1:33" x14ac:dyDescent="0.2">
      <c r="A1582" s="240" t="str">
        <f t="shared" si="106"/>
        <v/>
      </c>
      <c r="AG1582" s="240"/>
    </row>
    <row r="1583" spans="1:33" x14ac:dyDescent="0.2">
      <c r="A1583" s="240" t="str">
        <f t="shared" si="106"/>
        <v/>
      </c>
      <c r="AG1583" s="240"/>
    </row>
    <row r="1584" spans="1:33" x14ac:dyDescent="0.2">
      <c r="A1584" s="240" t="str">
        <f t="shared" si="106"/>
        <v/>
      </c>
      <c r="AG1584" s="240"/>
    </row>
    <row r="1585" spans="1:33" x14ac:dyDescent="0.2">
      <c r="A1585" s="240" t="str">
        <f t="shared" si="106"/>
        <v/>
      </c>
      <c r="AG1585" s="240"/>
    </row>
    <row r="1586" spans="1:33" x14ac:dyDescent="0.2">
      <c r="A1586" s="240" t="str">
        <f t="shared" si="106"/>
        <v/>
      </c>
      <c r="AG1586" s="240"/>
    </row>
    <row r="1587" spans="1:33" x14ac:dyDescent="0.2">
      <c r="A1587" s="240" t="str">
        <f t="shared" si="106"/>
        <v/>
      </c>
      <c r="AG1587" s="240"/>
    </row>
    <row r="1588" spans="1:33" x14ac:dyDescent="0.2">
      <c r="A1588" s="240" t="str">
        <f t="shared" si="106"/>
        <v/>
      </c>
      <c r="AG1588" s="240"/>
    </row>
    <row r="1589" spans="1:33" x14ac:dyDescent="0.2">
      <c r="A1589" s="240" t="str">
        <f t="shared" si="106"/>
        <v/>
      </c>
      <c r="AG1589" s="240"/>
    </row>
    <row r="1590" spans="1:33" x14ac:dyDescent="0.2">
      <c r="A1590" s="240" t="str">
        <f t="shared" si="106"/>
        <v/>
      </c>
      <c r="AG1590" s="240"/>
    </row>
    <row r="1591" spans="1:33" x14ac:dyDescent="0.2">
      <c r="A1591" s="240" t="str">
        <f t="shared" si="106"/>
        <v/>
      </c>
      <c r="AG1591" s="240"/>
    </row>
    <row r="1592" spans="1:33" x14ac:dyDescent="0.2">
      <c r="A1592" s="240" t="str">
        <f t="shared" si="106"/>
        <v/>
      </c>
      <c r="AG1592" s="240"/>
    </row>
    <row r="1593" spans="1:33" x14ac:dyDescent="0.2">
      <c r="A1593" s="240" t="str">
        <f t="shared" si="106"/>
        <v/>
      </c>
      <c r="AG1593" s="240"/>
    </row>
    <row r="1594" spans="1:33" x14ac:dyDescent="0.2">
      <c r="A1594" s="240" t="str">
        <f t="shared" si="106"/>
        <v/>
      </c>
      <c r="AG1594" s="240"/>
    </row>
    <row r="1595" spans="1:33" x14ac:dyDescent="0.2">
      <c r="A1595" s="240" t="str">
        <f t="shared" si="106"/>
        <v/>
      </c>
      <c r="AG1595" s="240"/>
    </row>
    <row r="1596" spans="1:33" x14ac:dyDescent="0.2">
      <c r="A1596" s="240" t="str">
        <f t="shared" si="106"/>
        <v/>
      </c>
      <c r="AG1596" s="240"/>
    </row>
    <row r="1597" spans="1:33" x14ac:dyDescent="0.2">
      <c r="A1597" s="240" t="str">
        <f t="shared" si="106"/>
        <v/>
      </c>
      <c r="AG1597" s="240"/>
    </row>
    <row r="1598" spans="1:33" x14ac:dyDescent="0.2">
      <c r="A1598" s="240" t="str">
        <f t="shared" si="106"/>
        <v/>
      </c>
      <c r="AG1598" s="240"/>
    </row>
    <row r="1599" spans="1:33" x14ac:dyDescent="0.2">
      <c r="A1599" s="240" t="str">
        <f t="shared" si="106"/>
        <v/>
      </c>
      <c r="AG1599" s="240"/>
    </row>
    <row r="1600" spans="1:33" x14ac:dyDescent="0.2">
      <c r="A1600" s="240" t="str">
        <f t="shared" si="106"/>
        <v/>
      </c>
      <c r="AG1600" s="240"/>
    </row>
    <row r="1601" spans="1:33" x14ac:dyDescent="0.2">
      <c r="A1601" s="240" t="str">
        <f t="shared" si="106"/>
        <v/>
      </c>
      <c r="AG1601" s="240"/>
    </row>
    <row r="1602" spans="1:33" x14ac:dyDescent="0.2">
      <c r="A1602" s="240" t="str">
        <f t="shared" si="106"/>
        <v/>
      </c>
      <c r="AG1602" s="240"/>
    </row>
    <row r="1603" spans="1:33" x14ac:dyDescent="0.2">
      <c r="A1603" s="240" t="str">
        <f t="shared" si="106"/>
        <v/>
      </c>
      <c r="AG1603" s="240"/>
    </row>
    <row r="1604" spans="1:33" x14ac:dyDescent="0.2">
      <c r="A1604" s="240" t="str">
        <f t="shared" si="106"/>
        <v/>
      </c>
      <c r="AG1604" s="240"/>
    </row>
    <row r="1605" spans="1:33" x14ac:dyDescent="0.2">
      <c r="A1605" s="240" t="str">
        <f t="shared" si="106"/>
        <v/>
      </c>
      <c r="AG1605" s="240"/>
    </row>
    <row r="1606" spans="1:33" x14ac:dyDescent="0.2">
      <c r="A1606" s="240" t="str">
        <f t="shared" si="106"/>
        <v/>
      </c>
      <c r="AG1606" s="240"/>
    </row>
    <row r="1607" spans="1:33" x14ac:dyDescent="0.2">
      <c r="A1607" s="240" t="str">
        <f t="shared" si="106"/>
        <v/>
      </c>
      <c r="AG1607" s="240"/>
    </row>
    <row r="1608" spans="1:33" x14ac:dyDescent="0.2">
      <c r="A1608" s="240" t="str">
        <f t="shared" si="106"/>
        <v/>
      </c>
      <c r="AG1608" s="240"/>
    </row>
    <row r="1609" spans="1:33" x14ac:dyDescent="0.2">
      <c r="A1609" s="240" t="str">
        <f t="shared" si="106"/>
        <v/>
      </c>
      <c r="AG1609" s="240"/>
    </row>
    <row r="1610" spans="1:33" x14ac:dyDescent="0.2">
      <c r="A1610" s="240" t="str">
        <f t="shared" si="106"/>
        <v/>
      </c>
      <c r="AG1610" s="240"/>
    </row>
    <row r="1611" spans="1:33" x14ac:dyDescent="0.2">
      <c r="A1611" s="240" t="str">
        <f t="shared" si="106"/>
        <v/>
      </c>
      <c r="AG1611" s="240"/>
    </row>
    <row r="1612" spans="1:33" x14ac:dyDescent="0.2">
      <c r="A1612" s="240" t="str">
        <f t="shared" si="106"/>
        <v/>
      </c>
      <c r="AG1612" s="240"/>
    </row>
    <row r="1613" spans="1:33" x14ac:dyDescent="0.2">
      <c r="A1613" s="240" t="str">
        <f t="shared" si="106"/>
        <v/>
      </c>
      <c r="AG1613" s="240"/>
    </row>
    <row r="1614" spans="1:33" x14ac:dyDescent="0.2">
      <c r="A1614" s="240" t="str">
        <f t="shared" si="106"/>
        <v/>
      </c>
      <c r="AG1614" s="240"/>
    </row>
    <row r="1615" spans="1:33" x14ac:dyDescent="0.2">
      <c r="A1615" s="240" t="str">
        <f t="shared" si="106"/>
        <v/>
      </c>
      <c r="AE1615" s="239">
        <f t="shared" ref="AE1615:AE1678" si="107">SUM(T1615:W1615)</f>
        <v>0</v>
      </c>
      <c r="AF1615" s="239">
        <f t="shared" ref="AF1615:AF1678" si="108">SUM(Z1615:AA1615)</f>
        <v>0</v>
      </c>
      <c r="AG1615" s="240">
        <f t="shared" ref="AG1615:AG1678" si="109">+L1615-SUM(Z1615:AA1615)</f>
        <v>0</v>
      </c>
    </row>
    <row r="1616" spans="1:33" x14ac:dyDescent="0.2">
      <c r="A1616" s="240" t="str">
        <f t="shared" si="106"/>
        <v/>
      </c>
      <c r="AE1616" s="239">
        <f t="shared" si="107"/>
        <v>0</v>
      </c>
      <c r="AF1616" s="239">
        <f t="shared" si="108"/>
        <v>0</v>
      </c>
      <c r="AG1616" s="240">
        <f t="shared" si="109"/>
        <v>0</v>
      </c>
    </row>
    <row r="1617" spans="1:33" x14ac:dyDescent="0.2">
      <c r="A1617" s="240" t="str">
        <f t="shared" ref="A1617:A1680" si="110">I1617&amp;B1617&amp;C1617&amp;D1617&amp;F1617&amp;G1617</f>
        <v/>
      </c>
      <c r="AE1617" s="239">
        <f t="shared" si="107"/>
        <v>0</v>
      </c>
      <c r="AF1617" s="239">
        <f t="shared" si="108"/>
        <v>0</v>
      </c>
      <c r="AG1617" s="240">
        <f t="shared" si="109"/>
        <v>0</v>
      </c>
    </row>
    <row r="1618" spans="1:33" x14ac:dyDescent="0.2">
      <c r="A1618" s="240" t="str">
        <f t="shared" si="110"/>
        <v/>
      </c>
      <c r="AE1618" s="239">
        <f t="shared" si="107"/>
        <v>0</v>
      </c>
      <c r="AF1618" s="239">
        <f t="shared" si="108"/>
        <v>0</v>
      </c>
      <c r="AG1618" s="240">
        <f t="shared" si="109"/>
        <v>0</v>
      </c>
    </row>
    <row r="1619" spans="1:33" x14ac:dyDescent="0.2">
      <c r="A1619" s="240" t="str">
        <f t="shared" si="110"/>
        <v/>
      </c>
      <c r="AE1619" s="239">
        <f t="shared" si="107"/>
        <v>0</v>
      </c>
      <c r="AF1619" s="239">
        <f t="shared" si="108"/>
        <v>0</v>
      </c>
      <c r="AG1619" s="240">
        <f t="shared" si="109"/>
        <v>0</v>
      </c>
    </row>
    <row r="1620" spans="1:33" x14ac:dyDescent="0.2">
      <c r="A1620" s="240" t="str">
        <f t="shared" si="110"/>
        <v/>
      </c>
      <c r="AE1620" s="239">
        <f t="shared" si="107"/>
        <v>0</v>
      </c>
      <c r="AF1620" s="239">
        <f t="shared" si="108"/>
        <v>0</v>
      </c>
      <c r="AG1620" s="240">
        <f t="shared" si="109"/>
        <v>0</v>
      </c>
    </row>
    <row r="1621" spans="1:33" x14ac:dyDescent="0.2">
      <c r="A1621" s="240" t="str">
        <f t="shared" si="110"/>
        <v/>
      </c>
      <c r="AE1621" s="239">
        <f t="shared" si="107"/>
        <v>0</v>
      </c>
      <c r="AF1621" s="239">
        <f t="shared" si="108"/>
        <v>0</v>
      </c>
      <c r="AG1621" s="240">
        <f t="shared" si="109"/>
        <v>0</v>
      </c>
    </row>
    <row r="1622" spans="1:33" x14ac:dyDescent="0.2">
      <c r="A1622" s="240" t="str">
        <f t="shared" si="110"/>
        <v/>
      </c>
      <c r="AE1622" s="239">
        <f t="shared" si="107"/>
        <v>0</v>
      </c>
      <c r="AF1622" s="239">
        <f t="shared" si="108"/>
        <v>0</v>
      </c>
      <c r="AG1622" s="240">
        <f t="shared" si="109"/>
        <v>0</v>
      </c>
    </row>
    <row r="1623" spans="1:33" x14ac:dyDescent="0.2">
      <c r="A1623" s="240" t="str">
        <f t="shared" si="110"/>
        <v/>
      </c>
      <c r="AE1623" s="239">
        <f t="shared" si="107"/>
        <v>0</v>
      </c>
      <c r="AF1623" s="239">
        <f t="shared" si="108"/>
        <v>0</v>
      </c>
      <c r="AG1623" s="240">
        <f t="shared" si="109"/>
        <v>0</v>
      </c>
    </row>
    <row r="1624" spans="1:33" x14ac:dyDescent="0.2">
      <c r="A1624" s="240" t="str">
        <f t="shared" si="110"/>
        <v/>
      </c>
      <c r="AE1624" s="239">
        <f t="shared" si="107"/>
        <v>0</v>
      </c>
      <c r="AF1624" s="239">
        <f t="shared" si="108"/>
        <v>0</v>
      </c>
      <c r="AG1624" s="240">
        <f t="shared" si="109"/>
        <v>0</v>
      </c>
    </row>
    <row r="1625" spans="1:33" x14ac:dyDescent="0.2">
      <c r="A1625" s="240" t="str">
        <f t="shared" si="110"/>
        <v/>
      </c>
      <c r="AE1625" s="239">
        <f t="shared" si="107"/>
        <v>0</v>
      </c>
      <c r="AF1625" s="239">
        <f t="shared" si="108"/>
        <v>0</v>
      </c>
      <c r="AG1625" s="240">
        <f t="shared" si="109"/>
        <v>0</v>
      </c>
    </row>
    <row r="1626" spans="1:33" x14ac:dyDescent="0.2">
      <c r="A1626" s="240" t="str">
        <f t="shared" si="110"/>
        <v/>
      </c>
      <c r="AE1626" s="239">
        <f t="shared" si="107"/>
        <v>0</v>
      </c>
      <c r="AF1626" s="239">
        <f t="shared" si="108"/>
        <v>0</v>
      </c>
      <c r="AG1626" s="240">
        <f t="shared" si="109"/>
        <v>0</v>
      </c>
    </row>
    <row r="1627" spans="1:33" x14ac:dyDescent="0.2">
      <c r="A1627" s="240" t="str">
        <f t="shared" si="110"/>
        <v/>
      </c>
      <c r="AE1627" s="239">
        <f t="shared" si="107"/>
        <v>0</v>
      </c>
      <c r="AF1627" s="239">
        <f t="shared" si="108"/>
        <v>0</v>
      </c>
      <c r="AG1627" s="240">
        <f t="shared" si="109"/>
        <v>0</v>
      </c>
    </row>
    <row r="1628" spans="1:33" x14ac:dyDescent="0.2">
      <c r="A1628" s="240" t="str">
        <f t="shared" si="110"/>
        <v/>
      </c>
      <c r="AE1628" s="239">
        <f t="shared" si="107"/>
        <v>0</v>
      </c>
      <c r="AF1628" s="239">
        <f t="shared" si="108"/>
        <v>0</v>
      </c>
      <c r="AG1628" s="240">
        <f t="shared" si="109"/>
        <v>0</v>
      </c>
    </row>
    <row r="1629" spans="1:33" x14ac:dyDescent="0.2">
      <c r="A1629" s="240" t="str">
        <f t="shared" si="110"/>
        <v/>
      </c>
      <c r="AE1629" s="239">
        <f t="shared" si="107"/>
        <v>0</v>
      </c>
      <c r="AF1629" s="239">
        <f t="shared" si="108"/>
        <v>0</v>
      </c>
      <c r="AG1629" s="240">
        <f t="shared" si="109"/>
        <v>0</v>
      </c>
    </row>
    <row r="1630" spans="1:33" x14ac:dyDescent="0.2">
      <c r="A1630" s="240" t="str">
        <f t="shared" si="110"/>
        <v/>
      </c>
      <c r="AE1630" s="239">
        <f t="shared" si="107"/>
        <v>0</v>
      </c>
      <c r="AF1630" s="239">
        <f t="shared" si="108"/>
        <v>0</v>
      </c>
      <c r="AG1630" s="240">
        <f t="shared" si="109"/>
        <v>0</v>
      </c>
    </row>
    <row r="1631" spans="1:33" x14ac:dyDescent="0.2">
      <c r="A1631" s="240" t="str">
        <f t="shared" si="110"/>
        <v/>
      </c>
      <c r="AE1631" s="239">
        <f t="shared" si="107"/>
        <v>0</v>
      </c>
      <c r="AF1631" s="239">
        <f t="shared" si="108"/>
        <v>0</v>
      </c>
      <c r="AG1631" s="240">
        <f t="shared" si="109"/>
        <v>0</v>
      </c>
    </row>
    <row r="1632" spans="1:33" x14ac:dyDescent="0.2">
      <c r="A1632" s="240" t="str">
        <f t="shared" si="110"/>
        <v/>
      </c>
      <c r="AE1632" s="239">
        <f t="shared" si="107"/>
        <v>0</v>
      </c>
      <c r="AF1632" s="239">
        <f t="shared" si="108"/>
        <v>0</v>
      </c>
      <c r="AG1632" s="240">
        <f t="shared" si="109"/>
        <v>0</v>
      </c>
    </row>
    <row r="1633" spans="1:33" x14ac:dyDescent="0.2">
      <c r="A1633" s="240" t="str">
        <f t="shared" si="110"/>
        <v/>
      </c>
      <c r="AE1633" s="239">
        <f t="shared" si="107"/>
        <v>0</v>
      </c>
      <c r="AF1633" s="239">
        <f t="shared" si="108"/>
        <v>0</v>
      </c>
      <c r="AG1633" s="240">
        <f t="shared" si="109"/>
        <v>0</v>
      </c>
    </row>
    <row r="1634" spans="1:33" x14ac:dyDescent="0.2">
      <c r="A1634" s="240" t="str">
        <f t="shared" si="110"/>
        <v/>
      </c>
      <c r="AE1634" s="239">
        <f t="shared" si="107"/>
        <v>0</v>
      </c>
      <c r="AF1634" s="239">
        <f t="shared" si="108"/>
        <v>0</v>
      </c>
      <c r="AG1634" s="240">
        <f t="shared" si="109"/>
        <v>0</v>
      </c>
    </row>
    <row r="1635" spans="1:33" x14ac:dyDescent="0.2">
      <c r="A1635" s="240" t="str">
        <f t="shared" si="110"/>
        <v/>
      </c>
      <c r="AE1635" s="239">
        <f t="shared" si="107"/>
        <v>0</v>
      </c>
      <c r="AF1635" s="239">
        <f t="shared" si="108"/>
        <v>0</v>
      </c>
      <c r="AG1635" s="240">
        <f t="shared" si="109"/>
        <v>0</v>
      </c>
    </row>
    <row r="1636" spans="1:33" x14ac:dyDescent="0.2">
      <c r="A1636" s="240" t="str">
        <f t="shared" si="110"/>
        <v/>
      </c>
      <c r="AE1636" s="239">
        <f t="shared" si="107"/>
        <v>0</v>
      </c>
      <c r="AF1636" s="239">
        <f t="shared" si="108"/>
        <v>0</v>
      </c>
      <c r="AG1636" s="240">
        <f t="shared" si="109"/>
        <v>0</v>
      </c>
    </row>
    <row r="1637" spans="1:33" x14ac:dyDescent="0.2">
      <c r="A1637" s="240" t="str">
        <f t="shared" si="110"/>
        <v/>
      </c>
      <c r="AE1637" s="239">
        <f t="shared" si="107"/>
        <v>0</v>
      </c>
      <c r="AF1637" s="239">
        <f t="shared" si="108"/>
        <v>0</v>
      </c>
      <c r="AG1637" s="240">
        <f t="shared" si="109"/>
        <v>0</v>
      </c>
    </row>
    <row r="1638" spans="1:33" x14ac:dyDescent="0.2">
      <c r="A1638" s="240" t="str">
        <f t="shared" si="110"/>
        <v/>
      </c>
      <c r="AE1638" s="239">
        <f t="shared" si="107"/>
        <v>0</v>
      </c>
      <c r="AF1638" s="239">
        <f t="shared" si="108"/>
        <v>0</v>
      </c>
      <c r="AG1638" s="240">
        <f t="shared" si="109"/>
        <v>0</v>
      </c>
    </row>
    <row r="1639" spans="1:33" x14ac:dyDescent="0.2">
      <c r="A1639" s="240" t="str">
        <f t="shared" si="110"/>
        <v/>
      </c>
      <c r="AE1639" s="239">
        <f t="shared" si="107"/>
        <v>0</v>
      </c>
      <c r="AF1639" s="239">
        <f t="shared" si="108"/>
        <v>0</v>
      </c>
      <c r="AG1639" s="240">
        <f t="shared" si="109"/>
        <v>0</v>
      </c>
    </row>
    <row r="1640" spans="1:33" x14ac:dyDescent="0.2">
      <c r="A1640" s="240" t="str">
        <f t="shared" si="110"/>
        <v/>
      </c>
      <c r="AE1640" s="239">
        <f t="shared" si="107"/>
        <v>0</v>
      </c>
      <c r="AF1640" s="239">
        <f t="shared" si="108"/>
        <v>0</v>
      </c>
      <c r="AG1640" s="240">
        <f t="shared" si="109"/>
        <v>0</v>
      </c>
    </row>
    <row r="1641" spans="1:33" x14ac:dyDescent="0.2">
      <c r="A1641" s="240" t="str">
        <f t="shared" si="110"/>
        <v/>
      </c>
      <c r="AE1641" s="239">
        <f t="shared" si="107"/>
        <v>0</v>
      </c>
      <c r="AF1641" s="239">
        <f t="shared" si="108"/>
        <v>0</v>
      </c>
      <c r="AG1641" s="240">
        <f t="shared" si="109"/>
        <v>0</v>
      </c>
    </row>
    <row r="1642" spans="1:33" x14ac:dyDescent="0.2">
      <c r="A1642" s="240" t="str">
        <f t="shared" si="110"/>
        <v/>
      </c>
      <c r="AE1642" s="239">
        <f t="shared" si="107"/>
        <v>0</v>
      </c>
      <c r="AF1642" s="239">
        <f t="shared" si="108"/>
        <v>0</v>
      </c>
      <c r="AG1642" s="240">
        <f t="shared" si="109"/>
        <v>0</v>
      </c>
    </row>
    <row r="1643" spans="1:33" x14ac:dyDescent="0.2">
      <c r="A1643" s="240" t="str">
        <f t="shared" si="110"/>
        <v/>
      </c>
      <c r="AE1643" s="239">
        <f t="shared" si="107"/>
        <v>0</v>
      </c>
      <c r="AF1643" s="239">
        <f t="shared" si="108"/>
        <v>0</v>
      </c>
      <c r="AG1643" s="240">
        <f t="shared" si="109"/>
        <v>0</v>
      </c>
    </row>
    <row r="1644" spans="1:33" x14ac:dyDescent="0.2">
      <c r="A1644" s="240" t="str">
        <f t="shared" si="110"/>
        <v/>
      </c>
      <c r="AE1644" s="239">
        <f t="shared" si="107"/>
        <v>0</v>
      </c>
      <c r="AF1644" s="239">
        <f t="shared" si="108"/>
        <v>0</v>
      </c>
      <c r="AG1644" s="240">
        <f t="shared" si="109"/>
        <v>0</v>
      </c>
    </row>
    <row r="1645" spans="1:33" x14ac:dyDescent="0.2">
      <c r="A1645" s="240" t="str">
        <f t="shared" si="110"/>
        <v/>
      </c>
      <c r="AE1645" s="239">
        <f t="shared" si="107"/>
        <v>0</v>
      </c>
      <c r="AF1645" s="239">
        <f t="shared" si="108"/>
        <v>0</v>
      </c>
      <c r="AG1645" s="240">
        <f t="shared" si="109"/>
        <v>0</v>
      </c>
    </row>
    <row r="1646" spans="1:33" x14ac:dyDescent="0.2">
      <c r="A1646" s="240" t="str">
        <f t="shared" si="110"/>
        <v/>
      </c>
      <c r="AE1646" s="239">
        <f t="shared" si="107"/>
        <v>0</v>
      </c>
      <c r="AF1646" s="239">
        <f t="shared" si="108"/>
        <v>0</v>
      </c>
      <c r="AG1646" s="240">
        <f t="shared" si="109"/>
        <v>0</v>
      </c>
    </row>
    <row r="1647" spans="1:33" x14ac:dyDescent="0.2">
      <c r="A1647" s="240" t="str">
        <f t="shared" si="110"/>
        <v/>
      </c>
      <c r="AE1647" s="239">
        <f t="shared" si="107"/>
        <v>0</v>
      </c>
      <c r="AF1647" s="239">
        <f t="shared" si="108"/>
        <v>0</v>
      </c>
      <c r="AG1647" s="240">
        <f t="shared" si="109"/>
        <v>0</v>
      </c>
    </row>
    <row r="1648" spans="1:33" x14ac:dyDescent="0.2">
      <c r="A1648" s="240" t="str">
        <f t="shared" si="110"/>
        <v/>
      </c>
      <c r="AE1648" s="239">
        <f t="shared" si="107"/>
        <v>0</v>
      </c>
      <c r="AF1648" s="239">
        <f t="shared" si="108"/>
        <v>0</v>
      </c>
      <c r="AG1648" s="240">
        <f t="shared" si="109"/>
        <v>0</v>
      </c>
    </row>
    <row r="1649" spans="1:33" x14ac:dyDescent="0.2">
      <c r="A1649" s="240" t="str">
        <f t="shared" si="110"/>
        <v/>
      </c>
      <c r="AE1649" s="239">
        <f t="shared" si="107"/>
        <v>0</v>
      </c>
      <c r="AF1649" s="239">
        <f t="shared" si="108"/>
        <v>0</v>
      </c>
      <c r="AG1649" s="240">
        <f t="shared" si="109"/>
        <v>0</v>
      </c>
    </row>
    <row r="1650" spans="1:33" x14ac:dyDescent="0.2">
      <c r="A1650" s="240" t="str">
        <f t="shared" si="110"/>
        <v/>
      </c>
      <c r="AE1650" s="239">
        <f t="shared" si="107"/>
        <v>0</v>
      </c>
      <c r="AF1650" s="239">
        <f t="shared" si="108"/>
        <v>0</v>
      </c>
      <c r="AG1650" s="240">
        <f t="shared" si="109"/>
        <v>0</v>
      </c>
    </row>
    <row r="1651" spans="1:33" x14ac:dyDescent="0.2">
      <c r="A1651" s="240" t="str">
        <f t="shared" si="110"/>
        <v/>
      </c>
      <c r="AE1651" s="239">
        <f t="shared" si="107"/>
        <v>0</v>
      </c>
      <c r="AF1651" s="239">
        <f t="shared" si="108"/>
        <v>0</v>
      </c>
      <c r="AG1651" s="240">
        <f t="shared" si="109"/>
        <v>0</v>
      </c>
    </row>
    <row r="1652" spans="1:33" x14ac:dyDescent="0.2">
      <c r="A1652" s="240" t="str">
        <f t="shared" si="110"/>
        <v/>
      </c>
      <c r="AE1652" s="239">
        <f t="shared" si="107"/>
        <v>0</v>
      </c>
      <c r="AF1652" s="239">
        <f t="shared" si="108"/>
        <v>0</v>
      </c>
      <c r="AG1652" s="240">
        <f t="shared" si="109"/>
        <v>0</v>
      </c>
    </row>
    <row r="1653" spans="1:33" x14ac:dyDescent="0.2">
      <c r="A1653" s="240" t="str">
        <f t="shared" si="110"/>
        <v/>
      </c>
      <c r="AE1653" s="239">
        <f t="shared" si="107"/>
        <v>0</v>
      </c>
      <c r="AF1653" s="239">
        <f t="shared" si="108"/>
        <v>0</v>
      </c>
      <c r="AG1653" s="240">
        <f t="shared" si="109"/>
        <v>0</v>
      </c>
    </row>
    <row r="1654" spans="1:33" x14ac:dyDescent="0.2">
      <c r="A1654" s="240" t="str">
        <f t="shared" si="110"/>
        <v/>
      </c>
      <c r="AE1654" s="239">
        <f t="shared" si="107"/>
        <v>0</v>
      </c>
      <c r="AF1654" s="239">
        <f t="shared" si="108"/>
        <v>0</v>
      </c>
      <c r="AG1654" s="240">
        <f t="shared" si="109"/>
        <v>0</v>
      </c>
    </row>
    <row r="1655" spans="1:33" x14ac:dyDescent="0.2">
      <c r="A1655" s="240" t="str">
        <f t="shared" si="110"/>
        <v/>
      </c>
      <c r="AE1655" s="239">
        <f t="shared" si="107"/>
        <v>0</v>
      </c>
      <c r="AF1655" s="239">
        <f t="shared" si="108"/>
        <v>0</v>
      </c>
      <c r="AG1655" s="240">
        <f t="shared" si="109"/>
        <v>0</v>
      </c>
    </row>
    <row r="1656" spans="1:33" x14ac:dyDescent="0.2">
      <c r="A1656" s="240" t="str">
        <f t="shared" si="110"/>
        <v/>
      </c>
      <c r="AE1656" s="239">
        <f t="shared" si="107"/>
        <v>0</v>
      </c>
      <c r="AF1656" s="239">
        <f t="shared" si="108"/>
        <v>0</v>
      </c>
      <c r="AG1656" s="240">
        <f t="shared" si="109"/>
        <v>0</v>
      </c>
    </row>
    <row r="1657" spans="1:33" x14ac:dyDescent="0.2">
      <c r="A1657" s="240" t="str">
        <f t="shared" si="110"/>
        <v/>
      </c>
      <c r="AE1657" s="239">
        <f t="shared" si="107"/>
        <v>0</v>
      </c>
      <c r="AF1657" s="239">
        <f t="shared" si="108"/>
        <v>0</v>
      </c>
      <c r="AG1657" s="240">
        <f t="shared" si="109"/>
        <v>0</v>
      </c>
    </row>
    <row r="1658" spans="1:33" x14ac:dyDescent="0.2">
      <c r="A1658" s="240" t="str">
        <f t="shared" si="110"/>
        <v/>
      </c>
      <c r="AE1658" s="239">
        <f t="shared" si="107"/>
        <v>0</v>
      </c>
      <c r="AF1658" s="239">
        <f t="shared" si="108"/>
        <v>0</v>
      </c>
      <c r="AG1658" s="240">
        <f t="shared" si="109"/>
        <v>0</v>
      </c>
    </row>
    <row r="1659" spans="1:33" x14ac:dyDescent="0.2">
      <c r="A1659" s="240" t="str">
        <f t="shared" si="110"/>
        <v/>
      </c>
      <c r="AE1659" s="239">
        <f t="shared" si="107"/>
        <v>0</v>
      </c>
      <c r="AF1659" s="239">
        <f t="shared" si="108"/>
        <v>0</v>
      </c>
      <c r="AG1659" s="240">
        <f t="shared" si="109"/>
        <v>0</v>
      </c>
    </row>
    <row r="1660" spans="1:33" x14ac:dyDescent="0.2">
      <c r="A1660" s="240" t="str">
        <f t="shared" si="110"/>
        <v/>
      </c>
      <c r="AE1660" s="239">
        <f t="shared" si="107"/>
        <v>0</v>
      </c>
      <c r="AF1660" s="239">
        <f t="shared" si="108"/>
        <v>0</v>
      </c>
      <c r="AG1660" s="240">
        <f t="shared" si="109"/>
        <v>0</v>
      </c>
    </row>
    <row r="1661" spans="1:33" x14ac:dyDescent="0.2">
      <c r="A1661" s="240" t="str">
        <f t="shared" si="110"/>
        <v/>
      </c>
      <c r="AE1661" s="239">
        <f t="shared" si="107"/>
        <v>0</v>
      </c>
      <c r="AF1661" s="239">
        <f t="shared" si="108"/>
        <v>0</v>
      </c>
      <c r="AG1661" s="240">
        <f t="shared" si="109"/>
        <v>0</v>
      </c>
    </row>
    <row r="1662" spans="1:33" x14ac:dyDescent="0.2">
      <c r="A1662" s="240" t="str">
        <f t="shared" si="110"/>
        <v/>
      </c>
      <c r="AE1662" s="239">
        <f t="shared" si="107"/>
        <v>0</v>
      </c>
      <c r="AF1662" s="239">
        <f t="shared" si="108"/>
        <v>0</v>
      </c>
      <c r="AG1662" s="240">
        <f t="shared" si="109"/>
        <v>0</v>
      </c>
    </row>
    <row r="1663" spans="1:33" x14ac:dyDescent="0.2">
      <c r="A1663" s="240" t="str">
        <f t="shared" si="110"/>
        <v/>
      </c>
      <c r="AE1663" s="239">
        <f t="shared" si="107"/>
        <v>0</v>
      </c>
      <c r="AF1663" s="239">
        <f t="shared" si="108"/>
        <v>0</v>
      </c>
      <c r="AG1663" s="240">
        <f t="shared" si="109"/>
        <v>0</v>
      </c>
    </row>
    <row r="1664" spans="1:33" x14ac:dyDescent="0.2">
      <c r="A1664" s="240" t="str">
        <f t="shared" si="110"/>
        <v/>
      </c>
      <c r="AE1664" s="239">
        <f t="shared" si="107"/>
        <v>0</v>
      </c>
      <c r="AF1664" s="239">
        <f t="shared" si="108"/>
        <v>0</v>
      </c>
      <c r="AG1664" s="240">
        <f t="shared" si="109"/>
        <v>0</v>
      </c>
    </row>
    <row r="1665" spans="1:33" x14ac:dyDescent="0.2">
      <c r="A1665" s="240" t="str">
        <f t="shared" si="110"/>
        <v/>
      </c>
      <c r="AE1665" s="239">
        <f t="shared" si="107"/>
        <v>0</v>
      </c>
      <c r="AF1665" s="239">
        <f t="shared" si="108"/>
        <v>0</v>
      </c>
      <c r="AG1665" s="240">
        <f t="shared" si="109"/>
        <v>0</v>
      </c>
    </row>
    <row r="1666" spans="1:33" x14ac:dyDescent="0.2">
      <c r="A1666" s="240" t="str">
        <f t="shared" si="110"/>
        <v/>
      </c>
      <c r="AE1666" s="239">
        <f t="shared" si="107"/>
        <v>0</v>
      </c>
      <c r="AF1666" s="239">
        <f t="shared" si="108"/>
        <v>0</v>
      </c>
      <c r="AG1666" s="240">
        <f t="shared" si="109"/>
        <v>0</v>
      </c>
    </row>
    <row r="1667" spans="1:33" x14ac:dyDescent="0.2">
      <c r="A1667" s="240" t="str">
        <f t="shared" si="110"/>
        <v/>
      </c>
      <c r="AE1667" s="239">
        <f t="shared" si="107"/>
        <v>0</v>
      </c>
      <c r="AF1667" s="239">
        <f t="shared" si="108"/>
        <v>0</v>
      </c>
      <c r="AG1667" s="240">
        <f t="shared" si="109"/>
        <v>0</v>
      </c>
    </row>
    <row r="1668" spans="1:33" x14ac:dyDescent="0.2">
      <c r="A1668" s="240" t="str">
        <f t="shared" si="110"/>
        <v/>
      </c>
      <c r="AE1668" s="239">
        <f t="shared" si="107"/>
        <v>0</v>
      </c>
      <c r="AF1668" s="239">
        <f t="shared" si="108"/>
        <v>0</v>
      </c>
      <c r="AG1668" s="240">
        <f t="shared" si="109"/>
        <v>0</v>
      </c>
    </row>
    <row r="1669" spans="1:33" x14ac:dyDescent="0.2">
      <c r="A1669" s="240" t="str">
        <f t="shared" si="110"/>
        <v/>
      </c>
      <c r="AE1669" s="239">
        <f t="shared" si="107"/>
        <v>0</v>
      </c>
      <c r="AF1669" s="239">
        <f t="shared" si="108"/>
        <v>0</v>
      </c>
      <c r="AG1669" s="240">
        <f t="shared" si="109"/>
        <v>0</v>
      </c>
    </row>
    <row r="1670" spans="1:33" x14ac:dyDescent="0.2">
      <c r="A1670" s="240" t="str">
        <f t="shared" si="110"/>
        <v/>
      </c>
      <c r="AE1670" s="239">
        <f t="shared" si="107"/>
        <v>0</v>
      </c>
      <c r="AF1670" s="239">
        <f t="shared" si="108"/>
        <v>0</v>
      </c>
      <c r="AG1670" s="240">
        <f t="shared" si="109"/>
        <v>0</v>
      </c>
    </row>
    <row r="1671" spans="1:33" x14ac:dyDescent="0.2">
      <c r="A1671" s="240" t="str">
        <f t="shared" si="110"/>
        <v/>
      </c>
      <c r="AE1671" s="239">
        <f t="shared" si="107"/>
        <v>0</v>
      </c>
      <c r="AF1671" s="239">
        <f t="shared" si="108"/>
        <v>0</v>
      </c>
      <c r="AG1671" s="240">
        <f t="shared" si="109"/>
        <v>0</v>
      </c>
    </row>
    <row r="1672" spans="1:33" x14ac:dyDescent="0.2">
      <c r="A1672" s="240" t="str">
        <f t="shared" si="110"/>
        <v/>
      </c>
      <c r="AE1672" s="239">
        <f t="shared" si="107"/>
        <v>0</v>
      </c>
      <c r="AF1672" s="239">
        <f t="shared" si="108"/>
        <v>0</v>
      </c>
      <c r="AG1672" s="240">
        <f t="shared" si="109"/>
        <v>0</v>
      </c>
    </row>
    <row r="1673" spans="1:33" x14ac:dyDescent="0.2">
      <c r="A1673" s="240" t="str">
        <f t="shared" si="110"/>
        <v/>
      </c>
      <c r="AE1673" s="239">
        <f t="shared" si="107"/>
        <v>0</v>
      </c>
      <c r="AF1673" s="239">
        <f t="shared" si="108"/>
        <v>0</v>
      </c>
      <c r="AG1673" s="240">
        <f t="shared" si="109"/>
        <v>0</v>
      </c>
    </row>
    <row r="1674" spans="1:33" x14ac:dyDescent="0.2">
      <c r="A1674" s="240" t="str">
        <f t="shared" si="110"/>
        <v/>
      </c>
      <c r="AE1674" s="239">
        <f t="shared" si="107"/>
        <v>0</v>
      </c>
      <c r="AF1674" s="239">
        <f t="shared" si="108"/>
        <v>0</v>
      </c>
      <c r="AG1674" s="240">
        <f t="shared" si="109"/>
        <v>0</v>
      </c>
    </row>
    <row r="1675" spans="1:33" x14ac:dyDescent="0.2">
      <c r="A1675" s="240" t="str">
        <f t="shared" si="110"/>
        <v/>
      </c>
      <c r="AE1675" s="239">
        <f t="shared" si="107"/>
        <v>0</v>
      </c>
      <c r="AF1675" s="239">
        <f t="shared" si="108"/>
        <v>0</v>
      </c>
      <c r="AG1675" s="240">
        <f t="shared" si="109"/>
        <v>0</v>
      </c>
    </row>
    <row r="1676" spans="1:33" x14ac:dyDescent="0.2">
      <c r="A1676" s="240" t="str">
        <f t="shared" si="110"/>
        <v/>
      </c>
      <c r="AE1676" s="239">
        <f t="shared" si="107"/>
        <v>0</v>
      </c>
      <c r="AF1676" s="239">
        <f t="shared" si="108"/>
        <v>0</v>
      </c>
      <c r="AG1676" s="240">
        <f t="shared" si="109"/>
        <v>0</v>
      </c>
    </row>
    <row r="1677" spans="1:33" x14ac:dyDescent="0.2">
      <c r="A1677" s="240" t="str">
        <f t="shared" si="110"/>
        <v/>
      </c>
      <c r="AE1677" s="239">
        <f t="shared" si="107"/>
        <v>0</v>
      </c>
      <c r="AF1677" s="239">
        <f t="shared" si="108"/>
        <v>0</v>
      </c>
      <c r="AG1677" s="240">
        <f t="shared" si="109"/>
        <v>0</v>
      </c>
    </row>
    <row r="1678" spans="1:33" x14ac:dyDescent="0.2">
      <c r="A1678" s="240" t="str">
        <f t="shared" si="110"/>
        <v/>
      </c>
      <c r="AE1678" s="239">
        <f t="shared" si="107"/>
        <v>0</v>
      </c>
      <c r="AF1678" s="239">
        <f t="shared" si="108"/>
        <v>0</v>
      </c>
      <c r="AG1678" s="240">
        <f t="shared" si="109"/>
        <v>0</v>
      </c>
    </row>
    <row r="1679" spans="1:33" x14ac:dyDescent="0.2">
      <c r="A1679" s="240" t="str">
        <f t="shared" si="110"/>
        <v/>
      </c>
      <c r="AE1679" s="239">
        <f t="shared" ref="AE1679:AE1742" si="111">SUM(T1679:W1679)</f>
        <v>0</v>
      </c>
      <c r="AF1679" s="239">
        <f t="shared" ref="AF1679:AF1742" si="112">SUM(Z1679:AA1679)</f>
        <v>0</v>
      </c>
      <c r="AG1679" s="240">
        <f t="shared" ref="AG1679:AG1742" si="113">+L1679-SUM(Z1679:AA1679)</f>
        <v>0</v>
      </c>
    </row>
    <row r="1680" spans="1:33" x14ac:dyDescent="0.2">
      <c r="A1680" s="240" t="str">
        <f t="shared" si="110"/>
        <v/>
      </c>
      <c r="AE1680" s="239">
        <f t="shared" si="111"/>
        <v>0</v>
      </c>
      <c r="AF1680" s="239">
        <f t="shared" si="112"/>
        <v>0</v>
      </c>
      <c r="AG1680" s="240">
        <f t="shared" si="113"/>
        <v>0</v>
      </c>
    </row>
    <row r="1681" spans="1:33" x14ac:dyDescent="0.2">
      <c r="A1681" s="240" t="str">
        <f t="shared" ref="A1681:A1714" si="114">I1681&amp;B1681&amp;C1681&amp;D1681&amp;F1681&amp;G1681</f>
        <v/>
      </c>
      <c r="AE1681" s="239">
        <f t="shared" si="111"/>
        <v>0</v>
      </c>
      <c r="AF1681" s="239">
        <f t="shared" si="112"/>
        <v>0</v>
      </c>
      <c r="AG1681" s="240">
        <f t="shared" si="113"/>
        <v>0</v>
      </c>
    </row>
    <row r="1682" spans="1:33" x14ac:dyDescent="0.2">
      <c r="A1682" s="240" t="str">
        <f t="shared" si="114"/>
        <v/>
      </c>
      <c r="AE1682" s="239">
        <f t="shared" si="111"/>
        <v>0</v>
      </c>
      <c r="AF1682" s="239">
        <f t="shared" si="112"/>
        <v>0</v>
      </c>
      <c r="AG1682" s="240">
        <f t="shared" si="113"/>
        <v>0</v>
      </c>
    </row>
    <row r="1683" spans="1:33" x14ac:dyDescent="0.2">
      <c r="A1683" s="240" t="str">
        <f t="shared" si="114"/>
        <v/>
      </c>
      <c r="AE1683" s="239">
        <f t="shared" si="111"/>
        <v>0</v>
      </c>
      <c r="AF1683" s="239">
        <f t="shared" si="112"/>
        <v>0</v>
      </c>
      <c r="AG1683" s="240">
        <f t="shared" si="113"/>
        <v>0</v>
      </c>
    </row>
    <row r="1684" spans="1:33" x14ac:dyDescent="0.2">
      <c r="A1684" s="240" t="str">
        <f t="shared" si="114"/>
        <v/>
      </c>
      <c r="AE1684" s="239">
        <f t="shared" si="111"/>
        <v>0</v>
      </c>
      <c r="AF1684" s="239">
        <f t="shared" si="112"/>
        <v>0</v>
      </c>
      <c r="AG1684" s="240">
        <f t="shared" si="113"/>
        <v>0</v>
      </c>
    </row>
    <row r="1685" spans="1:33" x14ac:dyDescent="0.2">
      <c r="A1685" s="240" t="str">
        <f t="shared" si="114"/>
        <v/>
      </c>
      <c r="AE1685" s="239">
        <f t="shared" si="111"/>
        <v>0</v>
      </c>
      <c r="AF1685" s="239">
        <f t="shared" si="112"/>
        <v>0</v>
      </c>
      <c r="AG1685" s="240">
        <f t="shared" si="113"/>
        <v>0</v>
      </c>
    </row>
    <row r="1686" spans="1:33" x14ac:dyDescent="0.2">
      <c r="A1686" s="240" t="str">
        <f t="shared" si="114"/>
        <v/>
      </c>
      <c r="AE1686" s="239">
        <f t="shared" si="111"/>
        <v>0</v>
      </c>
      <c r="AF1686" s="239">
        <f t="shared" si="112"/>
        <v>0</v>
      </c>
      <c r="AG1686" s="240">
        <f t="shared" si="113"/>
        <v>0</v>
      </c>
    </row>
    <row r="1687" spans="1:33" x14ac:dyDescent="0.2">
      <c r="A1687" s="240" t="str">
        <f t="shared" si="114"/>
        <v/>
      </c>
      <c r="AE1687" s="239">
        <f t="shared" si="111"/>
        <v>0</v>
      </c>
      <c r="AF1687" s="239">
        <f t="shared" si="112"/>
        <v>0</v>
      </c>
      <c r="AG1687" s="240">
        <f t="shared" si="113"/>
        <v>0</v>
      </c>
    </row>
    <row r="1688" spans="1:33" x14ac:dyDescent="0.2">
      <c r="A1688" s="240" t="str">
        <f t="shared" si="114"/>
        <v/>
      </c>
      <c r="AE1688" s="239">
        <f t="shared" si="111"/>
        <v>0</v>
      </c>
      <c r="AF1688" s="239">
        <f t="shared" si="112"/>
        <v>0</v>
      </c>
      <c r="AG1688" s="240">
        <f t="shared" si="113"/>
        <v>0</v>
      </c>
    </row>
    <row r="1689" spans="1:33" x14ac:dyDescent="0.2">
      <c r="A1689" s="240" t="str">
        <f t="shared" si="114"/>
        <v/>
      </c>
      <c r="AE1689" s="239">
        <f t="shared" si="111"/>
        <v>0</v>
      </c>
      <c r="AF1689" s="239">
        <f t="shared" si="112"/>
        <v>0</v>
      </c>
      <c r="AG1689" s="240">
        <f t="shared" si="113"/>
        <v>0</v>
      </c>
    </row>
    <row r="1690" spans="1:33" x14ac:dyDescent="0.2">
      <c r="A1690" s="240" t="str">
        <f t="shared" si="114"/>
        <v/>
      </c>
      <c r="AE1690" s="239">
        <f t="shared" si="111"/>
        <v>0</v>
      </c>
      <c r="AF1690" s="239">
        <f t="shared" si="112"/>
        <v>0</v>
      </c>
      <c r="AG1690" s="240">
        <f t="shared" si="113"/>
        <v>0</v>
      </c>
    </row>
    <row r="1691" spans="1:33" x14ac:dyDescent="0.2">
      <c r="A1691" s="240" t="str">
        <f t="shared" si="114"/>
        <v/>
      </c>
      <c r="AE1691" s="239">
        <f t="shared" si="111"/>
        <v>0</v>
      </c>
      <c r="AF1691" s="239">
        <f t="shared" si="112"/>
        <v>0</v>
      </c>
      <c r="AG1691" s="240">
        <f t="shared" si="113"/>
        <v>0</v>
      </c>
    </row>
    <row r="1692" spans="1:33" x14ac:dyDescent="0.2">
      <c r="A1692" s="240" t="str">
        <f t="shared" si="114"/>
        <v/>
      </c>
      <c r="AE1692" s="239">
        <f t="shared" si="111"/>
        <v>0</v>
      </c>
      <c r="AF1692" s="239">
        <f t="shared" si="112"/>
        <v>0</v>
      </c>
      <c r="AG1692" s="240">
        <f t="shared" si="113"/>
        <v>0</v>
      </c>
    </row>
    <row r="1693" spans="1:33" x14ac:dyDescent="0.2">
      <c r="A1693" s="240" t="str">
        <f t="shared" si="114"/>
        <v/>
      </c>
      <c r="AE1693" s="239">
        <f t="shared" si="111"/>
        <v>0</v>
      </c>
      <c r="AF1693" s="239">
        <f t="shared" si="112"/>
        <v>0</v>
      </c>
      <c r="AG1693" s="240">
        <f t="shared" si="113"/>
        <v>0</v>
      </c>
    </row>
    <row r="1694" spans="1:33" x14ac:dyDescent="0.2">
      <c r="A1694" s="240" t="str">
        <f t="shared" si="114"/>
        <v/>
      </c>
      <c r="AE1694" s="239">
        <f t="shared" si="111"/>
        <v>0</v>
      </c>
      <c r="AF1694" s="239">
        <f t="shared" si="112"/>
        <v>0</v>
      </c>
      <c r="AG1694" s="240">
        <f t="shared" si="113"/>
        <v>0</v>
      </c>
    </row>
    <row r="1695" spans="1:33" x14ac:dyDescent="0.2">
      <c r="A1695" s="240" t="str">
        <f t="shared" si="114"/>
        <v/>
      </c>
      <c r="AE1695" s="239">
        <f t="shared" si="111"/>
        <v>0</v>
      </c>
      <c r="AF1695" s="239">
        <f t="shared" si="112"/>
        <v>0</v>
      </c>
      <c r="AG1695" s="240">
        <f t="shared" si="113"/>
        <v>0</v>
      </c>
    </row>
    <row r="1696" spans="1:33" x14ac:dyDescent="0.2">
      <c r="A1696" s="240" t="str">
        <f t="shared" si="114"/>
        <v/>
      </c>
      <c r="AE1696" s="239">
        <f t="shared" si="111"/>
        <v>0</v>
      </c>
      <c r="AF1696" s="239">
        <f t="shared" si="112"/>
        <v>0</v>
      </c>
      <c r="AG1696" s="240">
        <f t="shared" si="113"/>
        <v>0</v>
      </c>
    </row>
    <row r="1697" spans="1:33" x14ac:dyDescent="0.2">
      <c r="A1697" s="240" t="str">
        <f t="shared" si="114"/>
        <v/>
      </c>
      <c r="AE1697" s="239">
        <f t="shared" si="111"/>
        <v>0</v>
      </c>
      <c r="AF1697" s="239">
        <f t="shared" si="112"/>
        <v>0</v>
      </c>
      <c r="AG1697" s="240">
        <f t="shared" si="113"/>
        <v>0</v>
      </c>
    </row>
    <row r="1698" spans="1:33" x14ac:dyDescent="0.2">
      <c r="A1698" s="240" t="str">
        <f t="shared" si="114"/>
        <v/>
      </c>
      <c r="AE1698" s="239">
        <f t="shared" si="111"/>
        <v>0</v>
      </c>
      <c r="AF1698" s="239">
        <f t="shared" si="112"/>
        <v>0</v>
      </c>
      <c r="AG1698" s="240">
        <f t="shared" si="113"/>
        <v>0</v>
      </c>
    </row>
    <row r="1699" spans="1:33" x14ac:dyDescent="0.2">
      <c r="A1699" s="240" t="str">
        <f t="shared" si="114"/>
        <v/>
      </c>
      <c r="AE1699" s="239">
        <f t="shared" si="111"/>
        <v>0</v>
      </c>
      <c r="AF1699" s="239">
        <f t="shared" si="112"/>
        <v>0</v>
      </c>
      <c r="AG1699" s="240">
        <f t="shared" si="113"/>
        <v>0</v>
      </c>
    </row>
    <row r="1700" spans="1:33" x14ac:dyDescent="0.2">
      <c r="A1700" s="240" t="str">
        <f t="shared" si="114"/>
        <v/>
      </c>
      <c r="AE1700" s="239">
        <f t="shared" si="111"/>
        <v>0</v>
      </c>
      <c r="AF1700" s="239">
        <f t="shared" si="112"/>
        <v>0</v>
      </c>
      <c r="AG1700" s="240">
        <f t="shared" si="113"/>
        <v>0</v>
      </c>
    </row>
    <row r="1701" spans="1:33" x14ac:dyDescent="0.2">
      <c r="A1701" s="240" t="str">
        <f t="shared" si="114"/>
        <v/>
      </c>
      <c r="AE1701" s="239">
        <f t="shared" si="111"/>
        <v>0</v>
      </c>
      <c r="AF1701" s="239">
        <f t="shared" si="112"/>
        <v>0</v>
      </c>
      <c r="AG1701" s="240">
        <f t="shared" si="113"/>
        <v>0</v>
      </c>
    </row>
    <row r="1702" spans="1:33" x14ac:dyDescent="0.2">
      <c r="A1702" s="240" t="str">
        <f t="shared" si="114"/>
        <v/>
      </c>
      <c r="AE1702" s="239">
        <f t="shared" si="111"/>
        <v>0</v>
      </c>
      <c r="AF1702" s="239">
        <f t="shared" si="112"/>
        <v>0</v>
      </c>
      <c r="AG1702" s="240">
        <f t="shared" si="113"/>
        <v>0</v>
      </c>
    </row>
    <row r="1703" spans="1:33" x14ac:dyDescent="0.2">
      <c r="A1703" s="240" t="str">
        <f t="shared" si="114"/>
        <v/>
      </c>
      <c r="AE1703" s="239">
        <f t="shared" si="111"/>
        <v>0</v>
      </c>
      <c r="AF1703" s="239">
        <f t="shared" si="112"/>
        <v>0</v>
      </c>
      <c r="AG1703" s="240">
        <f t="shared" si="113"/>
        <v>0</v>
      </c>
    </row>
    <row r="1704" spans="1:33" x14ac:dyDescent="0.2">
      <c r="A1704" s="240" t="str">
        <f t="shared" si="114"/>
        <v/>
      </c>
      <c r="AE1704" s="239">
        <f t="shared" si="111"/>
        <v>0</v>
      </c>
      <c r="AF1704" s="239">
        <f t="shared" si="112"/>
        <v>0</v>
      </c>
      <c r="AG1704" s="240">
        <f t="shared" si="113"/>
        <v>0</v>
      </c>
    </row>
    <row r="1705" spans="1:33" x14ac:dyDescent="0.2">
      <c r="A1705" s="240" t="str">
        <f t="shared" si="114"/>
        <v/>
      </c>
      <c r="AE1705" s="239">
        <f t="shared" si="111"/>
        <v>0</v>
      </c>
      <c r="AF1705" s="239">
        <f t="shared" si="112"/>
        <v>0</v>
      </c>
      <c r="AG1705" s="240">
        <f t="shared" si="113"/>
        <v>0</v>
      </c>
    </row>
    <row r="1706" spans="1:33" x14ac:dyDescent="0.2">
      <c r="A1706" s="240" t="str">
        <f t="shared" si="114"/>
        <v/>
      </c>
      <c r="AE1706" s="239">
        <f t="shared" si="111"/>
        <v>0</v>
      </c>
      <c r="AF1706" s="239">
        <f t="shared" si="112"/>
        <v>0</v>
      </c>
      <c r="AG1706" s="240">
        <f t="shared" si="113"/>
        <v>0</v>
      </c>
    </row>
    <row r="1707" spans="1:33" x14ac:dyDescent="0.2">
      <c r="A1707" s="240" t="str">
        <f t="shared" si="114"/>
        <v/>
      </c>
      <c r="AE1707" s="239">
        <f t="shared" si="111"/>
        <v>0</v>
      </c>
      <c r="AF1707" s="239">
        <f t="shared" si="112"/>
        <v>0</v>
      </c>
      <c r="AG1707" s="240">
        <f t="shared" si="113"/>
        <v>0</v>
      </c>
    </row>
    <row r="1708" spans="1:33" x14ac:dyDescent="0.2">
      <c r="A1708" s="240" t="str">
        <f t="shared" si="114"/>
        <v/>
      </c>
      <c r="AE1708" s="239">
        <f t="shared" si="111"/>
        <v>0</v>
      </c>
      <c r="AF1708" s="239">
        <f t="shared" si="112"/>
        <v>0</v>
      </c>
      <c r="AG1708" s="240">
        <f t="shared" si="113"/>
        <v>0</v>
      </c>
    </row>
    <row r="1709" spans="1:33" x14ac:dyDescent="0.2">
      <c r="A1709" s="240" t="str">
        <f t="shared" si="114"/>
        <v/>
      </c>
      <c r="AE1709" s="239">
        <f t="shared" si="111"/>
        <v>0</v>
      </c>
      <c r="AF1709" s="239">
        <f t="shared" si="112"/>
        <v>0</v>
      </c>
      <c r="AG1709" s="240">
        <f t="shared" si="113"/>
        <v>0</v>
      </c>
    </row>
    <row r="1710" spans="1:33" x14ac:dyDescent="0.2">
      <c r="A1710" s="240" t="str">
        <f t="shared" si="114"/>
        <v/>
      </c>
      <c r="AE1710" s="239">
        <f t="shared" si="111"/>
        <v>0</v>
      </c>
      <c r="AF1710" s="239">
        <f t="shared" si="112"/>
        <v>0</v>
      </c>
      <c r="AG1710" s="240">
        <f t="shared" si="113"/>
        <v>0</v>
      </c>
    </row>
    <row r="1711" spans="1:33" x14ac:dyDescent="0.2">
      <c r="A1711" s="240" t="str">
        <f t="shared" si="114"/>
        <v/>
      </c>
      <c r="AE1711" s="239">
        <f t="shared" si="111"/>
        <v>0</v>
      </c>
      <c r="AF1711" s="239">
        <f t="shared" si="112"/>
        <v>0</v>
      </c>
      <c r="AG1711" s="240">
        <f t="shared" si="113"/>
        <v>0</v>
      </c>
    </row>
    <row r="1712" spans="1:33" x14ac:dyDescent="0.2">
      <c r="A1712" s="240" t="str">
        <f t="shared" si="114"/>
        <v/>
      </c>
      <c r="AE1712" s="239">
        <f t="shared" si="111"/>
        <v>0</v>
      </c>
      <c r="AF1712" s="239">
        <f t="shared" si="112"/>
        <v>0</v>
      </c>
      <c r="AG1712" s="240">
        <f t="shared" si="113"/>
        <v>0</v>
      </c>
    </row>
    <row r="1713" spans="1:33" x14ac:dyDescent="0.2">
      <c r="A1713" s="240" t="str">
        <f t="shared" si="114"/>
        <v/>
      </c>
      <c r="AE1713" s="239">
        <f t="shared" si="111"/>
        <v>0</v>
      </c>
      <c r="AF1713" s="239">
        <f t="shared" si="112"/>
        <v>0</v>
      </c>
      <c r="AG1713" s="240">
        <f t="shared" si="113"/>
        <v>0</v>
      </c>
    </row>
    <row r="1714" spans="1:33" x14ac:dyDescent="0.2">
      <c r="A1714" s="240" t="str">
        <f t="shared" si="114"/>
        <v/>
      </c>
      <c r="AE1714" s="239">
        <f t="shared" si="111"/>
        <v>0</v>
      </c>
      <c r="AF1714" s="239">
        <f t="shared" si="112"/>
        <v>0</v>
      </c>
      <c r="AG1714" s="240">
        <f t="shared" si="113"/>
        <v>0</v>
      </c>
    </row>
    <row r="1715" spans="1:33" x14ac:dyDescent="0.2">
      <c r="A1715" s="240" t="str">
        <f t="shared" ref="A1715:A1778" si="115">B1715&amp;C1715&amp;F1715&amp;G1715&amp;I1715&amp;J1715</f>
        <v/>
      </c>
      <c r="AE1715" s="239">
        <f t="shared" si="111"/>
        <v>0</v>
      </c>
      <c r="AF1715" s="239">
        <f t="shared" si="112"/>
        <v>0</v>
      </c>
      <c r="AG1715" s="240">
        <f t="shared" si="113"/>
        <v>0</v>
      </c>
    </row>
    <row r="1716" spans="1:33" x14ac:dyDescent="0.2">
      <c r="A1716" s="240" t="str">
        <f t="shared" si="115"/>
        <v/>
      </c>
      <c r="AE1716" s="239">
        <f t="shared" si="111"/>
        <v>0</v>
      </c>
      <c r="AF1716" s="239">
        <f t="shared" si="112"/>
        <v>0</v>
      </c>
      <c r="AG1716" s="240">
        <f t="shared" si="113"/>
        <v>0</v>
      </c>
    </row>
    <row r="1717" spans="1:33" x14ac:dyDescent="0.2">
      <c r="A1717" s="240" t="str">
        <f t="shared" si="115"/>
        <v/>
      </c>
      <c r="AE1717" s="239">
        <f t="shared" si="111"/>
        <v>0</v>
      </c>
      <c r="AF1717" s="239">
        <f t="shared" si="112"/>
        <v>0</v>
      </c>
      <c r="AG1717" s="240">
        <f t="shared" si="113"/>
        <v>0</v>
      </c>
    </row>
    <row r="1718" spans="1:33" x14ac:dyDescent="0.2">
      <c r="A1718" s="240" t="str">
        <f t="shared" si="115"/>
        <v/>
      </c>
      <c r="AE1718" s="239">
        <f t="shared" si="111"/>
        <v>0</v>
      </c>
      <c r="AF1718" s="239">
        <f t="shared" si="112"/>
        <v>0</v>
      </c>
      <c r="AG1718" s="240">
        <f t="shared" si="113"/>
        <v>0</v>
      </c>
    </row>
    <row r="1719" spans="1:33" x14ac:dyDescent="0.2">
      <c r="A1719" s="240" t="str">
        <f t="shared" si="115"/>
        <v/>
      </c>
      <c r="AE1719" s="239">
        <f t="shared" si="111"/>
        <v>0</v>
      </c>
      <c r="AF1719" s="239">
        <f t="shared" si="112"/>
        <v>0</v>
      </c>
      <c r="AG1719" s="240">
        <f t="shared" si="113"/>
        <v>0</v>
      </c>
    </row>
    <row r="1720" spans="1:33" x14ac:dyDescent="0.2">
      <c r="A1720" s="240" t="str">
        <f t="shared" si="115"/>
        <v/>
      </c>
      <c r="AE1720" s="239">
        <f t="shared" si="111"/>
        <v>0</v>
      </c>
      <c r="AF1720" s="239">
        <f t="shared" si="112"/>
        <v>0</v>
      </c>
      <c r="AG1720" s="240">
        <f t="shared" si="113"/>
        <v>0</v>
      </c>
    </row>
    <row r="1721" spans="1:33" x14ac:dyDescent="0.2">
      <c r="A1721" s="240" t="str">
        <f t="shared" si="115"/>
        <v/>
      </c>
      <c r="AE1721" s="239">
        <f t="shared" si="111"/>
        <v>0</v>
      </c>
      <c r="AF1721" s="239">
        <f t="shared" si="112"/>
        <v>0</v>
      </c>
      <c r="AG1721" s="240">
        <f t="shared" si="113"/>
        <v>0</v>
      </c>
    </row>
    <row r="1722" spans="1:33" x14ac:dyDescent="0.2">
      <c r="A1722" s="240" t="str">
        <f t="shared" si="115"/>
        <v/>
      </c>
      <c r="AE1722" s="239">
        <f t="shared" si="111"/>
        <v>0</v>
      </c>
      <c r="AF1722" s="239">
        <f t="shared" si="112"/>
        <v>0</v>
      </c>
      <c r="AG1722" s="240">
        <f t="shared" si="113"/>
        <v>0</v>
      </c>
    </row>
    <row r="1723" spans="1:33" x14ac:dyDescent="0.2">
      <c r="A1723" s="240" t="str">
        <f t="shared" si="115"/>
        <v/>
      </c>
      <c r="AE1723" s="239">
        <f t="shared" si="111"/>
        <v>0</v>
      </c>
      <c r="AF1723" s="239">
        <f t="shared" si="112"/>
        <v>0</v>
      </c>
      <c r="AG1723" s="240">
        <f t="shared" si="113"/>
        <v>0</v>
      </c>
    </row>
    <row r="1724" spans="1:33" x14ac:dyDescent="0.2">
      <c r="A1724" s="240" t="str">
        <f t="shared" si="115"/>
        <v/>
      </c>
      <c r="AE1724" s="239">
        <f t="shared" si="111"/>
        <v>0</v>
      </c>
      <c r="AF1724" s="239">
        <f t="shared" si="112"/>
        <v>0</v>
      </c>
      <c r="AG1724" s="240">
        <f t="shared" si="113"/>
        <v>0</v>
      </c>
    </row>
    <row r="1725" spans="1:33" x14ac:dyDescent="0.2">
      <c r="A1725" s="240" t="str">
        <f t="shared" si="115"/>
        <v/>
      </c>
      <c r="AE1725" s="239">
        <f t="shared" si="111"/>
        <v>0</v>
      </c>
      <c r="AF1725" s="239">
        <f t="shared" si="112"/>
        <v>0</v>
      </c>
      <c r="AG1725" s="240">
        <f t="shared" si="113"/>
        <v>0</v>
      </c>
    </row>
    <row r="1726" spans="1:33" x14ac:dyDescent="0.2">
      <c r="A1726" s="240" t="str">
        <f t="shared" si="115"/>
        <v/>
      </c>
      <c r="AE1726" s="239">
        <f t="shared" si="111"/>
        <v>0</v>
      </c>
      <c r="AF1726" s="239">
        <f t="shared" si="112"/>
        <v>0</v>
      </c>
      <c r="AG1726" s="240">
        <f t="shared" si="113"/>
        <v>0</v>
      </c>
    </row>
    <row r="1727" spans="1:33" x14ac:dyDescent="0.2">
      <c r="A1727" s="240" t="str">
        <f t="shared" si="115"/>
        <v/>
      </c>
      <c r="AE1727" s="239">
        <f t="shared" si="111"/>
        <v>0</v>
      </c>
      <c r="AF1727" s="239">
        <f t="shared" si="112"/>
        <v>0</v>
      </c>
      <c r="AG1727" s="240">
        <f t="shared" si="113"/>
        <v>0</v>
      </c>
    </row>
    <row r="1728" spans="1:33" x14ac:dyDescent="0.2">
      <c r="A1728" s="240" t="str">
        <f t="shared" si="115"/>
        <v/>
      </c>
      <c r="AE1728" s="239">
        <f t="shared" si="111"/>
        <v>0</v>
      </c>
      <c r="AF1728" s="239">
        <f t="shared" si="112"/>
        <v>0</v>
      </c>
      <c r="AG1728" s="240">
        <f t="shared" si="113"/>
        <v>0</v>
      </c>
    </row>
    <row r="1729" spans="1:33" x14ac:dyDescent="0.2">
      <c r="A1729" s="240" t="str">
        <f t="shared" si="115"/>
        <v/>
      </c>
      <c r="AE1729" s="239">
        <f t="shared" si="111"/>
        <v>0</v>
      </c>
      <c r="AF1729" s="239">
        <f t="shared" si="112"/>
        <v>0</v>
      </c>
      <c r="AG1729" s="240">
        <f t="shared" si="113"/>
        <v>0</v>
      </c>
    </row>
    <row r="1730" spans="1:33" x14ac:dyDescent="0.2">
      <c r="A1730" s="240" t="str">
        <f t="shared" si="115"/>
        <v/>
      </c>
      <c r="AE1730" s="239">
        <f t="shared" si="111"/>
        <v>0</v>
      </c>
      <c r="AF1730" s="239">
        <f t="shared" si="112"/>
        <v>0</v>
      </c>
      <c r="AG1730" s="240">
        <f t="shared" si="113"/>
        <v>0</v>
      </c>
    </row>
    <row r="1731" spans="1:33" x14ac:dyDescent="0.2">
      <c r="A1731" s="240" t="str">
        <f t="shared" si="115"/>
        <v/>
      </c>
      <c r="AE1731" s="239">
        <f t="shared" si="111"/>
        <v>0</v>
      </c>
      <c r="AF1731" s="239">
        <f t="shared" si="112"/>
        <v>0</v>
      </c>
      <c r="AG1731" s="240">
        <f t="shared" si="113"/>
        <v>0</v>
      </c>
    </row>
    <row r="1732" spans="1:33" x14ac:dyDescent="0.2">
      <c r="A1732" s="240" t="str">
        <f t="shared" si="115"/>
        <v/>
      </c>
      <c r="AE1732" s="239">
        <f t="shared" si="111"/>
        <v>0</v>
      </c>
      <c r="AF1732" s="239">
        <f t="shared" si="112"/>
        <v>0</v>
      </c>
      <c r="AG1732" s="240">
        <f t="shared" si="113"/>
        <v>0</v>
      </c>
    </row>
    <row r="1733" spans="1:33" x14ac:dyDescent="0.2">
      <c r="A1733" s="240" t="str">
        <f t="shared" si="115"/>
        <v/>
      </c>
      <c r="AE1733" s="239">
        <f t="shared" si="111"/>
        <v>0</v>
      </c>
      <c r="AF1733" s="239">
        <f t="shared" si="112"/>
        <v>0</v>
      </c>
      <c r="AG1733" s="240">
        <f t="shared" si="113"/>
        <v>0</v>
      </c>
    </row>
    <row r="1734" spans="1:33" x14ac:dyDescent="0.2">
      <c r="A1734" s="240" t="str">
        <f t="shared" si="115"/>
        <v/>
      </c>
      <c r="AE1734" s="239">
        <f t="shared" si="111"/>
        <v>0</v>
      </c>
      <c r="AF1734" s="239">
        <f t="shared" si="112"/>
        <v>0</v>
      </c>
      <c r="AG1734" s="240">
        <f t="shared" si="113"/>
        <v>0</v>
      </c>
    </row>
    <row r="1735" spans="1:33" x14ac:dyDescent="0.2">
      <c r="A1735" s="240" t="str">
        <f t="shared" si="115"/>
        <v/>
      </c>
      <c r="AE1735" s="239">
        <f t="shared" si="111"/>
        <v>0</v>
      </c>
      <c r="AF1735" s="239">
        <f t="shared" si="112"/>
        <v>0</v>
      </c>
      <c r="AG1735" s="240">
        <f t="shared" si="113"/>
        <v>0</v>
      </c>
    </row>
    <row r="1736" spans="1:33" x14ac:dyDescent="0.2">
      <c r="A1736" s="240" t="str">
        <f t="shared" si="115"/>
        <v/>
      </c>
      <c r="AE1736" s="239">
        <f t="shared" si="111"/>
        <v>0</v>
      </c>
      <c r="AF1736" s="239">
        <f t="shared" si="112"/>
        <v>0</v>
      </c>
      <c r="AG1736" s="240">
        <f t="shared" si="113"/>
        <v>0</v>
      </c>
    </row>
    <row r="1737" spans="1:33" x14ac:dyDescent="0.2">
      <c r="A1737" s="240" t="str">
        <f t="shared" si="115"/>
        <v/>
      </c>
      <c r="AE1737" s="239">
        <f t="shared" si="111"/>
        <v>0</v>
      </c>
      <c r="AF1737" s="239">
        <f t="shared" si="112"/>
        <v>0</v>
      </c>
      <c r="AG1737" s="240">
        <f t="shared" si="113"/>
        <v>0</v>
      </c>
    </row>
    <row r="1738" spans="1:33" x14ac:dyDescent="0.2">
      <c r="A1738" s="240" t="str">
        <f t="shared" si="115"/>
        <v/>
      </c>
      <c r="AE1738" s="239">
        <f t="shared" si="111"/>
        <v>0</v>
      </c>
      <c r="AF1738" s="239">
        <f t="shared" si="112"/>
        <v>0</v>
      </c>
      <c r="AG1738" s="240">
        <f t="shared" si="113"/>
        <v>0</v>
      </c>
    </row>
    <row r="1739" spans="1:33" x14ac:dyDescent="0.2">
      <c r="A1739" s="240" t="str">
        <f t="shared" si="115"/>
        <v/>
      </c>
      <c r="AE1739" s="239">
        <f t="shared" si="111"/>
        <v>0</v>
      </c>
      <c r="AF1739" s="239">
        <f t="shared" si="112"/>
        <v>0</v>
      </c>
      <c r="AG1739" s="240">
        <f t="shared" si="113"/>
        <v>0</v>
      </c>
    </row>
    <row r="1740" spans="1:33" x14ac:dyDescent="0.2">
      <c r="A1740" s="240" t="str">
        <f t="shared" si="115"/>
        <v/>
      </c>
      <c r="AE1740" s="239">
        <f t="shared" si="111"/>
        <v>0</v>
      </c>
      <c r="AF1740" s="239">
        <f t="shared" si="112"/>
        <v>0</v>
      </c>
      <c r="AG1740" s="240">
        <f t="shared" si="113"/>
        <v>0</v>
      </c>
    </row>
    <row r="1741" spans="1:33" x14ac:dyDescent="0.2">
      <c r="A1741" s="240" t="str">
        <f t="shared" si="115"/>
        <v/>
      </c>
      <c r="AE1741" s="239">
        <f t="shared" si="111"/>
        <v>0</v>
      </c>
      <c r="AF1741" s="239">
        <f t="shared" si="112"/>
        <v>0</v>
      </c>
      <c r="AG1741" s="240">
        <f t="shared" si="113"/>
        <v>0</v>
      </c>
    </row>
    <row r="1742" spans="1:33" x14ac:dyDescent="0.2">
      <c r="A1742" s="240" t="str">
        <f t="shared" si="115"/>
        <v/>
      </c>
      <c r="AE1742" s="239">
        <f t="shared" si="111"/>
        <v>0</v>
      </c>
      <c r="AF1742" s="239">
        <f t="shared" si="112"/>
        <v>0</v>
      </c>
      <c r="AG1742" s="240">
        <f t="shared" si="113"/>
        <v>0</v>
      </c>
    </row>
    <row r="1743" spans="1:33" x14ac:dyDescent="0.2">
      <c r="A1743" s="240" t="str">
        <f t="shared" si="115"/>
        <v/>
      </c>
      <c r="AE1743" s="239">
        <f t="shared" ref="AE1743:AE1761" si="116">SUM(T1743:W1743)</f>
        <v>0</v>
      </c>
      <c r="AF1743" s="239">
        <f t="shared" ref="AF1743:AF1761" si="117">SUM(Z1743:AA1743)</f>
        <v>0</v>
      </c>
      <c r="AG1743" s="240">
        <f t="shared" ref="AG1743:AG1761" si="118">+L1743-SUM(Z1743:AA1743)</f>
        <v>0</v>
      </c>
    </row>
    <row r="1744" spans="1:33" x14ac:dyDescent="0.2">
      <c r="A1744" s="240" t="str">
        <f t="shared" si="115"/>
        <v/>
      </c>
      <c r="AE1744" s="239">
        <f t="shared" si="116"/>
        <v>0</v>
      </c>
      <c r="AF1744" s="239">
        <f t="shared" si="117"/>
        <v>0</v>
      </c>
      <c r="AG1744" s="240">
        <f t="shared" si="118"/>
        <v>0</v>
      </c>
    </row>
    <row r="1745" spans="1:33" x14ac:dyDescent="0.2">
      <c r="A1745" s="240" t="str">
        <f t="shared" si="115"/>
        <v/>
      </c>
      <c r="AE1745" s="239">
        <f t="shared" si="116"/>
        <v>0</v>
      </c>
      <c r="AF1745" s="239">
        <f t="shared" si="117"/>
        <v>0</v>
      </c>
      <c r="AG1745" s="240">
        <f t="shared" si="118"/>
        <v>0</v>
      </c>
    </row>
    <row r="1746" spans="1:33" x14ac:dyDescent="0.2">
      <c r="A1746" s="240" t="str">
        <f t="shared" si="115"/>
        <v/>
      </c>
      <c r="AE1746" s="239">
        <f t="shared" si="116"/>
        <v>0</v>
      </c>
      <c r="AF1746" s="239">
        <f t="shared" si="117"/>
        <v>0</v>
      </c>
      <c r="AG1746" s="240">
        <f t="shared" si="118"/>
        <v>0</v>
      </c>
    </row>
    <row r="1747" spans="1:33" x14ac:dyDescent="0.2">
      <c r="A1747" s="240" t="str">
        <f t="shared" si="115"/>
        <v/>
      </c>
      <c r="AE1747" s="239">
        <f t="shared" si="116"/>
        <v>0</v>
      </c>
      <c r="AF1747" s="239">
        <f t="shared" si="117"/>
        <v>0</v>
      </c>
      <c r="AG1747" s="240">
        <f t="shared" si="118"/>
        <v>0</v>
      </c>
    </row>
    <row r="1748" spans="1:33" x14ac:dyDescent="0.2">
      <c r="A1748" s="240" t="str">
        <f t="shared" si="115"/>
        <v/>
      </c>
      <c r="AE1748" s="239">
        <f t="shared" si="116"/>
        <v>0</v>
      </c>
      <c r="AF1748" s="239">
        <f t="shared" si="117"/>
        <v>0</v>
      </c>
      <c r="AG1748" s="240">
        <f t="shared" si="118"/>
        <v>0</v>
      </c>
    </row>
    <row r="1749" spans="1:33" x14ac:dyDescent="0.2">
      <c r="A1749" s="240" t="str">
        <f t="shared" si="115"/>
        <v/>
      </c>
      <c r="AE1749" s="239">
        <f t="shared" si="116"/>
        <v>0</v>
      </c>
      <c r="AF1749" s="239">
        <f t="shared" si="117"/>
        <v>0</v>
      </c>
      <c r="AG1749" s="240">
        <f t="shared" si="118"/>
        <v>0</v>
      </c>
    </row>
    <row r="1750" spans="1:33" x14ac:dyDescent="0.2">
      <c r="A1750" s="240" t="str">
        <f t="shared" si="115"/>
        <v/>
      </c>
      <c r="AE1750" s="239">
        <f t="shared" si="116"/>
        <v>0</v>
      </c>
      <c r="AF1750" s="239">
        <f t="shared" si="117"/>
        <v>0</v>
      </c>
      <c r="AG1750" s="240">
        <f t="shared" si="118"/>
        <v>0</v>
      </c>
    </row>
    <row r="1751" spans="1:33" x14ac:dyDescent="0.2">
      <c r="A1751" s="240" t="str">
        <f t="shared" si="115"/>
        <v/>
      </c>
      <c r="AE1751" s="239">
        <f t="shared" si="116"/>
        <v>0</v>
      </c>
      <c r="AF1751" s="239">
        <f t="shared" si="117"/>
        <v>0</v>
      </c>
      <c r="AG1751" s="240">
        <f t="shared" si="118"/>
        <v>0</v>
      </c>
    </row>
    <row r="1752" spans="1:33" x14ac:dyDescent="0.2">
      <c r="A1752" s="240" t="str">
        <f t="shared" si="115"/>
        <v/>
      </c>
      <c r="AE1752" s="239">
        <f t="shared" si="116"/>
        <v>0</v>
      </c>
      <c r="AF1752" s="239">
        <f t="shared" si="117"/>
        <v>0</v>
      </c>
      <c r="AG1752" s="240">
        <f t="shared" si="118"/>
        <v>0</v>
      </c>
    </row>
    <row r="1753" spans="1:33" x14ac:dyDescent="0.2">
      <c r="A1753" s="240" t="str">
        <f t="shared" si="115"/>
        <v/>
      </c>
      <c r="AE1753" s="239">
        <f t="shared" si="116"/>
        <v>0</v>
      </c>
      <c r="AF1753" s="239">
        <f t="shared" si="117"/>
        <v>0</v>
      </c>
      <c r="AG1753" s="240">
        <f t="shared" si="118"/>
        <v>0</v>
      </c>
    </row>
    <row r="1754" spans="1:33" x14ac:dyDescent="0.2">
      <c r="A1754" s="240" t="str">
        <f t="shared" si="115"/>
        <v/>
      </c>
      <c r="AE1754" s="239">
        <f t="shared" si="116"/>
        <v>0</v>
      </c>
      <c r="AF1754" s="239">
        <f t="shared" si="117"/>
        <v>0</v>
      </c>
      <c r="AG1754" s="240">
        <f t="shared" si="118"/>
        <v>0</v>
      </c>
    </row>
    <row r="1755" spans="1:33" x14ac:dyDescent="0.2">
      <c r="A1755" s="240" t="str">
        <f t="shared" si="115"/>
        <v/>
      </c>
      <c r="AE1755" s="239">
        <f t="shared" si="116"/>
        <v>0</v>
      </c>
      <c r="AF1755" s="239">
        <f t="shared" si="117"/>
        <v>0</v>
      </c>
      <c r="AG1755" s="240">
        <f t="shared" si="118"/>
        <v>0</v>
      </c>
    </row>
    <row r="1756" spans="1:33" x14ac:dyDescent="0.2">
      <c r="A1756" s="240" t="str">
        <f t="shared" si="115"/>
        <v/>
      </c>
      <c r="AE1756" s="239">
        <f t="shared" si="116"/>
        <v>0</v>
      </c>
      <c r="AF1756" s="239">
        <f t="shared" si="117"/>
        <v>0</v>
      </c>
      <c r="AG1756" s="240">
        <f t="shared" si="118"/>
        <v>0</v>
      </c>
    </row>
    <row r="1757" spans="1:33" x14ac:dyDescent="0.2">
      <c r="A1757" s="240" t="str">
        <f t="shared" si="115"/>
        <v/>
      </c>
      <c r="AE1757" s="239">
        <f t="shared" si="116"/>
        <v>0</v>
      </c>
      <c r="AF1757" s="239">
        <f t="shared" si="117"/>
        <v>0</v>
      </c>
      <c r="AG1757" s="240">
        <f t="shared" si="118"/>
        <v>0</v>
      </c>
    </row>
    <row r="1758" spans="1:33" x14ac:dyDescent="0.2">
      <c r="A1758" s="240" t="str">
        <f t="shared" si="115"/>
        <v/>
      </c>
      <c r="AE1758" s="239">
        <f t="shared" si="116"/>
        <v>0</v>
      </c>
      <c r="AF1758" s="239">
        <f t="shared" si="117"/>
        <v>0</v>
      </c>
      <c r="AG1758" s="240">
        <f t="shared" si="118"/>
        <v>0</v>
      </c>
    </row>
    <row r="1759" spans="1:33" x14ac:dyDescent="0.2">
      <c r="A1759" s="240" t="str">
        <f t="shared" si="115"/>
        <v/>
      </c>
      <c r="AE1759" s="239">
        <f t="shared" si="116"/>
        <v>0</v>
      </c>
      <c r="AF1759" s="239">
        <f t="shared" si="117"/>
        <v>0</v>
      </c>
      <c r="AG1759" s="240">
        <f t="shared" si="118"/>
        <v>0</v>
      </c>
    </row>
    <row r="1760" spans="1:33" x14ac:dyDescent="0.2">
      <c r="A1760" s="240" t="str">
        <f t="shared" si="115"/>
        <v/>
      </c>
      <c r="AE1760" s="239">
        <f t="shared" si="116"/>
        <v>0</v>
      </c>
      <c r="AF1760" s="239">
        <f t="shared" si="117"/>
        <v>0</v>
      </c>
      <c r="AG1760" s="240">
        <f t="shared" si="118"/>
        <v>0</v>
      </c>
    </row>
    <row r="1761" spans="1:33" x14ac:dyDescent="0.2">
      <c r="A1761" s="240" t="str">
        <f t="shared" si="115"/>
        <v/>
      </c>
      <c r="AE1761" s="239">
        <f t="shared" si="116"/>
        <v>0</v>
      </c>
      <c r="AF1761" s="239">
        <f t="shared" si="117"/>
        <v>0</v>
      </c>
      <c r="AG1761" s="240">
        <f t="shared" si="118"/>
        <v>0</v>
      </c>
    </row>
    <row r="1762" spans="1:33" x14ac:dyDescent="0.2">
      <c r="A1762" s="240" t="str">
        <f t="shared" si="115"/>
        <v/>
      </c>
    </row>
    <row r="1763" spans="1:33" x14ac:dyDescent="0.2">
      <c r="A1763" s="240" t="str">
        <f t="shared" si="115"/>
        <v/>
      </c>
    </row>
    <row r="1764" spans="1:33" x14ac:dyDescent="0.2">
      <c r="A1764" s="240" t="str">
        <f t="shared" si="115"/>
        <v/>
      </c>
    </row>
    <row r="1765" spans="1:33" x14ac:dyDescent="0.2">
      <c r="A1765" s="240" t="str">
        <f t="shared" si="115"/>
        <v/>
      </c>
    </row>
    <row r="1766" spans="1:33" x14ac:dyDescent="0.2">
      <c r="A1766" s="240" t="str">
        <f t="shared" si="115"/>
        <v/>
      </c>
    </row>
    <row r="1767" spans="1:33" x14ac:dyDescent="0.2">
      <c r="A1767" s="240" t="str">
        <f t="shared" si="115"/>
        <v/>
      </c>
    </row>
    <row r="1768" spans="1:33" x14ac:dyDescent="0.2">
      <c r="A1768" s="240" t="str">
        <f t="shared" si="115"/>
        <v/>
      </c>
    </row>
    <row r="1769" spans="1:33" x14ac:dyDescent="0.2">
      <c r="A1769" s="240" t="str">
        <f t="shared" si="115"/>
        <v/>
      </c>
    </row>
    <row r="1770" spans="1:33" x14ac:dyDescent="0.2">
      <c r="A1770" s="240" t="str">
        <f t="shared" si="115"/>
        <v/>
      </c>
    </row>
    <row r="1771" spans="1:33" x14ac:dyDescent="0.2">
      <c r="A1771" s="240" t="str">
        <f t="shared" si="115"/>
        <v/>
      </c>
    </row>
    <row r="1772" spans="1:33" x14ac:dyDescent="0.2">
      <c r="A1772" s="240" t="str">
        <f t="shared" si="115"/>
        <v/>
      </c>
    </row>
    <row r="1773" spans="1:33" x14ac:dyDescent="0.2">
      <c r="A1773" s="240" t="str">
        <f t="shared" si="115"/>
        <v/>
      </c>
    </row>
    <row r="1774" spans="1:33" x14ac:dyDescent="0.2">
      <c r="A1774" s="240" t="str">
        <f t="shared" si="115"/>
        <v/>
      </c>
    </row>
    <row r="1775" spans="1:33" x14ac:dyDescent="0.2">
      <c r="A1775" s="240" t="str">
        <f t="shared" si="115"/>
        <v/>
      </c>
    </row>
    <row r="1776" spans="1:33" x14ac:dyDescent="0.2">
      <c r="A1776" s="240" t="str">
        <f t="shared" si="115"/>
        <v/>
      </c>
    </row>
    <row r="1777" spans="1:1" x14ac:dyDescent="0.2">
      <c r="A1777" s="240" t="str">
        <f t="shared" si="115"/>
        <v/>
      </c>
    </row>
    <row r="1778" spans="1:1" x14ac:dyDescent="0.2">
      <c r="A1778" s="240" t="str">
        <f t="shared" si="115"/>
        <v/>
      </c>
    </row>
    <row r="1779" spans="1:1" x14ac:dyDescent="0.2">
      <c r="A1779" s="240" t="str">
        <f t="shared" ref="A1779:A1842" si="119">B1779&amp;C1779&amp;F1779&amp;G1779&amp;I1779&amp;J1779</f>
        <v/>
      </c>
    </row>
    <row r="1780" spans="1:1" x14ac:dyDescent="0.2">
      <c r="A1780" s="240" t="str">
        <f t="shared" si="119"/>
        <v/>
      </c>
    </row>
    <row r="1781" spans="1:1" x14ac:dyDescent="0.2">
      <c r="A1781" s="240" t="str">
        <f t="shared" si="119"/>
        <v/>
      </c>
    </row>
    <row r="1782" spans="1:1" x14ac:dyDescent="0.2">
      <c r="A1782" s="240" t="str">
        <f t="shared" si="119"/>
        <v/>
      </c>
    </row>
    <row r="1783" spans="1:1" x14ac:dyDescent="0.2">
      <c r="A1783" s="240" t="str">
        <f t="shared" si="119"/>
        <v/>
      </c>
    </row>
    <row r="1784" spans="1:1" x14ac:dyDescent="0.2">
      <c r="A1784" s="240" t="str">
        <f t="shared" si="119"/>
        <v/>
      </c>
    </row>
    <row r="1785" spans="1:1" x14ac:dyDescent="0.2">
      <c r="A1785" s="240" t="str">
        <f t="shared" si="119"/>
        <v/>
      </c>
    </row>
    <row r="1786" spans="1:1" x14ac:dyDescent="0.2">
      <c r="A1786" s="240" t="str">
        <f t="shared" si="119"/>
        <v/>
      </c>
    </row>
    <row r="1787" spans="1:1" x14ac:dyDescent="0.2">
      <c r="A1787" s="240" t="str">
        <f t="shared" si="119"/>
        <v/>
      </c>
    </row>
    <row r="1788" spans="1:1" x14ac:dyDescent="0.2">
      <c r="A1788" s="240" t="str">
        <f t="shared" si="119"/>
        <v/>
      </c>
    </row>
    <row r="1789" spans="1:1" x14ac:dyDescent="0.2">
      <c r="A1789" s="240" t="str">
        <f t="shared" si="119"/>
        <v/>
      </c>
    </row>
    <row r="1790" spans="1:1" x14ac:dyDescent="0.2">
      <c r="A1790" s="240" t="str">
        <f t="shared" si="119"/>
        <v/>
      </c>
    </row>
    <row r="1791" spans="1:1" x14ac:dyDescent="0.2">
      <c r="A1791" s="240" t="str">
        <f t="shared" si="119"/>
        <v/>
      </c>
    </row>
    <row r="1792" spans="1:1" x14ac:dyDescent="0.2">
      <c r="A1792" s="240" t="str">
        <f t="shared" si="119"/>
        <v/>
      </c>
    </row>
    <row r="1793" spans="1:1" x14ac:dyDescent="0.2">
      <c r="A1793" s="240" t="str">
        <f t="shared" si="119"/>
        <v/>
      </c>
    </row>
    <row r="1794" spans="1:1" x14ac:dyDescent="0.2">
      <c r="A1794" s="240" t="str">
        <f t="shared" si="119"/>
        <v/>
      </c>
    </row>
    <row r="1795" spans="1:1" x14ac:dyDescent="0.2">
      <c r="A1795" s="240" t="str">
        <f t="shared" si="119"/>
        <v/>
      </c>
    </row>
    <row r="1796" spans="1:1" x14ac:dyDescent="0.2">
      <c r="A1796" s="240" t="str">
        <f t="shared" si="119"/>
        <v/>
      </c>
    </row>
    <row r="1797" spans="1:1" x14ac:dyDescent="0.2">
      <c r="A1797" s="240" t="str">
        <f t="shared" si="119"/>
        <v/>
      </c>
    </row>
    <row r="1798" spans="1:1" x14ac:dyDescent="0.2">
      <c r="A1798" s="240" t="str">
        <f t="shared" si="119"/>
        <v/>
      </c>
    </row>
    <row r="1799" spans="1:1" x14ac:dyDescent="0.2">
      <c r="A1799" s="240" t="str">
        <f t="shared" si="119"/>
        <v/>
      </c>
    </row>
    <row r="1800" spans="1:1" x14ac:dyDescent="0.2">
      <c r="A1800" s="240" t="str">
        <f t="shared" si="119"/>
        <v/>
      </c>
    </row>
    <row r="1801" spans="1:1" x14ac:dyDescent="0.2">
      <c r="A1801" s="240" t="str">
        <f t="shared" si="119"/>
        <v/>
      </c>
    </row>
    <row r="1802" spans="1:1" x14ac:dyDescent="0.2">
      <c r="A1802" s="240" t="str">
        <f t="shared" si="119"/>
        <v/>
      </c>
    </row>
    <row r="1803" spans="1:1" x14ac:dyDescent="0.2">
      <c r="A1803" s="240" t="str">
        <f t="shared" si="119"/>
        <v/>
      </c>
    </row>
    <row r="1804" spans="1:1" x14ac:dyDescent="0.2">
      <c r="A1804" s="240" t="str">
        <f t="shared" si="119"/>
        <v/>
      </c>
    </row>
    <row r="1805" spans="1:1" x14ac:dyDescent="0.2">
      <c r="A1805" s="240" t="str">
        <f t="shared" si="119"/>
        <v/>
      </c>
    </row>
    <row r="1806" spans="1:1" x14ac:dyDescent="0.2">
      <c r="A1806" s="240" t="str">
        <f t="shared" si="119"/>
        <v/>
      </c>
    </row>
    <row r="1807" spans="1:1" x14ac:dyDescent="0.2">
      <c r="A1807" s="240" t="str">
        <f t="shared" si="119"/>
        <v/>
      </c>
    </row>
    <row r="1808" spans="1:1" x14ac:dyDescent="0.2">
      <c r="A1808" s="240" t="str">
        <f t="shared" si="119"/>
        <v/>
      </c>
    </row>
    <row r="1809" spans="1:1" x14ac:dyDescent="0.2">
      <c r="A1809" s="240" t="str">
        <f t="shared" si="119"/>
        <v/>
      </c>
    </row>
    <row r="1810" spans="1:1" x14ac:dyDescent="0.2">
      <c r="A1810" s="240" t="str">
        <f t="shared" si="119"/>
        <v/>
      </c>
    </row>
    <row r="1811" spans="1:1" x14ac:dyDescent="0.2">
      <c r="A1811" s="240" t="str">
        <f t="shared" si="119"/>
        <v/>
      </c>
    </row>
    <row r="1812" spans="1:1" x14ac:dyDescent="0.2">
      <c r="A1812" s="240" t="str">
        <f t="shared" si="119"/>
        <v/>
      </c>
    </row>
    <row r="1813" spans="1:1" x14ac:dyDescent="0.2">
      <c r="A1813" s="240" t="str">
        <f t="shared" si="119"/>
        <v/>
      </c>
    </row>
    <row r="1814" spans="1:1" x14ac:dyDescent="0.2">
      <c r="A1814" s="240" t="str">
        <f t="shared" si="119"/>
        <v/>
      </c>
    </row>
    <row r="1815" spans="1:1" x14ac:dyDescent="0.2">
      <c r="A1815" s="240" t="str">
        <f t="shared" si="119"/>
        <v/>
      </c>
    </row>
    <row r="1816" spans="1:1" x14ac:dyDescent="0.2">
      <c r="A1816" s="240" t="str">
        <f t="shared" si="119"/>
        <v/>
      </c>
    </row>
    <row r="1817" spans="1:1" x14ac:dyDescent="0.2">
      <c r="A1817" s="240" t="str">
        <f t="shared" si="119"/>
        <v/>
      </c>
    </row>
    <row r="1818" spans="1:1" x14ac:dyDescent="0.2">
      <c r="A1818" s="240" t="str">
        <f t="shared" si="119"/>
        <v/>
      </c>
    </row>
    <row r="1819" spans="1:1" x14ac:dyDescent="0.2">
      <c r="A1819" s="240" t="str">
        <f t="shared" si="119"/>
        <v/>
      </c>
    </row>
    <row r="1820" spans="1:1" x14ac:dyDescent="0.2">
      <c r="A1820" s="240" t="str">
        <f t="shared" si="119"/>
        <v/>
      </c>
    </row>
    <row r="1821" spans="1:1" x14ac:dyDescent="0.2">
      <c r="A1821" s="240" t="str">
        <f t="shared" si="119"/>
        <v/>
      </c>
    </row>
    <row r="1822" spans="1:1" x14ac:dyDescent="0.2">
      <c r="A1822" s="240" t="str">
        <f t="shared" si="119"/>
        <v/>
      </c>
    </row>
    <row r="1823" spans="1:1" x14ac:dyDescent="0.2">
      <c r="A1823" s="240" t="str">
        <f t="shared" si="119"/>
        <v/>
      </c>
    </row>
    <row r="1824" spans="1:1" x14ac:dyDescent="0.2">
      <c r="A1824" s="240" t="str">
        <f t="shared" si="119"/>
        <v/>
      </c>
    </row>
    <row r="1825" spans="1:1" x14ac:dyDescent="0.2">
      <c r="A1825" s="240" t="str">
        <f t="shared" si="119"/>
        <v/>
      </c>
    </row>
    <row r="1826" spans="1:1" x14ac:dyDescent="0.2">
      <c r="A1826" s="240" t="str">
        <f t="shared" si="119"/>
        <v/>
      </c>
    </row>
    <row r="1827" spans="1:1" x14ac:dyDescent="0.2">
      <c r="A1827" s="240" t="str">
        <f t="shared" si="119"/>
        <v/>
      </c>
    </row>
    <row r="1828" spans="1:1" x14ac:dyDescent="0.2">
      <c r="A1828" s="240" t="str">
        <f t="shared" si="119"/>
        <v/>
      </c>
    </row>
    <row r="1829" spans="1:1" x14ac:dyDescent="0.2">
      <c r="A1829" s="240" t="str">
        <f t="shared" si="119"/>
        <v/>
      </c>
    </row>
    <row r="1830" spans="1:1" x14ac:dyDescent="0.2">
      <c r="A1830" s="240" t="str">
        <f t="shared" si="119"/>
        <v/>
      </c>
    </row>
    <row r="1831" spans="1:1" x14ac:dyDescent="0.2">
      <c r="A1831" s="240" t="str">
        <f t="shared" si="119"/>
        <v/>
      </c>
    </row>
    <row r="1832" spans="1:1" x14ac:dyDescent="0.2">
      <c r="A1832" s="240" t="str">
        <f t="shared" si="119"/>
        <v/>
      </c>
    </row>
    <row r="1833" spans="1:1" x14ac:dyDescent="0.2">
      <c r="A1833" s="240" t="str">
        <f t="shared" si="119"/>
        <v/>
      </c>
    </row>
    <row r="1834" spans="1:1" x14ac:dyDescent="0.2">
      <c r="A1834" s="240" t="str">
        <f t="shared" si="119"/>
        <v/>
      </c>
    </row>
    <row r="1835" spans="1:1" x14ac:dyDescent="0.2">
      <c r="A1835" s="240" t="str">
        <f t="shared" si="119"/>
        <v/>
      </c>
    </row>
    <row r="1836" spans="1:1" x14ac:dyDescent="0.2">
      <c r="A1836" s="240" t="str">
        <f t="shared" si="119"/>
        <v/>
      </c>
    </row>
    <row r="1837" spans="1:1" x14ac:dyDescent="0.2">
      <c r="A1837" s="240" t="str">
        <f t="shared" si="119"/>
        <v/>
      </c>
    </row>
    <row r="1838" spans="1:1" x14ac:dyDescent="0.2">
      <c r="A1838" s="240" t="str">
        <f t="shared" si="119"/>
        <v/>
      </c>
    </row>
    <row r="1839" spans="1:1" x14ac:dyDescent="0.2">
      <c r="A1839" s="240" t="str">
        <f t="shared" si="119"/>
        <v/>
      </c>
    </row>
    <row r="1840" spans="1:1" x14ac:dyDescent="0.2">
      <c r="A1840" s="240" t="str">
        <f t="shared" si="119"/>
        <v/>
      </c>
    </row>
    <row r="1841" spans="1:1" x14ac:dyDescent="0.2">
      <c r="A1841" s="240" t="str">
        <f t="shared" si="119"/>
        <v/>
      </c>
    </row>
    <row r="1842" spans="1:1" x14ac:dyDescent="0.2">
      <c r="A1842" s="240" t="str">
        <f t="shared" si="119"/>
        <v/>
      </c>
    </row>
    <row r="1843" spans="1:1" x14ac:dyDescent="0.2">
      <c r="A1843" s="240" t="str">
        <f t="shared" ref="A1843:A1906" si="120">B1843&amp;C1843&amp;F1843&amp;G1843&amp;I1843&amp;J1843</f>
        <v/>
      </c>
    </row>
    <row r="1844" spans="1:1" x14ac:dyDescent="0.2">
      <c r="A1844" s="240" t="str">
        <f t="shared" si="120"/>
        <v/>
      </c>
    </row>
    <row r="1845" spans="1:1" x14ac:dyDescent="0.2">
      <c r="A1845" s="240" t="str">
        <f t="shared" si="120"/>
        <v/>
      </c>
    </row>
    <row r="1846" spans="1:1" x14ac:dyDescent="0.2">
      <c r="A1846" s="240" t="str">
        <f t="shared" si="120"/>
        <v/>
      </c>
    </row>
    <row r="1847" spans="1:1" x14ac:dyDescent="0.2">
      <c r="A1847" s="240" t="str">
        <f t="shared" si="120"/>
        <v/>
      </c>
    </row>
    <row r="1848" spans="1:1" x14ac:dyDescent="0.2">
      <c r="A1848" s="240" t="str">
        <f t="shared" si="120"/>
        <v/>
      </c>
    </row>
    <row r="1849" spans="1:1" x14ac:dyDescent="0.2">
      <c r="A1849" s="240" t="str">
        <f t="shared" si="120"/>
        <v/>
      </c>
    </row>
    <row r="1850" spans="1:1" x14ac:dyDescent="0.2">
      <c r="A1850" s="240" t="str">
        <f t="shared" si="120"/>
        <v/>
      </c>
    </row>
    <row r="1851" spans="1:1" x14ac:dyDescent="0.2">
      <c r="A1851" s="240" t="str">
        <f t="shared" si="120"/>
        <v/>
      </c>
    </row>
    <row r="1852" spans="1:1" x14ac:dyDescent="0.2">
      <c r="A1852" s="240" t="str">
        <f t="shared" si="120"/>
        <v/>
      </c>
    </row>
    <row r="1853" spans="1:1" x14ac:dyDescent="0.2">
      <c r="A1853" s="240" t="str">
        <f t="shared" si="120"/>
        <v/>
      </c>
    </row>
    <row r="1854" spans="1:1" x14ac:dyDescent="0.2">
      <c r="A1854" s="240" t="str">
        <f t="shared" si="120"/>
        <v/>
      </c>
    </row>
    <row r="1855" spans="1:1" x14ac:dyDescent="0.2">
      <c r="A1855" s="240" t="str">
        <f t="shared" si="120"/>
        <v/>
      </c>
    </row>
    <row r="1856" spans="1:1" x14ac:dyDescent="0.2">
      <c r="A1856" s="240" t="str">
        <f t="shared" si="120"/>
        <v/>
      </c>
    </row>
    <row r="1857" spans="1:1" x14ac:dyDescent="0.2">
      <c r="A1857" s="240" t="str">
        <f t="shared" si="120"/>
        <v/>
      </c>
    </row>
    <row r="1858" spans="1:1" x14ac:dyDescent="0.2">
      <c r="A1858" s="240" t="str">
        <f t="shared" si="120"/>
        <v/>
      </c>
    </row>
    <row r="1859" spans="1:1" x14ac:dyDescent="0.2">
      <c r="A1859" s="240" t="str">
        <f t="shared" si="120"/>
        <v/>
      </c>
    </row>
    <row r="1860" spans="1:1" x14ac:dyDescent="0.2">
      <c r="A1860" s="240" t="str">
        <f t="shared" si="120"/>
        <v/>
      </c>
    </row>
    <row r="1861" spans="1:1" x14ac:dyDescent="0.2">
      <c r="A1861" s="240" t="str">
        <f t="shared" si="120"/>
        <v/>
      </c>
    </row>
    <row r="1862" spans="1:1" x14ac:dyDescent="0.2">
      <c r="A1862" s="240" t="str">
        <f t="shared" si="120"/>
        <v/>
      </c>
    </row>
    <row r="1863" spans="1:1" x14ac:dyDescent="0.2">
      <c r="A1863" s="240" t="str">
        <f t="shared" si="120"/>
        <v/>
      </c>
    </row>
    <row r="1864" spans="1:1" x14ac:dyDescent="0.2">
      <c r="A1864" s="240" t="str">
        <f t="shared" si="120"/>
        <v/>
      </c>
    </row>
    <row r="1865" spans="1:1" x14ac:dyDescent="0.2">
      <c r="A1865" s="240" t="str">
        <f t="shared" si="120"/>
        <v/>
      </c>
    </row>
    <row r="1866" spans="1:1" x14ac:dyDescent="0.2">
      <c r="A1866" s="240" t="str">
        <f t="shared" si="120"/>
        <v/>
      </c>
    </row>
    <row r="1867" spans="1:1" x14ac:dyDescent="0.2">
      <c r="A1867" s="240" t="str">
        <f t="shared" si="120"/>
        <v/>
      </c>
    </row>
    <row r="1868" spans="1:1" x14ac:dyDescent="0.2">
      <c r="A1868" s="240" t="str">
        <f t="shared" si="120"/>
        <v/>
      </c>
    </row>
    <row r="1869" spans="1:1" x14ac:dyDescent="0.2">
      <c r="A1869" s="240" t="str">
        <f t="shared" si="120"/>
        <v/>
      </c>
    </row>
    <row r="1870" spans="1:1" x14ac:dyDescent="0.2">
      <c r="A1870" s="240" t="str">
        <f t="shared" si="120"/>
        <v/>
      </c>
    </row>
    <row r="1871" spans="1:1" x14ac:dyDescent="0.2">
      <c r="A1871" s="240" t="str">
        <f t="shared" si="120"/>
        <v/>
      </c>
    </row>
    <row r="1872" spans="1:1" x14ac:dyDescent="0.2">
      <c r="A1872" s="240" t="str">
        <f t="shared" si="120"/>
        <v/>
      </c>
    </row>
    <row r="1873" spans="1:1" x14ac:dyDescent="0.2">
      <c r="A1873" s="240" t="str">
        <f t="shared" si="120"/>
        <v/>
      </c>
    </row>
    <row r="1874" spans="1:1" x14ac:dyDescent="0.2">
      <c r="A1874" s="240" t="str">
        <f t="shared" si="120"/>
        <v/>
      </c>
    </row>
    <row r="1875" spans="1:1" x14ac:dyDescent="0.2">
      <c r="A1875" s="240" t="str">
        <f t="shared" si="120"/>
        <v/>
      </c>
    </row>
    <row r="1876" spans="1:1" x14ac:dyDescent="0.2">
      <c r="A1876" s="240" t="str">
        <f t="shared" si="120"/>
        <v/>
      </c>
    </row>
    <row r="1877" spans="1:1" x14ac:dyDescent="0.2">
      <c r="A1877" s="240" t="str">
        <f t="shared" si="120"/>
        <v/>
      </c>
    </row>
    <row r="1878" spans="1:1" x14ac:dyDescent="0.2">
      <c r="A1878" s="240" t="str">
        <f t="shared" si="120"/>
        <v/>
      </c>
    </row>
    <row r="1879" spans="1:1" x14ac:dyDescent="0.2">
      <c r="A1879" s="240" t="str">
        <f t="shared" si="120"/>
        <v/>
      </c>
    </row>
    <row r="1880" spans="1:1" x14ac:dyDescent="0.2">
      <c r="A1880" s="240" t="str">
        <f t="shared" si="120"/>
        <v/>
      </c>
    </row>
    <row r="1881" spans="1:1" x14ac:dyDescent="0.2">
      <c r="A1881" s="240" t="str">
        <f t="shared" si="120"/>
        <v/>
      </c>
    </row>
    <row r="1882" spans="1:1" x14ac:dyDescent="0.2">
      <c r="A1882" s="240" t="str">
        <f t="shared" si="120"/>
        <v/>
      </c>
    </row>
    <row r="1883" spans="1:1" x14ac:dyDescent="0.2">
      <c r="A1883" s="240" t="str">
        <f t="shared" si="120"/>
        <v/>
      </c>
    </row>
    <row r="1884" spans="1:1" x14ac:dyDescent="0.2">
      <c r="A1884" s="240" t="str">
        <f t="shared" si="120"/>
        <v/>
      </c>
    </row>
    <row r="1885" spans="1:1" x14ac:dyDescent="0.2">
      <c r="A1885" s="240" t="str">
        <f t="shared" si="120"/>
        <v/>
      </c>
    </row>
    <row r="1886" spans="1:1" x14ac:dyDescent="0.2">
      <c r="A1886" s="240" t="str">
        <f t="shared" si="120"/>
        <v/>
      </c>
    </row>
    <row r="1887" spans="1:1" x14ac:dyDescent="0.2">
      <c r="A1887" s="240" t="str">
        <f t="shared" si="120"/>
        <v/>
      </c>
    </row>
    <row r="1888" spans="1:1" x14ac:dyDescent="0.2">
      <c r="A1888" s="240" t="str">
        <f t="shared" si="120"/>
        <v/>
      </c>
    </row>
    <row r="1889" spans="1:1" x14ac:dyDescent="0.2">
      <c r="A1889" s="240" t="str">
        <f t="shared" si="120"/>
        <v/>
      </c>
    </row>
    <row r="1890" spans="1:1" x14ac:dyDescent="0.2">
      <c r="A1890" s="240" t="str">
        <f t="shared" si="120"/>
        <v/>
      </c>
    </row>
    <row r="1891" spans="1:1" x14ac:dyDescent="0.2">
      <c r="A1891" s="240" t="str">
        <f t="shared" si="120"/>
        <v/>
      </c>
    </row>
    <row r="1892" spans="1:1" x14ac:dyDescent="0.2">
      <c r="A1892" s="240" t="str">
        <f t="shared" si="120"/>
        <v/>
      </c>
    </row>
    <row r="1893" spans="1:1" x14ac:dyDescent="0.2">
      <c r="A1893" s="240" t="str">
        <f t="shared" si="120"/>
        <v/>
      </c>
    </row>
    <row r="1894" spans="1:1" x14ac:dyDescent="0.2">
      <c r="A1894" s="240" t="str">
        <f t="shared" si="120"/>
        <v/>
      </c>
    </row>
    <row r="1895" spans="1:1" x14ac:dyDescent="0.2">
      <c r="A1895" s="240" t="str">
        <f t="shared" si="120"/>
        <v/>
      </c>
    </row>
    <row r="1896" spans="1:1" x14ac:dyDescent="0.2">
      <c r="A1896" s="240" t="str">
        <f t="shared" si="120"/>
        <v/>
      </c>
    </row>
    <row r="1897" spans="1:1" x14ac:dyDescent="0.2">
      <c r="A1897" s="240" t="str">
        <f t="shared" si="120"/>
        <v/>
      </c>
    </row>
    <row r="1898" spans="1:1" x14ac:dyDescent="0.2">
      <c r="A1898" s="240" t="str">
        <f t="shared" si="120"/>
        <v/>
      </c>
    </row>
    <row r="1899" spans="1:1" x14ac:dyDescent="0.2">
      <c r="A1899" s="240" t="str">
        <f t="shared" si="120"/>
        <v/>
      </c>
    </row>
    <row r="1900" spans="1:1" x14ac:dyDescent="0.2">
      <c r="A1900" s="240" t="str">
        <f t="shared" si="120"/>
        <v/>
      </c>
    </row>
    <row r="1901" spans="1:1" x14ac:dyDescent="0.2">
      <c r="A1901" s="240" t="str">
        <f t="shared" si="120"/>
        <v/>
      </c>
    </row>
    <row r="1902" spans="1:1" x14ac:dyDescent="0.2">
      <c r="A1902" s="240" t="str">
        <f t="shared" si="120"/>
        <v/>
      </c>
    </row>
    <row r="1903" spans="1:1" x14ac:dyDescent="0.2">
      <c r="A1903" s="240" t="str">
        <f t="shared" si="120"/>
        <v/>
      </c>
    </row>
    <row r="1904" spans="1:1" x14ac:dyDescent="0.2">
      <c r="A1904" s="240" t="str">
        <f t="shared" si="120"/>
        <v/>
      </c>
    </row>
    <row r="1905" spans="1:1" x14ac:dyDescent="0.2">
      <c r="A1905" s="240" t="str">
        <f t="shared" si="120"/>
        <v/>
      </c>
    </row>
    <row r="1906" spans="1:1" x14ac:dyDescent="0.2">
      <c r="A1906" s="240" t="str">
        <f t="shared" si="120"/>
        <v/>
      </c>
    </row>
    <row r="1907" spans="1:1" x14ac:dyDescent="0.2">
      <c r="A1907" s="240" t="str">
        <f t="shared" ref="A1907:A1970" si="121">B1907&amp;C1907&amp;F1907&amp;G1907&amp;I1907&amp;J1907</f>
        <v/>
      </c>
    </row>
    <row r="1908" spans="1:1" x14ac:dyDescent="0.2">
      <c r="A1908" s="240" t="str">
        <f t="shared" si="121"/>
        <v/>
      </c>
    </row>
    <row r="1909" spans="1:1" x14ac:dyDescent="0.2">
      <c r="A1909" s="240" t="str">
        <f t="shared" si="121"/>
        <v/>
      </c>
    </row>
    <row r="1910" spans="1:1" x14ac:dyDescent="0.2">
      <c r="A1910" s="240" t="str">
        <f t="shared" si="121"/>
        <v/>
      </c>
    </row>
    <row r="1911" spans="1:1" x14ac:dyDescent="0.2">
      <c r="A1911" s="240" t="str">
        <f t="shared" si="121"/>
        <v/>
      </c>
    </row>
    <row r="1912" spans="1:1" x14ac:dyDescent="0.2">
      <c r="A1912" s="240" t="str">
        <f t="shared" si="121"/>
        <v/>
      </c>
    </row>
    <row r="1913" spans="1:1" x14ac:dyDescent="0.2">
      <c r="A1913" s="240" t="str">
        <f t="shared" si="121"/>
        <v/>
      </c>
    </row>
    <row r="1914" spans="1:1" x14ac:dyDescent="0.2">
      <c r="A1914" s="240" t="str">
        <f t="shared" si="121"/>
        <v/>
      </c>
    </row>
    <row r="1915" spans="1:1" x14ac:dyDescent="0.2">
      <c r="A1915" s="240" t="str">
        <f t="shared" si="121"/>
        <v/>
      </c>
    </row>
    <row r="1916" spans="1:1" x14ac:dyDescent="0.2">
      <c r="A1916" s="240" t="str">
        <f t="shared" si="121"/>
        <v/>
      </c>
    </row>
    <row r="1917" spans="1:1" x14ac:dyDescent="0.2">
      <c r="A1917" s="240" t="str">
        <f t="shared" si="121"/>
        <v/>
      </c>
    </row>
    <row r="1918" spans="1:1" x14ac:dyDescent="0.2">
      <c r="A1918" s="240" t="str">
        <f t="shared" si="121"/>
        <v/>
      </c>
    </row>
    <row r="1919" spans="1:1" x14ac:dyDescent="0.2">
      <c r="A1919" s="240" t="str">
        <f t="shared" si="121"/>
        <v/>
      </c>
    </row>
    <row r="1920" spans="1:1" x14ac:dyDescent="0.2">
      <c r="A1920" s="240" t="str">
        <f t="shared" si="121"/>
        <v/>
      </c>
    </row>
    <row r="1921" spans="1:1" x14ac:dyDescent="0.2">
      <c r="A1921" s="240" t="str">
        <f t="shared" si="121"/>
        <v/>
      </c>
    </row>
    <row r="1922" spans="1:1" x14ac:dyDescent="0.2">
      <c r="A1922" s="240" t="str">
        <f t="shared" si="121"/>
        <v/>
      </c>
    </row>
    <row r="1923" spans="1:1" x14ac:dyDescent="0.2">
      <c r="A1923" s="240" t="str">
        <f t="shared" si="121"/>
        <v/>
      </c>
    </row>
    <row r="1924" spans="1:1" x14ac:dyDescent="0.2">
      <c r="A1924" s="240" t="str">
        <f t="shared" si="121"/>
        <v/>
      </c>
    </row>
    <row r="1925" spans="1:1" x14ac:dyDescent="0.2">
      <c r="A1925" s="240" t="str">
        <f t="shared" si="121"/>
        <v/>
      </c>
    </row>
    <row r="1926" spans="1:1" x14ac:dyDescent="0.2">
      <c r="A1926" s="240" t="str">
        <f t="shared" si="121"/>
        <v/>
      </c>
    </row>
    <row r="1927" spans="1:1" x14ac:dyDescent="0.2">
      <c r="A1927" s="240" t="str">
        <f t="shared" si="121"/>
        <v/>
      </c>
    </row>
    <row r="1928" spans="1:1" x14ac:dyDescent="0.2">
      <c r="A1928" s="240" t="str">
        <f t="shared" si="121"/>
        <v/>
      </c>
    </row>
    <row r="1929" spans="1:1" x14ac:dyDescent="0.2">
      <c r="A1929" s="240" t="str">
        <f t="shared" si="121"/>
        <v/>
      </c>
    </row>
    <row r="1930" spans="1:1" x14ac:dyDescent="0.2">
      <c r="A1930" s="240" t="str">
        <f t="shared" si="121"/>
        <v/>
      </c>
    </row>
    <row r="1931" spans="1:1" x14ac:dyDescent="0.2">
      <c r="A1931" s="240" t="str">
        <f t="shared" si="121"/>
        <v/>
      </c>
    </row>
    <row r="1932" spans="1:1" x14ac:dyDescent="0.2">
      <c r="A1932" s="240" t="str">
        <f t="shared" si="121"/>
        <v/>
      </c>
    </row>
    <row r="1933" spans="1:1" x14ac:dyDescent="0.2">
      <c r="A1933" s="240" t="str">
        <f t="shared" si="121"/>
        <v/>
      </c>
    </row>
    <row r="1934" spans="1:1" x14ac:dyDescent="0.2">
      <c r="A1934" s="240" t="str">
        <f t="shared" si="121"/>
        <v/>
      </c>
    </row>
    <row r="1935" spans="1:1" x14ac:dyDescent="0.2">
      <c r="A1935" s="240" t="str">
        <f t="shared" si="121"/>
        <v/>
      </c>
    </row>
    <row r="1936" spans="1:1" x14ac:dyDescent="0.2">
      <c r="A1936" s="240" t="str">
        <f t="shared" si="121"/>
        <v/>
      </c>
    </row>
    <row r="1937" spans="1:1" x14ac:dyDescent="0.2">
      <c r="A1937" s="240" t="str">
        <f t="shared" si="121"/>
        <v/>
      </c>
    </row>
    <row r="1938" spans="1:1" x14ac:dyDescent="0.2">
      <c r="A1938" s="240" t="str">
        <f t="shared" si="121"/>
        <v/>
      </c>
    </row>
    <row r="1939" spans="1:1" x14ac:dyDescent="0.2">
      <c r="A1939" s="240" t="str">
        <f t="shared" si="121"/>
        <v/>
      </c>
    </row>
    <row r="1940" spans="1:1" x14ac:dyDescent="0.2">
      <c r="A1940" s="240" t="str">
        <f t="shared" si="121"/>
        <v/>
      </c>
    </row>
    <row r="1941" spans="1:1" x14ac:dyDescent="0.2">
      <c r="A1941" s="240" t="str">
        <f t="shared" si="121"/>
        <v/>
      </c>
    </row>
    <row r="1942" spans="1:1" x14ac:dyDescent="0.2">
      <c r="A1942" s="240" t="str">
        <f t="shared" si="121"/>
        <v/>
      </c>
    </row>
    <row r="1943" spans="1:1" x14ac:dyDescent="0.2">
      <c r="A1943" s="240" t="str">
        <f t="shared" si="121"/>
        <v/>
      </c>
    </row>
    <row r="1944" spans="1:1" x14ac:dyDescent="0.2">
      <c r="A1944" s="240" t="str">
        <f t="shared" si="121"/>
        <v/>
      </c>
    </row>
    <row r="1945" spans="1:1" x14ac:dyDescent="0.2">
      <c r="A1945" s="240" t="str">
        <f t="shared" si="121"/>
        <v/>
      </c>
    </row>
    <row r="1946" spans="1:1" x14ac:dyDescent="0.2">
      <c r="A1946" s="240" t="str">
        <f t="shared" si="121"/>
        <v/>
      </c>
    </row>
    <row r="1947" spans="1:1" x14ac:dyDescent="0.2">
      <c r="A1947" s="240" t="str">
        <f t="shared" si="121"/>
        <v/>
      </c>
    </row>
    <row r="1948" spans="1:1" x14ac:dyDescent="0.2">
      <c r="A1948" s="240" t="str">
        <f t="shared" si="121"/>
        <v/>
      </c>
    </row>
    <row r="1949" spans="1:1" x14ac:dyDescent="0.2">
      <c r="A1949" s="240" t="str">
        <f t="shared" si="121"/>
        <v/>
      </c>
    </row>
    <row r="1950" spans="1:1" x14ac:dyDescent="0.2">
      <c r="A1950" s="240" t="str">
        <f t="shared" si="121"/>
        <v/>
      </c>
    </row>
    <row r="1951" spans="1:1" x14ac:dyDescent="0.2">
      <c r="A1951" s="240" t="str">
        <f t="shared" si="121"/>
        <v/>
      </c>
    </row>
    <row r="1952" spans="1:1" x14ac:dyDescent="0.2">
      <c r="A1952" s="240" t="str">
        <f t="shared" si="121"/>
        <v/>
      </c>
    </row>
    <row r="1953" spans="1:1" x14ac:dyDescent="0.2">
      <c r="A1953" s="240" t="str">
        <f t="shared" si="121"/>
        <v/>
      </c>
    </row>
    <row r="1954" spans="1:1" x14ac:dyDescent="0.2">
      <c r="A1954" s="240" t="str">
        <f t="shared" si="121"/>
        <v/>
      </c>
    </row>
    <row r="1955" spans="1:1" x14ac:dyDescent="0.2">
      <c r="A1955" s="240" t="str">
        <f t="shared" si="121"/>
        <v/>
      </c>
    </row>
    <row r="1956" spans="1:1" x14ac:dyDescent="0.2">
      <c r="A1956" s="240" t="str">
        <f t="shared" si="121"/>
        <v/>
      </c>
    </row>
    <row r="1957" spans="1:1" x14ac:dyDescent="0.2">
      <c r="A1957" s="240" t="str">
        <f t="shared" si="121"/>
        <v/>
      </c>
    </row>
    <row r="1958" spans="1:1" x14ac:dyDescent="0.2">
      <c r="A1958" s="240" t="str">
        <f t="shared" si="121"/>
        <v/>
      </c>
    </row>
    <row r="1959" spans="1:1" x14ac:dyDescent="0.2">
      <c r="A1959" s="240" t="str">
        <f t="shared" si="121"/>
        <v/>
      </c>
    </row>
    <row r="1960" spans="1:1" x14ac:dyDescent="0.2">
      <c r="A1960" s="240" t="str">
        <f t="shared" si="121"/>
        <v/>
      </c>
    </row>
    <row r="1961" spans="1:1" x14ac:dyDescent="0.2">
      <c r="A1961" s="240" t="str">
        <f t="shared" si="121"/>
        <v/>
      </c>
    </row>
    <row r="1962" spans="1:1" x14ac:dyDescent="0.2">
      <c r="A1962" s="240" t="str">
        <f t="shared" si="121"/>
        <v/>
      </c>
    </row>
    <row r="1963" spans="1:1" x14ac:dyDescent="0.2">
      <c r="A1963" s="240" t="str">
        <f t="shared" si="121"/>
        <v/>
      </c>
    </row>
    <row r="1964" spans="1:1" x14ac:dyDescent="0.2">
      <c r="A1964" s="240" t="str">
        <f t="shared" si="121"/>
        <v/>
      </c>
    </row>
    <row r="1965" spans="1:1" x14ac:dyDescent="0.2">
      <c r="A1965" s="240" t="str">
        <f t="shared" si="121"/>
        <v/>
      </c>
    </row>
    <row r="1966" spans="1:1" x14ac:dyDescent="0.2">
      <c r="A1966" s="240" t="str">
        <f t="shared" si="121"/>
        <v/>
      </c>
    </row>
    <row r="1967" spans="1:1" x14ac:dyDescent="0.2">
      <c r="A1967" s="240" t="str">
        <f t="shared" si="121"/>
        <v/>
      </c>
    </row>
    <row r="1968" spans="1:1" x14ac:dyDescent="0.2">
      <c r="A1968" s="240" t="str">
        <f t="shared" si="121"/>
        <v/>
      </c>
    </row>
    <row r="1969" spans="1:1" x14ac:dyDescent="0.2">
      <c r="A1969" s="240" t="str">
        <f t="shared" si="121"/>
        <v/>
      </c>
    </row>
    <row r="1970" spans="1:1" x14ac:dyDescent="0.2">
      <c r="A1970" s="240" t="str">
        <f t="shared" si="121"/>
        <v/>
      </c>
    </row>
    <row r="1971" spans="1:1" x14ac:dyDescent="0.2">
      <c r="A1971" s="240" t="str">
        <f t="shared" ref="A1971:A2034" si="122">B1971&amp;C1971&amp;F1971&amp;G1971&amp;I1971&amp;J1971</f>
        <v/>
      </c>
    </row>
    <row r="1972" spans="1:1" x14ac:dyDescent="0.2">
      <c r="A1972" s="240" t="str">
        <f t="shared" si="122"/>
        <v/>
      </c>
    </row>
    <row r="1973" spans="1:1" x14ac:dyDescent="0.2">
      <c r="A1973" s="240" t="str">
        <f t="shared" si="122"/>
        <v/>
      </c>
    </row>
    <row r="1974" spans="1:1" x14ac:dyDescent="0.2">
      <c r="A1974" s="240" t="str">
        <f t="shared" si="122"/>
        <v/>
      </c>
    </row>
    <row r="1975" spans="1:1" x14ac:dyDescent="0.2">
      <c r="A1975" s="240" t="str">
        <f t="shared" si="122"/>
        <v/>
      </c>
    </row>
    <row r="1976" spans="1:1" x14ac:dyDescent="0.2">
      <c r="A1976" s="240" t="str">
        <f t="shared" si="122"/>
        <v/>
      </c>
    </row>
    <row r="1977" spans="1:1" x14ac:dyDescent="0.2">
      <c r="A1977" s="240" t="str">
        <f t="shared" si="122"/>
        <v/>
      </c>
    </row>
    <row r="1978" spans="1:1" x14ac:dyDescent="0.2">
      <c r="A1978" s="240" t="str">
        <f t="shared" si="122"/>
        <v/>
      </c>
    </row>
    <row r="1979" spans="1:1" x14ac:dyDescent="0.2">
      <c r="A1979" s="240" t="str">
        <f t="shared" si="122"/>
        <v/>
      </c>
    </row>
    <row r="1980" spans="1:1" x14ac:dyDescent="0.2">
      <c r="A1980" s="240" t="str">
        <f t="shared" si="122"/>
        <v/>
      </c>
    </row>
    <row r="1981" spans="1:1" x14ac:dyDescent="0.2">
      <c r="A1981" s="240" t="str">
        <f t="shared" si="122"/>
        <v/>
      </c>
    </row>
    <row r="1982" spans="1:1" x14ac:dyDescent="0.2">
      <c r="A1982" s="240" t="str">
        <f t="shared" si="122"/>
        <v/>
      </c>
    </row>
    <row r="1983" spans="1:1" x14ac:dyDescent="0.2">
      <c r="A1983" s="240" t="str">
        <f t="shared" si="122"/>
        <v/>
      </c>
    </row>
    <row r="1984" spans="1:1" x14ac:dyDescent="0.2">
      <c r="A1984" s="240" t="str">
        <f t="shared" si="122"/>
        <v/>
      </c>
    </row>
    <row r="1985" spans="1:1" x14ac:dyDescent="0.2">
      <c r="A1985" s="240" t="str">
        <f t="shared" si="122"/>
        <v/>
      </c>
    </row>
    <row r="1986" spans="1:1" x14ac:dyDescent="0.2">
      <c r="A1986" s="240" t="str">
        <f t="shared" si="122"/>
        <v/>
      </c>
    </row>
    <row r="1987" spans="1:1" x14ac:dyDescent="0.2">
      <c r="A1987" s="240" t="str">
        <f t="shared" si="122"/>
        <v/>
      </c>
    </row>
    <row r="1988" spans="1:1" x14ac:dyDescent="0.2">
      <c r="A1988" s="240" t="str">
        <f t="shared" si="122"/>
        <v/>
      </c>
    </row>
    <row r="1989" spans="1:1" x14ac:dyDescent="0.2">
      <c r="A1989" s="240" t="str">
        <f t="shared" si="122"/>
        <v/>
      </c>
    </row>
    <row r="1990" spans="1:1" x14ac:dyDescent="0.2">
      <c r="A1990" s="240" t="str">
        <f t="shared" si="122"/>
        <v/>
      </c>
    </row>
    <row r="1991" spans="1:1" x14ac:dyDescent="0.2">
      <c r="A1991" s="240" t="str">
        <f t="shared" si="122"/>
        <v/>
      </c>
    </row>
    <row r="1992" spans="1:1" x14ac:dyDescent="0.2">
      <c r="A1992" s="240" t="str">
        <f t="shared" si="122"/>
        <v/>
      </c>
    </row>
    <row r="1993" spans="1:1" x14ac:dyDescent="0.2">
      <c r="A1993" s="240" t="str">
        <f t="shared" si="122"/>
        <v/>
      </c>
    </row>
    <row r="1994" spans="1:1" x14ac:dyDescent="0.2">
      <c r="A1994" s="240" t="str">
        <f t="shared" si="122"/>
        <v/>
      </c>
    </row>
    <row r="1995" spans="1:1" x14ac:dyDescent="0.2">
      <c r="A1995" s="240" t="str">
        <f t="shared" si="122"/>
        <v/>
      </c>
    </row>
    <row r="1996" spans="1:1" x14ac:dyDescent="0.2">
      <c r="A1996" s="240" t="str">
        <f t="shared" si="122"/>
        <v/>
      </c>
    </row>
    <row r="1997" spans="1:1" x14ac:dyDescent="0.2">
      <c r="A1997" s="240" t="str">
        <f t="shared" si="122"/>
        <v/>
      </c>
    </row>
    <row r="1998" spans="1:1" x14ac:dyDescent="0.2">
      <c r="A1998" s="240" t="str">
        <f t="shared" si="122"/>
        <v/>
      </c>
    </row>
    <row r="1999" spans="1:1" x14ac:dyDescent="0.2">
      <c r="A1999" s="240" t="str">
        <f t="shared" si="122"/>
        <v/>
      </c>
    </row>
    <row r="2000" spans="1:1" x14ac:dyDescent="0.2">
      <c r="A2000" s="240" t="str">
        <f t="shared" si="122"/>
        <v/>
      </c>
    </row>
    <row r="2001" spans="1:1" x14ac:dyDescent="0.2">
      <c r="A2001" s="240" t="str">
        <f t="shared" si="122"/>
        <v/>
      </c>
    </row>
    <row r="2002" spans="1:1" x14ac:dyDescent="0.2">
      <c r="A2002" s="240" t="str">
        <f t="shared" si="122"/>
        <v/>
      </c>
    </row>
    <row r="2003" spans="1:1" x14ac:dyDescent="0.2">
      <c r="A2003" s="240" t="str">
        <f t="shared" si="122"/>
        <v/>
      </c>
    </row>
    <row r="2004" spans="1:1" x14ac:dyDescent="0.2">
      <c r="A2004" s="240" t="str">
        <f t="shared" si="122"/>
        <v/>
      </c>
    </row>
    <row r="2005" spans="1:1" x14ac:dyDescent="0.2">
      <c r="A2005" s="240" t="str">
        <f t="shared" si="122"/>
        <v/>
      </c>
    </row>
    <row r="2006" spans="1:1" x14ac:dyDescent="0.2">
      <c r="A2006" s="240" t="str">
        <f t="shared" si="122"/>
        <v/>
      </c>
    </row>
    <row r="2007" spans="1:1" x14ac:dyDescent="0.2">
      <c r="A2007" s="240" t="str">
        <f t="shared" si="122"/>
        <v/>
      </c>
    </row>
    <row r="2008" spans="1:1" x14ac:dyDescent="0.2">
      <c r="A2008" s="240" t="str">
        <f t="shared" si="122"/>
        <v/>
      </c>
    </row>
    <row r="2009" spans="1:1" x14ac:dyDescent="0.2">
      <c r="A2009" s="240" t="str">
        <f t="shared" si="122"/>
        <v/>
      </c>
    </row>
    <row r="2010" spans="1:1" x14ac:dyDescent="0.2">
      <c r="A2010" s="240" t="str">
        <f t="shared" si="122"/>
        <v/>
      </c>
    </row>
    <row r="2011" spans="1:1" x14ac:dyDescent="0.2">
      <c r="A2011" s="240" t="str">
        <f t="shared" si="122"/>
        <v/>
      </c>
    </row>
    <row r="2012" spans="1:1" x14ac:dyDescent="0.2">
      <c r="A2012" s="240" t="str">
        <f t="shared" si="122"/>
        <v/>
      </c>
    </row>
    <row r="2013" spans="1:1" x14ac:dyDescent="0.2">
      <c r="A2013" s="240" t="str">
        <f t="shared" si="122"/>
        <v/>
      </c>
    </row>
    <row r="2014" spans="1:1" x14ac:dyDescent="0.2">
      <c r="A2014" s="240" t="str">
        <f t="shared" si="122"/>
        <v/>
      </c>
    </row>
    <row r="2015" spans="1:1" x14ac:dyDescent="0.2">
      <c r="A2015" s="240" t="str">
        <f t="shared" si="122"/>
        <v/>
      </c>
    </row>
    <row r="2016" spans="1:1" x14ac:dyDescent="0.2">
      <c r="A2016" s="240" t="str">
        <f t="shared" si="122"/>
        <v/>
      </c>
    </row>
    <row r="2017" spans="1:1" x14ac:dyDescent="0.2">
      <c r="A2017" s="240" t="str">
        <f t="shared" si="122"/>
        <v/>
      </c>
    </row>
    <row r="2018" spans="1:1" x14ac:dyDescent="0.2">
      <c r="A2018" s="240" t="str">
        <f t="shared" si="122"/>
        <v/>
      </c>
    </row>
    <row r="2019" spans="1:1" x14ac:dyDescent="0.2">
      <c r="A2019" s="240" t="str">
        <f t="shared" si="122"/>
        <v/>
      </c>
    </row>
    <row r="2020" spans="1:1" x14ac:dyDescent="0.2">
      <c r="A2020" s="240" t="str">
        <f t="shared" si="122"/>
        <v/>
      </c>
    </row>
    <row r="2021" spans="1:1" x14ac:dyDescent="0.2">
      <c r="A2021" s="240" t="str">
        <f t="shared" si="122"/>
        <v/>
      </c>
    </row>
    <row r="2022" spans="1:1" x14ac:dyDescent="0.2">
      <c r="A2022" s="240" t="str">
        <f t="shared" si="122"/>
        <v/>
      </c>
    </row>
    <row r="2023" spans="1:1" x14ac:dyDescent="0.2">
      <c r="A2023" s="240" t="str">
        <f t="shared" si="122"/>
        <v/>
      </c>
    </row>
    <row r="2024" spans="1:1" x14ac:dyDescent="0.2">
      <c r="A2024" s="240" t="str">
        <f t="shared" si="122"/>
        <v/>
      </c>
    </row>
    <row r="2025" spans="1:1" x14ac:dyDescent="0.2">
      <c r="A2025" s="240" t="str">
        <f t="shared" si="122"/>
        <v/>
      </c>
    </row>
    <row r="2026" spans="1:1" x14ac:dyDescent="0.2">
      <c r="A2026" s="240" t="str">
        <f t="shared" si="122"/>
        <v/>
      </c>
    </row>
    <row r="2027" spans="1:1" x14ac:dyDescent="0.2">
      <c r="A2027" s="240" t="str">
        <f t="shared" si="122"/>
        <v/>
      </c>
    </row>
    <row r="2028" spans="1:1" x14ac:dyDescent="0.2">
      <c r="A2028" s="240" t="str">
        <f t="shared" si="122"/>
        <v/>
      </c>
    </row>
    <row r="2029" spans="1:1" x14ac:dyDescent="0.2">
      <c r="A2029" s="240" t="str">
        <f t="shared" si="122"/>
        <v/>
      </c>
    </row>
    <row r="2030" spans="1:1" x14ac:dyDescent="0.2">
      <c r="A2030" s="240" t="str">
        <f t="shared" si="122"/>
        <v/>
      </c>
    </row>
    <row r="2031" spans="1:1" x14ac:dyDescent="0.2">
      <c r="A2031" s="240" t="str">
        <f t="shared" si="122"/>
        <v/>
      </c>
    </row>
    <row r="2032" spans="1:1" x14ac:dyDescent="0.2">
      <c r="A2032" s="240" t="str">
        <f t="shared" si="122"/>
        <v/>
      </c>
    </row>
    <row r="2033" spans="1:1" x14ac:dyDescent="0.2">
      <c r="A2033" s="240" t="str">
        <f t="shared" si="122"/>
        <v/>
      </c>
    </row>
    <row r="2034" spans="1:1" x14ac:dyDescent="0.2">
      <c r="A2034" s="240" t="str">
        <f t="shared" si="122"/>
        <v/>
      </c>
    </row>
    <row r="2035" spans="1:1" x14ac:dyDescent="0.2">
      <c r="A2035" s="240" t="str">
        <f t="shared" ref="A2035:A2093" si="123">B2035&amp;C2035&amp;F2035&amp;G2035&amp;I2035&amp;J2035</f>
        <v/>
      </c>
    </row>
    <row r="2036" spans="1:1" x14ac:dyDescent="0.2">
      <c r="A2036" s="240" t="str">
        <f t="shared" si="123"/>
        <v/>
      </c>
    </row>
    <row r="2037" spans="1:1" x14ac:dyDescent="0.2">
      <c r="A2037" s="240" t="str">
        <f t="shared" si="123"/>
        <v/>
      </c>
    </row>
    <row r="2038" spans="1:1" x14ac:dyDescent="0.2">
      <c r="A2038" s="240" t="str">
        <f t="shared" si="123"/>
        <v/>
      </c>
    </row>
    <row r="2039" spans="1:1" x14ac:dyDescent="0.2">
      <c r="A2039" s="240" t="str">
        <f t="shared" si="123"/>
        <v/>
      </c>
    </row>
    <row r="2040" spans="1:1" x14ac:dyDescent="0.2">
      <c r="A2040" s="240" t="str">
        <f t="shared" si="123"/>
        <v/>
      </c>
    </row>
    <row r="2041" spans="1:1" x14ac:dyDescent="0.2">
      <c r="A2041" s="240" t="str">
        <f t="shared" si="123"/>
        <v/>
      </c>
    </row>
    <row r="2042" spans="1:1" x14ac:dyDescent="0.2">
      <c r="A2042" s="240" t="str">
        <f t="shared" si="123"/>
        <v/>
      </c>
    </row>
    <row r="2043" spans="1:1" x14ac:dyDescent="0.2">
      <c r="A2043" s="240" t="str">
        <f t="shared" si="123"/>
        <v/>
      </c>
    </row>
    <row r="2044" spans="1:1" x14ac:dyDescent="0.2">
      <c r="A2044" s="240" t="str">
        <f t="shared" si="123"/>
        <v/>
      </c>
    </row>
    <row r="2045" spans="1:1" x14ac:dyDescent="0.2">
      <c r="A2045" s="240" t="str">
        <f t="shared" si="123"/>
        <v/>
      </c>
    </row>
    <row r="2046" spans="1:1" x14ac:dyDescent="0.2">
      <c r="A2046" s="240" t="str">
        <f t="shared" si="123"/>
        <v/>
      </c>
    </row>
    <row r="2047" spans="1:1" x14ac:dyDescent="0.2">
      <c r="A2047" s="240" t="str">
        <f t="shared" si="123"/>
        <v/>
      </c>
    </row>
    <row r="2048" spans="1:1" x14ac:dyDescent="0.2">
      <c r="A2048" s="240" t="str">
        <f t="shared" si="123"/>
        <v/>
      </c>
    </row>
    <row r="2049" spans="1:1" x14ac:dyDescent="0.2">
      <c r="A2049" s="240" t="str">
        <f t="shared" si="123"/>
        <v/>
      </c>
    </row>
    <row r="2050" spans="1:1" x14ac:dyDescent="0.2">
      <c r="A2050" s="240" t="str">
        <f t="shared" si="123"/>
        <v/>
      </c>
    </row>
    <row r="2051" spans="1:1" x14ac:dyDescent="0.2">
      <c r="A2051" s="240" t="str">
        <f t="shared" si="123"/>
        <v/>
      </c>
    </row>
    <row r="2052" spans="1:1" x14ac:dyDescent="0.2">
      <c r="A2052" s="240" t="str">
        <f t="shared" si="123"/>
        <v/>
      </c>
    </row>
    <row r="2053" spans="1:1" x14ac:dyDescent="0.2">
      <c r="A2053" s="240" t="str">
        <f t="shared" si="123"/>
        <v/>
      </c>
    </row>
    <row r="2054" spans="1:1" x14ac:dyDescent="0.2">
      <c r="A2054" s="240" t="str">
        <f t="shared" si="123"/>
        <v/>
      </c>
    </row>
    <row r="2055" spans="1:1" x14ac:dyDescent="0.2">
      <c r="A2055" s="240" t="str">
        <f t="shared" si="123"/>
        <v/>
      </c>
    </row>
    <row r="2056" spans="1:1" x14ac:dyDescent="0.2">
      <c r="A2056" s="240" t="str">
        <f t="shared" si="123"/>
        <v/>
      </c>
    </row>
    <row r="2057" spans="1:1" x14ac:dyDescent="0.2">
      <c r="A2057" s="240" t="str">
        <f t="shared" si="123"/>
        <v/>
      </c>
    </row>
    <row r="2058" spans="1:1" x14ac:dyDescent="0.2">
      <c r="A2058" s="240" t="str">
        <f t="shared" si="123"/>
        <v/>
      </c>
    </row>
    <row r="2059" spans="1:1" x14ac:dyDescent="0.2">
      <c r="A2059" s="240" t="str">
        <f t="shared" si="123"/>
        <v/>
      </c>
    </row>
    <row r="2060" spans="1:1" x14ac:dyDescent="0.2">
      <c r="A2060" s="240" t="str">
        <f t="shared" si="123"/>
        <v/>
      </c>
    </row>
    <row r="2061" spans="1:1" x14ac:dyDescent="0.2">
      <c r="A2061" s="240" t="str">
        <f t="shared" si="123"/>
        <v/>
      </c>
    </row>
    <row r="2062" spans="1:1" x14ac:dyDescent="0.2">
      <c r="A2062" s="240" t="str">
        <f t="shared" si="123"/>
        <v/>
      </c>
    </row>
    <row r="2063" spans="1:1" x14ac:dyDescent="0.2">
      <c r="A2063" s="240" t="str">
        <f t="shared" si="123"/>
        <v/>
      </c>
    </row>
    <row r="2064" spans="1:1" x14ac:dyDescent="0.2">
      <c r="A2064" s="240" t="str">
        <f t="shared" si="123"/>
        <v/>
      </c>
    </row>
    <row r="2065" spans="1:1" x14ac:dyDescent="0.2">
      <c r="A2065" s="240" t="str">
        <f t="shared" si="123"/>
        <v/>
      </c>
    </row>
    <row r="2066" spans="1:1" x14ac:dyDescent="0.2">
      <c r="A2066" s="240" t="str">
        <f t="shared" si="123"/>
        <v/>
      </c>
    </row>
    <row r="2067" spans="1:1" x14ac:dyDescent="0.2">
      <c r="A2067" s="240" t="str">
        <f t="shared" si="123"/>
        <v/>
      </c>
    </row>
    <row r="2068" spans="1:1" x14ac:dyDescent="0.2">
      <c r="A2068" s="240" t="str">
        <f t="shared" si="123"/>
        <v/>
      </c>
    </row>
    <row r="2069" spans="1:1" x14ac:dyDescent="0.2">
      <c r="A2069" s="240" t="str">
        <f t="shared" si="123"/>
        <v/>
      </c>
    </row>
    <row r="2070" spans="1:1" x14ac:dyDescent="0.2">
      <c r="A2070" s="240" t="str">
        <f t="shared" si="123"/>
        <v/>
      </c>
    </row>
    <row r="2071" spans="1:1" x14ac:dyDescent="0.2">
      <c r="A2071" s="240" t="str">
        <f t="shared" si="123"/>
        <v/>
      </c>
    </row>
    <row r="2072" spans="1:1" x14ac:dyDescent="0.2">
      <c r="A2072" s="240" t="str">
        <f t="shared" si="123"/>
        <v/>
      </c>
    </row>
    <row r="2073" spans="1:1" x14ac:dyDescent="0.2">
      <c r="A2073" s="240" t="str">
        <f t="shared" si="123"/>
        <v/>
      </c>
    </row>
    <row r="2074" spans="1:1" x14ac:dyDescent="0.2">
      <c r="A2074" s="240" t="str">
        <f t="shared" si="123"/>
        <v/>
      </c>
    </row>
    <row r="2075" spans="1:1" x14ac:dyDescent="0.2">
      <c r="A2075" s="240" t="str">
        <f t="shared" si="123"/>
        <v/>
      </c>
    </row>
    <row r="2076" spans="1:1" x14ac:dyDescent="0.2">
      <c r="A2076" s="240" t="str">
        <f t="shared" si="123"/>
        <v/>
      </c>
    </row>
    <row r="2077" spans="1:1" x14ac:dyDescent="0.2">
      <c r="A2077" s="240" t="str">
        <f t="shared" si="123"/>
        <v/>
      </c>
    </row>
    <row r="2078" spans="1:1" x14ac:dyDescent="0.2">
      <c r="A2078" s="240" t="str">
        <f t="shared" si="123"/>
        <v/>
      </c>
    </row>
    <row r="2079" spans="1:1" x14ac:dyDescent="0.2">
      <c r="A2079" s="240" t="str">
        <f t="shared" si="123"/>
        <v/>
      </c>
    </row>
    <row r="2080" spans="1:1" x14ac:dyDescent="0.2">
      <c r="A2080" s="240" t="str">
        <f t="shared" si="123"/>
        <v/>
      </c>
    </row>
    <row r="2081" spans="1:1" x14ac:dyDescent="0.2">
      <c r="A2081" s="240" t="str">
        <f t="shared" si="123"/>
        <v/>
      </c>
    </row>
    <row r="2082" spans="1:1" x14ac:dyDescent="0.2">
      <c r="A2082" s="240" t="str">
        <f t="shared" si="123"/>
        <v/>
      </c>
    </row>
    <row r="2083" spans="1:1" x14ac:dyDescent="0.2">
      <c r="A2083" s="240" t="str">
        <f t="shared" si="123"/>
        <v/>
      </c>
    </row>
    <row r="2084" spans="1:1" x14ac:dyDescent="0.2">
      <c r="A2084" s="240" t="str">
        <f t="shared" si="123"/>
        <v/>
      </c>
    </row>
    <row r="2085" spans="1:1" x14ac:dyDescent="0.2">
      <c r="A2085" s="240" t="str">
        <f t="shared" si="123"/>
        <v/>
      </c>
    </row>
    <row r="2086" spans="1:1" x14ac:dyDescent="0.2">
      <c r="A2086" s="240" t="str">
        <f t="shared" si="123"/>
        <v/>
      </c>
    </row>
    <row r="2087" spans="1:1" x14ac:dyDescent="0.2">
      <c r="A2087" s="240" t="str">
        <f t="shared" si="123"/>
        <v/>
      </c>
    </row>
    <row r="2088" spans="1:1" x14ac:dyDescent="0.2">
      <c r="A2088" s="240" t="str">
        <f t="shared" si="123"/>
        <v/>
      </c>
    </row>
    <row r="2089" spans="1:1" x14ac:dyDescent="0.2">
      <c r="A2089" s="240" t="str">
        <f t="shared" si="123"/>
        <v/>
      </c>
    </row>
    <row r="2090" spans="1:1" x14ac:dyDescent="0.2">
      <c r="A2090" s="240" t="str">
        <f t="shared" si="123"/>
        <v/>
      </c>
    </row>
    <row r="2091" spans="1:1" x14ac:dyDescent="0.2">
      <c r="A2091" s="240" t="str">
        <f t="shared" si="123"/>
        <v/>
      </c>
    </row>
    <row r="2092" spans="1:1" x14ac:dyDescent="0.2">
      <c r="A2092" s="240" t="str">
        <f t="shared" si="123"/>
        <v/>
      </c>
    </row>
    <row r="2093" spans="1:1" x14ac:dyDescent="0.2">
      <c r="A2093" s="240" t="str">
        <f t="shared" si="123"/>
        <v/>
      </c>
    </row>
    <row r="2188" spans="1:35" s="248" customFormat="1" x14ac:dyDescent="0.2">
      <c r="A2188" s="240" t="str">
        <f t="shared" ref="A2188:A2251" si="124">B2188&amp;C2188&amp;F2188&amp;G2188&amp;I2188&amp;J2188</f>
        <v>SYMDAPR383BQT</v>
      </c>
      <c r="B2188" s="248" t="s">
        <v>19</v>
      </c>
      <c r="C2188" s="248" t="s">
        <v>28</v>
      </c>
      <c r="D2188" s="248" t="s">
        <v>21</v>
      </c>
      <c r="E2188" s="248" t="s">
        <v>719</v>
      </c>
      <c r="F2188" s="248" t="s">
        <v>727</v>
      </c>
      <c r="G2188" s="248">
        <v>38</v>
      </c>
      <c r="I2188" s="248">
        <v>3</v>
      </c>
      <c r="J2188" s="248" t="s">
        <v>728</v>
      </c>
      <c r="K2188" s="249">
        <v>41730</v>
      </c>
      <c r="L2188" s="248">
        <v>37.927999999999997</v>
      </c>
      <c r="M2188" s="248">
        <v>94.8</v>
      </c>
      <c r="N2188" s="248">
        <v>0</v>
      </c>
      <c r="O2188" s="248">
        <v>28.111999999999998</v>
      </c>
      <c r="P2188" s="248">
        <v>0</v>
      </c>
      <c r="Q2188" s="248">
        <v>0</v>
      </c>
      <c r="R2188" s="248">
        <v>0</v>
      </c>
      <c r="S2188" s="248">
        <v>0</v>
      </c>
      <c r="T2188" s="248">
        <v>3.18</v>
      </c>
      <c r="U2188" s="248">
        <v>1.5</v>
      </c>
      <c r="V2188" s="248">
        <v>0.21</v>
      </c>
      <c r="W2188" s="248">
        <v>1.02</v>
      </c>
      <c r="X2188" s="248">
        <v>0</v>
      </c>
      <c r="Y2188" s="248">
        <v>0</v>
      </c>
      <c r="Z2188" s="248">
        <v>2.8420000000000001</v>
      </c>
      <c r="AA2188" s="248">
        <v>1.0640000000000001</v>
      </c>
      <c r="AB2188" s="248">
        <v>0</v>
      </c>
      <c r="AC2188" s="248">
        <v>0</v>
      </c>
      <c r="AD2188" s="248">
        <v>1</v>
      </c>
      <c r="AE2188" s="239">
        <f t="shared" ref="AE2188:AE2251" si="125">SUBTOTAL(9,T2188:W2188)</f>
        <v>5.91</v>
      </c>
      <c r="AF2188" s="248">
        <f>SUM(Z2188:AA2188)</f>
        <v>3.9060000000000001</v>
      </c>
      <c r="AG2188" s="240">
        <f t="shared" ref="AG2188:AG2251" si="126">+L2188-SUM(Z2188:AA2188)</f>
        <v>34.021999999999998</v>
      </c>
      <c r="AH2188" s="240"/>
      <c r="AI2188" s="240">
        <f t="shared" ref="AI2188:AI2251" si="127">+AH2188-AG2188</f>
        <v>-34.021999999999998</v>
      </c>
    </row>
    <row r="2189" spans="1:35" x14ac:dyDescent="0.2">
      <c r="A2189" s="240" t="str">
        <f t="shared" si="124"/>
        <v>SNBKERXP3833175P</v>
      </c>
      <c r="B2189" s="239" t="s">
        <v>19</v>
      </c>
      <c r="C2189" s="239" t="s">
        <v>20</v>
      </c>
      <c r="D2189" s="239" t="s">
        <v>21</v>
      </c>
      <c r="E2189" s="239" t="s">
        <v>719</v>
      </c>
      <c r="F2189" s="239" t="s">
        <v>729</v>
      </c>
      <c r="G2189" s="239">
        <v>38</v>
      </c>
      <c r="I2189" s="239">
        <v>331</v>
      </c>
      <c r="J2189" s="239" t="s">
        <v>730</v>
      </c>
      <c r="K2189" s="245">
        <v>42278</v>
      </c>
      <c r="L2189" s="239">
        <v>30.255839999999999</v>
      </c>
      <c r="M2189" s="239">
        <v>96.65</v>
      </c>
      <c r="N2189" s="239">
        <v>0</v>
      </c>
      <c r="O2189" s="239">
        <v>20.19659</v>
      </c>
      <c r="P2189" s="239">
        <v>0</v>
      </c>
      <c r="Q2189" s="239">
        <v>0</v>
      </c>
      <c r="R2189" s="239">
        <v>0</v>
      </c>
      <c r="S2189" s="239">
        <v>0</v>
      </c>
      <c r="T2189" s="239">
        <v>4.3180199999999997</v>
      </c>
      <c r="U2189" s="239">
        <v>1.2570600000000001</v>
      </c>
      <c r="V2189" s="239">
        <v>0.19700000000000001</v>
      </c>
      <c r="W2189" s="239">
        <v>0.81061000000000005</v>
      </c>
      <c r="X2189" s="239">
        <v>0</v>
      </c>
      <c r="Y2189" s="239">
        <v>0</v>
      </c>
      <c r="Z2189" s="239">
        <v>2.3259599999999998</v>
      </c>
      <c r="AA2189" s="239">
        <v>1.1506000000000001</v>
      </c>
      <c r="AB2189" s="239">
        <v>0</v>
      </c>
      <c r="AC2189" s="239">
        <v>0</v>
      </c>
      <c r="AD2189" s="239">
        <v>1</v>
      </c>
      <c r="AE2189" s="239">
        <f t="shared" si="125"/>
        <v>6.5826899999999995</v>
      </c>
      <c r="AF2189" s="240">
        <f>SUM(Z2189:AA2189)</f>
        <v>3.4765600000000001</v>
      </c>
      <c r="AG2189" s="240">
        <f t="shared" si="126"/>
        <v>26.77928</v>
      </c>
      <c r="AH2189" s="240"/>
      <c r="AI2189" s="240">
        <f t="shared" si="127"/>
        <v>-26.77928</v>
      </c>
    </row>
    <row r="2190" spans="1:35" x14ac:dyDescent="0.2">
      <c r="A2190" s="240" t="str">
        <f t="shared" si="124"/>
        <v>SNMDAPR383320</v>
      </c>
      <c r="B2190" s="239" t="s">
        <v>19</v>
      </c>
      <c r="C2190" s="239" t="s">
        <v>20</v>
      </c>
      <c r="D2190" s="239" t="s">
        <v>21</v>
      </c>
      <c r="E2190" s="239" t="s">
        <v>719</v>
      </c>
      <c r="F2190" s="239" t="s">
        <v>727</v>
      </c>
      <c r="G2190" s="239">
        <v>38</v>
      </c>
      <c r="I2190" s="239">
        <v>3320</v>
      </c>
      <c r="K2190" s="245">
        <v>42095</v>
      </c>
      <c r="L2190" s="239">
        <v>33.700000000000003</v>
      </c>
      <c r="M2190" s="239">
        <v>96.2</v>
      </c>
      <c r="N2190" s="239">
        <v>0</v>
      </c>
      <c r="O2190" s="239">
        <v>26.153849999999998</v>
      </c>
      <c r="P2190" s="239">
        <v>0</v>
      </c>
      <c r="Q2190" s="239">
        <v>0</v>
      </c>
      <c r="R2190" s="239">
        <v>0</v>
      </c>
      <c r="S2190" s="239">
        <v>0</v>
      </c>
      <c r="T2190" s="239">
        <v>2.83908</v>
      </c>
      <c r="U2190" s="239">
        <v>0.68361000000000005</v>
      </c>
      <c r="V2190" s="239">
        <v>0.24909999999999999</v>
      </c>
      <c r="W2190" s="239">
        <v>0.76114000000000004</v>
      </c>
      <c r="X2190" s="239">
        <v>0</v>
      </c>
      <c r="Y2190" s="239">
        <v>0</v>
      </c>
      <c r="Z2190" s="239">
        <v>2.37988</v>
      </c>
      <c r="AA2190" s="239">
        <v>1.18058</v>
      </c>
      <c r="AB2190" s="239">
        <v>0</v>
      </c>
      <c r="AC2190" s="239">
        <v>0</v>
      </c>
      <c r="AD2190" s="239">
        <v>1</v>
      </c>
      <c r="AE2190" s="239">
        <f t="shared" si="125"/>
        <v>4.5329299999999995</v>
      </c>
      <c r="AF2190" s="240">
        <v>3.56046</v>
      </c>
      <c r="AG2190" s="240">
        <f t="shared" si="126"/>
        <v>30.139540000000004</v>
      </c>
      <c r="AH2190" s="240"/>
      <c r="AI2190" s="240">
        <f t="shared" si="127"/>
        <v>-30.139540000000004</v>
      </c>
    </row>
    <row r="2191" spans="1:35" x14ac:dyDescent="0.2">
      <c r="A2191" s="240" t="str">
        <f t="shared" si="124"/>
        <v/>
      </c>
      <c r="AE2191" s="239">
        <f t="shared" si="125"/>
        <v>0</v>
      </c>
      <c r="AG2191" s="240">
        <f t="shared" si="126"/>
        <v>0</v>
      </c>
      <c r="AH2191" s="240"/>
      <c r="AI2191" s="240">
        <f t="shared" si="127"/>
        <v>0</v>
      </c>
    </row>
    <row r="2192" spans="1:35" x14ac:dyDescent="0.2">
      <c r="A2192" s="240" t="str">
        <f t="shared" si="124"/>
        <v/>
      </c>
      <c r="AE2192" s="239">
        <f t="shared" si="125"/>
        <v>0</v>
      </c>
      <c r="AG2192" s="240">
        <f t="shared" si="126"/>
        <v>0</v>
      </c>
      <c r="AH2192" s="240"/>
      <c r="AI2192" s="240">
        <f t="shared" si="127"/>
        <v>0</v>
      </c>
    </row>
    <row r="2193" spans="1:35" x14ac:dyDescent="0.2">
      <c r="A2193" s="240" t="str">
        <f t="shared" si="124"/>
        <v/>
      </c>
      <c r="AE2193" s="239">
        <f t="shared" si="125"/>
        <v>0</v>
      </c>
      <c r="AG2193" s="240">
        <f t="shared" si="126"/>
        <v>0</v>
      </c>
      <c r="AH2193" s="240"/>
      <c r="AI2193" s="240">
        <f t="shared" si="127"/>
        <v>0</v>
      </c>
    </row>
    <row r="2194" spans="1:35" x14ac:dyDescent="0.2">
      <c r="A2194" s="240" t="str">
        <f t="shared" si="124"/>
        <v/>
      </c>
      <c r="AE2194" s="239">
        <f t="shared" si="125"/>
        <v>0</v>
      </c>
      <c r="AG2194" s="240">
        <f t="shared" si="126"/>
        <v>0</v>
      </c>
      <c r="AH2194" s="240"/>
      <c r="AI2194" s="240">
        <f t="shared" si="127"/>
        <v>0</v>
      </c>
    </row>
    <row r="2195" spans="1:35" x14ac:dyDescent="0.2">
      <c r="A2195" s="240" t="str">
        <f t="shared" si="124"/>
        <v/>
      </c>
      <c r="AE2195" s="239">
        <f t="shared" si="125"/>
        <v>0</v>
      </c>
      <c r="AG2195" s="240">
        <f t="shared" si="126"/>
        <v>0</v>
      </c>
      <c r="AH2195" s="240"/>
      <c r="AI2195" s="240">
        <f t="shared" si="127"/>
        <v>0</v>
      </c>
    </row>
    <row r="2196" spans="1:35" x14ac:dyDescent="0.2">
      <c r="A2196" s="240" t="str">
        <f t="shared" si="124"/>
        <v/>
      </c>
      <c r="AE2196" s="239">
        <f t="shared" si="125"/>
        <v>0</v>
      </c>
      <c r="AG2196" s="240">
        <f t="shared" si="126"/>
        <v>0</v>
      </c>
      <c r="AH2196" s="240"/>
      <c r="AI2196" s="240">
        <f t="shared" si="127"/>
        <v>0</v>
      </c>
    </row>
    <row r="2197" spans="1:35" x14ac:dyDescent="0.2">
      <c r="A2197" s="240" t="str">
        <f t="shared" si="124"/>
        <v/>
      </c>
      <c r="AE2197" s="239">
        <f t="shared" si="125"/>
        <v>0</v>
      </c>
      <c r="AG2197" s="240">
        <f t="shared" si="126"/>
        <v>0</v>
      </c>
      <c r="AH2197" s="240"/>
      <c r="AI2197" s="240">
        <f t="shared" si="127"/>
        <v>0</v>
      </c>
    </row>
    <row r="2198" spans="1:35" x14ac:dyDescent="0.2">
      <c r="A2198" s="240" t="str">
        <f t="shared" si="124"/>
        <v/>
      </c>
      <c r="AE2198" s="239">
        <f t="shared" si="125"/>
        <v>0</v>
      </c>
      <c r="AG2198" s="240">
        <f t="shared" si="126"/>
        <v>0</v>
      </c>
      <c r="AH2198" s="240"/>
      <c r="AI2198" s="240">
        <f t="shared" si="127"/>
        <v>0</v>
      </c>
    </row>
    <row r="2199" spans="1:35" x14ac:dyDescent="0.2">
      <c r="A2199" s="240" t="str">
        <f t="shared" si="124"/>
        <v/>
      </c>
      <c r="AE2199" s="239">
        <f t="shared" si="125"/>
        <v>0</v>
      </c>
      <c r="AG2199" s="240">
        <f t="shared" si="126"/>
        <v>0</v>
      </c>
      <c r="AH2199" s="240"/>
      <c r="AI2199" s="240">
        <f t="shared" si="127"/>
        <v>0</v>
      </c>
    </row>
    <row r="2200" spans="1:35" x14ac:dyDescent="0.2">
      <c r="A2200" s="240" t="str">
        <f t="shared" si="124"/>
        <v/>
      </c>
      <c r="AE2200" s="239">
        <f t="shared" si="125"/>
        <v>0</v>
      </c>
      <c r="AG2200" s="240">
        <f t="shared" si="126"/>
        <v>0</v>
      </c>
      <c r="AH2200" s="240"/>
      <c r="AI2200" s="240">
        <f t="shared" si="127"/>
        <v>0</v>
      </c>
    </row>
    <row r="2201" spans="1:35" x14ac:dyDescent="0.2">
      <c r="A2201" s="240" t="str">
        <f t="shared" si="124"/>
        <v/>
      </c>
      <c r="AE2201" s="239">
        <f t="shared" si="125"/>
        <v>0</v>
      </c>
      <c r="AG2201" s="240">
        <f t="shared" si="126"/>
        <v>0</v>
      </c>
      <c r="AH2201" s="240"/>
      <c r="AI2201" s="240">
        <f t="shared" si="127"/>
        <v>0</v>
      </c>
    </row>
    <row r="2202" spans="1:35" x14ac:dyDescent="0.2">
      <c r="A2202" s="240" t="str">
        <f t="shared" si="124"/>
        <v/>
      </c>
      <c r="AE2202" s="239">
        <f t="shared" si="125"/>
        <v>0</v>
      </c>
      <c r="AG2202" s="240">
        <f t="shared" si="126"/>
        <v>0</v>
      </c>
      <c r="AH2202" s="240"/>
      <c r="AI2202" s="240">
        <f t="shared" si="127"/>
        <v>0</v>
      </c>
    </row>
    <row r="2203" spans="1:35" x14ac:dyDescent="0.2">
      <c r="A2203" s="240" t="str">
        <f t="shared" si="124"/>
        <v/>
      </c>
      <c r="AE2203" s="239">
        <f t="shared" si="125"/>
        <v>0</v>
      </c>
      <c r="AG2203" s="240">
        <f t="shared" si="126"/>
        <v>0</v>
      </c>
      <c r="AH2203" s="240"/>
      <c r="AI2203" s="240">
        <f t="shared" si="127"/>
        <v>0</v>
      </c>
    </row>
    <row r="2204" spans="1:35" x14ac:dyDescent="0.2">
      <c r="A2204" s="240" t="str">
        <f t="shared" si="124"/>
        <v/>
      </c>
      <c r="AE2204" s="239">
        <f t="shared" si="125"/>
        <v>0</v>
      </c>
      <c r="AG2204" s="240">
        <f t="shared" si="126"/>
        <v>0</v>
      </c>
      <c r="AH2204" s="240"/>
      <c r="AI2204" s="240">
        <f t="shared" si="127"/>
        <v>0</v>
      </c>
    </row>
    <row r="2205" spans="1:35" x14ac:dyDescent="0.2">
      <c r="A2205" s="240" t="str">
        <f t="shared" si="124"/>
        <v/>
      </c>
      <c r="AE2205" s="239">
        <f t="shared" si="125"/>
        <v>0</v>
      </c>
      <c r="AG2205" s="240">
        <f t="shared" si="126"/>
        <v>0</v>
      </c>
      <c r="AH2205" s="240"/>
      <c r="AI2205" s="240">
        <f t="shared" si="127"/>
        <v>0</v>
      </c>
    </row>
    <row r="2206" spans="1:35" x14ac:dyDescent="0.2">
      <c r="A2206" s="240" t="str">
        <f t="shared" si="124"/>
        <v/>
      </c>
      <c r="AE2206" s="239">
        <f t="shared" si="125"/>
        <v>0</v>
      </c>
      <c r="AG2206" s="240">
        <f t="shared" si="126"/>
        <v>0</v>
      </c>
      <c r="AH2206" s="240"/>
      <c r="AI2206" s="240">
        <f t="shared" si="127"/>
        <v>0</v>
      </c>
    </row>
    <row r="2207" spans="1:35" x14ac:dyDescent="0.2">
      <c r="A2207" s="240" t="str">
        <f t="shared" si="124"/>
        <v/>
      </c>
      <c r="AE2207" s="239">
        <f t="shared" si="125"/>
        <v>0</v>
      </c>
      <c r="AG2207" s="240">
        <f t="shared" si="126"/>
        <v>0</v>
      </c>
      <c r="AH2207" s="240"/>
      <c r="AI2207" s="240">
        <f t="shared" si="127"/>
        <v>0</v>
      </c>
    </row>
    <row r="2208" spans="1:35" x14ac:dyDescent="0.2">
      <c r="A2208" s="240" t="str">
        <f t="shared" si="124"/>
        <v/>
      </c>
      <c r="AE2208" s="239">
        <f t="shared" si="125"/>
        <v>0</v>
      </c>
      <c r="AG2208" s="240">
        <f t="shared" si="126"/>
        <v>0</v>
      </c>
      <c r="AH2208" s="240"/>
      <c r="AI2208" s="240">
        <f t="shared" si="127"/>
        <v>0</v>
      </c>
    </row>
    <row r="2209" spans="1:35" x14ac:dyDescent="0.2">
      <c r="A2209" s="240" t="str">
        <f t="shared" si="124"/>
        <v/>
      </c>
      <c r="AE2209" s="239">
        <f t="shared" si="125"/>
        <v>0</v>
      </c>
      <c r="AG2209" s="240">
        <f t="shared" si="126"/>
        <v>0</v>
      </c>
      <c r="AH2209" s="240"/>
      <c r="AI2209" s="240">
        <f t="shared" si="127"/>
        <v>0</v>
      </c>
    </row>
    <row r="2210" spans="1:35" x14ac:dyDescent="0.2">
      <c r="A2210" s="240" t="str">
        <f t="shared" si="124"/>
        <v/>
      </c>
      <c r="AE2210" s="239">
        <f t="shared" si="125"/>
        <v>0</v>
      </c>
      <c r="AG2210" s="240">
        <f t="shared" si="126"/>
        <v>0</v>
      </c>
      <c r="AH2210" s="240"/>
      <c r="AI2210" s="240">
        <f t="shared" si="127"/>
        <v>0</v>
      </c>
    </row>
    <row r="2211" spans="1:35" x14ac:dyDescent="0.2">
      <c r="A2211" s="240" t="str">
        <f t="shared" si="124"/>
        <v/>
      </c>
      <c r="AE2211" s="239">
        <f t="shared" si="125"/>
        <v>0</v>
      </c>
      <c r="AG2211" s="240">
        <f t="shared" si="126"/>
        <v>0</v>
      </c>
      <c r="AH2211" s="240"/>
      <c r="AI2211" s="240">
        <f t="shared" si="127"/>
        <v>0</v>
      </c>
    </row>
    <row r="2212" spans="1:35" x14ac:dyDescent="0.2">
      <c r="A2212" s="240" t="str">
        <f t="shared" si="124"/>
        <v/>
      </c>
      <c r="AE2212" s="239">
        <f t="shared" si="125"/>
        <v>0</v>
      </c>
      <c r="AG2212" s="240">
        <f t="shared" si="126"/>
        <v>0</v>
      </c>
      <c r="AH2212" s="240"/>
      <c r="AI2212" s="240">
        <f t="shared" si="127"/>
        <v>0</v>
      </c>
    </row>
    <row r="2213" spans="1:35" x14ac:dyDescent="0.2">
      <c r="A2213" s="240" t="str">
        <f t="shared" si="124"/>
        <v/>
      </c>
      <c r="AE2213" s="239">
        <f t="shared" si="125"/>
        <v>0</v>
      </c>
      <c r="AG2213" s="240">
        <f t="shared" si="126"/>
        <v>0</v>
      </c>
      <c r="AH2213" s="240"/>
      <c r="AI2213" s="240">
        <f t="shared" si="127"/>
        <v>0</v>
      </c>
    </row>
    <row r="2214" spans="1:35" x14ac:dyDescent="0.2">
      <c r="A2214" s="240" t="str">
        <f t="shared" si="124"/>
        <v/>
      </c>
      <c r="AE2214" s="239">
        <f t="shared" si="125"/>
        <v>0</v>
      </c>
      <c r="AG2214" s="240">
        <f t="shared" si="126"/>
        <v>0</v>
      </c>
      <c r="AH2214" s="240"/>
      <c r="AI2214" s="240">
        <f t="shared" si="127"/>
        <v>0</v>
      </c>
    </row>
    <row r="2215" spans="1:35" x14ac:dyDescent="0.2">
      <c r="A2215" s="240" t="str">
        <f t="shared" si="124"/>
        <v/>
      </c>
      <c r="AE2215" s="239">
        <f t="shared" si="125"/>
        <v>0</v>
      </c>
      <c r="AG2215" s="240">
        <f t="shared" si="126"/>
        <v>0</v>
      </c>
      <c r="AH2215" s="240"/>
      <c r="AI2215" s="240">
        <f t="shared" si="127"/>
        <v>0</v>
      </c>
    </row>
    <row r="2216" spans="1:35" x14ac:dyDescent="0.2">
      <c r="A2216" s="240" t="str">
        <f t="shared" si="124"/>
        <v/>
      </c>
      <c r="AE2216" s="239">
        <f t="shared" si="125"/>
        <v>0</v>
      </c>
      <c r="AG2216" s="240">
        <f t="shared" si="126"/>
        <v>0</v>
      </c>
      <c r="AH2216" s="240"/>
      <c r="AI2216" s="240">
        <f t="shared" si="127"/>
        <v>0</v>
      </c>
    </row>
    <row r="2217" spans="1:35" x14ac:dyDescent="0.2">
      <c r="A2217" s="240" t="str">
        <f t="shared" si="124"/>
        <v/>
      </c>
      <c r="AE2217" s="239">
        <f t="shared" si="125"/>
        <v>0</v>
      </c>
      <c r="AG2217" s="240">
        <f t="shared" si="126"/>
        <v>0</v>
      </c>
      <c r="AH2217" s="240"/>
      <c r="AI2217" s="240">
        <f t="shared" si="127"/>
        <v>0</v>
      </c>
    </row>
    <row r="2218" spans="1:35" x14ac:dyDescent="0.2">
      <c r="A2218" s="240" t="str">
        <f t="shared" si="124"/>
        <v/>
      </c>
      <c r="AE2218" s="239">
        <f t="shared" si="125"/>
        <v>0</v>
      </c>
      <c r="AG2218" s="240">
        <f t="shared" si="126"/>
        <v>0</v>
      </c>
      <c r="AH2218" s="240"/>
      <c r="AI2218" s="240">
        <f t="shared" si="127"/>
        <v>0</v>
      </c>
    </row>
    <row r="2219" spans="1:35" x14ac:dyDescent="0.2">
      <c r="A2219" s="240" t="str">
        <f t="shared" si="124"/>
        <v/>
      </c>
      <c r="AE2219" s="239">
        <f t="shared" si="125"/>
        <v>0</v>
      </c>
      <c r="AG2219" s="240">
        <f t="shared" si="126"/>
        <v>0</v>
      </c>
      <c r="AH2219" s="240"/>
      <c r="AI2219" s="240">
        <f t="shared" si="127"/>
        <v>0</v>
      </c>
    </row>
    <row r="2220" spans="1:35" x14ac:dyDescent="0.2">
      <c r="A2220" s="240" t="str">
        <f t="shared" si="124"/>
        <v/>
      </c>
      <c r="AE2220" s="239">
        <f t="shared" si="125"/>
        <v>0</v>
      </c>
      <c r="AG2220" s="240">
        <f t="shared" si="126"/>
        <v>0</v>
      </c>
      <c r="AH2220" s="240"/>
      <c r="AI2220" s="240">
        <f t="shared" si="127"/>
        <v>0</v>
      </c>
    </row>
    <row r="2221" spans="1:35" x14ac:dyDescent="0.2">
      <c r="A2221" s="240" t="str">
        <f t="shared" si="124"/>
        <v/>
      </c>
      <c r="AE2221" s="239">
        <f t="shared" si="125"/>
        <v>0</v>
      </c>
      <c r="AG2221" s="240">
        <f t="shared" si="126"/>
        <v>0</v>
      </c>
      <c r="AH2221" s="240"/>
      <c r="AI2221" s="240">
        <f t="shared" si="127"/>
        <v>0</v>
      </c>
    </row>
    <row r="2222" spans="1:35" x14ac:dyDescent="0.2">
      <c r="A2222" s="240" t="str">
        <f t="shared" si="124"/>
        <v/>
      </c>
      <c r="AE2222" s="239">
        <f t="shared" si="125"/>
        <v>0</v>
      </c>
      <c r="AG2222" s="240">
        <f t="shared" si="126"/>
        <v>0</v>
      </c>
      <c r="AH2222" s="240"/>
      <c r="AI2222" s="240">
        <f t="shared" si="127"/>
        <v>0</v>
      </c>
    </row>
    <row r="2223" spans="1:35" x14ac:dyDescent="0.2">
      <c r="A2223" s="240" t="str">
        <f t="shared" si="124"/>
        <v/>
      </c>
      <c r="AE2223" s="239">
        <f t="shared" si="125"/>
        <v>0</v>
      </c>
      <c r="AG2223" s="240">
        <f t="shared" si="126"/>
        <v>0</v>
      </c>
      <c r="AH2223" s="240"/>
      <c r="AI2223" s="240">
        <f t="shared" si="127"/>
        <v>0</v>
      </c>
    </row>
    <row r="2224" spans="1:35" x14ac:dyDescent="0.2">
      <c r="A2224" s="240" t="str">
        <f t="shared" si="124"/>
        <v/>
      </c>
      <c r="AE2224" s="239">
        <f t="shared" si="125"/>
        <v>0</v>
      </c>
      <c r="AG2224" s="240">
        <f t="shared" si="126"/>
        <v>0</v>
      </c>
      <c r="AH2224" s="240"/>
      <c r="AI2224" s="240">
        <f t="shared" si="127"/>
        <v>0</v>
      </c>
    </row>
    <row r="2225" spans="1:35" x14ac:dyDescent="0.2">
      <c r="A2225" s="240" t="str">
        <f t="shared" si="124"/>
        <v/>
      </c>
      <c r="AE2225" s="239">
        <f t="shared" si="125"/>
        <v>0</v>
      </c>
      <c r="AG2225" s="240">
        <f t="shared" si="126"/>
        <v>0</v>
      </c>
      <c r="AH2225" s="240"/>
      <c r="AI2225" s="240">
        <f t="shared" si="127"/>
        <v>0</v>
      </c>
    </row>
    <row r="2226" spans="1:35" x14ac:dyDescent="0.2">
      <c r="A2226" s="240" t="str">
        <f t="shared" si="124"/>
        <v/>
      </c>
      <c r="AE2226" s="239">
        <f t="shared" si="125"/>
        <v>0</v>
      </c>
      <c r="AG2226" s="240">
        <f t="shared" si="126"/>
        <v>0</v>
      </c>
      <c r="AH2226" s="240"/>
      <c r="AI2226" s="240">
        <f t="shared" si="127"/>
        <v>0</v>
      </c>
    </row>
    <row r="2227" spans="1:35" x14ac:dyDescent="0.2">
      <c r="A2227" s="240" t="str">
        <f t="shared" si="124"/>
        <v/>
      </c>
      <c r="AE2227" s="239">
        <f t="shared" si="125"/>
        <v>0</v>
      </c>
      <c r="AG2227" s="240">
        <f t="shared" si="126"/>
        <v>0</v>
      </c>
      <c r="AH2227" s="240"/>
      <c r="AI2227" s="240">
        <f t="shared" si="127"/>
        <v>0</v>
      </c>
    </row>
    <row r="2228" spans="1:35" x14ac:dyDescent="0.2">
      <c r="A2228" s="240" t="str">
        <f t="shared" si="124"/>
        <v/>
      </c>
      <c r="AE2228" s="239">
        <f t="shared" si="125"/>
        <v>0</v>
      </c>
      <c r="AG2228" s="240">
        <f t="shared" si="126"/>
        <v>0</v>
      </c>
      <c r="AH2228" s="240"/>
      <c r="AI2228" s="240">
        <f t="shared" si="127"/>
        <v>0</v>
      </c>
    </row>
    <row r="2229" spans="1:35" x14ac:dyDescent="0.2">
      <c r="A2229" s="240" t="str">
        <f t="shared" si="124"/>
        <v/>
      </c>
      <c r="AE2229" s="239">
        <f t="shared" si="125"/>
        <v>0</v>
      </c>
      <c r="AG2229" s="240">
        <f t="shared" si="126"/>
        <v>0</v>
      </c>
      <c r="AH2229" s="240"/>
      <c r="AI2229" s="240">
        <f t="shared" si="127"/>
        <v>0</v>
      </c>
    </row>
    <row r="2230" spans="1:35" x14ac:dyDescent="0.2">
      <c r="A2230" s="240" t="str">
        <f t="shared" si="124"/>
        <v/>
      </c>
      <c r="AE2230" s="239">
        <f t="shared" si="125"/>
        <v>0</v>
      </c>
      <c r="AG2230" s="240">
        <f t="shared" si="126"/>
        <v>0</v>
      </c>
      <c r="AH2230" s="240"/>
      <c r="AI2230" s="240">
        <f t="shared" si="127"/>
        <v>0</v>
      </c>
    </row>
    <row r="2231" spans="1:35" x14ac:dyDescent="0.2">
      <c r="A2231" s="240" t="str">
        <f t="shared" si="124"/>
        <v/>
      </c>
      <c r="AE2231" s="239">
        <f t="shared" si="125"/>
        <v>0</v>
      </c>
      <c r="AG2231" s="240">
        <f t="shared" si="126"/>
        <v>0</v>
      </c>
      <c r="AH2231" s="240"/>
      <c r="AI2231" s="240">
        <f t="shared" si="127"/>
        <v>0</v>
      </c>
    </row>
    <row r="2232" spans="1:35" x14ac:dyDescent="0.2">
      <c r="A2232" s="240" t="str">
        <f t="shared" si="124"/>
        <v/>
      </c>
      <c r="AE2232" s="239">
        <f t="shared" si="125"/>
        <v>0</v>
      </c>
      <c r="AG2232" s="240">
        <f t="shared" si="126"/>
        <v>0</v>
      </c>
      <c r="AH2232" s="240"/>
      <c r="AI2232" s="240">
        <f t="shared" si="127"/>
        <v>0</v>
      </c>
    </row>
    <row r="2233" spans="1:35" x14ac:dyDescent="0.2">
      <c r="A2233" s="240" t="str">
        <f t="shared" si="124"/>
        <v/>
      </c>
      <c r="AE2233" s="239">
        <f t="shared" si="125"/>
        <v>0</v>
      </c>
      <c r="AG2233" s="240">
        <f t="shared" si="126"/>
        <v>0</v>
      </c>
      <c r="AH2233" s="240"/>
      <c r="AI2233" s="240">
        <f t="shared" si="127"/>
        <v>0</v>
      </c>
    </row>
    <row r="2234" spans="1:35" x14ac:dyDescent="0.2">
      <c r="A2234" s="240" t="str">
        <f t="shared" si="124"/>
        <v/>
      </c>
      <c r="AE2234" s="239">
        <f t="shared" si="125"/>
        <v>0</v>
      </c>
      <c r="AG2234" s="240">
        <f t="shared" si="126"/>
        <v>0</v>
      </c>
      <c r="AH2234" s="240"/>
      <c r="AI2234" s="240">
        <f t="shared" si="127"/>
        <v>0</v>
      </c>
    </row>
    <row r="2235" spans="1:35" x14ac:dyDescent="0.2">
      <c r="A2235" s="240" t="str">
        <f t="shared" si="124"/>
        <v/>
      </c>
      <c r="AE2235" s="239">
        <f t="shared" si="125"/>
        <v>0</v>
      </c>
      <c r="AG2235" s="240">
        <f t="shared" si="126"/>
        <v>0</v>
      </c>
      <c r="AH2235" s="240"/>
      <c r="AI2235" s="240">
        <f t="shared" si="127"/>
        <v>0</v>
      </c>
    </row>
    <row r="2236" spans="1:35" x14ac:dyDescent="0.2">
      <c r="A2236" s="240" t="str">
        <f t="shared" si="124"/>
        <v/>
      </c>
      <c r="AE2236" s="239">
        <f t="shared" si="125"/>
        <v>0</v>
      </c>
      <c r="AG2236" s="240">
        <f t="shared" si="126"/>
        <v>0</v>
      </c>
      <c r="AH2236" s="240"/>
      <c r="AI2236" s="240">
        <f t="shared" si="127"/>
        <v>0</v>
      </c>
    </row>
    <row r="2237" spans="1:35" x14ac:dyDescent="0.2">
      <c r="A2237" s="240" t="str">
        <f t="shared" si="124"/>
        <v/>
      </c>
      <c r="AE2237" s="239">
        <f t="shared" si="125"/>
        <v>0</v>
      </c>
      <c r="AG2237" s="240">
        <f t="shared" si="126"/>
        <v>0</v>
      </c>
      <c r="AH2237" s="240"/>
      <c r="AI2237" s="240">
        <f t="shared" si="127"/>
        <v>0</v>
      </c>
    </row>
    <row r="2238" spans="1:35" x14ac:dyDescent="0.2">
      <c r="A2238" s="240" t="str">
        <f t="shared" si="124"/>
        <v/>
      </c>
      <c r="AE2238" s="239">
        <f t="shared" si="125"/>
        <v>0</v>
      </c>
      <c r="AG2238" s="240">
        <f t="shared" si="126"/>
        <v>0</v>
      </c>
      <c r="AH2238" s="240"/>
      <c r="AI2238" s="240">
        <f t="shared" si="127"/>
        <v>0</v>
      </c>
    </row>
    <row r="2239" spans="1:35" x14ac:dyDescent="0.2">
      <c r="A2239" s="240" t="str">
        <f t="shared" si="124"/>
        <v/>
      </c>
      <c r="AE2239" s="239">
        <f t="shared" si="125"/>
        <v>0</v>
      </c>
      <c r="AG2239" s="240">
        <f t="shared" si="126"/>
        <v>0</v>
      </c>
      <c r="AH2239" s="240"/>
      <c r="AI2239" s="240">
        <f t="shared" si="127"/>
        <v>0</v>
      </c>
    </row>
    <row r="2240" spans="1:35" x14ac:dyDescent="0.2">
      <c r="A2240" s="240" t="str">
        <f t="shared" si="124"/>
        <v/>
      </c>
      <c r="AE2240" s="239">
        <f t="shared" si="125"/>
        <v>0</v>
      </c>
      <c r="AG2240" s="240">
        <f t="shared" si="126"/>
        <v>0</v>
      </c>
      <c r="AH2240" s="240"/>
      <c r="AI2240" s="240">
        <f t="shared" si="127"/>
        <v>0</v>
      </c>
    </row>
    <row r="2241" spans="1:35" x14ac:dyDescent="0.2">
      <c r="A2241" s="240" t="str">
        <f t="shared" si="124"/>
        <v/>
      </c>
      <c r="AE2241" s="239">
        <f t="shared" si="125"/>
        <v>0</v>
      </c>
      <c r="AG2241" s="240">
        <f t="shared" si="126"/>
        <v>0</v>
      </c>
      <c r="AH2241" s="240"/>
      <c r="AI2241" s="240">
        <f t="shared" si="127"/>
        <v>0</v>
      </c>
    </row>
    <row r="2242" spans="1:35" x14ac:dyDescent="0.2">
      <c r="A2242" s="240" t="str">
        <f t="shared" si="124"/>
        <v/>
      </c>
      <c r="AE2242" s="239">
        <f t="shared" si="125"/>
        <v>0</v>
      </c>
      <c r="AG2242" s="240">
        <f t="shared" si="126"/>
        <v>0</v>
      </c>
      <c r="AH2242" s="240"/>
      <c r="AI2242" s="240">
        <f t="shared" si="127"/>
        <v>0</v>
      </c>
    </row>
    <row r="2243" spans="1:35" x14ac:dyDescent="0.2">
      <c r="A2243" s="240" t="str">
        <f t="shared" si="124"/>
        <v/>
      </c>
      <c r="AE2243" s="239">
        <f t="shared" si="125"/>
        <v>0</v>
      </c>
      <c r="AG2243" s="240">
        <f t="shared" si="126"/>
        <v>0</v>
      </c>
      <c r="AH2243" s="240"/>
      <c r="AI2243" s="240">
        <f t="shared" si="127"/>
        <v>0</v>
      </c>
    </row>
    <row r="2244" spans="1:35" x14ac:dyDescent="0.2">
      <c r="A2244" s="240" t="str">
        <f t="shared" si="124"/>
        <v/>
      </c>
      <c r="AE2244" s="239">
        <f t="shared" si="125"/>
        <v>0</v>
      </c>
      <c r="AG2244" s="240">
        <f t="shared" si="126"/>
        <v>0</v>
      </c>
      <c r="AH2244" s="240"/>
      <c r="AI2244" s="240">
        <f t="shared" si="127"/>
        <v>0</v>
      </c>
    </row>
    <row r="2245" spans="1:35" x14ac:dyDescent="0.2">
      <c r="A2245" s="240" t="str">
        <f t="shared" si="124"/>
        <v/>
      </c>
      <c r="AE2245" s="239">
        <f t="shared" si="125"/>
        <v>0</v>
      </c>
      <c r="AG2245" s="240">
        <f t="shared" si="126"/>
        <v>0</v>
      </c>
      <c r="AH2245" s="240"/>
      <c r="AI2245" s="240">
        <f t="shared" si="127"/>
        <v>0</v>
      </c>
    </row>
    <row r="2246" spans="1:35" x14ac:dyDescent="0.2">
      <c r="A2246" s="240" t="str">
        <f t="shared" si="124"/>
        <v/>
      </c>
      <c r="AE2246" s="239">
        <f t="shared" si="125"/>
        <v>0</v>
      </c>
      <c r="AG2246" s="240">
        <f t="shared" si="126"/>
        <v>0</v>
      </c>
      <c r="AH2246" s="240"/>
      <c r="AI2246" s="240">
        <f t="shared" si="127"/>
        <v>0</v>
      </c>
    </row>
    <row r="2247" spans="1:35" x14ac:dyDescent="0.2">
      <c r="A2247" s="240" t="str">
        <f t="shared" si="124"/>
        <v/>
      </c>
      <c r="AE2247" s="239">
        <f t="shared" si="125"/>
        <v>0</v>
      </c>
      <c r="AG2247" s="240">
        <f t="shared" si="126"/>
        <v>0</v>
      </c>
      <c r="AH2247" s="240"/>
      <c r="AI2247" s="240">
        <f t="shared" si="127"/>
        <v>0</v>
      </c>
    </row>
    <row r="2248" spans="1:35" x14ac:dyDescent="0.2">
      <c r="A2248" s="240" t="str">
        <f t="shared" si="124"/>
        <v/>
      </c>
      <c r="AE2248" s="239">
        <f t="shared" si="125"/>
        <v>0</v>
      </c>
      <c r="AG2248" s="240">
        <f t="shared" si="126"/>
        <v>0</v>
      </c>
      <c r="AH2248" s="240"/>
      <c r="AI2248" s="240">
        <f t="shared" si="127"/>
        <v>0</v>
      </c>
    </row>
    <row r="2249" spans="1:35" x14ac:dyDescent="0.2">
      <c r="A2249" s="240" t="str">
        <f t="shared" si="124"/>
        <v/>
      </c>
      <c r="AE2249" s="239">
        <f t="shared" si="125"/>
        <v>0</v>
      </c>
      <c r="AG2249" s="240">
        <f t="shared" si="126"/>
        <v>0</v>
      </c>
      <c r="AH2249" s="240"/>
      <c r="AI2249" s="240">
        <f t="shared" si="127"/>
        <v>0</v>
      </c>
    </row>
    <row r="2250" spans="1:35" x14ac:dyDescent="0.2">
      <c r="A2250" s="240" t="str">
        <f t="shared" si="124"/>
        <v/>
      </c>
      <c r="AE2250" s="239">
        <f t="shared" si="125"/>
        <v>0</v>
      </c>
      <c r="AG2250" s="240">
        <f t="shared" si="126"/>
        <v>0</v>
      </c>
      <c r="AH2250" s="240"/>
      <c r="AI2250" s="240">
        <f t="shared" si="127"/>
        <v>0</v>
      </c>
    </row>
    <row r="2251" spans="1:35" x14ac:dyDescent="0.2">
      <c r="A2251" s="240" t="str">
        <f t="shared" si="124"/>
        <v/>
      </c>
      <c r="AE2251" s="239">
        <f t="shared" si="125"/>
        <v>0</v>
      </c>
      <c r="AG2251" s="240">
        <f t="shared" si="126"/>
        <v>0</v>
      </c>
      <c r="AH2251" s="240"/>
      <c r="AI2251" s="240">
        <f t="shared" si="127"/>
        <v>0</v>
      </c>
    </row>
    <row r="2252" spans="1:35" x14ac:dyDescent="0.2">
      <c r="A2252" s="240" t="str">
        <f t="shared" ref="A2252:A2315" si="128">B2252&amp;C2252&amp;F2252&amp;G2252&amp;I2252&amp;J2252</f>
        <v/>
      </c>
      <c r="AE2252" s="239">
        <f t="shared" ref="AE2252:AE2315" si="129">SUBTOTAL(9,T2252:W2252)</f>
        <v>0</v>
      </c>
      <c r="AG2252" s="240">
        <f t="shared" ref="AG2252:AG2315" si="130">+L2252-SUM(Z2252:AA2252)</f>
        <v>0</v>
      </c>
      <c r="AH2252" s="240"/>
      <c r="AI2252" s="240">
        <f t="shared" ref="AI2252:AI2315" si="131">+AH2252-AG2252</f>
        <v>0</v>
      </c>
    </row>
    <row r="2253" spans="1:35" x14ac:dyDescent="0.2">
      <c r="A2253" s="240" t="str">
        <f t="shared" si="128"/>
        <v/>
      </c>
      <c r="AE2253" s="239">
        <f t="shared" si="129"/>
        <v>0</v>
      </c>
      <c r="AG2253" s="240">
        <f t="shared" si="130"/>
        <v>0</v>
      </c>
      <c r="AH2253" s="240"/>
      <c r="AI2253" s="240">
        <f t="shared" si="131"/>
        <v>0</v>
      </c>
    </row>
    <row r="2254" spans="1:35" x14ac:dyDescent="0.2">
      <c r="A2254" s="240" t="str">
        <f t="shared" si="128"/>
        <v/>
      </c>
      <c r="AE2254" s="239">
        <f t="shared" si="129"/>
        <v>0</v>
      </c>
      <c r="AG2254" s="240">
        <f t="shared" si="130"/>
        <v>0</v>
      </c>
      <c r="AH2254" s="240"/>
      <c r="AI2254" s="240">
        <f t="shared" si="131"/>
        <v>0</v>
      </c>
    </row>
    <row r="2255" spans="1:35" x14ac:dyDescent="0.2">
      <c r="A2255" s="240" t="str">
        <f t="shared" si="128"/>
        <v/>
      </c>
      <c r="AE2255" s="239">
        <f t="shared" si="129"/>
        <v>0</v>
      </c>
      <c r="AG2255" s="240">
        <f t="shared" si="130"/>
        <v>0</v>
      </c>
      <c r="AH2255" s="240"/>
      <c r="AI2255" s="240">
        <f t="shared" si="131"/>
        <v>0</v>
      </c>
    </row>
    <row r="2256" spans="1:35" x14ac:dyDescent="0.2">
      <c r="A2256" s="240" t="str">
        <f t="shared" si="128"/>
        <v/>
      </c>
      <c r="AE2256" s="239">
        <f t="shared" si="129"/>
        <v>0</v>
      </c>
      <c r="AG2256" s="240">
        <f t="shared" si="130"/>
        <v>0</v>
      </c>
      <c r="AH2256" s="240"/>
      <c r="AI2256" s="240">
        <f t="shared" si="131"/>
        <v>0</v>
      </c>
    </row>
    <row r="2257" spans="1:35" x14ac:dyDescent="0.2">
      <c r="A2257" s="240" t="str">
        <f t="shared" si="128"/>
        <v/>
      </c>
      <c r="AE2257" s="239">
        <f t="shared" si="129"/>
        <v>0</v>
      </c>
      <c r="AG2257" s="240">
        <f t="shared" si="130"/>
        <v>0</v>
      </c>
      <c r="AH2257" s="240"/>
      <c r="AI2257" s="240">
        <f t="shared" si="131"/>
        <v>0</v>
      </c>
    </row>
    <row r="2258" spans="1:35" x14ac:dyDescent="0.2">
      <c r="A2258" s="240" t="str">
        <f t="shared" si="128"/>
        <v/>
      </c>
      <c r="AE2258" s="239">
        <f t="shared" si="129"/>
        <v>0</v>
      </c>
      <c r="AG2258" s="240">
        <f t="shared" si="130"/>
        <v>0</v>
      </c>
      <c r="AH2258" s="240"/>
      <c r="AI2258" s="240">
        <f t="shared" si="131"/>
        <v>0</v>
      </c>
    </row>
    <row r="2259" spans="1:35" x14ac:dyDescent="0.2">
      <c r="A2259" s="240" t="str">
        <f t="shared" si="128"/>
        <v/>
      </c>
      <c r="AE2259" s="239">
        <f t="shared" si="129"/>
        <v>0</v>
      </c>
      <c r="AG2259" s="240">
        <f t="shared" si="130"/>
        <v>0</v>
      </c>
      <c r="AH2259" s="240"/>
      <c r="AI2259" s="240">
        <f t="shared" si="131"/>
        <v>0</v>
      </c>
    </row>
    <row r="2260" spans="1:35" x14ac:dyDescent="0.2">
      <c r="A2260" s="240" t="str">
        <f t="shared" si="128"/>
        <v/>
      </c>
      <c r="AE2260" s="239">
        <f t="shared" si="129"/>
        <v>0</v>
      </c>
      <c r="AG2260" s="240">
        <f t="shared" si="130"/>
        <v>0</v>
      </c>
      <c r="AH2260" s="240"/>
      <c r="AI2260" s="240">
        <f t="shared" si="131"/>
        <v>0</v>
      </c>
    </row>
    <row r="2261" spans="1:35" x14ac:dyDescent="0.2">
      <c r="A2261" s="240" t="str">
        <f t="shared" si="128"/>
        <v/>
      </c>
      <c r="AE2261" s="239">
        <f t="shared" si="129"/>
        <v>0</v>
      </c>
      <c r="AG2261" s="240">
        <f t="shared" si="130"/>
        <v>0</v>
      </c>
      <c r="AH2261" s="240"/>
      <c r="AI2261" s="240">
        <f t="shared" si="131"/>
        <v>0</v>
      </c>
    </row>
    <row r="2262" spans="1:35" x14ac:dyDescent="0.2">
      <c r="A2262" s="240" t="str">
        <f t="shared" si="128"/>
        <v/>
      </c>
      <c r="AE2262" s="239">
        <f t="shared" si="129"/>
        <v>0</v>
      </c>
      <c r="AG2262" s="240">
        <f t="shared" si="130"/>
        <v>0</v>
      </c>
      <c r="AH2262" s="240"/>
      <c r="AI2262" s="240">
        <f t="shared" si="131"/>
        <v>0</v>
      </c>
    </row>
    <row r="2263" spans="1:35" x14ac:dyDescent="0.2">
      <c r="A2263" s="240" t="str">
        <f t="shared" si="128"/>
        <v/>
      </c>
      <c r="AE2263" s="239">
        <f t="shared" si="129"/>
        <v>0</v>
      </c>
      <c r="AG2263" s="240">
        <f t="shared" si="130"/>
        <v>0</v>
      </c>
      <c r="AH2263" s="240"/>
      <c r="AI2263" s="240">
        <f t="shared" si="131"/>
        <v>0</v>
      </c>
    </row>
    <row r="2264" spans="1:35" x14ac:dyDescent="0.2">
      <c r="A2264" s="240" t="str">
        <f t="shared" si="128"/>
        <v/>
      </c>
      <c r="AE2264" s="239">
        <f t="shared" si="129"/>
        <v>0</v>
      </c>
      <c r="AG2264" s="240">
        <f t="shared" si="130"/>
        <v>0</v>
      </c>
      <c r="AH2264" s="240"/>
      <c r="AI2264" s="240">
        <f t="shared" si="131"/>
        <v>0</v>
      </c>
    </row>
    <row r="2265" spans="1:35" x14ac:dyDescent="0.2">
      <c r="A2265" s="240" t="str">
        <f t="shared" si="128"/>
        <v/>
      </c>
      <c r="AE2265" s="239">
        <f t="shared" si="129"/>
        <v>0</v>
      </c>
      <c r="AG2265" s="240">
        <f t="shared" si="130"/>
        <v>0</v>
      </c>
      <c r="AH2265" s="240"/>
      <c r="AI2265" s="240">
        <f t="shared" si="131"/>
        <v>0</v>
      </c>
    </row>
    <row r="2266" spans="1:35" x14ac:dyDescent="0.2">
      <c r="A2266" s="240" t="str">
        <f t="shared" si="128"/>
        <v/>
      </c>
      <c r="AE2266" s="239">
        <f t="shared" si="129"/>
        <v>0</v>
      </c>
      <c r="AG2266" s="240">
        <f t="shared" si="130"/>
        <v>0</v>
      </c>
      <c r="AH2266" s="240"/>
      <c r="AI2266" s="240">
        <f t="shared" si="131"/>
        <v>0</v>
      </c>
    </row>
    <row r="2267" spans="1:35" x14ac:dyDescent="0.2">
      <c r="A2267" s="240" t="str">
        <f t="shared" si="128"/>
        <v/>
      </c>
      <c r="AE2267" s="239">
        <f t="shared" si="129"/>
        <v>0</v>
      </c>
      <c r="AG2267" s="240">
        <f t="shared" si="130"/>
        <v>0</v>
      </c>
      <c r="AH2267" s="240"/>
      <c r="AI2267" s="240">
        <f t="shared" si="131"/>
        <v>0</v>
      </c>
    </row>
    <row r="2268" spans="1:35" x14ac:dyDescent="0.2">
      <c r="A2268" s="240" t="str">
        <f t="shared" si="128"/>
        <v/>
      </c>
      <c r="AE2268" s="239">
        <f t="shared" si="129"/>
        <v>0</v>
      </c>
      <c r="AG2268" s="240">
        <f t="shared" si="130"/>
        <v>0</v>
      </c>
      <c r="AH2268" s="240"/>
      <c r="AI2268" s="240">
        <f t="shared" si="131"/>
        <v>0</v>
      </c>
    </row>
    <row r="2269" spans="1:35" x14ac:dyDescent="0.2">
      <c r="A2269" s="240" t="str">
        <f t="shared" si="128"/>
        <v/>
      </c>
      <c r="AE2269" s="239">
        <f t="shared" si="129"/>
        <v>0</v>
      </c>
      <c r="AG2269" s="240">
        <f t="shared" si="130"/>
        <v>0</v>
      </c>
      <c r="AH2269" s="240"/>
      <c r="AI2269" s="240">
        <f t="shared" si="131"/>
        <v>0</v>
      </c>
    </row>
    <row r="2270" spans="1:35" x14ac:dyDescent="0.2">
      <c r="A2270" s="240" t="str">
        <f t="shared" si="128"/>
        <v/>
      </c>
      <c r="AE2270" s="239">
        <f t="shared" si="129"/>
        <v>0</v>
      </c>
      <c r="AG2270" s="240">
        <f t="shared" si="130"/>
        <v>0</v>
      </c>
      <c r="AH2270" s="240"/>
      <c r="AI2270" s="240">
        <f t="shared" si="131"/>
        <v>0</v>
      </c>
    </row>
    <row r="2271" spans="1:35" x14ac:dyDescent="0.2">
      <c r="A2271" s="240" t="str">
        <f t="shared" si="128"/>
        <v/>
      </c>
      <c r="AE2271" s="239">
        <f t="shared" si="129"/>
        <v>0</v>
      </c>
      <c r="AG2271" s="240">
        <f t="shared" si="130"/>
        <v>0</v>
      </c>
      <c r="AH2271" s="240"/>
      <c r="AI2271" s="240">
        <f t="shared" si="131"/>
        <v>0</v>
      </c>
    </row>
    <row r="2272" spans="1:35" x14ac:dyDescent="0.2">
      <c r="A2272" s="240" t="str">
        <f t="shared" si="128"/>
        <v/>
      </c>
      <c r="AE2272" s="239">
        <f t="shared" si="129"/>
        <v>0</v>
      </c>
      <c r="AG2272" s="240">
        <f t="shared" si="130"/>
        <v>0</v>
      </c>
      <c r="AH2272" s="240"/>
      <c r="AI2272" s="240">
        <f t="shared" si="131"/>
        <v>0</v>
      </c>
    </row>
    <row r="2273" spans="1:35" x14ac:dyDescent="0.2">
      <c r="A2273" s="240" t="str">
        <f t="shared" si="128"/>
        <v/>
      </c>
      <c r="AE2273" s="239">
        <f t="shared" si="129"/>
        <v>0</v>
      </c>
      <c r="AG2273" s="240">
        <f t="shared" si="130"/>
        <v>0</v>
      </c>
      <c r="AH2273" s="240"/>
      <c r="AI2273" s="240">
        <f t="shared" si="131"/>
        <v>0</v>
      </c>
    </row>
    <row r="2274" spans="1:35" x14ac:dyDescent="0.2">
      <c r="A2274" s="240" t="str">
        <f t="shared" si="128"/>
        <v/>
      </c>
      <c r="AE2274" s="239">
        <f t="shared" si="129"/>
        <v>0</v>
      </c>
      <c r="AG2274" s="240">
        <f t="shared" si="130"/>
        <v>0</v>
      </c>
      <c r="AH2274" s="240"/>
      <c r="AI2274" s="240">
        <f t="shared" si="131"/>
        <v>0</v>
      </c>
    </row>
    <row r="2275" spans="1:35" x14ac:dyDescent="0.2">
      <c r="A2275" s="240" t="str">
        <f t="shared" si="128"/>
        <v/>
      </c>
      <c r="AE2275" s="239">
        <f t="shared" si="129"/>
        <v>0</v>
      </c>
      <c r="AG2275" s="240">
        <f t="shared" si="130"/>
        <v>0</v>
      </c>
      <c r="AH2275" s="240"/>
      <c r="AI2275" s="240">
        <f t="shared" si="131"/>
        <v>0</v>
      </c>
    </row>
    <row r="2276" spans="1:35" x14ac:dyDescent="0.2">
      <c r="A2276" s="240" t="str">
        <f t="shared" si="128"/>
        <v/>
      </c>
      <c r="AE2276" s="239">
        <f t="shared" si="129"/>
        <v>0</v>
      </c>
      <c r="AG2276" s="240">
        <f t="shared" si="130"/>
        <v>0</v>
      </c>
      <c r="AH2276" s="240"/>
      <c r="AI2276" s="240">
        <f t="shared" si="131"/>
        <v>0</v>
      </c>
    </row>
    <row r="2277" spans="1:35" x14ac:dyDescent="0.2">
      <c r="A2277" s="240" t="str">
        <f t="shared" si="128"/>
        <v/>
      </c>
      <c r="AE2277" s="239">
        <f t="shared" si="129"/>
        <v>0</v>
      </c>
      <c r="AG2277" s="240">
        <f t="shared" si="130"/>
        <v>0</v>
      </c>
      <c r="AH2277" s="240"/>
      <c r="AI2277" s="240">
        <f t="shared" si="131"/>
        <v>0</v>
      </c>
    </row>
    <row r="2278" spans="1:35" x14ac:dyDescent="0.2">
      <c r="A2278" s="240" t="str">
        <f t="shared" si="128"/>
        <v/>
      </c>
      <c r="AE2278" s="239">
        <f t="shared" si="129"/>
        <v>0</v>
      </c>
      <c r="AG2278" s="240">
        <f t="shared" si="130"/>
        <v>0</v>
      </c>
      <c r="AH2278" s="240"/>
      <c r="AI2278" s="240">
        <f t="shared" si="131"/>
        <v>0</v>
      </c>
    </row>
    <row r="2279" spans="1:35" x14ac:dyDescent="0.2">
      <c r="A2279" s="240" t="str">
        <f t="shared" si="128"/>
        <v/>
      </c>
      <c r="AE2279" s="239">
        <f t="shared" si="129"/>
        <v>0</v>
      </c>
      <c r="AG2279" s="240">
        <f t="shared" si="130"/>
        <v>0</v>
      </c>
      <c r="AH2279" s="240"/>
      <c r="AI2279" s="240">
        <f t="shared" si="131"/>
        <v>0</v>
      </c>
    </row>
    <row r="2280" spans="1:35" x14ac:dyDescent="0.2">
      <c r="A2280" s="240" t="str">
        <f t="shared" si="128"/>
        <v/>
      </c>
      <c r="AE2280" s="239">
        <f t="shared" si="129"/>
        <v>0</v>
      </c>
      <c r="AG2280" s="240">
        <f t="shared" si="130"/>
        <v>0</v>
      </c>
      <c r="AH2280" s="240"/>
      <c r="AI2280" s="240">
        <f t="shared" si="131"/>
        <v>0</v>
      </c>
    </row>
    <row r="2281" spans="1:35" x14ac:dyDescent="0.2">
      <c r="A2281" s="240" t="str">
        <f t="shared" si="128"/>
        <v/>
      </c>
      <c r="AE2281" s="239">
        <f t="shared" si="129"/>
        <v>0</v>
      </c>
      <c r="AG2281" s="240">
        <f t="shared" si="130"/>
        <v>0</v>
      </c>
      <c r="AH2281" s="240"/>
      <c r="AI2281" s="240">
        <f t="shared" si="131"/>
        <v>0</v>
      </c>
    </row>
    <row r="2282" spans="1:35" x14ac:dyDescent="0.2">
      <c r="A2282" s="240" t="str">
        <f t="shared" si="128"/>
        <v/>
      </c>
      <c r="AE2282" s="239">
        <f t="shared" si="129"/>
        <v>0</v>
      </c>
      <c r="AG2282" s="240">
        <f t="shared" si="130"/>
        <v>0</v>
      </c>
      <c r="AH2282" s="240"/>
      <c r="AI2282" s="240">
        <f t="shared" si="131"/>
        <v>0</v>
      </c>
    </row>
    <row r="2283" spans="1:35" x14ac:dyDescent="0.2">
      <c r="A2283" s="240" t="str">
        <f t="shared" si="128"/>
        <v/>
      </c>
      <c r="AE2283" s="239">
        <f t="shared" si="129"/>
        <v>0</v>
      </c>
      <c r="AG2283" s="240">
        <f t="shared" si="130"/>
        <v>0</v>
      </c>
      <c r="AH2283" s="240"/>
      <c r="AI2283" s="240">
        <f t="shared" si="131"/>
        <v>0</v>
      </c>
    </row>
    <row r="2284" spans="1:35" x14ac:dyDescent="0.2">
      <c r="A2284" s="240" t="str">
        <f t="shared" si="128"/>
        <v/>
      </c>
      <c r="AE2284" s="239">
        <f t="shared" si="129"/>
        <v>0</v>
      </c>
      <c r="AG2284" s="240">
        <f t="shared" si="130"/>
        <v>0</v>
      </c>
      <c r="AH2284" s="240"/>
      <c r="AI2284" s="240">
        <f t="shared" si="131"/>
        <v>0</v>
      </c>
    </row>
    <row r="2285" spans="1:35" x14ac:dyDescent="0.2">
      <c r="A2285" s="240" t="str">
        <f t="shared" si="128"/>
        <v/>
      </c>
      <c r="AE2285" s="239">
        <f t="shared" si="129"/>
        <v>0</v>
      </c>
      <c r="AG2285" s="240">
        <f t="shared" si="130"/>
        <v>0</v>
      </c>
      <c r="AH2285" s="240"/>
      <c r="AI2285" s="240">
        <f t="shared" si="131"/>
        <v>0</v>
      </c>
    </row>
    <row r="2286" spans="1:35" x14ac:dyDescent="0.2">
      <c r="A2286" s="240" t="str">
        <f t="shared" si="128"/>
        <v/>
      </c>
      <c r="AE2286" s="239">
        <f t="shared" si="129"/>
        <v>0</v>
      </c>
      <c r="AG2286" s="240">
        <f t="shared" si="130"/>
        <v>0</v>
      </c>
      <c r="AH2286" s="240"/>
      <c r="AI2286" s="240">
        <f t="shared" si="131"/>
        <v>0</v>
      </c>
    </row>
    <row r="2287" spans="1:35" x14ac:dyDescent="0.2">
      <c r="A2287" s="240" t="str">
        <f t="shared" si="128"/>
        <v/>
      </c>
      <c r="AE2287" s="239">
        <f t="shared" si="129"/>
        <v>0</v>
      </c>
      <c r="AG2287" s="240">
        <f t="shared" si="130"/>
        <v>0</v>
      </c>
      <c r="AH2287" s="240"/>
      <c r="AI2287" s="240">
        <f t="shared" si="131"/>
        <v>0</v>
      </c>
    </row>
    <row r="2288" spans="1:35" x14ac:dyDescent="0.2">
      <c r="A2288" s="240" t="str">
        <f t="shared" si="128"/>
        <v/>
      </c>
      <c r="AE2288" s="239">
        <f t="shared" si="129"/>
        <v>0</v>
      </c>
      <c r="AG2288" s="240">
        <f t="shared" si="130"/>
        <v>0</v>
      </c>
      <c r="AH2288" s="240"/>
      <c r="AI2288" s="240">
        <f t="shared" si="131"/>
        <v>0</v>
      </c>
    </row>
    <row r="2289" spans="1:35" x14ac:dyDescent="0.2">
      <c r="A2289" s="240" t="str">
        <f t="shared" si="128"/>
        <v/>
      </c>
      <c r="AE2289" s="239">
        <f t="shared" si="129"/>
        <v>0</v>
      </c>
      <c r="AG2289" s="240">
        <f t="shared" si="130"/>
        <v>0</v>
      </c>
      <c r="AH2289" s="240"/>
      <c r="AI2289" s="240">
        <f t="shared" si="131"/>
        <v>0</v>
      </c>
    </row>
    <row r="2290" spans="1:35" x14ac:dyDescent="0.2">
      <c r="A2290" s="240" t="str">
        <f t="shared" si="128"/>
        <v/>
      </c>
      <c r="AE2290" s="239">
        <f t="shared" si="129"/>
        <v>0</v>
      </c>
      <c r="AG2290" s="240">
        <f t="shared" si="130"/>
        <v>0</v>
      </c>
      <c r="AH2290" s="240"/>
      <c r="AI2290" s="240">
        <f t="shared" si="131"/>
        <v>0</v>
      </c>
    </row>
    <row r="2291" spans="1:35" x14ac:dyDescent="0.2">
      <c r="A2291" s="240" t="str">
        <f t="shared" si="128"/>
        <v/>
      </c>
      <c r="AE2291" s="239">
        <f t="shared" si="129"/>
        <v>0</v>
      </c>
      <c r="AG2291" s="240">
        <f t="shared" si="130"/>
        <v>0</v>
      </c>
      <c r="AH2291" s="240"/>
      <c r="AI2291" s="240">
        <f t="shared" si="131"/>
        <v>0</v>
      </c>
    </row>
    <row r="2292" spans="1:35" x14ac:dyDescent="0.2">
      <c r="A2292" s="240" t="str">
        <f t="shared" si="128"/>
        <v/>
      </c>
      <c r="AE2292" s="239">
        <f t="shared" si="129"/>
        <v>0</v>
      </c>
      <c r="AG2292" s="240">
        <f t="shared" si="130"/>
        <v>0</v>
      </c>
      <c r="AH2292" s="240"/>
      <c r="AI2292" s="240">
        <f t="shared" si="131"/>
        <v>0</v>
      </c>
    </row>
    <row r="2293" spans="1:35" x14ac:dyDescent="0.2">
      <c r="A2293" s="240" t="str">
        <f t="shared" si="128"/>
        <v/>
      </c>
      <c r="AE2293" s="239">
        <f t="shared" si="129"/>
        <v>0</v>
      </c>
      <c r="AG2293" s="240">
        <f t="shared" si="130"/>
        <v>0</v>
      </c>
      <c r="AH2293" s="240"/>
      <c r="AI2293" s="240">
        <f t="shared" si="131"/>
        <v>0</v>
      </c>
    </row>
    <row r="2294" spans="1:35" x14ac:dyDescent="0.2">
      <c r="A2294" s="240" t="str">
        <f t="shared" si="128"/>
        <v/>
      </c>
      <c r="AE2294" s="239">
        <f t="shared" si="129"/>
        <v>0</v>
      </c>
      <c r="AG2294" s="240">
        <f t="shared" si="130"/>
        <v>0</v>
      </c>
      <c r="AH2294" s="240"/>
      <c r="AI2294" s="240">
        <f t="shared" si="131"/>
        <v>0</v>
      </c>
    </row>
    <row r="2295" spans="1:35" x14ac:dyDescent="0.2">
      <c r="A2295" s="240" t="str">
        <f t="shared" si="128"/>
        <v/>
      </c>
      <c r="AE2295" s="239">
        <f t="shared" si="129"/>
        <v>0</v>
      </c>
      <c r="AG2295" s="240">
        <f t="shared" si="130"/>
        <v>0</v>
      </c>
      <c r="AH2295" s="240"/>
      <c r="AI2295" s="240">
        <f t="shared" si="131"/>
        <v>0</v>
      </c>
    </row>
    <row r="2296" spans="1:35" x14ac:dyDescent="0.2">
      <c r="A2296" s="240" t="str">
        <f t="shared" si="128"/>
        <v/>
      </c>
      <c r="AE2296" s="239">
        <f t="shared" si="129"/>
        <v>0</v>
      </c>
      <c r="AG2296" s="240">
        <f t="shared" si="130"/>
        <v>0</v>
      </c>
      <c r="AH2296" s="240"/>
      <c r="AI2296" s="240">
        <f t="shared" si="131"/>
        <v>0</v>
      </c>
    </row>
    <row r="2297" spans="1:35" x14ac:dyDescent="0.2">
      <c r="A2297" s="240" t="str">
        <f t="shared" si="128"/>
        <v/>
      </c>
      <c r="AE2297" s="239">
        <f t="shared" si="129"/>
        <v>0</v>
      </c>
      <c r="AG2297" s="240">
        <f t="shared" si="130"/>
        <v>0</v>
      </c>
      <c r="AH2297" s="240"/>
      <c r="AI2297" s="240">
        <f t="shared" si="131"/>
        <v>0</v>
      </c>
    </row>
    <row r="2298" spans="1:35" x14ac:dyDescent="0.2">
      <c r="A2298" s="240" t="str">
        <f t="shared" si="128"/>
        <v/>
      </c>
      <c r="AE2298" s="239">
        <f t="shared" si="129"/>
        <v>0</v>
      </c>
      <c r="AG2298" s="240">
        <f t="shared" si="130"/>
        <v>0</v>
      </c>
      <c r="AH2298" s="240"/>
      <c r="AI2298" s="240">
        <f t="shared" si="131"/>
        <v>0</v>
      </c>
    </row>
    <row r="2299" spans="1:35" x14ac:dyDescent="0.2">
      <c r="A2299" s="240" t="str">
        <f t="shared" si="128"/>
        <v/>
      </c>
      <c r="AE2299" s="239">
        <f t="shared" si="129"/>
        <v>0</v>
      </c>
      <c r="AG2299" s="240">
        <f t="shared" si="130"/>
        <v>0</v>
      </c>
      <c r="AH2299" s="240"/>
      <c r="AI2299" s="240">
        <f t="shared" si="131"/>
        <v>0</v>
      </c>
    </row>
    <row r="2300" spans="1:35" x14ac:dyDescent="0.2">
      <c r="A2300" s="240" t="str">
        <f t="shared" si="128"/>
        <v/>
      </c>
      <c r="AE2300" s="239">
        <f t="shared" si="129"/>
        <v>0</v>
      </c>
      <c r="AG2300" s="240">
        <f t="shared" si="130"/>
        <v>0</v>
      </c>
      <c r="AH2300" s="240"/>
      <c r="AI2300" s="240">
        <f t="shared" si="131"/>
        <v>0</v>
      </c>
    </row>
    <row r="2301" spans="1:35" x14ac:dyDescent="0.2">
      <c r="A2301" s="240" t="str">
        <f t="shared" si="128"/>
        <v/>
      </c>
      <c r="AE2301" s="239">
        <f t="shared" si="129"/>
        <v>0</v>
      </c>
      <c r="AG2301" s="240">
        <f t="shared" si="130"/>
        <v>0</v>
      </c>
      <c r="AH2301" s="240"/>
      <c r="AI2301" s="240">
        <f t="shared" si="131"/>
        <v>0</v>
      </c>
    </row>
    <row r="2302" spans="1:35" x14ac:dyDescent="0.2">
      <c r="A2302" s="240" t="str">
        <f t="shared" si="128"/>
        <v/>
      </c>
      <c r="AE2302" s="239">
        <f t="shared" si="129"/>
        <v>0</v>
      </c>
      <c r="AG2302" s="240">
        <f t="shared" si="130"/>
        <v>0</v>
      </c>
      <c r="AH2302" s="240"/>
      <c r="AI2302" s="240">
        <f t="shared" si="131"/>
        <v>0</v>
      </c>
    </row>
    <row r="2303" spans="1:35" x14ac:dyDescent="0.2">
      <c r="A2303" s="240" t="str">
        <f t="shared" si="128"/>
        <v/>
      </c>
      <c r="AE2303" s="239">
        <f t="shared" si="129"/>
        <v>0</v>
      </c>
      <c r="AG2303" s="240">
        <f t="shared" si="130"/>
        <v>0</v>
      </c>
      <c r="AH2303" s="240"/>
      <c r="AI2303" s="240">
        <f t="shared" si="131"/>
        <v>0</v>
      </c>
    </row>
    <row r="2304" spans="1:35" x14ac:dyDescent="0.2">
      <c r="A2304" s="240" t="str">
        <f t="shared" si="128"/>
        <v/>
      </c>
      <c r="AE2304" s="239">
        <f t="shared" si="129"/>
        <v>0</v>
      </c>
      <c r="AG2304" s="240">
        <f t="shared" si="130"/>
        <v>0</v>
      </c>
      <c r="AH2304" s="240"/>
      <c r="AI2304" s="240">
        <f t="shared" si="131"/>
        <v>0</v>
      </c>
    </row>
    <row r="2305" spans="1:35" x14ac:dyDescent="0.2">
      <c r="A2305" s="240" t="str">
        <f t="shared" si="128"/>
        <v/>
      </c>
      <c r="AE2305" s="239">
        <f t="shared" si="129"/>
        <v>0</v>
      </c>
      <c r="AG2305" s="240">
        <f t="shared" si="130"/>
        <v>0</v>
      </c>
      <c r="AH2305" s="240"/>
      <c r="AI2305" s="240">
        <f t="shared" si="131"/>
        <v>0</v>
      </c>
    </row>
    <row r="2306" spans="1:35" x14ac:dyDescent="0.2">
      <c r="A2306" s="240" t="str">
        <f t="shared" si="128"/>
        <v/>
      </c>
      <c r="AE2306" s="239">
        <f t="shared" si="129"/>
        <v>0</v>
      </c>
      <c r="AG2306" s="240">
        <f t="shared" si="130"/>
        <v>0</v>
      </c>
      <c r="AH2306" s="240"/>
      <c r="AI2306" s="240">
        <f t="shared" si="131"/>
        <v>0</v>
      </c>
    </row>
    <row r="2307" spans="1:35" x14ac:dyDescent="0.2">
      <c r="A2307" s="240" t="str">
        <f t="shared" si="128"/>
        <v/>
      </c>
      <c r="AE2307" s="239">
        <f t="shared" si="129"/>
        <v>0</v>
      </c>
      <c r="AG2307" s="240">
        <f t="shared" si="130"/>
        <v>0</v>
      </c>
      <c r="AH2307" s="240"/>
      <c r="AI2307" s="240">
        <f t="shared" si="131"/>
        <v>0</v>
      </c>
    </row>
    <row r="2308" spans="1:35" x14ac:dyDescent="0.2">
      <c r="A2308" s="240" t="str">
        <f t="shared" si="128"/>
        <v/>
      </c>
      <c r="AE2308" s="239">
        <f t="shared" si="129"/>
        <v>0</v>
      </c>
      <c r="AG2308" s="240">
        <f t="shared" si="130"/>
        <v>0</v>
      </c>
      <c r="AH2308" s="240"/>
      <c r="AI2308" s="240">
        <f t="shared" si="131"/>
        <v>0</v>
      </c>
    </row>
    <row r="2309" spans="1:35" x14ac:dyDescent="0.2">
      <c r="A2309" s="240" t="str">
        <f t="shared" si="128"/>
        <v/>
      </c>
      <c r="AE2309" s="239">
        <f t="shared" si="129"/>
        <v>0</v>
      </c>
      <c r="AG2309" s="240">
        <f t="shared" si="130"/>
        <v>0</v>
      </c>
      <c r="AH2309" s="240"/>
      <c r="AI2309" s="240">
        <f t="shared" si="131"/>
        <v>0</v>
      </c>
    </row>
    <row r="2310" spans="1:35" x14ac:dyDescent="0.2">
      <c r="A2310" s="240" t="str">
        <f t="shared" si="128"/>
        <v/>
      </c>
      <c r="AE2310" s="239">
        <f t="shared" si="129"/>
        <v>0</v>
      </c>
      <c r="AG2310" s="240">
        <f t="shared" si="130"/>
        <v>0</v>
      </c>
      <c r="AH2310" s="240"/>
      <c r="AI2310" s="240">
        <f t="shared" si="131"/>
        <v>0</v>
      </c>
    </row>
    <row r="2311" spans="1:35" x14ac:dyDescent="0.2">
      <c r="A2311" s="240" t="str">
        <f t="shared" si="128"/>
        <v/>
      </c>
      <c r="AE2311" s="239">
        <f t="shared" si="129"/>
        <v>0</v>
      </c>
      <c r="AG2311" s="240">
        <f t="shared" si="130"/>
        <v>0</v>
      </c>
      <c r="AH2311" s="240"/>
      <c r="AI2311" s="240">
        <f t="shared" si="131"/>
        <v>0</v>
      </c>
    </row>
    <row r="2312" spans="1:35" x14ac:dyDescent="0.2">
      <c r="A2312" s="240" t="str">
        <f t="shared" si="128"/>
        <v/>
      </c>
      <c r="AE2312" s="239">
        <f t="shared" si="129"/>
        <v>0</v>
      </c>
      <c r="AG2312" s="240">
        <f t="shared" si="130"/>
        <v>0</v>
      </c>
      <c r="AH2312" s="240"/>
      <c r="AI2312" s="240">
        <f t="shared" si="131"/>
        <v>0</v>
      </c>
    </row>
    <row r="2313" spans="1:35" x14ac:dyDescent="0.2">
      <c r="A2313" s="240" t="str">
        <f t="shared" si="128"/>
        <v/>
      </c>
      <c r="AE2313" s="239">
        <f t="shared" si="129"/>
        <v>0</v>
      </c>
      <c r="AG2313" s="240">
        <f t="shared" si="130"/>
        <v>0</v>
      </c>
      <c r="AH2313" s="240"/>
      <c r="AI2313" s="240">
        <f t="shared" si="131"/>
        <v>0</v>
      </c>
    </row>
    <row r="2314" spans="1:35" x14ac:dyDescent="0.2">
      <c r="A2314" s="240" t="str">
        <f t="shared" si="128"/>
        <v/>
      </c>
      <c r="AE2314" s="239">
        <f t="shared" si="129"/>
        <v>0</v>
      </c>
      <c r="AG2314" s="240">
        <f t="shared" si="130"/>
        <v>0</v>
      </c>
      <c r="AH2314" s="240"/>
      <c r="AI2314" s="240">
        <f t="shared" si="131"/>
        <v>0</v>
      </c>
    </row>
    <row r="2315" spans="1:35" x14ac:dyDescent="0.2">
      <c r="A2315" s="240" t="str">
        <f t="shared" si="128"/>
        <v/>
      </c>
      <c r="AE2315" s="239">
        <f t="shared" si="129"/>
        <v>0</v>
      </c>
      <c r="AG2315" s="240">
        <f t="shared" si="130"/>
        <v>0</v>
      </c>
      <c r="AH2315" s="240"/>
      <c r="AI2315" s="240">
        <f t="shared" si="131"/>
        <v>0</v>
      </c>
    </row>
    <row r="2316" spans="1:35" x14ac:dyDescent="0.2">
      <c r="A2316" s="240" t="str">
        <f t="shared" ref="A2316:A2342" si="132">B2316&amp;C2316&amp;F2316&amp;G2316&amp;I2316&amp;J2316</f>
        <v/>
      </c>
      <c r="AE2316" s="239">
        <f t="shared" ref="AE2316:AE2370" si="133">SUBTOTAL(9,T2316:W2316)</f>
        <v>0</v>
      </c>
      <c r="AG2316" s="240">
        <f t="shared" ref="AG2316:AG2360" si="134">+L2316-SUM(Z2316:AA2316)</f>
        <v>0</v>
      </c>
      <c r="AH2316" s="240"/>
      <c r="AI2316" s="240">
        <f t="shared" ref="AI2316:AI2360" si="135">+AH2316-AG2316</f>
        <v>0</v>
      </c>
    </row>
    <row r="2317" spans="1:35" x14ac:dyDescent="0.2">
      <c r="A2317" s="240" t="str">
        <f t="shared" si="132"/>
        <v/>
      </c>
      <c r="AE2317" s="239">
        <f t="shared" si="133"/>
        <v>0</v>
      </c>
      <c r="AG2317" s="240">
        <f t="shared" si="134"/>
        <v>0</v>
      </c>
      <c r="AH2317" s="240"/>
      <c r="AI2317" s="240">
        <f t="shared" si="135"/>
        <v>0</v>
      </c>
    </row>
    <row r="2318" spans="1:35" x14ac:dyDescent="0.2">
      <c r="A2318" s="240" t="str">
        <f t="shared" si="132"/>
        <v/>
      </c>
      <c r="AE2318" s="239">
        <f t="shared" si="133"/>
        <v>0</v>
      </c>
      <c r="AG2318" s="240">
        <f t="shared" si="134"/>
        <v>0</v>
      </c>
      <c r="AH2318" s="240"/>
      <c r="AI2318" s="240">
        <f t="shared" si="135"/>
        <v>0</v>
      </c>
    </row>
    <row r="2319" spans="1:35" x14ac:dyDescent="0.2">
      <c r="A2319" s="240" t="str">
        <f t="shared" si="132"/>
        <v/>
      </c>
      <c r="AE2319" s="239">
        <f t="shared" si="133"/>
        <v>0</v>
      </c>
      <c r="AG2319" s="240">
        <f t="shared" si="134"/>
        <v>0</v>
      </c>
      <c r="AH2319" s="240"/>
      <c r="AI2319" s="240">
        <f t="shared" si="135"/>
        <v>0</v>
      </c>
    </row>
    <row r="2320" spans="1:35" x14ac:dyDescent="0.2">
      <c r="A2320" s="240" t="str">
        <f t="shared" si="132"/>
        <v/>
      </c>
      <c r="AE2320" s="239">
        <f t="shared" si="133"/>
        <v>0</v>
      </c>
      <c r="AG2320" s="240">
        <f t="shared" si="134"/>
        <v>0</v>
      </c>
      <c r="AH2320" s="240"/>
      <c r="AI2320" s="240">
        <f t="shared" si="135"/>
        <v>0</v>
      </c>
    </row>
    <row r="2321" spans="1:35" x14ac:dyDescent="0.2">
      <c r="A2321" s="240" t="str">
        <f t="shared" si="132"/>
        <v/>
      </c>
      <c r="AE2321" s="239">
        <f t="shared" si="133"/>
        <v>0</v>
      </c>
      <c r="AG2321" s="240">
        <f t="shared" si="134"/>
        <v>0</v>
      </c>
      <c r="AH2321" s="240"/>
      <c r="AI2321" s="240">
        <f t="shared" si="135"/>
        <v>0</v>
      </c>
    </row>
    <row r="2322" spans="1:35" x14ac:dyDescent="0.2">
      <c r="A2322" s="240" t="str">
        <f t="shared" si="132"/>
        <v/>
      </c>
      <c r="AE2322" s="239">
        <f t="shared" si="133"/>
        <v>0</v>
      </c>
      <c r="AG2322" s="240">
        <f t="shared" si="134"/>
        <v>0</v>
      </c>
      <c r="AH2322" s="240"/>
      <c r="AI2322" s="240">
        <f t="shared" si="135"/>
        <v>0</v>
      </c>
    </row>
    <row r="2323" spans="1:35" x14ac:dyDescent="0.2">
      <c r="A2323" s="240" t="str">
        <f t="shared" si="132"/>
        <v/>
      </c>
      <c r="AE2323" s="239">
        <f t="shared" si="133"/>
        <v>0</v>
      </c>
      <c r="AG2323" s="240">
        <f t="shared" si="134"/>
        <v>0</v>
      </c>
      <c r="AH2323" s="240"/>
      <c r="AI2323" s="240">
        <f t="shared" si="135"/>
        <v>0</v>
      </c>
    </row>
    <row r="2324" spans="1:35" x14ac:dyDescent="0.2">
      <c r="A2324" s="240" t="str">
        <f t="shared" si="132"/>
        <v/>
      </c>
      <c r="AE2324" s="239">
        <f t="shared" si="133"/>
        <v>0</v>
      </c>
      <c r="AG2324" s="240">
        <f t="shared" si="134"/>
        <v>0</v>
      </c>
      <c r="AH2324" s="240"/>
      <c r="AI2324" s="240">
        <f t="shared" si="135"/>
        <v>0</v>
      </c>
    </row>
    <row r="2325" spans="1:35" x14ac:dyDescent="0.2">
      <c r="A2325" s="240" t="str">
        <f t="shared" si="132"/>
        <v/>
      </c>
      <c r="AE2325" s="239">
        <f t="shared" si="133"/>
        <v>0</v>
      </c>
      <c r="AG2325" s="240">
        <f t="shared" si="134"/>
        <v>0</v>
      </c>
      <c r="AH2325" s="240"/>
      <c r="AI2325" s="240">
        <f t="shared" si="135"/>
        <v>0</v>
      </c>
    </row>
    <row r="2326" spans="1:35" x14ac:dyDescent="0.2">
      <c r="A2326" s="240" t="str">
        <f t="shared" si="132"/>
        <v/>
      </c>
      <c r="AE2326" s="239">
        <f t="shared" si="133"/>
        <v>0</v>
      </c>
      <c r="AG2326" s="240">
        <f t="shared" si="134"/>
        <v>0</v>
      </c>
      <c r="AH2326" s="240"/>
      <c r="AI2326" s="240">
        <f t="shared" si="135"/>
        <v>0</v>
      </c>
    </row>
    <row r="2327" spans="1:35" x14ac:dyDescent="0.2">
      <c r="A2327" s="240" t="str">
        <f t="shared" si="132"/>
        <v/>
      </c>
      <c r="AE2327" s="239">
        <f t="shared" si="133"/>
        <v>0</v>
      </c>
      <c r="AG2327" s="240">
        <f t="shared" si="134"/>
        <v>0</v>
      </c>
      <c r="AH2327" s="240"/>
      <c r="AI2327" s="240">
        <f t="shared" si="135"/>
        <v>0</v>
      </c>
    </row>
    <row r="2328" spans="1:35" x14ac:dyDescent="0.2">
      <c r="A2328" s="240" t="str">
        <f t="shared" si="132"/>
        <v/>
      </c>
      <c r="AE2328" s="239">
        <f t="shared" si="133"/>
        <v>0</v>
      </c>
      <c r="AG2328" s="240">
        <f t="shared" si="134"/>
        <v>0</v>
      </c>
      <c r="AH2328" s="240"/>
      <c r="AI2328" s="240">
        <f t="shared" si="135"/>
        <v>0</v>
      </c>
    </row>
    <row r="2329" spans="1:35" x14ac:dyDescent="0.2">
      <c r="A2329" s="240" t="str">
        <f t="shared" si="132"/>
        <v/>
      </c>
      <c r="AE2329" s="239">
        <f t="shared" si="133"/>
        <v>0</v>
      </c>
      <c r="AG2329" s="240">
        <f t="shared" si="134"/>
        <v>0</v>
      </c>
      <c r="AH2329" s="240"/>
      <c r="AI2329" s="240">
        <f t="shared" si="135"/>
        <v>0</v>
      </c>
    </row>
    <row r="2330" spans="1:35" x14ac:dyDescent="0.2">
      <c r="A2330" s="240" t="str">
        <f t="shared" si="132"/>
        <v/>
      </c>
      <c r="AE2330" s="239">
        <f t="shared" si="133"/>
        <v>0</v>
      </c>
      <c r="AG2330" s="240">
        <f t="shared" si="134"/>
        <v>0</v>
      </c>
      <c r="AH2330" s="240"/>
      <c r="AI2330" s="240">
        <f t="shared" si="135"/>
        <v>0</v>
      </c>
    </row>
    <row r="2331" spans="1:35" x14ac:dyDescent="0.2">
      <c r="A2331" s="240" t="str">
        <f t="shared" si="132"/>
        <v/>
      </c>
      <c r="AE2331" s="239">
        <f t="shared" si="133"/>
        <v>0</v>
      </c>
      <c r="AG2331" s="240">
        <f t="shared" si="134"/>
        <v>0</v>
      </c>
      <c r="AH2331" s="240"/>
      <c r="AI2331" s="240">
        <f t="shared" si="135"/>
        <v>0</v>
      </c>
    </row>
    <row r="2332" spans="1:35" x14ac:dyDescent="0.2">
      <c r="A2332" s="240" t="str">
        <f t="shared" si="132"/>
        <v/>
      </c>
      <c r="AE2332" s="239">
        <f t="shared" si="133"/>
        <v>0</v>
      </c>
      <c r="AG2332" s="240">
        <f t="shared" si="134"/>
        <v>0</v>
      </c>
      <c r="AH2332" s="240"/>
      <c r="AI2332" s="240">
        <f t="shared" si="135"/>
        <v>0</v>
      </c>
    </row>
    <row r="2333" spans="1:35" x14ac:dyDescent="0.2">
      <c r="A2333" s="240" t="str">
        <f t="shared" si="132"/>
        <v/>
      </c>
      <c r="AE2333" s="239">
        <f t="shared" si="133"/>
        <v>0</v>
      </c>
      <c r="AG2333" s="240">
        <f t="shared" si="134"/>
        <v>0</v>
      </c>
      <c r="AH2333" s="240"/>
      <c r="AI2333" s="240">
        <f t="shared" si="135"/>
        <v>0</v>
      </c>
    </row>
    <row r="2334" spans="1:35" x14ac:dyDescent="0.2">
      <c r="A2334" s="240" t="str">
        <f t="shared" si="132"/>
        <v/>
      </c>
      <c r="AE2334" s="239">
        <f t="shared" si="133"/>
        <v>0</v>
      </c>
      <c r="AG2334" s="240">
        <f t="shared" si="134"/>
        <v>0</v>
      </c>
      <c r="AH2334" s="240"/>
      <c r="AI2334" s="240">
        <f t="shared" si="135"/>
        <v>0</v>
      </c>
    </row>
    <row r="2335" spans="1:35" x14ac:dyDescent="0.2">
      <c r="A2335" s="240" t="str">
        <f t="shared" si="132"/>
        <v/>
      </c>
      <c r="AE2335" s="239">
        <f t="shared" si="133"/>
        <v>0</v>
      </c>
      <c r="AG2335" s="240">
        <f t="shared" si="134"/>
        <v>0</v>
      </c>
      <c r="AH2335" s="240"/>
      <c r="AI2335" s="240">
        <f t="shared" si="135"/>
        <v>0</v>
      </c>
    </row>
    <row r="2336" spans="1:35" x14ac:dyDescent="0.2">
      <c r="A2336" s="240" t="str">
        <f t="shared" si="132"/>
        <v/>
      </c>
      <c r="AE2336" s="239">
        <f t="shared" si="133"/>
        <v>0</v>
      </c>
      <c r="AG2336" s="240">
        <f t="shared" si="134"/>
        <v>0</v>
      </c>
      <c r="AH2336" s="240"/>
      <c r="AI2336" s="240">
        <f t="shared" si="135"/>
        <v>0</v>
      </c>
    </row>
    <row r="2337" spans="1:35" x14ac:dyDescent="0.2">
      <c r="A2337" s="240" t="str">
        <f t="shared" si="132"/>
        <v/>
      </c>
      <c r="AE2337" s="239">
        <f t="shared" si="133"/>
        <v>0</v>
      </c>
      <c r="AG2337" s="240">
        <f t="shared" si="134"/>
        <v>0</v>
      </c>
      <c r="AH2337" s="240"/>
      <c r="AI2337" s="240">
        <f t="shared" si="135"/>
        <v>0</v>
      </c>
    </row>
    <row r="2338" spans="1:35" x14ac:dyDescent="0.2">
      <c r="A2338" s="240" t="str">
        <f t="shared" si="132"/>
        <v/>
      </c>
      <c r="AE2338" s="239">
        <f t="shared" si="133"/>
        <v>0</v>
      </c>
      <c r="AG2338" s="240">
        <f t="shared" si="134"/>
        <v>0</v>
      </c>
      <c r="AH2338" s="240"/>
      <c r="AI2338" s="240">
        <f t="shared" si="135"/>
        <v>0</v>
      </c>
    </row>
    <row r="2339" spans="1:35" x14ac:dyDescent="0.2">
      <c r="A2339" s="240" t="str">
        <f t="shared" si="132"/>
        <v/>
      </c>
      <c r="AE2339" s="239">
        <f t="shared" si="133"/>
        <v>0</v>
      </c>
      <c r="AG2339" s="240">
        <f t="shared" si="134"/>
        <v>0</v>
      </c>
      <c r="AH2339" s="240"/>
      <c r="AI2339" s="240">
        <f t="shared" si="135"/>
        <v>0</v>
      </c>
    </row>
    <row r="2340" spans="1:35" x14ac:dyDescent="0.2">
      <c r="A2340" s="240" t="str">
        <f t="shared" si="132"/>
        <v/>
      </c>
      <c r="AE2340" s="239">
        <f t="shared" si="133"/>
        <v>0</v>
      </c>
      <c r="AG2340" s="240">
        <f t="shared" si="134"/>
        <v>0</v>
      </c>
      <c r="AH2340" s="240"/>
      <c r="AI2340" s="240">
        <f t="shared" si="135"/>
        <v>0</v>
      </c>
    </row>
    <row r="2341" spans="1:35" x14ac:dyDescent="0.2">
      <c r="A2341" s="240" t="str">
        <f t="shared" si="132"/>
        <v/>
      </c>
      <c r="AE2341" s="239">
        <f t="shared" si="133"/>
        <v>0</v>
      </c>
      <c r="AG2341" s="240">
        <f t="shared" si="134"/>
        <v>0</v>
      </c>
      <c r="AH2341" s="240"/>
      <c r="AI2341" s="240">
        <f t="shared" si="135"/>
        <v>0</v>
      </c>
    </row>
    <row r="2342" spans="1:35" x14ac:dyDescent="0.2">
      <c r="A2342" s="240" t="str">
        <f t="shared" si="132"/>
        <v/>
      </c>
      <c r="AE2342" s="239">
        <f t="shared" si="133"/>
        <v>0</v>
      </c>
      <c r="AG2342" s="240">
        <f t="shared" si="134"/>
        <v>0</v>
      </c>
      <c r="AH2342" s="240"/>
      <c r="AI2342" s="240">
        <f t="shared" si="135"/>
        <v>0</v>
      </c>
    </row>
    <row r="2343" spans="1:35" x14ac:dyDescent="0.2">
      <c r="AE2343" s="239">
        <f t="shared" si="133"/>
        <v>0</v>
      </c>
      <c r="AG2343" s="240">
        <f t="shared" si="134"/>
        <v>0</v>
      </c>
      <c r="AH2343" s="240"/>
      <c r="AI2343" s="240">
        <f t="shared" si="135"/>
        <v>0</v>
      </c>
    </row>
    <row r="2344" spans="1:35" x14ac:dyDescent="0.2">
      <c r="AE2344" s="239">
        <f t="shared" si="133"/>
        <v>0</v>
      </c>
      <c r="AG2344" s="240">
        <f t="shared" si="134"/>
        <v>0</v>
      </c>
      <c r="AH2344" s="240"/>
      <c r="AI2344" s="240">
        <f t="shared" si="135"/>
        <v>0</v>
      </c>
    </row>
    <row r="2345" spans="1:35" x14ac:dyDescent="0.2">
      <c r="AE2345" s="239">
        <f t="shared" si="133"/>
        <v>0</v>
      </c>
      <c r="AG2345" s="240">
        <f t="shared" si="134"/>
        <v>0</v>
      </c>
      <c r="AH2345" s="240"/>
      <c r="AI2345" s="240">
        <f t="shared" si="135"/>
        <v>0</v>
      </c>
    </row>
    <row r="2346" spans="1:35" x14ac:dyDescent="0.2">
      <c r="AE2346" s="239">
        <f t="shared" si="133"/>
        <v>0</v>
      </c>
      <c r="AG2346" s="240">
        <f t="shared" si="134"/>
        <v>0</v>
      </c>
      <c r="AH2346" s="240"/>
      <c r="AI2346" s="240">
        <f t="shared" si="135"/>
        <v>0</v>
      </c>
    </row>
    <row r="2347" spans="1:35" x14ac:dyDescent="0.2">
      <c r="AE2347" s="239">
        <f t="shared" si="133"/>
        <v>0</v>
      </c>
      <c r="AG2347" s="240">
        <f t="shared" si="134"/>
        <v>0</v>
      </c>
      <c r="AH2347" s="240"/>
      <c r="AI2347" s="240">
        <f t="shared" si="135"/>
        <v>0</v>
      </c>
    </row>
    <row r="2348" spans="1:35" x14ac:dyDescent="0.2">
      <c r="AE2348" s="239">
        <f t="shared" si="133"/>
        <v>0</v>
      </c>
      <c r="AG2348" s="240">
        <f t="shared" si="134"/>
        <v>0</v>
      </c>
      <c r="AH2348" s="240"/>
      <c r="AI2348" s="240">
        <f t="shared" si="135"/>
        <v>0</v>
      </c>
    </row>
    <row r="2349" spans="1:35" x14ac:dyDescent="0.2">
      <c r="AE2349" s="239">
        <f t="shared" si="133"/>
        <v>0</v>
      </c>
      <c r="AG2349" s="240">
        <f t="shared" si="134"/>
        <v>0</v>
      </c>
      <c r="AH2349" s="240"/>
      <c r="AI2349" s="240">
        <f t="shared" si="135"/>
        <v>0</v>
      </c>
    </row>
    <row r="2350" spans="1:35" x14ac:dyDescent="0.2">
      <c r="AE2350" s="239">
        <f t="shared" si="133"/>
        <v>0</v>
      </c>
      <c r="AG2350" s="240">
        <f t="shared" si="134"/>
        <v>0</v>
      </c>
      <c r="AH2350" s="240"/>
      <c r="AI2350" s="240">
        <f t="shared" si="135"/>
        <v>0</v>
      </c>
    </row>
    <row r="2351" spans="1:35" x14ac:dyDescent="0.2">
      <c r="AE2351" s="239">
        <f t="shared" si="133"/>
        <v>0</v>
      </c>
      <c r="AG2351" s="240">
        <f t="shared" si="134"/>
        <v>0</v>
      </c>
      <c r="AH2351" s="240"/>
      <c r="AI2351" s="240">
        <f t="shared" si="135"/>
        <v>0</v>
      </c>
    </row>
    <row r="2352" spans="1:35" x14ac:dyDescent="0.2">
      <c r="AE2352" s="239">
        <f t="shared" si="133"/>
        <v>0</v>
      </c>
      <c r="AG2352" s="240">
        <f t="shared" si="134"/>
        <v>0</v>
      </c>
      <c r="AH2352" s="240"/>
      <c r="AI2352" s="240">
        <f t="shared" si="135"/>
        <v>0</v>
      </c>
    </row>
    <row r="2353" spans="31:35" x14ac:dyDescent="0.2">
      <c r="AE2353" s="239">
        <f t="shared" si="133"/>
        <v>0</v>
      </c>
      <c r="AG2353" s="240">
        <f t="shared" si="134"/>
        <v>0</v>
      </c>
      <c r="AH2353" s="240"/>
      <c r="AI2353" s="240">
        <f t="shared" si="135"/>
        <v>0</v>
      </c>
    </row>
    <row r="2354" spans="31:35" x14ac:dyDescent="0.2">
      <c r="AE2354" s="239">
        <f t="shared" si="133"/>
        <v>0</v>
      </c>
      <c r="AG2354" s="240">
        <f t="shared" si="134"/>
        <v>0</v>
      </c>
      <c r="AH2354" s="240"/>
      <c r="AI2354" s="240">
        <f t="shared" si="135"/>
        <v>0</v>
      </c>
    </row>
    <row r="2355" spans="31:35" x14ac:dyDescent="0.2">
      <c r="AE2355" s="239">
        <f t="shared" si="133"/>
        <v>0</v>
      </c>
      <c r="AG2355" s="240">
        <f t="shared" si="134"/>
        <v>0</v>
      </c>
      <c r="AH2355" s="240"/>
      <c r="AI2355" s="240">
        <f t="shared" si="135"/>
        <v>0</v>
      </c>
    </row>
    <row r="2356" spans="31:35" x14ac:dyDescent="0.2">
      <c r="AE2356" s="239">
        <f t="shared" si="133"/>
        <v>0</v>
      </c>
      <c r="AG2356" s="240">
        <f t="shared" si="134"/>
        <v>0</v>
      </c>
      <c r="AH2356" s="240"/>
      <c r="AI2356" s="240">
        <f t="shared" si="135"/>
        <v>0</v>
      </c>
    </row>
    <row r="2357" spans="31:35" x14ac:dyDescent="0.2">
      <c r="AE2357" s="239">
        <f t="shared" si="133"/>
        <v>0</v>
      </c>
      <c r="AG2357" s="240">
        <f t="shared" si="134"/>
        <v>0</v>
      </c>
      <c r="AH2357" s="240"/>
      <c r="AI2357" s="240">
        <f t="shared" si="135"/>
        <v>0</v>
      </c>
    </row>
    <row r="2358" spans="31:35" x14ac:dyDescent="0.2">
      <c r="AE2358" s="239">
        <f t="shared" si="133"/>
        <v>0</v>
      </c>
      <c r="AG2358" s="240">
        <f t="shared" si="134"/>
        <v>0</v>
      </c>
      <c r="AH2358" s="240"/>
      <c r="AI2358" s="240">
        <f t="shared" si="135"/>
        <v>0</v>
      </c>
    </row>
    <row r="2359" spans="31:35" x14ac:dyDescent="0.2">
      <c r="AE2359" s="239">
        <f t="shared" si="133"/>
        <v>0</v>
      </c>
      <c r="AG2359" s="240">
        <f t="shared" si="134"/>
        <v>0</v>
      </c>
      <c r="AH2359" s="240"/>
      <c r="AI2359" s="240">
        <f t="shared" si="135"/>
        <v>0</v>
      </c>
    </row>
    <row r="2360" spans="31:35" x14ac:dyDescent="0.2">
      <c r="AE2360" s="239">
        <f t="shared" si="133"/>
        <v>0</v>
      </c>
      <c r="AG2360" s="240">
        <f t="shared" si="134"/>
        <v>0</v>
      </c>
      <c r="AH2360" s="240"/>
      <c r="AI2360" s="240">
        <f t="shared" si="135"/>
        <v>0</v>
      </c>
    </row>
    <row r="2361" spans="31:35" x14ac:dyDescent="0.15">
      <c r="AE2361" s="239">
        <f t="shared" si="133"/>
        <v>0</v>
      </c>
    </row>
    <row r="2362" spans="31:35" x14ac:dyDescent="0.15">
      <c r="AE2362" s="239">
        <f t="shared" si="133"/>
        <v>0</v>
      </c>
    </row>
    <row r="2363" spans="31:35" x14ac:dyDescent="0.15">
      <c r="AE2363" s="239">
        <f t="shared" si="133"/>
        <v>0</v>
      </c>
    </row>
    <row r="2364" spans="31:35" x14ac:dyDescent="0.15">
      <c r="AE2364" s="239">
        <f t="shared" si="133"/>
        <v>0</v>
      </c>
    </row>
    <row r="2365" spans="31:35" x14ac:dyDescent="0.15">
      <c r="AE2365" s="239">
        <f t="shared" si="133"/>
        <v>0</v>
      </c>
    </row>
    <row r="2366" spans="31:35" x14ac:dyDescent="0.15">
      <c r="AE2366" s="239">
        <f t="shared" si="133"/>
        <v>0</v>
      </c>
    </row>
    <row r="2367" spans="31:35" x14ac:dyDescent="0.15">
      <c r="AE2367" s="239">
        <f t="shared" si="133"/>
        <v>0</v>
      </c>
    </row>
    <row r="2368" spans="31:35" x14ac:dyDescent="0.15">
      <c r="AE2368" s="239">
        <f t="shared" si="133"/>
        <v>0</v>
      </c>
    </row>
    <row r="2369" spans="1:35" x14ac:dyDescent="0.15">
      <c r="AE2369" s="239">
        <f t="shared" si="133"/>
        <v>0</v>
      </c>
    </row>
    <row r="2370" spans="1:35" x14ac:dyDescent="0.15">
      <c r="AE2370" s="239">
        <f t="shared" si="133"/>
        <v>0</v>
      </c>
    </row>
    <row r="2378" spans="1:35" x14ac:dyDescent="0.2">
      <c r="A2378" s="240" t="str">
        <f>B2378&amp;C2378&amp;F2378&amp;G2378&amp;I2378&amp;J2378</f>
        <v>SNPETMV503</v>
      </c>
      <c r="B2378" s="239" t="s">
        <v>19</v>
      </c>
      <c r="C2378" s="239" t="s">
        <v>20</v>
      </c>
      <c r="D2378" s="239" t="s">
        <v>143</v>
      </c>
      <c r="E2378" s="239" t="s">
        <v>722</v>
      </c>
      <c r="F2378" s="239" t="s">
        <v>159</v>
      </c>
      <c r="G2378" s="239">
        <v>50</v>
      </c>
      <c r="I2378" s="239">
        <v>3</v>
      </c>
      <c r="K2378" s="245">
        <v>43922</v>
      </c>
      <c r="L2378" s="239">
        <v>88.127629999999996</v>
      </c>
      <c r="M2378" s="239">
        <v>96</v>
      </c>
      <c r="N2378" s="239">
        <v>0</v>
      </c>
      <c r="O2378" s="239">
        <v>56.958329999999997</v>
      </c>
      <c r="P2378" s="239">
        <v>0</v>
      </c>
      <c r="Q2378" s="239">
        <v>0</v>
      </c>
      <c r="R2378" s="239">
        <v>0</v>
      </c>
      <c r="S2378" s="239">
        <v>0</v>
      </c>
      <c r="T2378" s="239">
        <v>4.0498799999999999</v>
      </c>
      <c r="U2378" s="239">
        <v>0.66598999999999997</v>
      </c>
      <c r="V2378" s="239">
        <v>0.21013000000000001</v>
      </c>
      <c r="W2378" s="239">
        <v>4.0167900000000003</v>
      </c>
      <c r="X2378" s="239">
        <v>0</v>
      </c>
      <c r="Y2378" s="239">
        <v>0</v>
      </c>
      <c r="Z2378" s="239">
        <v>15.60167</v>
      </c>
      <c r="AA2378" s="239">
        <v>6.6248399999999998</v>
      </c>
      <c r="AB2378" s="239">
        <v>0</v>
      </c>
      <c r="AC2378" s="239">
        <v>0</v>
      </c>
      <c r="AD2378" s="239">
        <v>1</v>
      </c>
      <c r="AE2378" s="239">
        <f>SUM(T2378:W2378)</f>
        <v>8.9427900000000005</v>
      </c>
      <c r="AF2378" s="239">
        <f>SUM(Z2378:AA2378)</f>
        <v>22.226510000000001</v>
      </c>
      <c r="AG2378" s="240">
        <f>+L2378-SUM(Z2378:AA2378)</f>
        <v>65.901119999999992</v>
      </c>
      <c r="AH2378" s="240"/>
      <c r="AI2378" s="240">
        <f>+AH2378-AG2378</f>
        <v>-65.901119999999992</v>
      </c>
    </row>
    <row r="2379" spans="1:35" x14ac:dyDescent="0.2">
      <c r="A2379" s="240" t="str">
        <f>B2379&amp;C2379&amp;F2379&amp;G2379&amp;I2379&amp;J2379</f>
        <v>SNMSF383H</v>
      </c>
      <c r="B2379" s="239" t="s">
        <v>19</v>
      </c>
      <c r="C2379" s="239" t="s">
        <v>20</v>
      </c>
      <c r="D2379" s="239" t="s">
        <v>205</v>
      </c>
      <c r="E2379" s="239" t="s">
        <v>724</v>
      </c>
      <c r="F2379" s="239" t="s">
        <v>230</v>
      </c>
      <c r="G2379" s="239">
        <v>38</v>
      </c>
      <c r="I2379" s="239" t="s">
        <v>731</v>
      </c>
      <c r="K2379" s="245">
        <v>44105</v>
      </c>
      <c r="L2379" s="239">
        <v>55.896999999999998</v>
      </c>
      <c r="M2379" s="239">
        <v>80.73</v>
      </c>
      <c r="N2379" s="239">
        <v>0</v>
      </c>
      <c r="O2379" s="239">
        <v>30.311</v>
      </c>
      <c r="P2379" s="239">
        <v>3.4660000000000002</v>
      </c>
      <c r="Q2379" s="239">
        <v>0</v>
      </c>
      <c r="R2379" s="239">
        <v>0</v>
      </c>
      <c r="S2379" s="239">
        <v>0</v>
      </c>
      <c r="T2379" s="239">
        <v>0</v>
      </c>
      <c r="U2379" s="239">
        <v>2.7789999999999999</v>
      </c>
      <c r="V2379" s="239">
        <v>0</v>
      </c>
      <c r="W2379" s="239">
        <v>0.39500000000000002</v>
      </c>
      <c r="X2379" s="239">
        <v>0</v>
      </c>
      <c r="Y2379" s="239">
        <v>0</v>
      </c>
      <c r="Z2379" s="239">
        <v>5.6420000000000003</v>
      </c>
      <c r="AA2379" s="239">
        <v>0.33500000000000002</v>
      </c>
      <c r="AB2379" s="239">
        <v>12.968999999999999</v>
      </c>
      <c r="AC2379" s="239">
        <v>0</v>
      </c>
      <c r="AD2379" s="239">
        <v>1</v>
      </c>
      <c r="AE2379" s="239">
        <f>SUM(T2379:W2379)</f>
        <v>3.1739999999999999</v>
      </c>
      <c r="AF2379" s="239">
        <f>SUM(Z2379:AA2379)</f>
        <v>5.9770000000000003</v>
      </c>
      <c r="AG2379" s="240">
        <f>+L2379-SUM(Z2379:AA2379)</f>
        <v>49.92</v>
      </c>
      <c r="AH2379" s="240"/>
      <c r="AI2379" s="240">
        <f>+AH2379-AG2379</f>
        <v>-49.92</v>
      </c>
    </row>
    <row r="2380" spans="1:35" x14ac:dyDescent="0.2">
      <c r="A2380" s="240" t="str">
        <f>B2380&amp;C2380&amp;F2380&amp;G2380&amp;I2380&amp;J2380</f>
        <v>SNMNGKBF253</v>
      </c>
      <c r="B2380" s="239" t="s">
        <v>19</v>
      </c>
      <c r="C2380" s="239" t="s">
        <v>20</v>
      </c>
      <c r="D2380" s="239" t="s">
        <v>205</v>
      </c>
      <c r="E2380" s="239" t="s">
        <v>724</v>
      </c>
      <c r="F2380" s="239" t="s">
        <v>211</v>
      </c>
      <c r="G2380" s="239">
        <v>25</v>
      </c>
      <c r="I2380" s="239">
        <v>3</v>
      </c>
      <c r="K2380" s="245">
        <v>44105</v>
      </c>
      <c r="L2380" s="239">
        <v>75.97</v>
      </c>
      <c r="M2380" s="239">
        <v>95</v>
      </c>
      <c r="N2380" s="239">
        <v>0</v>
      </c>
      <c r="O2380" s="239">
        <v>57.558</v>
      </c>
      <c r="P2380" s="239">
        <v>2.5609999999999999</v>
      </c>
      <c r="Q2380" s="239">
        <v>0</v>
      </c>
      <c r="R2380" s="239">
        <v>0</v>
      </c>
      <c r="S2380" s="239">
        <v>0</v>
      </c>
      <c r="T2380" s="239">
        <v>0</v>
      </c>
      <c r="U2380" s="239">
        <v>1.655</v>
      </c>
      <c r="V2380" s="239">
        <v>0</v>
      </c>
      <c r="W2380" s="239">
        <v>0.28299999999999997</v>
      </c>
      <c r="X2380" s="239">
        <v>0</v>
      </c>
      <c r="Y2380" s="239">
        <v>0</v>
      </c>
      <c r="Z2380" s="239">
        <v>3.9860000000000002</v>
      </c>
      <c r="AA2380" s="239">
        <v>0.24299999999999999</v>
      </c>
      <c r="AB2380" s="239">
        <v>9.6839999999999993</v>
      </c>
      <c r="AC2380" s="239">
        <v>0</v>
      </c>
      <c r="AD2380" s="239">
        <v>1</v>
      </c>
      <c r="AE2380" s="239">
        <f>SUM(T2380:W2380)</f>
        <v>1.9379999999999999</v>
      </c>
      <c r="AF2380" s="239">
        <f>SUM(Z2380:AA2380)</f>
        <v>4.2290000000000001</v>
      </c>
      <c r="AG2380" s="240">
        <f>+L2380-SUM(Z2380:AA2380)</f>
        <v>71.741</v>
      </c>
      <c r="AH2380" s="240"/>
      <c r="AI2380" s="240">
        <f>+AH2380-AG2380</f>
        <v>-71.741</v>
      </c>
    </row>
  </sheetData>
  <phoneticPr fontId="1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製品マスタ</vt:lpstr>
      <vt:lpstr>契約台帳</vt:lpstr>
      <vt:lpstr>S4</vt:lpstr>
      <vt:lpstr>S5</vt:lpstr>
      <vt:lpstr>原価マスタ</vt:lpstr>
      <vt:lpstr>'S4'!Print_Area</vt:lpstr>
      <vt:lpstr>'S5'!Print_Area</vt:lpstr>
      <vt:lpstr>'S4'!Print_Titles</vt:lpstr>
      <vt:lpstr>'S5'!Print_Titles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第二製造課</dc:creator>
  <cp:lastModifiedBy>yoshikazu sugiyama</cp:lastModifiedBy>
  <cp:revision/>
  <cp:lastPrinted>2024-02-26T01:15:30Z</cp:lastPrinted>
  <dcterms:created xsi:type="dcterms:W3CDTF">2001-10-31T02:25:56Z</dcterms:created>
  <dcterms:modified xsi:type="dcterms:W3CDTF">2024-11-26T00:34:52Z</dcterms:modified>
</cp:coreProperties>
</file>